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24226"/>
  <mc:AlternateContent xmlns:mc="http://schemas.openxmlformats.org/markup-compatibility/2006">
    <mc:Choice Requires="x15">
      <x15ac:absPath xmlns:x15ac="http://schemas.microsoft.com/office/spreadsheetml/2010/11/ac" url="\\mklfls01.markelcorp.markelna.com\VDIprofile$\adommalapati\Documents\"/>
    </mc:Choice>
  </mc:AlternateContent>
  <bookViews>
    <workbookView xWindow="0" yWindow="0" windowWidth="15120" windowHeight="5580" tabRatio="586" activeTab="1"/>
  </bookViews>
  <sheets>
    <sheet name="Sheet4" sheetId="26" r:id="rId1"/>
    <sheet name="Combined" sheetId="24" r:id="rId2"/>
    <sheet name="2019" sheetId="22" r:id="rId3"/>
    <sheet name="2018" sheetId="15" r:id="rId4"/>
    <sheet name="2017" sheetId="6" r:id="rId5"/>
    <sheet name="2016" sheetId="4" r:id="rId6"/>
    <sheet name="2015" sheetId="3" r:id="rId7"/>
    <sheet name="2014" sheetId="1" r:id="rId8"/>
    <sheet name="2019 Pivot" sheetId="16" r:id="rId9"/>
    <sheet name="2018 Pivot " sheetId="23" r:id="rId10"/>
    <sheet name="2017 YTD Summary" sheetId="5" r:id="rId11"/>
    <sheet name="2016 YTD Summary" sheetId="7" r:id="rId12"/>
    <sheet name="Sheet1" sheetId="17" r:id="rId13"/>
  </sheets>
  <definedNames>
    <definedName name="_xlnm._FilterDatabase" localSheetId="5" hidden="1">'2016'!$A$2:$W$1086</definedName>
    <definedName name="_xlnm._FilterDatabase" localSheetId="4" hidden="1">'2017'!$A$1:$W$1208</definedName>
    <definedName name="_xlnm._FilterDatabase" localSheetId="3" hidden="1">'2018'!$A$1:$W$1998</definedName>
    <definedName name="_xlnm._FilterDatabase" localSheetId="2" hidden="1">'2019'!$A$1:$W$1030</definedName>
  </definedNames>
  <calcPr calcId="152511"/>
  <pivotCaches>
    <pivotCache cacheId="0" r:id="rId14"/>
    <pivotCache cacheId="1" r:id="rId15"/>
    <pivotCache cacheId="2" r:id="rId16"/>
    <pivotCache cacheId="3" r:id="rId17"/>
  </pivotCaches>
</workbook>
</file>

<file path=xl/calcChain.xml><?xml version="1.0" encoding="utf-8"?>
<calcChain xmlns="http://schemas.openxmlformats.org/spreadsheetml/2006/main">
  <c r="S28" i="26" l="1"/>
  <c r="S27" i="26"/>
  <c r="N7" i="26"/>
  <c r="O7" i="26" s="1"/>
  <c r="K7" i="26"/>
  <c r="K8" i="26" s="1"/>
  <c r="I30" i="26"/>
  <c r="I31" i="26"/>
  <c r="I32" i="26"/>
  <c r="I33" i="26"/>
  <c r="I34" i="26"/>
  <c r="I35" i="26"/>
  <c r="I36" i="26"/>
  <c r="I37" i="26"/>
  <c r="I38" i="26"/>
  <c r="I39" i="26"/>
  <c r="I40" i="26"/>
  <c r="I41" i="26"/>
  <c r="I42" i="26"/>
  <c r="I43" i="26"/>
  <c r="I44" i="26"/>
  <c r="I45" i="26"/>
  <c r="I46" i="26"/>
  <c r="I47" i="26"/>
  <c r="I48" i="26"/>
  <c r="I49" i="26"/>
  <c r="I50" i="26"/>
  <c r="I51" i="26"/>
  <c r="I52" i="26"/>
  <c r="I53" i="26"/>
  <c r="I54" i="26"/>
  <c r="I55" i="26"/>
  <c r="I56" i="26"/>
  <c r="I57" i="26"/>
  <c r="I6" i="26"/>
  <c r="I7" i="26"/>
  <c r="I8" i="26"/>
  <c r="I9" i="26"/>
  <c r="I10" i="26"/>
  <c r="I11" i="26"/>
  <c r="I12" i="26"/>
  <c r="I13" i="26"/>
  <c r="I14" i="26"/>
  <c r="I15" i="26"/>
  <c r="I16" i="26"/>
  <c r="I17" i="26"/>
  <c r="I18" i="26"/>
  <c r="I19" i="26"/>
  <c r="I20" i="26"/>
  <c r="I21" i="26"/>
  <c r="I22" i="26"/>
  <c r="I23" i="26"/>
  <c r="I24" i="26"/>
  <c r="I25" i="26"/>
  <c r="I26" i="26"/>
  <c r="I27" i="26"/>
  <c r="I28" i="26"/>
  <c r="I29" i="26"/>
  <c r="I5" i="26"/>
  <c r="X3340" i="24"/>
  <c r="X1527" i="24"/>
  <c r="X2252" i="24"/>
  <c r="N8" i="26" l="1"/>
  <c r="N9" i="26" s="1"/>
  <c r="O9" i="26" s="1"/>
  <c r="K9" i="26"/>
  <c r="L8" i="26"/>
  <c r="L7" i="26"/>
  <c r="N10" i="26"/>
  <c r="N431" i="22"/>
  <c r="N430" i="22"/>
  <c r="N429" i="22"/>
  <c r="N428" i="22"/>
  <c r="O8" i="26" l="1"/>
  <c r="L9" i="26"/>
  <c r="K10" i="26"/>
  <c r="N11" i="26"/>
  <c r="O10" i="26"/>
  <c r="N424" i="22"/>
  <c r="N12" i="26" l="1"/>
  <c r="O11" i="26"/>
  <c r="K11" i="26"/>
  <c r="L10" i="26"/>
  <c r="N393" i="22"/>
  <c r="K12" i="26" l="1"/>
  <c r="L11" i="26"/>
  <c r="N13" i="26"/>
  <c r="O12" i="26"/>
  <c r="N320" i="22"/>
  <c r="N319" i="22"/>
  <c r="N318" i="22"/>
  <c r="N296" i="22"/>
  <c r="N290" i="22"/>
  <c r="N289" i="22"/>
  <c r="N282" i="22"/>
  <c r="N281" i="22"/>
  <c r="N14" i="26" l="1"/>
  <c r="O13" i="26"/>
  <c r="K13" i="26"/>
  <c r="L12" i="26"/>
  <c r="N275" i="22"/>
  <c r="N274" i="22"/>
  <c r="K14" i="26" l="1"/>
  <c r="L13" i="26"/>
  <c r="N15" i="26"/>
  <c r="O14" i="26"/>
  <c r="N269" i="22"/>
  <c r="N268" i="22"/>
  <c r="N267" i="22"/>
  <c r="N266" i="22"/>
  <c r="N16" i="26" l="1"/>
  <c r="O15" i="26"/>
  <c r="K15" i="26"/>
  <c r="L14" i="26"/>
  <c r="N264" i="22"/>
  <c r="K16" i="26" l="1"/>
  <c r="L15" i="26"/>
  <c r="N17" i="26"/>
  <c r="O16" i="26"/>
  <c r="N259" i="22"/>
  <c r="N258" i="22"/>
  <c r="N257" i="22"/>
  <c r="N256" i="22"/>
  <c r="N18" i="26" l="1"/>
  <c r="O17" i="26"/>
  <c r="K17" i="26"/>
  <c r="L16" i="26"/>
  <c r="N255" i="22"/>
  <c r="N249" i="22"/>
  <c r="N248" i="22"/>
  <c r="N247" i="22"/>
  <c r="N246" i="22"/>
  <c r="N245" i="22"/>
  <c r="K18" i="26" l="1"/>
  <c r="L17" i="26"/>
  <c r="N19" i="26"/>
  <c r="O18" i="26"/>
  <c r="N241" i="22"/>
  <c r="N240" i="22"/>
  <c r="N239" i="22"/>
  <c r="N20" i="26" l="1"/>
  <c r="O19" i="26"/>
  <c r="K19" i="26"/>
  <c r="L18" i="26"/>
  <c r="N238" i="22"/>
  <c r="N237" i="22"/>
  <c r="K20" i="26" l="1"/>
  <c r="L19" i="26"/>
  <c r="N21" i="26"/>
  <c r="O20" i="26"/>
  <c r="N235" i="22"/>
  <c r="N233" i="22"/>
  <c r="N231" i="22"/>
  <c r="N22" i="26" l="1"/>
  <c r="O21" i="26"/>
  <c r="K21" i="26"/>
  <c r="L20" i="26"/>
  <c r="N227" i="22"/>
  <c r="N226" i="22"/>
  <c r="N225" i="22"/>
  <c r="N220" i="22"/>
  <c r="K22" i="26" l="1"/>
  <c r="L21" i="26"/>
  <c r="N23" i="26"/>
  <c r="O22" i="26"/>
  <c r="N219" i="22"/>
  <c r="N218" i="22"/>
  <c r="N217" i="22"/>
  <c r="N216" i="22"/>
  <c r="N213" i="22"/>
  <c r="N24" i="26" l="1"/>
  <c r="O23" i="26"/>
  <c r="K23" i="26"/>
  <c r="L22" i="26"/>
  <c r="N212" i="22"/>
  <c r="K24" i="26" l="1"/>
  <c r="L23" i="26"/>
  <c r="N25" i="26"/>
  <c r="O24" i="26"/>
  <c r="N209" i="22"/>
  <c r="N26" i="26" l="1"/>
  <c r="O25" i="26"/>
  <c r="K25" i="26"/>
  <c r="L24" i="26"/>
  <c r="N210" i="22"/>
  <c r="N207" i="22"/>
  <c r="K26" i="26" l="1"/>
  <c r="L25" i="26"/>
  <c r="N27" i="26"/>
  <c r="O26" i="26"/>
  <c r="N206" i="22"/>
  <c r="N205" i="22"/>
  <c r="N204" i="22"/>
  <c r="N28" i="26" l="1"/>
  <c r="O27" i="26"/>
  <c r="K27" i="26"/>
  <c r="L26" i="26"/>
  <c r="N203" i="22"/>
  <c r="K28" i="26" l="1"/>
  <c r="L27" i="26"/>
  <c r="N29" i="26"/>
  <c r="O28" i="26"/>
  <c r="N202" i="22"/>
  <c r="N201" i="22"/>
  <c r="N200" i="22"/>
  <c r="N199" i="22"/>
  <c r="N198" i="22"/>
  <c r="N197" i="22"/>
  <c r="N30" i="26" l="1"/>
  <c r="O29" i="26"/>
  <c r="K29" i="26"/>
  <c r="L28" i="26"/>
  <c r="N193" i="22"/>
  <c r="N192" i="22"/>
  <c r="N178" i="22"/>
  <c r="K30" i="26" l="1"/>
  <c r="L29" i="26"/>
  <c r="N31" i="26"/>
  <c r="O30" i="26"/>
  <c r="N191" i="22"/>
  <c r="N32" i="26" l="1"/>
  <c r="O31" i="26"/>
  <c r="K31" i="26"/>
  <c r="L30" i="26"/>
  <c r="N190" i="22"/>
  <c r="N189" i="22"/>
  <c r="K32" i="26" l="1"/>
  <c r="L31" i="26"/>
  <c r="N33" i="26"/>
  <c r="O32" i="26"/>
  <c r="N188" i="22"/>
  <c r="N187" i="22"/>
  <c r="N186" i="22"/>
  <c r="N185" i="22"/>
  <c r="N184" i="22"/>
  <c r="N34" i="26" l="1"/>
  <c r="O33" i="26"/>
  <c r="K33" i="26"/>
  <c r="L32" i="26"/>
  <c r="N181" i="22"/>
  <c r="N180" i="22"/>
  <c r="N179" i="22"/>
  <c r="N177" i="22"/>
  <c r="N176" i="22"/>
  <c r="N175" i="22"/>
  <c r="K34" i="26" l="1"/>
  <c r="L33" i="26"/>
  <c r="N35" i="26"/>
  <c r="O34" i="26"/>
  <c r="N174" i="22"/>
  <c r="N173" i="22"/>
  <c r="N36" i="26" l="1"/>
  <c r="O35" i="26"/>
  <c r="K35" i="26"/>
  <c r="L34" i="26"/>
  <c r="N171" i="22"/>
  <c r="K36" i="26" l="1"/>
  <c r="L35" i="26"/>
  <c r="N37" i="26"/>
  <c r="O36" i="26"/>
  <c r="N169" i="22"/>
  <c r="N168" i="22"/>
  <c r="N167" i="22"/>
  <c r="N166" i="22"/>
  <c r="N165" i="22"/>
  <c r="N164" i="22"/>
  <c r="N163" i="22"/>
  <c r="N162" i="22"/>
  <c r="N161" i="22"/>
  <c r="N160" i="22"/>
  <c r="N159" i="22"/>
  <c r="N158" i="22"/>
  <c r="N157" i="22"/>
  <c r="N38" i="26" l="1"/>
  <c r="O37" i="26"/>
  <c r="K37" i="26"/>
  <c r="L36" i="26"/>
  <c r="N156" i="22"/>
  <c r="N155" i="22"/>
  <c r="N154" i="22"/>
  <c r="N153" i="22"/>
  <c r="N152" i="22"/>
  <c r="K38" i="26" l="1"/>
  <c r="L37" i="26"/>
  <c r="N39" i="26"/>
  <c r="O38" i="26"/>
  <c r="N150" i="22"/>
  <c r="N133" i="22"/>
  <c r="N136" i="22"/>
  <c r="N40" i="26" l="1"/>
  <c r="O39" i="26"/>
  <c r="K39" i="26"/>
  <c r="L38" i="26"/>
  <c r="N130" i="22"/>
  <c r="N129" i="22"/>
  <c r="N128" i="22"/>
  <c r="N127" i="22"/>
  <c r="N126" i="22"/>
  <c r="N125" i="22"/>
  <c r="N124" i="22"/>
  <c r="N123" i="22"/>
  <c r="N122" i="22"/>
  <c r="N121" i="22"/>
  <c r="K40" i="26" l="1"/>
  <c r="L39" i="26"/>
  <c r="N41" i="26"/>
  <c r="O40" i="26"/>
  <c r="N100" i="22"/>
  <c r="N91" i="22"/>
  <c r="N88" i="22"/>
  <c r="N87" i="22"/>
  <c r="N85" i="22"/>
  <c r="N42" i="26" l="1"/>
  <c r="O41" i="26"/>
  <c r="K41" i="26"/>
  <c r="L40" i="26"/>
  <c r="N83" i="22"/>
  <c r="N82" i="22"/>
  <c r="N81" i="22"/>
  <c r="K42" i="26" l="1"/>
  <c r="L41" i="26"/>
  <c r="N43" i="26"/>
  <c r="O42" i="26"/>
  <c r="N78" i="22"/>
  <c r="N77" i="22"/>
  <c r="N76" i="22"/>
  <c r="N75" i="22"/>
  <c r="N44" i="26" l="1"/>
  <c r="O43" i="26"/>
  <c r="K43" i="26"/>
  <c r="L42" i="26"/>
  <c r="N72" i="22"/>
  <c r="N71" i="22"/>
  <c r="N70" i="22"/>
  <c r="N69" i="22"/>
  <c r="N68" i="22"/>
  <c r="K44" i="26" l="1"/>
  <c r="L43" i="26"/>
  <c r="N45" i="26"/>
  <c r="O44" i="26"/>
  <c r="N65" i="22"/>
  <c r="N64" i="22"/>
  <c r="N46" i="26" l="1"/>
  <c r="O45" i="26"/>
  <c r="K45" i="26"/>
  <c r="L44" i="26"/>
  <c r="N63" i="22"/>
  <c r="N61" i="22"/>
  <c r="N60" i="22"/>
  <c r="N59" i="22"/>
  <c r="K46" i="26" l="1"/>
  <c r="L45" i="26"/>
  <c r="N47" i="26"/>
  <c r="O46" i="26"/>
  <c r="N57" i="22"/>
  <c r="N56" i="22"/>
  <c r="N55" i="22"/>
  <c r="N48" i="26" l="1"/>
  <c r="O47" i="26"/>
  <c r="K47" i="26"/>
  <c r="L46" i="26"/>
  <c r="N54" i="22"/>
  <c r="N53" i="22"/>
  <c r="N48" i="22"/>
  <c r="N47" i="22"/>
  <c r="N46" i="22"/>
  <c r="N45" i="22"/>
  <c r="N44" i="22"/>
  <c r="K48" i="26" l="1"/>
  <c r="L47" i="26"/>
  <c r="N49" i="26"/>
  <c r="O48" i="26"/>
  <c r="N33" i="22"/>
  <c r="N32" i="22"/>
  <c r="N50" i="26" l="1"/>
  <c r="O49" i="26"/>
  <c r="K49" i="26"/>
  <c r="L48" i="26"/>
  <c r="N31" i="22"/>
  <c r="N30" i="22"/>
  <c r="N29" i="22"/>
  <c r="K50" i="26" l="1"/>
  <c r="L49" i="26"/>
  <c r="N51" i="26"/>
  <c r="O50" i="26"/>
  <c r="N15" i="22"/>
  <c r="N14" i="22"/>
  <c r="N13" i="22"/>
  <c r="N12" i="22"/>
  <c r="N11" i="22"/>
  <c r="N10" i="22"/>
  <c r="N9" i="22"/>
  <c r="N8" i="22"/>
  <c r="N52" i="26" l="1"/>
  <c r="O51" i="26"/>
  <c r="K51" i="26"/>
  <c r="L50" i="26"/>
  <c r="N7" i="22"/>
  <c r="N6" i="22"/>
  <c r="N5" i="22"/>
  <c r="N4" i="22"/>
  <c r="K52" i="26" l="1"/>
  <c r="L51" i="26"/>
  <c r="N53" i="26"/>
  <c r="O52" i="26"/>
  <c r="N1010" i="15"/>
  <c r="N1009" i="15"/>
  <c r="N1008" i="15"/>
  <c r="N54" i="26" l="1"/>
  <c r="O53" i="26"/>
  <c r="K53" i="26"/>
  <c r="L52" i="26"/>
  <c r="N1004" i="15"/>
  <c r="K54" i="26" l="1"/>
  <c r="L53" i="26"/>
  <c r="N55" i="26"/>
  <c r="O54" i="26"/>
  <c r="N1001" i="15"/>
  <c r="N56" i="26" l="1"/>
  <c r="O55" i="26"/>
  <c r="K55" i="26"/>
  <c r="L54" i="26"/>
  <c r="N1000" i="15"/>
  <c r="K56" i="26" l="1"/>
  <c r="L55" i="26"/>
  <c r="N57" i="26"/>
  <c r="O57" i="26" s="1"/>
  <c r="O56" i="26"/>
  <c r="N991" i="15"/>
  <c r="K57" i="26" l="1"/>
  <c r="L57" i="26" s="1"/>
  <c r="L56" i="26"/>
  <c r="N990" i="15"/>
  <c r="N989" i="15" l="1"/>
  <c r="N988" i="15"/>
  <c r="N987" i="15"/>
  <c r="N983" i="15" l="1"/>
  <c r="N982" i="15"/>
  <c r="N979" i="15" l="1"/>
  <c r="N976" i="15" l="1"/>
  <c r="N975" i="15" l="1"/>
  <c r="N974" i="15"/>
  <c r="N973" i="15"/>
  <c r="N972" i="15"/>
  <c r="N971" i="15"/>
  <c r="N899" i="15" l="1"/>
  <c r="N897" i="15" l="1"/>
  <c r="N896" i="15"/>
  <c r="N895" i="15"/>
  <c r="N894" i="15"/>
  <c r="N893" i="15"/>
  <c r="N892" i="15" l="1"/>
  <c r="N891" i="15" l="1"/>
  <c r="N887" i="15" l="1"/>
  <c r="N886" i="15"/>
  <c r="N885" i="15" l="1"/>
  <c r="N882" i="15" l="1"/>
  <c r="N874" i="15" l="1"/>
  <c r="N881" i="15"/>
  <c r="N879" i="15"/>
  <c r="S871" i="15"/>
  <c r="N876" i="15"/>
  <c r="N872" i="15" l="1"/>
  <c r="N871" i="15" l="1"/>
  <c r="N870" i="15" l="1"/>
  <c r="N868" i="15" l="1"/>
  <c r="N865" i="15"/>
  <c r="N863" i="15" l="1"/>
  <c r="N862" i="15"/>
  <c r="N861" i="15"/>
  <c r="N860" i="15"/>
  <c r="N857" i="15" l="1"/>
  <c r="N856" i="15"/>
  <c r="N855" i="15"/>
  <c r="N854" i="15"/>
  <c r="N853" i="15" l="1"/>
  <c r="M852" i="15"/>
  <c r="N851" i="15" l="1"/>
  <c r="N850" i="15" l="1"/>
  <c r="N849" i="15" l="1"/>
  <c r="N848" i="15"/>
  <c r="N846" i="15" l="1"/>
  <c r="N843" i="15" l="1"/>
  <c r="N841" i="15" l="1"/>
  <c r="N838" i="15" l="1"/>
  <c r="N837" i="15"/>
  <c r="N835" i="15" l="1"/>
  <c r="N834" i="15" l="1"/>
  <c r="N833" i="15" l="1"/>
  <c r="N818" i="15"/>
  <c r="N832" i="15" l="1"/>
  <c r="N831" i="15"/>
  <c r="N827" i="15" l="1"/>
  <c r="N826" i="15" l="1"/>
  <c r="N825" i="15" l="1"/>
  <c r="N817" i="15"/>
  <c r="N821" i="15"/>
  <c r="N820" i="15"/>
  <c r="N819" i="15"/>
  <c r="N807" i="15" l="1"/>
  <c r="N806" i="15"/>
  <c r="N803" i="15"/>
  <c r="N801" i="15"/>
  <c r="N800" i="15"/>
  <c r="N815" i="15" l="1"/>
  <c r="N797" i="15" l="1"/>
  <c r="N796" i="15" l="1"/>
  <c r="N795" i="15" l="1"/>
  <c r="N794" i="15"/>
  <c r="N793" i="15" l="1"/>
  <c r="N792" i="15"/>
  <c r="N791" i="15"/>
  <c r="N787" i="15" l="1"/>
  <c r="N784" i="15"/>
  <c r="N783" i="15"/>
  <c r="N781" i="15" l="1"/>
  <c r="N780" i="15" l="1"/>
  <c r="N779" i="15" l="1"/>
  <c r="N778" i="15" l="1"/>
  <c r="N777" i="15"/>
  <c r="N776" i="15"/>
  <c r="N775" i="15" l="1"/>
  <c r="N774" i="15"/>
  <c r="N773" i="15" l="1"/>
  <c r="N771" i="15" l="1"/>
  <c r="N770" i="15"/>
  <c r="N769" i="15" l="1"/>
  <c r="N767" i="15" l="1"/>
  <c r="N765" i="15" l="1"/>
  <c r="N764" i="15"/>
  <c r="N763" i="15"/>
  <c r="N761" i="15" l="1"/>
  <c r="N760" i="15"/>
  <c r="N759" i="15"/>
  <c r="N757" i="15"/>
  <c r="N756" i="15"/>
  <c r="N754" i="15"/>
  <c r="N753" i="15"/>
  <c r="N752" i="15"/>
  <c r="N750" i="15"/>
  <c r="N749" i="15"/>
  <c r="N748" i="15"/>
  <c r="N740" i="15"/>
  <c r="N747" i="15"/>
  <c r="N746" i="15"/>
  <c r="N745" i="15"/>
  <c r="N743" i="15"/>
  <c r="N742" i="15"/>
  <c r="N735" i="15"/>
  <c r="N728" i="15"/>
  <c r="N714" i="15"/>
  <c r="N725" i="15"/>
  <c r="N722" i="15"/>
  <c r="O39" i="5"/>
  <c r="O5" i="5"/>
  <c r="O45" i="5"/>
  <c r="O11" i="5"/>
  <c r="O23" i="5"/>
  <c r="O33" i="5"/>
  <c r="O73" i="5"/>
  <c r="O17" i="5"/>
  <c r="O27" i="5"/>
</calcChain>
</file>

<file path=xl/comments1.xml><?xml version="1.0" encoding="utf-8"?>
<comments xmlns="http://schemas.openxmlformats.org/spreadsheetml/2006/main">
  <authors>
    <author>Patterson, Melissa</author>
  </authors>
  <commentList>
    <comment ref="Q1" authorId="0" shapeId="0">
      <text>
        <r>
          <rPr>
            <b/>
            <sz val="8"/>
            <color indexed="81"/>
            <rFont val="Tahoma"/>
            <family val="2"/>
          </rPr>
          <t xml:space="preserve">Patterson, Melissa:
</t>
        </r>
        <r>
          <rPr>
            <sz val="8"/>
            <color indexed="81"/>
            <rFont val="Tahoma"/>
            <family val="2"/>
          </rPr>
          <t xml:space="preserve">
Approve means the risk was approved as submitted by the agent with no changes and no subjectivities.
Approve/Subj means the risk was approved with subjectivities.  These could be coverage or deductible changes, or other requirements such as confirmation of 150' brush 
Converted means the risk started out as a pend or decline. Additional information was provided to convert it to an approval. Reflects additional review time spent. If you have a pend that turns into a decline, log it as a decline.</t>
        </r>
      </text>
    </comment>
  </commentList>
</comments>
</file>

<file path=xl/comments2.xml><?xml version="1.0" encoding="utf-8"?>
<comments xmlns="http://schemas.openxmlformats.org/spreadsheetml/2006/main">
  <authors>
    <author>Patterson, Melissa</author>
  </authors>
  <commentList>
    <comment ref="Q1" authorId="0" shapeId="0">
      <text>
        <r>
          <rPr>
            <b/>
            <sz val="8"/>
            <color indexed="81"/>
            <rFont val="Tahoma"/>
            <family val="2"/>
          </rPr>
          <t xml:space="preserve">Patterson, Melissa:
</t>
        </r>
        <r>
          <rPr>
            <sz val="8"/>
            <color indexed="81"/>
            <rFont val="Tahoma"/>
            <family val="2"/>
          </rPr>
          <t xml:space="preserve">
Approve means the risk was approved as submitted by the agent with no changes and no subjectivities.
Approve/Subj means the risk was approved with subjectivities.  These could be coverage or deductible changes, or other requirements such as confirmation of 150' brush 
Converted means the risk started out as a pend or decline. Additional information was provided to convert it to an approval. Reflects additional review time spent. If you have a pend that turns into a decline, log it as a decline.</t>
        </r>
      </text>
    </comment>
  </commentList>
</comments>
</file>

<file path=xl/comments3.xml><?xml version="1.0" encoding="utf-8"?>
<comments xmlns="http://schemas.openxmlformats.org/spreadsheetml/2006/main">
  <authors>
    <author>Patterson, Melissa</author>
  </authors>
  <commentList>
    <comment ref="I1" authorId="0" shapeId="0">
      <text>
        <r>
          <rPr>
            <b/>
            <sz val="9"/>
            <color indexed="81"/>
            <rFont val="Tahoma"/>
            <family val="2"/>
          </rPr>
          <t>Patterson, Melissa:</t>
        </r>
        <r>
          <rPr>
            <sz val="9"/>
            <color indexed="81"/>
            <rFont val="Tahoma"/>
            <family val="2"/>
          </rPr>
          <t xml:space="preserve">
As of August 2016, City, State, PC were broken out to individual fields.
November 2017:  We may need to add street address and zip to allow reports to be run on approval ratios.  Per Bethany, she will let us know.</t>
        </r>
      </text>
    </comment>
    <comment ref="Q1" authorId="0" shapeId="0">
      <text>
        <r>
          <rPr>
            <b/>
            <sz val="8"/>
            <color indexed="81"/>
            <rFont val="Tahoma"/>
            <family val="2"/>
          </rPr>
          <t xml:space="preserve">Patterson, Melissa:
</t>
        </r>
        <r>
          <rPr>
            <sz val="8"/>
            <color indexed="81"/>
            <rFont val="Tahoma"/>
            <family val="2"/>
          </rPr>
          <t xml:space="preserve">
Approve means the risk was approved as submitted by the agent with no changes and no subjectivities.
Approve/Subj means the risk was approved with subjectivities.  These could be coverage or deductible changes, or other requirements such as confirmation of 150' brush 
Con
clearance or an approved woodstove questionnaire. 
Converted means the risk started out as a pend or decline. Additional information was provided to convert it to an approval. Reflects additional review time spent. If you have a pend that turns into a decline, log it as a decline.</t>
        </r>
      </text>
    </comment>
  </commentList>
</comments>
</file>

<file path=xl/comments4.xml><?xml version="1.0" encoding="utf-8"?>
<comments xmlns="http://schemas.openxmlformats.org/spreadsheetml/2006/main">
  <authors>
    <author>Patterson, Melissa</author>
  </authors>
  <commentList>
    <comment ref="I1" authorId="0" shapeId="0">
      <text>
        <r>
          <rPr>
            <b/>
            <sz val="9"/>
            <color indexed="81"/>
            <rFont val="Tahoma"/>
            <family val="2"/>
          </rPr>
          <t>Patterson, Melissa:</t>
        </r>
        <r>
          <rPr>
            <sz val="9"/>
            <color indexed="81"/>
            <rFont val="Tahoma"/>
            <family val="2"/>
          </rPr>
          <t xml:space="preserve">
As of August 2016, City, State, PC were broken out to individual fields.
November 2017:  We may need to add street address and zip to allow reports to be run on approval ratios.  Per Bethany, she will let us know.</t>
        </r>
      </text>
    </comment>
    <comment ref="Q1" authorId="0" shapeId="0">
      <text>
        <r>
          <rPr>
            <b/>
            <sz val="8"/>
            <color indexed="81"/>
            <rFont val="Tahoma"/>
            <family val="2"/>
          </rPr>
          <t xml:space="preserve">Patterson, Melissa:
</t>
        </r>
        <r>
          <rPr>
            <sz val="8"/>
            <color indexed="81"/>
            <rFont val="Tahoma"/>
            <family val="2"/>
          </rPr>
          <t xml:space="preserve">
Approve means the risk was approved as submitted by the agent with no changes and no subjectivities.
Approve/Subj means the risk was approved with subjectivities.  These could be coverage or deductible changes, or other requirements such as confirmation of 150' brush 
Con
clearance or an approved woodstove questionnaire. 
Converted means the risk started out as a pend or decline. Additional information was provided to convert it to an approval. Reflects additional review time spent. If you have a pend that turns into a decline, log it as a decline.</t>
        </r>
      </text>
    </comment>
    <comment ref="T837" authorId="0" shapeId="0">
      <text>
        <r>
          <rPr>
            <b/>
            <sz val="9"/>
            <color indexed="81"/>
            <rFont val="Tahoma"/>
            <family val="2"/>
          </rPr>
          <t>Patterson, Melissa:</t>
        </r>
        <r>
          <rPr>
            <sz val="9"/>
            <color indexed="81"/>
            <rFont val="Tahoma"/>
            <family val="2"/>
          </rPr>
          <t xml:space="preserve">
Yes, as of 9/8/17, 80 minutes is correct.</t>
        </r>
      </text>
    </comment>
    <comment ref="T908" authorId="0" shapeId="0">
      <text>
        <r>
          <rPr>
            <b/>
            <sz val="9"/>
            <color indexed="81"/>
            <rFont val="Tahoma"/>
            <family val="2"/>
          </rPr>
          <t>Patterson, Melissa:</t>
        </r>
        <r>
          <rPr>
            <sz val="9"/>
            <color indexed="81"/>
            <rFont val="Tahoma"/>
            <family val="2"/>
          </rPr>
          <t xml:space="preserve">
Includes time to update the E&amp;S Ref Doc w/info on commercial kitchen questions.</t>
        </r>
      </text>
    </comment>
    <comment ref="T952" authorId="0" shapeId="0">
      <text>
        <r>
          <rPr>
            <b/>
            <sz val="9"/>
            <color indexed="81"/>
            <rFont val="Tahoma"/>
            <family val="2"/>
          </rPr>
          <t>Patterson, Melissa:</t>
        </r>
        <r>
          <rPr>
            <sz val="9"/>
            <color indexed="81"/>
            <rFont val="Tahoma"/>
            <family val="2"/>
          </rPr>
          <t xml:space="preserve">
Had to clarify guidelines w/Jeff.
</t>
        </r>
      </text>
    </comment>
    <comment ref="T955" authorId="0" shapeId="0">
      <text>
        <r>
          <rPr>
            <b/>
            <sz val="9"/>
            <color indexed="81"/>
            <rFont val="Tahoma"/>
            <family val="2"/>
          </rPr>
          <t>Patterson, Melissa:</t>
        </r>
        <r>
          <rPr>
            <sz val="9"/>
            <color indexed="81"/>
            <rFont val="Tahoma"/>
            <family val="2"/>
          </rPr>
          <t xml:space="preserve">
Lots of research to confirm separation, activiites at the ranch, rate, response time, correct PPC.</t>
        </r>
      </text>
    </comment>
  </commentList>
</comments>
</file>

<file path=xl/comments5.xml><?xml version="1.0" encoding="utf-8"?>
<comments xmlns="http://schemas.openxmlformats.org/spreadsheetml/2006/main">
  <authors>
    <author>Patterson, Melissa</author>
  </authors>
  <commentList>
    <comment ref="Q1" authorId="0" shapeId="0">
      <text>
        <r>
          <rPr>
            <b/>
            <sz val="8"/>
            <color indexed="81"/>
            <rFont val="Tahoma"/>
            <family val="2"/>
          </rPr>
          <t xml:space="preserve">Patterson, Melissa:
</t>
        </r>
        <r>
          <rPr>
            <sz val="8"/>
            <color indexed="81"/>
            <rFont val="Tahoma"/>
            <family val="2"/>
          </rPr>
          <t xml:space="preserve">
Approve means the risk was approved as submitted by the agent with no changes and no subjectivities.
Approve/Subj means the risk was approved with subjectivities.  These could be coverage or deductible changes, or other requirements such as confirmation of 150' brush 
Converted means the risk started out as a pend or decline. Additional information was provided to convert it to an approval. Reflects additional review time spent. If you have a pend that turns into a decline, log it as a decline.</t>
        </r>
      </text>
    </comment>
    <comment ref="C2" authorId="0" shapeId="0">
      <text>
        <r>
          <rPr>
            <b/>
            <sz val="8"/>
            <color indexed="81"/>
            <rFont val="Tahoma"/>
            <family val="2"/>
          </rPr>
          <t>Patterson, Melissa:</t>
        </r>
        <r>
          <rPr>
            <sz val="8"/>
            <color indexed="81"/>
            <rFont val="Tahoma"/>
            <family val="2"/>
          </rPr>
          <t xml:space="preserve">
Blue shading = Duplicate submission from partners.</t>
        </r>
      </text>
    </comment>
    <comment ref="I2" authorId="0" shapeId="0">
      <text>
        <r>
          <rPr>
            <b/>
            <sz val="9"/>
            <color indexed="81"/>
            <rFont val="Tahoma"/>
            <family val="2"/>
          </rPr>
          <t>Patterson, Melissa:</t>
        </r>
        <r>
          <rPr>
            <sz val="9"/>
            <color indexed="81"/>
            <rFont val="Tahoma"/>
            <family val="2"/>
          </rPr>
          <t xml:space="preserve">
As of August 2016, City, State, PC were broken out to individual fields.</t>
        </r>
      </text>
    </comment>
    <comment ref="Q2" authorId="0" shapeId="0">
      <text>
        <r>
          <rPr>
            <b/>
            <sz val="8"/>
            <color indexed="81"/>
            <rFont val="Tahoma"/>
            <family val="2"/>
          </rPr>
          <t>Patterson, Melissa:</t>
        </r>
        <r>
          <rPr>
            <sz val="8"/>
            <color indexed="81"/>
            <rFont val="Tahoma"/>
            <family val="2"/>
          </rPr>
          <t xml:space="preserve">
Approve means the risk was approved as submitted by the agent with no changes and no subjectivities.
Approve/Subj means the risk was approved with subjectivities.  These could be coverage or deductible changes, or other requirements such as confirmation of 150' brush clearance or an approved woodstove questionnaire. 
Converted means the risk started out as a pend or decline. Additional information was provided to convert it to an approval. Reflects additional review time spent. If you have a pend that turns into a decline, log it as a decline.</t>
        </r>
      </text>
    </comment>
  </commentList>
</comments>
</file>

<file path=xl/sharedStrings.xml><?xml version="1.0" encoding="utf-8"?>
<sst xmlns="http://schemas.openxmlformats.org/spreadsheetml/2006/main" count="100448" uniqueCount="16012">
  <si>
    <t>Sadowski</t>
  </si>
  <si>
    <t xml:space="preserve">Van Clief </t>
  </si>
  <si>
    <t>Elliott</t>
  </si>
  <si>
    <t xml:space="preserve">Haffner  </t>
  </si>
  <si>
    <t>Fields</t>
  </si>
  <si>
    <t>Sobieski</t>
  </si>
  <si>
    <t>Krasnow</t>
  </si>
  <si>
    <t xml:space="preserve">Holland   </t>
  </si>
  <si>
    <t>Goddard</t>
  </si>
  <si>
    <t xml:space="preserve">National Arts </t>
  </si>
  <si>
    <t>Weglinski</t>
  </si>
  <si>
    <t xml:space="preserve">Olson </t>
  </si>
  <si>
    <t>Abrahams</t>
  </si>
  <si>
    <t>Fischer</t>
  </si>
  <si>
    <t>Hobbs</t>
  </si>
  <si>
    <t>Thomas</t>
  </si>
  <si>
    <t>Wheeta White</t>
  </si>
  <si>
    <t>Monaco</t>
  </si>
  <si>
    <t xml:space="preserve">Dewitt  </t>
  </si>
  <si>
    <t>Cohen</t>
  </si>
  <si>
    <t xml:space="preserve">Wells </t>
  </si>
  <si>
    <t xml:space="preserve">Park Avenue Condo with RC in excess of $9 mill  declined due to value </t>
  </si>
  <si>
    <t>?</t>
  </si>
  <si>
    <t>Broker</t>
  </si>
  <si>
    <t>Referral Date</t>
  </si>
  <si>
    <t>Insured Name</t>
  </si>
  <si>
    <t>Description</t>
  </si>
  <si>
    <t>Decision</t>
  </si>
  <si>
    <t>Reasoning</t>
  </si>
  <si>
    <t>Decline</t>
  </si>
  <si>
    <t>PPC</t>
  </si>
  <si>
    <t>Not comfortable with barn and cannot exclude</t>
  </si>
  <si>
    <t>Lapse and Prior Losses</t>
  </si>
  <si>
    <t>Prior Loss</t>
  </si>
  <si>
    <t>Commercial exposure</t>
  </si>
  <si>
    <t>Prior loss</t>
  </si>
  <si>
    <t>Value</t>
  </si>
  <si>
    <t>Approved</t>
  </si>
  <si>
    <t>Insured wanted to rent out 3 bedrooms on a HO form. Not bed/breakfast. Fulltime renters.</t>
  </si>
  <si>
    <t>$340,000 PC 10 primary in Virginia</t>
  </si>
  <si>
    <t>150 yr. old 2 story home completely remodeled with unrestored 2 story frame barn physically attached to residence. not able to exclude.</t>
  </si>
  <si>
    <t>$3.8 million dollar vacant house up for sale  Built 1780 renovations complete with central station alarm.</t>
  </si>
  <si>
    <t>$933,500 Coverage A 2 prior  CAT losses  Insured intentionally went without coverage  for 1 year as he could not afford it. Now wants to buy.</t>
  </si>
  <si>
    <t xml:space="preserve">Agent wanted to write coastal risk at PC 4 with no substantiation. Existing data shows risk as PC 10  DECLINE </t>
  </si>
  <si>
    <t>$600,000 HO with pool and prior liability loss from party. Mother could not control party. Both children and pool still there. Need liability.</t>
  </si>
  <si>
    <t>HO with Commercial dog kennel on same address and residence premises as home.  Couldn't separate commercial dog kennel exposure from HO.</t>
  </si>
  <si>
    <t>Risk has 3 losses in last 14 months totaling $135,000  Water, wind and Fire.</t>
  </si>
  <si>
    <t>Risk has open fire claim for $279,000 with no fire marshal report.</t>
  </si>
  <si>
    <t>$3 million coverage A tenant occupied PC 9 built in 1874 Lloyds had risk for $26,000, our rate $16K</t>
  </si>
  <si>
    <t>Rate</t>
  </si>
  <si>
    <t>2 story renovated seasonal adding central heat</t>
  </si>
  <si>
    <t>Vacant Condo in NJ</t>
  </si>
  <si>
    <t>File has open dog bite claim.</t>
  </si>
  <si>
    <t>Animal exclusion added</t>
  </si>
  <si>
    <t>Renovated 90 yr. old home with addition being added.</t>
  </si>
  <si>
    <t>Opened claim with dog bite</t>
  </si>
  <si>
    <t>$67,000 tree claim  all repairs made</t>
  </si>
  <si>
    <t>Condo account with 2 losses prior location</t>
  </si>
  <si>
    <t>New HO  old location has $170,000 fire loss</t>
  </si>
  <si>
    <t>$1 million HO on Fire Island with $50,000 CAT loss</t>
  </si>
  <si>
    <t>$60,000 PC9 seasonal  risk being updated</t>
  </si>
  <si>
    <t>Quote/Policy #</t>
  </si>
  <si>
    <t>HULL</t>
  </si>
  <si>
    <t>Agency accommodation</t>
  </si>
  <si>
    <t>Underwriter</t>
  </si>
  <si>
    <t>Kufel</t>
  </si>
  <si>
    <t>Taital</t>
  </si>
  <si>
    <t xml:space="preserve">$700.000 HO- 6  New Jersey  Not water exposed </t>
  </si>
  <si>
    <t xml:space="preserve">Approved </t>
  </si>
  <si>
    <t>Knight</t>
  </si>
  <si>
    <t xml:space="preserve">$35000 HO 4 for Back Street Boys Member </t>
  </si>
  <si>
    <t xml:space="preserve">Montees </t>
  </si>
  <si>
    <t>RUA 10003 Add $65000 Gun to policy</t>
  </si>
  <si>
    <t xml:space="preserve">HULL </t>
  </si>
  <si>
    <t>Marer</t>
  </si>
  <si>
    <t>Insured in Jail on Drug Charge  HO-6</t>
  </si>
  <si>
    <t xml:space="preserve">Dawson </t>
  </si>
  <si>
    <t>HO 3 with 3 losses  Added high deductible</t>
  </si>
  <si>
    <t>Wiegel</t>
  </si>
  <si>
    <t>$600,000 DP-3 Insured for 1/2 value</t>
  </si>
  <si>
    <t xml:space="preserve">Wiechert </t>
  </si>
  <si>
    <t>DP 3 seasonal Up for sale with security</t>
  </si>
  <si>
    <t>Furyczk</t>
  </si>
  <si>
    <t>DP- 3 submission at $147,000 value</t>
  </si>
  <si>
    <t>Richardson</t>
  </si>
  <si>
    <t xml:space="preserve">$150,000 Seasonal PC 10 with Water source </t>
  </si>
  <si>
    <t>Parsons</t>
  </si>
  <si>
    <t xml:space="preserve">$1.6 DP-3 no liability  </t>
  </si>
  <si>
    <t>Fuestra</t>
  </si>
  <si>
    <t>RUA 13408  Stay on renewal with 40% EFIS..  Home build 2005 added $5000 ded</t>
  </si>
  <si>
    <t>Gates</t>
  </si>
  <si>
    <t xml:space="preserve">HO app with $114,000 pending oil tank leak.  Tank now removed.. Exclusion on policy. </t>
  </si>
  <si>
    <t>Fraza</t>
  </si>
  <si>
    <t xml:space="preserve">RUA670404 Builders Risk property physically moved </t>
  </si>
  <si>
    <t xml:space="preserve">Cancelled </t>
  </si>
  <si>
    <t>Kulp</t>
  </si>
  <si>
    <t xml:space="preserve">DP- 3 Vacant submission with 3 losses including theft and water </t>
  </si>
  <si>
    <t xml:space="preserve">McGowan </t>
  </si>
  <si>
    <t xml:space="preserve">$270,000 Geodesic Dome Home PC 9 want RC cost coverage. Offererd DP 1 coverage </t>
  </si>
  <si>
    <t>Not written</t>
  </si>
  <si>
    <t>TING</t>
  </si>
  <si>
    <t xml:space="preserve">$461,000 HO3 No liabilty because of old slip/fall claim </t>
  </si>
  <si>
    <t>Barton</t>
  </si>
  <si>
    <t>HO/Art studio Multiple buildings not updated from 1850-1900</t>
  </si>
  <si>
    <t>Tritapoe</t>
  </si>
  <si>
    <t>$220,00 new HO Uninsured for 6 months Previous total fire loss No Fire Marshall rpt</t>
  </si>
  <si>
    <t>Richmond</t>
  </si>
  <si>
    <t>$3.2 mill Vacant house Built 1908 on water .. Newton MA</t>
  </si>
  <si>
    <t xml:space="preserve">Richards </t>
  </si>
  <si>
    <t>Chubb non renewal due to actions of insd. Offerred $1.67 on DP- 3 owner occupied  no liability</t>
  </si>
  <si>
    <t>ASL</t>
  </si>
  <si>
    <t>Sweeney</t>
  </si>
  <si>
    <t xml:space="preserve">MAXH1160000788 Can we go $978 per inspection </t>
  </si>
  <si>
    <t>Farmer</t>
  </si>
  <si>
    <t>Maxh12160000972 PC 9 can we go $269 per inspection</t>
  </si>
  <si>
    <t>Larsen</t>
  </si>
  <si>
    <t xml:space="preserve">$255,000 PC 9 on 22 acres built 1880 </t>
  </si>
  <si>
    <t xml:space="preserve">ASL </t>
  </si>
  <si>
    <t xml:space="preserve">Neyer </t>
  </si>
  <si>
    <t xml:space="preserve">$155,,,, PC 9 new construction </t>
  </si>
  <si>
    <t>Lucarelli</t>
  </si>
  <si>
    <t>Panno</t>
  </si>
  <si>
    <t xml:space="preserve">$455,000 HO 3  Has $50,000 roof loss  Now completey replaced </t>
  </si>
  <si>
    <t>$212, 000 PC 10 &lt; 1/4 mile from ocean  built 1940  2% wind</t>
  </si>
  <si>
    <t>Steracki</t>
  </si>
  <si>
    <t xml:space="preserve">$450,000 PC 9  House Barn contractor built home 2015 </t>
  </si>
  <si>
    <t>Cook</t>
  </si>
  <si>
    <t xml:space="preserve">$479,000 Historic Home built 1730 Holds 5-6 pub;ic weddings per yrear </t>
  </si>
  <si>
    <t>Stale</t>
  </si>
  <si>
    <t xml:space="preserve">$500,000 HO 3 on Fire Island in NY with $150,000 Flood Loss </t>
  </si>
  <si>
    <t xml:space="preserve">Koeppers </t>
  </si>
  <si>
    <t xml:space="preserve">$295,000 PC 10 No alarm </t>
  </si>
  <si>
    <t xml:space="preserve">Smith </t>
  </si>
  <si>
    <t xml:space="preserve">$310000 PC 9 New Purchase Newer Construction </t>
  </si>
  <si>
    <t>Johnson</t>
  </si>
  <si>
    <t>Not Written</t>
  </si>
  <si>
    <t>$340,000 Historic Home apprved with Mod RC and High Ded.. Approved  Lex rate is lower</t>
  </si>
  <si>
    <t>Hechl</t>
  </si>
  <si>
    <t xml:space="preserve">WA DC Risk  Agency not authorized to write .. Advised of process </t>
  </si>
  <si>
    <t>Banks</t>
  </si>
  <si>
    <t xml:space="preserve">Risk has $70,000 fire loss with clothes dryer with no fire report </t>
  </si>
  <si>
    <t>McDaniel</t>
  </si>
  <si>
    <t>$490,000 PC 10  Alternate water.. Approved but Lex is lower</t>
  </si>
  <si>
    <t>Brunette</t>
  </si>
  <si>
    <t xml:space="preserve">$356000 PC 9 Updated </t>
  </si>
  <si>
    <t xml:space="preserve">Emory </t>
  </si>
  <si>
    <t>$277000 HO 3 Newport News  Can we drop rate by 35% to match All Risk quote ..</t>
  </si>
  <si>
    <t>Allegro</t>
  </si>
  <si>
    <t xml:space="preserve">$150000 PC 10 Built 1900 Some updating but not complete </t>
  </si>
  <si>
    <t>Perlmutter</t>
  </si>
  <si>
    <t>DP- 3 $185,000 PC 9  Fire protection ok</t>
  </si>
  <si>
    <t>Umana</t>
  </si>
  <si>
    <t xml:space="preserve">$700,000 HO- 6 Risk  Wind Excluded </t>
  </si>
  <si>
    <t xml:space="preserve">$150,000 HJO 3  Risk has 1971 plumbing  Only approved for HO- 8 </t>
  </si>
  <si>
    <t>Combs</t>
  </si>
  <si>
    <t xml:space="preserve">$299,000 HO3 Risk has buried propane tank </t>
  </si>
  <si>
    <t>Richotte</t>
  </si>
  <si>
    <t xml:space="preserve">$250,-000 PC 9 Fire protection OK </t>
  </si>
  <si>
    <t>Steadmann</t>
  </si>
  <si>
    <t>$750,000 HO3 2 prior losses has older shake shingle roof</t>
  </si>
  <si>
    <t>Declined</t>
  </si>
  <si>
    <t>Hoffman</t>
  </si>
  <si>
    <t xml:space="preserve">$230,000 PC 9  Fire protection OK </t>
  </si>
  <si>
    <t>Martinelli</t>
  </si>
  <si>
    <t xml:space="preserve">$200,000 DP 3 with commercial garage on property </t>
  </si>
  <si>
    <t>Bloomquist</t>
  </si>
  <si>
    <t xml:space="preserve">$200,000 HO 3 Blt 1900 with all updates </t>
  </si>
  <si>
    <t>Kountsch</t>
  </si>
  <si>
    <t>$2,000,000 HO 3 Bulit 1910 with $149,000 prior fire loss</t>
  </si>
  <si>
    <t>Starling</t>
  </si>
  <si>
    <t>Fleming</t>
  </si>
  <si>
    <t>Public Eye</t>
  </si>
  <si>
    <t>Only item scheduled</t>
  </si>
  <si>
    <t>Felony</t>
  </si>
  <si>
    <t>NoITV</t>
  </si>
  <si>
    <t>For sale &gt; 12 months</t>
  </si>
  <si>
    <t>Not within program</t>
  </si>
  <si>
    <t>Loss frequency</t>
  </si>
  <si>
    <t>Cant calulate RC</t>
  </si>
  <si>
    <t>No updating</t>
  </si>
  <si>
    <t>Marginal documentation</t>
  </si>
  <si>
    <t>Size of risk</t>
  </si>
  <si>
    <t>Farm risk</t>
  </si>
  <si>
    <t>Too close to water</t>
  </si>
  <si>
    <t>Age/usage exposure</t>
  </si>
  <si>
    <t>Island risk</t>
  </si>
  <si>
    <t>Poor fire protection</t>
  </si>
  <si>
    <t>Left with Lex</t>
  </si>
  <si>
    <t>Not valid terr</t>
  </si>
  <si>
    <t>Type of prior loss</t>
  </si>
  <si>
    <t xml:space="preserve">Rate too low </t>
  </si>
  <si>
    <t xml:space="preserve">Updagte not complete </t>
  </si>
  <si>
    <t>Roof is issue</t>
  </si>
  <si>
    <t>Prior fire loss</t>
  </si>
  <si>
    <t>Value too high</t>
  </si>
  <si>
    <t>Snyder</t>
  </si>
  <si>
    <t>Will we match $1424 Lex quote for $186.000 HO 3 blt 1922 in PA?</t>
  </si>
  <si>
    <t>Our rate is adequate</t>
  </si>
  <si>
    <t>Cares</t>
  </si>
  <si>
    <t xml:space="preserve">$150,000 PC 10  14 acres with 2 story barn  </t>
  </si>
  <si>
    <t xml:space="preserve">$325000 PC 10  Fire protection OK </t>
  </si>
  <si>
    <t xml:space="preserve">$ 2mil Cova A seasonal in NC… Beachfront </t>
  </si>
  <si>
    <t>10 ft from ocean</t>
  </si>
  <si>
    <t>Willow Grp LLC</t>
  </si>
  <si>
    <t xml:space="preserve">$350,000 Seasonal PC 10 blt 1992 no acreage </t>
  </si>
  <si>
    <t>McDuffy</t>
  </si>
  <si>
    <t xml:space="preserve">$200,000 HO3 on Philly rowhouse  built 1910 </t>
  </si>
  <si>
    <t>Risk sb HO-8</t>
  </si>
  <si>
    <t>Clark</t>
  </si>
  <si>
    <t xml:space="preserve">Home with $100,000 on commercial goods in basement </t>
  </si>
  <si>
    <t>Skillman</t>
  </si>
  <si>
    <t xml:space="preserve">PC 10 account on 77 acrres with farm outbuildings </t>
  </si>
  <si>
    <t>Acreage too large</t>
  </si>
  <si>
    <t>Detrick</t>
  </si>
  <si>
    <t>Rate is adequate</t>
  </si>
  <si>
    <t>Dacannay</t>
  </si>
  <si>
    <t>$2500 ded</t>
  </si>
  <si>
    <t>Jannsen</t>
  </si>
  <si>
    <t>Farm risk with Natl Historic Home blt 1732</t>
  </si>
  <si>
    <t>Cant Caluulate RC</t>
  </si>
  <si>
    <t>Insd trying to reduce cost of business</t>
  </si>
  <si>
    <t>$416000 HO3 in VA  Can we reduce premium by 13% to match Lloyds</t>
  </si>
  <si>
    <t xml:space="preserve">$702,000 HO with 2 water losses </t>
  </si>
  <si>
    <t>Tararowicz</t>
  </si>
  <si>
    <t xml:space="preserve">HO risk with Dog Bite and Liabilty loss </t>
  </si>
  <si>
    <t>Offd with excl and no liab</t>
  </si>
  <si>
    <t>Haugen</t>
  </si>
  <si>
    <t xml:space="preserve">$155,000 PC 10 on 7.5 acres no farm </t>
  </si>
  <si>
    <t>Arnold</t>
  </si>
  <si>
    <t>$60000 seasonal in PC 10 in National Forest</t>
  </si>
  <si>
    <t>Too remote</t>
  </si>
  <si>
    <t>2014 Markel Personal Lines Excess and Surplus Broker Referrals</t>
  </si>
  <si>
    <t>Chico</t>
  </si>
  <si>
    <t xml:space="preserve">$5 mill HO in WVA  $7.5 TIV   PC9 </t>
  </si>
  <si>
    <t xml:space="preserve">Over threshold </t>
  </si>
  <si>
    <t>ATL</t>
  </si>
  <si>
    <t>$150,000 PC 9 on 1/2 acre</t>
  </si>
  <si>
    <t>Latlolais</t>
  </si>
  <si>
    <t>1st row VA BeACH Risk  $555,000</t>
  </si>
  <si>
    <t>Risk was 50% EFIS</t>
  </si>
  <si>
    <t>Miller</t>
  </si>
  <si>
    <t>$235,000 PC 10 on 1 acre built 2001</t>
  </si>
  <si>
    <t>Fanzini</t>
  </si>
  <si>
    <t>$200000 Builder Risk  1st row</t>
  </si>
  <si>
    <t>Risk will get 3% wind</t>
  </si>
  <si>
    <t>Nash</t>
  </si>
  <si>
    <t>$157K  HO with 3 losses</t>
  </si>
  <si>
    <t>$2500 ded plus 25% charge</t>
  </si>
  <si>
    <t>$550000 HO 3 with EQ</t>
  </si>
  <si>
    <t>Added $300 for EQ</t>
  </si>
  <si>
    <t>TPI</t>
  </si>
  <si>
    <t>Frey</t>
  </si>
  <si>
    <t>Holmes</t>
  </si>
  <si>
    <t>$1.4 Mill with 2 losses</t>
  </si>
  <si>
    <t>Added $5000 AOP ded</t>
  </si>
  <si>
    <t>Hull</t>
  </si>
  <si>
    <t>James</t>
  </si>
  <si>
    <t>Wine making equipment at fire station</t>
  </si>
  <si>
    <t>Island trust</t>
  </si>
  <si>
    <t>$250,000 seasonal on island PC 10</t>
  </si>
  <si>
    <t>Must use boat for water</t>
  </si>
  <si>
    <t>JIMCOR</t>
  </si>
  <si>
    <t>Covg Builders</t>
  </si>
  <si>
    <t>$2.6 mill Builders Risk on ocean</t>
  </si>
  <si>
    <t>Wang</t>
  </si>
  <si>
    <t>$1.1 DP 3 Rental</t>
  </si>
  <si>
    <t>Powell</t>
  </si>
  <si>
    <t>Risk with 2 water losses</t>
  </si>
  <si>
    <t>Get $5000 water ded</t>
  </si>
  <si>
    <t>Savage Prop</t>
  </si>
  <si>
    <t>Risk with prior undetermined fire loss</t>
  </si>
  <si>
    <t>Cant document cause</t>
  </si>
  <si>
    <t>Hansen</t>
  </si>
  <si>
    <t>PC 9 HO.. Need rate</t>
  </si>
  <si>
    <t>1-8 rate plus 35%</t>
  </si>
  <si>
    <t>Lemanski</t>
  </si>
  <si>
    <t>Vacant DP 1 under construction</t>
  </si>
  <si>
    <t>RPS Cov</t>
  </si>
  <si>
    <t>Millette</t>
  </si>
  <si>
    <t xml:space="preserve">$1.2 mill HO 1200 ft from water </t>
  </si>
  <si>
    <t>McKinney</t>
  </si>
  <si>
    <t>$162,000 MH next to water</t>
  </si>
  <si>
    <t xml:space="preserve">Too close to water </t>
  </si>
  <si>
    <t>$950,000 DP 3 Charleston SC</t>
  </si>
  <si>
    <t>Bonsal</t>
  </si>
  <si>
    <t>Could not beat rate</t>
  </si>
  <si>
    <t>HULL-CA</t>
  </si>
  <si>
    <t>Doust</t>
  </si>
  <si>
    <t>Rate is strong, location is  desireable, utilizing 10K AOP deductible, PC 2</t>
  </si>
  <si>
    <t>May</t>
  </si>
  <si>
    <t>3.1M Vacant, Beverly Hills - Recently gutted, rehabbed - referred as it is 100K over authority.</t>
  </si>
  <si>
    <t>Brooks</t>
  </si>
  <si>
    <t xml:space="preserve">$384,000 PC 9 in VA with water loss </t>
  </si>
  <si>
    <t xml:space="preserve">All repairs complete </t>
  </si>
  <si>
    <t>HULL- PA</t>
  </si>
  <si>
    <t>Maxwell</t>
  </si>
  <si>
    <t>$160,000 MH in New Jersey</t>
  </si>
  <si>
    <t>No market</t>
  </si>
  <si>
    <t>Schubert</t>
  </si>
  <si>
    <t>$313,000 VA risk blt 1900</t>
  </si>
  <si>
    <t>Robertson</t>
  </si>
  <si>
    <t>$1.375 Mill tenant occupied built 1880</t>
  </si>
  <si>
    <t xml:space="preserve">$7 million Covg A HO account </t>
  </si>
  <si>
    <t>Chlavin</t>
  </si>
  <si>
    <t>$2.2 million renewal from Lexington added 4% surcharge</t>
  </si>
  <si>
    <t>HULL-PA</t>
  </si>
  <si>
    <t>Toscano</t>
  </si>
  <si>
    <t xml:space="preserve">$370,000 HO with Bee Hive Operation </t>
  </si>
  <si>
    <t>Too much ag exposure</t>
  </si>
  <si>
    <t>Ortega</t>
  </si>
  <si>
    <t xml:space="preserve">$2 mill HO with 3 separate water losses </t>
  </si>
  <si>
    <t>3 losses in 3 years</t>
  </si>
  <si>
    <t>$4.2 mill  Covg A HO Total TIV $5.2</t>
  </si>
  <si>
    <t>Risk too big</t>
  </si>
  <si>
    <t>Sandy</t>
  </si>
  <si>
    <t>PC 9 HO in Virgina  $175,000 all updated</t>
  </si>
  <si>
    <t>Rosendale</t>
  </si>
  <si>
    <t>$2.5 million plus $1.9  million vacant HO with 5 losses</t>
  </si>
  <si>
    <t>Too many losses</t>
  </si>
  <si>
    <t>HULL-CTLE</t>
  </si>
  <si>
    <t>Bolton</t>
  </si>
  <si>
    <t>Could not get below Lloyds</t>
  </si>
  <si>
    <t>$500,000 HO3 Isle of Palms SC '400 ft from warer</t>
  </si>
  <si>
    <t>Cannistracci</t>
  </si>
  <si>
    <t>$195000 DP- 3 with commercial building exposure</t>
  </si>
  <si>
    <t>Needed liability</t>
  </si>
  <si>
    <t>Bube Inv</t>
  </si>
  <si>
    <t>$3.1 Mill DP-3 Vacant New Constrruction all complete</t>
  </si>
  <si>
    <t>Burns</t>
  </si>
  <si>
    <t>Kelowee Sp</t>
  </si>
  <si>
    <t>$1.5 million DP 3 short term rental in SC  not beach</t>
  </si>
  <si>
    <t>Hobeck</t>
  </si>
  <si>
    <t>$255,000 HO 3 PC 10 on th river</t>
  </si>
  <si>
    <t>Faust</t>
  </si>
  <si>
    <t>$3.8 mill Secondary HO on Kiawah Ikland</t>
  </si>
  <si>
    <t>Value is too high</t>
  </si>
  <si>
    <t>Rezendes</t>
  </si>
  <si>
    <t>$190,000 PC 10 in Suffolk VA</t>
  </si>
  <si>
    <t>Garman</t>
  </si>
  <si>
    <t>$482,000 Log Home Contractor Built</t>
  </si>
  <si>
    <t>Boas Cnty Trust</t>
  </si>
  <si>
    <t xml:space="preserve">$3 mill HO in LA  Total TIV &gt; $5 mill </t>
  </si>
  <si>
    <t>value is too high</t>
  </si>
  <si>
    <t>Conicelli</t>
  </si>
  <si>
    <t>Farm House with $500,000 barn now being rennovated</t>
  </si>
  <si>
    <t>30 acre farm estate</t>
  </si>
  <si>
    <t>Myers</t>
  </si>
  <si>
    <t>$1.7 million primary on Pawleys Island</t>
  </si>
  <si>
    <t>Flynn</t>
  </si>
  <si>
    <t>$1 mill log home PC 10 No insurance for 20 yrs</t>
  </si>
  <si>
    <t>no prior.up for sale</t>
  </si>
  <si>
    <t>Becker</t>
  </si>
  <si>
    <t xml:space="preserve">$1 .1 seasonal HO in FL with no wind </t>
  </si>
  <si>
    <t>HULL PA</t>
  </si>
  <si>
    <t>Loucas</t>
  </si>
  <si>
    <t>$155,000 Builders Risk Lavallette NJ 2% WIND</t>
  </si>
  <si>
    <t>HULL CA</t>
  </si>
  <si>
    <t>Turnkey Inv</t>
  </si>
  <si>
    <t>$1.25 mill HO under rennovation</t>
  </si>
  <si>
    <t>Condition of property</t>
  </si>
  <si>
    <t>Navarette</t>
  </si>
  <si>
    <t>$355,000 HO with 4 old losses from 2012</t>
  </si>
  <si>
    <t>Added $10,000 ded</t>
  </si>
  <si>
    <t>Collins</t>
  </si>
  <si>
    <t>$2 million Covg A PC 9  TIV $2.5</t>
  </si>
  <si>
    <t>Has supplemental water</t>
  </si>
  <si>
    <t>BURNS</t>
  </si>
  <si>
    <t>Coughlin</t>
  </si>
  <si>
    <t>$3.3 TIV Seas High Brush Exposure in CA Owner in Texas</t>
  </si>
  <si>
    <t>Topanga Canyon exposure</t>
  </si>
  <si>
    <t>Moss</t>
  </si>
  <si>
    <t>PC expousre</t>
  </si>
  <si>
    <t>$3.3 TIV PC 10 in San Diego  with barn/horses</t>
  </si>
  <si>
    <t>Deuterium</t>
  </si>
  <si>
    <t xml:space="preserve">$2.83 T/O bulit 1971 </t>
  </si>
  <si>
    <t>Small</t>
  </si>
  <si>
    <t>$317,000 PC 10 Built 2006</t>
  </si>
  <si>
    <t>Naji</t>
  </si>
  <si>
    <t>Hull CA</t>
  </si>
  <si>
    <t>Sloan</t>
  </si>
  <si>
    <t>Too much exposure</t>
  </si>
  <si>
    <t>$18 Mill TIV Builders Risk in LA</t>
  </si>
  <si>
    <t xml:space="preserve">$380,000 PC 10 seasonal on 3 acres </t>
  </si>
  <si>
    <t>$1 mill primary w 2losses and $5000 AOP</t>
  </si>
  <si>
    <t>Davis</t>
  </si>
  <si>
    <t>$576,000 Log Home w wood stove</t>
  </si>
  <si>
    <t>Marginal Wood stove installation</t>
  </si>
  <si>
    <t>10/7//2015</t>
  </si>
  <si>
    <t>Worham</t>
  </si>
  <si>
    <t>$1.7 mill HO in Bev Hills with 1 loss</t>
  </si>
  <si>
    <t>Nyberg</t>
  </si>
  <si>
    <t xml:space="preserve">DP 3 with multi rental land farm exposure </t>
  </si>
  <si>
    <t xml:space="preserve">2 farmers renting land </t>
  </si>
  <si>
    <t>Stafford</t>
  </si>
  <si>
    <t xml:space="preserve">$1 mill log home with medium brush score </t>
  </si>
  <si>
    <t>Trees on back dec</t>
  </si>
  <si>
    <t>Sandoval</t>
  </si>
  <si>
    <t>$517,883 kit log home on Big Bear Lake PC4</t>
  </si>
  <si>
    <t>Kufel/Patterson</t>
  </si>
  <si>
    <t>Golenburg</t>
  </si>
  <si>
    <t>$3 mill DP 3 in Los Angeles</t>
  </si>
  <si>
    <t>Hull Ca</t>
  </si>
  <si>
    <t>Katzir</t>
  </si>
  <si>
    <t xml:space="preserve">$1.15 HO with 2 losses </t>
  </si>
  <si>
    <t>Fischer Trust</t>
  </si>
  <si>
    <t>$3.7 Builders Risk &lt; 1000 feet from ocean</t>
  </si>
  <si>
    <t xml:space="preserve">   Jimcor</t>
  </si>
  <si>
    <t>Too much value</t>
  </si>
  <si>
    <t>Thames</t>
  </si>
  <si>
    <t>$950,000 HO in Nattiesburg MS</t>
  </si>
  <si>
    <t>Bodden</t>
  </si>
  <si>
    <t>$175,000 HO 3 close to water in MS</t>
  </si>
  <si>
    <t>Have 5% wind</t>
  </si>
  <si>
    <t>Rollin</t>
  </si>
  <si>
    <t xml:space="preserve">$1 mill HO with 2 losses </t>
  </si>
  <si>
    <t>Bradshaw</t>
  </si>
  <si>
    <t xml:space="preserve">$2.2 mill HO with 2 losses  </t>
  </si>
  <si>
    <t>Cleo</t>
  </si>
  <si>
    <t>$750000 HO Daugher to movie star</t>
  </si>
  <si>
    <t xml:space="preserve">Issues with past behavior </t>
  </si>
  <si>
    <t>Dong</t>
  </si>
  <si>
    <t>$1.5 mill DP 3 rental</t>
  </si>
  <si>
    <t xml:space="preserve">No issues </t>
  </si>
  <si>
    <t>Katzer</t>
  </si>
  <si>
    <t xml:space="preserve">$2.2 mill HO 2 losses </t>
  </si>
  <si>
    <t>Could not match rate</t>
  </si>
  <si>
    <t>Burns CA</t>
  </si>
  <si>
    <t>Hoag</t>
  </si>
  <si>
    <t xml:space="preserve">$1.986 HO with 1 loss </t>
  </si>
  <si>
    <t>Hull PA</t>
  </si>
  <si>
    <t>Laux</t>
  </si>
  <si>
    <t>$112000 seasonal no utilities built 1856</t>
  </si>
  <si>
    <t>PP was $15000</t>
  </si>
  <si>
    <t>HullCA</t>
  </si>
  <si>
    <t>Hassan</t>
  </si>
  <si>
    <t>$2.9 Mill HO renewal from Lexington</t>
  </si>
  <si>
    <t>Klose</t>
  </si>
  <si>
    <t>$750,000 HO with lapse and below RC</t>
  </si>
  <si>
    <t>Insd wanted to self insure</t>
  </si>
  <si>
    <t xml:space="preserve">Burns </t>
  </si>
  <si>
    <t>Barnes</t>
  </si>
  <si>
    <t xml:space="preserve">$110000 Seasonal Log Home in CO  PC 10 </t>
  </si>
  <si>
    <t xml:space="preserve">1 hour response time </t>
  </si>
  <si>
    <t>Kendall</t>
  </si>
  <si>
    <t>$200,000 HO PC 10</t>
  </si>
  <si>
    <t>Only 1.4 acre</t>
  </si>
  <si>
    <t>Peters</t>
  </si>
  <si>
    <t>$1.8 mill seasonal AZ  PC 9</t>
  </si>
  <si>
    <t>Latham</t>
  </si>
  <si>
    <t xml:space="preserve">$1.9 Mill Builders Risk AZ </t>
  </si>
  <si>
    <t>Moody</t>
  </si>
  <si>
    <t>$1.5 mill PC 10 TIV $2.550 On 41 acres</t>
  </si>
  <si>
    <t>Gravel road access</t>
  </si>
  <si>
    <t>King</t>
  </si>
  <si>
    <t xml:space="preserve">$3.4 TIV seasonal in LasVegas  </t>
  </si>
  <si>
    <t>No reponse</t>
  </si>
  <si>
    <t>MV on Home is $1 mill</t>
  </si>
  <si>
    <t>$110000 Log Home PC 10 1 hour response time</t>
  </si>
  <si>
    <t xml:space="preserve">Response time too long  </t>
  </si>
  <si>
    <t>Minnis</t>
  </si>
  <si>
    <t>$275000 HO with Vet Practice on premises</t>
  </si>
  <si>
    <t>Price</t>
  </si>
  <si>
    <t xml:space="preserve">$2 mill Geodesic Dome Home </t>
  </si>
  <si>
    <t>Not standard const</t>
  </si>
  <si>
    <t xml:space="preserve">$200,000 PC 10 </t>
  </si>
  <si>
    <t>Jack</t>
  </si>
  <si>
    <t xml:space="preserve">$191,000 HO PC 10 </t>
  </si>
  <si>
    <t>Burroughs</t>
  </si>
  <si>
    <t>1955 HO with 40% EFIS exposure</t>
  </si>
  <si>
    <t>EFIS Issue</t>
  </si>
  <si>
    <t>Fiore</t>
  </si>
  <si>
    <t>$1 mill HO with lapse</t>
  </si>
  <si>
    <t>No loss/credit</t>
  </si>
  <si>
    <t>Olsen</t>
  </si>
  <si>
    <t xml:space="preserve">$1.8 mill PC 4 </t>
  </si>
  <si>
    <t>Itken</t>
  </si>
  <si>
    <t>$4.4 mill TIV PC 2 LA County Low Brush</t>
  </si>
  <si>
    <t>Resnick</t>
  </si>
  <si>
    <t>$5.6 TIV Primary</t>
  </si>
  <si>
    <t>Too big</t>
  </si>
  <si>
    <t>England</t>
  </si>
  <si>
    <t>$1.2 Mill HO PC 9 Medium Brush</t>
  </si>
  <si>
    <t>Open Eaves</t>
  </si>
  <si>
    <t>Aki</t>
  </si>
  <si>
    <t xml:space="preserve">$1.2 Mill HO PC 10 </t>
  </si>
  <si>
    <t>Behney</t>
  </si>
  <si>
    <t xml:space="preserve">$240,000 HO made up of 2 MH attached to each other </t>
  </si>
  <si>
    <t>Not acceptable</t>
  </si>
  <si>
    <t>Leyton</t>
  </si>
  <si>
    <t>$4.4 mill TIV Laguna Beach CA COC New Purchase</t>
  </si>
  <si>
    <t>Licensed/insured contractor/1 year construction</t>
  </si>
  <si>
    <t>Patterson</t>
  </si>
  <si>
    <t xml:space="preserve">Could not match rate  </t>
  </si>
  <si>
    <t xml:space="preserve">$10,000 water ded </t>
  </si>
  <si>
    <t>Garland</t>
  </si>
  <si>
    <t>$3.3 mil TIV Santa Monica 3 month vacant policy DP3</t>
  </si>
  <si>
    <t>Central station alarm, will be COC</t>
  </si>
  <si>
    <t>Pratt</t>
  </si>
  <si>
    <t>$163,000 PC10 No access in Winter months.</t>
  </si>
  <si>
    <t>Advised we are not a market for risks w/no year round access</t>
  </si>
  <si>
    <t>Key/Oja</t>
  </si>
  <si>
    <t>$1.2 mil HO PC10. 1991. Neighborhood, accessible.</t>
  </si>
  <si>
    <t>Nice looking neighborhood. Original 1991 owner.</t>
  </si>
  <si>
    <t>O'Bannon</t>
  </si>
  <si>
    <t>Structure completely rebuilt.</t>
  </si>
  <si>
    <t>Prior owner total fire loss in 2012.</t>
  </si>
  <si>
    <t>HULL Irvine</t>
  </si>
  <si>
    <t>Chen</t>
  </si>
  <si>
    <t>Pending</t>
  </si>
  <si>
    <t>Need contents limit info</t>
  </si>
  <si>
    <t>$3,060,000 TIV PC3 $1m+ contents, no brush, 10K AOP</t>
  </si>
  <si>
    <t>Armini</t>
  </si>
  <si>
    <t>$517,226 PC6 w/8/31/14 $95k water loss. Repaired</t>
  </si>
  <si>
    <t>Dammel Trust</t>
  </si>
  <si>
    <t>Details of loss-insd not home-sink pipe broke</t>
  </si>
  <si>
    <t>Schaal</t>
  </si>
  <si>
    <t>Brush in photo, prior carrier CA Fair Plan</t>
  </si>
  <si>
    <t>$841,785 PC4 Actress-no issues online, tile roof, High brush</t>
  </si>
  <si>
    <t>Qin</t>
  </si>
  <si>
    <t>$389K PC5 1969 $150k open claim froz pipe/mold</t>
  </si>
  <si>
    <t>Current open claim involving mold</t>
  </si>
  <si>
    <t>Salazar</t>
  </si>
  <si>
    <t>Need info on theft/fire - no alarm.</t>
  </si>
  <si>
    <t>$875,000 DP3 PC10 Vacation Rental 3 days Woodstove</t>
  </si>
  <si>
    <t>&lt;10 min response; primary radiant heat; prof install</t>
  </si>
  <si>
    <t>$247,000 1969 2 claims-water and theft/fire PC1 Las Vegas</t>
  </si>
  <si>
    <t>Schreiber</t>
  </si>
  <si>
    <t>$2.8 mil ($4.76 TIV) 2002 Masonry PC3 New purchase</t>
  </si>
  <si>
    <t>Asked for Risk Meter and verify occupancy</t>
  </si>
  <si>
    <t>Ghouth</t>
  </si>
  <si>
    <t>$3.5 TIV DP3 Vacant Alarms No PP or loss of use</t>
  </si>
  <si>
    <t>Son checks on home. Insd overseas.</t>
  </si>
  <si>
    <t>Hull Stock</t>
  </si>
  <si>
    <t>HULL Stock</t>
  </si>
  <si>
    <t>Forrer</t>
  </si>
  <si>
    <t>$860,000 $5kded PC4 Brush Total Fire 2014 Now on COC</t>
  </si>
  <si>
    <t>Cause unknown. Placing w/Lex for $2000 higher.</t>
  </si>
  <si>
    <t>Bukowski</t>
  </si>
  <si>
    <t>Lessick</t>
  </si>
  <si>
    <t xml:space="preserve">1972 Condo unit with aluminum wiring. </t>
  </si>
  <si>
    <t>1830 Home with polybutylene by Quest pipes</t>
  </si>
  <si>
    <t>Could write if all units were insp by electrician</t>
  </si>
  <si>
    <t>Recalls and issues w/this type of piping</t>
  </si>
  <si>
    <t>Unknown</t>
  </si>
  <si>
    <t>Restaurant w/2nd floor apt. Entrance thru the restaurant</t>
  </si>
  <si>
    <t>Call from Matt looking for support in his declination</t>
  </si>
  <si>
    <t>Reiter</t>
  </si>
  <si>
    <t>1999 HO3 $1,859. A $3,346,200 TIV 1st Row FL $305 SF</t>
  </si>
  <si>
    <t>x-wind, nice home per zillow, trulia.</t>
  </si>
  <si>
    <t>Borrero</t>
  </si>
  <si>
    <t>2012 rental condo DP3 VRBO $400/night Insd managed</t>
  </si>
  <si>
    <t>San Luis Obispo, wine country/beach</t>
  </si>
  <si>
    <t>Whitney, Jr</t>
  </si>
  <si>
    <t>Low brush, Hull has had for several years</t>
  </si>
  <si>
    <t>2000 7200 SF DP3 $3.139 Covg A $4,261 TIV Alarm/sprinkler</t>
  </si>
  <si>
    <t>Date</t>
  </si>
  <si>
    <t>Agency Name</t>
  </si>
  <si>
    <t>Contact Name</t>
  </si>
  <si>
    <t>Source (Call/Email)</t>
  </si>
  <si>
    <t>Covg A</t>
  </si>
  <si>
    <t>TIV</t>
  </si>
  <si>
    <t>Reason(s) for Decision</t>
  </si>
  <si>
    <t>Follow up Notes</t>
  </si>
  <si>
    <t>Coyne</t>
  </si>
  <si>
    <t>2005 Seas AZ $3,325 TIV $1,750 A 2 prior losses</t>
  </si>
  <si>
    <t>Loss 1-MA Weight ice/snow 2-2012 diamond loss</t>
  </si>
  <si>
    <t>Weisberg</t>
  </si>
  <si>
    <t>Risk meter shows non brush. 150' not applicable</t>
  </si>
  <si>
    <t xml:space="preserve">2014 $2.8 A $4.720 TIV non brush. Lex declined due to brush. Lexington .15 TIV/Markel .17. </t>
  </si>
  <si>
    <t>Hull Irvine</t>
  </si>
  <si>
    <t>Primary home where an area is rented out to a speech therapist</t>
  </si>
  <si>
    <t xml:space="preserve">x-Liability </t>
  </si>
  <si>
    <t>Silverado St LLC</t>
  </si>
  <si>
    <t>Full time rental $8.4m TIV</t>
  </si>
  <si>
    <t>Ung</t>
  </si>
  <si>
    <t>$1.265 A $3,098 TIV primary no brush</t>
  </si>
  <si>
    <t>700k purch $1.3 A; Big gap; self employed - what is occ?</t>
  </si>
  <si>
    <t>Alexis</t>
  </si>
  <si>
    <t>$620K A 3 prior losses. Ran credit - OK Insd is anesthesiologist</t>
  </si>
  <si>
    <t>Credit ok; losses at prior residence</t>
  </si>
  <si>
    <t>Corporation IMMO Francois Marcil</t>
  </si>
  <si>
    <t>$500K A FL seasonal $1m liability</t>
  </si>
  <si>
    <t>Corp name for title; good detail in file</t>
  </si>
  <si>
    <t>Consulate Genl of Hungary</t>
  </si>
  <si>
    <t>$750K A CA Primary owner occupied by Hungarian Consul/family</t>
  </si>
  <si>
    <t>Prem liab only; asked for 5% credit to be removed</t>
  </si>
  <si>
    <t>Office Location</t>
  </si>
  <si>
    <t>Matt</t>
  </si>
  <si>
    <t>Email</t>
  </si>
  <si>
    <t>Anderson, Jamie</t>
  </si>
  <si>
    <t>Lake Tahoe PC5</t>
  </si>
  <si>
    <t>Secondary rental VRBO 2-3 day min</t>
  </si>
  <si>
    <t>Approve</t>
  </si>
  <si>
    <t>Matt will require 3 day minimum</t>
  </si>
  <si>
    <t>Hull CO</t>
  </si>
  <si>
    <t>Tamika</t>
  </si>
  <si>
    <t>Hedstrom, Karen</t>
  </si>
  <si>
    <t>HO6 Seas/Rent</t>
  </si>
  <si>
    <t>HO3 Sec/Bldrs Risk</t>
  </si>
  <si>
    <t>Villas NJ</t>
  </si>
  <si>
    <t>Being raised-Sandy code. 20% s/c</t>
  </si>
  <si>
    <t>Rates show 40% SC. Agent will use that.</t>
  </si>
  <si>
    <t>SC</t>
  </si>
  <si>
    <t>MI</t>
  </si>
  <si>
    <t>PA</t>
  </si>
  <si>
    <t>Shana</t>
  </si>
  <si>
    <t>Schell, Ken</t>
  </si>
  <si>
    <t>HO3 Primary</t>
  </si>
  <si>
    <t>NC</t>
  </si>
  <si>
    <t>Asbestos cement siding, poor condition</t>
  </si>
  <si>
    <t>Stockton</t>
  </si>
  <si>
    <t>Melissa</t>
  </si>
  <si>
    <t>Tsai</t>
  </si>
  <si>
    <t>Anguin CA PC9</t>
  </si>
  <si>
    <t>System Reason(s) for Referral</t>
  </si>
  <si>
    <t>Risk Details</t>
  </si>
  <si>
    <t>VRBO</t>
  </si>
  <si>
    <t>Home raised</t>
  </si>
  <si>
    <t>Siding ineligible</t>
  </si>
  <si>
    <t xml:space="preserve">Med. Brush, 100-200' clearance, 5 acres, 1994 </t>
  </si>
  <si>
    <t>Pend</t>
  </si>
  <si>
    <t>Need 150' clearance, Do we have to give 5% credit?, Advised TIV is close to $5m.</t>
  </si>
  <si>
    <t>Emailed 1/4/16-asked Melissa to let me know.</t>
  </si>
  <si>
    <t>Irvine</t>
  </si>
  <si>
    <t>Bobbi</t>
  </si>
  <si>
    <t>Alison</t>
  </si>
  <si>
    <t>Kohner, Alex</t>
  </si>
  <si>
    <t>DP3 Annual Rental</t>
  </si>
  <si>
    <t>Malibu CA PC4</t>
  </si>
  <si>
    <t>$9351 Lex $7241 Us; no fire dept access at gate</t>
  </si>
  <si>
    <t>Newport Beach CA PC3</t>
  </si>
  <si>
    <t>No online photos, no brush, Prior carrier Firemans Fund no longer writing</t>
  </si>
  <si>
    <t>Clean risk, prior inspection included</t>
  </si>
  <si>
    <t>Trott</t>
  </si>
  <si>
    <t>2 Claims</t>
  </si>
  <si>
    <t>Broken pipes $24k, Open dog bite, NRN by mercury, Low Brush, 1983</t>
  </si>
  <si>
    <t>No brush, 1 $0 claim NAF, 5054 SF, Solar Panels</t>
  </si>
  <si>
    <t>Dog euthanized, animal exclusion added</t>
  </si>
  <si>
    <t xml:space="preserve">Won, Se Ki </t>
  </si>
  <si>
    <t>Occupancy</t>
  </si>
  <si>
    <t>Insured's nephew and 2 other law student are tenants. Temple Law.</t>
  </si>
  <si>
    <t>Reviewed w/Louisa. Grad students are a better exposure. Nephew should have higher care for property.</t>
  </si>
  <si>
    <t>Sub placed elsewhere</t>
  </si>
  <si>
    <t>SCU</t>
  </si>
  <si>
    <t>CO</t>
  </si>
  <si>
    <t>Allison</t>
  </si>
  <si>
    <t>Gamel, Leslie</t>
  </si>
  <si>
    <t>2001 PC5. Loss history=2 jewelry claims and one suit for libel/slander. News shows a dispute w/rotary club over being removed as a member.</t>
  </si>
  <si>
    <t>1st submission. Losses won't affect this property. No Personal Injury. Some concern over the nature of the insured. "Rich client", per agent. Newer Home, PC5. Annual rental.</t>
  </si>
  <si>
    <t>Jill</t>
  </si>
  <si>
    <t>Obrecht, David</t>
  </si>
  <si>
    <t>HO3 Seas/Rent</t>
  </si>
  <si>
    <t>PC10 Not accessible year round, 15-17 min response. 1970 frame, seasonal rental.</t>
  </si>
  <si>
    <t>Not accessible year round</t>
  </si>
  <si>
    <t>PC10-Not accessible year round</t>
  </si>
  <si>
    <t>Nagle, Patrick</t>
  </si>
  <si>
    <t>Pro Athlete (PGA Golfer)</t>
  </si>
  <si>
    <t>Westfield IN PC4</t>
  </si>
  <si>
    <t>CA PC10</t>
  </si>
  <si>
    <t>Steamboat Springs CO PC5</t>
  </si>
  <si>
    <t>PA PC4</t>
  </si>
  <si>
    <t>Orange Cty CA PC4</t>
  </si>
  <si>
    <t>3 wind claims in '14&amp;'15 $2600, $2000, $400. Frame home on river.</t>
  </si>
  <si>
    <t>$5000 wind/hail ded. No personal injury. No adverse info on the insured.</t>
  </si>
  <si>
    <t>Anderson, Louise</t>
  </si>
  <si>
    <t>Mi Wuk Village CA PC5</t>
  </si>
  <si>
    <t>Lapse</t>
  </si>
  <si>
    <t>Elderly insured doesn't know when lapsed. Son is assisting. No updates. In brush.</t>
  </si>
  <si>
    <t>Approved pending: 1. who maintains 2. E&amp;H insp 3.Roof excl 4.150'clearance</t>
  </si>
  <si>
    <t>Sonora CA PC9</t>
  </si>
  <si>
    <t>Elderly insured doesn't know when lapsed. Son is assisting. In brush.</t>
  </si>
  <si>
    <t>Approved pending: 1. who maintains 2.150'clearance</t>
  </si>
  <si>
    <t>Danielle</t>
  </si>
  <si>
    <t>Est of Audrey Bradley</t>
  </si>
  <si>
    <t>New Berlin WI PC5</t>
  </si>
  <si>
    <t>Existing Dmg/Open Claim</t>
  </si>
  <si>
    <t>Overall clean risk. Insd died recently. Acuity is nonrenewing eff 1/16/16. Claim 12/23/15 $10,000 tree fell on house</t>
  </si>
  <si>
    <t>Advised Danielle by phone/email-we are not a market for existing dmg/open claim, but if they can't find one, I will discuss and try to get exception.</t>
  </si>
  <si>
    <t>Jamshidi</t>
  </si>
  <si>
    <t>San Diego CA PC3</t>
  </si>
  <si>
    <t>Cvg A&gt;$2m</t>
  </si>
  <si>
    <t>Per Alison 1/8/16, we wrote this one!</t>
  </si>
  <si>
    <t>New 2015 Low brush,  losses at rental</t>
  </si>
  <si>
    <t>Pipe breaks (7/11, 8/12, 2/15 and small fire 8/12 loss at rental</t>
  </si>
  <si>
    <t>Gwin, Laura</t>
  </si>
  <si>
    <t>Perris CA PC9</t>
  </si>
  <si>
    <t>Business on Prop</t>
  </si>
  <si>
    <t>1980 home/dog business separated by trees and separate drive/lot. Sub controls business prop/liab-full business exclusion.</t>
  </si>
  <si>
    <t>Simon, Stormy</t>
  </si>
  <si>
    <t>Farm animals</t>
  </si>
  <si>
    <t>No hay, 5 small sheds for the animals. Brought dog photo to agts attn-2 possible pit bulls/mix.</t>
  </si>
  <si>
    <t>2 miniature horses, 2 miniature goats, &amp; 1 miniature donkey. No other policy info.</t>
  </si>
  <si>
    <t>Email/Call</t>
  </si>
  <si>
    <t>Chopra, Uday</t>
  </si>
  <si>
    <t>Los Angeles CA PC 5</t>
  </si>
  <si>
    <t>High profile</t>
  </si>
  <si>
    <t xml:space="preserve">Insd is a Bollywood actor and producer. Home titled in Inc. Pol will be in insured name w/Inc as AI. Stable insd per internet search. Very nice home. </t>
  </si>
  <si>
    <t>Inc formed for property ownership only. Reviewed w/Jeff via phone 5pm. He isn't concerned as much w/occ. One of Hull's good agents.</t>
  </si>
  <si>
    <t>Geisterfer, Johan</t>
  </si>
  <si>
    <t>Denver CO  PC2</t>
  </si>
  <si>
    <t>Lapse since 8/15</t>
  </si>
  <si>
    <t>Insured had roof claim. Replaced roof, but not in time for SF NRN. SF didn't approved of asphalt roof.</t>
  </si>
  <si>
    <t>Brand new roof w/1% wind/hail ded, 2% lapse S/C</t>
  </si>
  <si>
    <t>Per Alison 1/12/16, we wrote this one!</t>
  </si>
  <si>
    <t>Fields, Howard</t>
  </si>
  <si>
    <t>HO3 2 family</t>
  </si>
  <si>
    <t>Healdsburg CA PC10</t>
  </si>
  <si>
    <t>Agency exceeded authority by binding this-over their TIV of $1.5m</t>
  </si>
  <si>
    <t>1976 frame. No risk meter. 12-16 min response time. 120 acres. Was on CIG farm policy-NRN due to not protected. Has caretaker. $96,500 equipment. 1/2 acre grapes personal use. No alarms Paved roads. Water tank.</t>
  </si>
  <si>
    <t>Rivas, Pierre</t>
  </si>
  <si>
    <t>H03 Primary</t>
  </si>
  <si>
    <t>Placerville CA PC9</t>
  </si>
  <si>
    <t>PC9 TIV over authority</t>
  </si>
  <si>
    <t>2005 frame. Stucco. Tile roof. Fire response 5 mins. Roads paved and accessible. Prior NRN Farmers due to brush.</t>
  </si>
  <si>
    <t>Need risk meter, rater (to confirm brush), Value seems low, 200' brush clearance verif.</t>
  </si>
  <si>
    <t>Charity</t>
  </si>
  <si>
    <t>Wellumson, Deborah</t>
  </si>
  <si>
    <t>Chesapeake VA PC10</t>
  </si>
  <si>
    <t xml:space="preserve">PC10 </t>
  </si>
  <si>
    <t xml:space="preserve">1994 updated frame. 3 acres w/pool. Not far off paved road. 5.8mi to FD </t>
  </si>
  <si>
    <t xml:space="preserve">Mapped response time. Online photos look great. Only 3 acres. </t>
  </si>
  <si>
    <t>Carufel, Robert</t>
  </si>
  <si>
    <t>HO3 Seasonal</t>
  </si>
  <si>
    <t>Ouray CO  PC8</t>
  </si>
  <si>
    <t>Woodstove primary. Not accessible yr round</t>
  </si>
  <si>
    <t>Reviewed w/Jeff. Notes in file. All PC8's in CO mountains will have fire exposure if occupied or accessible or not. Trying our hand at lower values to check performance</t>
  </si>
  <si>
    <t>1978, updated plumbing. Log home. Cosmetic roof endorsement. Prior tree fall loss to guest cabin. Used May-Sept. Then closed up and not accessible in winter. Brush &lt;150'.</t>
  </si>
  <si>
    <t>Nichole</t>
  </si>
  <si>
    <t>Maruca, Frank</t>
  </si>
  <si>
    <t>Ocean City MD PC5</t>
  </si>
  <si>
    <t>Oceanfront</t>
  </si>
  <si>
    <t>2002 Alarmed Beautiful home per Google. First row oceanfront. 2% named storm ded.</t>
  </si>
  <si>
    <t>Lisa</t>
  </si>
  <si>
    <t>Wang, Hanguang</t>
  </si>
  <si>
    <t>Los Angeles CA PC 2</t>
  </si>
  <si>
    <t>Lapse since 12/20</t>
  </si>
  <si>
    <t>Overlooks SF Bay. 1978 home fully updated in 14. Brush medium. FD 4-5 miles/hydrant/PC2.</t>
  </si>
  <si>
    <t>Approved pending 150' brush clearance. Get signed statement of no loss.</t>
  </si>
  <si>
    <t>Carriker, Jeremy</t>
  </si>
  <si>
    <t>VA Beach, VA</t>
  </si>
  <si>
    <t>Polybutylene by Quest plumbing</t>
  </si>
  <si>
    <t xml:space="preserve">Declined due to type of plumbing. </t>
  </si>
  <si>
    <t>DP1 Vacant</t>
  </si>
  <si>
    <t xml:space="preserve">CA  </t>
  </si>
  <si>
    <t>6 trusts</t>
  </si>
  <si>
    <t>Evenoldson, Lars</t>
  </si>
  <si>
    <t>1 of 3 units vacant</t>
  </si>
  <si>
    <t>Message in to Rodney on how claims interprets. Occ rate? Actively trying to rent?</t>
  </si>
  <si>
    <t>Sarah</t>
  </si>
  <si>
    <t>SAV Investments</t>
  </si>
  <si>
    <t>Weatherford TX PC 3</t>
  </si>
  <si>
    <t>12 duplexes</t>
  </si>
  <si>
    <t>12 unit duplex complex. $152,000 per unit. 2009 veneer.</t>
  </si>
  <si>
    <t>Jill asked for a summary document of our PC10, accessibility, response time stance. Provided</t>
  </si>
  <si>
    <t>Open loss</t>
  </si>
  <si>
    <t>2 unit - owner/relative. 3 prior water losses-$25k ded. Open claim; current tenant who is moving out 1 week after close is suing seller for pers inj and prop dmg from one of the water losses.</t>
  </si>
  <si>
    <t>Ran by Jeff for review. We don't have all the things they are looking for, but offered terms w/those changes.</t>
  </si>
  <si>
    <t>Jeffrey</t>
  </si>
  <si>
    <t>Sigridur Thorisdottirh</t>
  </si>
  <si>
    <t>Sherman Oaks CA PC2</t>
  </si>
  <si>
    <t>1. verify brush s/c applied and brush clearance ok (post insp)  2. re-run MSB w/ higher than standard constr.</t>
  </si>
  <si>
    <t>VA</t>
  </si>
  <si>
    <t>Riley, Stephen D</t>
  </si>
  <si>
    <t>Heathsville VA PC 10</t>
  </si>
  <si>
    <t>PC10</t>
  </si>
  <si>
    <t xml:space="preserve">Near sound, not first row. $2500 AOP. </t>
  </si>
  <si>
    <t>Wilson, Louise</t>
  </si>
  <si>
    <t>Lake Forest IL PC 5</t>
  </si>
  <si>
    <t>2 losses</t>
  </si>
  <si>
    <t>2 losses in 2015. Not a trend, not over the top. Great risk per sub-pristine. Nice loc on Lake MI.</t>
  </si>
  <si>
    <t>Email to Jeff - need to check AAL? Not needed per Jeff</t>
  </si>
  <si>
    <t>Order E&amp;H rider, $5k aop ($2500 min), s/c for claim.</t>
  </si>
  <si>
    <t>Balini, Maria</t>
  </si>
  <si>
    <t>Bev Hills CA  PC1</t>
  </si>
  <si>
    <t>Advised Melissa we have the $5m TIV limit with our reinsurer.</t>
  </si>
  <si>
    <t>1967 rebuilt in 95. 4860 SF. Not many online photos but confirms remodel. Reviewed named insureds online - Mr. owns Merrymax Investments.</t>
  </si>
  <si>
    <t>Longest, Harold</t>
  </si>
  <si>
    <t>Aylett, VA  PC9</t>
  </si>
  <si>
    <t xml:space="preserve">PC9  </t>
  </si>
  <si>
    <t>1997 4000SF NW of VA Beach. Internet shows 1830 year built on 48 acres. Addl quest sent to Charity</t>
  </si>
  <si>
    <t>Fuller, Laine</t>
  </si>
  <si>
    <t>Arnold, CA PC5</t>
  </si>
  <si>
    <t>Wants to remove roof exclusion</t>
  </si>
  <si>
    <t>1990 (possibly 1983 per internet). Roof per insp isn't bad. Difficult to locate per insp.</t>
  </si>
  <si>
    <t>Everett, Davis</t>
  </si>
  <si>
    <t>Middletown CA PC10</t>
  </si>
  <si>
    <t>PC10 TIV</t>
  </si>
  <si>
    <t>1990 No alarm/visible to neighbors. Gravel road. 5 mi 12 min response time</t>
  </si>
  <si>
    <t>Workman, Christa</t>
  </si>
  <si>
    <t>Los Angeles CA PC2</t>
  </si>
  <si>
    <t>Actress</t>
  </si>
  <si>
    <t>1976 updated in 04 $500k liab and PI. In brush area.</t>
  </si>
  <si>
    <t xml:space="preserve">No adverse information. Not a widely known/popular actress. </t>
  </si>
  <si>
    <t>Culton, Joseph</t>
  </si>
  <si>
    <t>Idyllwild CA PC4</t>
  </si>
  <si>
    <t>$200 Covg B</t>
  </si>
  <si>
    <t>1978 home. Detached garage w/living quarters not rented</t>
  </si>
  <si>
    <t>Crites, Jeremy</t>
  </si>
  <si>
    <t>Avondale CO  PC9</t>
  </si>
  <si>
    <t>6 horses</t>
  </si>
  <si>
    <t>Vanessa</t>
  </si>
  <si>
    <t>Oliver, Brian</t>
  </si>
  <si>
    <t>Studio City CA PC2</t>
  </si>
  <si>
    <t>&gt;$3M TIV</t>
  </si>
  <si>
    <t>$5M TIV</t>
  </si>
  <si>
    <t>Inspection attached 1990, tile roof. 5kded</t>
  </si>
  <si>
    <t>Clean risk, inspection looks good. Added 20% s/c for Renie fire zone left off by agent.</t>
  </si>
  <si>
    <t>Decline due to PC10 gravel road, no alarm. Matt came back asking if they installed alarm would we do it. Discussed w/Louisa. I called Fire Marshall Dave Minsch 707-533-7129. Left message, called twice after. No reply. (Condition year round of road, any part paved, response time?)</t>
  </si>
  <si>
    <t>Gruenberger, Michael</t>
  </si>
  <si>
    <t>DP3 Vacant</t>
  </si>
  <si>
    <t>Vacant Prop CO PC9</t>
  </si>
  <si>
    <t>Oth Str as Covg A</t>
  </si>
  <si>
    <t>Used for camping and storage. Plan to build there in 2-3 years. FD 3 miles. Yr rnd access.</t>
  </si>
  <si>
    <t>Heather</t>
  </si>
  <si>
    <t>Miller, Elizabeth</t>
  </si>
  <si>
    <t>Luther OK  PC8</t>
  </si>
  <si>
    <t>TIV over $1M</t>
  </si>
  <si>
    <t>9/7/12 Lightning $30,719. 5/19/13 $976,026 Wind</t>
  </si>
  <si>
    <t>Declined due to central OK and loss history. Called and emailed Heather.</t>
  </si>
  <si>
    <t>2011 home. No other structure covg. PC2. FD 1 mile away. On a main highway. Insured is a vet, not at this address. Turns out horses go between insured and brothers house and horses are owned by different people. No breed/board/ridden by various family.</t>
  </si>
  <si>
    <t xml:space="preserve"> No concern w/hay, barns, fences due to no other structure coverage. All structures insured under family farm policy. Approved w/animal exclusion.</t>
  </si>
  <si>
    <t>Call</t>
  </si>
  <si>
    <t>Walker, Wesley</t>
  </si>
  <si>
    <t xml:space="preserve">Monroe Cty FL </t>
  </si>
  <si>
    <t>Dwelling is 2 story. Residence on 2nd, airplane hanger on 1st. Elevator. Will rent for a period of time with no planes/no fuel kept there. Will get proper elevator inspection (due to it being rental - may be more commercial-like w/insp requirements) X-wind. Eventually owners will move in with their plane.</t>
  </si>
  <si>
    <t>Airplane Hanger/ Dwelling</t>
  </si>
  <si>
    <t>Sweat, Keith</t>
  </si>
  <si>
    <t>Alpharetta GA PC4</t>
  </si>
  <si>
    <t>1991 seasonal home for R&amp;B singer Keith Sweat. Per Jeff, not too high profile. Insd has a bankruptcy/repo/foreclosure. Internet search ok</t>
  </si>
  <si>
    <t>Carley, John</t>
  </si>
  <si>
    <t>Laguna Beach CA PC3</t>
  </si>
  <si>
    <t>TIV &gt;$3M</t>
  </si>
  <si>
    <t>1988 tile roof, brush ok, rented 50 days year</t>
  </si>
  <si>
    <t xml:space="preserve"> </t>
  </si>
  <si>
    <t>Brandt, Katherine</t>
  </si>
  <si>
    <t>Mdws of Dan VA PC10</t>
  </si>
  <si>
    <t>1974 updt in 2010, 864 sf cabin. In a community. FD is 4.7 miles away. Paved road. .7 acres</t>
  </si>
  <si>
    <t>Clean PC10 situation. Low value</t>
  </si>
  <si>
    <t>White, Sonya</t>
  </si>
  <si>
    <t>Greenbackville VA PC9</t>
  </si>
  <si>
    <t>PC9</t>
  </si>
  <si>
    <t xml:space="preserve">2009 1 1/2 mi from bay. Nice home per internet search. </t>
  </si>
  <si>
    <t>Tehranchi, Kambiz</t>
  </si>
  <si>
    <t>HO3 COC</t>
  </si>
  <si>
    <t>Los Angeles, CA PC2</t>
  </si>
  <si>
    <t>COC</t>
  </si>
  <si>
    <t xml:space="preserve">1990 home. 4000 SF addition. Will be residing there. Some En's included because of this. Brush. Co-insd is a doctor. </t>
  </si>
  <si>
    <t>Found bankruptcy doc online for named insured. Agent is verifying.</t>
  </si>
  <si>
    <t>Grand Total</t>
  </si>
  <si>
    <t>Sattler, Jeffrey</t>
  </si>
  <si>
    <t>Cortez CO  PC4</t>
  </si>
  <si>
    <t>Approved w/$100K A (exception ok'd by Jeff) and $75K C with a $50K theft deductible. Asked for exclusion Keep prem around $1350.</t>
  </si>
  <si>
    <t>Sachs, Myles</t>
  </si>
  <si>
    <t>Lapse for 1 yr</t>
  </si>
  <si>
    <t>New 3200 SF metal building visible from insured's home on separate lot. Primary carrier won't extend coverage.</t>
  </si>
  <si>
    <t xml:space="preserve">1995 4700 SF. Low brush. Good online photos. Insd's parents were killed by a brother. Insd has been getting affairs in order. Brother is in jail, trial is 3/2016. Seems solid he will be going to prison. </t>
  </si>
  <si>
    <t>Lapse makes sense. Brother will be going to prison. Not really a high profile insured.</t>
  </si>
  <si>
    <t>Armenta, Juan</t>
  </si>
  <si>
    <t>Green Valley Lk PC5</t>
  </si>
  <si>
    <t>Log</t>
  </si>
  <si>
    <t>No info on risk. House is owned by 6 trusts who are all siblings. House was given from father's estate.</t>
  </si>
  <si>
    <t>Very clean and clear situation considering 6 trusts. All for purpose of gifting the home. Home is vacant and will be sold. One sibling will be named insured and others will be AI.</t>
  </si>
  <si>
    <t>Gave answer to agent on rental. Waiting to hear from sub on their intentions.</t>
  </si>
  <si>
    <t>Ins score 965</t>
  </si>
  <si>
    <t>Agency/Action</t>
  </si>
  <si>
    <t>Used for personal storage. Eventually will build here and sell or rent primary home. Insd is related to agent. Some welding and car tools. Required no supplemental or portable heat, and add fire extinguisher. $50,000 theft ded</t>
  </si>
  <si>
    <t>DP1 Annual Rental</t>
  </si>
  <si>
    <t>Pennsylvania PC5</t>
  </si>
  <si>
    <t>1901 Plumbing</t>
  </si>
  <si>
    <t>Updates on all systems except plumbing which is original, 1901.</t>
  </si>
  <si>
    <t xml:space="preserve">Plumbing in early 1900's was lead, with 100 yr life expectancy.  </t>
  </si>
  <si>
    <t>Followed up with written email.</t>
  </si>
  <si>
    <t>1993 3221 SF, no brush, insd is Work Comp Atty, Travelers NRN-no longer writing in area.</t>
  </si>
  <si>
    <t xml:space="preserve">Kit home, high value. </t>
  </si>
  <si>
    <t>Olagaray, Joe</t>
  </si>
  <si>
    <t>Tahoe City CA PC8</t>
  </si>
  <si>
    <t>TIV; Bridge</t>
  </si>
  <si>
    <t>2005 home. Access is across a bridge owned by insd and neighbors. Brush is not 150'; in brush area.</t>
  </si>
  <si>
    <t>Bowman, William</t>
  </si>
  <si>
    <t>New Orleans LA PC1</t>
  </si>
  <si>
    <t>Age 1870</t>
  </si>
  <si>
    <t>Updated in 06; roof 12. 3% wind/hail $10k aop</t>
  </si>
  <si>
    <t>Schaumburg, Brian</t>
  </si>
  <si>
    <t>Canyon Country CA PC4</t>
  </si>
  <si>
    <t>1987, tile roof, no brush, alarmed, beautiful pix online. Insd is large restoration contractor. Boardwalk Contr is in Palmdale</t>
  </si>
  <si>
    <t>Podolny Fam Trust</t>
  </si>
  <si>
    <t>HO3 Builders Risk</t>
  </si>
  <si>
    <t>Sonoma CA PC6</t>
  </si>
  <si>
    <t>1999 tile, no brush, large barn, 5 acres, grapes and olives w/vineyard management contract, conflict in responding fire dept</t>
  </si>
  <si>
    <t>Several questions. Need business and plant exclusion.</t>
  </si>
  <si>
    <t>Jacobs, David</t>
  </si>
  <si>
    <t>TIV&gt;$3M</t>
  </si>
  <si>
    <t>1938 updated in 2002-2007. Insd is employment attorney.  Alarmed, no brush.</t>
  </si>
  <si>
    <t>Advised agt of $5M max TIV</t>
  </si>
  <si>
    <t>Jurgensen, Thomas</t>
  </si>
  <si>
    <t>Gloucester, VA PC9</t>
  </si>
  <si>
    <t>Built in 2001</t>
  </si>
  <si>
    <t>Value is appropriate, viewable year round from neighbors house &amp; accessible via paved road</t>
  </si>
  <si>
    <t>Rental is for a 30 day period if they do it.</t>
  </si>
  <si>
    <t>CA</t>
  </si>
  <si>
    <t>Moshin</t>
  </si>
  <si>
    <t>Vineyard</t>
  </si>
  <si>
    <t>2015 brush, 114 acres w/leased vineyard.</t>
  </si>
  <si>
    <t>Questions on PC10 and vineyard business</t>
  </si>
  <si>
    <t>Blair, Robert</t>
  </si>
  <si>
    <t>DP3 Rental</t>
  </si>
  <si>
    <t>CA PC9</t>
  </si>
  <si>
    <t>PC9/TIV</t>
  </si>
  <si>
    <t>1955-updated in 2005 frame. Brush</t>
  </si>
  <si>
    <t>Rented for minimum of 2 nights</t>
  </si>
  <si>
    <t>Miller, Loren</t>
  </si>
  <si>
    <t>DP3 Prim w/3 Rentals</t>
  </si>
  <si>
    <t>Nevada City CA PC5</t>
  </si>
  <si>
    <t>4 fam home</t>
  </si>
  <si>
    <t xml:space="preserve">1983 frame, 1st floor owner occ, 2nd floor 3 rental units </t>
  </si>
  <si>
    <t>Wrote with Lex for 6376 vs our 7885.</t>
  </si>
  <si>
    <t>Quinn, Brian</t>
  </si>
  <si>
    <t>Truckee CA PC9</t>
  </si>
  <si>
    <t>1992 in brush</t>
  </si>
  <si>
    <t>Alarmed, good response time and paved roads. Issuing subj to brush clearance, wbs quest, ACV roof end.</t>
  </si>
  <si>
    <t>Breya, Edward</t>
  </si>
  <si>
    <t>Woodside CA PC10</t>
  </si>
  <si>
    <t>2004 med/high brush, 10-15 min resp, access yr round, some gravel road, visible to neighbors</t>
  </si>
  <si>
    <t>Declined liability for bridge. Require central station alarm</t>
  </si>
  <si>
    <t>What is the extent of remodeling? Per Jeff, total gut and remodel</t>
  </si>
  <si>
    <t>Realtor listing indicates some concerns-barn in poor condition, nursery business, 2-3 houses, etc. This is old info. No issue with road washout.</t>
  </si>
  <si>
    <t>Beckwith, David</t>
  </si>
  <si>
    <t>Topanga CA PC4</t>
  </si>
  <si>
    <t>1999 bldrs risk, in brush.</t>
  </si>
  <si>
    <t>Value ok.</t>
  </si>
  <si>
    <t>Alex</t>
  </si>
  <si>
    <t>Filijan</t>
  </si>
  <si>
    <t>Insd with CA Fair Plan seeking new policy. Loss 1/6/16-roof tiles damaged. Not sure their loss will be covered.</t>
  </si>
  <si>
    <t>Loss open. It occurred a month ago, involves roof damage. Possible additional damage since then?</t>
  </si>
  <si>
    <t>Gauthier, Richard</t>
  </si>
  <si>
    <t>Deltona FL PC4</t>
  </si>
  <si>
    <t>4 losses @ rental properties</t>
  </si>
  <si>
    <t xml:space="preserve">1986 rental with no losses. Roof updated. </t>
  </si>
  <si>
    <t>Approved w/$2500 AOP ded. 3 losses were around $2K. One open liab loss - adjuster fell through ceiling. Losses were at 3 other rental properties.</t>
  </si>
  <si>
    <t>Kroon, Debra</t>
  </si>
  <si>
    <t>Yosemite West CA PC10</t>
  </si>
  <si>
    <t>Sprinkler and alarm system in building. Lower limits.</t>
  </si>
  <si>
    <t>Bonin, Andrew</t>
  </si>
  <si>
    <t>Lake Elsinore CA PC4</t>
  </si>
  <si>
    <t>Build in 1990, in brush.</t>
  </si>
  <si>
    <t>Value in line.</t>
  </si>
  <si>
    <t>Baldwin, Jeffrey</t>
  </si>
  <si>
    <t>Berm Home</t>
  </si>
  <si>
    <t>1971, some updates in 2007.</t>
  </si>
  <si>
    <t>Adehelm, Billy</t>
  </si>
  <si>
    <t>2 private lenders/35 day lapse</t>
  </si>
  <si>
    <t>2 lender who are trustees. 1980 home updated in 2010.  Policy lapsed 1/3/16 w/Hartford.</t>
  </si>
  <si>
    <t>Robles, Ben</t>
  </si>
  <si>
    <t>Little Rock AR PC2</t>
  </si>
  <si>
    <t>TIV &gt;$1M</t>
  </si>
  <si>
    <t>Built in 2008. 10/26/15 water loss-no details. Insd owns contracting business.</t>
  </si>
  <si>
    <t>Woodland Park CO PC5</t>
  </si>
  <si>
    <t>Confusion on direction. Resolved that these can be reviewed on a submit basis. Looking for professionally installed. Jill will confirm prior to binding.</t>
  </si>
  <si>
    <t xml:space="preserve">Pipe burst, all repaired. </t>
  </si>
  <si>
    <t>NJ</t>
  </si>
  <si>
    <t>HO4 Short Term</t>
  </si>
  <si>
    <t>Requesting a $50,000 HO4 for a home that is being lifted; insured by Lexington</t>
  </si>
  <si>
    <t>Don't want to do short term HO4 on a home someone else is insuring. Also concern of damage during raising.</t>
  </si>
  <si>
    <t>Gaddy, Ira</t>
  </si>
  <si>
    <t>Gulfport LA  PC4</t>
  </si>
  <si>
    <t>TIV&gt;$1M</t>
  </si>
  <si>
    <t>Built 1997. Heat and Plumb updates in 12. Nice google photo.</t>
  </si>
  <si>
    <t>Pryor, Jonnie-Kaye</t>
  </si>
  <si>
    <t>Cool CA PC5</t>
  </si>
  <si>
    <t>Oth Str &gt;35%</t>
  </si>
  <si>
    <t>Built in 97, update in 2008. Online photos show this is a dome house. Called agent to confirm. No pics in file, but there is correspondence w/sub to confirm.</t>
  </si>
  <si>
    <t>We cannot get a good value on dome houses so we are not a market for them at this time. If a vendor could add this construction type, we could consider for future risks.</t>
  </si>
  <si>
    <t>Dares, William</t>
  </si>
  <si>
    <t>Jefferson Cty LA PC1</t>
  </si>
  <si>
    <t>Premium Adj?</t>
  </si>
  <si>
    <t>Built in 2016, frame. Checked rating options to see if we could beat competitor quote.  $7254 vs. our $9798</t>
  </si>
  <si>
    <t>We can't be competitive on this one.  Encouraged Jill to try again as this looks like a nice clean risk.</t>
  </si>
  <si>
    <t>Daniels, Marc</t>
  </si>
  <si>
    <t>Kinnelon NJ PC9</t>
  </si>
  <si>
    <t>Frozen pipe 2/15/15 $160,000. Home now vacant, rebuilding, then for sale. Damages are paid by prior carrier-this is the rebuild.</t>
  </si>
  <si>
    <t>Discussed w/Jeff. Approved terms HO3 w/surcharge 20%, water ded $10K no credit. Convert to DP3 vacant when done</t>
  </si>
  <si>
    <t>Clark, Sharon</t>
  </si>
  <si>
    <t>Paradise CA PC4</t>
  </si>
  <si>
    <t>Bike ramp</t>
  </si>
  <si>
    <t>Built in 61, updated various dates. Brush zone. Bike ramp, tree house, construction materials, graffiti on house and old shed.</t>
  </si>
  <si>
    <t>Due to various issues, overall pride of ownership.</t>
  </si>
  <si>
    <t>Baldino, Susan</t>
  </si>
  <si>
    <t>Lynch Station VA PC9</t>
  </si>
  <si>
    <t>Built in 04. Other homes in area, paved road, nice home online. 4.1 miles to FD.</t>
  </si>
  <si>
    <t>Debbie Von Vihl Trust</t>
  </si>
  <si>
    <t xml:space="preserve">CO </t>
  </si>
  <si>
    <t>Seacoast Rate</t>
  </si>
  <si>
    <t xml:space="preserve">Seacoast $1211; Us $1924.  </t>
  </si>
  <si>
    <t>Too much of a variance. Allison agreed.</t>
  </si>
  <si>
    <t>Broome, Pamela</t>
  </si>
  <si>
    <t>Peachland NC PC9</t>
  </si>
  <si>
    <t>Leased land</t>
  </si>
  <si>
    <t>60 acres; 50 are leased and lessee has cattle. 2 tracks of land deeded separately</t>
  </si>
  <si>
    <t>Lorenzo, Reyes</t>
  </si>
  <si>
    <t>Denver CO PC2</t>
  </si>
  <si>
    <t>Loss history</t>
  </si>
  <si>
    <t>1981 Masonry home w/3 losses. 5/14 froz pipe $4421; 12/14 hail $4422; 8/14 $144087 fire - started at neighbors property and spread via fence.</t>
  </si>
  <si>
    <t>One loss not their fault. Suggested $2500 AOP ded.</t>
  </si>
  <si>
    <t>Ebbett, Denise</t>
  </si>
  <si>
    <t>Mokeluame Hill CA PC8</t>
  </si>
  <si>
    <t>Approved subject to verification that home was not affected. Also that other structures included what I know of. If not, Matt is to contact me.</t>
  </si>
  <si>
    <t>Jerrold</t>
  </si>
  <si>
    <t>Heffner, Robert</t>
  </si>
  <si>
    <t>Gulfport MS PC3</t>
  </si>
  <si>
    <t>Built in 2006.</t>
  </si>
  <si>
    <t>Overall clean risk. Increased agents authority after this submission to $3Mfor PC 1-9/1.5M for PC 9-10</t>
  </si>
  <si>
    <t>Mountz, Christina</t>
  </si>
  <si>
    <t>Beaumont CA PC6</t>
  </si>
  <si>
    <t>Foreclosure</t>
  </si>
  <si>
    <t>Insd had foreclosure over 3 years ago. This is acceptable builders risk with ok brush clearance. Backs up to state land but is cleared to property line. I ran credit scores and they were 718 and 780 which are in our credit range.</t>
  </si>
  <si>
    <t>Acceptable credit. Foreclosure no longer shows on report.</t>
  </si>
  <si>
    <t>Chris</t>
  </si>
  <si>
    <t>Vaughan, Kimberly</t>
  </si>
  <si>
    <t>Ocean Springs MS PC8</t>
  </si>
  <si>
    <t>Prior Liab Claim</t>
  </si>
  <si>
    <t>Golf cart loss - daughter driving a friend, friend fell and was injured. Daughter no longer in home and no more golf cart.</t>
  </si>
  <si>
    <t>Exposure gone.</t>
  </si>
  <si>
    <t>Thornburg, Charles</t>
  </si>
  <si>
    <t>Gautier MS PC6</t>
  </si>
  <si>
    <t>No prior</t>
  </si>
  <si>
    <t>Built in 2001. Insured said ins was too expensive, hasn't had since 2006.</t>
  </si>
  <si>
    <t>Subject to explanation of why, and verify no damage or losses.</t>
  </si>
  <si>
    <t>Kirk</t>
  </si>
  <si>
    <t>Kelly, Michael</t>
  </si>
  <si>
    <t xml:space="preserve">New construction. Med/high brush. Includes animal liab buyback but no animals per app. Online source lists as farm/ranch property. Also lots of woods. </t>
  </si>
  <si>
    <t>Subject to confirmation of no farm/ranch, no current concerning animals, conf of 150' clearance post inspection ok.</t>
  </si>
  <si>
    <t>Gates, Alison</t>
  </si>
  <si>
    <t>Biloxi MS PC3</t>
  </si>
  <si>
    <t>Bankruptcy</t>
  </si>
  <si>
    <t>Built in 2006. Nice per online pix.  Per agt, bankruptcy due to med bills had to close business. Ran insurance score</t>
  </si>
  <si>
    <t>Rehwald, Carol</t>
  </si>
  <si>
    <t>Venice CA  PC4</t>
  </si>
  <si>
    <t>Venice CA  PC5</t>
  </si>
  <si>
    <t>Home and Rental</t>
  </si>
  <si>
    <t>Ins score 650, slight surcharge. Must have worked on improving score.</t>
  </si>
  <si>
    <t>Updated. Primary risk.</t>
  </si>
  <si>
    <t>Part of above</t>
  </si>
  <si>
    <t>1938 guest house, annual rental</t>
  </si>
  <si>
    <t>Richard Living Trust</t>
  </si>
  <si>
    <t>DP3 Vacation Rental</t>
  </si>
  <si>
    <t>Rancho Mirage CA PC6</t>
  </si>
  <si>
    <t>Vacay Rental</t>
  </si>
  <si>
    <t>2995 Vacation Rental w/ guest house. Has no central station, local alarms. Wants water backup.</t>
  </si>
  <si>
    <t>1 week minimum. High end home, high rent. Feel water backup will be okay, home will be respected. This is in a community w/unmanned gate. Asked for 2% s/c for lack of alarm. Advised agt to add work comp, not on quote.</t>
  </si>
  <si>
    <t>Quat, Steven</t>
  </si>
  <si>
    <t>DP3 Builders Risk</t>
  </si>
  <si>
    <t>Ventura CA  PC2</t>
  </si>
  <si>
    <t>1894 Historic</t>
  </si>
  <si>
    <t>New purchase for insured. Built in 1894. On historic registry. Insd having contractor beef up retrofit. Then insd will be replacing fixtures and appliances. MFRC would be applied.</t>
  </si>
  <si>
    <t>Concerned about bones and systems in home. If fixtures are so old, how updated is the plumbing and wiring?</t>
  </si>
  <si>
    <t>1938 home, updated. Home and airbnb rental gar/loft on same property. Quoted as 2 family to acct for extra premium. Max 26 renters annually; weekly rental required. Primary home, so insured is there.</t>
  </si>
  <si>
    <t>Tarbis, Stacy</t>
  </si>
  <si>
    <t>HO6 Primary</t>
  </si>
  <si>
    <t>Chicago IL PC2</t>
  </si>
  <si>
    <t>2 water losses</t>
  </si>
  <si>
    <t>$57K fridge line 4/15; $105K sink backup 9/12</t>
  </si>
  <si>
    <t>Sobh, Mike</t>
  </si>
  <si>
    <t xml:space="preserve">Escondido CA </t>
  </si>
  <si>
    <t>Built in 2004. Beautiful high end home. Declined by Chubb due to brush.</t>
  </si>
  <si>
    <t>Love, James</t>
  </si>
  <si>
    <t>Lake George CO PC10</t>
  </si>
  <si>
    <t>Brush PC10</t>
  </si>
  <si>
    <t>Built in 1982; updated roof. PC10 w/45 minute response time. Brush area</t>
  </si>
  <si>
    <t xml:space="preserve">Decided our direction would be 15-20 min response time max. Look closer if it has brush. </t>
  </si>
  <si>
    <t>Asked for PC, response time, RiskMeter.  App notes 52 weeks rented, asked Alex if this is an error. All checked out-low brush.</t>
  </si>
  <si>
    <t>Tina</t>
  </si>
  <si>
    <t>West, Rebecca</t>
  </si>
  <si>
    <t>Disputanta VA PC10</t>
  </si>
  <si>
    <t>PC10/2 wind claims</t>
  </si>
  <si>
    <t>1960 home updated in 2000-2009. Nice pic online. Paved roads, 20 min response to paid FD, other volunteer FD's are closer. 3.8 acres. 2 wind claims 2/14-$900; 2/15-$2551</t>
  </si>
  <si>
    <t>Acceptable response time. $1000 AOP ded. Away from coast.</t>
  </si>
  <si>
    <t>Milovich, Steven</t>
  </si>
  <si>
    <t>Santa Barbara CA PC2</t>
  </si>
  <si>
    <t>Built in 2015. Nice home curr w/Lex. Agt incr prem 15% to be closer to expiring. Prior 2009 $1.1M fire loss. $21k solar panels. Sprinkler, all central station alarms. Rubber roof. In brush-will get 150' clearance.</t>
  </si>
  <si>
    <t>Scalise, Louis</t>
  </si>
  <si>
    <t>Twain Harte CA PC3</t>
  </si>
  <si>
    <t>Built in 1979; updated. Possible woodstove. Brush zone.</t>
  </si>
  <si>
    <t>Approved subject to underwriting for possible woodstove (wood/pipe). Need new inspection.</t>
  </si>
  <si>
    <t>Woods, Ken</t>
  </si>
  <si>
    <t>Railroad Flat CA PC10</t>
  </si>
  <si>
    <t>Pond/PC10</t>
  </si>
  <si>
    <t>Built in 1991. Pond in yard-rural. Response time ok and accessible. Mastiff will be excluded. Trulia shows horse/barn/woodstove. Asked agt to underwrite for business exposure and WBS quest.</t>
  </si>
  <si>
    <t>Pending woodstove, no business exposure, mastiff exclusion</t>
  </si>
  <si>
    <t>1983 frame, $70,582 loss to fence, water tank, solar system, generator. Did not reach house. Has 1 horse. Det garage w/guest house.</t>
  </si>
  <si>
    <t>2/19 Jill replied that it was mostly contents and provided list which had saddles, bridles etc. Replied w/questions about animals, breeding, boarding, riding, est. No business exposure.</t>
  </si>
  <si>
    <t>Approved subject to $25K ded w/water sensor monitored alarm</t>
  </si>
  <si>
    <t>Rolfe, Patricia</t>
  </si>
  <si>
    <t>Lyons CO PC3</t>
  </si>
  <si>
    <t>Built in 1996 w/updates. Brush area. Seacoast $946. Markel $1229 (25%). That is with 10% discretionary already. We have ERC, RC on roof, $5K water b/u, $5K mold, $2500 biz prop.</t>
  </si>
  <si>
    <t>Diegidio, Anthony</t>
  </si>
  <si>
    <t>Wilmington DE PC3</t>
  </si>
  <si>
    <t>Built in 1920 w/2002 updates. Photos on Zillow-beautiful. Full time rental.</t>
  </si>
  <si>
    <t>Did not need to submit. Within authority.</t>
  </si>
  <si>
    <t>I did ask for more premium as Scottsdale is at $7995. We came in at $6723.</t>
  </si>
  <si>
    <t>Magee, James</t>
  </si>
  <si>
    <t>Pocono Pines PA PC9</t>
  </si>
  <si>
    <t>Built in 1972 w/2007 updates. No alarms. 22 minute response time. Visible from neighbors.</t>
  </si>
  <si>
    <t>Approved subject to 20% surcharge ($881&gt;$1057) for no alarm and 22 min response.</t>
  </si>
  <si>
    <t>Discussing rates of additional coverages with Allison. Reviewed w/ Jeff and agreed to do 10% over Seacoast.</t>
  </si>
  <si>
    <t>Blatchford, Leola</t>
  </si>
  <si>
    <t>Approved to do at 10% over Seacoast rate.</t>
  </si>
  <si>
    <t>Built in 1960 with updates. 2005 roof. No alarms. In neighborhood. Nice clean house.</t>
  </si>
  <si>
    <t>Volk III, John</t>
  </si>
  <si>
    <t>Westcliffe CO PC9</t>
  </si>
  <si>
    <t xml:space="preserve">Built in 96. Metal roof. Other systems updated. Insd is a doctor. 10 min response. FD 2 miles away. Low brush. Seacoast=5670. Us=7006. Allison wants to match to win this skeptical agent. </t>
  </si>
  <si>
    <t>Dupper, Gilbert</t>
  </si>
  <si>
    <t>PC10/TIV</t>
  </si>
  <si>
    <t>Built in 85. ACV roof. Good response time, year round access. Med brush. 4 pet pygmy goats and 3 dogs; 1 is a Rott/Shepherd.</t>
  </si>
  <si>
    <t>Like, Lily</t>
  </si>
  <si>
    <t>Redlands CA  PC10</t>
  </si>
  <si>
    <t>Steelton PA PC?</t>
  </si>
  <si>
    <t>Row House</t>
  </si>
  <si>
    <t>1944 updated in 2007. 2 prior wind losses. No fire walls. Photo online shows run down condition and neighboring properties questionable.</t>
  </si>
  <si>
    <t>Not provided</t>
  </si>
  <si>
    <t>HO3</t>
  </si>
  <si>
    <t>No heat</t>
  </si>
  <si>
    <t>1952 home with part updates 2013-2014. Circuit breakers &amp; copper plumbing. No heat. They removed when asbestos was taken out and not replaced.</t>
  </si>
  <si>
    <t>Joanna</t>
  </si>
  <si>
    <t>Perez, Allen</t>
  </si>
  <si>
    <t>1st Row</t>
  </si>
  <si>
    <t>2004 home. First row in the Keys.</t>
  </si>
  <si>
    <t>Verified w/Jeff, since x-wind first row even in the Keys is okay.</t>
  </si>
  <si>
    <t>Low avg temp is 46 degrees. However in 110 January's, there were 37 yrs w/a low of 32 degrees or less. Heat source is needed - likely a woodstove or portable heater.</t>
  </si>
  <si>
    <t>584 Cabot Hill Rd LLC</t>
  </si>
  <si>
    <t>LLC Ownership</t>
  </si>
  <si>
    <t>1985 home, new purchase under renovation-1st floor addition, change roof line, change to colony style. Owner is LLC-2 partners-one is another LLC. Owner of LLC doing renovations.</t>
  </si>
  <si>
    <t>Asked for info on who is doing the work. Verify who LLC members are. What is final occupancy?  Investment Rental is final occupancy. All else checks out. Approved subject to ensuring LLC's are just for this property ownership.</t>
  </si>
  <si>
    <t>Rooney, John</t>
  </si>
  <si>
    <t xml:space="preserve">COC </t>
  </si>
  <si>
    <t>Asked more questions about this construction risk. It is mostly done. Interior left. With Lloyds now.</t>
  </si>
  <si>
    <t>Dugan, James</t>
  </si>
  <si>
    <t>Santa Ana PC?</t>
  </si>
  <si>
    <t>Key West FL PC?</t>
  </si>
  <si>
    <t>Bridgewater NJ PC5</t>
  </si>
  <si>
    <t>Martha's Vineyard PC9</t>
  </si>
  <si>
    <t>Franklin IN PC9</t>
  </si>
  <si>
    <t>Non prof WBS</t>
  </si>
  <si>
    <t>1959 home, all updated recently. PC9. FD 4.4 miles away; visible; accessible. Has American Harvest wood pellet stove in garage, installed by insured.</t>
  </si>
  <si>
    <t>Pellet stoves are often insured installed. Easier than wood. Less clearance issues. Approved subject to verifying no fumes, inspection. Clear up question about plumbing on older home quest.</t>
  </si>
  <si>
    <t>Why moving from Lloyds? Time left? Current prem.  About 9 months left. Lloyds increased prem. We are coming in higher than Lloyds expiring. Nice home.  We offered 10% under renewal premium.  $5800-range.</t>
  </si>
  <si>
    <t>Hader, William</t>
  </si>
  <si>
    <t>Chesapeake VA PC9</t>
  </si>
  <si>
    <t>1993 home; recent updates. FD is 5.5 miles away (Ches FD 6). 10 min resp. Accessible, visible from neighbor, paved. 3.3 acres. Home looks good online. Value good.</t>
  </si>
  <si>
    <t>Krishock, David</t>
  </si>
  <si>
    <t>Calabasas CA PC2</t>
  </si>
  <si>
    <t>Barham, Edward</t>
  </si>
  <si>
    <t>North VA PC10</t>
  </si>
  <si>
    <t>1991 home no updates. Response &lt;10 min per agt. Google shows FD 3.7 miles (6 min). No alarms on PC10 Seasonal, but lower value so I feel okay.</t>
  </si>
  <si>
    <t>No alarms on PC10 Seasonal, but lower value so I feel okay.</t>
  </si>
  <si>
    <t>Willow Pond Farm</t>
  </si>
  <si>
    <t>Gillette NJ PC3</t>
  </si>
  <si>
    <t>Coml Exposure</t>
  </si>
  <si>
    <t>1985 home; roof updated in 2014. 1.5 acres FD 2 miles away. Equestrian camp and school on property w/multiple outbuildings &amp; horses. Coml writing everything but dwelling and pool. Business, animal, farm exclusions.</t>
  </si>
  <si>
    <t>Martin, Noreen</t>
  </si>
  <si>
    <t>Truckee CA PC5</t>
  </si>
  <si>
    <t>2016 new purchase. Med brush. Fully alarmed and sprinklered. Insured is owner of Elite Hotel Stay company.</t>
  </si>
  <si>
    <t>Asked Kirk how we are looking against competition. He took 5% credit. Might even consider a bit more to get this risk.</t>
  </si>
  <si>
    <t>TIV&gt;$1.75</t>
  </si>
  <si>
    <t>Orig. quoted w/ $1.575 A. reduced to $1.45 OK</t>
  </si>
  <si>
    <t>Cardillo, Michael</t>
  </si>
  <si>
    <t xml:space="preserve"> Ft. Lupton CO PC5</t>
  </si>
  <si>
    <t>Loss &gt;$100,000</t>
  </si>
  <si>
    <t>1960 home w/full updates. $2500 AOP. 2 prior losses. 1 yr old water line to dishwasher broke; lightning strike-dmg to well back flow caused water damage. Also 5 horses, 2 goats all personal use.</t>
  </si>
  <si>
    <t>Claims seem unavoidable. Considered slight s/c for extra # of animals, but decided against it.</t>
  </si>
  <si>
    <t>Dinkes</t>
  </si>
  <si>
    <t>Boston MA</t>
  </si>
  <si>
    <t>Prior losses</t>
  </si>
  <si>
    <t>2 prior claims: pipe break 10/12 $519,000; unit above pipe break/subro $81K claim still open.</t>
  </si>
  <si>
    <t>Asked age of unit, type of pipes, how far along are repairs.</t>
  </si>
  <si>
    <t xml:space="preserve">2001 home w/alarms. Nice pics online. 3.8 acres. High brush.  </t>
  </si>
  <si>
    <t>App notes "no prior coverage". Turned out this is new purchase.  Approved subj to 150' brush clearance and conf no losses (not addressed on app)</t>
  </si>
  <si>
    <t>Jones, Jerry</t>
  </si>
  <si>
    <t>Grimsley TN PC6</t>
  </si>
  <si>
    <t>Basement Home</t>
  </si>
  <si>
    <t>Voneschen, Amy</t>
  </si>
  <si>
    <t>Boulder CO PC5</t>
  </si>
  <si>
    <t xml:space="preserve">Exception for 2% ($30K) wind/hail ded vs. excluding roof to beat Lex. Allison confirming prior covg, no losses, no use of 12 acres. </t>
  </si>
  <si>
    <t>1989 frame home w/wood shake roof. 2nd structure on premises-rental dwelling. She may add as 2nd dwelling or add HO0440. $20k jewelry; $3500 fur.</t>
  </si>
  <si>
    <t>Asbestos cement siding is ineligible</t>
  </si>
  <si>
    <t>7 questions sent to agent answered satisfactorily. Business separation, exclusion applied, sub agt controls coml. Insds dogs don't go to the business.</t>
  </si>
  <si>
    <t>Reviewed over phone w/Louisa and Audrey (they were on business). Advised Jill by phone and email to DNOC and place elsewhere. Too many issues to dig into.</t>
  </si>
  <si>
    <t>Confirmed. Part of the home is 1830. Charity did not want to pursue finding out about renovation to that section of the house, so said she would tell the agent it was declined.</t>
  </si>
  <si>
    <t>discussed w/Jeff. Prefer exclusion, but could offer ACV roof.  Adv. Agt to add house numbers. Waiting for reply on age to confirm what we are binding.</t>
  </si>
  <si>
    <t>No rental-used in conjunction w/seasonal home.</t>
  </si>
  <si>
    <t>1974 condo w/updated roof. Seasonal rental. PC10 paved, year round access. 29 minute response.</t>
  </si>
  <si>
    <t>Trustees common mortgage holders in CA. Burns getting surcharge, no loss, full payment.</t>
  </si>
  <si>
    <t>20 cows, one insured building, nothing other than grazing. Not a separate address.  Feel our exclusion will cover us. Asked for addl $150 prem as we would have to defend this exposure if something happens, even though excluded.</t>
  </si>
  <si>
    <t>Verify no farming. Sent thoughts back about matching vs. incr. She is adding cosmetic damage form. Will increase rate 5% each year per Allison.</t>
  </si>
  <si>
    <t>Need to confirm Covg A. Attached value shows $1,558,000. Once agreed, ok with animal excl.; confirm brush 150'; pool exclusion.//He will offer at $1,558,000 per follow up call.</t>
  </si>
  <si>
    <t>Reviewed online business. Asked agt to confirm it is owner Brigid who is occupying home. Only exposure is damage to home/contents.</t>
  </si>
  <si>
    <t>Jan</t>
  </si>
  <si>
    <t>Feb</t>
  </si>
  <si>
    <t>Cause of prior loss?  Wildfire in 2009. Flat roof? Approved subject to verifying; add $10K ded if there is.</t>
  </si>
  <si>
    <t>Gant, Robert</t>
  </si>
  <si>
    <t>Westport IN PC10</t>
  </si>
  <si>
    <t xml:space="preserve">1946 updated frame home. PC10-FD 3-4 miles; visible; insds are retired; primary res. Prior carrier NRN due to Cane Corso dog. Reviewed online, ok. Agent wants to exclude barn. Had a 8/14 barn fire $23K paid. Provided copy of our exclusion. </t>
  </si>
  <si>
    <t>EHP rider? Cause of fire? Which oth str are we covering?</t>
  </si>
  <si>
    <t>Tholen, Lisa</t>
  </si>
  <si>
    <t>Carl Junction MO PC5</t>
  </si>
  <si>
    <t>Day care</t>
  </si>
  <si>
    <t>1993 frame home. Daycare has 8 + 2 part time children. They are getting a GL with USLI.</t>
  </si>
  <si>
    <t>Approved as a homeowners - do not add our in home daycare. We will rely on policy exclusions. Add $100-$150 for our potential to have to defend should something happen.</t>
  </si>
  <si>
    <t>Winton, Wendy</t>
  </si>
  <si>
    <t>Milpitas CA PC10</t>
  </si>
  <si>
    <t>TIV&gt;$3M/ PC</t>
  </si>
  <si>
    <t>1987 frame home with tile roof. PC10 ok-paid FD 3.7 mi away; 11 min resp; 200' brush clearance-low brush; visible, paved, accessible.</t>
  </si>
  <si>
    <t>Perley, Michael</t>
  </si>
  <si>
    <t>Huntington Beach CA PC4</t>
  </si>
  <si>
    <t>1979 home, all updated. 2012 $106K toilet overflow; 2013 $31K pipe broke.  Nice home per online. Insd is doctor. Tile roof</t>
  </si>
  <si>
    <t>Truckee CA PC 5</t>
  </si>
  <si>
    <t>Possible business on premises per app and web search. Asked Danielle to investigate. Turned out to be mail order vitamin/supplment business No foot traffic.</t>
  </si>
  <si>
    <t>Currently with Scottsdale. Agreed to offer terms w/no water backup, $25K water ded. 10% surcharge.</t>
  </si>
  <si>
    <t>2016 new purchase/build. Med brush. Fully alarmed and sprinklered. Insured is owner of Martin Resorts.</t>
  </si>
  <si>
    <t>Sisson, Peter</t>
  </si>
  <si>
    <t>Sloughhouse CA PC4</t>
  </si>
  <si>
    <t>1952 home w/full recent updates to all but plumbing which is partial- mix of galvanized and copper. Animal boarding kennel on premises insured w/Firemans Fund. Low brush.</t>
  </si>
  <si>
    <t xml:space="preserve">Approve subject to Animal excl; business excl; $5k water ded (due to galvanized). Remove coverage B as they don't need it. (Flexible on this request) </t>
  </si>
  <si>
    <t>2005 rear and sides are basement, front is fully accessible. Outside woodstove-can't tell if homemade and if meets specs. Looks close to home. Matt advises it is installed by the manufacture. Not a wood boiler.</t>
  </si>
  <si>
    <t>Carey, Kate</t>
  </si>
  <si>
    <t>Cass Lake, MN PC10</t>
  </si>
  <si>
    <t>PC10/Island</t>
  </si>
  <si>
    <t>1973 home updated acceptably. On Star Island - 60 homes. Mainland vlunteer FD takes fireboat to island if there is a fire. Scottsdale quoted.</t>
  </si>
  <si>
    <t>Per Jeff May discussion, any risk on an island could be a total, that is why this falls to E&amp;S. Approved since it is a lower coverage A.</t>
  </si>
  <si>
    <t>AL</t>
  </si>
  <si>
    <t>Janet</t>
  </si>
  <si>
    <t>Est of Fazende</t>
  </si>
  <si>
    <t>HO3/DP3</t>
  </si>
  <si>
    <t>Picayune MS PC5</t>
  </si>
  <si>
    <t>Insd Deceased</t>
  </si>
  <si>
    <t>1986 home, roof updated in 2006. Insured passed away; son is living in home. HO3 or DP3.</t>
  </si>
  <si>
    <t>Advised Janet if son is full time occupant he is an insured and HO3 is okay. If just caretaker, need DP3 Vacant.</t>
  </si>
  <si>
    <t>Rush ME</t>
  </si>
  <si>
    <t>Maine PC5</t>
  </si>
  <si>
    <t>Flip</t>
  </si>
  <si>
    <t>1915 home w/updates within 20 years.</t>
  </si>
  <si>
    <t>Spotsylvania VA PC10</t>
  </si>
  <si>
    <t>Bahmani, Carole</t>
  </si>
  <si>
    <t>Vacant PC10</t>
  </si>
  <si>
    <t>2005 home w/central station alarms. Insured moving from CA to VA. Will be primary occupancy when they move. 16 acres. 11 min response from paid FD, visible, accessible.</t>
  </si>
  <si>
    <t>Good response, visible, accessible. Alarmed</t>
  </si>
  <si>
    <t>Insured having licensed contractor do the work.</t>
  </si>
  <si>
    <t>Rokhsar</t>
  </si>
  <si>
    <t>Woodshake Roof</t>
  </si>
  <si>
    <t>1949 home updated in 1993 w/woodshake roof. High brush zone. Agt says Larry approved in the past (??). Alarmed.</t>
  </si>
  <si>
    <t>Asked for more info on the approval as I'm pretty strict about 22 year old wood roof in a high brush zone.</t>
  </si>
  <si>
    <t>Vanessa came back on 3/8 and advised use is seasonal. Reviewed and it is still acceptable.</t>
  </si>
  <si>
    <t>Gissel, David</t>
  </si>
  <si>
    <t>Los Angeles CA PC5</t>
  </si>
  <si>
    <t>Toano, VA PC10</t>
  </si>
  <si>
    <t>2007 home, central fire/burglar.</t>
  </si>
  <si>
    <t>Approved subject to confirmation of 15 minute or less response time.</t>
  </si>
  <si>
    <t>Rutherford, Duston</t>
  </si>
  <si>
    <t>Simi Vally CA PC5</t>
  </si>
  <si>
    <t>Horse board/ride</t>
  </si>
  <si>
    <t>1980 modular home not updated. Internet shows horse boarding/riding business. Agt to exclude animals and roof.</t>
  </si>
  <si>
    <t>Questions: Need Coml policy and separation.</t>
  </si>
  <si>
    <t>1138 Bushwick LLC</t>
  </si>
  <si>
    <t>Brooklyn NY PC2</t>
  </si>
  <si>
    <t xml:space="preserve">2015 home (gutted/remodeled in 2015 due to prior total fire loss). 3 fam rental in Brooklyn NY. </t>
  </si>
  <si>
    <t xml:space="preserve">Discussed location with Jeff. Ok, but don't fight for rate. Lloyds is about same premium. Agt will get fire marshall report. </t>
  </si>
  <si>
    <t>Baker, Shelli</t>
  </si>
  <si>
    <t>Santa Clara CA PC4</t>
  </si>
  <si>
    <t>Exclude 2 rentals</t>
  </si>
  <si>
    <t>1920 dwelling updated in 00-12 with 2 rental dwellings on the same property. Agt is excluding for PD but extending liab from the policy for $150 addl prem.</t>
  </si>
  <si>
    <t>Nejat, Sara</t>
  </si>
  <si>
    <t>Pine Mountan CA PC4</t>
  </si>
  <si>
    <t xml:space="preserve">HO3 Seasonal </t>
  </si>
  <si>
    <t>Log home</t>
  </si>
  <si>
    <t>1990 seasonal. No updates.</t>
  </si>
  <si>
    <t>Questioned $202 SF covg A-should be more like $300. Brush clearance? Roof? 25 years old-ACV or excl?</t>
  </si>
  <si>
    <t>Berkman, Peter</t>
  </si>
  <si>
    <t>Wallace, Trago</t>
  </si>
  <si>
    <t>Templeton CA PC6</t>
  </si>
  <si>
    <t>2005 frame home. Parents live in guest house on property. Insd has medical supply business but not on this prop.</t>
  </si>
  <si>
    <t xml:space="preserve">Demolition and ground up construction starting 6/1/16. Declined - Advised Jeff we are not comfortable with a demolition situation.  He came back and asked if we could offer terms if demo was complete.  Risk is $3.5M expected completed value. </t>
  </si>
  <si>
    <t>Brown, Georgie</t>
  </si>
  <si>
    <t xml:space="preserve">Wofford Heights CA </t>
  </si>
  <si>
    <t>1965 home w/woodstove as primary heat. Nonrenewed by Foremost for this reason.</t>
  </si>
  <si>
    <t>Woodstove as primary is unacceptable, even more of a concern as a rental. I scrutinize those even for supplemental heat.</t>
  </si>
  <si>
    <t>Evans, Katherine</t>
  </si>
  <si>
    <t>Piney Pt MD PC10</t>
  </si>
  <si>
    <t>1950 home updated in 2010. Located on the sound. No info on response time.</t>
  </si>
  <si>
    <t>Asked for distance to FD, response time, fully accessible on paved roads.</t>
  </si>
  <si>
    <t>Kirkland, Jason</t>
  </si>
  <si>
    <t>Williamsburg VA PC10</t>
  </si>
  <si>
    <t>PC10 Log Home</t>
  </si>
  <si>
    <t>2000 Log home w/no info on type. PC10, no info on response time.</t>
  </si>
  <si>
    <t>Cusing, George</t>
  </si>
  <si>
    <t xml:space="preserve"> SF County PC2</t>
  </si>
  <si>
    <t>Total fire</t>
  </si>
  <si>
    <t>New builders risk from the ground up. Clue shows total fire 6/14 for $383,795. Insd did not disclose. Agt requoted and wanted rate approval.</t>
  </si>
  <si>
    <t xml:space="preserve">Asked for fire loss detail? Subro was noted on Clue. Details? Is there a Fire Marshall report? We may need it. They have 5% debit. Asked why. </t>
  </si>
  <si>
    <t>Martin, Glen</t>
  </si>
  <si>
    <t>3rd yr of construction</t>
  </si>
  <si>
    <t>2008 home being renovated. 2 years with Lex, 3rd term w/another carrier who NRN's 6 month policy.</t>
  </si>
  <si>
    <t>We have poor experience with 2nd/3rd year builders risk policies.</t>
  </si>
  <si>
    <t>Wilson, Darryl</t>
  </si>
  <si>
    <t>TIV&gt;$2M</t>
  </si>
  <si>
    <t xml:space="preserve">1953 fully updated home. Inspection drove it above authority. Inspection looks good-there are cones and string along exterior edge of insured home. </t>
  </si>
  <si>
    <t>Alison emailed on 3/11/16. Insured has had another loss - wind with damage to roof, stained glass window, and some water damage. Requoted for prem of $10,317. (3 losses + 10% s/c)</t>
  </si>
  <si>
    <t>Ohm, Terry</t>
  </si>
  <si>
    <t>Lakeport CA PC10</t>
  </si>
  <si>
    <t>2011 home with 28 minute response time. In brush zone. Also 63 acres. Ramp and stairs have no rail - possible liab issue.</t>
  </si>
  <si>
    <t>Was considering pushing our 15 minute response max with a surcharge, but it is in brush zone, so not comfortable. Great submission as this isn't something we've encountered before.</t>
  </si>
  <si>
    <t>Rober, Kathy</t>
  </si>
  <si>
    <t>Bradford PA PC9</t>
  </si>
  <si>
    <t xml:space="preserve">Vacant </t>
  </si>
  <si>
    <t>2003 home in mid-remodel. Insured's husband passed. Selling home as is, need vacant coverage.</t>
  </si>
  <si>
    <t>Approved pending confirmation of mold issue professionally remediated/tested. Don't want to be on it indefinitely. Also moral hazard.</t>
  </si>
  <si>
    <t>Harrill</t>
  </si>
  <si>
    <t>Tarson, Keith</t>
  </si>
  <si>
    <t>2014 home. Risk meter unable to find address, so an address close by was used. Is in a low brush zone, but we are charging for brush as it is on the cusp of a high zone. Insured is hoping to purchase home at auction this week. Offered terms with $5k deductible, pure prem is at $7,400.</t>
  </si>
  <si>
    <t xml:space="preserve">This will be insured's primary home. If aqcuired, he will be paying cash at auction. Photos on zillow look good. </t>
  </si>
  <si>
    <t>Fuller, Paul &amp; Caroline</t>
  </si>
  <si>
    <t>kit home</t>
  </si>
  <si>
    <t>log kit, lower valued. Confirmed cleared of brush and requested ded of min $2500; reviewed with Louisa and offered terms</t>
  </si>
  <si>
    <t>Big Bear City CA PC 5</t>
  </si>
  <si>
    <t>Poway CA PC1 alternate 9/10</t>
  </si>
  <si>
    <t>Shomof, Izek</t>
  </si>
  <si>
    <t>Beverly Hills CA PC4</t>
  </si>
  <si>
    <t>TIV&gt;$3M PC10</t>
  </si>
  <si>
    <t xml:space="preserve">2011 home high brush zone. </t>
  </si>
  <si>
    <t>Burdine</t>
  </si>
  <si>
    <t>Patterson/Trott</t>
  </si>
  <si>
    <t>Jeff checked AAL rating. A little light. Nichole checking curr prem and competition. Finally offered terms at $10,900 prem. (per Jeff need $10,850 to be competitive). (Agt wrote back on 2/18/16 and increased Cov A from $3,350,000 to $4M making total TIV $5M. I re-rated using Jeff's AAL computation and offered terms at $13K). (3rd request on 3/16/16 for $4.5MTIV w/5% ded. I offere $9575. x-wind $8813)</t>
  </si>
  <si>
    <t>PC10 345 acres</t>
  </si>
  <si>
    <t>No commercial use, no business, no animals. Pond is water source.</t>
  </si>
  <si>
    <t xml:space="preserve">Asked for placement on 345 acres and response time.// Turns out house is in middle of the property and the fire department accessible road is not yet finished. </t>
  </si>
  <si>
    <t>Boulder Circle LLC</t>
  </si>
  <si>
    <t>Breckenridge CO PC2</t>
  </si>
  <si>
    <t>2006 home in medium brush. &lt;150' clearance. Wood shake roof.</t>
  </si>
  <si>
    <t>Wood shake. Verified with Jeff</t>
  </si>
  <si>
    <t>Perrotto, Dave</t>
  </si>
  <si>
    <t>Omaha NE PC2</t>
  </si>
  <si>
    <t>Daycare 6 kids</t>
  </si>
  <si>
    <t>1999 frame home w/prior hail loss $20K in 2013. 6 children. Pool w/slide.</t>
  </si>
  <si>
    <t xml:space="preserve">Do not add Markel daycare as max is 5 children. Insd has coml policy. Add pool exclusion. Approved pending $100-$150 addl prem (to cover for defending losses). </t>
  </si>
  <si>
    <t>Gatherum, Gary</t>
  </si>
  <si>
    <t>Pine Meadow UT PC10</t>
  </si>
  <si>
    <t>PC10/Not accessible</t>
  </si>
  <si>
    <t>1978 frame home. PC10. Primary heat is a fireplace. Not accessible year round. Still has plumbing and electric. Cabin not used in winter.</t>
  </si>
  <si>
    <t>Concern if there is a fire, it will be a total. (There is still wiring).  Concern of freezing loss even when insured is there. Exposed pipes in crawl.</t>
  </si>
  <si>
    <t>Nunes, Diane</t>
  </si>
  <si>
    <t>DP3 rental</t>
  </si>
  <si>
    <t>Mfg home on perm fndn</t>
  </si>
  <si>
    <t>2006 manufactured home on permanent foundation. He said Vanessa said we could take. I told her we could take "modulars".</t>
  </si>
  <si>
    <t>Graham, Jeffrey</t>
  </si>
  <si>
    <t>Summerland CA PC3</t>
  </si>
  <si>
    <t>New construction appx 20% completed. Insd doesn't like agent. Expected completion 5/17. Low brush.</t>
  </si>
  <si>
    <t>Anton Baker LLC</t>
  </si>
  <si>
    <t>San Rafael CA PC3</t>
  </si>
  <si>
    <t>1912 Home fully gutted in 2012. Validated this in online Zillow description.  In LLC name. Esther Torres is only member and occupant.</t>
  </si>
  <si>
    <t>In LLC for tax purposed.</t>
  </si>
  <si>
    <t>Hanks, Jason</t>
  </si>
  <si>
    <t xml:space="preserve">Lemon Grove CA </t>
  </si>
  <si>
    <t>Appliances outside</t>
  </si>
  <si>
    <t xml:space="preserve">Agent questioned if we had an issue with appliances outside behind house. They are on a cement pad with a roof overhang.  </t>
  </si>
  <si>
    <t>I advised this is an attractive nuisance and suggested removing, securing, or building a better railing and gate around the porch they are on.</t>
  </si>
  <si>
    <t>Charlotte</t>
  </si>
  <si>
    <t>O'Brien, Thomas</t>
  </si>
  <si>
    <t>HO6 Seasonal</t>
  </si>
  <si>
    <t>Cincinnati OH</t>
  </si>
  <si>
    <t>Agent is not authorized to write in Ohio currently.</t>
  </si>
  <si>
    <t>Advised to have Tim contact us if they want us to consider adding Ohio and I could check.</t>
  </si>
  <si>
    <t>Ohio Condo?</t>
  </si>
  <si>
    <t>Soleimani, David</t>
  </si>
  <si>
    <t>Named Insured</t>
  </si>
  <si>
    <t>Garcia, Clemente</t>
  </si>
  <si>
    <t>San Francisco CA PC1</t>
  </si>
  <si>
    <t>Rental use</t>
  </si>
  <si>
    <t>2013 home new purchase. 4 units - 2 rented full time; 2 rented short term.  Sprinklers; no fire alarm. Burglar alarm.</t>
  </si>
  <si>
    <t>Require 3 day minimum rental. Sprinklers ok in lieu of fire alarm. Verify no commercial units in building.</t>
  </si>
  <si>
    <t>Taylor, Jim</t>
  </si>
  <si>
    <t xml:space="preserve">Lake Tahoe CA </t>
  </si>
  <si>
    <t>1928 log home designed by renowned architect Julia Morgan (Hearst Castle). Updated in 90's. Hand hewn logs w/wood interior.</t>
  </si>
  <si>
    <t>Suggest $500/SF and 10% surcharge to total premium.</t>
  </si>
  <si>
    <t>Burrell</t>
  </si>
  <si>
    <t>Tamara</t>
  </si>
  <si>
    <t>Isle of Palms SC PC 4</t>
  </si>
  <si>
    <t>Reduce rate?</t>
  </si>
  <si>
    <t>Can we match Lex rate of $4916? I ran AAL and it is coming in at $5700 with wind and non-wind. Our quote is at $5875. Left as is.</t>
  </si>
  <si>
    <t>Hardy, Paul</t>
  </si>
  <si>
    <t>Ohio PC4</t>
  </si>
  <si>
    <t>1 night rental</t>
  </si>
  <si>
    <t>Insured is renting out single bedroom through AIRBNB/VRBO for one night at a time.</t>
  </si>
  <si>
    <t>Davis, Dennis</t>
  </si>
  <si>
    <t>HO3 Secondary</t>
  </si>
  <si>
    <t>2003 Secondary. Pipes updated to PEX after 2013 $70K freezing loss. Not in brush zone. No alarms.</t>
  </si>
  <si>
    <t>Loss/No alarm</t>
  </si>
  <si>
    <t>Secondary home, high value with no alarms.  Would offer terms is they would install a central station alarm.</t>
  </si>
  <si>
    <t>Shaver Lake CA  PC6</t>
  </si>
  <si>
    <t>Sears, Richard</t>
  </si>
  <si>
    <t>Bessemer PA PC5</t>
  </si>
  <si>
    <t>Commercial zone</t>
  </si>
  <si>
    <t>Asked Matt to verify year built, SF, and Cov A. Advised of $10K water ded for flat roof.</t>
  </si>
  <si>
    <t>"1970" 6000 SF veneer building. Lower level was commercial. Now converted to all 1 residence. Online shows 1925 9525 SF. Roof appears flat. Cov A is low for even 6000 SF. Ins score is very good, so less concerned about RC/MV gap.</t>
  </si>
  <si>
    <t>Leslie</t>
  </si>
  <si>
    <t>Glynn, Doris</t>
  </si>
  <si>
    <t>Ophir CO PC10</t>
  </si>
  <si>
    <t>2006 home with greenhouse. Non-prof installed woodstove used to heat water feature in greenhouse. Fire department is 13 miles away with 30 minute response time. (Noted project list to add this as a criteria - looking for 20 minute response time max.)</t>
  </si>
  <si>
    <t>Woodstove clearance to combustible wall is 18". Typically require 36". Also, PC 10 w/30 min response time is a concern if there is a fire.</t>
  </si>
  <si>
    <t>Anderson, Darren</t>
  </si>
  <si>
    <t>Alpine CA PC10</t>
  </si>
  <si>
    <t>Smith, Ron</t>
  </si>
  <si>
    <t>Forest Ranch CA PC9</t>
  </si>
  <si>
    <t>2016 home on 21 acres. No alarms, insured is retired. Med/high brush area. 4 minute response. Situated no more than 200' from road. Paved, accessible, visible.</t>
  </si>
  <si>
    <t>Approved pending confirmation of 150' brush clearance, no lapse, no losses.</t>
  </si>
  <si>
    <t>Machiel, Russell</t>
  </si>
  <si>
    <t>Woodland CA PC8B</t>
  </si>
  <si>
    <t>Insd is contractor</t>
  </si>
  <si>
    <t xml:space="preserve">Insured started construction 1 year ago overseen by a licensed contractor. Expects completion in early 2017. </t>
  </si>
  <si>
    <t>Need licensed builder in charge. Insured builds take a long time as they do it in their free time. More likelihood of loss.</t>
  </si>
  <si>
    <t>Encino CA PC2</t>
  </si>
  <si>
    <t>1976 home updated in 2010. Home is in father's name.  Pool exclusion will be applied.  Insured is VP for family business JH Minassian &amp; co.</t>
  </si>
  <si>
    <t xml:space="preserve">Policy in titled owners name but HO3 owner occupied okay. </t>
  </si>
  <si>
    <t>Aquino, George</t>
  </si>
  <si>
    <t>Bass Lake CA  PC9</t>
  </si>
  <si>
    <t>No full updates</t>
  </si>
  <si>
    <t>1964 home w/partial updates to systems. Full roof update (metal 1994). Low brush. 6 miles to FD, 12 min response.</t>
  </si>
  <si>
    <t>Lepore, Chris</t>
  </si>
  <si>
    <t>Mattituck NY PC3</t>
  </si>
  <si>
    <t>1982 frame home w/updates. &lt;1 mi from waters. Rents out cottage on property. Leases portion of acreage to coml nursery.</t>
  </si>
  <si>
    <t>Approved subject to confirmation the rental cottage is a dwelling, not for commercial use.</t>
  </si>
  <si>
    <t>Silva, Paul</t>
  </si>
  <si>
    <t>Fairview PA PC9</t>
  </si>
  <si>
    <t>Brady, Michael</t>
  </si>
  <si>
    <t>Waive Insp/TIV&gt;$3M</t>
  </si>
  <si>
    <t>1979 home updated in 2000. High value inspection completed &lt;1 year ago, can we waive new insp? Brush is confirmed to be 150' clearance w/annual confirmation by FD.</t>
  </si>
  <si>
    <t>Approved pending exterior inspection to confirm no hazards and good condition. Reminder not to leave money on the table.</t>
  </si>
  <si>
    <t>Sala, Taunja</t>
  </si>
  <si>
    <t>Open total fire loss</t>
  </si>
  <si>
    <t>New COC rebuilding from total fire loss (Butte fire). Open claim $445,000. Insured wants new carrier to rebuild. In medium brush.</t>
  </si>
  <si>
    <t>Approved pending we are getting adequate premium (don’t hesitate to debit) and there are no disputes with the claim.</t>
  </si>
  <si>
    <t>1946 home updated in 2009 with 1 prior wind loss. Insured has bankruptcy in 2014 due to medical and business debt.  Bankruptcy is now discharged.  Has active medical collections.  PC 9 visible, accessible, good response time.</t>
  </si>
  <si>
    <t>Long, Robert</t>
  </si>
  <si>
    <t>Dana Point CA</t>
  </si>
  <si>
    <t>Waive loss</t>
  </si>
  <si>
    <t>1989 home vacant and for sale. 3 month policy. Agent overlooked disclosing $0 water damage/roof leak loss. Insured withdrew as it was under deductible. Appear there is a flat roof and agent didn't apply $10K water ded. Use that as a compromise on the loss.</t>
  </si>
  <si>
    <t>Toback, Fabienne</t>
  </si>
  <si>
    <t>Robinson, Rod</t>
  </si>
  <si>
    <t>Wood roof</t>
  </si>
  <si>
    <t>1947 home updated in 1999 with wood roof in brush zone. Per inspection large pine tree overhangs. Med brush per RM.</t>
  </si>
  <si>
    <t>For wood roofs in a brush zone, we are not writing these unless the roof is new and there is proof it is a manufactured fire-resistant wood shingle/shake.  (Not aftermarket fire resistance treatment.)</t>
  </si>
  <si>
    <t>Boudreaux, Steve</t>
  </si>
  <si>
    <t>Alma CO PC9</t>
  </si>
  <si>
    <t>TIV &gt; $5M PC9</t>
  </si>
  <si>
    <t>2008 frame home. PC9 - FD is 5 miles away; 10-15 min response; accessible; visible.</t>
  </si>
  <si>
    <t>California</t>
  </si>
  <si>
    <t>Insd is builder</t>
  </si>
  <si>
    <t>New COC where insured is the owner/builder and responsible for all permits, etc.</t>
  </si>
  <si>
    <t>Advised Bobbi we are not taking these situations at this time.</t>
  </si>
  <si>
    <t>McFadden, Joseph</t>
  </si>
  <si>
    <t>No heat update</t>
  </si>
  <si>
    <t>1930 home. Heating serviced in 2015 but not updated. (UW requirements that all be updated to offer FRC vs ACV) Elec/Plumb 92; roof 2012. Low brush. PC10 - visible, accessible, confirmed short response time to FD 1 mile away.</t>
  </si>
  <si>
    <t>Approved writing FRC pending acceptable service record for furnace and acceptable inspection showing home in good condition.</t>
  </si>
  <si>
    <t>Camp Nelson CA PC10</t>
  </si>
  <si>
    <t>Heirloom 1 LLC</t>
  </si>
  <si>
    <t>Response time &gt; 20 min</t>
  </si>
  <si>
    <t>2000 built main dwelling (log veneer) and two small cabins purchased by LLC for use as secondary residences. LLC consists of "a few guys" per Allison. No liability requested since they lease some of the land to farmers. (They were nrn'd by Firemans Fund because of this.)</t>
  </si>
  <si>
    <t>Pagosa Springs CO PC10</t>
  </si>
  <si>
    <t xml:space="preserve">Online shows log but Allison says it is frame w/log veneer.  </t>
  </si>
  <si>
    <t>Cogdill, Earl</t>
  </si>
  <si>
    <t>HO3 Primary/&lt;9 weeks Rental</t>
  </si>
  <si>
    <t>Grand Junction CO PC2</t>
  </si>
  <si>
    <t xml:space="preserve">VRBO occasionally </t>
  </si>
  <si>
    <t>1978 home. When insureds travel, they will rent out their home for 3 night min thru VRBO.</t>
  </si>
  <si>
    <t>Ben</t>
  </si>
  <si>
    <t>Felder Fam Trust</t>
  </si>
  <si>
    <t>Oroville CA PC9</t>
  </si>
  <si>
    <t>TIV&gt;$1.5M</t>
  </si>
  <si>
    <t>1985 frame home. In brush. 85 acres. 7 minute response time from FD 3 miles away.</t>
  </si>
  <si>
    <t>Approved subj to verif that the home sits a reasonable distance off road and has an accessible driveway. Also adequate brush clearance.</t>
  </si>
  <si>
    <t>Approved pending acceptable explanation about what the issue is with the retaining wall.</t>
  </si>
  <si>
    <t>1949 home. Fully updated plumbing and heating. Partial wire update. 1 water loss 1/14 $90 K pipe burst. Prior carrier NRN for retaining wall within 10' of home.  Response back after checking indicates roof is 10 yrs old and elec has been updated. It is 100 amp, no knob/tube. Advised FRC required due to not gutted.</t>
  </si>
  <si>
    <t>2007 home in medium brush. Issues include location/pc10; construction equipment; trust; greenhouse. Home may have sprinklers. We could exclude equipment. Insured wants no covg B. Location/PC checks out</t>
  </si>
  <si>
    <t>Turns out fire started by barbeque.  Louisa declined when I was out of the office.</t>
  </si>
  <si>
    <t>Approved subject to making sure there is nothing of concern with the cones. Turns out there was not. Road was being repaved.</t>
  </si>
  <si>
    <t>Can't write manufactured or mobile homes on this program. Forwarded detailed email with photos of both types and explanation to Hull offices.</t>
  </si>
  <si>
    <t>Minimum 3 nights required in an owner occupied case like this per Jeff. We are looking at AIRBNB issue overall.</t>
  </si>
  <si>
    <t>Emailed list of additional questions. Jeff wants us to run a FireLine. Trying to get access.</t>
  </si>
  <si>
    <t>Mar</t>
  </si>
  <si>
    <t>Hull Co</t>
  </si>
  <si>
    <t>Philadelphia</t>
  </si>
  <si>
    <t>Builder doing own work</t>
  </si>
  <si>
    <t>Insured has a current home, all updated. He is a licensed contractor and is going to add his own additional and garage. He is subbing out the plumbing.</t>
  </si>
  <si>
    <t>We can't write business for a contractor doing their own work as we have no subro opportunity among other issues.</t>
  </si>
  <si>
    <t>Sprinkle, John</t>
  </si>
  <si>
    <t>Falling Waters WV PC10</t>
  </si>
  <si>
    <t>Total fire still open</t>
  </si>
  <si>
    <t>Total fire loss due to faulty bathroom fan. Subrogated. Claim is still open, but insured is starting rebuild. PC10</t>
  </si>
  <si>
    <t>Alia</t>
  </si>
  <si>
    <t>Huffines</t>
  </si>
  <si>
    <t>South Carolina PC4</t>
  </si>
  <si>
    <t>Rate reduction</t>
  </si>
  <si>
    <t>Rate is coming in at .76, can we reduce to .70. Sent AAL spreadsheet as she says she is getting a lot of these from a good producer. Run thru AAL when it comes back. Also need to remind her TIV required submission.</t>
  </si>
  <si>
    <t>Estate of Vince Morales</t>
  </si>
  <si>
    <t>Stockton CA PC3</t>
  </si>
  <si>
    <t>Waive roof exclusion</t>
  </si>
  <si>
    <t>1940 home with lapse, prior carrier Fair Plan, not in brush. Was renovated in 2014-15. Roof has tiles replaced as needed, but is original. App says vacant; email cover says rental. Need more info on use.</t>
  </si>
  <si>
    <t>Approve with roof exclusion; can't do ACV due to age, lapse, and prior carrier.</t>
  </si>
  <si>
    <t>Russell, Jeremy</t>
  </si>
  <si>
    <t>Mission Viejo CA</t>
  </si>
  <si>
    <t>Loss Surcharge</t>
  </si>
  <si>
    <t>We approved w/3 prior water losses from 11-15. A 4th loss was found when A+ was run. This was a $0 loss that the insured covered themselves and susequently replumbed the entire house. We have a certificate from contractor. $7500 ded, and loss s/c for other losses. Agreed to waive this 4th loss as I think we won't have any more.</t>
  </si>
  <si>
    <t>Hudson, Thomas</t>
  </si>
  <si>
    <t>Santa Rosa Valley CA PC10W</t>
  </si>
  <si>
    <t>PC 10W/4</t>
  </si>
  <si>
    <t>Can't make exception to PC and reduce rate in an extreme brush area.</t>
  </si>
  <si>
    <t>Tiger CQ came back with $24,019 wind rate and $935 non-wind = $24,954. Agt wanted to quote $35,000 prem.  Approved.</t>
  </si>
  <si>
    <t>Kiawah Island SC PC4</t>
  </si>
  <si>
    <t>2016 home rating coming in at .76. Wanted .70. Quoted in Tiger CQ and approved .70</t>
  </si>
  <si>
    <t>Occupancy?</t>
  </si>
  <si>
    <t xml:space="preserve">Home where client moved out, niece lives there 3 nights a week, insured checks on it 5 days a week. Gated comm w/24 hour patrol. </t>
  </si>
  <si>
    <t>Agreed to rate as DP3 Rental</t>
  </si>
  <si>
    <r>
      <t xml:space="preserve">1976 home w/updates. Aspen has this rated as PC4. PPC is 10W/4/9. Alex wants us to beat $9K prem. Our PC4 is 6676. PC10 is 12,270.  </t>
    </r>
    <r>
      <rPr>
        <sz val="11"/>
        <color rgb="FFFF0000"/>
        <rFont val="Calibri"/>
        <family val="2"/>
        <scheme val="minor"/>
      </rPr>
      <t>RM shows high. FireLine shows extreme. Copy of report in Temporary file. Due to FireLine report, I felt comfortable declining a request for an exception.</t>
    </r>
  </si>
  <si>
    <t>Baker, Michael</t>
  </si>
  <si>
    <t>Crowley Lake CA PC5</t>
  </si>
  <si>
    <t>1998 custom home frame w/log veneer. Insp is 3 years old but agt increased Covg A. Coming in just under Lloyds premium. Not in brush, but agent added brush s/c with 5% credit.</t>
  </si>
  <si>
    <t>Approved requesting new inspection.</t>
  </si>
  <si>
    <t>1 year policy</t>
  </si>
  <si>
    <t>Asked for unprotected questionnaire and other info in email. Info came back, re-evaluated. Was pending, converted to Approved.</t>
  </si>
  <si>
    <t>Bisgaard, Peter</t>
  </si>
  <si>
    <t>Spring City, UT 84662  PC4</t>
  </si>
  <si>
    <t>Woodside CA PC3</t>
  </si>
  <si>
    <r>
      <t xml:space="preserve">1964 home w/ partial updates. Prior water loss to home. New purchase for insured. Still a concern. </t>
    </r>
    <r>
      <rPr>
        <sz val="11"/>
        <color rgb="FFFF0000"/>
        <rFont val="Calibri"/>
        <family val="2"/>
        <scheme val="minor"/>
      </rPr>
      <t>Per RM, low brush; per FireLine Score 9 High brush. Ran hail - Score 1 - no exposure.  No alarms or sprinklers. $2500 ded.</t>
    </r>
  </si>
  <si>
    <t>Papayans, Sheila</t>
  </si>
  <si>
    <t>Eff date</t>
  </si>
  <si>
    <t xml:space="preserve">Retail agent requested bind eff 4/1/16. Hull had given a Lex and a Markel quote and bound Lex in error. Approved 4/1/16 eff date if bind was received on or before 4/1/16. </t>
  </si>
  <si>
    <t>If there were losses, I asked to review file before binding.</t>
  </si>
  <si>
    <t>Approved but need $10,000 deductible or alarms. No credits. Provided copy of FireLine. Lisa applied brush, but I didn't realize it since it was a low rating.  Agreed to give her 5% credit. We are stil high and I don't expect to get this.</t>
  </si>
  <si>
    <t>Keeter, Jack</t>
  </si>
  <si>
    <t>Anaheim CA PC2</t>
  </si>
  <si>
    <t>Approved subject to Allison confirming the baseball field in backyard per 2010 photos online is either gone or ONLY used for personal use.</t>
  </si>
  <si>
    <t>Nahorai, Hagir</t>
  </si>
  <si>
    <t>Addl Insured</t>
  </si>
  <si>
    <t>HO6 where condo association wants to be listed as AI because the insured has an EV vehicle charging station. Bylaw copy provided.</t>
  </si>
  <si>
    <t>Our AI form has a section for description and limits exposure to us providing cancel/NRN forms. No covg provided.</t>
  </si>
  <si>
    <t>Fleming, Terry</t>
  </si>
  <si>
    <t>Murrieta CA PC4</t>
  </si>
  <si>
    <t>Motocross Track</t>
  </si>
  <si>
    <t>Consider x-liability. Attractive nuisance and liability hazard. Track is personal use limited hours for insured and kids. Still said x-liab okay. Home okay.</t>
  </si>
  <si>
    <t>Watkins, Jeff</t>
  </si>
  <si>
    <t>Lake Arrowhead CA PC5</t>
  </si>
  <si>
    <r>
      <t xml:space="preserve">1963 home updated in 2015 with gut/remodel. </t>
    </r>
    <r>
      <rPr>
        <sz val="11"/>
        <color rgb="FFFF0000"/>
        <rFont val="Calibri"/>
        <family val="2"/>
        <scheme val="minor"/>
      </rPr>
      <t xml:space="preserve">Not in brush, confirmed with FireLine which showed negligible. </t>
    </r>
    <r>
      <rPr>
        <sz val="11"/>
        <color theme="1"/>
        <rFont val="Calibri"/>
        <family val="2"/>
        <scheme val="minor"/>
      </rPr>
      <t xml:space="preserve">Trampoline w/exclusion. </t>
    </r>
  </si>
  <si>
    <r>
      <t xml:space="preserve">1988 home, beautiful condition. Has a full motocross track in backyard. Backs up to area that looks like open cross country land. Has a separate driveway for the track. </t>
    </r>
    <r>
      <rPr>
        <sz val="11"/>
        <color rgb="FFFF0000"/>
        <rFont val="Calibri"/>
        <family val="2"/>
        <scheme val="minor"/>
      </rPr>
      <t>Brush is negligible per FireLine and low per RM</t>
    </r>
  </si>
  <si>
    <t>1995 home, partially updated. In brush - medium per RM, high per FireLine. Agent added 10% log surcharge. Only a streetview online - looks good.</t>
  </si>
  <si>
    <t>Moran, Jean</t>
  </si>
  <si>
    <t>South Haven MI PC4</t>
  </si>
  <si>
    <t>Asked Jill to investigate use. No mention in referral of rental.</t>
  </si>
  <si>
    <t>1973 home updated, reported to be seasonal use.  Online search shows website offering it as a rental. Current calendar is quite full. Description says home is for sale.</t>
  </si>
  <si>
    <t xml:space="preserve">MI </t>
  </si>
  <si>
    <t>Pratt, Brandy</t>
  </si>
  <si>
    <t>Grass Valley CA PC4</t>
  </si>
  <si>
    <r>
      <t xml:space="preserve">1991 home w/ heat and roof update in 2010.  1200 SF shop - no business exposure. </t>
    </r>
    <r>
      <rPr>
        <sz val="11"/>
        <color rgb="FFFF0000"/>
        <rFont val="Calibri"/>
        <family val="2"/>
        <scheme val="minor"/>
      </rPr>
      <t>In</t>
    </r>
    <r>
      <rPr>
        <sz val="11"/>
        <color theme="1"/>
        <rFont val="Calibri"/>
        <family val="2"/>
        <scheme val="minor"/>
      </rPr>
      <t xml:space="preserve"> </t>
    </r>
    <r>
      <rPr>
        <sz val="11"/>
        <color rgb="FFFF0000"/>
        <rFont val="Calibri"/>
        <family val="2"/>
        <scheme val="minor"/>
      </rPr>
      <t>brush - medium per RM. High per FireLine.</t>
    </r>
  </si>
  <si>
    <t>Approve subject to:  Jill is confirming no losses and no lapse. Online info says shop is 60x30=1800 SF. Photos show issue with rear deck railings missing. Balusters missing on shop rails. WBS pipe in shop photos. Adequate brush clearance.</t>
  </si>
  <si>
    <t>Ruth, Deborah</t>
  </si>
  <si>
    <t>HO3 Seasonl/Rental</t>
  </si>
  <si>
    <t>Malibu CA PC2</t>
  </si>
  <si>
    <r>
      <t xml:space="preserve">1978 home updates unknown at this time.  Alex said full updates when he called. Insd inherited from parents. Immediately across street from home. She is a homemaker. She parks cars there and uses it for visiting family overflow sleeping. There are central station alarms. We felt the vacant rate was harsh, but it's not owner occupied. </t>
    </r>
    <r>
      <rPr>
        <sz val="11"/>
        <color rgb="FFFF0000"/>
        <rFont val="Calibri"/>
        <family val="2"/>
        <scheme val="minor"/>
      </rPr>
      <t>Extremely low brush per RM. High per Fireline.</t>
    </r>
  </si>
  <si>
    <t>Approved pending update info. Used 20 weeks rented rate $7520. 4% s/c if no system updates.  Roof ACV or excl may apply if roof is not updated.</t>
  </si>
  <si>
    <t>Kristine- 734; Paul - 715  Both scores equate to a discounted rate, so I felt we could approve.  Asked for rush inspection and older home supplement.</t>
  </si>
  <si>
    <t>Oh, Colin</t>
  </si>
  <si>
    <r>
      <t xml:space="preserve">2007 primary condo. Insured had 2 prior water losses in 2015 and was nrn'd by State Farm. He is a cinematographer. No adverse information online and "not too famous".  </t>
    </r>
    <r>
      <rPr>
        <sz val="11"/>
        <color rgb="FFFF0000"/>
        <rFont val="Calibri"/>
        <family val="2"/>
        <scheme val="minor"/>
      </rPr>
      <t>Extremely low per RM. Negligible per FireLine.</t>
    </r>
  </si>
  <si>
    <t>Draxler, Paul</t>
  </si>
  <si>
    <t>Bodfish CA PC5</t>
  </si>
  <si>
    <t>Strawbale Const.</t>
  </si>
  <si>
    <r>
      <t xml:space="preserve">2016 frame and straw bale/stucco. No liability requested (seasonal). </t>
    </r>
    <r>
      <rPr>
        <sz val="11"/>
        <color rgb="FFFF0000"/>
        <rFont val="Calibri"/>
        <family val="2"/>
        <scheme val="minor"/>
      </rPr>
      <t>Medium per RM. Moderate per FireLine.</t>
    </r>
  </si>
  <si>
    <t>Discussed with Jeff.  We do not wish to be a market for straw bale construction.</t>
  </si>
  <si>
    <t>Contreras, Christina</t>
  </si>
  <si>
    <t>Foresthill CA PC? (3/9/10W)</t>
  </si>
  <si>
    <t xml:space="preserve">Approved subject to PPC verif, woodstove review, roof exclusion, brush clearance. </t>
  </si>
  <si>
    <t>Holzmann, Andy</t>
  </si>
  <si>
    <t>Temecula CA PC9</t>
  </si>
  <si>
    <t>Asked additional business questions. Would apply full business exclusion if we proceed. (It is being drafted by Karen-sent to her on 4/6/16)</t>
  </si>
  <si>
    <t>Lack, Geoffrey</t>
  </si>
  <si>
    <t>Pioneer CA PC6</t>
  </si>
  <si>
    <t>Dome home</t>
  </si>
  <si>
    <t>We are not a market for dome homes due to inability to get an accurate Covg A.</t>
  </si>
  <si>
    <r>
      <t xml:space="preserve">1986 frame home w/ alarms. New purchase. Ran PPC which shows 3, Burns says 9, Retail Agt says 10W. Verified w/ISO. </t>
    </r>
    <r>
      <rPr>
        <sz val="11"/>
        <color rgb="FFFF0000"/>
        <rFont val="Calibri"/>
        <family val="2"/>
        <scheme val="minor"/>
      </rPr>
      <t xml:space="preserve">Medium per RM. High per FireLine.  </t>
    </r>
    <r>
      <rPr>
        <sz val="11"/>
        <rFont val="Calibri"/>
        <family val="2"/>
        <scheme val="minor"/>
      </rPr>
      <t>Woodstoves in online photos. No roof updates noted.</t>
    </r>
  </si>
  <si>
    <r>
      <t xml:space="preserve">2016 seasonal home w/vineyard. No info on the business provided.  </t>
    </r>
    <r>
      <rPr>
        <sz val="11"/>
        <color rgb="FFFF0000"/>
        <rFont val="Calibri"/>
        <family val="2"/>
        <scheme val="minor"/>
      </rPr>
      <t>Extremely low per RM. Low per FireLine.</t>
    </r>
  </si>
  <si>
    <r>
      <t xml:space="preserve">1973 partially updated home. Roof fully updated in 2005.  </t>
    </r>
    <r>
      <rPr>
        <sz val="11"/>
        <color rgb="FFFF0000"/>
        <rFont val="Calibri"/>
        <family val="2"/>
        <scheme val="minor"/>
      </rPr>
      <t>Medium brush per RM. High per FireLine.</t>
    </r>
  </si>
  <si>
    <t>Logsdon, Dana</t>
  </si>
  <si>
    <t>PC10 &gt;$1.5M</t>
  </si>
  <si>
    <r>
      <t xml:space="preserve">2001 frame home. Insured is a roofer. Tile roof. Has alarms. $10K deductible.  Response time 7 minutes. Road accessible.  Adequate brush clearance.  Online photos show a fairly cleared area up on a bluff.  </t>
    </r>
    <r>
      <rPr>
        <sz val="11"/>
        <color rgb="FFFF0000"/>
        <rFont val="Calibri"/>
        <family val="2"/>
        <scheme val="minor"/>
      </rPr>
      <t>High brush per RM, high per FireLine.</t>
    </r>
  </si>
  <si>
    <t>Flat roof</t>
  </si>
  <si>
    <t xml:space="preserve">Alison wanted to waive or reduce the required $10K water damage ded for flat roof. </t>
  </si>
  <si>
    <t>Checked w/Jeff and we don't want to do it, even for CA. They still get rain.</t>
  </si>
  <si>
    <t>Brown, Leah</t>
  </si>
  <si>
    <t>Martha's Vineyard PC4</t>
  </si>
  <si>
    <t>1870 home</t>
  </si>
  <si>
    <t>1870 home - level of gut/remodel unknown - asked agent to check. Must be some level of being redone to qualify. Checked CQ rating and we are getting adequate rate.</t>
  </si>
  <si>
    <t>Marzola, Marco</t>
  </si>
  <si>
    <t>Yorba Linda, CA</t>
  </si>
  <si>
    <t>Remodel</t>
  </si>
  <si>
    <t xml:space="preserve">New purchase for insured. Will be vacant for 6 months, then will be renovated by insured's own contracting company. </t>
  </si>
  <si>
    <t>Adv unable to approve due to insured's company completing his rennovations (can't sue yourself in the event of a claim/subro)</t>
  </si>
  <si>
    <t>Jacques, Jerome</t>
  </si>
  <si>
    <t>Malibu, CA PC 4?</t>
  </si>
  <si>
    <t xml:space="preserve">tv producer-OK; but online details for home show: short-term rental situation (3-5 days), and use for events (wedding was held there before) and commercial/movie shoots. </t>
  </si>
  <si>
    <t>Advised rather 4+ days minimum; but need clarification on possible commercial uses of property for events and filming. Also FD over 5 miles so checking PC</t>
  </si>
  <si>
    <t>agreed to release terms w/ supplemental heating and plumbing rider as part of that inspection w/in UW  discovery period</t>
  </si>
  <si>
    <t>Babbs, Carlton &amp; Maia</t>
  </si>
  <si>
    <t>Walsenburg, CO PC10</t>
  </si>
  <si>
    <t>$100K</t>
  </si>
  <si>
    <t>standalone structure, builders risk</t>
  </si>
  <si>
    <t>ground-up pole barn construction, 3 month build, PC 10, viewable to neighbors, insured checking every weekend, requested at Dp3; eventually secondary home on prop</t>
  </si>
  <si>
    <t>approved terms as a builders risk Dp1 (confirmed w/Jeff OK to offer DP1 on barn under construction) on  barn only. Advised should home be constructed would need to resubmit for consideration</t>
  </si>
  <si>
    <t>Converted</t>
  </si>
  <si>
    <t>Mixey, Sherry</t>
  </si>
  <si>
    <t>1945 fully updated.</t>
  </si>
  <si>
    <t>HO3 Rental</t>
  </si>
  <si>
    <t>3 units - 1st floor used by insured seasonally, top 2 are vacation rentals.</t>
  </si>
  <si>
    <t>Evans, Eric</t>
  </si>
  <si>
    <t>Water loss still under repair</t>
  </si>
  <si>
    <t>Mullin, John</t>
  </si>
  <si>
    <t>Kramer, James</t>
  </si>
  <si>
    <t>150' brush clearance</t>
  </si>
  <si>
    <t>Debating on whether brush is covered</t>
  </si>
  <si>
    <t>Bowles, Lauren</t>
  </si>
  <si>
    <t>Actress - $300K premises liability</t>
  </si>
  <si>
    <t>Wells, Haroline</t>
  </si>
  <si>
    <t>DP3 Tenant</t>
  </si>
  <si>
    <t>Open Liab claims</t>
  </si>
  <si>
    <t>Approved. Tenant fell in perfectly fine hallway. Agent issued liability through Hudson.</t>
  </si>
  <si>
    <t>Trott/Patterson</t>
  </si>
  <si>
    <t>Zhang, Xiao</t>
  </si>
  <si>
    <t>Loss History</t>
  </si>
  <si>
    <t>W&amp;E Acres LLC</t>
  </si>
  <si>
    <t>10 acres - 1 used for home; other 9 for business</t>
  </si>
  <si>
    <t>REFERRING DUE TO PROPERTY IS 10 ACRES 1 ACRE IS USED FOR PRIMARY RESIDENCE THE OTHER 9 ACRES ARE RENTED TO OTHERS TO STORE BOATS, RV'S, ETC... THE INSURED WILL HAVE A GL POLICY FOR THE BUSINESS SIDE</t>
  </si>
  <si>
    <t xml:space="preserve">Declined due to not much separation and possible heavy foot traffic.  </t>
  </si>
  <si>
    <t>Advised Leslie and Danielle that we are in the midst of drafting a Full Business Exclusion that could be used in the future for something like this.</t>
  </si>
  <si>
    <t>Wedding photos on prop</t>
  </si>
  <si>
    <t>Insured allows others to perform wedding photos shoots on the property</t>
  </si>
  <si>
    <t>Approved x-liability.</t>
  </si>
  <si>
    <t>7 units</t>
  </si>
  <si>
    <t>Non brush exposed city area where insured owns 7 units (5 buildings) of rentals.  They are about 15' apart.  Built in 38 but completely gutted and remodeled in 2015.</t>
  </si>
  <si>
    <t>Shriver, Daniel</t>
  </si>
  <si>
    <t>Oakhurst CA PC5</t>
  </si>
  <si>
    <t>Wood roof in brush zone</t>
  </si>
  <si>
    <t>1988 home. No system updates. Roof is in process of being replaced w/metal. Will be completed within 45 days.</t>
  </si>
  <si>
    <t>Subject to metal roof and 150' brush clearance in 45 days. If not, send dnoc. Also required roof exclusion.</t>
  </si>
  <si>
    <t>Liab loss</t>
  </si>
  <si>
    <t>Insured had a rental property. Daughter was tenant with 2 Pit Bulls. They got out and hurt a jogger. $700,000 loss including prop and umbrella. Dogs are put down. She no longer lives there. Interested in issuing without liability or no animal liability</t>
  </si>
  <si>
    <t>Clouse, Mark</t>
  </si>
  <si>
    <t>Woodward PA PC10</t>
  </si>
  <si>
    <t>Not accessible yr round</t>
  </si>
  <si>
    <t>1994 frame home on 10 acres, gated. Not accessible year round per Burns. Some dirt roads. 16 miles to FD.</t>
  </si>
  <si>
    <t>We require roads to be accessible year round and no more than 15-20 minute response time.</t>
  </si>
  <si>
    <t>Echo Lake CA PC10</t>
  </si>
  <si>
    <t xml:space="preserve">Remote </t>
  </si>
  <si>
    <t>Home located on Echo Lake serviced by 2 fire fighting boats. No physical address.  Submitted for initial opinion.</t>
  </si>
  <si>
    <t>Asked about road access (for claim repair); boats always available; lake freezes in winter - how is this handled.</t>
  </si>
  <si>
    <t>Riverside CA PC4</t>
  </si>
  <si>
    <t>Seasonal/Vacation Rental usage</t>
  </si>
  <si>
    <t>Trott/Burdine/Patterson</t>
  </si>
  <si>
    <t>King, Michael</t>
  </si>
  <si>
    <t>Nevada City CA PC4</t>
  </si>
  <si>
    <t xml:space="preserve">1999 home in brush. Oth str is a detached garage w/an apartment used by visitors and as a "man cave". </t>
  </si>
  <si>
    <t>This referral prompted me to search the overall referral log to find that Burns has submitted 4 risks for "Oth Str &gt;35%".  All oth structures have been acceptable.  I proposed an authority increase to Jeff and he agreed to change to "Oth Str &gt;100%".  Guideline changes coming soon.</t>
  </si>
  <si>
    <t>Burton, Mitchell</t>
  </si>
  <si>
    <t xml:space="preserve">1976 home w/ full updates. Agt asking for okay for 1 year policy. Home up for sale and vacant. Prior tenant vandalism and broken pipe. Plumb updated in 2013, broken pipe in 2015.  </t>
  </si>
  <si>
    <t>Broken pipe was actually failure of the cold water supply line.</t>
  </si>
  <si>
    <t>Fago, Kenneth</t>
  </si>
  <si>
    <t>Cherry Valley CA PC4</t>
  </si>
  <si>
    <t>1991 home w/2 water losses. $14K ice maker water line broke. $217K hose to toilet split. This had been recently replaced by insured (who is a contractor). The part failed. He is doing all the repair work, still under construction. There is a GC overseeing.</t>
  </si>
  <si>
    <t>Not comfortable with size of loss and that home is still under repair.</t>
  </si>
  <si>
    <t>Wilson, Thomas</t>
  </si>
  <si>
    <t>1185 Heather Dr</t>
  </si>
  <si>
    <t>Murphys CA</t>
  </si>
  <si>
    <t>Roof exclusion</t>
  </si>
  <si>
    <t xml:space="preserve">28 year old roof in good condition, can they apply ACV vs roof exclusion.  </t>
  </si>
  <si>
    <t>Per email from Larry back in 9/15, he agreed to allow to 30 years for ACV roof. Jeff agreed today to have me update the guidelines.</t>
  </si>
  <si>
    <t>Champagne, Christopher</t>
  </si>
  <si>
    <t>Biloxi MS</t>
  </si>
  <si>
    <t>Location</t>
  </si>
  <si>
    <t xml:space="preserve">Risk is &gt; 1000' to gulf. Janet wasn't sure. </t>
  </si>
  <si>
    <t>Reviewed with Jeff.</t>
  </si>
  <si>
    <t>Stagecoach Ltd</t>
  </si>
  <si>
    <t>Evergreen CO PC6</t>
  </si>
  <si>
    <t>VRBO 2 night min</t>
  </si>
  <si>
    <t xml:space="preserve">1983 home (need update info) was residence, now VRBO w/2 night min. Guidelines currently state 3. </t>
  </si>
  <si>
    <t>Per Jeff today, we can allow all partners to follow 2 night minimum.</t>
  </si>
  <si>
    <t>112 Realty LLC</t>
  </si>
  <si>
    <t>Montoloking NJ</t>
  </si>
  <si>
    <t>Risk is located on barrier island in NJ. Nice modular that is being remodeled inside. Online photo looks good.</t>
  </si>
  <si>
    <t>Rental furniture</t>
  </si>
  <si>
    <t>Would we cover rented furniture that is used for staging as contents?</t>
  </si>
  <si>
    <t>Horse operation</t>
  </si>
  <si>
    <t>Insured leaves horses at the property which his tenants are allowed to use w/ the help of his ranch hand. Lex has a horse exclusion $9000 prem. Lloyds $5100 w/manuscript endorsement.</t>
  </si>
  <si>
    <t>Christensen, Christina</t>
  </si>
  <si>
    <t>Tahoe City CA PC4</t>
  </si>
  <si>
    <t>Oth Str &gt;50%</t>
  </si>
  <si>
    <t>There is a lot of exposure here to manuscript a form for a risk that we are really underpriced on it seems.</t>
  </si>
  <si>
    <t>Debited 40% due to Lex quote, and due to 2 families and updates are only partial.</t>
  </si>
  <si>
    <t>1959 home w/separate dwelling both structures rented. System updates and roof updated. Online pics look okay. Lex quote 3395. I debited ours 40% for prem of 2845.</t>
  </si>
  <si>
    <t>Reviewed HO 03 and DP 3 forms</t>
  </si>
  <si>
    <t>Asked for AAL questionnaire and submission of app, etc.  If rate comes out okay, we could write this. 1958 per AAL; Markel rate 2990.</t>
  </si>
  <si>
    <t>Steier, Howard</t>
  </si>
  <si>
    <t>Idyllwild CA PC2</t>
  </si>
  <si>
    <t>Oth Str&gt;35%</t>
  </si>
  <si>
    <t>1944 home completely updated in 2011. Nice online photos. Trust/LLC form okay.  450 SF guest house attached to detached garage.</t>
  </si>
  <si>
    <t>Call/Email</t>
  </si>
  <si>
    <t>How is Work Comp handled?</t>
  </si>
  <si>
    <t>Emailed Kirk after researching form and rater.  Price is per employee. Rating is different based on regular or live in.  2 employees max.</t>
  </si>
  <si>
    <t>Anki LLC</t>
  </si>
  <si>
    <t>31 day lapse</t>
  </si>
  <si>
    <t>2007 home in brush. Lloyds expired 3/17/16 - prior MGA failed to offer renewal. Insured now shopping.</t>
  </si>
  <si>
    <t>El Dorado Hills CA  PC3</t>
  </si>
  <si>
    <t>Purtell, Russell</t>
  </si>
  <si>
    <t>Malibu CA PC9</t>
  </si>
  <si>
    <t>PC9 TIV &gt;1.5M</t>
  </si>
  <si>
    <t>2008 frame home in Renie brush, well cleared area. Local alarms only. Inspection shows nice home. No online photos. Response time &lt;10 min, accessible.</t>
  </si>
  <si>
    <t>Tauzer, Mark</t>
  </si>
  <si>
    <t>DP3 Short Term Rent</t>
  </si>
  <si>
    <t>Farming on property</t>
  </si>
  <si>
    <t>Sebastopol CA  PC10</t>
  </si>
  <si>
    <t>1988 short term rental. Farming on same property, but fenced off. No other structures. PC 10.  Can get GL.</t>
  </si>
  <si>
    <t>Approved X-liability.  Unable to offer liability because I don't have a good way to exclude it.  Can't apply our upcoming Business Exclusion as that would exclude the rental operation as well.</t>
  </si>
  <si>
    <t>Cunningham, James</t>
  </si>
  <si>
    <t>Placerville CA PC6</t>
  </si>
  <si>
    <t>7 acres with 2 homes - primary and granny flat. Both are rented 2 horses on the property owned by the tenant.</t>
  </si>
  <si>
    <t>Approved w/animal exclusion. Okay as quoted.</t>
  </si>
  <si>
    <t>Jones, Valerie</t>
  </si>
  <si>
    <t>Grass Valley CA PC</t>
  </si>
  <si>
    <t>1979 home in brush. 200' brush clearance. 600 SF guest house (sone lives in - he is on the deed) and 1300 SF finished workshop (used by previous cabinet maker owner).  NRN by Hartford due to brush exposure. Online photos look good.</t>
  </si>
  <si>
    <t>Hay, Colin</t>
  </si>
  <si>
    <t>Work just starting on loss that occurred in December 2015. Insured disclosed to agent but not on app.</t>
  </si>
  <si>
    <t>Discussed with Jeff - not too famous.</t>
  </si>
  <si>
    <t>Hutchins, Wayne</t>
  </si>
  <si>
    <t>1900 home being renovated inside by insured who will act as GC with plumbing and wiring handled by other contractors.</t>
  </si>
  <si>
    <t>Garcia, Maria</t>
  </si>
  <si>
    <t>1996 home with trucking business on property. Eff date 5/2/15. Total business excl in draft status waiting for Jeff to okay.</t>
  </si>
  <si>
    <t>Mendota CA PC10</t>
  </si>
  <si>
    <t>Asked business on prop questions. Can do with Total Biz Excl if they can wait for it to be approved; PC 10 per PPC I ran.</t>
  </si>
  <si>
    <t>Brooksville ME PC9</t>
  </si>
  <si>
    <t>Unprotected questionnaire ok - 10 minute response.   Our criteria states insured who is GC is okay w/o liability covg. That is how agent quoted. We will be changing that.  30% s/c applied.</t>
  </si>
  <si>
    <t>Double Eagle LLC</t>
  </si>
  <si>
    <t>HO3 Primary w/B&amp;B</t>
  </si>
  <si>
    <t>New Foundland PA</t>
  </si>
  <si>
    <t>B&amp;B 7 rooms</t>
  </si>
  <si>
    <t>1992 20K SF home w/7 rooms for rent B&amp;B. Pool, indoor basketball.</t>
  </si>
  <si>
    <t>Discussed w/Jeff. At this time, until we build more program experience, we want to stick to the guidelines of 4 rooms.</t>
  </si>
  <si>
    <t>Henning, Keith</t>
  </si>
  <si>
    <t>Denville NJ  PC4</t>
  </si>
  <si>
    <t>Insd is GC</t>
  </si>
  <si>
    <t>1972 home being renovated inside by insured who will act as GC, hiring out other contractors. He is self employed heating contractor.</t>
  </si>
  <si>
    <t>Approved X-liability w/30% s/c. Discussed w/Jeff. We are going to pursue a program.</t>
  </si>
  <si>
    <t>1 year old inspection</t>
  </si>
  <si>
    <t>Home is vacant and for sale. Has been with Lexington. 1 year old inspection - do they need to reinspect? Beverly Hills home</t>
  </si>
  <si>
    <t>Approved w/ exterior inspection only and confirmation of no existing interior issues or claims.</t>
  </si>
  <si>
    <t>Beverly Hills CA PC3</t>
  </si>
  <si>
    <t xml:space="preserve">Home is a new purchase and is being renovated. Initially, work was to start in 30 days. Now it's 60 days. Unsure of alarm. No contents. Risk is in nice area. </t>
  </si>
  <si>
    <t>Agreed to proceed w/additional surcharge to consider what vacant rate would have been if they had to write a vacant policy for 60 days.</t>
  </si>
  <si>
    <t>16 min response</t>
  </si>
  <si>
    <t>All acceptable at 15 minutes, 16 minutes is okay.</t>
  </si>
  <si>
    <t>Calabasas CA PC5</t>
  </si>
  <si>
    <t>$1.2M Water Claim</t>
  </si>
  <si>
    <t>Home completely updated in 2013. In 2012 had fire sprinkler pipe burst causing $1.2M in damages. Sprinkler has been completely replaced. Agent has expiring premium.</t>
  </si>
  <si>
    <t>Edwards CO PC5</t>
  </si>
  <si>
    <t>1997 home that will be primary in 5 months. Currently it is "secondary".  This would normally be suspicious, possibly vacant. However, there is a property manager, there are full alarms and it is in a gated community.  Asked for more info on secondary use.</t>
  </si>
  <si>
    <t>Prior water loss</t>
  </si>
  <si>
    <t xml:space="preserve">2012 home. Seller had a 7/15 water loss. Water was turned off. Outside worker turned valve on. Bathtub plug was in. Tub overflowed. Letter from adjuster and agent received. </t>
  </si>
  <si>
    <t>No surcharge or water deductible needed for the buyer. Not their loss, not an issue with the home.</t>
  </si>
  <si>
    <t>Expiring premium $8k, this loss officially falls off. Proposed our prem of $6889 (20% s/c on the prem + charge for 1 claim.)</t>
  </si>
  <si>
    <t>Allison provided information about the seasonal use of the home. Sounds acceptable. They use it on weekends and breaks.</t>
  </si>
  <si>
    <t>In home business</t>
  </si>
  <si>
    <t>1974 home in Estate name will be occupied by daughter who has in home business.  She has a website for promotional products.  She is just the middle man. All items are ordered online and drop shipped from manufacturer.</t>
  </si>
  <si>
    <t>Approved provided the insured home address is not listed on the website.</t>
  </si>
  <si>
    <t>HO3Primary</t>
  </si>
  <si>
    <t>Ahmed, Naseem</t>
  </si>
  <si>
    <t>O'Connor, Victoria</t>
  </si>
  <si>
    <t>Walker, Larry</t>
  </si>
  <si>
    <t>Estate of Evelyn Burke</t>
  </si>
  <si>
    <t>Pascualy, Rodrigo</t>
  </si>
  <si>
    <t>Newport Coast CA PC3</t>
  </si>
  <si>
    <t>1997 home. Not in brush area per RM (in high brush per FireLine).  Loss almost 3 years ago - water heater burst. Insured has replumbed the entire house.</t>
  </si>
  <si>
    <t>We surcharged for loss. We are not applying higher water ded since insured took preventative measures w/replumbing.</t>
  </si>
  <si>
    <t>Ariel</t>
  </si>
  <si>
    <t>Oida, Hideo</t>
  </si>
  <si>
    <t>30 day rental</t>
  </si>
  <si>
    <t>Insured bought a home and took out a homeowners policy. The prior owner's escrow fell through and he is temporarily renting the home back from the insured. Agt says 30 days or so.</t>
  </si>
  <si>
    <t>I approved asking if it goes over 45, we should endorse/surcharge the policy.</t>
  </si>
  <si>
    <t>Quaker</t>
  </si>
  <si>
    <t>Mary</t>
  </si>
  <si>
    <t>Worcester</t>
  </si>
  <si>
    <t>Pisani, Dustin</t>
  </si>
  <si>
    <t>Claremont NH</t>
  </si>
  <si>
    <t>2 felony drug convictions</t>
  </si>
  <si>
    <t>1840 home w/updates. Under current criteria this is okay. Under Markel, it would be submit if not fully renovated.  Insd has 2 felony drug convictions and incarcerations. 2000 and 2010. Married, 39 years old, buying house. Agent explained he moved from Florida to "get away from temptation". He is employed, wife is employed.</t>
  </si>
  <si>
    <t>Sent Jeff full details for review. Considering this since this may be the first referral we've received from Mary ever.</t>
  </si>
  <si>
    <t>Burton, Scott</t>
  </si>
  <si>
    <t>Noblesville IN PC10</t>
  </si>
  <si>
    <t>PC10&gt;$1.5M</t>
  </si>
  <si>
    <t>2012 frm/mv home w/full alarms. Secondary residence for insured who owns winery in Carmel. Home is on main road. We don't have the Unprotected questionnaire.</t>
  </si>
  <si>
    <t>Approved subject to an acceptable Unprotected Questionnaire.</t>
  </si>
  <si>
    <t>Miley, Susan</t>
  </si>
  <si>
    <t>Personal Prop</t>
  </si>
  <si>
    <t>Insured has vacant for sale home w/ staged contents which she is required by contract to insure. Amount is $33,000 including her $3K in appliances.</t>
  </si>
  <si>
    <t>Advised Alex new guidelines will allow $25K in contents for this situation. Gave him approval.</t>
  </si>
  <si>
    <t>Ramirez, Radolpho</t>
  </si>
  <si>
    <t>Eaves</t>
  </si>
  <si>
    <t>Alison sent photos of the risk to determine if it was open eaves. They were not fully closed, but acceptable per the photos.</t>
  </si>
  <si>
    <t>2 mos left in COC</t>
  </si>
  <si>
    <t>Insured is currently w/State Farm who is cancelling policy. Insured bought home in January and  started construction in February. State farm found and and doesn't want to be on.  Construction due to be complete in a few months. Writings as HO3 COC and will convert when done.  Full interior remodel.</t>
  </si>
  <si>
    <t xml:space="preserve">  </t>
  </si>
  <si>
    <t>Filkouski, Michael and Jill</t>
  </si>
  <si>
    <t>Sun Prairie, WI</t>
  </si>
  <si>
    <t>Insured owns construction company. Large outbuilding on premise, has 2 employees.</t>
  </si>
  <si>
    <t>Asking several follow up questions- also note, home is for sale.</t>
  </si>
  <si>
    <t>Multiple LLCs</t>
  </si>
  <si>
    <t>One LLC owns two other LLC's. Wants them both listed.</t>
  </si>
  <si>
    <t>If one LLC owns the other, we shouldn't have insurable interests. If liability is being written, the limited coverage premises liability form must be used.</t>
  </si>
  <si>
    <t>Murphy, Tim</t>
  </si>
  <si>
    <t>Secondary</t>
  </si>
  <si>
    <t>North Fork, CA/PC10</t>
  </si>
  <si>
    <t>$1.2m</t>
  </si>
  <si>
    <t>TIV and PC10</t>
  </si>
  <si>
    <t>Cov A is $1.2m with $5k ded.</t>
  </si>
  <si>
    <t xml:space="preserve">Ran risk meter, came back at a 9 (high)- that in combination with the PC10 does not make me comfortable. </t>
  </si>
  <si>
    <t>Wells, Robert IV</t>
  </si>
  <si>
    <t>Tahoe City, CA/PC2</t>
  </si>
  <si>
    <t xml:space="preserve">Insured is in entertainment field (actor/musician.) Couldn't find much online- so not too high profile. Wife is homemaker. This is a secondary location. </t>
  </si>
  <si>
    <t>Ran PC, came back as a 2. Risk meter came back as 7- high (medium fuel with moderate slope.) Quite a bit of brush, etc, can be seen from aerial image. Will advise ok if brush is acceptable distance away.</t>
  </si>
  <si>
    <r>
      <t xml:space="preserve">in 20yrs insured has never had a client come to her home. Everything is done electronically- mailing home address is only used for correspondence, catalogs, and purchase orders. Accordingly to some contracts, she must have a physical address-not a PO. Based on this info, I'm ok with issuing terms. </t>
    </r>
    <r>
      <rPr>
        <b/>
        <sz val="11"/>
        <color theme="1"/>
        <rFont val="Calibri"/>
        <family val="2"/>
        <scheme val="minor"/>
      </rPr>
      <t>LKT 4/25/16</t>
    </r>
  </si>
  <si>
    <t>Smith, Leland</t>
  </si>
  <si>
    <t>Primary, HO3</t>
  </si>
  <si>
    <t>Lone Tree, CO/PC3</t>
  </si>
  <si>
    <t>No concerns with risk. Ok'd terms at +5% seacost renewal rate.</t>
  </si>
  <si>
    <t>Rieckermann, Katja</t>
  </si>
  <si>
    <t xml:space="preserve">insured is a singer- toured with Rod Stewart in the early 00's. Was on Alley McBeal for a few. Not too high profile. Water loss in 2013 $4600 paid, no alarm. Risk meter came back at a 12 (high)- medium to heavy fuels, steep slope. </t>
  </si>
  <si>
    <t>Co</t>
  </si>
  <si>
    <t>Orrick, Gail</t>
  </si>
  <si>
    <t>Carbondale, CO/PC 5/9</t>
  </si>
  <si>
    <t>Insured on 30 acres, flat land, no brush, used for personal horse grazing (2 horses), requesting $30K bus prop. No foot traffic, but makes leather/furs in home and sales online</t>
  </si>
  <si>
    <t>Perito, Charles</t>
  </si>
  <si>
    <t>DP3/Renter</t>
  </si>
  <si>
    <t>Evergreen CO PC6, Lakewood, CO PC 4, Arvada, CO PC 3</t>
  </si>
  <si>
    <t xml:space="preserve">$199,000; $304,000;  $304,000 </t>
  </si>
  <si>
    <t>Open claim</t>
  </si>
  <si>
    <t>requested info on what stage of rebuild, questioned if considered debiting that home, other two homes 1950, 1957-requesting if updates being made to systems that weren't checked on app</t>
  </si>
  <si>
    <t>Wiedenfeld, John</t>
  </si>
  <si>
    <t>Floating home</t>
  </si>
  <si>
    <t>Serafin, Robert</t>
  </si>
  <si>
    <t>Secondary HO3</t>
  </si>
  <si>
    <t>Acworth/PC10</t>
  </si>
  <si>
    <t>floating home in Acworth. PC10-no alarms, no losses.</t>
  </si>
  <si>
    <t xml:space="preserve">Asking several questions regarding stability of the home should the water level fall or rise. </t>
  </si>
  <si>
    <t>Alpine, CA/PC10</t>
  </si>
  <si>
    <t>PC10/over 1.5m TIV</t>
  </si>
  <si>
    <t>Main home with rental attached, and 2 separate rental dwellings with separate addresses.</t>
  </si>
  <si>
    <t>Burdine/Patterson</t>
  </si>
  <si>
    <t>Requested confirmation brush/tree clearance appropriate based on online photos. Came back from agent 200' brush clearance</t>
  </si>
  <si>
    <t>Risk with question on brush clearance discussed in length at the office during my visit.</t>
  </si>
  <si>
    <t>Wanted to backdate effective date of policy. Agent didn't send bind request until today although they had quoted about 2 weeks ago</t>
  </si>
  <si>
    <t>3 rentals, on policy. Open claim on Arvada rental. Tenant at fault for loss, prior carrier subrogatng, loss date 12/2015</t>
  </si>
  <si>
    <t>Alkeri Partnership LLC</t>
  </si>
  <si>
    <t>Leadville CO PC10</t>
  </si>
  <si>
    <t>Need to know LLC member relationship as we would be covering interests of 4 people.  Need to surcharge for PC10.</t>
  </si>
  <si>
    <t>Roybal, Dennis</t>
  </si>
  <si>
    <t>Match Seacoast Rate</t>
  </si>
  <si>
    <t xml:space="preserve">requested confirmation that doesn't operate the bus from any loc, and that $30K figure is from ACV/or RCV and not sales price of finished items. </t>
  </si>
  <si>
    <t>Info confirmed and it checks out. No further discount to meet Lloyds very low rate.</t>
  </si>
  <si>
    <t>Living Trust of Adam Dan Sold</t>
  </si>
  <si>
    <t xml:space="preserve">Insured living in home during minor contractor renovation. Asked permission to remove builders risk liab which restricts to premises and include RC contents. </t>
  </si>
  <si>
    <t>1982 seasonal home 20-25 min response time. Med brush for RM, high per FL. Caretaker watches over home and has access to a tanker. Woodstove is primary heat, only used when there seasonally, pipes drained when not there. &lt;150' clearance. 4 different LLC members which represent 3 families who use it one family at a time year round.  Woodstove quest sounds great.</t>
  </si>
  <si>
    <t>Ran FL, came back as a 5 (high), light fuels and moderate slope.  Good response time, roads, accessible.</t>
  </si>
  <si>
    <t>Scott, Jeffery</t>
  </si>
  <si>
    <t>Vidalia GA PC6</t>
  </si>
  <si>
    <t>Insd installed WBS</t>
  </si>
  <si>
    <t>1980 frame home w/ occasionally used stove installed by insured. Clearances don’t meet minimums.</t>
  </si>
  <si>
    <t>Insd would need to provide mfg specs proving clearances, or inspection by FD or wbs installation company.</t>
  </si>
  <si>
    <t>Adam</t>
  </si>
  <si>
    <t>Machledt, Fred</t>
  </si>
  <si>
    <t>Barndomimium</t>
  </si>
  <si>
    <t>Storage on lower floor, rental on upper floor. Photo included of nice looking barn type structure.</t>
  </si>
  <si>
    <t>$5K open loss. Pipe leak at bathroom sink at the end of Feb. Loss ready to settle, insured picking out tile. $100 paid. Adjuster confirms ready to settle.</t>
  </si>
  <si>
    <t>Alex writing with $5K ded, existing damage exclusion, require proof of work in 30 days.</t>
  </si>
  <si>
    <t>Horsham</t>
  </si>
  <si>
    <t>Braunfeld, Joel</t>
  </si>
  <si>
    <t>Oakton VA</t>
  </si>
  <si>
    <t>2002 home within agents authority, looking for $25K and $50K ded options. Insured is dentist. 10,400 SF home.</t>
  </si>
  <si>
    <t>Ded options</t>
  </si>
  <si>
    <t>Worked with Jeff on ded options</t>
  </si>
  <si>
    <t>Avignon, Major</t>
  </si>
  <si>
    <t>HO3 Primary/Rental</t>
  </si>
  <si>
    <t>Manhattan Beach CA PC2</t>
  </si>
  <si>
    <t>City of Manhattan Beach as AI</t>
  </si>
  <si>
    <t>2016 home which is 2/3 owner occupied and 1/3 tenant occupied. Property encroaches on 20 feet near the street. City of Manhattan Beach wants to be AI.</t>
  </si>
  <si>
    <t>I approved the City as an Additional Interest (not Insured) with form HO 04 10 10 00 which notifies them if there is a cancellation or NRN.</t>
  </si>
  <si>
    <t>Hasty, Allen</t>
  </si>
  <si>
    <t>Santa Cruz CA  PC3</t>
  </si>
  <si>
    <t>Land leased for fruit sold to groceries</t>
  </si>
  <si>
    <t xml:space="preserve">1965 home w/updates. Insured leases land per email, per app, fruit is grown and sold. Asked for clarification. </t>
  </si>
  <si>
    <t>May need to apply Business Exclusion. Asked business on prem questions.</t>
  </si>
  <si>
    <t>Heiss, Randy</t>
  </si>
  <si>
    <t>Bella Vista CA PC10</t>
  </si>
  <si>
    <t>PC10/20 min response</t>
  </si>
  <si>
    <t>1999 full time rental in med-high brush zone. Volunteer FD, 21 acres, woodstove. No alarms.</t>
  </si>
  <si>
    <t xml:space="preserve">Explained issues:21 acres (could be an issued depending on where home is situated)
Woodburning stove used by tenants
No alarms
Volunteer fire department
Medium-high brush zone
</t>
  </si>
  <si>
    <t>Apr</t>
  </si>
  <si>
    <t>Huennekens, R Scott</t>
  </si>
  <si>
    <t>La Jolla CA  PC2</t>
  </si>
  <si>
    <t>2016 ground up COC. RM indicates extremely low brush. Agent applied 5% credit to beat Scottsdale.</t>
  </si>
  <si>
    <t>Farahi Family LLC</t>
  </si>
  <si>
    <t>Los Angeles CA PC4</t>
  </si>
  <si>
    <t>2002 seasonal home not in a brush area. Full alarms. Online photos look good.</t>
  </si>
  <si>
    <t>Status:  Approve; Approve/Subj; Converted; Pend; Decline</t>
  </si>
  <si>
    <t>Dietrich, Nan</t>
  </si>
  <si>
    <t>Martha's Vineyard PC3</t>
  </si>
  <si>
    <t>COC mid-construction</t>
  </si>
  <si>
    <t>2016 home new construction. 80% complete, will be finished by June. 2 miles from coast.</t>
  </si>
  <si>
    <t>Why not at start of COC?  Insured not aware she needed to insure as builder said he covered it.  // Will we keep this if we write it? Yes.  // Is $500k the RC, or cost? Needs to be 100% RC.  Yes, this is the RC.</t>
  </si>
  <si>
    <t>Allamon, Wesley</t>
  </si>
  <si>
    <t>Washington PA PC6</t>
  </si>
  <si>
    <t>Rent to Own</t>
  </si>
  <si>
    <t>1910 fully updated. Insured is renting to own and "owner" is listed as mortgagee.</t>
  </si>
  <si>
    <t>Asked for contract info to ensure insured has insurable interest, and "owner" has right to be listed as mtg.</t>
  </si>
  <si>
    <t>Barnes, Larry</t>
  </si>
  <si>
    <t>Georgetown CA  PC9</t>
  </si>
  <si>
    <t>PC9&gt;$1.5M</t>
  </si>
  <si>
    <t>2006 frame home.  Alarms, no losses.  Google search shows the insureds business "Larry Barnes Electric" is at same property. Wife is employed w/business.</t>
  </si>
  <si>
    <t>Asked business questions and whether this qualifies for in-home business program.</t>
  </si>
  <si>
    <t xml:space="preserve">We declined and also advised Burns we are not a market for floating homes.  They may be able to get hull coverage form through Marine.  </t>
  </si>
  <si>
    <t>Brown, Kellee</t>
  </si>
  <si>
    <t xml:space="preserve">Pascaquola MS  </t>
  </si>
  <si>
    <t>Prior fire loss &gt;$25K</t>
  </si>
  <si>
    <t>2014 brick home w/ alarms. $120K fire loss due to defective oven/stove. Ins co subrogated against manufacturer.</t>
  </si>
  <si>
    <t>Haddad, Hazem</t>
  </si>
  <si>
    <t>Newport Beach PC2</t>
  </si>
  <si>
    <t>COC tail end</t>
  </si>
  <si>
    <t>Alex is writing as an annual HO3 with first 3 months being COC and then will convert to owner occupied.</t>
  </si>
  <si>
    <t>2015 home written 1 year with E&amp;S carrier, 7 month extension. Still has 3 months to go.  Finish work is left. No brush. Alarms are unknown.</t>
  </si>
  <si>
    <t>1945 home, updates unknown. Photos online look good per Alex. Vacant and up for sale.  Firemans fund nrn due to vacancy.  Alex will quote with exclusions, high ded and surcharges. We will order rush insp and EHP. Lloyds quote is "astronomical".</t>
  </si>
  <si>
    <t>Approve/Subj</t>
  </si>
  <si>
    <t xml:space="preserve">Approved subj to:  • Roof exclusion
• $25,000 water deductible
• $25,000 theft deductible
• No Mold Buy Back coverage
• Add a 20% debit to the rate (for the $3.8M quote, I get $17,269; for the $2.2M quote, I get $10,152)
• Rush inspection w/EHP rider
• 6 month quote – I’d be okay going with 50% minimum earned
</t>
  </si>
  <si>
    <t>Additional request on 5/4/16 to write just one of the three locations with a  10% addl surcharge. Approved-Patterson</t>
  </si>
  <si>
    <t>N/A for in-home business program.  Insured uses an outbuilding for business storage. Approved subject to no employees other than wife coming on premises, and asked Danielle to review outbuilding policy language. If it is excluded for coverage, we should exclude on the policy.</t>
  </si>
  <si>
    <t>Brock</t>
  </si>
  <si>
    <t>Advised Jerrold since home is all flat roof, I would probably not write it. Gave him some info on flat roof considerations along with deductible and exclusion options.</t>
  </si>
  <si>
    <t>Russell, Cynthia</t>
  </si>
  <si>
    <t>3 yr lapse</t>
  </si>
  <si>
    <t>Insurance score in file. 50% surcharge range.</t>
  </si>
  <si>
    <t>Richardson, Perry</t>
  </si>
  <si>
    <t>Martinsville IN PC5</t>
  </si>
  <si>
    <t>Farm Market on Premises</t>
  </si>
  <si>
    <t>1917 home fully updated in 1990/2000. There is a farmers market held in the front and side yard of the dwelling which is tenant occupied.</t>
  </si>
  <si>
    <t>Sent business questions to Ben. Consider with Full Business Exclusion. Also found "Allens Seeds &amp; Plants" at this address. Making sure this is the same business.</t>
  </si>
  <si>
    <t>Schwartz. Ross</t>
  </si>
  <si>
    <t>Hollywood CA PC2</t>
  </si>
  <si>
    <t>Subject to review of the situation with a writing assistant who works in the home, noted in inspection.  Advise insured of any exclusions for personal property or liability for employees.</t>
  </si>
  <si>
    <t>Hairston, Blondie</t>
  </si>
  <si>
    <t>Danville VA PC5</t>
  </si>
  <si>
    <t>1 year lapse</t>
  </si>
  <si>
    <t>1960 home. Insured could not afford insurance. Now has a loan and needs it.  Ran insurance score and came in at 60% surcharge range.</t>
  </si>
  <si>
    <t>Lapse since 2013 due to unemployed and couldn't afford. Online photos and info was okay. One source showed foreclosure sale in 2011.  Ran insurance score and it came in the 50% surcharge range.</t>
  </si>
  <si>
    <t>Received and looks in order. Approved 5/6/16</t>
  </si>
  <si>
    <t>Wilson, Derek</t>
  </si>
  <si>
    <t>DP3 Primary</t>
  </si>
  <si>
    <t>Orinda CA PC3</t>
  </si>
  <si>
    <t>1987 home updated in 2014.  In brush. No RM attached, but brush surcharged.  FL shows high brush.</t>
  </si>
  <si>
    <t>Delijani</t>
  </si>
  <si>
    <t>Approved subject to there being no more than 8 chickens and 8 sheep, personal use. If there are more than 8 each or sales, get more info on breeding and sales. Asked for verif of home being near front of property w/accessible driveway.</t>
  </si>
  <si>
    <t>Icenogle, Eric</t>
  </si>
  <si>
    <t>Sonora CA PC10</t>
  </si>
  <si>
    <t>2008 home PC10 no alarms. In brush. FL attached. Long paved driveway. Set off road, but very accessible. 17 minute response time.</t>
  </si>
  <si>
    <t>Want to add surcharge for PC10, longer response time, long driveway.</t>
  </si>
  <si>
    <t>Balson, Allyse</t>
  </si>
  <si>
    <t>Beverly Hills CA PC1</t>
  </si>
  <si>
    <t>1941 home w/updates, alarmed, low brush. 2 prior losses. Dog bite and $130K water damage.</t>
  </si>
  <si>
    <t xml:space="preserve">Approved w/animal exclusion, $25K water damage, 5% or more debit for large loss. </t>
  </si>
  <si>
    <t>Added 5% ($6600 premium)</t>
  </si>
  <si>
    <t>Christopher, Donald</t>
  </si>
  <si>
    <t xml:space="preserve">West Wildwood NJ </t>
  </si>
  <si>
    <t>COC Modular</t>
  </si>
  <si>
    <t>2016 modular home being constructed by licensed contractor.</t>
  </si>
  <si>
    <t>3620 Sweetwater Mesa LLC</t>
  </si>
  <si>
    <t>1991 home not updated with tile roof. No alarms.</t>
  </si>
  <si>
    <t>Need rater to compare against Lex $17,812 prem. Need LLC form. Verify this is rental.  $10K deductible due to no alarms</t>
  </si>
  <si>
    <t>Collingswood LLC</t>
  </si>
  <si>
    <t>Builders Risk where there is a $13K liability claim. Insured acting as own GC. Liab placed with Nautilus.</t>
  </si>
  <si>
    <t>Prefer not to write these until we get our program, especially one that is not clean.</t>
  </si>
  <si>
    <t>Wondries, Paul</t>
  </si>
  <si>
    <t>Big Bear CA PC4</t>
  </si>
  <si>
    <t>1967 home updated in 2012. Lloyds $2807 before lapse. Agent credited 5% for updates.</t>
  </si>
  <si>
    <t>Reason for lapse. Verify PC, distance, access, etc.  Add 10% s/c to her 5% credit for net of 5% surcharge if approved.</t>
  </si>
  <si>
    <t>HO4 Primary</t>
  </si>
  <si>
    <t>Ellsworth PA</t>
  </si>
  <si>
    <t>Insured is a private in home nurse and cares for 99% of patients in their homes.  2-3 times a year, if there is a patient the family doesn't want to go to a nursing home, the insured takes them into her home at the end of their life, until they pass away.</t>
  </si>
  <si>
    <t xml:space="preserve">
• Does the insured have general liability, professional liability, and/or malpractice insurance that would cover her while she is taking care of someone in her home?  
• Is she administering any medications to the patients in her home?
• What oxygen, life support, or other equipment might be used?
• Would you have a liability market if we did it X-liability?  
• Would it work for you if we applied a full business exclusion?
</t>
  </si>
  <si>
    <t>Masterson, Eileen</t>
  </si>
  <si>
    <t>Wildwood NJ</t>
  </si>
  <si>
    <t>Extend 3 days</t>
  </si>
  <si>
    <t>Tamika asked for okay to extend policy for 3 days as insured is closing on home. Suggested $50 + tax.</t>
  </si>
  <si>
    <t>I approved subject to her ensuring this is enough premium for work she will do on her end.</t>
  </si>
  <si>
    <t>Hamilton, Carrie</t>
  </si>
  <si>
    <t>Garden Valley CA PC10</t>
  </si>
  <si>
    <t>PC10 17 min response</t>
  </si>
  <si>
    <t>2016 home with alarms and part paid fire department.</t>
  </si>
  <si>
    <t>Barn Swallow Farms</t>
  </si>
  <si>
    <t>Northhampton PA</t>
  </si>
  <si>
    <t>Barn used for weddings</t>
  </si>
  <si>
    <t>1913 farmhouse with updates. Barn on property used for weddings. Hull Com'l dept is covering the barn and liability.</t>
  </si>
  <si>
    <t xml:space="preserve">Approved X-liability subject to verification that the updates are full updates, dwelling is in good condition. Confirm dwelling not used for any part of the weddings. </t>
  </si>
  <si>
    <t>Sterchi, Robert L</t>
  </si>
  <si>
    <t>Loudon TN PC10</t>
  </si>
  <si>
    <t>PC10 DP3&gt;$1.5M</t>
  </si>
  <si>
    <t>1982 home w/rood updated in 2004. Tenant is insured's father who originally owned home and sold it to son for his life use. Volunteer FD. Per mapquest, FD is 5.2 miles from risk, 7 min response. Home is alarmed and there is a full time caretaker.  FD is volunteer. Property is 148 acres.</t>
  </si>
  <si>
    <t>Approved subject to confirmation that the home does not sit too far off the road and the driveway to access it is fully accessible by firetrucks.</t>
  </si>
  <si>
    <t>Foundation replacement</t>
  </si>
  <si>
    <t xml:space="preserve">Insured has a post and beam construction home and is having it replaced with a slab.  </t>
  </si>
  <si>
    <t>Would need more information on how this will be done and credentials of contractor, also timeframe.  Could find no online info describing process.</t>
  </si>
  <si>
    <t>Cigliano, Gerald</t>
  </si>
  <si>
    <t>Summerland CA PC4</t>
  </si>
  <si>
    <t>1982 home updated in 2001. Insured is retired attorney. Wife is a surgeon. Chubb NRN due to not having primary home.  Insureds are only members of the LLC which will be an additional insured (370 Asegra LLC)</t>
  </si>
  <si>
    <t>Johnson, Ivie</t>
  </si>
  <si>
    <t>HO3 Primary/B&amp;B</t>
  </si>
  <si>
    <t>Williamsburg VA PC4</t>
  </si>
  <si>
    <t>B&amp;B 3 rooms</t>
  </si>
  <si>
    <t>1959 home updated over 20 years ago. B&amp;B -app mentions a GL. Agent proposing ACV roof and EHP rider. Home looks nice. Info on trip advisor. No formal advertising - $5500/yr receipts.</t>
  </si>
  <si>
    <t>Wolf, Gordon</t>
  </si>
  <si>
    <t>Business attached</t>
  </si>
  <si>
    <t>1926 home updates unknown. Insured has a marketing business in a room attached to the home. 3 employees, customers.</t>
  </si>
  <si>
    <t>Need update info. Commercial policy in place for prop and liab needed. Need to see rates. Would apply total business exclusion.</t>
  </si>
  <si>
    <t>Forsythe LLC</t>
  </si>
  <si>
    <t>1960 home updated in 2010. Insured is a contractor and stores some business in a barn structure. Also runs a non-profit wrestling business from the barn.</t>
  </si>
  <si>
    <t>Sykesville MD</t>
  </si>
  <si>
    <t>Business on prop</t>
  </si>
  <si>
    <t>need to see rates. They have a B&amp;B program.</t>
  </si>
  <si>
    <t>Although we have a "Total Business Exclusion" form, I feel we would be challenged by courts should a serious injury (or worse) occur to one of the wrestlers.</t>
  </si>
  <si>
    <t>Rates look good.</t>
  </si>
  <si>
    <t>Luo, Deren</t>
  </si>
  <si>
    <t>Davidsonville MD PC4</t>
  </si>
  <si>
    <t>Fire Loss</t>
  </si>
  <si>
    <t>2004 home rented 52 weeks. NRN due to fire loss 7/31/13 $177,422. Careless smoking by guest of tenant. Insured is a restaurant owner and the chef of the restaurant is the tenant. This is a coml client for Hull.</t>
  </si>
  <si>
    <t>Approved subject to a 15% surcharge due to the size of the loss (this brings it in over what a 2 loss surcharge would be.)</t>
  </si>
  <si>
    <t>There is a farm policy in place to cover all activities. Customers, visitors and employees would be in the farm market area. No equipment. Everything is covered by the farm policy. Allen's Seeds is the name of the business…didn't change from Grandparent's business.</t>
  </si>
  <si>
    <t>Liu, Zuopeng</t>
  </si>
  <si>
    <t>Mt Laurel NJ</t>
  </si>
  <si>
    <t>Builders risk</t>
  </si>
  <si>
    <t>Home under construction $8.25 TIV</t>
  </si>
  <si>
    <t>We can't write over $5M TIV.</t>
  </si>
  <si>
    <t>Sattler, Ellen</t>
  </si>
  <si>
    <t>Somerset CA PC10</t>
  </si>
  <si>
    <t>PC10 15-16 min response</t>
  </si>
  <si>
    <t>I will approve with a surcharge. Asked agent current rate so I can determine how much.</t>
  </si>
  <si>
    <t>Owner died so main home is vacant. There is a tenant in the granny unit who is helping oversee and clean out the property. It is going up for sale in 90 days and tenant is moving out.</t>
  </si>
  <si>
    <t>Approved on a DP-3 rental for now with understanding agent has to babysit and change to vacant when the tenant moves.</t>
  </si>
  <si>
    <t>Laing</t>
  </si>
  <si>
    <t>Los Angeles</t>
  </si>
  <si>
    <t>High valued property where insured allows film crews to shoot commercial. We discussed Total Business Exclusion. Alison to get more detail.</t>
  </si>
  <si>
    <t xml:space="preserve"># of people on the crew, frequency, will they be in the whole house or just the property, what coverage does the film crew provide?  If we apply Total Business Excl, this applies to Cov A &amp; B as well.  If film crew burns down house, no coverage.  </t>
  </si>
  <si>
    <t>Film crews on property</t>
  </si>
  <si>
    <t>Hayes, Carla</t>
  </si>
  <si>
    <t>Rancho Santa Fe PC3</t>
  </si>
  <si>
    <t>1998 home w/full alarms, no brush. 2 losses - VMM from a tenant who caused damage. $0 paid 3/31/15; Water damage pipe leak-all repaired $25,967 paid 11/13/15. Agent applying $10K ded and charging for losses.</t>
  </si>
  <si>
    <t>Brown, Ken</t>
  </si>
  <si>
    <t>Silverthorne CO PC10</t>
  </si>
  <si>
    <t xml:space="preserve">1992 home 11 miles from DF-open highway. Home on a river. 5 other FD's within area. Visible from neighbors. 20 minute response. </t>
  </si>
  <si>
    <t>Allison expects to revise Cov B, C, D and will add surcharge at that time.</t>
  </si>
  <si>
    <t>Jill responded $2152. Replied that this is approved with a 10% surcharge.  Jill came back advising Scottsdale's rate is $2136, wants us to consider lowering.  This is a nice risk and has had brush cleared.  I approved with rate around $2100.</t>
  </si>
  <si>
    <t>2 miles of gravel roads but accessible year round.  Positives are part paid FD, and alarms. Required 10% surcharge.</t>
  </si>
  <si>
    <t>Malibu Realty Trust</t>
  </si>
  <si>
    <t xml:space="preserve">1989 home not in brush. </t>
  </si>
  <si>
    <t xml:space="preserve">• App says no trampoline - inspection shows one.  Trampoline exclusion is mandatory.  Please make sure agent/insured is aware.
• App says pool is not fenced.  Pool exclusion would apply.
• App says home is not rented, email says it is.  Either way is acceptable, just ensure we have it rated correctly.
• I didn’t get an LLC/Trust form.  As long as the members of the trust are the insured only, and they formed it to purchase this property, this is okay.  If anything else, let me know.
</t>
  </si>
  <si>
    <t>Cohanghadosk, Sharokh</t>
  </si>
  <si>
    <t>Calabasas CA PC4</t>
  </si>
  <si>
    <t>1991 home not in brush, gated, 24 hour security, primary residence. Chubb NRN due to no alarm. We require higher ded if no alarm. Agent quoted with $10K ded.</t>
  </si>
  <si>
    <t>Radsen Silver Fox LLC</t>
  </si>
  <si>
    <t>HO3 Seasonal/Rental</t>
  </si>
  <si>
    <t>Truckee CA  PC4</t>
  </si>
  <si>
    <t>2001 seasonal rental. In med brush, extreme per FireLine. Alarmed. Online photos look nice.</t>
  </si>
  <si>
    <t>Approved w/a reminder of 2 night minimum.</t>
  </si>
  <si>
    <t>4-5" gap below balusters</t>
  </si>
  <si>
    <t>Typical requirement is no more than 4" between balusters. With that, I've allowed no more than 4" below the baluster string between the baluster bottom and the floor of the deck.</t>
  </si>
  <si>
    <t>Approved if it is no more than 4", or if they can prove county requirement that the gap be bigger.</t>
  </si>
  <si>
    <t>Severn, Brian</t>
  </si>
  <si>
    <t>Danville VA PC2</t>
  </si>
  <si>
    <t>2016 home with alarm. Lloyds $4360. We are at $6059 (30% difference). Agent wants to know if we can reduce our rate.</t>
  </si>
  <si>
    <t>Scott, Sandra</t>
  </si>
  <si>
    <t>Angels Camp CA PC9</t>
  </si>
  <si>
    <t>TIV&gt;$1.5M PC9</t>
  </si>
  <si>
    <t>2008 frame home in medium brush. No alarms. Accessible year round. 10 min response. 30 acres personal use.</t>
  </si>
  <si>
    <t>HO3 Primary &amp; DP3 Rental</t>
  </si>
  <si>
    <t>Morgantown WV</t>
  </si>
  <si>
    <t>We must review the Fire Marshall report before we agree to write either the Primary or the Rental.</t>
  </si>
  <si>
    <t>Insured has a primary w/no losses and a 2-family rental. Rental has a loss - smoke damage $7800. The damage was caused by a fire at a neighboring house also owned by the insured. The Fire Marshall report is "undetermined". Agent says they can't get the report (questionable). There was a prior VMM claim 2 days before the fire, no payment was made. Then the fire occurred.  (questionable).  Smoke damage has been repaired, claim is still open.  They will go with a $10-$20K deductible.</t>
  </si>
  <si>
    <t>Reviewed business responses and agreed to write with full business exclusion.</t>
  </si>
  <si>
    <t>Referred to Jeff who had me run insurance scores - Very good scores. We agreed to match Lloyds premium, considering that we have mold and they don't.</t>
  </si>
  <si>
    <t>Dan Diego PC10</t>
  </si>
  <si>
    <t>Resp FD is on Indian Resv</t>
  </si>
  <si>
    <t>Risk is 4.6 mi and 5.7 mi from responding fire departments which are on an Indian Reservation.  The agent talked to the Fire Chief who explained they have a contract with Cal Fire. Contracts are in place - the fastest responder goes out first. These are paid departments with 20 member crews. Response time &lt;15 mins.</t>
  </si>
  <si>
    <t>Nelson, Mike</t>
  </si>
  <si>
    <t>Nunn CO</t>
  </si>
  <si>
    <t>Dwelling is other structure</t>
  </si>
  <si>
    <t>Insured has a pole barn w/no windows used to store his belongings as he travels most of the month.  $50K contents. Agent applied 10% theft ded which we previously discussed. In rural area, locked.</t>
  </si>
  <si>
    <t>Comfortable with lower value.</t>
  </si>
  <si>
    <t>Dykema, Greg</t>
  </si>
  <si>
    <t>HO3 Season</t>
  </si>
  <si>
    <t>Groveland CA PC5</t>
  </si>
  <si>
    <t>1981 home updated in 2010, roof fully updated in 2010. Lloyds quote coming less than ours. Can we match.</t>
  </si>
  <si>
    <t>If water damage, animal, and mold is removed, it is a 15% reduction to beat the rate by $25 or so. Ran insurance score which came back outstanding!</t>
  </si>
  <si>
    <t>Lui, Marc</t>
  </si>
  <si>
    <t>Cool CA PC4</t>
  </si>
  <si>
    <t>Other Str &gt;50% Covg A</t>
  </si>
  <si>
    <t>Risk is a 1979 dome house.</t>
  </si>
  <si>
    <t>Smedsrud, Andrew</t>
  </si>
  <si>
    <t>Colorado Springs CO</t>
  </si>
  <si>
    <t xml:space="preserve">1935 home fully updated in 2006. Mother bought home, son is buying it from her.  </t>
  </si>
  <si>
    <t>Allison and I agree, this is a Land Contract situation where it is appropriate to add the owner as an Addl Insured.</t>
  </si>
  <si>
    <t>Manzo Trust</t>
  </si>
  <si>
    <t>Bethany Beach DE</t>
  </si>
  <si>
    <t>$25K ded?</t>
  </si>
  <si>
    <t>1998 home no updates. Agent wants $25K deductible</t>
  </si>
  <si>
    <t>Ran AAL which showed we need a total premium of $3408 at 2% wind ded. We'd be getting about $4700 w/the $25K ded.</t>
  </si>
  <si>
    <t>Corrao Fam Trust</t>
  </si>
  <si>
    <t>Tail end construction</t>
  </si>
  <si>
    <t>1938 home where construction started in March. Current carrier didn't know and nonrenewed eff 5/18. Elec, plumb, heat is done. Home will be owner occupied when complete.</t>
  </si>
  <si>
    <t>Approved subject to 10% surcharge if we can get it and still be competitive.</t>
  </si>
  <si>
    <t>Alison emailed on 5/17/16. Still don't have all the info we need, so replied back.</t>
  </si>
  <si>
    <t>Alison wrote back. We were already higher than Scottsdale, but we have a better valuation clause. She added 5% on.</t>
  </si>
  <si>
    <t>Alice 1 LLC</t>
  </si>
  <si>
    <t>1924 home updated, not in brush. Insured is a princess and has home in name of LLC to protect anonymity.  No CPL, PI or ID Fraud. She has a home out of the country. Agent rated this secondary. Internet notes an original log cabin on the grounds, but no Oth Str covg. Photo online looks nice!</t>
  </si>
  <si>
    <t xml:space="preserve">Approved subject to • Confirm she is the only member of the LLC.
• Confirm she is princess of a “neutral” or “friendly” country with the U.S.  (To alleviate any concern of intentional damage to the home by an adversary.)  
• The princess should be the one to sign the application.  We must contract with the person who has the insurable interest.  (If she has someone appointed as a POA, and the state authorizes them to buy insurance policies on a client’s behalf, this would be acceptable.)
</t>
  </si>
  <si>
    <t>Hewett, Melanie</t>
  </si>
  <si>
    <t>Martinsburg WV PC6</t>
  </si>
  <si>
    <t>3 prior claims</t>
  </si>
  <si>
    <t>1980 home, no updates. Insd has 3 prior claims: 12/2/13 $765 damage to roof; 9/3/14 $16,689 stolen car driven into house; 1/24/16 $189,372 total weight of snow collapsed roof.</t>
  </si>
  <si>
    <t>WV didn't have a bad winter per Weather Underground.  Questions to agent:  • Was the prior home the insured’s primary residence as well?
• How deep was the snow that caused the collapse
• How did the snow build up to a level that it caused a collapse?
• Was there a structural issue with the home that caused the collapse?
• Is there any maintenance plan in place to deal with this in the future?
Roof exclusion required if not fully updated.</t>
  </si>
  <si>
    <t>Thomas, Jeffrey</t>
  </si>
  <si>
    <t>Los Altos CA PC10</t>
  </si>
  <si>
    <t>2006 home, low brush. Online photos show beautiful home. Alarms. 5.9 miles to FD, 12 min response, accessible</t>
  </si>
  <si>
    <t>Rubino, Maria</t>
  </si>
  <si>
    <t>Oakhurst CA PC10</t>
  </si>
  <si>
    <t>1995 home in brush zone. 9.41 acres, 12 minute response, accessible.</t>
  </si>
  <si>
    <t>Maneveith, Joshua</t>
  </si>
  <si>
    <t>PC9 TIV</t>
  </si>
  <si>
    <t>2013 home in medium brush w/ metal roof. Very nice home per zillow photos provided. Suggested to agent to get or run RCE to verify Cov A as it seems a bit low. Inspection will verify the coverage.</t>
  </si>
  <si>
    <t>Approved subject to verification of Cov A when the inspection comes back, or sooner with RCE.</t>
  </si>
  <si>
    <t>Loss was during the fluke January 2016 blizzard. The weight of snow was for 1 storm. The insured could not get out to clear it because of the storm.</t>
  </si>
  <si>
    <t>Johnson, Christine</t>
  </si>
  <si>
    <t>Southwest Ranches FL</t>
  </si>
  <si>
    <t>Double Tap Circuit</t>
  </si>
  <si>
    <t>1976 home with updates. Inspection found 1 double tapped circuit. Agreed to give insured 30 days to have a licensed electrician correct it.</t>
  </si>
  <si>
    <t xml:space="preserve">Approved subject to the double tap issue being corrected within 30 days </t>
  </si>
  <si>
    <t>Winkler, Lisa</t>
  </si>
  <si>
    <t>Lake Isabella CA  PC5</t>
  </si>
  <si>
    <t>Tree house in yard</t>
  </si>
  <si>
    <t>1979 frame home updated. No losses. Rustic but nice looking treehouse photo. Access is by ladder. Insufficient balusters on railing.</t>
  </si>
  <si>
    <t>Approved subj to confirmation that the risk is a home, and this is an other structure in the yard. $25K Cov B is okay. Exclude liability.</t>
  </si>
  <si>
    <t>Tanner, Jack &amp; June</t>
  </si>
  <si>
    <t>Fire Marshall report reviewed. Insured had been running a Salamander in home. Very unusual circumstances surrounding loss date per interviews.  I ran insurance score and found 10/18/12 bankruptcy. Insured said "no" to bankruptcy in last 5 years - advised agent we are declining due to undetermined fire loss, and also for material misrepresentation of bankruptcy.</t>
  </si>
  <si>
    <t>Stein, Jeff</t>
  </si>
  <si>
    <t xml:space="preserve">Alex wonders if we can offer terms after a home is renovated due to some losses:  7/24/15 pinhole leak in HWT; 5/16/16 2 claims reported:  copper line leaked; insured noticed large cracks in wall and under house due to a roof leak.  </t>
  </si>
  <si>
    <t>Provided risk is professionally renovated, the issues should be take care of.  I advised Alex we won't go with straight rate - will need to apply higher deductible and surcharge.</t>
  </si>
  <si>
    <t>Cattle on property</t>
  </si>
  <si>
    <t>Alex is working on a risk with 25 cattle. He needs a list of questions to ask.  I forwarded a list.  He will obtain info and submit.</t>
  </si>
  <si>
    <t>Pend for additional information</t>
  </si>
  <si>
    <t>Forms?</t>
  </si>
  <si>
    <t xml:space="preserve">1914 home with unknown dates of previous renovations. Do we need to apply Dwelling Under Construction and Modified RC?  </t>
  </si>
  <si>
    <t>Approved w/Dwelling Under Construction only which applies ACV.  The Modified RC conflicts with the wording, so only one should apply.</t>
  </si>
  <si>
    <t>New Orleans LA PC2</t>
  </si>
  <si>
    <t>2016 home 26 miles from coast with alarms, EIFS. Branch is requesting a credit (prem to beat is $13,000)</t>
  </si>
  <si>
    <t>Rickert, Scott</t>
  </si>
  <si>
    <t>Oakes, Richard</t>
  </si>
  <si>
    <t>Tumtum WA PC10</t>
  </si>
  <si>
    <t>Reduce Cov C?</t>
  </si>
  <si>
    <t>1994 frame home PC10. 6 miles to volunteer FD. Has exterior roof sprinklers2 prior losses: 5/1/14 fire in barn due to crack in new extension cord $94,023; 7/7/15 broken water pipe $6,814. Fire investigation report states the damage is probably due to failure of a 6 year old electrical extension cord. It is ruled accidental. Guidelines state a minimum of 50% of Cov A. This is appx. 40%.</t>
  </si>
  <si>
    <t>Med Pay</t>
  </si>
  <si>
    <t xml:space="preserve">Alex noticed that our COC form for Homeowners excludes med pay but there is no associated form for Dwelling. I confirmed with Karen yesterday that Dwelling has no special COC liability form.  </t>
  </si>
  <si>
    <t>I approved the risk for Alex with $1000 med pay. He forwarded me Lloyds form so we can look into it.</t>
  </si>
  <si>
    <t>PBM221LLC</t>
  </si>
  <si>
    <t>5 units</t>
  </si>
  <si>
    <t>Alison has 2 properties.  1 has 3 separate rentals. The other has a primary home and a rental guest house. We discussed how to insure.  The decision was, 3 separate rentals on one property can be written on 1 policy w/3 separate dec pages (like MDF00000332245). One liab charge since it is on the same legal property. Then use DL 24 11 to extend liab to the 2 other homes.  For the home/guest house, they are separate addresses. Need separate policies. If not rented, I'd make an exception for it to be an other structure.</t>
  </si>
  <si>
    <t>Russo Family Trust</t>
  </si>
  <si>
    <t>Boards horses</t>
  </si>
  <si>
    <t>Discussed whether Biz Exclusion or X-liability would be best.</t>
  </si>
  <si>
    <t>Matt's preference is X-liability. Approved terms.</t>
  </si>
  <si>
    <t>Davis, Joanne</t>
  </si>
  <si>
    <t>Greenwood Village CO PC3</t>
  </si>
  <si>
    <t>1999 home not in brush. Covg lapsed in 2014.  Then auto lapsed in 2015, and they realized it. Agent added a 3% surcharge.</t>
  </si>
  <si>
    <t>Ray</t>
  </si>
  <si>
    <t>Serrao, Frank</t>
  </si>
  <si>
    <t xml:space="preserve">Mystic Island NJ </t>
  </si>
  <si>
    <t xml:space="preserve">New modular being constructed on site. Main connections done by modular company. Insured is GC, plumber, electrician. </t>
  </si>
  <si>
    <t>Advised Ray we are not currently writing risks where insured is the GC. We are working on a program with Tamika.</t>
  </si>
  <si>
    <t>Ran insurance score-it is acceptable (in a credit range)</t>
  </si>
  <si>
    <t>Lyman, Brent</t>
  </si>
  <si>
    <t xml:space="preserve">1997 home, ins lapsed with AAA due to billing error. Co refuses to reinstate. Agency failed to submit for approval. Got bind request today and came for approval. </t>
  </si>
  <si>
    <t>Approved with no surcharge as agent had already quoted. $1555 premium</t>
  </si>
  <si>
    <t>Lahoya CA</t>
  </si>
  <si>
    <t>Cov C ok?</t>
  </si>
  <si>
    <t>1957 home being renovated. Insured leaving some contents in 2 rooms. $25,000.</t>
  </si>
  <si>
    <t>Approved subject to a $2500 theft or $2500 AOP deductible.</t>
  </si>
  <si>
    <r>
      <rPr>
        <sz val="11"/>
        <color rgb="FFFF0000"/>
        <rFont val="Calibri"/>
        <family val="2"/>
        <scheme val="minor"/>
      </rPr>
      <t xml:space="preserve">Ran AAL and came up with $9741. </t>
    </r>
    <r>
      <rPr>
        <sz val="11"/>
        <color theme="1"/>
        <rFont val="Calibri"/>
        <family val="2"/>
        <scheme val="minor"/>
      </rPr>
      <t>Asked agent for current premium.  If we offer terms it needs to be subject to apples/apples competitor coverages.</t>
    </r>
  </si>
  <si>
    <t>email</t>
  </si>
  <si>
    <t>Fulton, Airon</t>
  </si>
  <si>
    <t>Marrero, LA</t>
  </si>
  <si>
    <t>1971 home, updated, no losses. Lapse is more than 180 days and Jill wants us to lower the rate $540 to match.</t>
  </si>
  <si>
    <t>Matthew</t>
  </si>
  <si>
    <t>Tometich, Rick</t>
  </si>
  <si>
    <t>DP3</t>
  </si>
  <si>
    <t>Gilbert, AZ</t>
  </si>
  <si>
    <t>TIV on DP3</t>
  </si>
  <si>
    <t>Asking some f/u's. Why is the insured going the home tender route? What is the length of state? Also asking about cov C (which is $670,500.)</t>
  </si>
  <si>
    <t>insured is paying a staging company to live in home (?) see hometendersofamerica.net</t>
  </si>
  <si>
    <t>Kuehnis, Brian</t>
  </si>
  <si>
    <t>Seasonal/Primary(?)</t>
  </si>
  <si>
    <t>Mariposa, CA</t>
  </si>
  <si>
    <t>Cov B ok?</t>
  </si>
  <si>
    <t>Cov B is listed at $560,000 (cov A is $631K.) No losses, built in 1979, no updates, no alarm. The other structure is another house on premises called a "granny house"</t>
  </si>
  <si>
    <t xml:space="preserve">They will include ACV roof. Pics of the home and granny house look good, very well maintained. </t>
  </si>
  <si>
    <t>Jauch, Herbert &amp; Marguerite</t>
  </si>
  <si>
    <t>Mill Valley, CA</t>
  </si>
  <si>
    <t>Ext liab to adjacent structure</t>
  </si>
  <si>
    <t xml:space="preserve">Agt provided inspection and current dec of secondary home (appears just written) Roof on home is in poor condition. Built in 1994, brush zone. Jill wants to extend liability to adjacent property however did not provide photos of other property. Unable to pull up on google. Fireline is a 6 with light fuels, however, based on the inspection provided it seems to be in a very dense/wooded area. </t>
  </si>
  <si>
    <t>asking for photos of adjacent structure, asking what action was taken on the inspection for the secondary home as the roof is in poor condition. Also asking to confirm brush is not within 150ft</t>
  </si>
  <si>
    <t xml:space="preserve">If adjacent structure looks good, I'm ok with extending liab. Also waiting to hear back regarding ACV roof endt for the secondary home. </t>
  </si>
  <si>
    <t>Valk, Danielle</t>
  </si>
  <si>
    <t>North Miami Beach, FL</t>
  </si>
  <si>
    <t>2014 water loss, surcharged and $10K water ded</t>
  </si>
  <si>
    <t>Approved with surcharge and water ded, as long as A/C unit (from prior claim) has been appropriately repaired</t>
  </si>
  <si>
    <t>K.Burdine</t>
  </si>
  <si>
    <t>Lipkin, Gal</t>
  </si>
  <si>
    <t>DP3/Owner Occ</t>
  </si>
  <si>
    <t>Beverly Hills, CA</t>
  </si>
  <si>
    <t>Rented during summer months</t>
  </si>
  <si>
    <t xml:space="preserve">cov a is $1.8m, $5k ded, renie brush (surcharge included.) Home is occupied year round with the exception of the summer months when they move out and rent it. </t>
  </si>
  <si>
    <t>Advised as long as the brush zone requirements are met, we are good to go. Also advised this would qualify as a seasonal home on an HO3, not sure why they wanted DP3. Fireline came back as High (6) with heavy fuels.</t>
  </si>
  <si>
    <t>Cartledge, David</t>
  </si>
  <si>
    <t>Cullowhee, NC</t>
  </si>
  <si>
    <t>Premium Consideration</t>
  </si>
  <si>
    <t>trying to match $1000 premium from Encompass (Pulling out of NC), 2 claims on primary home</t>
  </si>
  <si>
    <t>Sheperd, John</t>
  </si>
  <si>
    <t>Lumbertsville, PA</t>
  </si>
  <si>
    <t>Gun shop in home</t>
  </si>
  <si>
    <t>1929 home with gun shop in the home. Wanted to use business exclusion</t>
  </si>
  <si>
    <t>Exposure too high, even with exclusion. Other exposures of theft and explosion are a concern.</t>
  </si>
  <si>
    <t>Advised with claim surcharges and TIV would need to bring in more premium to consider, ran insurance scores and both very high. Agreed to give 25% off quoted premium so OK at $2200</t>
  </si>
  <si>
    <t>Townsend, Joan</t>
  </si>
  <si>
    <t>&gt;$3Mil</t>
  </si>
  <si>
    <t>Owner occupied,  brush zone (surcharged), central fire, no central burglar</t>
  </si>
  <si>
    <t>approved as long as brush clearance met (concerns with online photos), and either install central burg or higher AOP and/or special theft</t>
  </si>
  <si>
    <t>Gave approval to increase by $180K-kitchen is being renovated, expected completion by July 2016 so surcharged at 10% instead of full builders risk-K.Burdine</t>
  </si>
  <si>
    <t>Yandell, John</t>
  </si>
  <si>
    <t>Secondary, HO2</t>
  </si>
  <si>
    <t>Shingletown, CA PC 10</t>
  </si>
  <si>
    <t>Response time &gt;15 mins</t>
  </si>
  <si>
    <t>Discussed with M.Patterson.Approved if confirmed that roads are paved (unprotected questionnaire wasn't attached). Also suggested 5% surcharge for increase response time</t>
  </si>
  <si>
    <r>
      <t xml:space="preserve">Jill came back on 5/26/16 advising that the shop is detached from the home and that there are alarms installed at both. Google maps does show about 50% of the driveway is shared. Advised there are still too many variables I'm not comfortable with. </t>
    </r>
    <r>
      <rPr>
        <b/>
        <sz val="11"/>
        <color theme="1"/>
        <rFont val="Calibri"/>
        <family val="2"/>
        <scheme val="minor"/>
      </rPr>
      <t>5/26/16 ltrott</t>
    </r>
  </si>
  <si>
    <r>
      <t xml:space="preserve">Matthew came back and said our base premium was $16,149. Advised we need to be in the $11-12k range. Trying not to leave $ on the table. </t>
    </r>
    <r>
      <rPr>
        <b/>
        <sz val="11"/>
        <color theme="1"/>
        <rFont val="Calibri"/>
        <family val="2"/>
        <scheme val="minor"/>
      </rPr>
      <t xml:space="preserve">LT 5/23/16
</t>
    </r>
    <r>
      <rPr>
        <sz val="11"/>
        <color theme="1"/>
        <rFont val="Calibri"/>
        <family val="2"/>
        <scheme val="minor"/>
      </rPr>
      <t xml:space="preserve">
Jill was able to get the premium to $12k. Will allow them to release terms. </t>
    </r>
    <r>
      <rPr>
        <b/>
        <sz val="11"/>
        <color theme="1"/>
        <rFont val="Calibri"/>
        <family val="2"/>
        <scheme val="minor"/>
      </rPr>
      <t xml:space="preserve"> LT 5/26/16</t>
    </r>
  </si>
  <si>
    <t>Trevino, Salvadore</t>
  </si>
  <si>
    <t>Foresthill CA PC10</t>
  </si>
  <si>
    <t>Primary home with $1,298,000 other structures includes guesthouse/garage, and man cave storage with basement. In basement is gun safe and shooting range. Also has 8 dogs. Property only, no liability.</t>
  </si>
  <si>
    <t>Asked questions about 100 acres to ensure accessible by FD. Also asked questions about gun chemicals, storage, ventilation, etc. to evaluate fire and explosion hazard in basement.</t>
  </si>
  <si>
    <r>
      <t xml:space="preserve">Danielle provided acceptable answers to questions asked. The indoor range will eventually be converted into guest quarters on the property since it already has plumbing and air. Will allow them to release terms. </t>
    </r>
    <r>
      <rPr>
        <b/>
        <sz val="11"/>
        <color theme="1"/>
        <rFont val="Calibri"/>
        <family val="2"/>
        <scheme val="minor"/>
      </rPr>
      <t>LKT 5-27-16</t>
    </r>
  </si>
  <si>
    <t>Curry, Calvin</t>
  </si>
  <si>
    <t>Longwood, FL</t>
  </si>
  <si>
    <t>Silo home</t>
  </si>
  <si>
    <t>Secondary home located in Fl that is a silo, built in 2007, PC4, no alarm, no losses.</t>
  </si>
  <si>
    <t>historically we have had issues with properly estimating value on these and give it's a FL exposure with unknown performance in wind is a concern</t>
  </si>
  <si>
    <r>
      <t xml:space="preserve">5/27/16- </t>
    </r>
    <r>
      <rPr>
        <sz val="11"/>
        <color theme="1"/>
        <rFont val="Calibri"/>
        <family val="2"/>
        <scheme val="minor"/>
      </rPr>
      <t xml:space="preserve">insured now wants a $100k ded, worked with Jeff and determined that was ok. Max credit is -35% ($3,500) </t>
    </r>
    <r>
      <rPr>
        <b/>
        <sz val="11"/>
        <color theme="1"/>
        <rFont val="Calibri"/>
        <family val="2"/>
        <scheme val="minor"/>
      </rPr>
      <t>lkt</t>
    </r>
  </si>
  <si>
    <t>Neumann, Beverly</t>
  </si>
  <si>
    <t>Franklin, MI</t>
  </si>
  <si>
    <t>builders risk/high profile</t>
  </si>
  <si>
    <t xml:space="preserve">insured is local artist, not really high profile. </t>
  </si>
  <si>
    <t>Weaver, Paul and Nancy</t>
  </si>
  <si>
    <t>Denver, PA</t>
  </si>
  <si>
    <t>insured has had 2 fire losses (one due to wbs and the other is unknown cause in the barn)</t>
  </si>
  <si>
    <t>Approved subject to them excluded the barn until it's completely rebuilt.</t>
  </si>
  <si>
    <t>La Haye, Tim and Beverly</t>
  </si>
  <si>
    <t>Alpine, CA</t>
  </si>
  <si>
    <t>home where land is owned by separate entity</t>
  </si>
  <si>
    <t>Advised agt we prefer liab be excluded given the property is not owned by the insured. Also adv to confirm the house is not utilized by the camp.</t>
  </si>
  <si>
    <t>Arquette, Rosanna</t>
  </si>
  <si>
    <t>Big Sur, CA</t>
  </si>
  <si>
    <t>Rosanna Arquette is an actress. Not concerned about her profile. Advised as long as there is proper brush clearance (surcharge is applicable), they may release terms.</t>
  </si>
  <si>
    <t>Benjamin</t>
  </si>
  <si>
    <t>O'Neal, Edward</t>
  </si>
  <si>
    <t xml:space="preserve">leased acreage </t>
  </si>
  <si>
    <t>160+ leased land for farming, PC9, built 1920</t>
  </si>
  <si>
    <t>Burns will be obtaining the farm liability dec prior to binding.</t>
  </si>
  <si>
    <t>Rutan, Richard &amp; Paula</t>
  </si>
  <si>
    <t>loss over 100k</t>
  </si>
  <si>
    <t>Large water loss in 2013 that took over a year for repairs to be completed, PC3, all updates completed since 2006.</t>
  </si>
  <si>
    <t xml:space="preserve">Repairs were a major update to the systems, floors, walls, and some cabinets. </t>
  </si>
  <si>
    <t>Mushtaq, Ahmed</t>
  </si>
  <si>
    <t>TIV, water loss</t>
  </si>
  <si>
    <t xml:space="preserve">PC2, nothing out of the ordinary besides loss and TIV. </t>
  </si>
  <si>
    <t>Requiring $10k water ded in year one, if no losses they can decrease to AOP.</t>
  </si>
  <si>
    <t>Builders Risk</t>
  </si>
  <si>
    <t>Builders risk, complete rebuild</t>
  </si>
  <si>
    <t xml:space="preserve">Not many details provided, advised OK to proceed if licensed GC, work &lt;1 year, supp app completed. </t>
  </si>
  <si>
    <t>K.Burdine/After-hours final approval by J. May</t>
  </si>
  <si>
    <t>Newman, Todd</t>
  </si>
  <si>
    <t>Cayucos, CA/PC 10</t>
  </si>
  <si>
    <t>PC 10, Response time</t>
  </si>
  <si>
    <t>Approved with .50 premium bump if trees (including limbs) are appropriately cleared</t>
  </si>
  <si>
    <t>Vernola, Luigi</t>
  </si>
  <si>
    <t>Murrieta CA/ PC 10</t>
  </si>
  <si>
    <t>PC 10, Response time &gt;15 mins</t>
  </si>
  <si>
    <t>No losses, PC questionnaire attached (20 min response time, FD 8 miles), high brush risk-brush cleared 200 feet but Oak trees all around property within 200 feet, ran insurance score-both very high.</t>
  </si>
  <si>
    <t>response time 17 minutes, PC questionnaire attached-there are two wells, hydrant, and other water sources on property, central alarm only</t>
  </si>
  <si>
    <t>approve, subj to confirming that if they do bring horses are personal use only (per photos/descript online there are stalls on prop). Suggesting 5% surcharge if can still remain competitive</t>
  </si>
  <si>
    <t>Goodman, Joel</t>
  </si>
  <si>
    <t>Joel Goodman-Composer; reviewed Google and he is well-established in career. Multiple compositions in film/music and awards, interviews with PBS. Nothing of concern insurance wise.</t>
  </si>
  <si>
    <t>Joan Hall-Doyan</t>
  </si>
  <si>
    <t>24291 Great View Drive Crestline, CA</t>
  </si>
  <si>
    <t>Carpe, Tracey</t>
  </si>
  <si>
    <t>Conifer, CO PC 5</t>
  </si>
  <si>
    <t>Claims History</t>
  </si>
  <si>
    <t>Referring due to prior dog bite claim/water claim. Still owns dog (1 of 3). Dog bite was related to claimant teasing dog, wants sublimit of $10K</t>
  </si>
  <si>
    <t>Gave approval to release terms with animal liab exclusion, declined sublimit request</t>
  </si>
  <si>
    <t>Cook, Rodney</t>
  </si>
  <si>
    <t>Pole Barn</t>
  </si>
  <si>
    <t>PC 9, Pole barn used as primary residence</t>
  </si>
  <si>
    <t>questioning central heat/air; and if site built or factory built</t>
  </si>
  <si>
    <t>Rodriguez-Diaz, Emilia</t>
  </si>
  <si>
    <t>Philadelphia, PA</t>
  </si>
  <si>
    <t>Ineligible Zip</t>
  </si>
  <si>
    <t>Per agt, got message that ineligible Zip</t>
  </si>
  <si>
    <t>Wood stove primary heat source, no water sources w/in 1000 feet, FD 5 miles over</t>
  </si>
  <si>
    <t>Wood stove professionally installed, primary heat source for home</t>
  </si>
  <si>
    <t>wood stove-primary heat source</t>
  </si>
  <si>
    <t>Chesser, Melissa</t>
  </si>
  <si>
    <t>Pinecrest, CA</t>
  </si>
  <si>
    <t>Confirmed with Jeff that OK to release terms</t>
  </si>
  <si>
    <t>Jeff will check to see why zip showing as ineligible</t>
  </si>
  <si>
    <t>Phone/Email</t>
  </si>
  <si>
    <t>Say, Geza</t>
  </si>
  <si>
    <t>Avalon, CA</t>
  </si>
  <si>
    <t>Currently renter occupied</t>
  </si>
  <si>
    <t>Insured purchasing duplex, will be owner-occupied in 6 months as there are currently renters from prior owner. Agt proposing H03 with tenant-occupied rates; will not include owner occupied forms until owners actually move in</t>
  </si>
  <si>
    <t xml:space="preserve">Discussed with Jeff, agreed OK with agt proposal. Obtaining tenant-occupied rate for entire year, will be owner occupied for 50% of term. </t>
  </si>
  <si>
    <t>Agency received bind request for this per Charity.</t>
  </si>
  <si>
    <t>Tammi</t>
  </si>
  <si>
    <t>Castle Renovations LLC</t>
  </si>
  <si>
    <t>Match rate</t>
  </si>
  <si>
    <t>Wanted us to beat a Lex and Beasley rate. Ran against AAL and agreed to match Beasley $1900 rate.</t>
  </si>
  <si>
    <t>Castle Renovations LLC (Loc 2)</t>
  </si>
  <si>
    <t>Renew for another 6 mo term</t>
  </si>
  <si>
    <t>Karen</t>
  </si>
  <si>
    <t>Donnelly, Patrick</t>
  </si>
  <si>
    <t>Charleston SC</t>
  </si>
  <si>
    <t>Agreed to offer renewal for another 6 month term.</t>
  </si>
  <si>
    <t>Markel quoted prem 2960.  Lloyds prem $2280.  AAL came in at $1550.  Agreed to match Lloyds premium</t>
  </si>
  <si>
    <t>Gilerman, Erina</t>
  </si>
  <si>
    <t>TIV &gt; $3M</t>
  </si>
  <si>
    <t>DP3 Rental PC2</t>
  </si>
  <si>
    <t>2013 Rental in LA. In Renie fire zone but agent applied 5% credit because aerial photo shows little brush and it's not in a CDS med or high zone. Central station alarms.</t>
  </si>
  <si>
    <t>Not feeling great about the 5% credit. FireLine shows a 6 (high) with heavy fuels at the property and light to medium in the surrounding area.</t>
  </si>
  <si>
    <t>Wellhausen</t>
  </si>
  <si>
    <t xml:space="preserve">Agent asking for alternative to roof exclusion. 40 year old home w/unknown updates. Photos from inspection look good. </t>
  </si>
  <si>
    <t>Agreed to proceed w/ACV roof vs. roof exclusion.  Asked for small surcharge to be applied.</t>
  </si>
  <si>
    <t>1933 home updated in 2002. PC2 with Negligible brush exposure per FireLine. Alarmed. Mr. is attorney-real estate, employment, mergers, acquisitions, trademarks. Challenging fire access area, but FD practices per inspection. Notes in inspection about insured being a writer with an assistant. Will find out details. Need newer inspection - this is from 2013. Sewer backup claim in 2011 $13,000. Old home quest notes all repaired and plumbing fixed.</t>
  </si>
  <si>
    <t>1978 home updated in 2001. Low brush verified in FireLine. Seasonal with full time caretaker who lives in guest house.  $858,000 other exposures. There are sheep/chickens.  Response time okay. Home on 27 acres per internet.</t>
  </si>
  <si>
    <t>2009 frame home seasonal use. Has been cleared of brush and overhanging trees per last inspection. Insured is on unpaved road, but FD would access this road for only a very short distance. Otherwise paved, accessible, little snow. No alarms. Inspection looks good. Lower value for PC10.</t>
  </si>
  <si>
    <t>Insd won't disclose their name.</t>
  </si>
  <si>
    <t xml:space="preserve">Declining as I don't feel comfortable lowering the rate based on the substantial lapse. </t>
  </si>
  <si>
    <t xml:space="preserve">Asked follow up information due to discrepancies in the email vs documents provided. Asked for roof update information. </t>
  </si>
  <si>
    <t>log home, PC 10, brush zone (Cleared at 200 feet), accessible all year, response time 17 minutes, no alarm, visible to neighbors</t>
  </si>
  <si>
    <t>Charity advised the insured will not be rebuilding the barn, he bought a shed instead.</t>
  </si>
  <si>
    <t xml:space="preserve">Policy is being nonrenewed due to the fact that the prior carrier was not made aware of the land ownership. Home is owned by the insured, land is owned by a Christian camp. </t>
  </si>
  <si>
    <t>Shrider, Seth</t>
  </si>
  <si>
    <t>Caboose home</t>
  </si>
  <si>
    <t>Sent preliminary photos to see if we would be a market for something like this.</t>
  </si>
  <si>
    <t>Train/Railcar/Caboose -- If completely professionally renovated (structure as well as plumbing, heating, electric), permanently parked, and we can come to an agreement on an acceptable Cov A, we can consider writing on a submit basis.</t>
  </si>
  <si>
    <t>Stein, Robert</t>
  </si>
  <si>
    <t>Pacific Palisades CA PC4</t>
  </si>
  <si>
    <t>1987 home in Renie zone w/ full alarms. We have insured's secondary home as a COC. Alex bound before getting approval. Alex applied 5% credit ($300) due to Renie zone vs. Brush zone, alarms, &lt;30 yrs, and because we have seasonal. Sent email to Alex &amp; Alison regarding brush - our charge is 20%. I don't want to deviate on individual risks. They can submit a pricing proposal if they wish.</t>
  </si>
  <si>
    <t>Pettit, Michael</t>
  </si>
  <si>
    <t>PP Limit</t>
  </si>
  <si>
    <t>Agent is requesting $150K PP to cover staging on a 6 month policy.</t>
  </si>
  <si>
    <t>Khala, Santokh</t>
  </si>
  <si>
    <t>Altadena CA PC9</t>
  </si>
  <si>
    <t>PC9 TIV&gt;$1.5M</t>
  </si>
  <si>
    <t xml:space="preserve">2001 frame home with 10 min response time and accessible. Risk Meter shows risk is in a Renie fire zone but Ben's email indicates "not in brush". </t>
  </si>
  <si>
    <t>Approved subject to brush surcharge.</t>
  </si>
  <si>
    <t>Orlandella, Vito</t>
  </si>
  <si>
    <t>Auberry CA PC9</t>
  </si>
  <si>
    <t>Smith, Ken</t>
  </si>
  <si>
    <t>Saratoga CA PC10</t>
  </si>
  <si>
    <t>PC10 TIV&gt;$1.5M</t>
  </si>
  <si>
    <t>Approved subject to acceptable woodstove questionnaire.</t>
  </si>
  <si>
    <t>1992 frame home in brush w/8 minute response. Woodstove in home per online source.</t>
  </si>
  <si>
    <t>1981 home with updated roof.  In brush 10 minute response. 4 miles from FD.  Woodstove in home per online source.</t>
  </si>
  <si>
    <t>Yes answer on app to prior cancel/nrn - no explanation.  If we proceed, it is subject to acceptable woodstove questionnaire.</t>
  </si>
  <si>
    <t>Student housing</t>
  </si>
  <si>
    <t>What is our stance on full time rentals to students.</t>
  </si>
  <si>
    <t>Advised Lisa we can't cover all in the UW guide. This is not a market we want. Grad students might be an exception.</t>
  </si>
  <si>
    <t>Walters, EL</t>
  </si>
  <si>
    <t>Evansville IN</t>
  </si>
  <si>
    <t>Delta</t>
  </si>
  <si>
    <t>Open Liab claim</t>
  </si>
  <si>
    <t>1941 rental. Open liability loss from 2/8/16. Tenant visitor slipped on one of the steps.</t>
  </si>
  <si>
    <t xml:space="preserve">Asked addl info about the claim. If it checks out we could proceed.   • Has anything been paid yet or are they anticipating $6,000 will be it?  
• Any indication this is not a legitimate loss?  
• Where were the steps located?  
• What were the conditions surrounding the loss?  
• What was wrong with the steps?  
• What has the insured done to rectify the situation?
• What is holding up the loss from being settled?
</t>
  </si>
  <si>
    <t>Hoech, John</t>
  </si>
  <si>
    <t>Salinas CA PC3</t>
  </si>
  <si>
    <t>1977 frame home with full roof update in 2015 and partial updates to other systems. In brush. Beautiful online photos. Protection quest confirms 200' brush clearance.</t>
  </si>
  <si>
    <t>Polizzi/Rose/Kuemmeler Trusts</t>
  </si>
  <si>
    <t>Alamo CA PC2</t>
  </si>
  <si>
    <t>COC started in 2015 w/ Lex. Renewing and agent is trying to move to us. Home is fully alarmed. In brush zone.</t>
  </si>
  <si>
    <t>Typically we like new COC’s that are expected to take one year to complete.  Can you fill me in on this situation?  I’m assuming we are going into the second year of construction?  Any info as to why it is taking this amount of time?  How far along are they?  (What work is left?)  Will this be owner occupied upon completion?  When is that expected?</t>
  </si>
  <si>
    <t>Stratton, David</t>
  </si>
  <si>
    <t>Approved w/a 10,000 theft deductible, and asked addl info to confirm this was the risk we approved in December 2015.</t>
  </si>
  <si>
    <t>Granite Bay CA PC3</t>
  </si>
  <si>
    <t>Competing w/C N A. Agent has applied 5% and still need $200.  Running insurance score.  1951 seasonal home</t>
  </si>
  <si>
    <t>Ask if home has been updated and details.</t>
  </si>
  <si>
    <t>Per Mel, with Lex, larger home taking longer. Due to complete and be owner occupied in November.</t>
  </si>
  <si>
    <t>Same risk, insured was waiting on cert of occupancy to bind policy. They finally got it.</t>
  </si>
  <si>
    <t>Home updated in 2013. No claims. Good insurance score.</t>
  </si>
  <si>
    <t>McFarland</t>
  </si>
  <si>
    <t>2 rental units on one property. Home and detached garage w/apartment rented to different people. As we did with another similar risk for Alison, put both on one policy, there would be 2 decs w/different "locations" listed but under one policy. Include charge for liability. There is a form that extends coverage to multiple locations.</t>
  </si>
  <si>
    <t>Salvati</t>
  </si>
  <si>
    <t>2 rentals on one property</t>
  </si>
  <si>
    <t>PC?</t>
  </si>
  <si>
    <t>New build in new community. Agent doesn't know if fire hydrants are in yet. 5/9 PC. Agreed to write as a 5 as long as hydrants are there or will be within a few months.</t>
  </si>
  <si>
    <t>Guest house is primary residence for the insured. The previous main home is what is rented out. Alison will find out if this is AirBNB situation or a seasonal rental. We can probably write the "guest house" as Coverage A and the main house as Coverage B.</t>
  </si>
  <si>
    <t>Goff</t>
  </si>
  <si>
    <t>Oak Park CA</t>
  </si>
  <si>
    <t>1989 very nice home. We have insured's Secondary. They have a C N A quote for $3800. We are coming in at $4421 w/$10K ded. ($4509 with $5K) We hit premium floor.  I did agree to go to $4300 today.  Tomorrow I can get an insurance score run and see if we can do better. Also asked for app and make sure this is apples/apples quote.</t>
  </si>
  <si>
    <t>Insurance score allowed 15% discount. Advised Kirk if apples/apples, we can get to $4128 (16 cent rate).</t>
  </si>
  <si>
    <t>With Lloyds, being NRN due to PC10-they are not writing. PC10 info is fine. Approved subjet to acceptable woodstove quest.</t>
  </si>
  <si>
    <t>Agent came back - primary home is seasonal with family use. Det garage unit is rented. Advised to use HO 04 40 for the garage. Cover on a homeowners form.</t>
  </si>
  <si>
    <t>HO3 Primary w/rental structure</t>
  </si>
  <si>
    <t>Per Delta, There is 6,000 in the reserve and nothing has been paid out yet. The person was a visitor to see the tenant and stepped on one of the steps going to the back door, the board came loose and he fell and hurt his knee. The steps have been repaired. They believe they are waiting to make sure about his knee.  Considered this to be acceptable and don't see a concern starting a new policy.</t>
  </si>
  <si>
    <t>COC-Newport Beach</t>
  </si>
  <si>
    <t>Insured is remodeling their home on land owned by newport beach and leased back to them. They REQUIRE to be listed as AI with strict endorsement language. We won't do it. Lloyds will for $3K more than us. Hull got Markel Coml to write a GL listing Newport Beach for $1M liab. Insd needs personal liablity for their protection and for their umbrella. Alison wants us to write liab on our policy which will be possibly stacked with the GL. Ours will be $300,000. We can increase our premium $1,000 for this.</t>
  </si>
  <si>
    <t>Alison will submit if needed. Discussed w/Louisa and she feels we need policy language from Coml and this may need to go to Audrey for approval since we would be stacking.  Our other insurance clause states:  This insurance is excess over other vaid and collectible insurance except insurance written specifically to covera as excess of the limits of liability that apply in this policy.</t>
  </si>
  <si>
    <t>Britt, Marvin</t>
  </si>
  <si>
    <t>2006 frame home, seasonal no rental. No losses. Insd's occupation is daycare, but this is the seasonal. The daycare is in IL. Beautiful online photos of home.</t>
  </si>
  <si>
    <t>Henderson NV  PC2</t>
  </si>
  <si>
    <t>6/10, ended up writing with Lloyds.</t>
  </si>
  <si>
    <t>Sayad, Nabil</t>
  </si>
  <si>
    <t>Long Beach CA PC2</t>
  </si>
  <si>
    <t>Approved subject to confirmation of adequate/correct Cov A. Inspection show $1,133,084.</t>
  </si>
  <si>
    <t xml:space="preserve">1956 w/roof update in 2014; full heat/plumb in 2009; full wire in 2008. Not in brush. Travelers NRN due to proximity to water. 300' from coast. </t>
  </si>
  <si>
    <t>Erdi, Alev</t>
  </si>
  <si>
    <t>Tree in decks</t>
  </si>
  <si>
    <t>Insured's decks were built around a large tree.</t>
  </si>
  <si>
    <t>Asked multiple questions about type of tree, maintenance plan etc. Ok if it checks out.</t>
  </si>
  <si>
    <t>Pleasant View Farm</t>
  </si>
  <si>
    <t>Washington NJ</t>
  </si>
  <si>
    <t>Other Str issues</t>
  </si>
  <si>
    <t>Maintenance issues w/barns of the equine operation. They are placing the equine with commercial. House is okay. Agent wants to write excluding liab, oth structures, add business excl and animal excl</t>
  </si>
  <si>
    <t>Patterson, Joseph</t>
  </si>
  <si>
    <t>27 min response time</t>
  </si>
  <si>
    <t>2004 frame home. No losses. 27 minute response time from paid responding FD. Community has a private hydrant. In brush. Accessible year round. 2 volunteer FD's 15 min and 1 mile away that service this address. Home and garage are log type A frame with a metal roof. Per FireLine, score is 6 with medium fuels.</t>
  </si>
  <si>
    <t>Approved subject to a surcharge for the longer response time.  Asked Ben what the current premium is so I can advise the percentage.</t>
  </si>
  <si>
    <t>Andrea</t>
  </si>
  <si>
    <t>COC question</t>
  </si>
  <si>
    <t>Asked numerous questions about timeframe, type of business, use of exclusion.</t>
  </si>
  <si>
    <t>Aria</t>
  </si>
  <si>
    <t>26 Meeting St</t>
  </si>
  <si>
    <t>Insd owns a 2-3 family rental on one street, and a commercial business on the other. They are connnecting the two and turning it into 100% commercial. They need coverage on the rental and COC. Once the CO is issued, they will cancel the policy.</t>
  </si>
  <si>
    <t>1822 home being completely renovated.  Agent got rater of $18,136. Looking for 75 cent rate. AAL came in at $7,044, so no problem.</t>
  </si>
  <si>
    <t>Approved with 75 cent rate and MFRC.</t>
  </si>
  <si>
    <t>Prem is $3714. We agreed on a 10% surcharge.</t>
  </si>
  <si>
    <t>Overstreet, Jerome</t>
  </si>
  <si>
    <t>&gt;4 losses</t>
  </si>
  <si>
    <t>Highland CA</t>
  </si>
  <si>
    <t>1965 home completely updated in 2000. 6 losses all at prior residence.  3 theft; 2 water damage; 1 glass. Not in brush.</t>
  </si>
  <si>
    <t>Stated I wasn't really interested, but would look at more claim detail if they really wanted Markel to consider.</t>
  </si>
  <si>
    <t>Landucci, Nathan</t>
  </si>
  <si>
    <t>White Bear Lake MN PC10</t>
  </si>
  <si>
    <t>PC10 island</t>
  </si>
  <si>
    <t>Beautiful 1986 frame home w/roof updated in 2005. Sprinklered. Home has no fire service and is not accessible.</t>
  </si>
  <si>
    <t>Got insurance score. It's in the 25% surcharge rate. Sent follow up email to Leslie letting her know we were going to pass.</t>
  </si>
  <si>
    <t>Seitles Family Trust</t>
  </si>
  <si>
    <t>Camino CA</t>
  </si>
  <si>
    <t>$195K Oth Str</t>
  </si>
  <si>
    <t xml:space="preserve">Agent wants approval to add a $195,000 shop and garage. Agent outlined construction specs. Sounds fine. </t>
  </si>
  <si>
    <t>Approved subject to verification there is no business use, only personal use. No woodstove/portable heat.</t>
  </si>
  <si>
    <t>Weed CA PC9</t>
  </si>
  <si>
    <t>215 horses on prop/No prior ins</t>
  </si>
  <si>
    <t>1900 home fully updated with additions and complete system upgrades in 2000. Insd has barn, shed, 215 horses. Agent is excluding all oth str and all liability.</t>
  </si>
  <si>
    <t>Asked agent for current rate. Reviewed carefully and felt that at this time in our program, I'm not comfortable taking on a risk with no fire protection.</t>
  </si>
  <si>
    <t>Approved subject to verif there is no hay within 25 feet of the dwelling. Also checked ins score due to lapse and it was decent.</t>
  </si>
  <si>
    <t>Hossepian, Anita</t>
  </si>
  <si>
    <t>Sabankaya, Mustafa</t>
  </si>
  <si>
    <t>2001 frame home in brush. Googled address and 2 business names come up at this address.</t>
  </si>
  <si>
    <t>Asked questions about business on property. Also, this will be subj to 150' brush clearance.</t>
  </si>
  <si>
    <t>Schultz, Ann</t>
  </si>
  <si>
    <t>Santa Clarita CA PC9</t>
  </si>
  <si>
    <t>$536K guest house</t>
  </si>
  <si>
    <t>2007 home with large rental guest house. Rated on 1 policy, 2 family, extend liability. Home constructed of Rastra (insulated concrete material). Online photos show a narrow driveway. Need confirmation of fire truck accessability.</t>
  </si>
  <si>
    <t>Approved subject to confirmation that fire trucks can get up/through driveway.</t>
  </si>
  <si>
    <t>2002 Werklund Family Trust</t>
  </si>
  <si>
    <t>Kihei, HI</t>
  </si>
  <si>
    <t xml:space="preserve">2006 seasonal condo near coast. Has 10% wind/hail ded. Agent asking us to match Scottsdales expiring $1988 with 2% ded. </t>
  </si>
  <si>
    <t>1898 home being completely remodeled. Agent wants approval for rate with MFRC.</t>
  </si>
  <si>
    <t xml:space="preserve">Reviewed AAL. Premium came in at $1,492 vs. our rater $6,413. </t>
  </si>
  <si>
    <t>Tainted drywall exclusion</t>
  </si>
  <si>
    <t>Would our tainted drywall exclusion form apply to a case where asbestos taping and joint compound is used for drywall.</t>
  </si>
  <si>
    <t>Question in to Rodney. Drywall would be covered but extra cost to remediate would not.</t>
  </si>
  <si>
    <t>Jeff</t>
  </si>
  <si>
    <t>Auto Condos</t>
  </si>
  <si>
    <t>Pontiac MI</t>
  </si>
  <si>
    <t>Auto condo</t>
  </si>
  <si>
    <t>M1 Concourse offers condos with auto storage in and around a racetrack. Values are $100-$500K. They can be used for offices, apartments, and/or car storage.</t>
  </si>
  <si>
    <t>Reviewed heavily with Jeff. Approval with parameters in Burns file.</t>
  </si>
  <si>
    <t xml:space="preserve">Referred to Jeff with my recommendation to approve. No AAL rating in Hawaii. </t>
  </si>
  <si>
    <t>Jeff ok'd. This is a roll and we are getting almost 4x our current rate.</t>
  </si>
  <si>
    <t>Received new info. There are 6 investors; never had insurance on the home; now getting a $1.75M loan and needs insurance on the home. Reviewed details of insurance score and don't feel comfortable.  Withdrew offer of terms.</t>
  </si>
  <si>
    <t>Schetter, Charles</t>
  </si>
  <si>
    <t>HO6</t>
  </si>
  <si>
    <t>2009 home, no brush. Alarms. Agent asking for 25% ord/law, 25% backup as an exception to match Lloyds policy. Sent rate req to Jeff. Website shows insured is a winemaker and has a vineyard. It appears it is not at this location but confirm with agent.</t>
  </si>
  <si>
    <t>Rainey, Catherin</t>
  </si>
  <si>
    <t>Richmond VA PC 5</t>
  </si>
  <si>
    <t>1925 home updated. Insured received in will from her father who passed away. She has a chapter 13 bankruptcy she is paying on. Online sources show the home was foreclosed to the bank on 12/23/15. Ins score 50+% surcharge.</t>
  </si>
  <si>
    <t>Approved subject to 10% additional premium for ord/law. Confirmation that there is no vineyard.</t>
  </si>
  <si>
    <t>No business on property.  Approved.</t>
  </si>
  <si>
    <t>Stretch, Nancy</t>
  </si>
  <si>
    <t>Road closed in winter</t>
  </si>
  <si>
    <t>1945 home updated. Inspection looks good. Paved road, but pass is closed in the winter. This is a seasonal home.</t>
  </si>
  <si>
    <t>Need premium to add surcharge. We normally don't do these, but since lower value, and not used in winter, I'm more comfortable. Side steps need rail per inspection. App says PC9, it is a 10.</t>
  </si>
  <si>
    <t>Conant, Quentin</t>
  </si>
  <si>
    <t>Dodge City KS PC4</t>
  </si>
  <si>
    <t>Home insured for 7 years w/AmFam. They are getting off because they don't write the coml package. Insured has their construction company on the property. Barn/Shop used for storage and equipment.</t>
  </si>
  <si>
    <t>Sent business questions. Also, what is the $46,600 Cov B?</t>
  </si>
  <si>
    <t>Roberts, Gloria</t>
  </si>
  <si>
    <t>Ocean Springs MS PC5</t>
  </si>
  <si>
    <t>No prior coverage</t>
  </si>
  <si>
    <t>Approved subject to a 10% surcharge on the technical premium for the lapse.</t>
  </si>
  <si>
    <t>Davidson, Todd</t>
  </si>
  <si>
    <t>1976 frame home. Not in brush. No roof or system update info on app. 40 year old home</t>
  </si>
  <si>
    <t xml:space="preserve">Santa Barbara CA </t>
  </si>
  <si>
    <t>Approved subject to acceptable update information (left blank on the app). Also return with Unprotected Quest if home is PC9 or 10. Blank on app.  (Thinking this is a PC2).</t>
  </si>
  <si>
    <t>Insured has been self insuring for 2 years. She is a doctor. No claims. 1994 masonry home. Looks nice online. Ran insurance score and it is decent.</t>
  </si>
  <si>
    <t>Blake, Barbara</t>
  </si>
  <si>
    <t>DP3 Full Time Rental</t>
  </si>
  <si>
    <t>Yosemite Natl Park CA PC10</t>
  </si>
  <si>
    <t>25 Min Response Time</t>
  </si>
  <si>
    <t>2003 full time VRBO rental. In brush. No alarms. 25 min response by paid FD. Updates - Wire part 15; plumb part 14; heat part 12; roof full 03.</t>
  </si>
  <si>
    <t>Charleston BR</t>
  </si>
  <si>
    <t>Looking for a $0.75 rate on this 1847 renovation in Charleston. Agency has an agent who specializes in insuring these.  $0.75 rate is $33,750. AAL $8,737.  First row ocean front.  Beautiful building per online photos.  B&amp;B per online.</t>
  </si>
  <si>
    <t>Per AAL, $0.75 rate is fine. Advised agent the app needs to be submitted if they want risk approval. Also advised of our $5M max. Online lists as bed and breakfast. Need info.</t>
  </si>
  <si>
    <t>Gamliel, Maziach</t>
  </si>
  <si>
    <t>Beverly Hills CA PC2</t>
  </si>
  <si>
    <t>1987 home with updates. 2 prior water losses: 3/4/13 pipe burst under water heater $344,427.  1/13/14 Line outside brok $13,785. Agent included $25,000 deductible.  Per retail agent, pipes were replaced. Not in brush. Expiring premium is $9,141.</t>
  </si>
  <si>
    <t>2 prior water losses</t>
  </si>
  <si>
    <t>Approved suggeting a premium closer to the $9,141. (although the 3/2013 loss is probably dropping off.)</t>
  </si>
  <si>
    <t>Historical home</t>
  </si>
  <si>
    <t xml:space="preserve">1925 home updated. On Natl Historic Registry. Registry requires exterior to be maintained as original. Interior does not have to be. No tours. Not very ornate. </t>
  </si>
  <si>
    <t>Alex is submitting w/inspection. Since we can't do MFRC on the exterior, we may be able to surcharge some to cover that. MFRC ok for the interior.</t>
  </si>
  <si>
    <t>Hom, Steven</t>
  </si>
  <si>
    <t>Title question</t>
  </si>
  <si>
    <t>Risk is titled in name of a deceased person. Son is the executor. Can they write in the name of the son. Insurance lapsed in 12/2015.</t>
  </si>
  <si>
    <t>Approved with a 5-10% surcharge-Matt can apply his judgment.</t>
  </si>
  <si>
    <t>Asked for current rate so I can evaluate if we can do this with a surcharge. On the fence due to value and no alarms.  Newer home, has been maintained. FD is paid and they probably don't mess around in Yosemite.  Found addl online sources  that show precarious trees, and recent video of home for sale.</t>
  </si>
  <si>
    <t>Schrey, Thomas</t>
  </si>
  <si>
    <t>1989 home with flat roof not updated. Found websites showing rental and for sale?</t>
  </si>
  <si>
    <t>Have to exclude 26 year old not updated roof. If they replace, consider $25K deductible. Need info on occupancy.</t>
  </si>
  <si>
    <t>Lloyds is writing for 7200. We're coming in at 8239. I'm not willing to debit for a historic home.</t>
  </si>
  <si>
    <t>Enoksen, Kendall</t>
  </si>
  <si>
    <t>30 min response time</t>
  </si>
  <si>
    <t>Danville CA PC10</t>
  </si>
  <si>
    <t>2008 solid log home with no updates. Woodstove. 30 min response time. In brush. 5 miles of dirt road not maintained by county (per inspection). No alarm. Unknown if FD is paid or volunteer.</t>
  </si>
  <si>
    <t>Advised Leslie we have been able to do some lower valued homes w/longer response times, but this one has too many negatives that we can't change or price for.</t>
  </si>
  <si>
    <t>Wolferman, Doug</t>
  </si>
  <si>
    <t>Milford IN PC 5Y</t>
  </si>
  <si>
    <t>22 acres rented out</t>
  </si>
  <si>
    <t>1972 home. 22 acres behind home (per online pics) are rented out to a farmer-he is adding our insd as AI on his GL. Insd inherited home in 2014 and didn't insure. Now with tenant, they are needing to insure.</t>
  </si>
  <si>
    <t>Approved with 20% surcharge for lapse of 2 years; confirm no concern with wiring or plumbing, signed statement of no loss, photo, $2500 ded due to lapse.</t>
  </si>
  <si>
    <t>Agent is asking if 5 additional insureds can be added to the policy.</t>
  </si>
  <si>
    <t>Asked a slew of questions about insurable interest. See email in agent file.</t>
  </si>
  <si>
    <t>Lakeview Investments</t>
  </si>
  <si>
    <t>Vlasyuk, Elena</t>
  </si>
  <si>
    <t>2006 full time rental. In brush. Alarms. Insured is a Real Estate Broker. No signs of this currently being for sale online. Nice photo on google.</t>
  </si>
  <si>
    <t>Jean Francois Jomphe</t>
  </si>
  <si>
    <t>Strange situation - newly built but may sell? Concern with the arrest record. Even x-liability, do we have a concern? Maybe.</t>
  </si>
  <si>
    <t>Newly built 2016 home currently vacant. Insured is unsure if he will sell or rent. Insured is a retired Mighty Ducks player.  In 2012 he had a aggressive altercation in a drive thru at 1:00 in the morning and was arrested. Online articles. Home is very nice.  Insurance score is acceptable.</t>
  </si>
  <si>
    <t>Curtis, Nichole</t>
  </si>
  <si>
    <t>Detroit MI PC3</t>
  </si>
  <si>
    <t>TIV&gt;3M; High profie with arrest record</t>
  </si>
  <si>
    <t xml:space="preserve">1913 home renovated in 2015 by HGTV Rehab Addict star. Located in avg-below avg Detroit neighborhood. Online shows surrounding to be okay. Online article referenced in email to agent indicates Curtis has had issues with pulling proper permits. Negative info about the building process. </t>
  </si>
  <si>
    <t>Along with her celebrity and being a builder, liability and building condition are a concern.  Advised Jill we would want to pass on any risks for this insured.</t>
  </si>
  <si>
    <t>1973 home renovated in 2015. PC8. $120,000 prior fire loss in the Butte fire.  We are coming in competitive. Discussed with Alex and we felt it best to decline.</t>
  </si>
  <si>
    <t>Lucido, Kevin</t>
  </si>
  <si>
    <r>
      <t>1989 frame home .25 miles from coast. 4th row home. Seasonal and rented 5-8 weeks. Mostly weekly rental. Roof not updated. Alarms. Public record shows RD GENERALLY MISD. This is a Reckless Driving violation. Not good, but don't see this as an issue with a home.  Verified i</t>
    </r>
    <r>
      <rPr>
        <sz val="11"/>
        <rFont val="Calibri"/>
        <family val="2"/>
        <scheme val="minor"/>
      </rPr>
      <t>nsurance score is good.</t>
    </r>
  </si>
  <si>
    <t>App says rented 52 weeks?  No UW questions answered? Why leaving Chubb. House accomodates up to 14 renters and per reviews there have been groups of that size. Was considering adding s/c but rate is adequate. Rate 23437/AAL 8445.</t>
  </si>
  <si>
    <t>Frank, Barbara</t>
  </si>
  <si>
    <t>Susanville CA PC10</t>
  </si>
  <si>
    <t>Response time 29 minutes</t>
  </si>
  <si>
    <t>1988 home frame, seasonal, in brush. 20 miles from FD. 4 miles of dirt road. No alarm system.</t>
  </si>
  <si>
    <t>Concerned with the 4 miles of dirt roads and no alarm with a seasonal.</t>
  </si>
  <si>
    <t>RK Partners LLC</t>
  </si>
  <si>
    <t>DP3 Renovation</t>
  </si>
  <si>
    <t>Aspen CO PC5</t>
  </si>
  <si>
    <t>Levoy, David</t>
  </si>
  <si>
    <t>Emigrant Gap CA PC10</t>
  </si>
  <si>
    <t>Response time 20 mins</t>
  </si>
  <si>
    <t>Whitfield, Dana</t>
  </si>
  <si>
    <t>Response time 18 mins</t>
  </si>
  <si>
    <t>1971 home fully updated in 2000. PC10 in brush. Electric heat. Visible to multiple neighbors. 13.7 miles FD, 20 min response. Road becomes gravel - asked how far FD would have to go on gravel. Is it subject to washout or closure? FireLine is High-7</t>
  </si>
  <si>
    <t>Clipper Mills CA PC10</t>
  </si>
  <si>
    <t>Subjectivities:  Woodstove does not meet clearances for a radiant stove. Need to correct.  Brush clearance of 150' required. Driveway and roads fully accessible by fire trucks. Acceptable info on prior losses.</t>
  </si>
  <si>
    <t xml:space="preserve">1995 frame home. PC10 in brush. FireLine is High-9. 12 miles to paid FD. Roads are paved and accessible. Very narrow and steep driveway in photos. Asked agent if it is accessible.  Visible to neighbors. 2 water losses on app 6/21/14 with Scottsdale. Asked agent for more info. </t>
  </si>
  <si>
    <t>Tallarico</t>
  </si>
  <si>
    <t>Los Angeles CA PC3</t>
  </si>
  <si>
    <t xml:space="preserve">1970 home updated. Roof fully updated in 1995. Covering is rock and it appears flat in photos. Aspen is offering renewal but subject to 200' brush clearance. Insured has an area that is 75' away that neighbor won't clear but per our guidelines this is acceptable. In Renie brush. Ran Fireline - it is High-8. </t>
  </si>
  <si>
    <t xml:space="preserve">Approved subject to:  1. Verification of 150' brush clearance or to property line. 2. $15,000 water damage deductible (with no credit) if the roof is flat. (Covering is rock and online photo looks like it is flat.) 3. Premium is fine as quoted at $7,579. </t>
  </si>
  <si>
    <t>Reduce Cov B</t>
  </si>
  <si>
    <t>Kirk wanted approval to reduce Oth Str from $195K to $85K effective 6/17 (Friday, 3 days ago).  Since this is a reduction, and the agent probably talked to the insured that day, I'm okay with going back a few days. Very little prem diff.</t>
  </si>
  <si>
    <t>Humes, Margaret</t>
  </si>
  <si>
    <t xml:space="preserve">2001 home. Has central station alarm, not monitored. Nice online pics. RiskMeter=high brush. FireLine=Moderate-3 with light fuels. Home is stucco with tile roof. Home has outside sprinklers around home. </t>
  </si>
  <si>
    <t>Approved subject to addition of central station fire alarm. 5-10% surcharge on tech rate. ($9466 currently). Home must be to the front of the 37 acres with no accessibility issues. Must be all paved roads and driveway, accessible year round.</t>
  </si>
  <si>
    <t>Backdating</t>
  </si>
  <si>
    <t>Lender left VM for retail agent to bind eff 6/17, but agent didn't get it unitl today.  Alison asked to backdate with signed no loss.  I requested current date (date she got the request) unless it was going to cause a force placed policy for the insured.</t>
  </si>
  <si>
    <t>Brown, Robert</t>
  </si>
  <si>
    <t>Lender is going to significantly charge the insured for the 3 days.  I agreed to allow eff date of 6/17/16 with signed statement received.</t>
  </si>
  <si>
    <t>2 locations</t>
  </si>
  <si>
    <t>Insured has 2 locations on 1 lot, but they have separate addresses. We discussed how to handle. 1 policy with 2 dec pages, each listing a unit and coverages. Make sure to apply 2 liab charges.</t>
  </si>
  <si>
    <t>2001 log home with metal roof PC9. Does he need to surcharge?  Refer?</t>
  </si>
  <si>
    <t>Advised it does not need to be referred, does not need to be surcharged, per UW guidelines.</t>
  </si>
  <si>
    <t>Coleman, Nick</t>
  </si>
  <si>
    <t>Yurt</t>
  </si>
  <si>
    <t>We are not a market for Yurts. Advised Allison I found a NY and Hawaii Company - Midrox.  None in Colorado.  I checked w/friend at Farmers/Foremost and they don't do Yurts.</t>
  </si>
  <si>
    <t>San Marino CA  PC4</t>
  </si>
  <si>
    <t>1947 home completely gutted/remodeled in 2016. Insured is putting up for sale. Alarm and sprinkler system. No current online photos.</t>
  </si>
  <si>
    <t>Roomers</t>
  </si>
  <si>
    <t>Insured has 2 roomers - rents out 2 rooms to 2 different individuals.  Are any additional forms needed. Reviewed policy language. Exclusion for contents unless related. There is coverage for liability, so no addl endorsement needed. Advised each roomer needs an HO-4.</t>
  </si>
  <si>
    <t>Reynolds, Timothy</t>
  </si>
  <si>
    <t>Ocean Springs MS  PC5</t>
  </si>
  <si>
    <t>Approved with 10% surcharge.</t>
  </si>
  <si>
    <t>2002 tenant occupied rental. Insd says they didn't get their renewal and insurance slipped through the cracks. Lapse is more than 6 months. Ran insurance score and it is moderate in the credit range.</t>
  </si>
  <si>
    <t>Ocean Apt1001N</t>
  </si>
  <si>
    <t>Rate?</t>
  </si>
  <si>
    <t>Key Biscayne FL PC4</t>
  </si>
  <si>
    <t>2014 condo with 1 water loss .7 miles form the coast. Territory 6.  Ben is double checking the X-Wind premium to make sure it is accurate.</t>
  </si>
  <si>
    <t>Entered info in our rater. Ben had $2589. I come in about $100 higher. But I don't have ins score or list of coverages.</t>
  </si>
  <si>
    <t>CJS Group, LP</t>
  </si>
  <si>
    <t>Alison is getting mixed stories about the occupancy of this home.  It is a builders risk.  First agent said vacant. Now they are saying on of the members of the LP is going to live there before and after the remodel.</t>
  </si>
  <si>
    <t>I provided Alison with a sample of Burns Vacant Unoccupied Form and offered to create MPLH0115-0715 if she gets a bind order.</t>
  </si>
  <si>
    <t>Riddell, Michael</t>
  </si>
  <si>
    <t>Alderson WV PC5</t>
  </si>
  <si>
    <t>1960 home updated. New purchase for $55,000. RC $178,000. Insured is a gutter contractor. 2/5/15 insured burned his owned duplex down trying to thaw out frozen pipes.</t>
  </si>
  <si>
    <t>Stewart, Scott</t>
  </si>
  <si>
    <t>Palm Springs CA PC3</t>
  </si>
  <si>
    <t>1935 home fully updated in 1991. Beautiful online photos. Agent quote $2860. Wants to get to $2300. Owner occupied is around $2500.  Can't do it.  Offered to proceed w/quoted rate w/answers to addl questions.</t>
  </si>
  <si>
    <t xml:space="preserve">• The insured is self employed.Verify no business at this location (storage, employees, etc.)
• The app indicates the home is for sale.  What is the situation?  How often is the insured coming to the home and how many days are they staying?
• Who manages the vacation rental?
</t>
  </si>
  <si>
    <t>Poor insurance score. Moral hazard concern.  Called Nichole to explain.</t>
  </si>
  <si>
    <t>Levy, Jennifer</t>
  </si>
  <si>
    <t>1979 home updated. Insd had dog bite claim at other location. Lab retriever still in hh. Agent applying dogbite exclusion RU2401. Reviewed and it is the same as our MPL form Okay with open claim USAA $5000 reserve.</t>
  </si>
  <si>
    <t>Tatum, Frank</t>
  </si>
  <si>
    <t>1938 home complete gut/remodel in 2015. Had an electrical fire prior to remodel in 2015.  Ins scores look good for both individuals. Alison used 2015 as model year and added 10% s/c for the loss.</t>
  </si>
  <si>
    <t>Roof issue</t>
  </si>
  <si>
    <t>1994 home with 2 prior roof leaks. Roof is tile. Insd replaced the complete underlayment but not the tiles. (common practice when tiles aren't old or deteriorated)</t>
  </si>
  <si>
    <t>Asked for copy of fire marshall report. Shoot a copy to Erin Braun for her to look at as she ran the ins scores.</t>
  </si>
  <si>
    <t xml:space="preserve">1979 duplex being renovated. </t>
  </si>
  <si>
    <t>There was some confusion on the app. It is not HO6. Both sides being renovated. $3M is value for entire structure.</t>
  </si>
  <si>
    <t>Rogers, Sherman</t>
  </si>
  <si>
    <t>Heltonville IN PC10</t>
  </si>
  <si>
    <t>TIV &gt;$1.5M PC10</t>
  </si>
  <si>
    <t>2001 home with one prior water loss 7/15/15 $18K. Added $10K AOP, $10K wind/hail. Per quest, 15 min response, paved roads, accessible, monitored alarms.</t>
  </si>
  <si>
    <t>Asked for detail of water loss ($25K backup, need to confirm not a backup loss). Also need address of resp fire dept to confirm response time.</t>
  </si>
  <si>
    <t>HO6 Primary/Rental</t>
  </si>
  <si>
    <t>Open bankruptcy</t>
  </si>
  <si>
    <t>Insured has an open bankruptcy. Wants to list the court as an Addl Interest. 2 condos in MI - one is occupied by father, one "rented" to son. Agent knows the insureds very well. Good agency to Burns. Danielle reviewed with Bill. In process of moving money around to help another leg of their businesses, they shorted themselves and missed a mortgage payment. The filed on June 5 and expect to have all settled before hearing date on July 27. Short term issue.  No concern with maintaining the home, or moral hazard. Advised Danielle we should check insurance score. She will send info for review.</t>
  </si>
  <si>
    <t>$218,000 and $275,000</t>
  </si>
  <si>
    <t>Novotny, Ken</t>
  </si>
  <si>
    <t>Indianapolis, IN PC4</t>
  </si>
  <si>
    <t>5 losses in 3 years</t>
  </si>
  <si>
    <t>Ran insurance score and it is bad. Discussed verbally with Ben, but declined due to number of prior losses.</t>
  </si>
  <si>
    <t>Prior loss due to heavy rain getting thru between patio and house. All repaired. Checked 2 FD addresses provided. 38 min and 29-33 min response. Unprotected quest said 15 min response. Declined due to higher value with 30 min + response.</t>
  </si>
  <si>
    <t>LJD Limited Partnership</t>
  </si>
  <si>
    <t>Insurance score is 20% credit range. The repo/foreclosure is showing on the report along with a $4K AT&amp;T Collection and several late pays. Even with that, they still have a good score. I shared w/Danielle, and they still want to proceed with an approval, so I agreed to support them.</t>
  </si>
  <si>
    <t>Vivian Leifield</t>
  </si>
  <si>
    <t>Details in file about actor name. Insured wishes to be discreet. Reviewed w/Jeff and we are comfortable with her level of fame. 1957 updt in 2010. Not in brush.</t>
  </si>
  <si>
    <t>Ng, Benjamin</t>
  </si>
  <si>
    <t>San Francisco CA PC2</t>
  </si>
  <si>
    <t>1921 home being remodeled. They are 20 months in and not done. Original policy is being nonrenewed due to length of time. Agent wants us to match $11,000 prem. (Our quote $12,201). This is not a class of business that has been great for us, so I'm not comfortable doing a credit. I did allow terms at the quoted rate.</t>
  </si>
  <si>
    <t>Approved subject to the quoted rate.</t>
  </si>
  <si>
    <t>Tim</t>
  </si>
  <si>
    <t>Sebenius, James</t>
  </si>
  <si>
    <t>Response time</t>
  </si>
  <si>
    <t>Fresno CA PC10</t>
  </si>
  <si>
    <t>1920 home updated in 2011. Letter from FD that response time is 27 minutes. Just discussed w/Jeff today and we are being tight with our 15 minutes.</t>
  </si>
  <si>
    <t>Chipman, Sylvia</t>
  </si>
  <si>
    <t>Oroville CA PC10</t>
  </si>
  <si>
    <t>1986 home. Roof updated in 2006. In medium brush zone. High-7 per FireLine. 21 minute response time. Reviewed w/Jeff and we are not making exceptions to the 15 minutes unless special circumstances.</t>
  </si>
  <si>
    <t>Meijia Investments Ltd</t>
  </si>
  <si>
    <t>Arcadia CA PC3</t>
  </si>
  <si>
    <t>Questions: Why coml app? Cov A sufficient? Need LLC form</t>
  </si>
  <si>
    <t>2012 beautiful home, alarmed. No brush. $10K ded. 17,000 SF. Indoor pool, tennis.</t>
  </si>
  <si>
    <t>2 losses on app is actually one loss with 2 payouts.  1 was for the cleanup and on was for the repair. There was a line from the toilet to the wall that broke. $75,242 total loss, but only this one. Home is 1995. $2500 deductible. I'm okay with that since there is only 1 loss.</t>
  </si>
  <si>
    <t>Rating</t>
  </si>
  <si>
    <t>How should a builders risk ground up construction be rated when they don't know what they are going to do with it when it's done - sell or occupy.</t>
  </si>
  <si>
    <t>Agreed to builders risk rate on a DP3.</t>
  </si>
  <si>
    <t>Wind &amp; Sea Property LLC</t>
  </si>
  <si>
    <t>Big Sur, CA PC10</t>
  </si>
  <si>
    <t>2006 home. No solid info on responding fire department. Might be 15 miles away with 24-29 minute response, or .8 miles away. Near brush per RM. Extreme brush per FireLine.</t>
  </si>
  <si>
    <t>Advised Alison we need solid info on responding to consider due to FireLine score.</t>
  </si>
  <si>
    <t>5 units same parcel</t>
  </si>
  <si>
    <t>How to insure 5 units on same parcel. 2 duplexes built in 1981. Single fam built in 1931. 3 dec pages, charge for 3 liab but include on 1 and extend to other locations. 1931 home needs MFRC - will do 3 forms lists.</t>
  </si>
  <si>
    <t>Hilburn, Dave</t>
  </si>
  <si>
    <t>Truckee, CA PC5</t>
  </si>
  <si>
    <t xml:space="preserve">2006 home. Secondary.  In brush - Medium per RM.  FireLine is High-6 with med/mod fuels. No alarms. Insurance score is 997. In order to match rate, we need to apply a 17% credit.  </t>
  </si>
  <si>
    <t>Reviewed w/ Jeff and he supported a credit.  I decided on a 17% credit. Advised agent. Suggested an alarm system to save another $250/year.</t>
  </si>
  <si>
    <t>Hedlund, John</t>
  </si>
  <si>
    <t>Animals?</t>
  </si>
  <si>
    <t>5.5 acres - insured's primary residence.  They have 8 chickens (for eggs), 2 rabbits, 2 goats (graze the land), 2 labs, 1 cat. I did not think this was too many, or a concern from a liab perspective.</t>
  </si>
  <si>
    <t>Wagner, Laurie</t>
  </si>
  <si>
    <t>Ramona CA PC?</t>
  </si>
  <si>
    <t>2007 home on 10 acres. Insured has vineyard and winery on prem.  Lots of questions to agents to see if our exclusion would hold.  Leaning toward it probably not being something we want due to the winery. May consider x-liabilty if we can feel comfortable with the property being separated from the business.</t>
  </si>
  <si>
    <t>Alliance</t>
  </si>
  <si>
    <t>DP3 Rentals</t>
  </si>
  <si>
    <t>Various locations</t>
  </si>
  <si>
    <t>25 rental locations</t>
  </si>
  <si>
    <t>Agent has 25 rental locations but about 9 of them are mobile homes. We don't write mobile homes in our E&amp;S program.</t>
  </si>
  <si>
    <t>Talebian, Sohrab</t>
  </si>
  <si>
    <t>COC&gt;1 year</t>
  </si>
  <si>
    <t xml:space="preserve">2015 construction started - insured w/Lex. Agent is quoting renewal. $10,000 ded.  RM shows Renie brush.  FireLine shows Extreme - 14/no fuels/steep/limited access. 10/15 photo show construction starting. Agent  surcharged for brush. Area is all fenced off. Online shows Fischer Construction at this address. Insured is an engineer. </t>
  </si>
  <si>
    <t>Asked about business on property - online search shows Fischer Construction at this address.  Between this, and that insured is an engineer, is insured acting as GC or doing any of the construction. Do we have room to add a surcharge?  2nd year of construction - we historically haven't had great results with.  Would like to see at least 10%.</t>
  </si>
  <si>
    <t>Scott, Timothy</t>
  </si>
  <si>
    <t>Berry Creek CA PC9</t>
  </si>
  <si>
    <t>2016 home on 40 acres. Med brush. 1.2 miles/6 min from FD. Paved. Mix of volunteer/paid FD. No farming or business on 40 acres.</t>
  </si>
  <si>
    <t>Approved subject to woodstove quest and verif of how dwelling is situated on property - near the front, accessible by fire trucks.</t>
  </si>
  <si>
    <t>Ronay, Myron</t>
  </si>
  <si>
    <t>Malibu CA PC10</t>
  </si>
  <si>
    <t>TIV&gt;$1.5M PC10</t>
  </si>
  <si>
    <t xml:space="preserve">TIV&gt;$1.5M </t>
  </si>
  <si>
    <t>1999 home w/alarms and sprinklers. 6.7 mi from FD with 10 min response. Insured is Corporate and Transportation attorney.</t>
  </si>
  <si>
    <t>Approved subject to 150' brush clearance confirmation.</t>
  </si>
  <si>
    <t>Whitehall, Lauren</t>
  </si>
  <si>
    <t>St. Louis MO  PC4</t>
  </si>
  <si>
    <t>Prior total fire loss</t>
  </si>
  <si>
    <t xml:space="preserve">Advised Ben we could not approve without the investigation notes.  Last line of report states: "Inspector McKay conducted an investigation". </t>
  </si>
  <si>
    <t>1970 home had a total fire 10/11/2015. Still have open claim for contents. That isn't a problem. The issue is, the Fire Report has no cause/origin. It is basically the firefighters notes, not the investigation. (Note: the app says insured was burned trying to put out the fire. The report notes say EMT was called for woman with a fractured ankle, no mention of burn victim. App says fire started in kitchen and spread to garage. Report sounds like the issue started in the garage and spread to the kitchen. I called Ben and advised him of this info. ) Ins Score is 912.</t>
  </si>
  <si>
    <t>Jovenita</t>
  </si>
  <si>
    <t>Laurel Canyon CA</t>
  </si>
  <si>
    <t>Midterm EN</t>
  </si>
  <si>
    <t>CA office got inspection back late for this risk (Danielle has confirmed it is an isolated incident)  They did not know the risk was under construction. Danielle had them mid term endorse outside the 60 days.  She says per CA guidelines, n/a to E&amp;S. Our compliance dept is still looking into that, but either way, the risk wasn't written with proper coverage so mid term change is okay.</t>
  </si>
  <si>
    <t>Liab</t>
  </si>
  <si>
    <t>Insured renovated home, is now living in it.  Chubb wrote, but then inspected and found out counters aren't done. Most of all of the rest of the kitchen is done.  Bobbi wants to give worldwide liab. We agreed to write without the Builders Risk liab form</t>
  </si>
  <si>
    <t>Interest is legit, but this is 5x the exposure. Approved for a premium of $200 additional.</t>
  </si>
  <si>
    <t>Corp name</t>
  </si>
  <si>
    <t xml:space="preserve">Vacant 6 month policy in the name of Giant Eagle Foundation. Eventually they will lease to struggling families. For now just need vacant policy. </t>
  </si>
  <si>
    <t>Alison will get Corp/LLC form and make sure it qualifies. No big businesses.</t>
  </si>
  <si>
    <t>Open Loss</t>
  </si>
  <si>
    <t>Newport Beach CA</t>
  </si>
  <si>
    <t>New purchase, titled in LLC name, rented out. There is an open liab loss listed on the app - "Son involved in a physical confrontation"</t>
  </si>
  <si>
    <t>Alison will get details about the son, what and where the incident occurred, and why still open.  Has it completely not been settled, or are there still some pending med bills?  If there is still animosity with this claim, we could get pulled into new issues.</t>
  </si>
  <si>
    <t>Oklahoma</t>
  </si>
  <si>
    <t>SPP inquiry</t>
  </si>
  <si>
    <t>Insured wants to schedule their hot tub in Oklahoma.</t>
  </si>
  <si>
    <t>Alison advised that the Fire Brigade confirmed the closest FD would respond. She then came back indicating the insured may be "hosting weddings and possibly other events here as well from time to time".  I advised we were not comfortable offering terms without more info on the details of the events and wedding situation.  Could be a liability as well as a physical damage exposure.</t>
  </si>
  <si>
    <t>Angel, John</t>
  </si>
  <si>
    <t xml:space="preserve">Lapse </t>
  </si>
  <si>
    <t>Gave Lisa the option of applying 5-10% surcharge. This is an agent who gives Hull all their RPS quotes; insured is in real estate. May be an important insured. Ins score is good.</t>
  </si>
  <si>
    <t>Agent quoted with an eff date of 6/23/16. Insured did not make decision in time and there has been a lapse.  2007 duplex vacation rental. Tile roof. Not in brush zone. Ran insurance score, in low 800's.</t>
  </si>
  <si>
    <t>Blanchetta, Daniel</t>
  </si>
  <si>
    <t>Big Sur CA PC9</t>
  </si>
  <si>
    <t>Wood shake roof</t>
  </si>
  <si>
    <t>Approved subject to exclusion of building with wood shake roof. Also need overhanging tree limbs corrected, brush clearance 150', debris removed from all roofs.</t>
  </si>
  <si>
    <t>1968 home updated in 2001, roof in 2006. Other structure has a wood shake roof. No special flat roof criteria for Burns. Has a $2500 ded currently.</t>
  </si>
  <si>
    <t>Ross, Gary</t>
  </si>
  <si>
    <t>Laguna Niguel CA PC3</t>
  </si>
  <si>
    <t>2 prior slab losses</t>
  </si>
  <si>
    <t>1998 home with 2 prior slab losses in 2015.  Both were under $10,000.  $10K water damage deductible applied.  Insured handles estate planning law.</t>
  </si>
  <si>
    <t>What kind of pipes? What repairs and prevention measures were made to prevent more of these type of losses. What is competition doing with this and what is their pricing.</t>
  </si>
  <si>
    <t>Dollar, Tim</t>
  </si>
  <si>
    <t>Osceola MO PC10</t>
  </si>
  <si>
    <t>20 min response</t>
  </si>
  <si>
    <t>2005 frme home. Has CS fire/burglar and sprinkler system. 20 min response from volunteer FD with 10 responders during the day and 17 at night. Quest indicates gate barrier (need info). There are 2 other responding FD's further away. $5K AOP and $10K Water backup ded's.</t>
  </si>
  <si>
    <t>Approved subject to acceptable info about the gate.</t>
  </si>
  <si>
    <t xml:space="preserve">No measures taken other than repair. Pipes are copper.  We finally agreed on releasing terms with a $25,000 deductible. Based on online loss information about these type of losses, we should be well covered with this deductible.  </t>
  </si>
  <si>
    <t>Per email from Ben and agent, road is subject to closing in the winter. No alarms. This will be a total if a fire starts.</t>
  </si>
  <si>
    <t>Huston, Robert</t>
  </si>
  <si>
    <t>Muncie IN PC4</t>
  </si>
  <si>
    <t>Rating question</t>
  </si>
  <si>
    <t>1936 home fully updated in 2014, roof in 2000. 2014 pipe break loss. Pipes updated after loss. Insured is in nursing home. Family members occasionally stay. Daughter is POA</t>
  </si>
  <si>
    <t>Agreed to write as DP3 vacant with a 10% discount for family caretaking.</t>
  </si>
  <si>
    <t>Business questions spell out a good situation. Sketch shows separation.  Approved with total business exclusion.</t>
  </si>
  <si>
    <t>Lewis, Reed</t>
  </si>
  <si>
    <t>Minnesota Island PC9</t>
  </si>
  <si>
    <t xml:space="preserve">No app provided. PC quest provided. Secondary home on island. Not accessible year round (when lake is not thawed or frozen). Accessible by snowmobile when lake is frozen.  No bridge access. Insured has wifi, burglar, smoke det, cameras w/alerts to cell phone.  There is mutual aid with fireboats. Volunteer FD. </t>
  </si>
  <si>
    <t>Jun</t>
  </si>
  <si>
    <t>Count of Date</t>
  </si>
  <si>
    <t>Seller renting back</t>
  </si>
  <si>
    <t>Home is sold, seller is renting back. How to set up the policy for the new owner? Alison is writing as a homeowners with rented to others form. She will rate as a rental.</t>
  </si>
  <si>
    <t>Beverly Hills CA</t>
  </si>
  <si>
    <t>Alarm credit requirements</t>
  </si>
  <si>
    <t>What testing is needed or required?  The insured read the alarm form and wants to know, since it is a rental</t>
  </si>
  <si>
    <t>Advised Alison All alarms should be periodically tested.  The insured may want to consider adding a clause to their lease that the tenant test the alarm monthly and report any concerns.  The insured should probably oversee the testing once annually.  They could do this in conjunction with the alarm company and the tenant.  If they keep a record of this, they should have no problem being in compliance with the requirements of the form.</t>
  </si>
  <si>
    <t>2004 home alarmed. 18 min response time per app. Mapquest shows shorter response. Gate which FD has access to. App shows loss in dispute - checking.  Online shows Stotsenberg Consulting, Mr's CPA firm at this address - checking.  RM in brush.  FireLine High 8. Med to Heavy fuels. Mod slope, no access probs.</t>
  </si>
  <si>
    <t>Stotsenberg, Henry</t>
  </si>
  <si>
    <t>Murietta CA PC9</t>
  </si>
  <si>
    <t>18 min response time</t>
  </si>
  <si>
    <t>Brockman, Nancy</t>
  </si>
  <si>
    <t>DP3 Rental Condo</t>
  </si>
  <si>
    <t>$50K Contents</t>
  </si>
  <si>
    <t xml:space="preserve">1964 condo fully updated. Ben says guidelines indicate $50K would be a referral. </t>
  </si>
  <si>
    <t>Updated the UW guidelines so this does not have to be referred in the future. Advised Bill &amp; Donna via email.</t>
  </si>
  <si>
    <t>Model home</t>
  </si>
  <si>
    <t>Insured bought a home and is renting it back to the builder. Jill and I discussed and believe we could do this X-liability.  She will verify how it is being used and if it is the only home, or part of a community. Probably can go DP3. Will rate between rental and vacant depending on use and whether it is isolated in a development.</t>
  </si>
  <si>
    <t>Jill will get back to us with more info.</t>
  </si>
  <si>
    <t>Shriver</t>
  </si>
  <si>
    <t xml:space="preserve">Charleston SC </t>
  </si>
  <si>
    <t>Can we do $0.75 rate?  1841 home completely remodeled in 2016. Online photos look great. There are 2 businesses on 1st floor per online.</t>
  </si>
  <si>
    <t>Approved subject to finding out the story on the businesses.</t>
  </si>
  <si>
    <t>Truckee, CA PC9</t>
  </si>
  <si>
    <t>Holroyde, Judd</t>
  </si>
  <si>
    <t>FireLine High 12 - Med fuels, steep slope, limited access. RiskMeter Medium.  New build. 20 acres w/private well for sprinkler</t>
  </si>
  <si>
    <t xml:space="preserve">Need to confirm acceptable response time and access. Not clear from info provided.  • Unprotected questionnaire
• 20 acres - where is the dwelling situated on the acreage?  Are driveways fully accessible by fire trucks?
• Your email mentions a sprinkler system - is that for outside or inside the home?
• Is there a central station fire alarm?
• App says tenant occupied - just want to confirm there is some seasonal/owner occupied usage.
If we go forward, it will be subject to an acceptable short term rental questionnaire.
</t>
  </si>
  <si>
    <t>Response time 22 mins</t>
  </si>
  <si>
    <t>Chico CA PC10</t>
  </si>
  <si>
    <t>Clifford, Eugene</t>
  </si>
  <si>
    <t>FireLine High 12 - Med fuels, steep, limited access. RiskMeter Medium.  1978 home no alarms. Hartford NRN due to location. 61 acres. 22 min response - FD 11 miles away.</t>
  </si>
  <si>
    <t>Decline due to 22 min response time.  Average risk.</t>
  </si>
  <si>
    <t>Timmers, Michael</t>
  </si>
  <si>
    <t>2 open claims</t>
  </si>
  <si>
    <t>Dog bite $275K in reserve - dog bit mailman - insured still has the dog (loss 11/15).  Candle fire 1/16. Young girl had jar candle in bedroom, caught blankets on fire. $305K in damage. Reserve still open for clothing.</t>
  </si>
  <si>
    <t>Morale hazard concern - young girl with candle; still has dog that bit 7 months ago. Uneasy feeling with these 2 losses.</t>
  </si>
  <si>
    <t>Response time 23 mins</t>
  </si>
  <si>
    <t>Similar to Clifford Risk.  Leslie called assuming we would not want to write. We briefly discussed the risk and agreed on the decline.</t>
  </si>
  <si>
    <t>Jarvis, Holly</t>
  </si>
  <si>
    <t>3 mo builders risk</t>
  </si>
  <si>
    <t>Tail end construction, only wants 3 mo policy. Has 3 horses - 2 belong to a friend.</t>
  </si>
  <si>
    <t>Bobbi was pretty sure we didn't want the risk.</t>
  </si>
  <si>
    <t>Goering, Tona</t>
  </si>
  <si>
    <t>Personal Liab</t>
  </si>
  <si>
    <t>Fruita CO PC4</t>
  </si>
  <si>
    <t>Primary home with 4 month rental when they travel. Will we allow personal liability. In UW research found insured's online business website. Also other online info that may be connected to the business. They are using their home address. They do excavating - heavy equip. Sent business questions to Allison and advised we may need to apply total business excl. Sent copy - it's not on SCU's forms page yet.</t>
  </si>
  <si>
    <t>Snell, James</t>
  </si>
  <si>
    <t>Cambria CA PC4</t>
  </si>
  <si>
    <t>Prior WC/Liab loss</t>
  </si>
  <si>
    <t xml:space="preserve">2001 home not in brush. Had a prior WC claim. That employee is no longer with the insured. WC is insured on a separate policy (as Lex prev required). We would be offering $500K prem liab only. </t>
  </si>
  <si>
    <t>Asked for details of the loss so we can determine if there is any issue w/the insured.</t>
  </si>
  <si>
    <t>2 losses w/same claimant. Doesn't appear to be any insured negligence. Also found out there is a prior water loss.</t>
  </si>
  <si>
    <t xml:space="preserve">2016 auto condo. Previously reviewed w/Jeff Leone. All issues addressed. $0 liab. </t>
  </si>
  <si>
    <t>Suzanne</t>
  </si>
  <si>
    <t>Asbestos siding</t>
  </si>
  <si>
    <t>Suzanne had a note that Larry said no asbestos siding. She has a risk where the inspection shows it. I advised this is a Markel rule, not just a Larry rule. She will cancel the risk</t>
  </si>
  <si>
    <t>Approved the cancellation</t>
  </si>
  <si>
    <t>86 Real Estate</t>
  </si>
  <si>
    <t>Wenninger, Richard</t>
  </si>
  <si>
    <t>HO3 Primary/For Sale</t>
  </si>
  <si>
    <t>Gypsum CO PC10</t>
  </si>
  <si>
    <r>
      <t>•</t>
    </r>
    <r>
      <rPr>
        <sz val="8"/>
        <color theme="1"/>
        <rFont val="Calibri"/>
        <family val="2"/>
        <scheme val="minor"/>
      </rPr>
      <t xml:space="preserve"> Need Unprotected Questionnaire?  
•Address of the primary responding fire department?  I checked some of the stations online and I’m getting a 1 hour response time.
• Where does home sit on the 65 acres?  Are driveways accessible by fire trucks? Please make sure response time takes into account the 65 acres.
• Does the insured use public utilities?  This website sounds like they may not.  http://www.vailrealestate.com/property/51792361/14000-gypsum-creek-road-gypsum-co-81637
References - “…commercial grade hydroelectric plant backed up with solar and a generator…” 
• That website also states that the home is 15 miles from airport county maintained road.  Could you provide more info on what that means?
• One of the online photos show a Yurt.  We would not be covering that as part of the other structures.  Please make sure it is insured under the farm policy, or it should be excluded.
•If we proceed, okay to use new brush form</t>
    </r>
  </si>
  <si>
    <t>Sabatella, Anthony</t>
  </si>
  <si>
    <t>1998 home not in brush no losses. 5 acres. Resp FD is 4 miles away, confirmed.</t>
  </si>
  <si>
    <t>Approved pending confirmation that the insured is not Fischer Construction, and they are not acting as GC or doing construction. Reply from agent was still a little sketchy.  Added 10% s/c</t>
  </si>
  <si>
    <t>1041 Mapleton LLC</t>
  </si>
  <si>
    <t>10 miles from Fire Line</t>
  </si>
  <si>
    <t xml:space="preserve">Risk is 10 miles from active fire. Would have to burn through a mile of Boulder to get to the home.  </t>
  </si>
  <si>
    <t>Jeff agrees this is a low risk area, but given low prem and the fact this will likely move as soon as fire subsides, we declined.</t>
  </si>
  <si>
    <t>2003 home with alarms and sprinklers. In medium brush. Sounds really remote from description and online sources. FireLine is High-9, med fuels, steep slope, no access probs.</t>
  </si>
  <si>
    <t>2 sources of drive time show 43 min and 1 hr 14 min. Not comfortable.  They have a well, solar, and generator.  All other structures would be excluded.</t>
  </si>
  <si>
    <t>Siddiqui, Ghazala</t>
  </si>
  <si>
    <t>Portola Valley CA PC3</t>
  </si>
  <si>
    <t>1995 primary residence - beautiful per online photos. In med brush per RM, High 6 per Fireline, med-heavy fuels, mod slope, no access probs. Has burglar alarm only. Burns has no criteria for alarms in higher valued homes. Feeling okay since primary home and FireLine rating.</t>
  </si>
  <si>
    <t>Paid FD 3.3 miles away - 10 min response time.  Situated near center of 20 acres. Appears to have a wide paved drive per engineer plans. Sprinkler system in home. No alarms. Need to confirm there is some owner occupancy. Need short term quest.</t>
  </si>
  <si>
    <t>O'Gara Sharon</t>
  </si>
  <si>
    <t>Greenwood IN PC4</t>
  </si>
  <si>
    <t>TIV near $3M</t>
  </si>
  <si>
    <t>Approved subject to SRD review of news story about break in.</t>
  </si>
  <si>
    <t xml:space="preserve">2004 frame home with Trust as AI. Online found a possible prior break-in -I is it our insured? Email attached to submission references a blanket schedule. This is listed as a referral to SRD. </t>
  </si>
  <si>
    <t>Lembeck, Michael</t>
  </si>
  <si>
    <t>1993 frame home with 2013 inspection. Inspection ok. Signed statement says issues from insp have been corrected. Not in brush, no losses. Actor/director, but it's been a while.  Not "too" famous. 2011 water leak loss. Low RiskMeter.</t>
  </si>
  <si>
    <t>Allison advises since this is bldrs risk, we will have for 6 months. We agreed on a $.75 rate. Jeff is on board.</t>
  </si>
  <si>
    <t>Alison advised the insured isn't comfortable keeping the alarm form. Alison is removing the credit, but I agreed we could still write even though over $2M. We are assuming the tenant will likely maintain the alarm and monitoring. Additional call on 7/12/16, insured is wanting $25K mold. Got an okay from Jeff for $250 rate.</t>
  </si>
  <si>
    <t xml:space="preserve">I don’t see a good way to move forward with terms.  The only way we could do it is with the Total Business Exclusion.  Unfortunately, the shop is actually part of Coverage A, so in essence we’d be excluding coverage for the entire home and shop structures.  That won’t do the insured any good.  And I’m not comfortable going forward without the exclusion.
I’m definitely wondering why the retail agent didn’t mention this business to us, especially since they write the commercial.  It’s a pretty big concern!  I’m glad we found out, because our HO-3 mainly excludes business in Other Structures, so I’m not sure our policy exclusions would have applied, and we would surely want them to.
If the shop was detached from the home, we could call it Coverage B and then our Total Business Exclusion would be more clear cut.  I’m sure they could more easily get it added to the commercial policy.  That might be something to consider if they have trouble getting coverage.
</t>
  </si>
  <si>
    <t>Springston, Preston</t>
  </si>
  <si>
    <t>Truckee CA PC10</t>
  </si>
  <si>
    <t>23 min response</t>
  </si>
  <si>
    <t xml:space="preserve">• Cov A $615K/TIV $1.1M
• 2009 PC10
• Paid department 11.8 miles/Backup department 10 miles away
• Somewhat concerned about 1.2 miles of gravel road, but no issue w/washout
• This is medium brush per RM.  High-6 per FL w/med fuels, mod slope and no access problems, no historical wildfire activity.
• If we didn't have attachment 3, I probably wouldn't be considering.
</t>
  </si>
  <si>
    <t xml:space="preserve">Approved subject to installation of a central station fire alarm and a 10-20% surcharge for the extended response time. Reviewed w/Jeff and he agreed.  </t>
  </si>
  <si>
    <t>Risk by the "Trailhead Fire" which was reported on 7/11 to be 98% contained. Burns follows 100% and I agreed. He says AA and Farmers have opened up.  I say better safe than sorry as stranger things have happened.</t>
  </si>
  <si>
    <t>Approve, as in agreed with Matt to Decline. Didn't want to log this as a decline</t>
  </si>
  <si>
    <t>Decline risk by an active fire</t>
  </si>
  <si>
    <t>Zak, Lawrence</t>
  </si>
  <si>
    <t>Arnold CA  PC3</t>
  </si>
  <si>
    <t>Asked agent for details of all losses and need fire marshall report. (loss run attached indicates wildfire-need to verify)</t>
  </si>
  <si>
    <t>2002 home in brush. Insured did not originally reveal prior losses. Agent found out after releasing terms.  Other seasonal was total fire loss &gt;$300K. Primary had 2 water losses. Online photos look nice. Ins Score 932</t>
  </si>
  <si>
    <t>Woodmere, NY PC2</t>
  </si>
  <si>
    <t>Insured is a therapist (per online-nutritional therapist), new purchase, planning to live and see clients in home, no signage on home</t>
  </si>
  <si>
    <t>Questioned where in residence therapy will be held, if this is the sole location for practice,a nd how frequent expect to see clients</t>
  </si>
  <si>
    <t>Abbot, Dalia</t>
  </si>
  <si>
    <t>H03 Secondary</t>
  </si>
  <si>
    <t>La Porte, CA PC 10</t>
  </si>
  <si>
    <t>PC 10</t>
  </si>
  <si>
    <t>PC 10, secondary, no losses, brush surcharged, central alarm in home, visible to neighbors, response time 5-7 minutes, reservoir behind home</t>
  </si>
  <si>
    <t xml:space="preserve">Approved subject to trees cleared from next to home (per inspection report). </t>
  </si>
  <si>
    <t>K. Burdine</t>
  </si>
  <si>
    <t>Spann, William</t>
  </si>
  <si>
    <t>Fairview TN, PC 10</t>
  </si>
  <si>
    <t>PC 10/Lapse</t>
  </si>
  <si>
    <t xml:space="preserve">PC 10, primary, monitored alarms, response time 8 minutes, tanker truck and pond on premises; lapse about 45 days as miscommunication between insured and prior carrier. </t>
  </si>
  <si>
    <t>approved subject to pool properly secured and diving board non-skid; approval to be bound on/before 07/18 as quoted</t>
  </si>
  <si>
    <t>Kasperek, Marian</t>
  </si>
  <si>
    <t>Liberty, MO</t>
  </si>
  <si>
    <t>Day Care in Home</t>
  </si>
  <si>
    <t>tenant runs daycare (6 kids), has comm GL for daycare exposure, needing coverage for owner-requesting $1Mil Liab</t>
  </si>
  <si>
    <t>approved prop, but only if x-liab due to day care exposure</t>
  </si>
  <si>
    <t>Malakan, Nader</t>
  </si>
  <si>
    <t>Clovis, CA PC 10</t>
  </si>
  <si>
    <t>PC 10, 2016 build, 10 min response time (5.1 miles from FD), tanker trucks, water tank on site, easily accessible and visible, no brush, central alarms</t>
  </si>
  <si>
    <t>Approved based on risk details, premium is appropriate for risk</t>
  </si>
  <si>
    <t>Alldrin, Kenfield</t>
  </si>
  <si>
    <t>Siderow, Norman</t>
  </si>
  <si>
    <t>1976 home fully updated. In brush. Mr is producer - some older TV shows and recent documentary.  Mrs is a divorce attorney.</t>
  </si>
  <si>
    <t>Martinez, Angel</t>
  </si>
  <si>
    <t>Age of home</t>
  </si>
  <si>
    <t>1890 home not completely gutted. Has 4 losses (2 sewer line, water damage, theft).</t>
  </si>
  <si>
    <t>Agreed with Ben that this should be declined as it has not been completely gutted and the losses are related to this.</t>
  </si>
  <si>
    <t>Ruggieri LLC</t>
  </si>
  <si>
    <t>DP3 Vacant/For Sale</t>
  </si>
  <si>
    <t>Orlando FL  PC4</t>
  </si>
  <si>
    <t>2001 beautiful home per photos attached from online source.  Vacant and for sale.  Online info about LLC okay.</t>
  </si>
  <si>
    <t>Approved subject to adding pool exclusion. Not comfortable with a vacant up for sale home with a pool.</t>
  </si>
  <si>
    <t>Sent F/U email to Benjamin. Advised pool exclusion should actually have been included on quote, and to add if still in a position to do so.</t>
  </si>
  <si>
    <t>Wong, Gary</t>
  </si>
  <si>
    <t>Westlake Village CA PC 9</t>
  </si>
  <si>
    <t>2016 new home in high brush. CS alarms. No online photos. Aerial shows under construction. App not complete. PC Quest says "yes" subject to washout.</t>
  </si>
  <si>
    <t>Approved subject to completed and acceptable app, if washout "yes" is a mistake, okay. If it is subject to washout, need more information.</t>
  </si>
  <si>
    <t xml:space="preserve">Stockton CA   </t>
  </si>
  <si>
    <t>Home rebuilt in 2015 after total fire loss. Insured was at hospital and a bum broke in and burned house to the ground. 2 prior water losses also. (Likely corrected w/rebuild). He said no other carriers will consider.</t>
  </si>
  <si>
    <t>Bayme, Ari</t>
  </si>
  <si>
    <t>Verified PPC thru ISO, it is a 2. FireLine is Extreme 17, heavy fuels, steep slope, very limited access. RM says High. Full CS alarms. Online photos are beautiful. Close trees. 1966 updated in 2000.</t>
  </si>
  <si>
    <t xml:space="preserve">Asked Alex to find out about the area (homeless issue?), fire marshall report, and water loss details. </t>
  </si>
  <si>
    <t>In a bad part of town. Alex advised by email he was not sending through.</t>
  </si>
  <si>
    <t>Herbert, David</t>
  </si>
  <si>
    <t>Brush clearance</t>
  </si>
  <si>
    <t xml:space="preserve">Insured cleared up to 120'. There are additional shrubs and brush, but it is across the street, not on their property. </t>
  </si>
  <si>
    <t>Forwarded copy of criteria which says 150' or to prop line whichever is less.</t>
  </si>
  <si>
    <t>Rate coming in at $1875 PC10.  Approved w/50% surcharge ($2812) subj to railings on steps.  7/19/16 additional info from Ben. Insd removing oth struct, pers prop and liab. Still 50% s/c $2339 Cov A only</t>
  </si>
  <si>
    <t>Weesner, Joshua</t>
  </si>
  <si>
    <t>Bakersfield CA PC3</t>
  </si>
  <si>
    <t>Daycare in home</t>
  </si>
  <si>
    <t>2005 frame home not in brush, no losses. Agent has placed liability elsewhere. Only need property coverage. Online photos look good.</t>
  </si>
  <si>
    <t>Moses, Sharyn</t>
  </si>
  <si>
    <t>Duplex w/med students</t>
  </si>
  <si>
    <t>Unit 1 is owner occupied by insured. Unit 2 is occupied by med students. Current carrier nonrenewed.  We are okay with med/grad students. Alison is including animal liab and providing me with a copy of Lex form to exclude animal liab for tenants in a situation like this.</t>
  </si>
  <si>
    <t>Approved subject to including the tenant animal exclusion.</t>
  </si>
  <si>
    <t>Hoyt</t>
  </si>
  <si>
    <t>No alarms</t>
  </si>
  <si>
    <t>Agent applied a 15K theft ded until insured got their alarms installed. Retail agent is asking if they can stay with that if insured doesn't want to install alarms.</t>
  </si>
  <si>
    <t>Advised they need to increase the AOP deductible also.  If they have both increased, we could continue. (Ok per guidelines.)</t>
  </si>
  <si>
    <t>Taylor, Steven</t>
  </si>
  <si>
    <t>Twain Hartt CA PC4</t>
  </si>
  <si>
    <t xml:space="preserve">1988 home with wood shake roof in brush area. Med per RM; High per FireLine with med fuel, moderate slope, good access. </t>
  </si>
  <si>
    <t xml:space="preserve">Declined due to:  • FireLine is coming back High (6) which is on the lower end of their high rating.  Fuels at the property and surrounding area are listed as medium.  There is a moderate slope, no access problems.  I was hoping to get a lower rating.  
• The home is 1988 with no roof updates.  We can’t be sure of the fire retardant properties of the roof, and it is our understanding that post-manufacture application of fire retardant chemicals are not completely effective.  
• Additionally, we’re looking at over $1M in Cov A, over $2M in TIV.
</t>
  </si>
  <si>
    <t>Coyne, Martin</t>
  </si>
  <si>
    <t>Agent asking to add property management company as AI.</t>
  </si>
  <si>
    <t>Agreed to add them as Additional Interest - providing notification only, no coverage.  Also asked Lisa to verify how much owner occupancy. Sounds like a full time rental.</t>
  </si>
  <si>
    <t>Drury, Gary</t>
  </si>
  <si>
    <t>Evergreeen CO</t>
  </si>
  <si>
    <t>Wine blanket</t>
  </si>
  <si>
    <t>Agent wants to schedule 6K jewelry and blanket for $250,000 wine ($65-$150/bottle).</t>
  </si>
  <si>
    <t>Advised this is not a class we are comfortable writing.</t>
  </si>
  <si>
    <t>Hardin, Melora</t>
  </si>
  <si>
    <t>Altadena CA PC4</t>
  </si>
  <si>
    <t xml:space="preserve">Insured is Melora Hardin (The Office, a couple of movies). 1992 home fully updated in 2006. No losses, no brush. </t>
  </si>
  <si>
    <t>Not recently popular, established, conservative property. Nothing online of a concern.  Feel okay about the insured.</t>
  </si>
  <si>
    <t>Home had $300K water loss almost 3 years ago, and a slab leak loss.</t>
  </si>
  <si>
    <t>Alex decided not to officially submit.  He couldn't get any info from the retail agt about what the insured did to mitigate loss.</t>
  </si>
  <si>
    <t>Martinka, Joseph</t>
  </si>
  <si>
    <t>Homewood CA PC4</t>
  </si>
  <si>
    <t>1972 home, roof updated. Seasonal with vacation rental.  Insurance score is close to perfect, so I felt comfortable with the risk</t>
  </si>
  <si>
    <t>Approved with a 13 or 13.5% credit for premium of 1763 or 1753.  Lloyds is 1763.</t>
  </si>
  <si>
    <t>There are a couple of weeks of owner occupancy.  Approved.</t>
  </si>
  <si>
    <t>Agent came back and actually needed 25% credit (misunderstanding on the rate).  Home is average even though excellent ins score.  I declined. Jeff agreed.</t>
  </si>
  <si>
    <t>2015 construction. Not completed. Zurich will not renew. Agent wants a 1 1/2 month policy. This is standard business. Advised we won't take on tail end construction that we won't retain, even with 3 month fully earned. Advised best bet go back to Zurich.</t>
  </si>
  <si>
    <t>Advised we could do it subject to 1 year fully earned premium, forcing them to stay with us for 1 year.</t>
  </si>
  <si>
    <t>Young, Craig</t>
  </si>
  <si>
    <t>Kenai AK</t>
  </si>
  <si>
    <t>3 units</t>
  </si>
  <si>
    <t xml:space="preserve">Leslie was looking at the Homeowners criteria which limits to 2 units.  </t>
  </si>
  <si>
    <t>Provided a copy of the Dwelling criteria which allows 4 units.</t>
  </si>
  <si>
    <t>Candiani Denim USA</t>
  </si>
  <si>
    <t>DP3 Seasonal/Rental</t>
  </si>
  <si>
    <t>Malibu CA</t>
  </si>
  <si>
    <t>Business name</t>
  </si>
  <si>
    <t>1960 home no updates in a business name. Insd is a denim company. Home is used 6 months by the VP and periodically by "employees" per app.</t>
  </si>
  <si>
    <t xml:space="preserve">DP-3 with premises liability only. Reviewed policy forms and Total Biz Exclu(only avail on HO3) and felt we'd be better off w/DP3 subject to many verifications:  • We would need confirmation that the dwelling was being used as a residence only.  No business meetings.  No business activities at all on the property.  No business storage.  Not used as an award for employees.  Only used by officers and owners.
• What does the personal property consist of – just household furnishings?
• Note on app says “they have employees fly in from out of the country and stay with them several times a year”.  We’d need more info on what this means. Are these officers or execs?
• Is this used like a hotel?  I’d be concerned if that is the case.
• How close is the dwelling to the company headquarters?
• Roof exclusion applies due to 1960 and no updates.  Concerned about the condition since it says no wiring, plumbing, heating updates.
</t>
  </si>
  <si>
    <t>Nandine, Savin</t>
  </si>
  <si>
    <t>Beverly Hills PC1</t>
  </si>
  <si>
    <t>Approved subject to acceptable application and adequate brush clearance.</t>
  </si>
  <si>
    <t>1948 home fully updated per HV inspection in file. Home looks good. Per insp, brush clearance is not adequate.</t>
  </si>
  <si>
    <t>Kania, Jan</t>
  </si>
  <si>
    <t>Dewey-Humboldt AZ  PC10</t>
  </si>
  <si>
    <t>3 vacant units currently w/Lloyds. Allison looking for 22% credit to match rate, and to set up a program where she can automatically apply credits, like Seacoast project.</t>
  </si>
  <si>
    <t>Referred to Jeff w/recommendations.</t>
  </si>
  <si>
    <t>Cole, Chad</t>
  </si>
  <si>
    <t>Mazomanie WI  PC5</t>
  </si>
  <si>
    <t>1978 home w/2012 roof update and 2000 new heat. 9 acres. Ben says they have an RCE.</t>
  </si>
  <si>
    <t xml:space="preserve">Asked Ben for the estimator.  We haven't found a vendor who does them. Concerned with the custom design of windows and skylights. </t>
  </si>
  <si>
    <t>All issues check out. Answers in email file.  No terms if no update to systems.  Okay to offer terms subj to roof exclusion. DP3 prem liab only.</t>
  </si>
  <si>
    <t>Provided some questions and proposal to work the book of possible Lloyds business but declined this risk. Jeff agreed.</t>
  </si>
  <si>
    <t>Adams, Jay</t>
  </si>
  <si>
    <t>Cedar City UT PC10</t>
  </si>
  <si>
    <t>1973 home not accessible year round. 30 min response, roads not paved.  Log home. Space heater.</t>
  </si>
  <si>
    <t>Legionarious Del Trabajo</t>
  </si>
  <si>
    <t>HO3  Primary</t>
  </si>
  <si>
    <t>Reviewed corp questionnnaire. All sounds okay except we need the names of the corp principals. Also asked to verify use is strictly a home they own that they rent out - no business.</t>
  </si>
  <si>
    <t>Received list of owners and confirmed this is just a rental in a business name.</t>
  </si>
  <si>
    <t>Malhotra, Rakesh</t>
  </si>
  <si>
    <t>1956 home partially updated in 2000. Alison says copper pipes and circuit breakers.</t>
  </si>
  <si>
    <t>Approved subj to not near wildfires, roof exclusion (partial update in 2000) and confirm CS alarms since app says none.</t>
  </si>
  <si>
    <t>Loncki, Christine</t>
  </si>
  <si>
    <t>Rock Hall MD  PC 9</t>
  </si>
  <si>
    <t xml:space="preserve">1992 home. No alarms. Online photos show other structures in rough condition. </t>
  </si>
  <si>
    <t>Approved with no other str covg until condition can be confirmed with new photos or inspection.</t>
  </si>
  <si>
    <t>Key</t>
  </si>
  <si>
    <t>Waive loss s/c</t>
  </si>
  <si>
    <t xml:space="preserve">Agreed to skip the s/c this year but add at next renewal. </t>
  </si>
  <si>
    <t>Alex missed charging for a $4500 water damage 10/15. He did apply a $5000 water damage deductible.  Prem $1580. $145 is the lost s/c amount.</t>
  </si>
  <si>
    <t>Cathy</t>
  </si>
  <si>
    <t>Mathewson, Timonty</t>
  </si>
  <si>
    <t>Ferrisburgh VT  PC?</t>
  </si>
  <si>
    <t>2001 dome home on 10 acres.</t>
  </si>
  <si>
    <t>Advised Cathy this is on the new guidelines as ineligible.</t>
  </si>
  <si>
    <t>Steinhardt, Alan</t>
  </si>
  <si>
    <t xml:space="preserve">1952 home updated in 2016. 2 prior losses. 11/14 mys dis. 1/14 roofer didn't tarp roof right. 2011-hail. Ran Ins Score High 900, low 800. </t>
  </si>
  <si>
    <t>Approved subject to addl 6-10% surcharge for the lapse. Confirmation that the open claim is just awaiting settlement - no existing or unrepaired damages.</t>
  </si>
  <si>
    <t>78 degree slope</t>
  </si>
  <si>
    <t>2010 home PC4 in brush. Slope is 78 degrees. Do we have any criteria in place?</t>
  </si>
  <si>
    <t>We don't have any criteria. Per Kirk, other competitors do not either.  Cal Fire usually does drills on more challenging properties.</t>
  </si>
  <si>
    <t>Made exception w/Jeff's okay - 17 miles from fire.</t>
  </si>
  <si>
    <t>Monks, David</t>
  </si>
  <si>
    <t>Cape Neddick ME  PC4</t>
  </si>
  <si>
    <t>1995 home weekly rental and for sale. Agent applied 5% debit.  No alarms. Roof exclusion will apply.</t>
  </si>
  <si>
    <t xml:space="preserve">Want to either require alarms or up ded due to no alarms.  </t>
  </si>
  <si>
    <t>Romero, Miguel</t>
  </si>
  <si>
    <t>Red Feather Lakes CO  PC9</t>
  </si>
  <si>
    <t>Response time 20-25 mins</t>
  </si>
  <si>
    <t>2016 cabin with hardie board cement siding (virtually fire proof rated). No alarms. FD 2 miles away, but roads are dirt, and team is volunteer, so agent is probably accurate with their 20-25 min response time. Fully accessible, visible to neighbors.</t>
  </si>
  <si>
    <t>Asked for more info on the woodstove. If used in warmer months, may not be as big an issue.  Lower value and hardie cement siding are positives to allow for longer response time.</t>
  </si>
  <si>
    <t>Baluyot, Marivel</t>
  </si>
  <si>
    <t>Oakland CA PC2</t>
  </si>
  <si>
    <t>Change eff date</t>
  </si>
  <si>
    <t>Confusion between retail agent and Burns. No clear bind order sent, but retail agent thought there was. Burns bound as of 7/13. Agreed to revise eff date to 6/30 with signed statement of no loss and certification of no losses. If any losses, it is clear there was no bind order.  Doing this as an exception.</t>
  </si>
  <si>
    <t>Altz, George</t>
  </si>
  <si>
    <t>1960 log cabin w/no utilities. Primary use woodstove. Online photos show a scrubby cabin in the weeds and woods. This is brush zone. 30-55 minute response time seasonally. Reviewed w/Jeff</t>
  </si>
  <si>
    <t>Booth, Joyce</t>
  </si>
  <si>
    <t>1935 masonry home about 5 miles from coast. Agent looking for $0.75 rate including earthquake.  Ran AAL and added EQ which came out exactly to what the rater quoted.</t>
  </si>
  <si>
    <t>Long, Paul</t>
  </si>
  <si>
    <t xml:space="preserve">DP1 Primary </t>
  </si>
  <si>
    <t>Zamora CA  PC9</t>
  </si>
  <si>
    <t>Sheep farming operation</t>
  </si>
  <si>
    <t>1996 home no losses. Insured is a sheep farmer with 283 acres. Nationwide writes the farm. DP1 ACV no liability per agent request.</t>
  </si>
  <si>
    <t>Approved subject to removal of Cov B; or exclusion of all farm structures and fencing. Also subject to 15% surcharge for lapse.</t>
  </si>
  <si>
    <t>Provided Wildfire Mitigation form for this risk as there are some plants that they cannot clear.</t>
  </si>
  <si>
    <t>Additional follow up asking for exception to pool fencing. They are on 4 acres, &gt; than 100 yards from closest neighbor. Advised we need to apply pool exclusion.</t>
  </si>
  <si>
    <t>Troy, Susan</t>
  </si>
  <si>
    <t>2007 home in high brush with $25K deductible and 30% surcharge. 150' brush clearance. Scottsdale renewal. Alarmed and sprinklered.</t>
  </si>
  <si>
    <t>Approved subject to not being within 20 miles of active wildfire.</t>
  </si>
  <si>
    <t>Dry Bar Charleston</t>
  </si>
  <si>
    <t>Charleston SC PC1</t>
  </si>
  <si>
    <t>Charleston SC  PC1</t>
  </si>
  <si>
    <t xml:space="preserve">1890 condo building. Agent looking for $0.75 rate.  Rater coming in at $0.92. Reviewed AAL rating and including EQ, I come in at $0.60.  </t>
  </si>
  <si>
    <t>Approved $0.75 rate subj to compelte app; verif of total gut/remodel; info no Dry Bar Charleston incl commercial questionnaire.</t>
  </si>
  <si>
    <t>Strickland, Michael</t>
  </si>
  <si>
    <t>Virginia Beach</t>
  </si>
  <si>
    <t>Prior liability loss</t>
  </si>
  <si>
    <t>Prior loss - guest at party pulled out a gun to "show it off" and accidentally shot himself and died. Claim submitted for cleanup. Prior carrier nonrenewed.</t>
  </si>
  <si>
    <t>Approved subject to acceptable app and police report. Make sure to review internet for stories.</t>
  </si>
  <si>
    <t xml:space="preserve">Prior fire loss   </t>
  </si>
  <si>
    <t>SPP Proof</t>
  </si>
  <si>
    <t>Insured has 8 persian rugs we would be insuring as fine arts.  4@$8K and 4@$9500. They have photos - no bill of sale or appraisals.</t>
  </si>
  <si>
    <t>Approved subject to bill of sale or appraisals.</t>
  </si>
  <si>
    <t>Newcomer, Bette</t>
  </si>
  <si>
    <t>Tahoe Vista CA PC4</t>
  </si>
  <si>
    <t>1980 home w/no updates. Has metal roof. In brush. SD alarms. No online info.</t>
  </si>
  <si>
    <t>Approved subject to not being within 20 miles of active wildfire. Also add cosmetic roof endorsement.</t>
  </si>
  <si>
    <t>Referred to Jeff 7/27 - agt provided estimator which says "octagon". Declined due to Valued Policy state $475 A; $275 MV. Not sure octagon and geodesic are the same. Concern of custom features.</t>
  </si>
  <si>
    <t>Cast iron sewer pipes</t>
  </si>
  <si>
    <t>Home has all been updated except for cast iron sewer pipes</t>
  </si>
  <si>
    <t>Approved subject to no water/sewer backup.</t>
  </si>
  <si>
    <t>Estes, Kenneth</t>
  </si>
  <si>
    <t>Acton CA PC9</t>
  </si>
  <si>
    <t>2006 home in low brush. FD 10 min response. Online photos show very clear area. Odd configuration of potted plants - ask about business. Large garage and shop - confirm personal use.</t>
  </si>
  <si>
    <t>Approved subject to 20+ miles from any fire; all personal use - no business.</t>
  </si>
  <si>
    <t>Karr, Nathan</t>
  </si>
  <si>
    <t>St. Joseph MO</t>
  </si>
  <si>
    <t>Yes answer to UW question</t>
  </si>
  <si>
    <t>Insd answered yes to bankruptcy/lien. Ran insurance score. It is low (surcharge category) and shows 22 tax liens.</t>
  </si>
  <si>
    <t>Declined officially due to answer to UW question. Advised SRD of low rating and 22 tax liens.</t>
  </si>
  <si>
    <t>DiCristo, David</t>
  </si>
  <si>
    <t>Milwaukee WI PC2</t>
  </si>
  <si>
    <t>Prior bankruptcy</t>
  </si>
  <si>
    <t>1943 home updated. Questioned Cov A due to online photos and discrepancy w/SF. Ran ins score - both show discharged bankruptcy and decent scores.</t>
  </si>
  <si>
    <t>Approved subject to verification of Cov A.</t>
  </si>
  <si>
    <t>Per Jeff, cosmetic roof is waived for CA.</t>
  </si>
  <si>
    <t xml:space="preserve">Charleston WV </t>
  </si>
  <si>
    <t xml:space="preserve">Prior $249K fire loss. Habitat home accidental wiring fire. There is subro against the electrician. The new home is a new purchase for the insured. Agent quoted this with Lex in Dec 2015. Agent is now wanting it, but Lex is no longer writing in WV. Ran insurance scores and they were bad. Collections and bad debt. </t>
  </si>
  <si>
    <t>Declined due to prior loss.</t>
  </si>
  <si>
    <t>Alex was advised of a $21K loss from controlled burn that went out of control and damaged oth str. Loss runs show $63K fire plus 2 wind losses. Not an agent he works with-one off for a commercial agency. He has another carrier to give this to.</t>
  </si>
  <si>
    <t>Donovan, Deanna</t>
  </si>
  <si>
    <t>DP1 Rental</t>
  </si>
  <si>
    <t>Titusville PA   PC9</t>
  </si>
  <si>
    <t>Farm property</t>
  </si>
  <si>
    <t>Approved subject to excluding other structures and liability.</t>
  </si>
  <si>
    <t>1920 home updated and rented out. Insured also leases land for farming. 2 large barns. Reviewed agt photos and online. Home looks good. Barn looks threadbare and full of hay.  Agt asking to exclude liab but cover home and barns.</t>
  </si>
  <si>
    <t>Boerma, Anthony</t>
  </si>
  <si>
    <t>Beverly Hills CA  PC2</t>
  </si>
  <si>
    <t>1988 home updated in 1998. Few online photos. In renie brush zone. Surcharged and 10% addl s/c added by agent. Full alarms</t>
  </si>
  <si>
    <t>Woods, Carl</t>
  </si>
  <si>
    <t>Otisco IN PC8</t>
  </si>
  <si>
    <t xml:space="preserve">1997 home updated. Insured has a statuary business on property - mfg, sales, gift shop, possible trade shows. </t>
  </si>
  <si>
    <t>Emailed a number of questions and concerns.</t>
  </si>
  <si>
    <t>Business on premises</t>
  </si>
  <si>
    <t>Insured has a $22K tractor strictly for maint of prem. Also, is a retired mechanic and has $30K in tools which he uses for pers use only. Okay for personal property?</t>
  </si>
  <si>
    <t>Yes, these do not need to be scheduled and no limitations. $22k is not outrageous.</t>
  </si>
  <si>
    <t>Franks, Warren</t>
  </si>
  <si>
    <t>3 water losses/3 years</t>
  </si>
  <si>
    <t>Kirk doesn't have all the details yet so we discussed starting off with an offer of a water damage exclusion. Once the agent proves the loss info and corrections made, could consider a high ded.</t>
  </si>
  <si>
    <t>Sent Kirk a copy of the new water damage exclusion.</t>
  </si>
  <si>
    <t>D'Agostino</t>
  </si>
  <si>
    <t xml:space="preserve">HO3 Primary w/rental   </t>
  </si>
  <si>
    <t>Primary w/rental</t>
  </si>
  <si>
    <t>Insured has a primary that they rent out when they go to their seasonal.</t>
  </si>
  <si>
    <t>Turns out there are 60-65 sheep and 50 chickens. Approved X-liability.  7/29/16 came back asking to lower cov C and remove cov D.  Approved.</t>
  </si>
  <si>
    <t>Waid, John</t>
  </si>
  <si>
    <t>HO3 Seas w/vaca rental</t>
  </si>
  <si>
    <t>Carnelian Bay CA  PC4</t>
  </si>
  <si>
    <t xml:space="preserve">2013 custom home not in brush. Alarms, water sensor alarm. Online photos show standpipe hookup at bottom of drive. Foundation and support is stone. Much custom, but Cov A value is at $700/SF. </t>
  </si>
  <si>
    <t>Approved subj to acceptable app. Advised our max TIV is $5M. Reviewed w/Louisa. We don't feel too custom. Good alarms. Solid home. Not in brush.</t>
  </si>
  <si>
    <t>Huntley, Douglas</t>
  </si>
  <si>
    <t>Greenwood IN PC9</t>
  </si>
  <si>
    <t>TIV&gt;1.5M/prior claims</t>
  </si>
  <si>
    <t>2004 home out in the flat, open farmlands of Indiana. Insd has history of wind losses - 3 larges ones, although 1 is rolled off. Also a lightning loss.</t>
  </si>
  <si>
    <t>Declined due to history of wind loss. We can't do X-wind.  Not a ded large enough for these claims. S/C won't cut it. Can't exclude roof - don't know if that was the issue; nor will it help with large wind events.</t>
  </si>
  <si>
    <t>Leucadia Creative Corp</t>
  </si>
  <si>
    <t>Home with deck built around multiple trees. Asked if okay from a liab perspective.</t>
  </si>
  <si>
    <t>Reviewed online photos. Looks acceptable. Advised it is a concern if it is in a brush area. Also cautioned about monitoring growth and have a plan to make adjustments before damage is caused. Business name-get quest, watch UW criteria about corp name.</t>
  </si>
  <si>
    <t>Ashley</t>
  </si>
  <si>
    <t>Miller Irrevocable Trust</t>
  </si>
  <si>
    <t>Vacant-out of state owner</t>
  </si>
  <si>
    <t>Insured lives in CA, only visits during the summer. State Farm is nonrenewing. Pipes and HWT are drained in winter. Gas stove is removed. In brush. Agent applied 50% s/c</t>
  </si>
  <si>
    <t>Vieria, Alvaro</t>
  </si>
  <si>
    <t>2008 nice home per online photos. Had a loos connection under sink - $135K water loss!  Low brush but agt surcharged for it and added brush form. Alarms.</t>
  </si>
  <si>
    <t>Approved subj to confirmation of Cov A. Online looks nice - 3 story stucco.</t>
  </si>
  <si>
    <t>Agt sent rater but I can't see it, asked for copy. $1072 rate. Cov A seems a bit high but online sources support and this is not a valued policy state. DP1 ACV. Roof updated in 2006. Online photos look ok.</t>
  </si>
  <si>
    <t>Friedman, Daniel</t>
  </si>
  <si>
    <t>Encino CA  PC2</t>
  </si>
  <si>
    <t>No coverage</t>
  </si>
  <si>
    <t>Approved subject to a BR form and signed statement of no loss.</t>
  </si>
  <si>
    <t>2016 new build ground up. Insd did not know they needed coverage. Halfway built and builder told them. 7-8 months left. 10% s/c is competitive with Scottsdale.</t>
  </si>
  <si>
    <t>Shipping container home</t>
  </si>
  <si>
    <t>Are we a market for a homemade shipping container home?</t>
  </si>
  <si>
    <t>If professionally renovated and we can come up with a solid Cov A, we could consider.</t>
  </si>
  <si>
    <t>Ruthardt, Kyle</t>
  </si>
  <si>
    <t>DP3 Rental/Business</t>
  </si>
  <si>
    <t>Sandy OR PC4</t>
  </si>
  <si>
    <t>Tenant will have a marijuana grow operation</t>
  </si>
  <si>
    <t xml:space="preserve">REFERRING DUE TO TENANT WANTING TO SET UP 3 COMMERCIAL GREENHOUSES ON THE PROPERTY, 20 X 40, AS A MARIJUANA GROW OPERATION.
THE GREENHOUSES WOULD BE THE HOOP TYPE TEMPORARY STRUCTURES.
THE GREENHOUSES WOULD BE PERMITTED &amp; INSPECTED.  THERE WOULD BE NO SALES OF PRODUCTS FROM LOCATION.  CAN WE PRESENT THE SECONDARY RENTAL TERMS WITH A TOTAL BUSINESS EXCLUSION?
</t>
  </si>
  <si>
    <t>Even if a local municipality considers an operation like this "legal", it is still federally illegal.  That creates some coverage challenges.  Additionally an operation like this creates a very high theft hazard causing a concern with the exposure of the other structures and primary home.  Finally, the heat lamps needed in the grow operation increase the fire hazard.  Even with the total business exclusion, these issues could still present a hazard to our covered structures.</t>
  </si>
  <si>
    <t>Bassage, James</t>
  </si>
  <si>
    <t>Santa Barbara CA PC10</t>
  </si>
  <si>
    <t>2008 home alarmed in high brush zone per RM and FL. (FL is High 12 w/med-heavy fuels, steep, no access problems). Metal roof.  12 minute response time.</t>
  </si>
  <si>
    <t>Need PC Questionnaire.  Confirm central station alarms as app does not address.  Newer home, alarmed, 12 min response.</t>
  </si>
  <si>
    <t>Delaney, Karen</t>
  </si>
  <si>
    <t>Los Gatos CA PC2</t>
  </si>
  <si>
    <t>Retail agent sent request to bind eff 7/22/16. They sent it to the main agent in error instead of Hull. Lisa is asking for backdating. 1976 home updated. Online photos look very nice.</t>
  </si>
  <si>
    <t>Approved if it is going to be an issue  with a lender otherwise prefer current date. Asked Lisa to confirm Cov A as online photos look really nice.</t>
  </si>
  <si>
    <t>Pathak</t>
  </si>
  <si>
    <t>1952 home renovated in 2016, and more reno to do. Agent shopping the Lloyds renewal. Nice online photos.  Low brush exposure.</t>
  </si>
  <si>
    <t>Jul</t>
  </si>
  <si>
    <t>CHANGED THIS DIRECTION IN JULY 2016-DO NOT WRITE MORE THAN 5 CHILDREN UNLESS X-LIABILITY. IF DAYCARE INSURED W/MARKEL, CAN CONSIDER FULL COVERAGE.</t>
  </si>
  <si>
    <t>Curtis, Anthony</t>
  </si>
  <si>
    <t>Camden AR PC</t>
  </si>
  <si>
    <t>1984 home w/no updates. Daycare licensed for 10 children, usually has 8.</t>
  </si>
  <si>
    <t>Approved X-liability and with roof exclusion due to no updates.</t>
  </si>
  <si>
    <t>Faria, Lewis</t>
  </si>
  <si>
    <t>Unfenced pool</t>
  </si>
  <si>
    <t>Could not write liability, but approved with pool exclusion. Cannot add AI.</t>
  </si>
  <si>
    <t>2001 home on golf course with unfenced pool. Gated community. Golf course wants to be added as AI. Very nice online pics.</t>
  </si>
  <si>
    <t>Land Contract AI</t>
  </si>
  <si>
    <t>Can a seller for a land contract be added as an additional insured?</t>
  </si>
  <si>
    <t>Multiple structures on premises</t>
  </si>
  <si>
    <t>Alison has cases of more than 1 rental property but sharing an address. We brainstormed how she would set up the policy. Would be all on one. Separate dec for each. One forms list (with designation if a form only applies to one property). If this manual designation didn't work, she could attach a manuscript endorsement. Liab is charged for all, but extended to all properties. That way we are not providing multiple limits at one address.</t>
  </si>
  <si>
    <t>COC DP or HO</t>
  </si>
  <si>
    <t xml:space="preserve">Parents own, son living in it. Fits definition of named insured. Can they write an HO or DP? Wants theft of bldg materials. </t>
  </si>
  <si>
    <t>Advised Alex we are coming out with the DP Theft of Matl coverage, or would qualify for Homeowners.</t>
  </si>
  <si>
    <t>Randal Dernham Trust</t>
  </si>
  <si>
    <t>Prior loss?</t>
  </si>
  <si>
    <t xml:space="preserve">1941 home vacant. Agent quoted in June w/ no losses. A+ shows a $0 paid. Caretaker placed hot coffee pot on porcelain sink and it cracked. Agent asked if we could waive the loss surcharge Already getting generous premium for the risk. </t>
  </si>
  <si>
    <t>Dickstein, Ross</t>
  </si>
  <si>
    <t>1994 log home PC10 alarmed, visible, accessible. Response time at least 20-25 mins on a good day. Ran FireLine and it is High 13 w/med fuels, steep, limited access.</t>
  </si>
  <si>
    <t>Felt it best to decline due to FireLine details and high response time.</t>
  </si>
  <si>
    <t>Norkin Rev Trust</t>
  </si>
  <si>
    <t>Nantucket MA</t>
  </si>
  <si>
    <t>2 open water claims/B&amp;B</t>
  </si>
  <si>
    <t xml:space="preserve">1768 home renovated and updated. Has 2 open water claims from 2016. Also has B&amp;B in the home. </t>
  </si>
  <si>
    <t>Liddle, George</t>
  </si>
  <si>
    <t>18 minute response time</t>
  </si>
  <si>
    <t>1980 home in med brush. No alarms. Woodstove. Metal roof. No updates. Missing balusters per insp. FireLine shows High 6, mod slope, med fuels, no access issues.</t>
  </si>
  <si>
    <t>With the CA wildfires raging, we are sticking close to our 15 min response time. This FD is 17 road miles away - question the 18 min response time. Google maps show it, but firetrucks don't always go 60 mph+. Paid FD, no alarms. Also mentioned the lack of balusters, WBS quest not complete so don't know if 5" clearance is acceptable.</t>
  </si>
  <si>
    <t>Boss Estates LLC</t>
  </si>
  <si>
    <t>Castaic CA PC 4/10W</t>
  </si>
  <si>
    <t>Pend for additional information: PC confirmation, access, LLC form.</t>
  </si>
  <si>
    <t>Graham, Richard</t>
  </si>
  <si>
    <t>Colorado Springs CO  PC10</t>
  </si>
  <si>
    <t>Approved subject to acceptable WBS quest.</t>
  </si>
  <si>
    <t>2003 log home seasonal. Road is dirt and not maintained in the winter. 20 min response time otherwise. Photos look good. FireLine is High 4 with light/med fuels and no access problems. Woodstove in pics looks close and no wall protection but can't see clearly.</t>
  </si>
  <si>
    <t>Elahi, Ali</t>
  </si>
  <si>
    <t>Approved w/water damage exclusion. To consider 25K ded, need full info on damage repair and mitigation techniques used.</t>
  </si>
  <si>
    <t>Neece, Rush</t>
  </si>
  <si>
    <t>Truckee CA PC4</t>
  </si>
  <si>
    <t>2004 home alarmed In brush. Per Fireline, High 9, light fuels, moderate slope, limited access. Question on actual PC as RM says 5+ miles to FD. Asked for info. Also, 10 acres per online source. Has private gated road. Asked for info. Also need LLC form.</t>
  </si>
  <si>
    <t>Not 10 acres. It is PC10W not 4. LLC form okay. PC form okay. 5.1 miles. 13 min. Has hydrant. Accessible, visible.</t>
  </si>
  <si>
    <t>Nesbitt, Thomas</t>
  </si>
  <si>
    <t>2003 frame home in high brush. No losses. Alarmed. Online photos look nice.</t>
  </si>
  <si>
    <t>2012 frame home in high brush. No losses. Alarmed. No online photos.</t>
  </si>
  <si>
    <t xml:space="preserve">Ben </t>
  </si>
  <si>
    <t>Reza, Ali</t>
  </si>
  <si>
    <t xml:space="preserve">1910 frame home w/full updates.  7 mi from coast, allowed w/3% wind/hail ded. Yes answer on app to Has anyone with a financial interest in the property been convicted of fraud, arson or other crime related to any loss or any other property during the past five years? Found numerous online articles with serious charges related to rape, etc. It is not 100% clear it is this insured as the name of the doc involved is Alireza Sadeghi, and the app is for Ali Reza who is a physician.  </t>
  </si>
  <si>
    <t>Approved subject to determining, is the 1 or 2 condos (notes say insd bought 2). Need pricing - Verify occupancy. Is this HO6 Seas or DP3 Vacant</t>
  </si>
  <si>
    <t>$1387. No debit applied per Jeff. DP3 Vacant.</t>
  </si>
  <si>
    <t>2016 auto condo. Previously reviewed w/Jeff Leone. All issues addressed. $0 liab. Sprinkler, alarm. Prem $1584.</t>
  </si>
  <si>
    <t>Pontiac MI PC3</t>
  </si>
  <si>
    <t>Staudt, Marc/Staudt Storage LLC</t>
  </si>
  <si>
    <t>Approved subject to acceptable LLC form and confirmation this was quoted as DP3 Vacant.</t>
  </si>
  <si>
    <t>Note See guidelines document in S:\Product Management\Property\E&amp;S Property\Brokers\Burns &amp; Wilcox\Rates &amp; Guidelines\Current Rates &amp; UW Guides\Guidelines for Writing Auto Condos in Michigan</t>
  </si>
  <si>
    <t>Raleigh Investment</t>
  </si>
  <si>
    <t>2 units - &gt;90 day lapse</t>
  </si>
  <si>
    <t>Agent didn't realize the lapse was over 90 days until Stmt No Loss was received. All info looks good - Corp form, older home form. 10% s/c added.</t>
  </si>
  <si>
    <t>Approved subject to updated no loss letter</t>
  </si>
  <si>
    <t>Easley, Ronald</t>
  </si>
  <si>
    <t>Business -Manor and guest house on prem</t>
  </si>
  <si>
    <t xml:space="preserve">Insured operates Greystone Manor and a guest house for vaca rental. On a CGL. One of the other structures is now their residence. 1940 no updates listed. </t>
  </si>
  <si>
    <t xml:space="preserve">• Please add the guest house to the CGL. I’d like to keep all the vacation rental exposure off our policy since it has a CGL.
• Home is 1940 – no updates are listed.  Must have acceptable plumbing, electrical and heat updates.  Roof exclusion applies if not updated.
• App says “On same premises as business family owns”. If that is the Greystone Manor Vaca Rental, that is fine. If it is something else, please advise.
• Please add the total business exclusion.  This will eliminate any exposure to other structures and liability for Greystone Manor and the guest house.
• If the owner occupied home were the only structure on its own legal address; with the guest house and the Manor on a separate address; we could reconsider the total business exclusion.  Although I am still thinking it would be wise to keep it in place.  
</t>
  </si>
  <si>
    <t>2005 home, alarms, not in brush. Prior exterior countertop loss $3K (?) and slab leak $100K in 5/16. Not much info on the repair/mitigation. Only losses for 10 years residing in home.</t>
  </si>
  <si>
    <t>Albright, Lars</t>
  </si>
  <si>
    <t>Chestnut Hill MA PC5</t>
  </si>
  <si>
    <t>TIV/Year built</t>
  </si>
  <si>
    <t xml:space="preserve">1890 home SE of Boston under renovation. Alarmed. $15K premium. </t>
  </si>
  <si>
    <t>Approved subject to this being a total gut and remodel, per UW guide requirements.</t>
  </si>
  <si>
    <t>7 horses</t>
  </si>
  <si>
    <t xml:space="preserve">Primary residence 7 horses. Discussed finding out about breeding, boarding, riding, lessons. Also barns could be a concern if there is a lot of hay storage.  </t>
  </si>
  <si>
    <t>Might consider x-liability.  Animal exclusion alone may not be enough. May need to exclude buildings too.</t>
  </si>
  <si>
    <t>Florito, Elizabeth</t>
  </si>
  <si>
    <t>Novato CA PC3</t>
  </si>
  <si>
    <t>Open Work Comp claim</t>
  </si>
  <si>
    <t>1975 frame home full updates in 2000. One open loss - caregiver hurt back helping insured $104,000 paid so far. Still open WC. Also has a prior theft claim for items taken by a caregiver. PAF schedule submitted.</t>
  </si>
  <si>
    <t xml:space="preserve">• Is the caregiver who suffered the injury still going to be taking care of the insured?
• There was a prior theft loss by a caregiver - what kinds of items were missing/taken?  I'm not sure if we are comfortable offering the PAF.
• What is included in the $57,266 jewelry schedule?
</t>
  </si>
  <si>
    <t>Gilbeau, Robert</t>
  </si>
  <si>
    <t>Murphys CA PC9</t>
  </si>
  <si>
    <t>1994 home frame, no alarms, 1 loss - tree damage from storm $2200. 60 acres personal use. PC quest ok. Sprinklers. Pool w/board. Found adverse online information for individual with same name. Ins score pretty much confirms. (High ranking Navy Admiral in bribery scandal)</t>
  </si>
  <si>
    <t>Declined.  (Outstanding issues - where home sits on 60 acres and if accessible by FD. Pool excl due to board)</t>
  </si>
  <si>
    <t>Greenwood CA PC 10</t>
  </si>
  <si>
    <t>PC10/18 min response</t>
  </si>
  <si>
    <t>2005 home in medium brush. Not near an active fire. Agent not sure if PC5 or 10. Gave info. 18 min response time.</t>
  </si>
  <si>
    <t>Advised we are being conservative in brush zones.</t>
  </si>
  <si>
    <t>Yoshida, Takashi</t>
  </si>
  <si>
    <t>Brigantine NJ PC5</t>
  </si>
  <si>
    <t xml:space="preserve">1987 home on NJ coast. Agent looking for 8-9% credit to beat RPS quote from Lloyds. Ran AAL. Total came in at 2125. RPS/Lloyds 2980. Markel 3248. </t>
  </si>
  <si>
    <t xml:space="preserve">Discussed w/Jeff.  While we are not giving rate reduction inland, their coastal loss ratio is good. </t>
  </si>
  <si>
    <t>Ogden Street</t>
  </si>
  <si>
    <t>Philadelphia PA PC3</t>
  </si>
  <si>
    <t xml:space="preserve">2016 remodel that is actually tail end construction. Agt calling it new construction but story is they had a COC, partner forgot to pay the premium and covg lapsed. Now they need a new policy. Has a flat roof, in Philly. </t>
  </si>
  <si>
    <t>Discussed w/Jeff. Due to lapse and tail end, we are not comfortable.</t>
  </si>
  <si>
    <t>McGeehan, Chip</t>
  </si>
  <si>
    <t>Canon City CO PC10</t>
  </si>
  <si>
    <t>Response time/TIV</t>
  </si>
  <si>
    <t xml:space="preserve">2010 seasonal log home fully alarmed with live in caretaker. Beautiful online photos and info. On 220 acres w/640 leased state land. Unprot quest included. 20 min response time. Not in a brush zone. </t>
  </si>
  <si>
    <t>Live in caretaker and alarms. 2 responding FD's.</t>
  </si>
  <si>
    <t>Frankel, Barbara</t>
  </si>
  <si>
    <t>1964 home w/updates and alarmed. Online photo looks good. In brush.</t>
  </si>
  <si>
    <t>Garcia, Debra</t>
  </si>
  <si>
    <t>Bradley CA PC6</t>
  </si>
  <si>
    <t>Built around trees</t>
  </si>
  <si>
    <t>1988 frame home updated in 2001. In brush. Hard money loan thru individual. No alarms</t>
  </si>
  <si>
    <t>Need more info - is this a tree house? See email w/questions. Water damage per online photos. If we go forward, individual is okay as lien. Need brush and branches cleared.</t>
  </si>
  <si>
    <t>Davis, Melissa</t>
  </si>
  <si>
    <t>Rescue CA</t>
  </si>
  <si>
    <t>Agent bound based on old app and now inspection is showing brush issues and 3 horses boarded. 2 addl horses belong to the insured.</t>
  </si>
  <si>
    <t>Approved X-liability, clean up brush.</t>
  </si>
  <si>
    <t>Agent confirmed by occupation and DOB the articles are not the same person as the insured. Rest of risk is fine. Approved.</t>
  </si>
  <si>
    <t>Aspromonte, Ray</t>
  </si>
  <si>
    <t>DP1 Seasonal</t>
  </si>
  <si>
    <t>Mancos CO PC10</t>
  </si>
  <si>
    <t>1984 home (adding roof exclusion) quoting on a DP1 since small and not accessible year round. Insured is the fire chief. Woodstove that is "primary" but since not used in winter, isn't used much. Installed by insured, so ok w/clearances.</t>
  </si>
  <si>
    <t xml:space="preserve">Not a tree house. Professionally built. Insd having roof, windows, skylight replaced. Approved subj to:  • Trees being removed or branches and brush being trimmed per requirements in wildfire mitigation form.
• Existing damage exclusion 
• Roof exclusion
• Confirmation of repairs of source of ceiling water damage. Agent says roof, windows and skylight are being replaced. Once confirmation is of repairs is received, you could remove the roof exclusion.
</t>
  </si>
  <si>
    <t>Breashears, Larry</t>
  </si>
  <si>
    <t>Hermitage Arkansas PC10</t>
  </si>
  <si>
    <t xml:space="preserve">1964 home updated. 48 acres near paved road. 11 road miles to FD. 20 min response time. Volunteer. Accessible. </t>
  </si>
  <si>
    <t>Shah, Seema</t>
  </si>
  <si>
    <t>DP3 Vacant or Rental</t>
  </si>
  <si>
    <t>Elegant home owned by an insured who primarily lives in Hong Kong (Doctor) but this is her only US residence. 9 months, she will be renovating. Agent is quoting both vacant and rental as she may rent it out.</t>
  </si>
  <si>
    <t>Approved subject to confirmation the rental is for real if they go with that rate.  $3K difference.</t>
  </si>
  <si>
    <t>Cravens, Brenda</t>
  </si>
  <si>
    <t>Would need 10K ded due to no CS fire alarm per app. Confirm age of home. Confirm what we are insuring-may not be able to do it.</t>
  </si>
  <si>
    <t>1983 home, no updates. App says 1989 home. Burglar alarm and temperature alarm per app. Online google of address shows a resort at this location. Not sure what we are insuring. Resort includes B&amp;B, 375 acres, used for groups/weddings, etc!</t>
  </si>
  <si>
    <t>Approved subject to $200 s/c on $1320 premium.  Lower value, updated home, felt okay with the extended response time.</t>
  </si>
  <si>
    <t>Blue, Lane</t>
  </si>
  <si>
    <t>Need PC quest and rater.</t>
  </si>
  <si>
    <t>2016 new ground up construction, confirmed online  vacant lot was sold.  Volunteer FD. Agent wants us to hit $6K.</t>
  </si>
  <si>
    <t>Redmen, Andres</t>
  </si>
  <si>
    <t xml:space="preserve">2001 very nice home per online photos. In brush. $10K ded in lieu of alarms. </t>
  </si>
  <si>
    <t>Haaland, John</t>
  </si>
  <si>
    <t>Carmel CA PC4</t>
  </si>
  <si>
    <t>2009 full time rental. No alarms. In brush. Maybe near the Monterey County fires.</t>
  </si>
  <si>
    <t>Approved subject to confirmation of being 20 miles away from the fire. Also required $10K deductibles due to no alarms.</t>
  </si>
  <si>
    <t>Christian, Nathaniel</t>
  </si>
  <si>
    <t>Maple Plain MN  PC5</t>
  </si>
  <si>
    <t>2007 auto storage condo in Minnesota. Website looks okay, but different than Pontiac auto condos - I see no indication of living facilities. No burglar alarm - only $10K contents. Has SC fire. Wants liability.</t>
  </si>
  <si>
    <t>Approved on a DP vacant policy X-liab w/confirmation of firewalls.</t>
  </si>
  <si>
    <t>Shaver Lake CA PC6</t>
  </si>
  <si>
    <t>Risk is actually a PC6. Agent has $4900 quote now.  We are coming in at $9596. Even owner occ is $6500. Not willing to dip to 12.5 cent rate.</t>
  </si>
  <si>
    <t>Barton, Walter</t>
  </si>
  <si>
    <t>Cement roof</t>
  </si>
  <si>
    <t>1929 roof no updates, cement roof.  Google shows landscape architecture business at this location w/hours 9-5. Cement roof could be asbestos mix.</t>
  </si>
  <si>
    <t>Pend for addl info on roof-ineligible if asbestos/concrete mix. Sent business questions to determine if we can write, maybe with business exclusion.</t>
  </si>
  <si>
    <t>Alsborg</t>
  </si>
  <si>
    <t>Mansard roof damage</t>
  </si>
  <si>
    <t>1925 home updated; unknown when roof updated and there are damaged shingles on the mansard portion of the roof. Prior carrier cancelled due to mansard shingle damage. Alex asked if it was a concern.</t>
  </si>
  <si>
    <t>Advised Alex details of issues w/mansard roofs and why it is an issue. Offered terms with MFRC and roof exclusion until repaired.</t>
  </si>
  <si>
    <t>Originally approved; but then Allison found out foundation is pier and beam. We agreed to decline.</t>
  </si>
  <si>
    <t>20 Shemen</t>
  </si>
  <si>
    <t>DP3 Rental/Synagogue</t>
  </si>
  <si>
    <t>Lakewood NJ  PC</t>
  </si>
  <si>
    <t>Synagogue in 2nd half</t>
  </si>
  <si>
    <t>2 family home - 1 side is tenant. Other side is synagogue with 15 followers who come in 3 times a day. They have a GL.</t>
  </si>
  <si>
    <t>Declined due to this being a commercial exposure and we can't exclude. Liab is covered by the GL and we could apply business excl, but there is still an incr in prop hazard, and if we apply excl, there will be no coverage.</t>
  </si>
  <si>
    <t>Hoffman, Andrew</t>
  </si>
  <si>
    <t>Big Creek ID  PC10</t>
  </si>
  <si>
    <t>1978 home updated. Runs off grid w/generator power. Alarmed. FD 20 miles from home. Retailer says 10-15 min response??</t>
  </si>
  <si>
    <t>Asked Ben to help w/address. Can't find it on google/bing. Need to verify FD response. Need info on the generator and if home is used in the winter. Backup? How do alarms function when no one is there?</t>
  </si>
  <si>
    <t>Shah, Hiren</t>
  </si>
  <si>
    <t>Kenner LA  PC2</t>
  </si>
  <si>
    <t>Wenk, Robert</t>
  </si>
  <si>
    <t>2003 home with an avacado farm on prem. Insd has no GL. Has a company handling maintenance and harvesting. We have no Total Biz Excl on the DF.</t>
  </si>
  <si>
    <t>Fein, Josh</t>
  </si>
  <si>
    <t xml:space="preserve">1992 home. No updates. Online photos look very good. No brush. </t>
  </si>
  <si>
    <t>Simmons, Michael</t>
  </si>
  <si>
    <t>Open Liab loss</t>
  </si>
  <si>
    <t>1979 home updated. A couple of hail and a wind loss. Also a liability loss - caretaker took special needs child to party-child slipped away and was killed in the street. Ex-wife is suing the insured for wrongful death.</t>
  </si>
  <si>
    <t>Approved subject to no liability and no other structures coverage. Asked all business on prem questions.</t>
  </si>
  <si>
    <t>Approved subject to no liability.  Insured has quote from Hudson, so safer to let them write it.  Unknown if other children where wife could repeat this kind of behavior.</t>
  </si>
  <si>
    <t>Got answers from Matt on 8/10/16. Agreed to offer terms with the PAF and form BWH0150 which restricts jewelry in a safe.</t>
  </si>
  <si>
    <t>Tesoro De Luz</t>
  </si>
  <si>
    <t>Vashon Island WA PC6</t>
  </si>
  <si>
    <t xml:space="preserve">Tree house   </t>
  </si>
  <si>
    <t xml:space="preserve">2014 tree house.  </t>
  </si>
  <si>
    <t>We are not a market for tree houses.  We will be adding to UW Guidelines.</t>
  </si>
  <si>
    <t>Rushing, Eric</t>
  </si>
  <si>
    <t>El Dorado Hills CA  PC10</t>
  </si>
  <si>
    <t>2007 frame home in brush, no alarms. 6 miles to FD. There is a hydrant. 12 minute response from paid FD.</t>
  </si>
  <si>
    <t>Fordyce, Carolyn</t>
  </si>
  <si>
    <t>Mountain Ranch CA PC5</t>
  </si>
  <si>
    <t>Prior wildfire loss</t>
  </si>
  <si>
    <t>Brand new home. Prior home had total fire loss 9/2015 from Butte Fire. Home on 13.5 acres. 3.7 mi to FD. RM medium brush. FireLine Moderate-2, light fuels, no access issues.</t>
  </si>
  <si>
    <t>Approve subject to Fire Marshall report. Also that home is near front of 13.5 acres and accessible.</t>
  </si>
  <si>
    <t>Reply from Alex-epoxy lining added to pipe (website provided.) The damaged pipe ran from garage to kitchen - 3/4" copper pipe.  Agreed to $25K water damage ded. Further receipts show that the hot water line replaced runs several appliances, kitchen, and baths. Agt asked for reduced deductible.  Agreed to go to $10K pending no further water losses.</t>
  </si>
  <si>
    <t>Porter, William</t>
  </si>
  <si>
    <t>Chesterfield VA PC9</t>
  </si>
  <si>
    <t>PC9 ok?</t>
  </si>
  <si>
    <t xml:space="preserve">Charity referred to approve change to PC9 per inspection. During google search, I found Ace Septic at this address. </t>
  </si>
  <si>
    <t>Asked Charity to investigate business and refer if there was an active business.</t>
  </si>
  <si>
    <t>Ran AAL = $7433. We can do a $0.28 or $0.30 rate based on this. Advised Leslie</t>
  </si>
  <si>
    <t>Need to verify what Markel prem is currently and if that includes discretionary credit. Also, clarify pg 2 of app. Agreed to go with $0.28 or $0.30 rate. Pg 2 was an error.</t>
  </si>
  <si>
    <t>2013 home w/alarms, gated, no losses. Good online photos. Agent looking to be competitive with $0.30 rate ($14,700). Page 2 of app states Vacant Reno=Y.</t>
  </si>
  <si>
    <t>Lynn</t>
  </si>
  <si>
    <t>Metal building home</t>
  </si>
  <si>
    <t>Insured turned an 1800 SF metal building into a home. Pristine photos in file. There has been a lapse due to an old PO Box was the address</t>
  </si>
  <si>
    <t>Approved subj to the rest of the risk being acceptable. Add s/c if lapse.</t>
  </si>
  <si>
    <t>State</t>
  </si>
  <si>
    <t>Protection Class</t>
  </si>
  <si>
    <t>City</t>
  </si>
  <si>
    <t>OR</t>
  </si>
  <si>
    <t>AR</t>
  </si>
  <si>
    <t>MA</t>
  </si>
  <si>
    <t>LA</t>
  </si>
  <si>
    <t>MN</t>
  </si>
  <si>
    <t>ID</t>
  </si>
  <si>
    <t>IN</t>
  </si>
  <si>
    <t>WA</t>
  </si>
  <si>
    <t>Fire loss/shake roof</t>
  </si>
  <si>
    <t>2014 home rebuilt after total fire from faulty flue in the chimney. Has wood shake roof, in brush zone.</t>
  </si>
  <si>
    <t>Can't do a wood roof in a brush zone.</t>
  </si>
  <si>
    <t xml:space="preserve">Graham </t>
  </si>
  <si>
    <t>Prior water losses</t>
  </si>
  <si>
    <t>2 water losses in 2015. $15K clogged condenser pan overflow. $10k toilet waterline loose. Insured had all waterlines replaced. She checks all these items annually.</t>
  </si>
  <si>
    <t>Approved subject to a $2500 deductible. Felt insured had done what she could to mitigate, and performs annual maintenance.</t>
  </si>
  <si>
    <t>Mammoth</t>
  </si>
  <si>
    <t>2001 roof, unknown if treated. In forested area, not brush.</t>
  </si>
  <si>
    <t>Alison is sending additional information.</t>
  </si>
  <si>
    <t>Discussed risk for Mark Damon, actor/producer. 73 years old</t>
  </si>
  <si>
    <t>Not too famous.</t>
  </si>
  <si>
    <t>Shaheri, Joseph</t>
  </si>
  <si>
    <t>Beverly Hills</t>
  </si>
  <si>
    <t>1924 home updated 08-16. No brush. MFRC added. No ERC. CS Alarms.</t>
  </si>
  <si>
    <t>Approved/subject to acceptable resp to unanswered uw questions on app.</t>
  </si>
  <si>
    <t>Sehabiague, Donna</t>
  </si>
  <si>
    <t>Gold Run</t>
  </si>
  <si>
    <t>15 min response</t>
  </si>
  <si>
    <t>2007 frame home, no alarms, in brush. Has woodstove used as secondary heat. Unknown when last cleaned. 15 min resp. dirt roads. 3-4 miles away</t>
  </si>
  <si>
    <t>Approved subject to no dirt road washout issue, must clean woodstove now and annually.</t>
  </si>
  <si>
    <t>Garman, Chris</t>
  </si>
  <si>
    <t>Litchfield Park</t>
  </si>
  <si>
    <t>AZ</t>
  </si>
  <si>
    <t>1980 home w/new roof. Had 2015 storm damage loss - roof completely replaced.</t>
  </si>
  <si>
    <t xml:space="preserve">New home insured w/Zurich ground up construction. Policy expiring 8/23. Needs 30-60 day policy. Ready to move to Chubb when done. </t>
  </si>
  <si>
    <t>Agent proposed 3 mos fully earned. Big exposure for us at the tail end.</t>
  </si>
  <si>
    <t>Manuszak, Roy</t>
  </si>
  <si>
    <t>Woodstove primary/ 30 min response</t>
  </si>
  <si>
    <t xml:space="preserve">1972 cabin. Generator and woodstove. Used seasonally. Near current wildfire. 30 min response - FD 19 miles. </t>
  </si>
  <si>
    <t>Used occasionally in winter.  Water is gravity fed. Always winterized when not in use. Stove is professionally installed. $100K value. FireLine could only do a zip code level match - came in at a 6 (lower end of high)</t>
  </si>
  <si>
    <t>Allison sending full submission w/unprotected questionnaire and rater (can't open it).  FireLine says Moderate 3, med fuels, mild slope, no access problems. Agreed on 20% surcharge $1208 total.</t>
  </si>
  <si>
    <t>Miskowiak, Michael</t>
  </si>
  <si>
    <t>Stillwater</t>
  </si>
  <si>
    <t>Partial Updates/Age of home</t>
  </si>
  <si>
    <t>2013 home with partial wiring and plumbing updates. Circuit breakers/no galvanized. 2 losses - water backup; sewer backup.</t>
  </si>
  <si>
    <t>Asked for details on the claims to assess if we have a plumbing concern.</t>
  </si>
  <si>
    <t>Lynn, Jeffrey</t>
  </si>
  <si>
    <t>Lake Tahoe</t>
  </si>
  <si>
    <t xml:space="preserve">1996 home builders risk. Med brush exposure. </t>
  </si>
  <si>
    <t>Rhodehamel, William</t>
  </si>
  <si>
    <t>Brownsburg</t>
  </si>
  <si>
    <t>Large fire claim</t>
  </si>
  <si>
    <t>1900 frame home w/updates in 1999, roof in 2015. Negligent fire loss (candle burned artwork) in 2014. No fire marshall report?? 20 acres cash rented to farmer for crops. Also had theft loss $1000 stolen laptop from kids dorm.</t>
  </si>
  <si>
    <t>Asked for fire department incident report and proof of year of construction. 2 online sources say 1948.</t>
  </si>
  <si>
    <t>Morgan 1986</t>
  </si>
  <si>
    <t>Homewood</t>
  </si>
  <si>
    <t>1998 home. Online photos look great. Theft at prior location - do we surcharge? App incomplete.</t>
  </si>
  <si>
    <t>Approved subject to details indicating insured had no fault in the theft, then no s/c applies. Also need application completed w/acceptable info and answers.</t>
  </si>
  <si>
    <t>Aaron Family</t>
  </si>
  <si>
    <t xml:space="preserve">Devol </t>
  </si>
  <si>
    <t>OK</t>
  </si>
  <si>
    <t>Cattle farm and 84 acres</t>
  </si>
  <si>
    <t>Renewal policy. NB written x-liability. Would we consider with premises liability.</t>
  </si>
  <si>
    <t>We do not currently have a way to formally exclude farming or business on Dwelling Fire policy.</t>
  </si>
  <si>
    <t>Fault was out of a locked garage. Ok'd.</t>
  </si>
  <si>
    <t>6343 Skyline Blvd</t>
  </si>
  <si>
    <t xml:space="preserve">Oakland   </t>
  </si>
  <si>
    <t>One of a kind home</t>
  </si>
  <si>
    <t>2004 custom home, one of a kind modern design.  Angled walls, unique features.  Reviewed w/Louisa</t>
  </si>
  <si>
    <t>Declined due to concern with establishing Cov A and how a loss would be settled due to unique design.</t>
  </si>
  <si>
    <t>Mitchell, Linda</t>
  </si>
  <si>
    <t>Melfa</t>
  </si>
  <si>
    <t>1920 home updated in 2012. Verified fire department is very close, less than 5 minutes.  Found 2 online references to businesses at this address. Sent links to agent.</t>
  </si>
  <si>
    <t>Ben provided addl info and we have a comfort with the separation. Approved subject to agent controlling, $5K ded, Deck rail added, Total business excl applied.</t>
  </si>
  <si>
    <t>Larson, Thomas</t>
  </si>
  <si>
    <t xml:space="preserve">Mill Valley  </t>
  </si>
  <si>
    <t>1904 home gutted in 2014-revised constr year. Alarms. Clean. No online info.</t>
  </si>
  <si>
    <t>Shelton, Gordon</t>
  </si>
  <si>
    <t>Duck</t>
  </si>
  <si>
    <t>Unauthorized State</t>
  </si>
  <si>
    <t>Agent does not write in NC. Risk looks good.  Checked w/Louisa who checked w/Audrey. If we don't have forms and rates for them, we can't quote.</t>
  </si>
  <si>
    <t xml:space="preserve"> Marguet</t>
  </si>
  <si>
    <t>San Clemente</t>
  </si>
  <si>
    <t>2016 home. Insured looking for a 3 month policy - tail end construction. Agent rated vacant DP3 w/surcharge</t>
  </si>
  <si>
    <t>Not good UW results on tail end constr. We would be taking on over $1M exposure for 3 mos of premium.</t>
  </si>
  <si>
    <t>Kassis, Robert</t>
  </si>
  <si>
    <t>Nevada City</t>
  </si>
  <si>
    <t>2005 home no alarms. Hartford NRN due to location $1875 prem. Ours $7686. Advised agt no credits due to PC10. Med brush.</t>
  </si>
  <si>
    <t>Subj to being near front of 30 acres/accessible; 150' brush; no active fire within 20 miles.</t>
  </si>
  <si>
    <t>Leslie/Ben</t>
  </si>
  <si>
    <t>Additional info from Ben on 8/16/16. COC is due to water claim. Home is gutted. Advised we don't want to get in the middle in the event other damage or mold is found.</t>
  </si>
  <si>
    <t>No FM report available. Got RPS loss run which confirms evacuation and wildfire 9/15.</t>
  </si>
  <si>
    <t>Smith, Brian</t>
  </si>
  <si>
    <t>Prior fire</t>
  </si>
  <si>
    <t>Home is being purchased by son w/help from parents who will be co-titled.  Parents had a CAT fire in 2015 at a different address.  We do not need to surcharge for the loss.</t>
  </si>
  <si>
    <t>Marx, Melissa</t>
  </si>
  <si>
    <t>Calabasas</t>
  </si>
  <si>
    <t>Approved subject to exclusion which is newly drafted and has not been distributed to Burns yet.</t>
  </si>
  <si>
    <t>1989 home updated w/new plumbing in 2013 after $300K pipe break on 2nd floor. Then in 2016, another pipe break. Agent wants to apply water damage excl. Currently w/CA Fair Plan. Ins score is decent.</t>
  </si>
  <si>
    <t>Guzman, Veronica</t>
  </si>
  <si>
    <t>Land contract - seller wants to be additional insured.</t>
  </si>
  <si>
    <t>Reviewed contract - appears in order.</t>
  </si>
  <si>
    <t>Water losses</t>
  </si>
  <si>
    <t>Approved Alison's direction.</t>
  </si>
  <si>
    <t>1990's home with 3 pipe leaks. Alison is excluding water and retailer is questioning. 2014 $0 pipe, 2014 $24K slab leak, 2016 $46K pipe</t>
  </si>
  <si>
    <t>Spunt, Steven</t>
  </si>
  <si>
    <t>Agent quoted w/Lloyds and Markel. Went on vacation, accidentally bound Lloyds. They received 8/10 w/ an eff date of 8/13. Agt wants to backdate Markel to 8/13 w/SNL.</t>
  </si>
  <si>
    <t>Li, Jing</t>
  </si>
  <si>
    <t>1953 home updated. Tenant will have in home daycare. They carry a GL. Can we include $500K liability.</t>
  </si>
  <si>
    <t>I approved subject to meeting the guidelines Burns follows today - licensed for no more than 5 children. DL 24 16 Daycare exclusion applies.</t>
  </si>
  <si>
    <t>Catlin, Jason</t>
  </si>
  <si>
    <t xml:space="preserve">Indianapolis </t>
  </si>
  <si>
    <t xml:space="preserve">Grass Valley </t>
  </si>
  <si>
    <t>18+ min response time</t>
  </si>
  <si>
    <t>2005 frame home in med brush per RM. FireLine High 9 moderate fuels, limited access, moderate fuels. Brush is 90' from house, cleared to property line. On 10 acres. NRN due to distance to FD by Lloyds.</t>
  </si>
  <si>
    <t>Comfort level w/the response time and other factors.</t>
  </si>
  <si>
    <t>Chase, Mary</t>
  </si>
  <si>
    <t>1979 home updated. Not in brush zone, but agt applied brush surcharge due to forested location. Has wood shake roof. Eligible per guidelines but we evaluated. Roof is 2001 treated w/fire retardant.</t>
  </si>
  <si>
    <t>Agreed since brush surcharge is applied for additional prem and risk is not in a brush zone.</t>
  </si>
  <si>
    <t>Kassburg</t>
  </si>
  <si>
    <t>Quote provided on 7/25. Insured thought they had given bind order but agent did not receive it. Good agent moving risk from a competitor to Markel. No active wildfires within 20 miles. Eff date back to 8/14 with signed no loss.</t>
  </si>
  <si>
    <t>Cains, Peter</t>
  </si>
  <si>
    <t>Newcastle</t>
  </si>
  <si>
    <t>1993 home w/roof and heat updated in 2013. Nice home per photos and online. Pool has no fence but has auto cover. No detail. PC quest answers conflict - gated or not gated? App incomplete-agt pointed out as subjectivity. Medium brush</t>
  </si>
  <si>
    <t xml:space="preserve">Completed app (as you noted)
PC questionnaire - #6 and #7 conflict.  If gated, FD must have access to gate security code.
Provide information about the pool's automatic cover that relieves liability concerns with the pool being an attractive nuisance.
I don't see the cover in the residential listing photos - where is it contained?
How does the cover operate?
When is the cover put in place?
</t>
  </si>
  <si>
    <t xml:space="preserve"> Lund, Colleen</t>
  </si>
  <si>
    <t>Santa Cruz</t>
  </si>
  <si>
    <t>Cov D&gt;100% of C</t>
  </si>
  <si>
    <t>HO6 Seasona/No rental</t>
  </si>
  <si>
    <t>1920 condo w/full updates in 1998. Cov C is only $5K. D is $41,600 reasonable.</t>
  </si>
  <si>
    <t>Revise guidelines so this does not need to be referred in the future.</t>
  </si>
  <si>
    <t xml:space="preserve">Pacific Palisades    </t>
  </si>
  <si>
    <t xml:space="preserve">Discussed higher deductible or rate for this risk. Nice rental. Alison is verifying it is a rental due to discussion w/ realtor who says home is also up for sale. </t>
  </si>
  <si>
    <t>Agreed on $10,000 ded w/ a higher rate if we can sell it. Alison will get copy of lease agreement and tell agent we will inspect to confirm occupancy.</t>
  </si>
  <si>
    <t>Mammoth Creek</t>
  </si>
  <si>
    <t>UT</t>
  </si>
  <si>
    <t>Boles, Penny</t>
  </si>
  <si>
    <t>2006 frame seasonal/no rental. Alarms. Inspection acceptable. App from 2014.</t>
  </si>
  <si>
    <t>Approve subj to current and acceptable app.</t>
  </si>
  <si>
    <t>Kelly</t>
  </si>
  <si>
    <t>Forest Hills Prop</t>
  </si>
  <si>
    <t>Prop is in the name of the LLC, but loan is in the name of one of the LLC members, Gregory Smith. One of the LLC members is Legacy Financial Group LP</t>
  </si>
  <si>
    <t>Approved subj to addl info on Legacy Financial Group LP</t>
  </si>
  <si>
    <t>Raviv, Barak</t>
  </si>
  <si>
    <t>Flat Roof</t>
  </si>
  <si>
    <t xml:space="preserve">1983 roof redone in 2002 w/tar and gravel roof. Reviewed photos - impeccable home!  </t>
  </si>
  <si>
    <t>Approved subject to close review of roof in the inspection.</t>
  </si>
  <si>
    <t>DiSanto, Daniel</t>
  </si>
  <si>
    <t>17 min response time</t>
  </si>
  <si>
    <t>1997 frame in medium brush with alarms. This risk is a 3Y due to no hydrants, so it is a 9. FD is 4.8 miles. Some gravel road, no washout. Fireline shows High 9, mod fuels, no slope, no access issues. Checked fire map. No active fires nearby. Online photos show a gate w/chain (per quest - no gate).</t>
  </si>
  <si>
    <t>Approved subject to confirmation that if there is a gate, the FD has access. Add 5% surcharge for longer response time. (Extra $170). Also 150' brush clear.</t>
  </si>
  <si>
    <t>Rosdahl, Per</t>
  </si>
  <si>
    <t>Calistoga</t>
  </si>
  <si>
    <t>2001 full time rental in brush zone. Actually PC8B. Found online photos which show a vineyard. Photos look "brushy".</t>
  </si>
  <si>
    <t>Asked business questions. Advised if we proceed, need 150' brush clearance.</t>
  </si>
  <si>
    <t>Cosocri Corp</t>
  </si>
  <si>
    <t>Coral Gables</t>
  </si>
  <si>
    <t>FL</t>
  </si>
  <si>
    <t xml:space="preserve">1989 home updated.  Roof only partially in 2011 so agt is adding roof exclusion. </t>
  </si>
  <si>
    <t>Approved subj to acceptable Corporate/LLC form due to business name.</t>
  </si>
  <si>
    <t>Anderson, Robert</t>
  </si>
  <si>
    <t xml:space="preserve">Vale </t>
  </si>
  <si>
    <t>SD</t>
  </si>
  <si>
    <t>Open hail loss</t>
  </si>
  <si>
    <t>Declined due to trend of hail losses. 5% ded would have eliminated one of the three, and cut the other 2 by 50%.  Still a concerning trend.</t>
  </si>
  <si>
    <t>2006 modular home with 3 hail losses, one currently open.  5/13 $37K, 7/15 $12K, 7/16 $30K open.</t>
  </si>
  <si>
    <t>Lake Geneva</t>
  </si>
  <si>
    <t>WI</t>
  </si>
  <si>
    <t>Pillman, Kathleen</t>
  </si>
  <si>
    <t>Wrobel, Harold</t>
  </si>
  <si>
    <t>Pacific Palisades</t>
  </si>
  <si>
    <t>1934 home updated, not sure if gutted. 1 full time live in empl, and 2 others 20 hours a week.  Mrs. Insured is "Nurse Jamie".</t>
  </si>
  <si>
    <t>Can only do a max of 2 employees.</t>
  </si>
  <si>
    <t>Alsabih, Nabil</t>
  </si>
  <si>
    <t xml:space="preserve">Pasadena </t>
  </si>
  <si>
    <t>Scheduled property limits</t>
  </si>
  <si>
    <t>1926 home updated in 2008. PAF &gt;$100K. Jewelry $98,945 ($51,890 ring). Fine arts $54,150.</t>
  </si>
  <si>
    <t>Discussed w/Jeff. Confirm alarms and why rifles are on fine arts. Need appraisals or proof of purchase for all items. Also confirm brush clearance.</t>
  </si>
  <si>
    <t>8/22 reply from Lisa. New owner - no vineyard. Brush is cleared to 150'.</t>
  </si>
  <si>
    <t>Hajj, Walid</t>
  </si>
  <si>
    <t xml:space="preserve"> CA</t>
  </si>
  <si>
    <t>1978 home under construction, no demo. Agent checking to see if we can go over $5M.</t>
  </si>
  <si>
    <t>$5M is a reinsurer limit we can't break. Reviewed risk and it is okay, in the event coverages are re-evaluated.</t>
  </si>
  <si>
    <t>Ando, Steve</t>
  </si>
  <si>
    <t>1995 home updates unknown. Dog breed unknown. Alarms unknown. In brush.</t>
  </si>
  <si>
    <t>Approved subj to breed, alarms.  There is no brush fire within 20 miles.</t>
  </si>
  <si>
    <t>Lwin, Kyaw</t>
  </si>
  <si>
    <t>Contemporary design</t>
  </si>
  <si>
    <t>Lisa wanted to make sure we were okay with the unique design. It is modern, but not over the top.</t>
  </si>
  <si>
    <t>Risk is within Lisa's authority to submit.</t>
  </si>
  <si>
    <t>Bencivengo, Richard</t>
  </si>
  <si>
    <t>Santa Monica</t>
  </si>
  <si>
    <t>Guest house rental</t>
  </si>
  <si>
    <t xml:space="preserve">1941 home updated in 2006. Mailing address is husband's company address. Guest house over detached garage used by family and leased using management co to companies for their employees to stay in (e.g. google). All meets city code. 31 day rental minimum. During address search, found business at this property. (Paintworks &amp; Lace - lists the named insured too). </t>
  </si>
  <si>
    <t>Approve subj to clarification of yes answer to "farming or other business" question on app. Also resolve Paintworks and Lace showing at this address-sent business question list.</t>
  </si>
  <si>
    <t>Lindborg, Charlotte</t>
  </si>
  <si>
    <t>DP1 Stand Alone Oth Str</t>
  </si>
  <si>
    <t>Pollock Pines</t>
  </si>
  <si>
    <t>Insured is rebuilding home after the King Fire 9/15. They have a COC elsewhere.  Other structures are rebuilt and they need coverage.  In brush, 16 min response, no fires nearby.</t>
  </si>
  <si>
    <t>We are getting about 1.00 rate</t>
  </si>
  <si>
    <t>Fisher, Stephen</t>
  </si>
  <si>
    <t xml:space="preserve">Nantucket  </t>
  </si>
  <si>
    <t xml:space="preserve">MA </t>
  </si>
  <si>
    <t>2 prior losses</t>
  </si>
  <si>
    <t>1983 home on Nantucket. Alarms and caretaker. 2 prior losses.  5/16 fridge leak $28K; 3/15 ice dam $67K.</t>
  </si>
  <si>
    <t xml:space="preserve">Loss is for water into basement-fully corrected.  Alarms - agent said "ADT". Wrote back for more detail. Turns out they have CSBT alarms. </t>
  </si>
  <si>
    <t>1985 frame home no update (roof excl per agt). No losses. No alarms per app. Can't read 2012 loss on app.</t>
  </si>
  <si>
    <t>Pioneer Theaters</t>
  </si>
  <si>
    <t xml:space="preserve">Torrance </t>
  </si>
  <si>
    <t>Corporate name</t>
  </si>
  <si>
    <t>Insured is 3 board members who formed a corporation. Home is rented to a 3rd party. No business.</t>
  </si>
  <si>
    <t>Approved - acceptable corporate form and prem liab only.</t>
  </si>
  <si>
    <t>Jordan Family Trust</t>
  </si>
  <si>
    <t xml:space="preserve">Oak Glen </t>
  </si>
  <si>
    <t>1996 home on 26 acres. Very nice photos online. Details about 2 large garages and equestrian facilities.  PC10 - 5 min response, accessible, medium brush.</t>
  </si>
  <si>
    <t>Heinle, Denise</t>
  </si>
  <si>
    <t xml:space="preserve">Sarver </t>
  </si>
  <si>
    <t>1983 home updated. PC10 - 3 miles away, but volunteer FD. Son runs cross fit business in garage - don't know if att or det. Leslie wants to match $3319 prem. Markel is $3489.</t>
  </si>
  <si>
    <t>Need full info on business. If in att garage, can't use Total Biz Excl since it excl Cov A. Would have to do X-liability. With longer response time, I was going to s/c. Can't see meeting Scottsdales prem.</t>
  </si>
  <si>
    <t>Torrence, Jon</t>
  </si>
  <si>
    <t>Murrieta</t>
  </si>
  <si>
    <t>2008 home. No alarms. Responding FD info conflicting between retailer, drive time map, PPC and RM.  In brush. Gated per online photos. Stunning home.</t>
  </si>
  <si>
    <t>Need resp FD name and contact. Do they have gate access? Since no alarms, need $10K theft and AOP ded.</t>
  </si>
  <si>
    <t>Bassiri, Ali</t>
  </si>
  <si>
    <t xml:space="preserve">Encino    </t>
  </si>
  <si>
    <t xml:space="preserve">2007 home. No alarms. NRN due to claim history. Water leak (repaired) and some odd claim: "Neighbor disputing prop lot line". Looks like 2 carriers paid. </t>
  </si>
  <si>
    <t xml:space="preserve">Need to add s/c for Renie fire. Need $10K theft and AOP ded due to no alarms. Need full detail and proof of lot line dispute being settled. </t>
  </si>
  <si>
    <t xml:space="preserve">Noblesville   </t>
  </si>
  <si>
    <t>Pool - no fence</t>
  </si>
  <si>
    <t xml:space="preserve">Ben is asking for exception to our fenced pool rule for a home in PC10, pretty remote.  Pool and home set way back off road, pool not visible. Entire back yard is trees. Top agent.  </t>
  </si>
  <si>
    <t>Issue is, the pool has a diving board which is ineligible. I don't feel comfortable making an exception for that.</t>
  </si>
  <si>
    <t>Need info on use of garages and equestrian exposure. Where on 26 acres are the structures and are they fully accessible by FD?  Per Ben, no farming, no animals. Garages used for insured's own car collection. No horses, no equestrian exposure. Home fully accessible.</t>
  </si>
  <si>
    <t>Downes, Edwin</t>
  </si>
  <si>
    <t>Commercial/Rental</t>
  </si>
  <si>
    <t>Pioneer</t>
  </si>
  <si>
    <t>Café/Deli on 1st floor</t>
  </si>
  <si>
    <t xml:space="preserve">Insured owns building. Lives upstairs. Operates café/deli on 1st floor. </t>
  </si>
  <si>
    <t>Advised Ben since the commercial exposure is the bigger exposure, this should be insured commercially. Markel could write an HO4 for the 2nd floor if there is a separate entrance (not through the restaurant).</t>
  </si>
  <si>
    <t>FD has gate key. FD is County station 75. 11 minute response. Higher ded okay per Kirk.</t>
  </si>
  <si>
    <t>Hopeck</t>
  </si>
  <si>
    <t xml:space="preserve">COC Renovation - remodeling kitchen and bath, adding 1700 SF. Insd staying next door in guest house of neighbor.  $80K pp kept in master bedroom. $5K ded. Fenced, CS fire and burglar. </t>
  </si>
  <si>
    <t>Alice I LLC</t>
  </si>
  <si>
    <t>Insd as AI</t>
  </si>
  <si>
    <t>Home is in the name of an LLC. Retailer wants to add individual insured as an AI. Alison doesn't want to and is asking my opinion.</t>
  </si>
  <si>
    <t>Marked as approved because I agree with Alison's decision to not add the individual. Discussed w/Kirsten.</t>
  </si>
  <si>
    <t>General Inquiry</t>
  </si>
  <si>
    <t>KS</t>
  </si>
  <si>
    <t>Danielle inquiring if we are interested in writing student housing - single family - 4 undergrad students. Owner is friend of agent and says it won't be a party house.</t>
  </si>
  <si>
    <t>Declined due to poor experience w/student housing.</t>
  </si>
  <si>
    <t>Lapins, Denise</t>
  </si>
  <si>
    <t xml:space="preserve">York Beach </t>
  </si>
  <si>
    <t>ME</t>
  </si>
  <si>
    <t>Insured wants to rent to 4 students and their coach.</t>
  </si>
  <si>
    <t>Anderson, Laura</t>
  </si>
  <si>
    <t>Healdsburg</t>
  </si>
  <si>
    <t>1947 home updated but app doesn't show it. Statement from FD indicates 16 minute response time + mutual aid. Clayton fire over 20 miles away as of today. ISO CA Brush Fire Report attached. N/A for brush rating. RiskMeter also attached - medium brush.</t>
  </si>
  <si>
    <t>Approved subj to:  Updates, Brush S/C applied (confused by the ISO CA Brush Fire Report), Confirm 150' brush clearance, Confirm over 20 miles to active fire.</t>
  </si>
  <si>
    <t>Davey, Joshua</t>
  </si>
  <si>
    <t>Castle Rock</t>
  </si>
  <si>
    <t>Open Claim</t>
  </si>
  <si>
    <t>2003 rental. Insd had large hail loss 7/1/16. Roof, windows and siding being repaired in next 90 days weather permitting.</t>
  </si>
  <si>
    <t>With existing damage that could be confused with a new claim, we can't take this on.</t>
  </si>
  <si>
    <t>Krasne, Ira</t>
  </si>
  <si>
    <t xml:space="preserve">Indian Wells </t>
  </si>
  <si>
    <t>3 claims</t>
  </si>
  <si>
    <t>1959 home not updated per app. Water pipe claim, roof damage and water claim, fire claim. 2 yes answers on app - prior cancel, prior bankruptcy in 5 years.</t>
  </si>
  <si>
    <t>Agt added $10K water dmg ded for 2 water losses. Need Fire Marshall report. Need info on 2 yes answers. Advised roof exclusion should be added.</t>
  </si>
  <si>
    <t>Renting for the school year. 3 students 18-20 years old with their coach for hockey camp.</t>
  </si>
  <si>
    <t>Killcommons, Peter</t>
  </si>
  <si>
    <t>Truckee</t>
  </si>
  <si>
    <t>Approved subj to acceptable short term rental quest.</t>
  </si>
  <si>
    <t>Property encroachment claim. 2 carriers were on loss and shared. Letter from Travelers in file. All settled and closed.</t>
  </si>
  <si>
    <t xml:space="preserve">1. We need to understand why the repairs haven't been made.  2. What was damaged, where is the pipe. How could they live without repair.  3. Get name, addr, dob and we can run ins score - telling factor. 4. Concern with mold and unrepaired structure, cleanup? 6. Insd says it will take 6 months to complete everything. ??   Summary-if financially sound and makes sense how they could live without the repair, we could consider. Advised Tamika I am ONLY considering since this is a very good agent of hers. Will take some convincing for us to do it.   </t>
  </si>
  <si>
    <t xml:space="preserve">Westfield </t>
  </si>
  <si>
    <r>
      <t xml:space="preserve">Tamika is seeking approval for a home for one of her best agents. Risk had a water claim with Hartford in Feb 2016-pipe froze and burst. Insd has not repaired - loss is still open. They were paid $25K ACV. </t>
    </r>
    <r>
      <rPr>
        <sz val="11"/>
        <color rgb="FFFF0000"/>
        <rFont val="Calibri"/>
        <family val="2"/>
        <scheme val="minor"/>
      </rPr>
      <t>Unknown</t>
    </r>
    <r>
      <rPr>
        <sz val="11"/>
        <color theme="1"/>
        <rFont val="Calibri"/>
        <family val="2"/>
        <scheme val="minor"/>
      </rPr>
      <t xml:space="preserve"> </t>
    </r>
    <r>
      <rPr>
        <sz val="11"/>
        <color rgb="FFFF0000"/>
        <rFont val="Calibri"/>
        <family val="2"/>
        <scheme val="minor"/>
      </rPr>
      <t>if cashed.</t>
    </r>
    <r>
      <rPr>
        <sz val="11"/>
        <color theme="1"/>
        <rFont val="Calibri"/>
        <family val="2"/>
        <scheme val="minor"/>
      </rPr>
      <t xml:space="preserve"> Receipts not submitted for RC. Online photos look good per Tamika. She would like to write as a builders risk with high ded and hefty premium to help her agent.</t>
    </r>
  </si>
  <si>
    <t>Farah, Michael</t>
  </si>
  <si>
    <t>Hemet</t>
  </si>
  <si>
    <t xml:space="preserve">Endorsement of Cov A from inspection drove this over $3M binding authority. 2005 home w/alarms in brush. PC9. FD 5 miles away. </t>
  </si>
  <si>
    <t>Approved subj to acceptable LLC form.</t>
  </si>
  <si>
    <t>Query, Tommy</t>
  </si>
  <si>
    <t>Colorado Springs</t>
  </si>
  <si>
    <t xml:space="preserve">1999 log home. PC9 on dirt road. Fully accessible. 5 min response. WBS quest ok. </t>
  </si>
  <si>
    <t>Riggs, Conrad</t>
  </si>
  <si>
    <t>Malibu</t>
  </si>
  <si>
    <t>1984 home new purchase. Does not have 150' brush clearance per agent.</t>
  </si>
  <si>
    <t>Approved subj to 150' clearance. Advised Leslie to review mitigation form. We are not calling for total clearing of all vegetation.</t>
  </si>
  <si>
    <t>Saegertown</t>
  </si>
  <si>
    <t>No heat source</t>
  </si>
  <si>
    <t>Guillanme, Beth</t>
  </si>
  <si>
    <t>1950 home updated. Has no heart. Occupancy is by insured's aunt for 6 months over the summer. Home is winterized off season. NRN by prior carrier due to prev insured deeding to daughter, our new insured.</t>
  </si>
  <si>
    <t>Reifman, Irving</t>
  </si>
  <si>
    <t>1961 home updated in 2011 after large water loss. There had been roof damage. During repair, large storm came through and caused extensive water damage. Brushy area, but 250' clearance per agt. Prev w/Fair Plan due to brush. Could be listed as 2011, but agt wants addl prem.</t>
  </si>
  <si>
    <t>Approved subject to: Completed app (some uw questions are blank); 150' brush clearance; addl prem 5-10% - asked Alison to apply.</t>
  </si>
  <si>
    <t>Caldwell, Brian</t>
  </si>
  <si>
    <t xml:space="preserve">Volcano </t>
  </si>
  <si>
    <t xml:space="preserve">1980 home updated. Policy nonrenewed and insd didn't realize it. Lapse since 8/22. In brush. Close to 20 miles from the Mokelumne Fire, but this is a controlled fire for benefit of ecosystem per google. Confirming w/agent. </t>
  </si>
  <si>
    <t>Approved subj to WBS quest and conf of 150' brush clearance.</t>
  </si>
  <si>
    <t>Saundra Bennett Trust</t>
  </si>
  <si>
    <t>Glenville</t>
  </si>
  <si>
    <t>Island</t>
  </si>
  <si>
    <t>2006 frame home w/alarms and sprinkler on Buck Knob Island NC. Unclear of how FD services property.</t>
  </si>
  <si>
    <t>FD is exempt from responding. Declined due to that reason. Sprinkler is not a replacement for the FD and not foolproof.</t>
  </si>
  <si>
    <t>Baker, Rick</t>
  </si>
  <si>
    <t>COC discovered post insp</t>
  </si>
  <si>
    <t>Wrote home in May. Inspection disclosed it was COC. Alex contacted insured and they said 5 days to completion. Checked again, 2 weeks, then said plumbing has an issue.  Wanted to know if he could endorse to COC back to inception.</t>
  </si>
  <si>
    <t>Cooper, Matthew</t>
  </si>
  <si>
    <t>Santa Barbara</t>
  </si>
  <si>
    <t>Renewal TIV</t>
  </si>
  <si>
    <t xml:space="preserve">2005 home insured last year. Renewal TIV is over agents binding authority. </t>
  </si>
  <si>
    <t>Good, Alan</t>
  </si>
  <si>
    <t>Myers Flat</t>
  </si>
  <si>
    <t>26 min resp time</t>
  </si>
  <si>
    <t>2016 frame home PC10 in brush. Volunteer fire department. 26 minute drive time per google search. (Could be longer for fire truck and volunteer response.)</t>
  </si>
  <si>
    <t>Schneider, Steven</t>
  </si>
  <si>
    <t xml:space="preserve">Westlake Village    </t>
  </si>
  <si>
    <t>Insured is film producer</t>
  </si>
  <si>
    <t>Insured Steven Schneider and wife Wendy Rhodes are film producers.  He produced a couple of horror movies - not blockbuster and she produced some older films (including The Wedding Date as a production consultant). Not too famous.</t>
  </si>
  <si>
    <t>Han, Kwang He</t>
  </si>
  <si>
    <t>2 losses - tile roof leak in 2014. $260K toilet line break 5/2016. Damage not completely repaired.</t>
  </si>
  <si>
    <t>Not comfortable with open water damage claims. (mold, undiscovered damage, issue could occur during repair)</t>
  </si>
  <si>
    <t>Stuart, Sean</t>
  </si>
  <si>
    <t xml:space="preserve">Insured requested bind on Saturday but agent's office was closed. Wanted bound 8/28. Hull received request on 8/29.  </t>
  </si>
  <si>
    <t>Agreed to go back to 8/28 with statement of no loss, answer to Q8 on Pg 4 of application, and no fires.</t>
  </si>
  <si>
    <t>Parsa, Atoussa</t>
  </si>
  <si>
    <t>In Renie brush.  2007 home, tile roof. Alarms.</t>
  </si>
  <si>
    <t>Baldwin City</t>
  </si>
  <si>
    <t>2000 frame home on 48 acres of personal land. No farming. No leasing. No animals. Various structures on the 48 acres. FD is mutual aid from 2 departments. Palmyra 4.8 mi; Baldwin 6.1 mi. visible and accessible. Liberty insuring for $7800 w/$5K ded.</t>
  </si>
  <si>
    <t>Verify PC - app says 3. ISO PPC says 9 or 10. Need premium to s/c for longer response time. Confirm why app says "hobby farm".</t>
  </si>
  <si>
    <t>Taheri, Daniel</t>
  </si>
  <si>
    <t>Smoke loss</t>
  </si>
  <si>
    <t>1926 home updated in 2000 not sure if gut/remodel, agent checking. Smoke loss $36K at prior location w/no details. Not in brush area.</t>
  </si>
  <si>
    <t>Need smoke loss detail. Likely too low to need fire marshall report.  App questions not fully answered.</t>
  </si>
  <si>
    <t>Kennedy, Doug</t>
  </si>
  <si>
    <t xml:space="preserve">Boulder    </t>
  </si>
  <si>
    <t>1987 home with chiropractic office on the property w/clients. Insd has a GL. Biz Excl would be added.</t>
  </si>
  <si>
    <t xml:space="preserve">Asked all business questions.  Advised Ashley: If business is in the house it might have to be X-liability, even with the exclusion added.  This profession would be perceived as having deep pockets.  Also, if there were any kind of injury by a client, whether slip and fall, or business related, we would be pulled into it.  We feel much more comfortable if the business is in a separate building.  </t>
  </si>
  <si>
    <t>Witkowski, Anna</t>
  </si>
  <si>
    <t>Pittsburg</t>
  </si>
  <si>
    <t>Retaining wall issue</t>
  </si>
  <si>
    <t>1943 home fully updated. Photos included of severely leaning rear retaining wall. It is contained in a fenced rear yard.</t>
  </si>
  <si>
    <t>Reviewed HO3 language. Collapse would not be covered. Injury would most likely be to a resident, unless there was guest. We can't let it go. Choices are 55 days or 1 year. Discussed w/Jeff. He is sending copy of the Travelers NRN. Understands wall would need to be fixed. Approved subj to repair in 55 days, or cancellation and R/W to policy X-liability. Include existing damage exclusion. Added 20% s/c for total prem of $1540.</t>
  </si>
  <si>
    <t>A flat roof needs a $10K ded, but this one is older so the roof exclusion was applied. Are both needed?</t>
  </si>
  <si>
    <t>Approved with roof exclusion only. The exclusion applies to resulting damage so we should be covered.</t>
  </si>
  <si>
    <t>Roberts, Gary</t>
  </si>
  <si>
    <t>Colfax</t>
  </si>
  <si>
    <t>1973 home updated. 16 minute response time from paid fire department. Accessible. Insured is retired. Woodburning stove. Brush cleared to 100' per insured. Insd has 10 acres.</t>
  </si>
  <si>
    <t>Approved because of 16 min response, dept is paid, insd is retired and could sound an alarm quickly. Need WBS quest and brush cleared to 150'.</t>
  </si>
  <si>
    <t>Brandon Harris</t>
  </si>
  <si>
    <t>Sarver, Karen</t>
  </si>
  <si>
    <t>Gwynn</t>
  </si>
  <si>
    <t>1970 home updated in 2008. Home is on an "island", but there it is more of a peninsula with road access. There is a volunteer FD 2.5 mi away (&lt;10 min) on the "island". Seasonal home but visible to neighbors and accessible.</t>
  </si>
  <si>
    <t>Trust ownership</t>
  </si>
  <si>
    <t>8 trusts jointly own a home that was sold to an individual and rented out. The individual defaulted and the trust is taking it back, letting the renter stay and putting it up for sale. Unknown if titled in 8 trust names or 1. Current tenant gets 60 day notice. Expect slow sale due to location and market.</t>
  </si>
  <si>
    <t>Approved subject to info on titling/named insured. 8 names on a dec or claim check? Discussed that if defaulter is upset, might be less likely to do damage due to tenant occupancy. If tenant is upset, issues would likely be during the 60 day window which we wouldn't be part of.</t>
  </si>
  <si>
    <t>Insured is actor and spouse is film producer. No adverse info. Covg A seems low $260 SF. Renie Brush area. 1942-updated all in 01.</t>
  </si>
  <si>
    <t xml:space="preserve">Los Angeles </t>
  </si>
  <si>
    <t>Tiny house 10449 Scenario Lane</t>
  </si>
  <si>
    <t>Provided tiny house research info.</t>
  </si>
  <si>
    <t>Zarnegin, Bo</t>
  </si>
  <si>
    <t>Agent wants to apply a $25K AOP ded. Due to high value, approved w/ a .78 factor - addl credit of 8%.</t>
  </si>
  <si>
    <t>Melissa S</t>
  </si>
  <si>
    <t>Agent asking to backdate to 7/31 due to vacations and needing to gather addition information.</t>
  </si>
  <si>
    <t>Not a valid reason to backdate.</t>
  </si>
  <si>
    <t>1947 home updated. Roof not updated. FD is 6.6 mi away. Mix paid and volunteer. Some gravel road. Quest completed by FD shows 16 min response. Brush not cleared per PC quest. Barn and chicken coop per online source.</t>
  </si>
  <si>
    <t>Approve subj to roof exclusion, 150' brush clearance, no farm or animal concern.</t>
  </si>
  <si>
    <t>Pena, Jo</t>
  </si>
  <si>
    <t>Riviera</t>
  </si>
  <si>
    <t>TX</t>
  </si>
  <si>
    <t>16 min response time</t>
  </si>
  <si>
    <t>1950 home updated. Coastal seasonal risk. FD is appx. 10 miles away. 15 minute response time per google, but PC quest says 30, likely due to volunteer staff.</t>
  </si>
  <si>
    <t>Response time for seasonal home is outside our comfort level.</t>
  </si>
  <si>
    <t>Kagel, David</t>
  </si>
  <si>
    <t xml:space="preserve">Prior loss </t>
  </si>
  <si>
    <t>1970's home retrofitted. 4 years ago, construction at a nearby park involved sandblasting. Apparently vibrations caused major issues at home as well as covering home in sand/dirt. Issues include: crack to expensive entryway glass, crack in pool, shift to entry gate to prop. $589,000 in damage</t>
  </si>
  <si>
    <t>Odd loss, out of insd control, if there were plumbing or elec issues, seems those would have surfaced by now. All repairs made.</t>
  </si>
  <si>
    <t>Deffenbaugh, Ted</t>
  </si>
  <si>
    <t>Primary HO3</t>
  </si>
  <si>
    <t xml:space="preserve">Los Gatos    </t>
  </si>
  <si>
    <t>Declined due to issues w/home being on national historic register.</t>
  </si>
  <si>
    <t>1917 home updated in 2000 on national historic register. Home has handcarved woodwork and other ornate features. Alarms. App not complete - pg 3 uw quiestions. Per Coldwell Banker site, one of the oth structures is a rental. (May be old info.)</t>
  </si>
  <si>
    <t>Aug</t>
  </si>
  <si>
    <t>2013 home at top of ski slope. Online photos okay. In brush. Full alarms. Seasonal/rental</t>
  </si>
  <si>
    <t xml:space="preserve">Email </t>
  </si>
  <si>
    <t>Cabe, Gwen</t>
  </si>
  <si>
    <t xml:space="preserve">Florissant </t>
  </si>
  <si>
    <t>MO</t>
  </si>
  <si>
    <t>6 losses since 2001</t>
  </si>
  <si>
    <t>1971 home, updates in 2014. Wind 4/01 $10k; wind 4/06 $0; wind 7/06 $1534; Froz pipe 1/14 $127k; Sewer backup 1/14 $20K; Ice dam $951. Jeff suggests $1,000 AOP; $2500-$5000 Wind; $25,000 water damage ded. Exist dmg excl.</t>
  </si>
  <si>
    <t>Diehl, Brad</t>
  </si>
  <si>
    <t>Corunna</t>
  </si>
  <si>
    <t>1995 home with Certified Harley Davidson repair shop in separate building on property. Aerial photo received. Business insured w/another carrier.</t>
  </si>
  <si>
    <t>Corbett, Edward</t>
  </si>
  <si>
    <t>Kelseyville</t>
  </si>
  <si>
    <t>Active knob &amp; tube</t>
  </si>
  <si>
    <t>1910 home mostly updated. Still some active knob and tube. Insured updating within 30 days of possession - there is a contract in place for the job. PC10 6 mi 12 min response accessible. Not in brush</t>
  </si>
  <si>
    <t>Approved subject to a $10,000 deductible which would be immediately reduced upon completion of the wiring.</t>
  </si>
  <si>
    <t>Stokes Family Partnership</t>
  </si>
  <si>
    <t>Orangeburg</t>
  </si>
  <si>
    <t>SC Restriction</t>
  </si>
  <si>
    <t>Agency received bind request the exact minute we emailed our moratorium. Can they bind?</t>
  </si>
  <si>
    <t>1. Pointed out National Weather service already had restriction in place. 2. Since our memo went out, we are considering the restriction in place. 3. Retailers should be aware of possiblity of restrictions, not put things thru under the wire.</t>
  </si>
  <si>
    <t>O'Connor, Lee</t>
  </si>
  <si>
    <t xml:space="preserve">Foresthill </t>
  </si>
  <si>
    <t>2 Pit Bull Service Dogs</t>
  </si>
  <si>
    <t xml:space="preserve">1985 home in brush. Insd has doctor's approval for 2 service dogs for anxiety and depression. Doc is from Army Clinic. </t>
  </si>
  <si>
    <t>Discussed w/Jeff. Since there is possibility of "fraud" with the service dog certification, we want to review each one on its own merit. This one seems legit. Asked Karen for new unique form.</t>
  </si>
  <si>
    <t>Moore, Sonny (Skrillex)</t>
  </si>
  <si>
    <t>1982 dwelling this high profile EDM DJ is providing for his father.  Property only. Liab is elsewhere.</t>
  </si>
  <si>
    <t>Discussed w/Jeff. Since property only and for his dad, we are okay with it.</t>
  </si>
  <si>
    <t>Ray, James</t>
  </si>
  <si>
    <t>Bloomington</t>
  </si>
  <si>
    <t>2003 home, nice online photos. FD is 12 min away, fully paved and accessible. Insured is a surgeon. Had 4 losses. 5/16 wind $1373; 3/16 hail $33,769; 2/15 water $10,087 (frozen pipe); 1/14 water $0 (frozen pipe). Agent added $10K ded. Price within 5% of Cincinnati.</t>
  </si>
  <si>
    <t>Khermandalian, Istifan</t>
  </si>
  <si>
    <t>Bell Valley</t>
  </si>
  <si>
    <t>In high brush per RM and FL. PC10. High value. Not comfortable applying 16% credit to match rate.</t>
  </si>
  <si>
    <t>2009 home in PC10. 13 min response time per google (LAFD #106). In brush. Confirmed High 9 FireLine. Good insurance scores. Markel Prem $8470; Lex $6973. Agent wants to beat Lex. (18% credit)</t>
  </si>
  <si>
    <t>1.Name of business - Dynamic Diagnostics - no website 2.Same address as dwelling.
3.45 feet between business and dwelling.
4.Yes, there is a separate policy for property and GL for the business, and yes the agent controls that business.
*Looks good since separate structure. Approved w/full business exclusion</t>
  </si>
  <si>
    <t>D'Elia, Michael</t>
  </si>
  <si>
    <t>Waretown</t>
  </si>
  <si>
    <t>Backdate</t>
  </si>
  <si>
    <t>Insured left VM on phone of employee no longer with retailer. Message just got to retailer contact and Hull&amp;Co. on 9/6. In coastal NJ, moratorium area.</t>
  </si>
  <si>
    <t>Email w/Jeff. Approved w/statement of no loss.</t>
  </si>
  <si>
    <t>Wood, Jimmie</t>
  </si>
  <si>
    <t>1987 home, nice online photos. In Renie fire zone. Alarms, sprinklers. Insured is musician, most famous a number of years ago per online imdb.</t>
  </si>
  <si>
    <t>Indian Wells</t>
  </si>
  <si>
    <t>1959 home with 3 prior losses. 12/13 fire $55,000; 9/14 roof damage/water $10,000; 1/16 pipe burst $12,285.  $10K water damage ded applied.  Renewal offered by Lloyds but insured didn't accept until 2 weeks after date; they refused to renew. No foreclosure. Insd hasn't been completely responsible, but has 800 range ins score which is good. No updates; need roof exclusion. Asked for fire marshall report.</t>
  </si>
  <si>
    <t>Ellsworth, Anthony</t>
  </si>
  <si>
    <t>Ramona</t>
  </si>
  <si>
    <t>2000 home not in brush. Alarms. Insured has a 2015 chapter 11 bankruptcy from his business. Confirmed this w/ins score in the 10% credit range. Online photos look good.</t>
  </si>
  <si>
    <t>Meyer, Richard</t>
  </si>
  <si>
    <t>Cast iron plumb</t>
  </si>
  <si>
    <t>1930 home with partial cast iron plumbing update done in 1990. Lisa wanted okay to quote excluding water damage.</t>
  </si>
  <si>
    <t>Stephens, Andrea</t>
  </si>
  <si>
    <t>Livermore</t>
  </si>
  <si>
    <t>30 min response</t>
  </si>
  <si>
    <t xml:space="preserve">30 minute response time in Livermore CO.  Seasonal $300K Cov A; $555K TIV.  Not in a brush zone per RM. Fireline shows High-5; Light-med fuels, moderate slope, somewhat limited access. 1994 home very nice online pix. Has a woodstove.  </t>
  </si>
  <si>
    <t>Concern with 30 mins. No alarms, lower value. $1000 AOP $2475 prem. Approved subject to surcharge 20%. Discussed w/Jeff.</t>
  </si>
  <si>
    <t xml:space="preserve">Kidder </t>
  </si>
  <si>
    <t>ND</t>
  </si>
  <si>
    <t>Sorgatz, David</t>
  </si>
  <si>
    <t>Cov B exceeds A</t>
  </si>
  <si>
    <t>$110,000 dwelling with $150,000 garage.</t>
  </si>
  <si>
    <t>Peuma, Inc</t>
  </si>
  <si>
    <t>Charleston</t>
  </si>
  <si>
    <t>Waive minimum earned</t>
  </si>
  <si>
    <t xml:space="preserve">Agent quoted 25% minimum earned on a builders risk and wanted to waive it as project will be completed shortly after renewal of a 3 month pol. Was an annual since May 2015. </t>
  </si>
  <si>
    <t>Advised agent that 25% was a misquote - should have been 100. The 25% will stand. Previously discussed this on another risk that I sent her a copy of.</t>
  </si>
  <si>
    <t>Roumph, Mike</t>
  </si>
  <si>
    <t xml:space="preserve">Denver </t>
  </si>
  <si>
    <t>HO6 Secondary</t>
  </si>
  <si>
    <t>Loss Assessment Rate</t>
  </si>
  <si>
    <t>Agents asking to add exactly $51,500 in Loss Assessment required by Condo Association. Added 5% s/c which doubles the $25K rate.</t>
  </si>
  <si>
    <t>Deffenbaugh, Lauri</t>
  </si>
  <si>
    <t>Los Gatos</t>
  </si>
  <si>
    <t>National Historic Registry</t>
  </si>
  <si>
    <t>Agent submitted for review, but then retracted submission since insured is going to do tours.</t>
  </si>
  <si>
    <t>Asked Jeff if they want to place this with Markel. Asked for detail on what happened and what they have done to mitigate future loss. Turns out insured was out of town and came home to water in basement. The 3 water claims all happened at once due to warm spell with melting ice and rain. Agreed to bind and we go claim free, consider reducing water damage ded in the future.</t>
  </si>
  <si>
    <t>Due to 26 minutes, volunteer, in brush. Retailer came back 9/8 to ask if adding alarms would make a difference. Still not comfortable. Advised Ben.</t>
  </si>
  <si>
    <t>Business on premises; Rent to companies</t>
  </si>
  <si>
    <t>Guest house rented on short term leases to companies (like google). In search, found business on premises. Insured has a part time landscaping consulting business-no employees, no clients. Goes to clients homes.</t>
  </si>
  <si>
    <t>New Direction IRA</t>
  </si>
  <si>
    <t>HO6 Rental</t>
  </si>
  <si>
    <t>Westminster</t>
  </si>
  <si>
    <t>Coverage question</t>
  </si>
  <si>
    <t>Agent wondering if okay to include Personal Injury and ID Fraud on a rental quote. Allison is out of town and Ashley wants to review.</t>
  </si>
  <si>
    <t xml:space="preserve">Approved subject to verification of their Standard Procedure. We are okay with the coverages - could be duplicate from primary and then unnecessary. Asked Ashley to confirm named insured is titled and no other members. </t>
  </si>
  <si>
    <t>Brush area; wood roof</t>
  </si>
  <si>
    <t>New risk. Insp came back showing wood shake roof and wiring issues. In brush zone. Agent sent DNOC. Wiring being fixed, any chance we could stay on a wood roof. It is not a newer roof.</t>
  </si>
  <si>
    <t>Discussed options w/Alison and really we can't do anything. DNOC stands.</t>
  </si>
  <si>
    <t>Rowley, Nicholas</t>
  </si>
  <si>
    <t>Approved pending what is going on with vineyard. If they pay harvesters, may need Total Business Exclusion. Agent quoted 10K AOP due to alarm not monitored. Advised even If they are we need $10K water damage ded due to flat roof.</t>
  </si>
  <si>
    <t>Topanga</t>
  </si>
  <si>
    <t xml:space="preserve">1990 in brush. Insured is trial attorney. Vineyard on property (was a working vineyard w/tastings) but agent says "no business".  Flat roof areas per inspection. Alarms, but not monitored.
</t>
  </si>
  <si>
    <t>Mandell, Yvette</t>
  </si>
  <si>
    <t xml:space="preserve">Newport Beach </t>
  </si>
  <si>
    <t>1999 home in brush. 2 water damage claims from pipe leaks. App says damaged pipes were replaced. No further info, broker checking. State Farm NRN due to losses.</t>
  </si>
  <si>
    <t>Approved w/water damage exclusion</t>
  </si>
  <si>
    <t xml:space="preserve">Ray   </t>
  </si>
  <si>
    <t>Coastal Builders Risk</t>
  </si>
  <si>
    <t>We restrict builders risk within 2 miles of coast. This current policy NCRUA1104104 is currently owner occupied, but they are going to be moving out, renovating kitchen and downstairs. .13 miles from coast.</t>
  </si>
  <si>
    <t>HO3 Seasonal/Builders Risk</t>
  </si>
  <si>
    <t xml:space="preserve">Northern </t>
  </si>
  <si>
    <t>Guest house renovation</t>
  </si>
  <si>
    <t>Home and guest house has been on a Markel HO3 as Builders Risk. Home is done, guest house still under reno. Discussed best approach.</t>
  </si>
  <si>
    <t>3 family home w/1 tenant</t>
  </si>
  <si>
    <t>Knob &amp; Tube</t>
  </si>
  <si>
    <t>Alex has a risk that is on historical registry. Some portion rented out via Airbnb. Insd gives tours, so declined. Turns out, they are just showing the home to people who stay there via Airbnb. Can't really stop that. These are not scheduled general public tours. A</t>
  </si>
  <si>
    <t>Alex to get signed statement and submit for review.</t>
  </si>
  <si>
    <t>Morton, Lan</t>
  </si>
  <si>
    <t>Biloxi</t>
  </si>
  <si>
    <t>MS</t>
  </si>
  <si>
    <t>Current bankruptcy</t>
  </si>
  <si>
    <t>1985 home no update info. Insd in Chapter 13 bankruptcy for 2 years (repayment plan). There was a noncompete w/his business and he was ordered to pay $126K. Had to do chapter 13. Was with Nationwide for 8 years, no issues.</t>
  </si>
  <si>
    <t>Approved. Reviewed ins score. 1.10 factor. All accts under ch 13 okay. Other accounts show no late payments. Roof excl applies due to no update info.</t>
  </si>
  <si>
    <t>Whitelaw, Katrina</t>
  </si>
  <si>
    <t>Sacramento</t>
  </si>
  <si>
    <t xml:space="preserve">1915 home was going to write as DP1 w/Scottsdale, but home is nicer than expcected. Roof/heat update in 2015. Curr has knob &amp; tube which will be replaced by 10/1 move in date. $7500 water dmg ded due to galvanized. </t>
  </si>
  <si>
    <t xml:space="preserve">Approved as builders risk. Provided online site already and pics look nice. </t>
  </si>
  <si>
    <t>Tamika quoted a Lex DP3 for a 3 family vacant home. Now it is going to possibly have 1 tenant. How would we handle?  Has competitor quote for $1200 for the year. She is sending rater over.</t>
  </si>
  <si>
    <t>Karman, Robin</t>
  </si>
  <si>
    <t>TIV/Losses</t>
  </si>
  <si>
    <t xml:space="preserve">1990 3 story townhome used seasonally. Fully alarmed. Indoor pool. Very nice looking home per online pix. Has 3 unrelated water damage losses. 3/14 Sewer $43K; 3/15 AC Failure $16K; 3/15 Ice dam $21K. Agent offering $75K ded. All repairs made. </t>
  </si>
  <si>
    <t>Approed w/ $75K water damage deductible. No water/sewer backup (was req on app).</t>
  </si>
  <si>
    <t>Approved to continue on as builders risk. When complete, will add back in other coverage water backup, mold, ERC. Didn't want to do now since those extend to the guest house. Limited to prem liab. Bobbi called back and asked for OK to add contents - approved.</t>
  </si>
  <si>
    <t>Kern, Robert</t>
  </si>
  <si>
    <t>Response Time</t>
  </si>
  <si>
    <t>1982 dome home. Updated.  16 minute response time on 10 acres. Insd is retired firefighter. Paid FD. Brush zone.</t>
  </si>
  <si>
    <t>We are not comfortable with dome homes, and concern with going over 15 minutes in a brush zone w/heavy trees.</t>
  </si>
  <si>
    <t>Alexandra</t>
  </si>
  <si>
    <t>El Dorado Hills</t>
  </si>
  <si>
    <t>28 minute response time, PC10. There is a closer FD manned during fire season that is 11 mimutes away. Plus a volunteer squad nearby.  Still not liking the 28 minutes.</t>
  </si>
  <si>
    <t>Business in Oth Str</t>
  </si>
  <si>
    <t>Jill has a policy where State Farm is excluding an other structure the insured uses to make jewelry to sell online and at fairs. Will Markel write a stand alone for the building X-liab.</t>
  </si>
  <si>
    <t>The policy language excludes any business out of an other structure. Can't override the policy language. Suggested a commercial policy.</t>
  </si>
  <si>
    <t>Acorn Associates LLC</t>
  </si>
  <si>
    <t>Our rater says 3 tenant units Is ineligible. Not great condition per online photos. Asking Tamika is she wants me to pursue exception.</t>
  </si>
  <si>
    <t>DP3 Stand Alone Structure</t>
  </si>
  <si>
    <t>Appelman, Guy</t>
  </si>
  <si>
    <t>Elephant Butte</t>
  </si>
  <si>
    <t>NM</t>
  </si>
  <si>
    <t>Stand alone other structure</t>
  </si>
  <si>
    <t>Insured has a 2015 5000 SF Garage on a separate structure. It has bath and kitchen to meet code - no living space. Typical contents. Has a bolt lock. Will be adding cellular monitoring alarm. Vacant rate. $1467 premium</t>
  </si>
  <si>
    <t>KY</t>
  </si>
  <si>
    <t>Brown, Richard</t>
  </si>
  <si>
    <t>Insured says bankruptcy due to bank not wanting to refinance home due to motorhome loan so he just told them to take the motorhome back. Info on credit file does not support this. Has score in the 1.50 s/c range. Terrier dog - no other info.</t>
  </si>
  <si>
    <t>Decline due to financial responsibility.</t>
  </si>
  <si>
    <t>Sieford</t>
  </si>
  <si>
    <t>EQ Coverage</t>
  </si>
  <si>
    <t>HUCAH150000877 retailer asked for EQ and home to be bound. Lisa overlooked because no one ever wants EQ. No losses. Eff 8/18. I approved w/no SNL as broker did have the bind request and bound the policy portion of it.</t>
  </si>
  <si>
    <t>Fisher, Francesca</t>
  </si>
  <si>
    <t xml:space="preserve">HO3 Seasonal  </t>
  </si>
  <si>
    <t>Temucula</t>
  </si>
  <si>
    <t xml:space="preserve">2010 alarmed home in high brush. FD is 4 miles away. They have gate access.  Paid FD, 10-15 min response. Not visible, seasonal home.  Property line is &gt;200'. </t>
  </si>
  <si>
    <t>Approved subject to brush clearance to lot line.</t>
  </si>
  <si>
    <t>Habibi Family Trust</t>
  </si>
  <si>
    <t>DP3 COC/Rental</t>
  </si>
  <si>
    <t>COC not complete</t>
  </si>
  <si>
    <t>With Lex, renews 9/26. Final permits expected 10/8. Minor touch up and outside work left. Rent is $25K per month. Would we agree to write as a rental from inception since little work to be done.</t>
  </si>
  <si>
    <t>Hollister, Kenneth</t>
  </si>
  <si>
    <t>Buellton</t>
  </si>
  <si>
    <t>Insured is builder</t>
  </si>
  <si>
    <t>New build. Insured is a self employed contractor. His company would be doing the work.</t>
  </si>
  <si>
    <t>Direction followed by Alison/Alex is we aren't writing these risks. Recently updated guidelines to reflect. Bobbi may not yet have those new guidelines.</t>
  </si>
  <si>
    <t>Jassim</t>
  </si>
  <si>
    <t xml:space="preserve">TIV </t>
  </si>
  <si>
    <t>Clean risk. 2010 renewal Alex is quoting. Doesn't have a new app now.  Reviewed rater and Risk Meter. In brush.</t>
  </si>
  <si>
    <t>McLeskey, Charles</t>
  </si>
  <si>
    <t>Conifer</t>
  </si>
  <si>
    <t>Debris on property</t>
  </si>
  <si>
    <t>Inspection for rental property shows a lot of debris around property. Discussed w/agent. There is a prop mgt co to take care of maint issues. Move gas cans away from house to shed. Liab is for the owner.</t>
  </si>
  <si>
    <t>Approved subj to moving gas cans away from house preferably to shed.</t>
  </si>
  <si>
    <t>Tubi</t>
  </si>
  <si>
    <t>Studio City</t>
  </si>
  <si>
    <t>COC concerns</t>
  </si>
  <si>
    <t>1931 home "updated". Insd doing carpet/paint, moving in, then updating kitchen/bath w/a licensed GC. Info came to agent in increments so she has some concern about what is really going on. Discussed options of when to inspect and if 2 should be done.</t>
  </si>
  <si>
    <t>Decided to inspect immediately w/EHP since none of that is being renovated. Not going to do a 2nd insp unless there is a concern. She is going to get a signed statement that the insd will hire lic gc and that they will fill out the COC form. Giving only prem liab and no contents until moving in.</t>
  </si>
  <si>
    <t>Open water damage claim. $36K reserve, work is just starting. Kemper is nonrenewing eff 9/20/16. Leak in bathroom pipe into rooms on floor below. Loss occurred 8/4.</t>
  </si>
  <si>
    <t>Advised Alex of our concerns with open water damage claims. If they find other issues and we are the insuror, who will it fall back on? (us)  Even with existing damage exclusion, if it is newly discovered issue, still could fall on us.</t>
  </si>
  <si>
    <t>Portillo, Mario</t>
  </si>
  <si>
    <t>Big Bear</t>
  </si>
  <si>
    <t>Loss - Renewal</t>
  </si>
  <si>
    <t>HUCAH 150000081 Bobbi wanted me to review file that had a prior Backup loss. She did not include water backup and added in the loss. All looks in order.</t>
  </si>
  <si>
    <t>1283 Greenwich LLC</t>
  </si>
  <si>
    <t>San Francisco</t>
  </si>
  <si>
    <t>3 story dwelling gut and remodel. Not in brush. There were a couple of online references to this being a open lot with a custom builder offering to build a home here, but this was dispelled by the agent w/architect plans.</t>
  </si>
  <si>
    <t>Taylor, Robert</t>
  </si>
  <si>
    <t xml:space="preserve">Idaho Falls </t>
  </si>
  <si>
    <t>Bankruptcy and Claims</t>
  </si>
  <si>
    <t>1960 home w/updates. Has 4 losses in 2016 - toilet backup, food spoilage, water line hole, roof leak.  Has 1 bankruptcy per app, but found 2 bankruptcies on ins score report - 10/11 and 6/13.</t>
  </si>
  <si>
    <t>Advised Ben with 2 bankruptcies and 4 claims in current year there are concerns with the risk - insured's ability to maintain home, etc.</t>
  </si>
  <si>
    <t>Pullin, James</t>
  </si>
  <si>
    <t>Gulfport</t>
  </si>
  <si>
    <t>1994 home - new purchase. Insured has a bankruptcy. Does not want to give ss# and dob as he doesn’t want hits on his credit report. Confirmed with Lex/Nex that it will show as an inquiry.</t>
  </si>
  <si>
    <t>Unable to help. Suggested the customer ck w/bank to ask if ins co inquiry would reflect negatively.</t>
  </si>
  <si>
    <t>Peterson, James</t>
  </si>
  <si>
    <t>Thousand Oaks</t>
  </si>
  <si>
    <t>1994 home not in brush. NRN question = yes. Not explained. 1/16 pipe break. 7/16 elderly mother of friend fell inside house. $70K reserve - still going through therapy.</t>
  </si>
  <si>
    <t xml:space="preserve">Approve subj to verif the NRN was due to losses and not something else. </t>
  </si>
  <si>
    <t>Anderson, Martin</t>
  </si>
  <si>
    <t xml:space="preserve">2008 frame home not in brush. Alarms. Online photo look good. </t>
  </si>
  <si>
    <t>Irwin, Robert</t>
  </si>
  <si>
    <t>Vista</t>
  </si>
  <si>
    <t>5 losses</t>
  </si>
  <si>
    <t>1990 frame home. Not in brush. Insd has 5 losses.  2 are car break-ins. 3 are water leaks - bedroom pipe, bathroom pipe, and slab leak. Insured had plumbing completely replaced in 2016. Agent quoting $25K water damage.</t>
  </si>
  <si>
    <t>Margil, Richard</t>
  </si>
  <si>
    <t>Sharon</t>
  </si>
  <si>
    <t>Business in home</t>
  </si>
  <si>
    <t>1983 home. Per submission:   "Insured is a chiropractor and sees a few clients a month at his home. Has another office."  Per internet info, the insured's address is listed as the address of their 2nd location. Has office hours and a separate phone number.</t>
  </si>
  <si>
    <t>Send business on prop questions to Leslie and gave her the website and info I found. I can consider, but it is concerning to have a med practice business even with the biz exclusion. Also, people coming to a chiro may have mobility issues. (more likely to slip &amp; fall?)</t>
  </si>
  <si>
    <t>House, Eric</t>
  </si>
  <si>
    <t>Santa Ana</t>
  </si>
  <si>
    <t>Insured was self insuring the new build. Now they are getting a loan and need a policy. General contractor and professional build - high value. Agent added 15% surcharge due to no prior.</t>
  </si>
  <si>
    <t>Wong, Jimmy</t>
  </si>
  <si>
    <t>South Lake Tahoe</t>
  </si>
  <si>
    <t>Backdate 1 day</t>
  </si>
  <si>
    <t>Insured closed on 9/15/16, bind request came in 9/16/16. All in order. Roof exclusion applied as date of update is not known. Retailer completed an evidence of insurance. Online photo looks like woodstove pipe and the older home quest mentions it.</t>
  </si>
  <si>
    <t>Approved subject to an acceptable woodstove quest. Also asked agt if retailer has binding authority. If not, they should not complete Evidence of Ins documents.</t>
  </si>
  <si>
    <t>Ash, James</t>
  </si>
  <si>
    <t>Prior carrier Fair Plan</t>
  </si>
  <si>
    <t>1986 home previously w/Fair Plan. No longer there as home was too underinsured. Insured is a doctor.</t>
  </si>
  <si>
    <t>Approved subj to reason the home was w/Fair Plan. If brush, okay. Other reason, let me know.</t>
  </si>
  <si>
    <t>Crescent Court LLC</t>
  </si>
  <si>
    <t>DP3 Rental/Bldrs Risk</t>
  </si>
  <si>
    <t>Builders Risk 2 townhomes</t>
  </si>
  <si>
    <t>2 townhomes (37 - 39 Crescent Court). 2 sep units ground up construction. Will be rented out. Advised to rate as 2 separate units.</t>
  </si>
  <si>
    <t>Boal</t>
  </si>
  <si>
    <t xml:space="preserve">Prior loss  </t>
  </si>
  <si>
    <t>This is a vacant home with a decent rate. There is a loss that came up in loss runs. It was declined. It does not appear there was damage. Insured discovered a tree root in the septic line. Discussed and Alex will attempt to apply 1/2 a loss surcharge.</t>
  </si>
  <si>
    <t>Approved w/some rate increase since there was a loss filed, there would have been some expense involved.]</t>
  </si>
  <si>
    <t>Hernandez</t>
  </si>
  <si>
    <t>Sub-leased rental</t>
  </si>
  <si>
    <t xml:space="preserve">Our proposed insured has a rental home leased to a tenant. That tenant is sub-leasing to another family. </t>
  </si>
  <si>
    <t>We have no control over the exposure.</t>
  </si>
  <si>
    <t>Ramos, Philip</t>
  </si>
  <si>
    <t>Wolcott</t>
  </si>
  <si>
    <t>Response Time 25 minutes</t>
  </si>
  <si>
    <t>1999 frame home w/stucco. No brush. Low brush per FireLine. No alarms, but insd has interior sprinkler. Response time 25 minutes. 16 miles away, part dirt road in good condition.  Chubb nrn due to distance to FD.  40 acres. Possible flat roof per photos.</t>
  </si>
  <si>
    <t>Approved subject to confirmation home is accessible on the 40 acres. If there is a flat roof a $10K water dmg ded applies.</t>
  </si>
  <si>
    <t>Flagged for Audit</t>
  </si>
  <si>
    <t>X</t>
  </si>
  <si>
    <t>Mullins Property Co</t>
  </si>
  <si>
    <t>DP3 Seasonal</t>
  </si>
  <si>
    <t>Almont</t>
  </si>
  <si>
    <t>1994 log garage used seasonally with the home across the street. Storage is normal garage items. Deadbolt. 6B but agent rated 10. Applied $5,000 theft ded.</t>
  </si>
  <si>
    <t>Melody, Inc.</t>
  </si>
  <si>
    <t>2016 duplex rental, currently only 1 unit is occupied. Advised agent full time rental rate is acceptable if the unit is expected to be occupied. Not in brush zone.</t>
  </si>
  <si>
    <t>Allowed offering of terms subj to fire marshall report which I must review to approve final terms.  Agent emailed back on 9/20. Turns out the $10K roof/water loss was actually $260,000. Agent had wrong info entered in system. I googled and this was a freak storm on the tail end of a hurricane.  There is an 82 page county report about it.  Approved w/terms as is. Advised still need fire marshall report.  Received on 9/20. Cause is undetermined but no human interaction noted. Appears to support insd's report that stored materials started on fire.</t>
  </si>
  <si>
    <t>Singleterry, Howard</t>
  </si>
  <si>
    <t>B&amp;B?</t>
  </si>
  <si>
    <t>Agent wondering if we write B&amp;B.</t>
  </si>
  <si>
    <t>Advised we don't have a program for them, but if there was enough demand we could look at something for future risks.  If only 3-4 rooms rented out, we could do this X-liability. Total Business Excl not a good application when biz is in the home since Cov A is excluded.</t>
  </si>
  <si>
    <t>Boughey</t>
  </si>
  <si>
    <t>Renewal expired</t>
  </si>
  <si>
    <t>Policy renewal with Markel expired on 9/2.  Insured has been traveling for a couple of weeks and missed the email from the agent letting them know.  Has been a good risk. Agreed to renew with no lapse with signed statement of no loss.</t>
  </si>
  <si>
    <t>Discussed procedure w/Jeff. Exception basis, need "valid" explanation. Reiterated procedure via email with Alex.</t>
  </si>
  <si>
    <t>Wiggins, John</t>
  </si>
  <si>
    <t>Norwood</t>
  </si>
  <si>
    <t>400 acres hunted/TIV</t>
  </si>
  <si>
    <t>2003 home remodeled. 400 acres fenced. Insd/fam/friends hunt and fish. PC10 high brush-6 per RM Confirmed 3.7 mi to FD per PPC I ran. Wants $150K in mounts</t>
  </si>
  <si>
    <t>Malmaison LLC</t>
  </si>
  <si>
    <t>Short term model home</t>
  </si>
  <si>
    <t xml:space="preserve">2016 vacant model w/$100K personal property. </t>
  </si>
  <si>
    <t>Approved subject to confirmation of security. Kept locked, managed tours, alarm.</t>
  </si>
  <si>
    <t>Approved - add some premium if we can. Apps and other info came in 9/21. Reviewed and acceptable. Offered a 9% credit for the $25,000 deductible.</t>
  </si>
  <si>
    <t>Yehoda, Yaron</t>
  </si>
  <si>
    <t>TIV/Vacant</t>
  </si>
  <si>
    <t>2016 vacant home alarms. 6 month short term. Agent surcharged 10%. Wanted 25K AOP option. Online photos - amazing!</t>
  </si>
  <si>
    <t>9% credit for $25,000 AOP deductible.</t>
  </si>
  <si>
    <t>Asked slew of questions about use of property. Advised can't do SPP. Will need $10K AOP or add fire alarm.  Got all answers back and all are acceptable.  Approved w/$10K AOP ded or fire alarm.</t>
  </si>
  <si>
    <t>Haspel, John</t>
  </si>
  <si>
    <t>New Orleans</t>
  </si>
  <si>
    <t>TIV/Open Claim</t>
  </si>
  <si>
    <t>1910 frame/log home with updates. Alarms. Open loss due to leaking shower pan in master. $50K. Should be closed by end of month. NRN due to claim.</t>
  </si>
  <si>
    <t>Approved/Subj to all of the work being completed and just pending for subro or final payout. If any work left to be done, please advise details of what is left (concern with finding other damage).</t>
  </si>
  <si>
    <t>Wallace, Aaron</t>
  </si>
  <si>
    <t>San Juan</t>
  </si>
  <si>
    <t>1999 home updated in brush, no losses.  Volunteer FD is 3 miles away with a 4 minute response time. Backup 24 hour paid FD is 24 miles away w/40 min response time. Fully accessible.</t>
  </si>
  <si>
    <t>Approved due to very close Volunteer FD.</t>
  </si>
  <si>
    <t>Bettcher, Paul</t>
  </si>
  <si>
    <t>1926 frame home updated in 2002. Agent email says log. App and photo show stucco. Not in brush. 2 losses - 11/15 tree limb damaged neighbors property. 9/13 wind dmg to fence.</t>
  </si>
  <si>
    <t>Finley, Joy</t>
  </si>
  <si>
    <t>Add Addl Insured</t>
  </si>
  <si>
    <t>Approval to add LLC as AI to policy. Leslie found out it is the insured's LLC. Reviewed questionnaire.</t>
  </si>
  <si>
    <t>Amstutz, Edward</t>
  </si>
  <si>
    <t xml:space="preserve">Elizabeth </t>
  </si>
  <si>
    <t>IL</t>
  </si>
  <si>
    <t>Camp/Farm on property</t>
  </si>
  <si>
    <t>Insured operates a camp/farm for kids, insured commercially w/Markel thru Burns.</t>
  </si>
  <si>
    <t>8B?</t>
  </si>
  <si>
    <t>PC 9-LLC</t>
  </si>
  <si>
    <t>Requested confirmation of PC as FD listed as over 5 miles from home, but agt listed as 8B and referred as PC 9</t>
  </si>
  <si>
    <t xml:space="preserve">PC 9, LLC-established to buy/sell homes, 6 min response time per agt email, but per risk meter FD 8.6 miles away. Home currently secondary home, but will be sold or rented next yr. Requested agt confirmation on FD. </t>
  </si>
  <si>
    <t>Union Hall</t>
  </si>
  <si>
    <t>Coves 7, LLC</t>
  </si>
  <si>
    <t>Miller, Richard</t>
  </si>
  <si>
    <t>H03</t>
  </si>
  <si>
    <t>Placerville</t>
  </si>
  <si>
    <t>FD change at renewal</t>
  </si>
  <si>
    <t>BWH105097-12179170, renewal came back with updated FD info, PC 10 with response time 17 minutes</t>
  </si>
  <si>
    <t>Agreed best to offer DNOC due to change in risk</t>
  </si>
  <si>
    <t>Aburey, Frank</t>
  </si>
  <si>
    <t>Response time over 15 min</t>
  </si>
  <si>
    <t>PC 10, in brush, no losses, questionnaire, app, map attached; 2002 build year. 16 minute response time. Reviewed Fireline and came back "high"; FD is volunteer</t>
  </si>
  <si>
    <t>Durharra LLC</t>
  </si>
  <si>
    <t>HO3-Secondary</t>
  </si>
  <si>
    <t>Green Pond</t>
  </si>
  <si>
    <t>Hunting on property</t>
  </si>
  <si>
    <t>Insured may hunt with friends on property</t>
  </si>
  <si>
    <t>No payment to hunt on prop; insured will always be w/ guests, 74 acres, not stocked with any animals. Discussed taking some addt'l premium if we are able to do so and remain competitive.</t>
  </si>
  <si>
    <t>1247 Hilldale Ave, LLC</t>
  </si>
  <si>
    <t>Rental</t>
  </si>
  <si>
    <t>West Hollywood</t>
  </si>
  <si>
    <t>Coverage A increase to $3,900,000</t>
  </si>
  <si>
    <t>Segar, Peter &amp; Jean</t>
  </si>
  <si>
    <t>Murietta</t>
  </si>
  <si>
    <t>PC 10, in brush, questionnaires and risk meter</t>
  </si>
  <si>
    <t xml:space="preserve">"Extreme" per Fireline, w/in 1 mile of Renie </t>
  </si>
  <si>
    <t>Philip, Bacie George</t>
  </si>
  <si>
    <t>Santa Maria</t>
  </si>
  <si>
    <t>build year 1940, no heating system update</t>
  </si>
  <si>
    <t>all other systems updated, heating serviced but never needed to be updated</t>
  </si>
  <si>
    <t>reviewed 2015 weather, avg temp always above freezing. approved subject to inspection of heat system to ensure in acceptable working order</t>
  </si>
  <si>
    <t>Blank, Christopher</t>
  </si>
  <si>
    <t>Dp3-Vacant</t>
  </si>
  <si>
    <t>Laguna Beach</t>
  </si>
  <si>
    <t>Deed not in applicant name</t>
  </si>
  <si>
    <t>insured is attorney, appointed receiver of property; closing in December</t>
  </si>
  <si>
    <t>requested background info that led to appointment, and what appointment entails</t>
  </si>
  <si>
    <t>Was rental, became builders risk and agt forgot to get approval before accounting for $1mil of renovations. Renewing 09/25, all questionaires attached.</t>
  </si>
  <si>
    <t>Reviewed docs and fireline; Approved subject to reinspection. Castle inspection from 2015 was -42% less ($1,647,000) than coverage a value. Agt stated left at higher amount due to e2value completed by agt. Discussed castle inspection more accurate, so need to use coverage a amount of next inspection, regardless of e2value, as appears $2.8 may be all that is needed</t>
  </si>
  <si>
    <t>Be sure home insured to value. Possibly overinsured more than $1MIL</t>
  </si>
  <si>
    <t>Fuchs, Michael</t>
  </si>
  <si>
    <t>Mill Valley</t>
  </si>
  <si>
    <t>TIV over $3Mil</t>
  </si>
  <si>
    <t>theft loss in 2014 for $85K, has installed central alarm. Theft ded quoted same as AOP ($2500)</t>
  </si>
  <si>
    <t>ran fire line (high); advised consideration with $25K ded, questioned business on premise. Customer self-employed, company info links to home address</t>
  </si>
  <si>
    <t>per Alex, agt didn't want higher ded so not pursuing</t>
  </si>
  <si>
    <t>Shorecliffs, LLC</t>
  </si>
  <si>
    <t>HO3-rental/BR</t>
  </si>
  <si>
    <t>Corona Del Mar</t>
  </si>
  <si>
    <t>LLC/change in risk</t>
  </si>
  <si>
    <t xml:space="preserve">Insured buying home, renting to seller for short time, then renovating, Agt proposing HO3-rental then switch to BR. LLC -Mohrhoff Family Trust, Roger A Mohrhoff, Trustee is the owner of Shorecliffs, LLC.  No other assets </t>
  </si>
  <si>
    <t>approved subject to acceptable LLC questionaire as none attached</t>
  </si>
  <si>
    <t>k.burdine</t>
  </si>
  <si>
    <t>applicant not deeded owner, was appointed by court to deal w/sale of the home; but not the HO (HO has lien on home). Not enough insurable interest of applicant</t>
  </si>
  <si>
    <t>Laura Adhikari</t>
  </si>
  <si>
    <t>1997 owner occ. Insrd is a Dr. No brush, no losses. 25% credit was applied to beat competing terms. Ran AAL and we are looking good premium wise. No other concerns.</t>
  </si>
  <si>
    <t>Approved. Even with the 25% credit we are collecting more than enough prem.</t>
  </si>
  <si>
    <t>Williams, Donald</t>
  </si>
  <si>
    <t>Kissimmee</t>
  </si>
  <si>
    <t>Business Exposure; lapse over 180 days</t>
  </si>
  <si>
    <t>Y fork in road, one side leads to business office (no foot traffic), other side leads to home. Occasional fixing of their business cars in the other structure. When home deed to insured after passing of father, had trouble secruing insurance so accepted force placed. Mortgage to be paid off, so now wants coverage.</t>
  </si>
  <si>
    <t xml:space="preserve">Approved; CGL pol in place for business exposured-advised approval subject to maintaining that cov. Great insurance score. Reviewed with mgr and agreed ok with former forced placed coverage. </t>
  </si>
  <si>
    <t>Penny</t>
  </si>
  <si>
    <t>Winters, Charles</t>
  </si>
  <si>
    <t xml:space="preserve">Ocean Springs </t>
  </si>
  <si>
    <t>2007 home over Penny's authority - Jerrold is out of the office. App looks great. Value provided-looks okay. Online photos good.</t>
  </si>
  <si>
    <t>Sullivans Island</t>
  </si>
  <si>
    <t>Rate reduction?</t>
  </si>
  <si>
    <t>Alia quoted 8220 w/Markel and is looking for match of $7100.  AAL wind rate only is 6374. non-wind is around 2500.</t>
  </si>
  <si>
    <t>Can't match the rate.</t>
  </si>
  <si>
    <t>Chowdhury, Shahnewaz</t>
  </si>
  <si>
    <t xml:space="preserve">HO3 Primary </t>
  </si>
  <si>
    <t xml:space="preserve">Agoura Hills </t>
  </si>
  <si>
    <t>Address not found on google</t>
  </si>
  <si>
    <t>2015 home in development w/20 houses. Comes up on all real estate sites. Insp okay. 100' brush clearance to property line. NRN by prior carrier due to trampoline.</t>
  </si>
  <si>
    <t>Subj to trampoline exclusion (mandatory anyway) and #8 question on app completed.</t>
  </si>
  <si>
    <t>Watson, Jacob</t>
  </si>
  <si>
    <t>Lower Lake</t>
  </si>
  <si>
    <t xml:space="preserve">Brush area  </t>
  </si>
  <si>
    <t>2016 home in 8B, FD 5 miles away. High brush. Agent added 20% to quoted rate.</t>
  </si>
  <si>
    <t>Subj to 150' clearance and fully completed app.</t>
  </si>
  <si>
    <t>Brian</t>
  </si>
  <si>
    <t>Grier, Betty</t>
  </si>
  <si>
    <t xml:space="preserve">Falmouth </t>
  </si>
  <si>
    <t xml:space="preserve">Insured operates an in home beauty salon.  </t>
  </si>
  <si>
    <t>We're not a good market since we would have to use business exclusion, leaving them w/no coverage.</t>
  </si>
  <si>
    <t>Evans, Theresa</t>
  </si>
  <si>
    <t>1800 home undergoing renovation. Agent looking for $0.75/rate. Came in at $24,587 total, more than Markel quote.</t>
  </si>
  <si>
    <t>Can't reduce rate below quote of $18,922</t>
  </si>
  <si>
    <t>Spaak, Jillian</t>
  </si>
  <si>
    <t>No heating system</t>
  </si>
  <si>
    <t>1945 risk with no heater.</t>
  </si>
  <si>
    <t>Checked historic weather in Malibu. There has never been a recorded day of temps below 33 degrees.</t>
  </si>
  <si>
    <t>Asked numerous business questions to establish separation and ensure buildings we cover are not used in business. With Total Business Exclusion, there is no coverage for any buildings that are mixed use.  9/30/16 All checks out.</t>
  </si>
  <si>
    <t>Gilman, Laura</t>
  </si>
  <si>
    <t>HO3 Secondary/Rental</t>
  </si>
  <si>
    <t>Rental company (generic airbnb type) demanding they be added as additional insured.</t>
  </si>
  <si>
    <t>Reviewed w/ Alex who does not want to offer to list them at all.  Really no interest at all in being Addl Insured. Also no reason to list as Addl Interest (even though no coverage). They just connect renters to the property. They are not managing anything.</t>
  </si>
  <si>
    <t>Yolles, Richard</t>
  </si>
  <si>
    <t>Approved subject to $15K ded per discussion with Jeff. No schedule.</t>
  </si>
  <si>
    <t>Maddux, Jeremy</t>
  </si>
  <si>
    <t>2002 frame home in brush PC10. 21 minute resonse time.</t>
  </si>
  <si>
    <t>1990 home updated and repaired after 2 hail losses. Also had scheduled jewelry loss. Mys dis.</t>
  </si>
  <si>
    <t>Product/Occupancy</t>
  </si>
  <si>
    <t>Sep</t>
  </si>
  <si>
    <t>&lt;1/4/2016</t>
  </si>
  <si>
    <t>Countis, Tom</t>
  </si>
  <si>
    <t>1982 home, no updates listed. Slate roof. Nice online photos. Expires w/Lloyds 10/5. In brush. Alarms. No answer to biz on prem app uw question.</t>
  </si>
  <si>
    <t>Approved - need answer to app question.</t>
  </si>
  <si>
    <t>Tribull, Cristoph</t>
  </si>
  <si>
    <t>Approved - verify Cov A. Verify no public traffic.</t>
  </si>
  <si>
    <t>1938 home complete update in 2013. Alarms, in brush. Previously sold for $18M, but it is quite a property w/pool, tennis court.  $328/SF on the home should be adequate.  Yes to business on app-says he manages own investments. There was a questionable online article w/this insured's name, but no way to confirm it was him and it was from 1986 http://articles.latimes.com/1986-05-06/business/fi-4256_1_allegations</t>
  </si>
  <si>
    <t>Vacher, Robert</t>
  </si>
  <si>
    <t xml:space="preserve">Susanville   </t>
  </si>
  <si>
    <t>Warehouse w/apartment</t>
  </si>
  <si>
    <t>1930 warehouse updated in 1996. 900+ SF apartment in the warehouse which is used personally as a garage. Roof update ?? 2 layers of tin.  No PC provided. Part of Susanville is PC10. Asked Jill to verify brush and PC and response time.</t>
  </si>
  <si>
    <t>Approved - verify roof update, verify PC and response time.</t>
  </si>
  <si>
    <t>2 duplexes COC</t>
  </si>
  <si>
    <t>Agent does not usually write more than 3 rental units. Would we take 4.</t>
  </si>
  <si>
    <t>Mutually agreed this was more than we would do, even though on a COC.</t>
  </si>
  <si>
    <t>Schroff &amp; Bristol</t>
  </si>
  <si>
    <t>COC 3-4 months vacant</t>
  </si>
  <si>
    <t xml:space="preserve">Approve subj to vacancy form added (created a new form w/compliance). Write at current value until gutted, then increase to completed value. MFRC and water damage ded being applied by agent. </t>
  </si>
  <si>
    <t>Insured renovating 1939 home (has a 1997 roof). Will be vacant 3-4 months while insured works out building plans. Then will gut and rebuild. This is from Alex's best agent.</t>
  </si>
  <si>
    <t>Answer Network Cypress Inc.</t>
  </si>
  <si>
    <t>DP3 Secondary/Rental</t>
  </si>
  <si>
    <t>DP3 Secondary/Rental in the name of 2 corporations.</t>
  </si>
  <si>
    <t>Asked for corp supp app and asked several other questions. Need to determine if this is residential use or commercial.</t>
  </si>
  <si>
    <t>Rental on prop w/mobile home</t>
  </si>
  <si>
    <t>Eligible rental cottage, but it is on the same property (same address) as a mobile home.</t>
  </si>
  <si>
    <t>Approved X-Liability if there is min of 15' from mbl hm. If unable to extend from SF policy, we need to know separation and if it is well apart and defined space from mbl home, may consider liab.</t>
  </si>
  <si>
    <t>Moossaian</t>
  </si>
  <si>
    <t xml:space="preserve">La Canada </t>
  </si>
  <si>
    <t>2014 home alarms. Nice online photos. Insured is a realtor. This appears to be a new purchase.</t>
  </si>
  <si>
    <t>Mendino, Joseph</t>
  </si>
  <si>
    <t>Pleasant Prairie</t>
  </si>
  <si>
    <t>Approved subj to confirmation of personal use of structures, no hay or other flammable storage.</t>
  </si>
  <si>
    <t>1960 home tenant occupied and sometimes property is used for fishing by owner. 3 oth structures exceed 50% of Cov A.  (garage and 2 barns). There is corn grown on the property. No mention of animals or what the barns are used for. No liability requested. Lapse - agent applying ded and getting SNL.</t>
  </si>
  <si>
    <t>Covg B limit / &gt;25 acres</t>
  </si>
  <si>
    <t>Emerson/Sweet</t>
  </si>
  <si>
    <t>Turns out home is 30-50 feet away and has a separate drive. SF won't extend liab. Alex allowed at $500k ded. Advised a condition is that a policy stay in force with liab.</t>
  </si>
  <si>
    <t>Railings?</t>
  </si>
  <si>
    <t>Melissa had several photos of stairs w/no railing. We discussed and decided they were not needed.</t>
  </si>
  <si>
    <t>Jebef, Elizabeth</t>
  </si>
  <si>
    <t xml:space="preserve">Insured has a prior total loss due to lightning - house burned to the ground. $1.1M loss. Occurred 7/18/15. They are just now rebuilding. Home was only a few years old. Rebuilding from ground up. $1.5M cov A. </t>
  </si>
  <si>
    <t>Taylor, Bruce</t>
  </si>
  <si>
    <t>HO3/Secondary</t>
  </si>
  <si>
    <t xml:space="preserve">Silverthorne </t>
  </si>
  <si>
    <t>lapse over 90 days</t>
  </si>
  <si>
    <t>secondary home 6 months, rented 6 months, so short term rental included. Allowed pol to cancel 06/13 while travelling.  Log home, 1963 build, metal roof, requesting personal liab</t>
  </si>
  <si>
    <t>confirmed rated as log, agt added 2% surcharge for lapse. UW Requesting 5% if able to stay competitive. Subject to ensuring metal roof excludes or limits cosmetic damage.</t>
  </si>
  <si>
    <t>Guarna, Nicola</t>
  </si>
  <si>
    <t>HO3 Rental/COC</t>
  </si>
  <si>
    <t>Insured is domestic partner of Robert Rodriguez, fashion designer. No concerning info online. Not too famous. Home will be rented back to sellers for 2 months and then renovated. Probably a 1 year policy and then it will move to admitted. $10K ded will be applied if no alarms. $10K water ded applied as we don't know about plumbing updates.</t>
  </si>
  <si>
    <t>Paden, Diane</t>
  </si>
  <si>
    <t>Mesa</t>
  </si>
  <si>
    <t>8 claims</t>
  </si>
  <si>
    <t>1982 frame condo with 7 water claims and 1 liab claim. 4 water claims are the insureds. Others, she was advised by her agent to file when a neighbor had a loss. There is one liab claim with $0 paid. Agent proposes $5K water dmg ded.</t>
  </si>
  <si>
    <t>Browning Family Trust</t>
  </si>
  <si>
    <t>Uninsured</t>
  </si>
  <si>
    <t>Confusion on getting insurance for new COC, risk has been uninsured since work started in January. Risk will be completed in March 2017, 40% complete. In trust name - 5 families. Liab requested.</t>
  </si>
  <si>
    <t>Approved subject to 20% s/c (appx $200) due to coming in the middle of construction. Prem liab only okay due to 5 families in trust.</t>
  </si>
  <si>
    <t>Garrison, Robert</t>
  </si>
  <si>
    <t>Lyndhurst</t>
  </si>
  <si>
    <t>Prior owner foreclosure</t>
  </si>
  <si>
    <t>Insured was living in home, found out it was a foreclosure. Acquired from bank and is remodeling.</t>
  </si>
  <si>
    <t>Looney, Steve</t>
  </si>
  <si>
    <t>Open foundation</t>
  </si>
  <si>
    <t>Not a risk we want.</t>
  </si>
  <si>
    <t>Inspection shows home with open foundation.</t>
  </si>
  <si>
    <t>Jahromi, Babak</t>
  </si>
  <si>
    <t>Dillon</t>
  </si>
  <si>
    <t>90 day lapse</t>
  </si>
  <si>
    <t>2008 frame home w/ metal roof. Insd is Microsoft Architect from Stamford CT. Risk was w/Chubb. They increased dwelling amount and mortgage co didn't pay, pol canc for non-pay. 5% lapse s/c added</t>
  </si>
  <si>
    <t>Approved subj to obtaining a signed statement of no loss.</t>
  </si>
  <si>
    <t>SB Irish Crossing LLC</t>
  </si>
  <si>
    <t xml:space="preserve">South Bend </t>
  </si>
  <si>
    <t>Unique rental</t>
  </si>
  <si>
    <t>Owned by football player and former teammates. Used as upscale tailgate condo and also sold as exclusive package for high prices. Matt uncovered this information online.</t>
  </si>
  <si>
    <t>Approved subj to $3K prem and $2500 AOP and $5000 theft deductible per our discussion.</t>
  </si>
  <si>
    <t>Jensen, Jean</t>
  </si>
  <si>
    <t>Borego Springs</t>
  </si>
  <si>
    <t>Tiv at$5mil, per online link-very nice home and other structures. Also, an airplane hangar on premise. FD 10 miles away.</t>
  </si>
  <si>
    <t>per online link, very nice home with nice other structures and airplane hangar associated w/ prop. Concerned tiv will go over $5 mil. Also, that response time not acceptable (note: fireline ran and is OK). discussed with mgr based on these factors at TIV level unable to offer terms</t>
  </si>
  <si>
    <t>Chen, Kuan-Cheng &amp; Le</t>
  </si>
  <si>
    <t xml:space="preserve"> La Jolla, CA 92037</t>
  </si>
  <si>
    <t xml:space="preserve">Rental, NR by prior carrier due to CA </t>
  </si>
  <si>
    <t>RM and Fireline OK, C/S alarm, home photos online ok</t>
  </si>
  <si>
    <t>The Hason Family Trust</t>
  </si>
  <si>
    <t xml:space="preserve">Approval granted prior year, but went w/ another carried due to lack of endorsements with Markel. Now, we have endorsements and competitvely priced, trust </t>
  </si>
  <si>
    <t>RM OK, C/S Alarm in home, photos OK, in brush, surcharge applied, trust OK</t>
  </si>
  <si>
    <t>Colorado</t>
  </si>
  <si>
    <t>Behring, Delbert &amp; Delma</t>
  </si>
  <si>
    <t>Clifton</t>
  </si>
  <si>
    <t>Business &amp; Lapse</t>
  </si>
  <si>
    <t>Gun repair/customization shop in detached garage. Thought had coverage on primary home as well, but realized didn't so lapse in insurance</t>
  </si>
  <si>
    <t>Gun shop hazards and too large of a lapse</t>
  </si>
  <si>
    <t>Baron, Rebecca</t>
  </si>
  <si>
    <t>6/12/15 water line under fridge broke. $50K water damage deductible. 1998 home. Also 4/23/14 theft $18K paid. Added gate and cameras since then.</t>
  </si>
  <si>
    <t>Bartz, Howard</t>
  </si>
  <si>
    <t>Newport Beach</t>
  </si>
  <si>
    <t xml:space="preserve">1973 home under const for 6 months. Per app, insured will be the GC. </t>
  </si>
  <si>
    <t>Gifford, Lisa</t>
  </si>
  <si>
    <t xml:space="preserve">Virginia Beach </t>
  </si>
  <si>
    <t>Renewal lapse</t>
  </si>
  <si>
    <t>Agency quoted 8/10. Renewal 9/25. Insured let it lapse. Agent received payment on 10/10 - wants to renew w/ no lapse w/signed statement and confirmation of no damage.</t>
  </si>
  <si>
    <t>Grand Lake Plumbing Co</t>
  </si>
  <si>
    <t xml:space="preserve">Grand Lake </t>
  </si>
  <si>
    <t>2 rentals in business name</t>
  </si>
  <si>
    <t>Insured has plumbing company and bought 2 rentals in his business name. One occupied by employee, one by an independent nurse.</t>
  </si>
  <si>
    <t>Approved subject to prem liab only.</t>
  </si>
  <si>
    <t>We do not backdate renewals w/o a good explanation. Asked for details. Per Charity, payment came in late from mortgage co. Ok'd the reinstatement/renewal w/ SNL.</t>
  </si>
  <si>
    <t>Boulia</t>
  </si>
  <si>
    <t>Newport</t>
  </si>
  <si>
    <t>Business name, rate verification</t>
  </si>
  <si>
    <t>1937 home under construction while insured is living in home.</t>
  </si>
  <si>
    <t>Rate as builders risk $2029. Corporate questionnaire okay.</t>
  </si>
  <si>
    <t>We are not comfortable insuring risks where the insured is the contractor or acting as the GC.  If a loss occurs, our subrogation opportunity is limited. Delta found out shortly after that the insured is going to use a GC after all.  Approved.</t>
  </si>
  <si>
    <t>Novom Holdings</t>
  </si>
  <si>
    <t>Tarzana</t>
  </si>
  <si>
    <t>TIV/Backdating</t>
  </si>
  <si>
    <t>2016 home bind req received 4 pm yesterday, agent had just left. Agreed to allow binding. Online photos okay. Good ins score-app says insured is unemployed.</t>
  </si>
  <si>
    <t>Approved subj to completed uw questions on app and confirmation in 30 days of tenant occupancy (per Corp Quest)</t>
  </si>
  <si>
    <t>Ramirez, Pete</t>
  </si>
  <si>
    <t>HO3 Primary w/rental</t>
  </si>
  <si>
    <t>2005 primary home w/some Airbnb short term rental. Agent wants to leave personal liability.</t>
  </si>
  <si>
    <t>Smith, Terry</t>
  </si>
  <si>
    <t>Diamondhead</t>
  </si>
  <si>
    <t>No insurance for 3 years</t>
  </si>
  <si>
    <t>Insured could not previously afford the insurance, now they have a loan and need it.</t>
  </si>
  <si>
    <t>Ran insurance score - was in the next to lowest tier.</t>
  </si>
  <si>
    <t>Kramer, Wayne</t>
  </si>
  <si>
    <t>1992 home in brush. Insd is Wayne Kramer, writer/director. Movies were 10+ years ago.</t>
  </si>
  <si>
    <t>Schippel, Jeff</t>
  </si>
  <si>
    <t>Sedalia</t>
  </si>
  <si>
    <t>Woodstove primary/rate reduction</t>
  </si>
  <si>
    <t>1969 home updated. Appears there is a heat system, but woodstove is used as primary. Agent looking for rate match to Lex $1043. Markel rater without brush s/c is $1309.</t>
  </si>
  <si>
    <t>Don't want to come down that much for a PC9 in brush.</t>
  </si>
  <si>
    <t>Struck, Karen</t>
  </si>
  <si>
    <t xml:space="preserve">Los Gatos </t>
  </si>
  <si>
    <t>1990 home w/alarms not in brush. Insd is writer of TV movies.</t>
  </si>
  <si>
    <t>Ashcraft, Mark</t>
  </si>
  <si>
    <t>Forest Ranch</t>
  </si>
  <si>
    <t xml:space="preserve">1960 home updated, no alarms, 7 minute response, brush zone. The insured has his sheet metal business for heat and air type work ran out of an outbuilding. He has no employees or customers coming to the property. He has a CGL policy in place for the business.
</t>
  </si>
  <si>
    <t>Approved w/Total Business Exclusion form, subject to:
• Is there at least 20 feet between the dwelling and business? 
• If there is welding, fabricating, or other increased hazardous activity, is there proper electrical service and fire protection in the structure?  (so as not to pose a hazard to the dwelling)
• If there is “hazardous activity” is there a limited amount of personal belongings stored in the other structure?
• Is the separate commercial policy for buildings, business contents, and liability maintained by you or retail agent
There is a good ins score.</t>
  </si>
  <si>
    <t>Ripley, Jeff</t>
  </si>
  <si>
    <t>1978 home w/roof update. Insured operates Paddack Wrecker service on property. Photo showing separation provided. GL/prop policy in place. App questions not completed.</t>
  </si>
  <si>
    <t>Lemonnier, Rick</t>
  </si>
  <si>
    <t>Ponca City</t>
  </si>
  <si>
    <t>Half of a duplex</t>
  </si>
  <si>
    <t>Insured owns one half of a duplex and occupies it. Someone else owns and occupies the other side.</t>
  </si>
  <si>
    <t>No issue with this type of situation.</t>
  </si>
  <si>
    <t>Agreed to proceed w/Water Damage Excl (would need to be added to Burns forms), no mold coverage, verification of the liab loss. No additional s/c to the 4 claim s/c because we are eliminating our exposure w/the exclusion.  Per Ben 10/12, the liab loss was the neighbors too.</t>
  </si>
  <si>
    <t>Whaley</t>
  </si>
  <si>
    <t>One of two units on property</t>
  </si>
  <si>
    <t>There is a property near the beach with 2 units, A&amp;B. They are owned by different individuals.  Our insured is renovating unit B. Any concern with liability?</t>
  </si>
  <si>
    <t xml:space="preserve">Approved as we would for a single family home renovation. </t>
  </si>
  <si>
    <t>Fotsch, Michael</t>
  </si>
  <si>
    <t>Bellvue</t>
  </si>
  <si>
    <t>90 minute response time</t>
  </si>
  <si>
    <t>Ben asked for review - 28 miles to FD (agt orig said 6). Volunteer, unpaved, accessible. Surcharge 120%. 1983 seasonal PC10 not in brush. Looks decent online.</t>
  </si>
  <si>
    <t>Approve subj to acceptable woodstove questionnaire. Okay due to low value, high premium, non-brush.</t>
  </si>
  <si>
    <t>Garvey, Michael</t>
  </si>
  <si>
    <t>Metairie</t>
  </si>
  <si>
    <t>2005 home in LA. Looking to match $13,520.</t>
  </si>
  <si>
    <t>Ran against AAL: $13,806. Ok'd with credit to compete with $13,520. CC to Bill &amp; Donna.</t>
  </si>
  <si>
    <t>Audit Notes</t>
  </si>
  <si>
    <t>Check value. Online shows PP of $635K. Insured for $200K</t>
  </si>
  <si>
    <t>Selter Family Trust</t>
  </si>
  <si>
    <t>1992 home updated. Home for sale. App says prior canc/nrn - no reason listed. Online photos nice - could be a flat roof.</t>
  </si>
  <si>
    <t>If flat roof, $10K ded applies. If reason for canc/nrn due to home for sale, okay. If other, refer back.</t>
  </si>
  <si>
    <t>Approved w/Total Business Excl Form Subj to confirmation of no public traffic near or in home; coml pol maintained by retailer; app complete.  Per Delta 10/13, agt does not control Coml. Advised we could do that X-liability.</t>
  </si>
  <si>
    <t>Mimi Rose Design LLC</t>
  </si>
  <si>
    <t>$126K water loss</t>
  </si>
  <si>
    <t>3/10/15 pipe froze and burst $126K loss. New pipes, heat monitor installed. $10K water damage ded added. 2005 home.</t>
  </si>
  <si>
    <t>Zuniga, Jose</t>
  </si>
  <si>
    <t>Insured is famous actor. Had 2 small losses in 2015. Water damage ded applied.</t>
  </si>
  <si>
    <t>Approved w/10% surcharge due to size of loss. Later got call from Lisa. The loss was due to a frozen pipe. Insd is also winterizing the home. Because of that we dropped the extra s/c and agreed to go with $2500 ded to help beat a Lloyds quote.</t>
  </si>
  <si>
    <t>Marsh, Ryan</t>
  </si>
  <si>
    <t>2008 home under interior and cosmetic construction, no wiring. Home is alarmed and has sprinklers. Licensed GC. Will be primary.</t>
  </si>
  <si>
    <t>Need to make deductibles consistent.  $10K AOP, $5K Water, $2500 theft per quote.</t>
  </si>
  <si>
    <t>Nieman, Thomas</t>
  </si>
  <si>
    <t>Confirm rating as in brush, per RiskMeter.</t>
  </si>
  <si>
    <t>Jaisinghani, Gul</t>
  </si>
  <si>
    <t xml:space="preserve">Malibu </t>
  </si>
  <si>
    <t xml:space="preserve">Found numerous online articles about lawsuits and alledged VFW fundraising group that kept 80-90% of solicited funds. </t>
  </si>
  <si>
    <t>Potential moral and/or liability hazard</t>
  </si>
  <si>
    <t>Aframian, Behrouz</t>
  </si>
  <si>
    <t>2014 home. Nice online pics. Not in brush. Full time rental.</t>
  </si>
  <si>
    <t>Hale, Brian</t>
  </si>
  <si>
    <t>Rancho Santa Margarita</t>
  </si>
  <si>
    <t>Insured had a slab leak in 5/13. Home is 1996. No mitigation other than repair.</t>
  </si>
  <si>
    <t>Per previous risk reviews, we are looking for mitigation which includes re-routing of pipes.</t>
  </si>
  <si>
    <t>Dog bite</t>
  </si>
  <si>
    <t>We previously approved this risk-insured had vegetable sales from property. That has ceased, but we have been advised of a 2012 dog bite, and the insured still has the dog.</t>
  </si>
  <si>
    <t>Approved with the Animal Exclusion - no Animal Liab and must have the exclusion as long as that dog is in the house.</t>
  </si>
  <si>
    <t>Residential use in one corporate name for tax purposes. No business use. Owner is hub and wife - this is their business. They use this home seasonally and vacation rental to others 25 weeks/yr. Approved w/prem liability.</t>
  </si>
  <si>
    <t>Yang, Trent</t>
  </si>
  <si>
    <t>GV</t>
  </si>
  <si>
    <t>Insured had wind loss - dmg to roof 7/16 $13,403 paid. Claim is still open as insd is changing flat roof to vaulted roof. Freeze claim and wind claim also.</t>
  </si>
  <si>
    <t>Advised we don't like to take these on due to possible damage no one knows about. Even with exclusions and deductibles, we could get stuck.</t>
  </si>
  <si>
    <t>Triplex rental</t>
  </si>
  <si>
    <t>Insured owns a duplex rented to 2 familiies.  Recent property inspection indicated one unused room actually qualifies this as a triplex. Can we remain on the risk?</t>
  </si>
  <si>
    <t>Approved staying on subject to this not turning into a 3 family. Okay to keep rating for a 2 family.</t>
  </si>
  <si>
    <t>Riley, Tristan</t>
  </si>
  <si>
    <t>Woodland Hills</t>
  </si>
  <si>
    <t>Sullivan, Michael</t>
  </si>
  <si>
    <t>2006 home in PC9 in brush no alarms. 2.2 miles away with some dirt road.  6 minute response time. Accessible, visible to neighbors. Nice online photos</t>
  </si>
  <si>
    <t>Subj to completed woodstove questionnaire.</t>
  </si>
  <si>
    <t>Ritz-Barr, Steven</t>
  </si>
  <si>
    <t>Insured is a puppeteer, makes films using the puppets. May shoot once a year at his property.  1932 home updated in 2004. No online photos.</t>
  </si>
  <si>
    <t>Approved subject to why in Fair Plan? If brush ok. Also, if filming is 1-3 times/year and crew size is 8 or less and they have insurance for the crew, okay. Otherwise, re-evaluate.</t>
  </si>
  <si>
    <t>Gholian, Navid &amp; Otila</t>
  </si>
  <si>
    <t>TIV &gt;3 MIL</t>
  </si>
  <si>
    <t xml:space="preserve">Lexington renewal, acceptable inspection attached; 2005 build year, PC 2 in brush with alarm. </t>
  </si>
  <si>
    <t>RM, PC OK. Fireline high, but based on monitored alarm, FD 2 miles and overall risk approving as quoted</t>
  </si>
  <si>
    <t>Delaware Valley Concrete</t>
  </si>
  <si>
    <t xml:space="preserve">Hatboro </t>
  </si>
  <si>
    <t>1980 home updated in 2000. No alarm, no losses. Shares drive w/Delaware Valley Concrete. Large materials business per internet search. Agent is requesting liability.</t>
  </si>
  <si>
    <r>
      <rPr>
        <sz val="9"/>
        <color theme="1"/>
        <rFont val="Calibri"/>
        <family val="2"/>
        <scheme val="minor"/>
      </rPr>
      <t>• Please verify the condition of dwelling and the Cov A.  Value seems very low for RC on a 1200 SF home
• Please provide sketch of where the dwelling is located in relation to the business buildings, also the driveways
• Does anything separate the dwelling and business (e.g. fence, wall, etc.)
• Is the commercial policy for buildings, business contents, and liability maintained by the retail agent
• Would you have another source for liability if we cannot provide premises liability?</t>
    </r>
    <r>
      <rPr>
        <sz val="11"/>
        <color theme="1"/>
        <rFont val="Calibri"/>
        <family val="2"/>
        <scheme val="minor"/>
      </rPr>
      <t xml:space="preserve">
</t>
    </r>
  </si>
  <si>
    <t>Walton, Nathan</t>
  </si>
  <si>
    <t>1978 home updated in 2008. Alarm, no losses.  Not in brush. Retailer asked for $3M. Home sold for $6.9M. Requested Cov A = $414/SF. Okay.</t>
  </si>
  <si>
    <t>Approved subj to confirmation of no horses, and no future plans for &gt;4 (per guidelines)</t>
  </si>
  <si>
    <t>Heers, Brett</t>
  </si>
  <si>
    <t xml:space="preserve">Encinatas </t>
  </si>
  <si>
    <t>2003 home w/burglar alarm, not in brush. 2 horses per app, and Mrs. Insured is responsible for "managing daughter's equine career".  Sold in 2001 for $1.2M. Current value is $398/SF-okay.</t>
  </si>
  <si>
    <t>Approved subj to: 1. Info on horses and daughter's equine career. 2. Consider $10K AOP due to no fire alarm.</t>
  </si>
  <si>
    <t>Anna L Bell Trust</t>
  </si>
  <si>
    <t>Cedaredge</t>
  </si>
  <si>
    <t>PC/response time</t>
  </si>
  <si>
    <t>1950 log home partially updated in 1980 w/metal roof. 20-35 min response/inaccessible in winter. Brush zone cleared 150-300 feet.</t>
  </si>
  <si>
    <t>Bosshard, Nate</t>
  </si>
  <si>
    <t>Ho3 Primary</t>
  </si>
  <si>
    <t>2016 home (was a total gut/remodel/addition) recently finished, alarms, not in brush. Good agent. Lexington quote. To be competitive agent applied 9% credit.</t>
  </si>
  <si>
    <t xml:space="preserve">Approved subj to a complete submission and brush clearance. </t>
  </si>
  <si>
    <t>Spradlin, Daniel</t>
  </si>
  <si>
    <t>Trabuco Canyon</t>
  </si>
  <si>
    <t xml:space="preserve">1978 home w/ concrete roof updated in 2007. Has roof sprinklers. In brush area. Per online, there are "ranch and farm fixtures". </t>
  </si>
  <si>
    <t>Approved subj to verif of what the other structures are. Agent may revise A&amp;B. Approved highest discussed amount.</t>
  </si>
  <si>
    <t>Crossin, Jay</t>
  </si>
  <si>
    <t>Harvey's Lake</t>
  </si>
  <si>
    <t>Pier home on water</t>
  </si>
  <si>
    <t xml:space="preserve">2011 frame home on piers on Harvey's Lake. Photo does not look like floating home. </t>
  </si>
  <si>
    <t>DP1 Secondary</t>
  </si>
  <si>
    <t>1978 home w/updates in 2008. In brush w/ alarms. Nice online photos. Fenced pool.</t>
  </si>
  <si>
    <t>Crane, Trevor</t>
  </si>
  <si>
    <t xml:space="preserve">Penn Valley </t>
  </si>
  <si>
    <t>178 acres</t>
  </si>
  <si>
    <t>2001 home on 178 acres. Agt advises no animals, no hunting, home close to road. PC 4/8. Insured bought property so children could experience acreage.</t>
  </si>
  <si>
    <t>Schiewe, Mitchel</t>
  </si>
  <si>
    <t xml:space="preserve">Manhattan Beach    </t>
  </si>
  <si>
    <t>1994 home w/4 prior losses. 2 are in 3 years. Slab leak, broken pipe. Agent applied $7500 water damage ded. Also loss by neighbor and against insd for tree damage.</t>
  </si>
  <si>
    <t>Thompson, Julie</t>
  </si>
  <si>
    <t>Golden</t>
  </si>
  <si>
    <t xml:space="preserve">2001 masonry home, no alarms. Response time 5-25 minutes. Accessible, not visible to neighbors. </t>
  </si>
  <si>
    <t>Need additional information to consider</t>
  </si>
  <si>
    <t>Approved subj to conf this is not a floating home. Not a market we are looking for, but okay with a DP1.</t>
  </si>
  <si>
    <t>Boersma, Ruth</t>
  </si>
  <si>
    <t xml:space="preserve">Mission Viejo </t>
  </si>
  <si>
    <t>$75K water loss (master toilet leak), insured dilegently checks on toilet to insure integrity</t>
  </si>
  <si>
    <t>water dmg ded $10K, only loss, approved but requested 1-2% surcharge</t>
  </si>
  <si>
    <t>Parsons, Dennis</t>
  </si>
  <si>
    <t>Vail</t>
  </si>
  <si>
    <t>1982 frame home alarmed.  Roof update 06, others partial update 2012. 3 prior losses - 2 water damage, 1 skylight damage. Under $5K.</t>
  </si>
  <si>
    <t>Approved subject to $10K ded if flat roof; $5K ded if not.</t>
  </si>
  <si>
    <t>Estate of M. Olivia Corrao</t>
  </si>
  <si>
    <t>Florham Park</t>
  </si>
  <si>
    <t>Executor is GC</t>
  </si>
  <si>
    <t xml:space="preserve">1981 home w/updated roof. Son is executor of estate - owns constr company and is doing the work. </t>
  </si>
  <si>
    <t>Son could be considered under the umbrella of insured. No subrogation opportunity.</t>
  </si>
  <si>
    <t>3415 Bryant LLC</t>
  </si>
  <si>
    <t>Tail end construction/Lapse</t>
  </si>
  <si>
    <t>1905 home updated w/ this renovation. Insured is a financial investor. MFRC being added. Frame duplex. Per agent, the builder had a COC that expired 10/8. Agent has been unable to place. Cosmetic paint, tile, flooring left. Agt will s/c 5% and get signed no loss.</t>
  </si>
  <si>
    <t>Reviewed app, rating, loss history. Risk is basically brand new. Will be vacant with construction finishing up, moving in 11/30.</t>
  </si>
  <si>
    <t>Bofferding, Kevin</t>
  </si>
  <si>
    <t>Orange</t>
  </si>
  <si>
    <t>High pressure pipe burst at street and shot at 45 degree angle into the house breaking window, blowing off roof, filling house w/debris, etc. Insured has been out of hours for 16 months, since 6/2015. National General is nonrenewing 10/23. Insured not moving in until 11/30 at least. Also had a $20K pipe break in 2004</t>
  </si>
  <si>
    <t>Sheedy, Debra</t>
  </si>
  <si>
    <t>Twain harte</t>
  </si>
  <si>
    <t>Question on policy form</t>
  </si>
  <si>
    <t>Brother is full time resident. Insured uses seasonally per agent.  Risk is 4 hours away from insured's primary. Insured is State Farm Agent. Fireplace insert in home per app - minimal info.</t>
  </si>
  <si>
    <t>Since bro is full time resident, approved DP3 vs. HO3. Subj to insured checking flue annually.</t>
  </si>
  <si>
    <t>Estate name</t>
  </si>
  <si>
    <t>Elderly mother passed away. Daughter is living in the home and will stay there. Home is not yet cleared probate. Alex not sure who titled owner is at this point. No other relatives. No will</t>
  </si>
  <si>
    <t>Alex is getting full info-quick inquiry from retailer. We decided he could write a Dwelling Fire - covg on dwelling only, no liab, no other coverages. Verify occupancy and rate accordingly. Even though we don't have a true owner (since daughter isn't the executor yet) we feel it's an okay situation. He will verify condition as well.</t>
  </si>
  <si>
    <t>Approved subj to 150' clearance. Acceptable woodstove questionnaire. 30% surcharge (.80 rate) due to this being possible total loss should there be a fire. Older home quest is okay. Photos look okay. Lower value.</t>
  </si>
  <si>
    <t>Agent is POA</t>
  </si>
  <si>
    <t>Will we approve a risk where the agent is POA</t>
  </si>
  <si>
    <t>Asked kelly to refer risk w/info on the relationship and why insd made them POA.  Share results w/Louisa per her request.</t>
  </si>
  <si>
    <t>Brems, Christie</t>
  </si>
  <si>
    <t>Fruitland</t>
  </si>
  <si>
    <t>1980 frame home in utah, PC9, $150K (lower value) wood shake roof will be excluded due to no update. Has WBS-looks like insuff protection in front of loading door. UW questions on app not complete.</t>
  </si>
  <si>
    <t>Delano, Daniel</t>
  </si>
  <si>
    <t>Woody Creek</t>
  </si>
  <si>
    <t>CO home renovated in 2015. 25 minute response time, part dirt road. Excellent FD, but still it is 25 minutes, no alarm, no sprinkler, seasonal risk.</t>
  </si>
  <si>
    <t>Hakakian, Eskandar</t>
  </si>
  <si>
    <t>Unique home/100' to brush</t>
  </si>
  <si>
    <t>1993 home being renovated. Daughter will reside. Brush=red per RM; High 9 per FL. Home has interior sprinklers and is concrete. Brush cleared to 100' in some areas (property line), over 150' in others. Leaking Bedroom Ceiling. Increased foundation and engineering costs per inspection. $3,767,000 Cov A per inspection. Space heater in photos? Woodburning stove?</t>
  </si>
  <si>
    <t>If we do, it would be as DP3 Builders Risk with addl surcharges. Insp says "Home is located in designated brush fire zone that is subject to high velocity wind driven fires". Verify closest brush clearance.  Roof exclusion due to leaking. Verify Cov A. No space heaters allowed, Woodburning Stove questionnaire.</t>
  </si>
  <si>
    <t>McRae</t>
  </si>
  <si>
    <t>Loshitzer</t>
  </si>
  <si>
    <t xml:space="preserve">Beverly Hills </t>
  </si>
  <si>
    <t>Beautiful Beverly Hills home. Cov A verified per agents. In brush, but "good brush" Beverly Hills. Closing today.</t>
  </si>
  <si>
    <t>Brown, Jeffrey</t>
  </si>
  <si>
    <t>Insured has coffee and lavendar farm. 4 loans want to be listed as mortgagee.  38 acres.</t>
  </si>
  <si>
    <t>Additional business questions along with details of the mortgages.</t>
  </si>
  <si>
    <t>Hunt, David</t>
  </si>
  <si>
    <t>Crested Butte</t>
  </si>
  <si>
    <t>HO3 Seasonal/VRBO</t>
  </si>
  <si>
    <t>1950 home remodeled in 2015 w/alarms. Used seasonally and 3 night min rental thru VRBO (10 weeks per year). Unsure on roof-exclusion added. 7% discount to compete w/Seacoast rate. Nice online photos.</t>
  </si>
  <si>
    <t>Subj to map address of dwelling and FD. WBS quest, verify floor protection in front of loading door, complete UW questions.  10/24 - provided UW answers-OK. WBS will be brought up to specs after taking possession. 5.1 miles 15 minutes per map provided.</t>
  </si>
  <si>
    <t>Sims, Marilyn</t>
  </si>
  <si>
    <t>Lyons</t>
  </si>
  <si>
    <t>Limited access</t>
  </si>
  <si>
    <t>1954 home updated in 05/14. 5/14 water tank loss. Bridge access to home washed out in 10/13 - it is being replaced - should be in 2 months. Letter from FD explains access.</t>
  </si>
  <si>
    <t>Subj to 5% s/c for additional response time and 6 month not renewable policy.</t>
  </si>
  <si>
    <t>Home being repiped and regulator added. Situation is okay w/ neighbor.</t>
  </si>
  <si>
    <t>HO3 vs DP3</t>
  </si>
  <si>
    <t>Insured owns a home and is renting to own to a renter who can buy it within 5 years. Renter wants HO3 in his name. Matt suggests DP3 w/HO4.</t>
  </si>
  <si>
    <t>Troesh, Dennis</t>
  </si>
  <si>
    <t>Deer Lodge</t>
  </si>
  <si>
    <t>MT</t>
  </si>
  <si>
    <t xml:space="preserve">2007 home fully alarmed. PC10 but only 5-10 min response, accessible. Online indicates farm/ranch property but app says no animals. </t>
  </si>
  <si>
    <t>Approved, mentioned to verify no animals.</t>
  </si>
  <si>
    <t>Loschitzer</t>
  </si>
  <si>
    <t>Loss runs show Theft 12/2013 $0 - maid stole watch (on camera proof). Reported to Farmers agt for info only - he opened a claim. Insd wanted maid to give back. During the course of that discussion, 1/2014, they arrived home to find maid on the floor saying she fell down the stairs - all tapes were missing. Insd called police - they went to maids home to find 40 illegal immigrants who were then deported. $3,000 reserve still open since 1/2014. Should we s/c?</t>
  </si>
  <si>
    <t xml:space="preserve">Good agent, nice rental home in Beverly Hills. Lawyer sending info to support insured's report of the story. If we get that, no surcharge for the losses. If we don't, we will s/c for 1 loss as the 2 are somewhat related. </t>
  </si>
  <si>
    <t>101 Rt 23</t>
  </si>
  <si>
    <t>Hamburg</t>
  </si>
  <si>
    <t>Type of structure</t>
  </si>
  <si>
    <t>Insured purchased church and parsonage. Living in parsonage while they reno church to be primary residence. Both at same address.</t>
  </si>
  <si>
    <t>Decided to write as address A &amp; B on separate properties since uses are so different and are going to be changing.</t>
  </si>
  <si>
    <t>Approved w/surcharge for loss and 2% premium surcharge - agent said we had room.//Per Alex 10/24, nothing touched since the claim occurred. To preserve slab, driveway and retaining walls, demolition is going to be by hand. No major equip. Then they will start rebuilding. Ok'd being on this as this is not the demo we typically see.</t>
  </si>
  <si>
    <t>Ryan, Ben</t>
  </si>
  <si>
    <t>Insured is Ben Ryan, Film Producer. Agent and UW googled and don't find any info online. 1959 home updated in 1980 in brush, alarms.</t>
  </si>
  <si>
    <t>Insured has a shipping business in a detached 3000 SF building. They blend, package, and store non hazardous chemicals and packaging materials. They do their own shipping. No trucks. No empl, visitors, etc. Coml insured.   2nd business is administrative only - they maintain interior plants at client facilities. Also has 2 horses personal use.</t>
  </si>
  <si>
    <t>Asked to verify that the underlying being maintained by the retailer selling the Markel policy. Asked for app and other info to review. Subj to building exclu, total business exclusion, also, keep coml in force.</t>
  </si>
  <si>
    <t>Hasson</t>
  </si>
  <si>
    <t>COC Questions</t>
  </si>
  <si>
    <t>1930 home not fully gutted. Not sure of extent of renovation at this time. Discussed MFRC not really applicable on COC's - don't add both forms. Alarms can be flexible. Okay to apply some credit. Online photos look good.</t>
  </si>
  <si>
    <t>Dovich, Jesse</t>
  </si>
  <si>
    <t>Rancho Cucamonga</t>
  </si>
  <si>
    <t>2011 home w/no alarms, water shutoff, no losses, in brush. Online sources show $1M mkt value/older home. Must have been renovated after 2010 sale. The home is new purchase to insured in 2016.</t>
  </si>
  <si>
    <t>Approved as presented - CS alarms will be required. Either $5K or $10K ded ok.</t>
  </si>
  <si>
    <t>COC Insd is GC</t>
  </si>
  <si>
    <t>COC where insured is acting as contractor and hiring subs.</t>
  </si>
  <si>
    <t>Padilla, Jeremy</t>
  </si>
  <si>
    <t>Ignacio</t>
  </si>
  <si>
    <t>Lapse and 30 min response time</t>
  </si>
  <si>
    <t>1980 home updated.  FD 10 miles away with up to 30 min response time. Rated for &lt;150' clearance. FireLine shows High 6. RM is high. Lapse since 7/16. Mtg was supposed to pay; then insd went thru divorce. Agt applied total 15% s/c.</t>
  </si>
  <si>
    <t>Asked for 20% s/c (10 for lapse, 10 for response time) and 150' clearance.</t>
  </si>
  <si>
    <t>Consulate General of Hungary</t>
  </si>
  <si>
    <t>Previously approved 12/22/15, email in file. Home owned by Consulate General of Hungary, occupant is Hungarian Counsel. Agreed to write as owner occupied w/premises liab.</t>
  </si>
  <si>
    <t>Maynard, Jason</t>
  </si>
  <si>
    <t xml:space="preserve">San Mateo </t>
  </si>
  <si>
    <t>$100K Animal Liab</t>
  </si>
  <si>
    <t>Agent asking for exception to include $100K animal liab to meet umbrella requirements. Has 2 non-aggressive dogs w/no bite history. Reviewed breeds online. Good agent.</t>
  </si>
  <si>
    <t>Asked Jeff for AP.</t>
  </si>
  <si>
    <t>Otto, Vince</t>
  </si>
  <si>
    <t>Westcliffe</t>
  </si>
  <si>
    <t>Response time 20 minutes</t>
  </si>
  <si>
    <t xml:space="preserve">2016 Seasonal home with c/s alarms; in brush; PC10. FD is 2 miles away but is volunteer. Could be up to 20 min response. $975,000 Cov A, TIV $1,547,500.
Allison looking to compete w/Lex.  Our rater= $6,991. She needs us to get to $5,373.  Appx 24% credit.
FireLine shows High-8 Medium fuels, moderate slope, no access probs, no historical wildfire activity.
</t>
  </si>
  <si>
    <t>Approved with a 20% s/c on minimum prem=$960. Received LLC info and insd is not affiliated w/builder.</t>
  </si>
  <si>
    <t>Bernsen, Corbin</t>
  </si>
  <si>
    <t>Agent asked if we would consider Corbin Bernsens 1936 home. Could we do a discount? It is in a Renie fire zone.</t>
  </si>
  <si>
    <t>Advised we could only consider X-Liability, but not sure if we would be comfortable with a discount.  Willing to look at the risk. Agent not sure if she will submit.</t>
  </si>
  <si>
    <t>2 dwellings on same prop</t>
  </si>
  <si>
    <t xml:space="preserve">Agent has a single family being made into a duplex and a separate structure single family home being built. </t>
  </si>
  <si>
    <t>Sending app. Discussed and decided this was best on two separate policies.</t>
  </si>
  <si>
    <t>626 Menlo Dr</t>
  </si>
  <si>
    <t>Big Bear Lake</t>
  </si>
  <si>
    <t>2 addresses</t>
  </si>
  <si>
    <t>Insured home is on a cul-de-sac between 2 streets. There is a primary home and a vacant parcel w/2 different addresses.</t>
  </si>
  <si>
    <t>Add 2 addresses to location, or manuscript endorsement.</t>
  </si>
  <si>
    <t>Reviewed w/Jeff. Credit too steep for us.</t>
  </si>
  <si>
    <t>Coverages allowed on COC</t>
  </si>
  <si>
    <t>Insured will be living in home during renovation. We will allow contents, loss of use, personal liability, med pay, personal injury. Different situation when insured is there and they have no other source of liab/med pay.</t>
  </si>
  <si>
    <t>Prunier, Richard</t>
  </si>
  <si>
    <t>Nantucket</t>
  </si>
  <si>
    <t>$50K Mold?</t>
  </si>
  <si>
    <t>1995 home. Ran A+ no losses. Discussed w/Jeff and we are okay if the risk is nice allowing this exception of $50K mold limit. Used CA rates - $500 for the coverage.</t>
  </si>
  <si>
    <t>Montmorency, Sara</t>
  </si>
  <si>
    <t xml:space="preserve">San Diego </t>
  </si>
  <si>
    <t>2005 risk in low brush area. On golf course in new community. Alarms. Very nice online photos.</t>
  </si>
  <si>
    <t>Advised if a small credit is needed to compete, okay to apply.</t>
  </si>
  <si>
    <t>Houghton Lake Risk</t>
  </si>
  <si>
    <t>Houghton Lake</t>
  </si>
  <si>
    <t>600 SF home on shore of Houghton Lake purchased for $112,000. RC coming in at $80,000. Can we help?</t>
  </si>
  <si>
    <t>Advised Tamika I would run insurance score to rule out any moral hazard. Also need to see if we can allow them to write a risk in Michigan. This is for one of their offices in Michigan.</t>
  </si>
  <si>
    <t>Michigan</t>
  </si>
  <si>
    <t>Roe, Michael &amp; Debbie</t>
  </si>
  <si>
    <t>Oakhurst</t>
  </si>
  <si>
    <t>TIV/PC9</t>
  </si>
  <si>
    <t>Primary home, 2.5 miles from FD, in med brush. No c/s alarm</t>
  </si>
  <si>
    <t>Surcharge for brush, great response time from FD, primary occupancy, hydrant with 2500 feet, home great condition</t>
  </si>
  <si>
    <t>Evansville</t>
  </si>
  <si>
    <t>Business on Premises</t>
  </si>
  <si>
    <t>Healy, Thomas</t>
  </si>
  <si>
    <t>Columbus</t>
  </si>
  <si>
    <t>2015 auto condo in MN. No alarms. No sleeping quarters.</t>
  </si>
  <si>
    <t>In line with other risks we have had like this, approved on DP form, vacant rate, X-Liability subj to conf of firewalls between units.</t>
  </si>
  <si>
    <t>Approved subj to 10% addl prem charge ($1459) due to increased exposure.</t>
  </si>
  <si>
    <t>2003 home, nice online photos. FD is 12 min away, fully paved and accessible. Insured is a surgeon. Had 4 losses. 5/16 wind $1373; 3/16 hail $33,769; 2/15 water $10,087 (frozen pipe); 1/14 water $0 (frozen pipe). Agent added $10K ded.  (Submitted in September as a HO3)</t>
  </si>
  <si>
    <t>Stevenson, Margie</t>
  </si>
  <si>
    <t>1902 home updated in 2000. No losses per email. Dwelling will be converted to bookstore. Has coml covgs in place. Looking to insure personal liab and "back dwelling". Write w/business excl and oth struc excl.</t>
  </si>
  <si>
    <t>Morlan, Robert</t>
  </si>
  <si>
    <t>HO3 w/ Rental</t>
  </si>
  <si>
    <t>Manitou Springs</t>
  </si>
  <si>
    <t>1920 build, some updates. 2 family home. NRN by Lex due to claims.  4/15 hail (roof replaced)  8/15 fire $27K 4/16 fire open $266K.</t>
  </si>
  <si>
    <t>Not comfortable with loss history.</t>
  </si>
  <si>
    <t>Excellent FD, but still it is 25 minutes, no alarm, no sprinkler, seasonal risk. Agent's 5% s/c - don't feel any s/c is enough to take this on.  10/31/16: Allison proposed we reconsider with 50% surcharge.</t>
  </si>
  <si>
    <t>Fasanelli, Richard</t>
  </si>
  <si>
    <t>Martha's Vineyard</t>
  </si>
  <si>
    <t>Looking for $50K ded</t>
  </si>
  <si>
    <t>2016 home looking for $50K AOP and $50K named storm ded.</t>
  </si>
  <si>
    <t>Yang, Guang</t>
  </si>
  <si>
    <t>Monterey</t>
  </si>
  <si>
    <t>2002 home full time rental by acctg manager at golf club. Insured is club owner; lives in China; this is his home. Was on coml policy-needs to move since it is now a rental.</t>
  </si>
  <si>
    <t>Prem liab only. Confirm there is a property manager to handle maintenance.</t>
  </si>
  <si>
    <t>Callahan, Douglas</t>
  </si>
  <si>
    <t>HI</t>
  </si>
  <si>
    <t>Response time 30 min</t>
  </si>
  <si>
    <t>2003 frame home no losses. 30 minute response. PC quest indicates winding road, accessible.</t>
  </si>
  <si>
    <t>Outside our comfort level.</t>
  </si>
  <si>
    <t>Need answers to business on prem questions. Addl info about the 2 structures.  Per Delta, separate building. Approved subj to excl of bookstore bldg and Total Business Excl.</t>
  </si>
  <si>
    <t>Trakji, Elias</t>
  </si>
  <si>
    <t>Glendora</t>
  </si>
  <si>
    <t>2006 home, concrete roof in brush. Alarms. $10K deductible. Quoting with and without All Risk Cov A. Need completed app.</t>
  </si>
  <si>
    <t>Approved subj to completed uw questions on app asap after binding (rush closing today).</t>
  </si>
  <si>
    <t>Hoag, Annette</t>
  </si>
  <si>
    <t>TIV/City Registry</t>
  </si>
  <si>
    <t>1906 home on city registry. Used seasonally, but insd is biz owner with mailing address 4 miles from here. Prev tenant moved to new location. Online photos do not show ornate structure, but can't tell if interior was gutted.</t>
  </si>
  <si>
    <t xml:space="preserve">• The insured is a business owner.  (In fact, mailing address is her business.)  Are we sure this is a seasonal use residence, and not a vacant commercial building waiting for a new tenant?  The previous tenant, Maxine’s Bridal, moved to a new location.  This location is only 4 miles from the insured’s mailing address, so I’m curious how this is a seasonal?  Do they come and stay here?  How often?  Is there furniture, beds, personal effects in the home?
• What renovations have been done to the interior of the home?  Has it ever been gutted and remodeled?  Partial gut?  Has all wiring and plumbing been replaced, or just updated?
• I see you applied Functional Replacement cost.  Thank you.
</t>
  </si>
  <si>
    <t>Moore, Gioia</t>
  </si>
  <si>
    <t xml:space="preserve">Bevery Hills </t>
  </si>
  <si>
    <t>2004 home in brush. Insured owns a film production company. Online photos look very nice. Pool appears to meet criteria.</t>
  </si>
  <si>
    <t>10/27/16 Agent called back asking for lower rate. (we are at $0.17). They wanted possibly higher deductible. Alison and I agreed we are very competitive and don't want to go any lower.  11/2/16 Alison emailed revised app back changing named insured and saying risk is actually vacant. Reduced TIV to $3.3M. Debtor filed bankruptcy to preclude insured from foreclosing. Now home is in both names. Very sketchy situation. Declining to write this.</t>
  </si>
  <si>
    <t>Espiritu, Jason</t>
  </si>
  <si>
    <t>Open dog bite claim</t>
  </si>
  <si>
    <t>Insured's beagle bit the mailman. He is suing. Happened 1 month ago - risk is still open.</t>
  </si>
  <si>
    <t>Approved subject to Animal Liability Exclusion.</t>
  </si>
  <si>
    <t>Asked for rater, address, is this builders risk? It is seasonal. Rater shows $1837 with $10K ded. Really don't want to go any lower than that. Approved w/$10K ded</t>
  </si>
  <si>
    <t>Leyton, Corey</t>
  </si>
  <si>
    <t>3 month renewal</t>
  </si>
  <si>
    <t>Advised Bobbi we allow 1 12 month renewal. If they want to do in 3 month increments it's okay with us. Beyond 1 12 month renewal requires Markel UW approval.</t>
  </si>
  <si>
    <t>• Theft loss – What was stolen?  Did the insured’s have central station alarm at the time? It doesn’t sound like an alarm system is new.  What happened?  If any jewelry was taken, we may be unable to insure the PAF (per guidelines).
• PAF – Do you have a list of items we are being asked to insure?  Where are they kept when not being worn?
11/2 - Response is they had alarm and break in happened anyway - purses &amp; jewelry were stolen.</t>
  </si>
  <si>
    <t>Garcia, Jose</t>
  </si>
  <si>
    <t>Sudbury</t>
  </si>
  <si>
    <t xml:space="preserve">
• The app says a pipe broke, your message says ice dam claim.  Please clarify?
• When did the loss occur?
• If it is a pipe, please provide full details of what happened, where the pipe was, why it amounted to so much, what plumbing repairs have been done throughout the rest of the house.
• Could we please have more information on the plumbing leak detector that was installed. Brand name? How does it work?
• What is the current status of demolition and/or repair of the interior?  
• Are there any areas remaining in the interior that were damaged by water or has everything been torn out?
• Has any mold testing been done?
• There is no surcharge for losses on the rater?  Per the app, there are 2.
• Due to the size of the loss, we may need to add an additional surcharge to the premium – probably around 10%.
• Due to the size of the loss, we may need to go with max $10,000 water damage deductible.
</t>
  </si>
  <si>
    <t>Insured has large water damage claim and prior hail loss.  Info submitted does not match app. Sent back numerous questions. May consider if details make sense. Need rater correct, add 10% addl prem and large water ded.</t>
  </si>
  <si>
    <t>Hart, Joan</t>
  </si>
  <si>
    <t>Lapse 2 years</t>
  </si>
  <si>
    <t>1953 home partially updated, new roof. Letter from FD that brush clearance is adequate. 2 year lapse due to "brush hazard and roof that needed to be fixed".</t>
  </si>
  <si>
    <t>Dimitri, Elizabeth</t>
  </si>
  <si>
    <t>Jovanovic, Alexander</t>
  </si>
  <si>
    <t>Home was built in 1950; fully updated in 2014; frame construction, PC2, no losses; full C/S alarms.</t>
  </si>
  <si>
    <t>Within coastal guidelines for agency, agency used AAL rating to ensure appropriate premium, google search shows good photos/insured</t>
  </si>
  <si>
    <t xml:space="preserve">Lexington renewal, acceptable inspection attached; 2008 build year, PC 2 with alarm. </t>
  </si>
  <si>
    <t>Good inspection (great condition of home), google search OK, appropriate FD response time.</t>
  </si>
  <si>
    <t>Oct</t>
  </si>
  <si>
    <t>Mcalister, Michael</t>
  </si>
  <si>
    <t>Angola</t>
  </si>
  <si>
    <t>PC 10, no alarm, business on premise (traffic light repair), open $60K liab claim (worker at house fell off ladder)</t>
  </si>
  <si>
    <t># of families ineligible combined with historical home. Reviewed pics, a lot of detail to exterior of home; looks to be average maintenance</t>
  </si>
  <si>
    <t>1910 built historic home registry (no tours), 4 family (owner in 1, tenant in other 3), not sure on pipes so water ded of $10K, other updates made</t>
  </si>
  <si>
    <t>Historical home/multi-family home</t>
  </si>
  <si>
    <t>Sallam, Aliah</t>
  </si>
  <si>
    <t>Rusch, Thomas</t>
  </si>
  <si>
    <t>Osh Kosh</t>
  </si>
  <si>
    <t>built in 2000 of frame construction.  HO-3 / PC5 with alarms and no losses within last three years. Had a large claim 4 years ago.</t>
  </si>
  <si>
    <t>approved subj to Cov A confirmation (per provided inspection, Cov A $3.1 million); loss was a $195K hail loss (Copper roof)-agt surcharged 211%. UW suggested cosmestic endorsement if agt can sell, but won't require since surcharged. Requested re-refer if cov a in fact $3.1 mil to review TIV again</t>
  </si>
  <si>
    <t>Approved subject to total business excl, liab excl, and other structure excl (as proposed by agt); Response time 8 minutes</t>
  </si>
  <si>
    <t>Ben confirmed that original provided Cov A was incorrect, and TIV should be $4.7. Approval granted</t>
  </si>
  <si>
    <t>AJ Farms LLC</t>
  </si>
  <si>
    <t>Strasburg</t>
  </si>
  <si>
    <t>farm</t>
  </si>
  <si>
    <t>This is a PC9 risk, the dwelling is on a farm and Commercial Team wrote the liability, the insured only need property coverage on the dwelling.  There is a woodstove but is not the insured primary source of heat, it is secondary.</t>
  </si>
  <si>
    <t>Requested confirmation of use of other structures that are quoted (clear separation, any farming). May need to exclude if unsure. Also, questioned installation/most recent inspection of woodstove; LLC formation, members, etc.</t>
  </si>
  <si>
    <t>Raymond</t>
  </si>
  <si>
    <t>Animals</t>
  </si>
  <si>
    <t>Insured has 4 goats and 20 chickens.  Alex will be excluding animal liability.</t>
  </si>
  <si>
    <t>Brickell, Guy</t>
  </si>
  <si>
    <t>No heat/cabin</t>
  </si>
  <si>
    <t>2016 kit log home w/no heat, no plumbing. Has generator. No portable heating, no woodstove. No prev ins as they expected value to be $35 K and it expanded.</t>
  </si>
  <si>
    <t xml:space="preserve">Asked numerous questions: • What current premium are you coming up with?  I may want to add a slight surcharge.
• When cabin was being built, did insured have typical permits and inspections?
• Is the house wired electrically?
• What systems or appliances does the generator power?
• There are 2 location addresses on the app.  Where is the home located?
• One of the address is the same as the school where the insured teaches.
</t>
  </si>
  <si>
    <t>Blanchot, Michael</t>
  </si>
  <si>
    <t>Oak Glenn</t>
  </si>
  <si>
    <t>Weddings on premises</t>
  </si>
  <si>
    <t>1987 built "castle type home" with drawbridge, moat, outbuildings. Online listing mentions it as a location for weddings. Agent submitted stating insured is planning to rent yard for weddings. No immediate plans, unsure when.</t>
  </si>
  <si>
    <t>Massage therapist on premises</t>
  </si>
  <si>
    <t>Risk is a model home the insured bought and will live in eventually. Leased back to builder.</t>
  </si>
  <si>
    <t>Probably better served on a commercial policy. If they won't do, we can consider  on DP3, X-Liability, would need info on security, location, who has access, kept locked, alarms.</t>
  </si>
  <si>
    <t>Nonrenewed by AAA as insured is a massage therapist. Discussed how total business excl would apply.</t>
  </si>
  <si>
    <t>Agent to get addl info on location on property, amount of foot traffic, and will submit.</t>
  </si>
  <si>
    <t>Decent insurance score.  • The fire department letter is addressed to “Mike Godwin”.  The insured is Joan Hart.  Can you fill us in on who Mike Godwin is?  Is Joan Hart the owner of the property?  Per Lisa 11/7, He is her GC and lives near this seasonal home. She is the owner and occupant.
• We also want to add a 10% additional surcharge due to the length of the lapse.</t>
  </si>
  <si>
    <t>Ennis Fam Realty LLC</t>
  </si>
  <si>
    <t>Alpine</t>
  </si>
  <si>
    <t>1964 home updated in 2007. Not in brush, no losses. Homeowners app, but email and details indicate this is a rental. No LLC form</t>
  </si>
  <si>
    <t>Approved subject to acceptable LLC form (gave parameters) on a Dwelling Fire form.</t>
  </si>
  <si>
    <t>Calcara, Jaspar</t>
  </si>
  <si>
    <t>1995 home with full c/s alarms. Nice photos online. Per photos, diving board, horse corral, orchard.</t>
  </si>
  <si>
    <t>Approved subj to pool excl if diving board; no animals per app, if this changes, please advise; orchard? If more than personal use, advise.</t>
  </si>
  <si>
    <t>Rowland, Edwin</t>
  </si>
  <si>
    <t>Court Jefferson</t>
  </si>
  <si>
    <t xml:space="preserve">Rancho Santa Fe </t>
  </si>
  <si>
    <t>WBS primary heat</t>
  </si>
  <si>
    <t>1992 cabin, nice online photos. Unknown roof update - agt applying exclusion. 30 day lapse as insd couldn't find covg for primary wbs. 20 min response time; risk is in brush, but value is lower.  Agt applied 10% s/c. Increase to 20% s/c for lapse, wbs primary, and resp time.</t>
  </si>
  <si>
    <t>Approved subj to roof excl; 20% s/c; must winterize pipes</t>
  </si>
  <si>
    <t>Bates, Luther</t>
  </si>
  <si>
    <t xml:space="preserve">Chatham </t>
  </si>
  <si>
    <t>2 rental structures</t>
  </si>
  <si>
    <t>Home and garage/apartment rented to others on same property - rented to different individuals.</t>
  </si>
  <si>
    <t>Advised Nichole of 2 options - A&amp;B addresses on 2 policies; or can schedule 2nd unit - like 2 decs. Manipulate liab prem and only list liab once.</t>
  </si>
  <si>
    <t>Pickles, Andrew</t>
  </si>
  <si>
    <t>Brush clearance?</t>
  </si>
  <si>
    <t>1979 home, no roof update per app. Has one loss listed, not surcharged, $0 paid per app. Fire specialist email indicates prop line is &lt;150' and some clearing of brush is not recommended due to erosion hazard.</t>
  </si>
  <si>
    <t>Approved subj to: 1. Detailed review of what clearing they CAN still do. 2. S/C 10% for imperfect brush clearing 3. S/C for loss if it is the insured's and there was any damage or LAE. 4. Add roof excl. 1979 home no indication of update.</t>
  </si>
  <si>
    <t>We are not a great market for this type of exposure when the home itself is the backdrop for photos. If inside of home, drawbridge, moat could be used by the wedding party, this is a concern. Tough to define a separation. X-Liability and with Total Business exclusion, coverage is getting kind of slim.  11/9/16 Branch still wants quote. Grapevines &amp; orchard on prem per online. Approved/subj to X-Liab, Total Biz Excl, either $0 oth str or exclude any bldgs used in weddings or grapes and orchard. Reminder to advise insured of the parameters of the excl. If they allow wedding party inside dwelling and there is a loss, there is no coverage for the dwelling.</t>
  </si>
  <si>
    <t>Kim</t>
  </si>
  <si>
    <t>Custy, Jane</t>
  </si>
  <si>
    <t>$385K jewelry</t>
  </si>
  <si>
    <t xml:space="preserve">Quote for a 1986 home in Charleton. Insd has $385,000 jewelry schedule. Offered to get a central station alarm. </t>
  </si>
  <si>
    <t>Outside our appetite. Provided contact info for Jamie Gregory in Specialty.</t>
  </si>
  <si>
    <t>Tarson</t>
  </si>
  <si>
    <t>Risk within Alex' authority. Loss runs show a fire loss for prior owner. $50K debris caught in pool heater started a fire, damaged pool and landscaping.</t>
  </si>
  <si>
    <t>Potential moral and/or liability hazard.  **Received this same risk from the Irvine office on 10/14 and declined. Sent Lisa a copy of my declination email.</t>
  </si>
  <si>
    <t>Eaton, William</t>
  </si>
  <si>
    <t>6 horses/PC10</t>
  </si>
  <si>
    <t xml:space="preserve">1984 home in brush. FD is 5.2 miles away. Accessible, visible. Agt applying animal exclusion. Personal use only. </t>
  </si>
  <si>
    <t>Confirm no breeding, boarding, riding lessons,then okay with animal exclusion. Confirm no excessive storage of hay in other structures - due to spontaneous combustion hazard. App says 5 minute response - probably more than that, but not more than 15.</t>
  </si>
  <si>
    <t>Parsons, Virginia</t>
  </si>
  <si>
    <t>Cape Neddick</t>
  </si>
  <si>
    <t>Vacant 3 terms</t>
  </si>
  <si>
    <t>Agent wrote a vacant policy with us in 2013. It has renewed twice. Now they are checking to see if we will go a 4th term. Insured taken many measures to mitigate loss.</t>
  </si>
  <si>
    <t>Extend Liability to Dock</t>
  </si>
  <si>
    <t>Delta has a risk she is looking at writing with us. Insured has a dock at a separate location.  Not a lot of details from branch - wanted to discuss before she called them.</t>
  </si>
  <si>
    <t xml:space="preserve">Discussed various options. Stand alone liab would be best. We don't have a form to extend. Would need full UW info on where is the dock, what is security, can just anyone get on it or pull up to it, what are circumstances that they have this at a separate prop, owned/rented/leased? Advised if all answers were great and we felt comfortable, we could always write a manuscript form. </t>
  </si>
  <si>
    <t>Lake Arrowhead</t>
  </si>
  <si>
    <t>Cripe, Terri</t>
  </si>
  <si>
    <t>Delong</t>
  </si>
  <si>
    <t>1948 home updated in 2015-2016. No heat. Water is drained. $2500 ded and surcharge due to no ins since purchase. 2 different families named on the app.</t>
  </si>
  <si>
    <t>Why buying coverage now?  Ins scores are acceptable. Asked to confirm no portable heater, no WBS. 20% s/c due to length of lapse.</t>
  </si>
  <si>
    <t>Stewart, Tony</t>
  </si>
  <si>
    <t>2007 home. Insd is race car driver. Chubb NRN due to media exposure. Full covg requested.</t>
  </si>
  <si>
    <t>Approved X-liability due to high profile.</t>
  </si>
  <si>
    <t>Gaal, James</t>
  </si>
  <si>
    <t xml:space="preserve">Charleston </t>
  </si>
  <si>
    <t>WV</t>
  </si>
  <si>
    <t>4 water claims</t>
  </si>
  <si>
    <t>1959 home with 4 prior pipe break claims. 2/15 $13K, 9/15 $45K, 1/16 $22K, 8/16 $39K. Per email, insured updated all plumbing. Quoted with S/C for 4 losses, $2500 AOP and $25,000 water damage ded (not on rater, but this is what Tamika said she quoted).</t>
  </si>
  <si>
    <t xml:space="preserve">Asked if ALL pipes were replaced or just visible. Agent reply doesn't sound 100% confident. Approved subj to: • Invoice showing ALL plumbing has been replaced, including plumbing within walls
• With surcharge for 4 losses
• $2,500 AOP deductible
• $25,000 water damage deductible
• .54 TIV 
</t>
  </si>
  <si>
    <t>Friedlinghaus, Ryan</t>
  </si>
  <si>
    <t>Bell Canyon</t>
  </si>
  <si>
    <t>2006 home. Per online search, insured is owner of West Coast Customs - 5 years ago had MTV show "Pimp My Ride". In brush, 2013 app okay. No losses.</t>
  </si>
  <si>
    <t>Ansari, Kouros</t>
  </si>
  <si>
    <t>Insured had $145,000 VMM claim at primary residence in 2014. At time of loss it was a rental. Tenant stole fixtures/contents. Carrier subrogated and recovered. Home is now insds primary. This unit is now a rental which is rented to friends of the insured. No surcharge for loss since different location and not within control of insured.</t>
  </si>
  <si>
    <t>Subj to new app. Advised agent who insured is. Reviewed briefly w/Louisa and no concern with liab coverage. Insured not too famous.</t>
  </si>
  <si>
    <t>Approved X-liability. Agt applied special water dmg ded. Advised no sewer backup due to loss.  11/14/16 Alison came back and advised the insured had a recent bankruptcy. Withdrew terms.</t>
  </si>
  <si>
    <t>Gavin, Martin</t>
  </si>
  <si>
    <t>North Fork</t>
  </si>
  <si>
    <t>1995 home w/partial updates. In brush. FD is 4.1 miles away. 15 min response. (9 min drive time per google). Accessible &amp; visible. Online photos show nearby brush and woodburning stove.</t>
  </si>
  <si>
    <t>Approved subj to completed and acceptable WBS quest and 150' brush clearance.</t>
  </si>
  <si>
    <t>Pfister, Matt</t>
  </si>
  <si>
    <t>Yucaipa</t>
  </si>
  <si>
    <t>1993 full log home. Response time is appx 5 minutes. FD confirmed to be 2.6 miles away. Very nice online photos. Central alarms.</t>
  </si>
  <si>
    <t>1995 home under renovation. Has been with Lex for 1 year. Renewal is pricing at $7600; we are $1000 less. Agent is shopping. Expect 6 months more. Interior flooring, cabinets, paint, baseboards left. Elec &amp; plumbing in place. Alex wants to bump our pricing closer to the $7600 and offer a 6 month or annual term.</t>
  </si>
  <si>
    <t>Celayeta, Brian</t>
  </si>
  <si>
    <t>Montrose</t>
  </si>
  <si>
    <t>Response time/not accessible</t>
  </si>
  <si>
    <t>1996 home used seasonally. Winterized. FD is 21 miles away and roads are not accessible in winter. Agent quoted with 25% s/c (consistent with other approvals). In brush, but there is a fire break around the property. Fire Line is a high 10 with heavy fuels.</t>
  </si>
  <si>
    <t>Getting a good surcharge, newer home, used minimally, winterized.</t>
  </si>
  <si>
    <t>Anderson, Gisele</t>
  </si>
  <si>
    <t>San Juan Capistrano</t>
  </si>
  <si>
    <t>Zipline</t>
  </si>
  <si>
    <t>1966 home updated in 2005. No brush exposure. 2013 loss. UW questions not answered. 3 dogs, 4 goats, small aviary, pool, trampoline, zipline. Insd nrn due to zipline.  No standard carriers are willing to write. Insd also has a firepit per inspection that is under overhang and canvas awning.</t>
  </si>
  <si>
    <t xml:space="preserve">See email: Concern with firepit-asked many questions. 10% addl s/c due to above avg liab exposure. Need details on 2013 water loss for file. All UW questions should be okay. Terrier mix dog? Advise insd excluded if a pit bull. </t>
  </si>
  <si>
    <t>Akiki</t>
  </si>
  <si>
    <t>Renting back to seller</t>
  </si>
  <si>
    <t>Insured is purchasing a home, renting back to the seller for 30 days and then starting a builders risk. May take 30-60 days to get the permits. Premium will be based on builders risk.</t>
  </si>
  <si>
    <t>Approved provided the home is vacant less than 60 while they are getting the permits (policy language).</t>
  </si>
  <si>
    <t>Gersh, Linda</t>
  </si>
  <si>
    <t>1959 home updated in 2015. Online photos look good. No concerns found w/name search. Father was famous director/producer.</t>
  </si>
  <si>
    <t>California Ventures LLC</t>
  </si>
  <si>
    <t>1989 seasonal home currently w/Lex. Agent looking to us for renewal. Inspection and rater provided.</t>
  </si>
  <si>
    <t>Approve subj to app, risk meter, LLC form, premises liab if LLC</t>
  </si>
  <si>
    <t>Royston, Patricia</t>
  </si>
  <si>
    <t>Home was built in 2004 of frame construction.  Primary PC9 in brush and no losses. Property has a 3000 gal holding tank and hydrant attachment on the premises.</t>
  </si>
  <si>
    <t xml:space="preserve">everything ok on home, google search reveals nothing concerning, premium quoted at Premium: $ $2500 AOP deductible; with 2500 wind/hail
</t>
  </si>
  <si>
    <t>Lindenmeyer</t>
  </si>
  <si>
    <t>Home w/prior suspicious fire loss and possible liability loss almost done being renovated since 2013 loss. Agent wants coverage as home will be up for sale and sold.</t>
  </si>
  <si>
    <t>Not much here for us.</t>
  </si>
  <si>
    <t>Short term policy</t>
  </si>
  <si>
    <t>Lexington renewal they want to change to Markel but then cancel on 11/21/16 as escrow is closing. Would MEP apply.  Yes it would.</t>
  </si>
  <si>
    <t>Advised MEP would apply.</t>
  </si>
  <si>
    <t>Barkett, Catherine</t>
  </si>
  <si>
    <t>Usage</t>
  </si>
  <si>
    <t>Risk is currently primary. Insured is moving out. Son will be living there weekdays and it will be rented out most weekends of snow ski season. Would we rate as secondary/rental or full rental.</t>
  </si>
  <si>
    <t>Advised if son is really living there, it would qualify as secondary/rental.</t>
  </si>
  <si>
    <t>Tartic, David</t>
  </si>
  <si>
    <t>Heathsville</t>
  </si>
  <si>
    <t>1989 home, lower value, FD is 7 miles away. Drive time appx 14 mins. It is a volunteer FD, but alarms will be installed.</t>
  </si>
  <si>
    <t>Approved subj to alarms being installed.</t>
  </si>
  <si>
    <t>Lilley, Timothy</t>
  </si>
  <si>
    <t>Parker</t>
  </si>
  <si>
    <t>Reduce wind/hail ded</t>
  </si>
  <si>
    <t>2010 frame home with tile roof. Rates require 1% wind/hail ded. Agent asking for it to be reduced to $10,000 due to tile roof.</t>
  </si>
  <si>
    <t>Hailscore is 5-Moderate. Hail loss expected every other year. Ran A+ - $2000 wind loss. Jeff is okay with 1%; or .5% if agent needs it but increase premium 5-10%.  Approved subj to a 1% ded, or .5% with a 10% surcharge. Also advised alarms are preferred but not required.</t>
  </si>
  <si>
    <t>Agt updated that offered with the $10,000 wind/hail deductible and 10% surcharge.  Also, that insured will install alarm in 6 months. KB</t>
  </si>
  <si>
    <t>Padinha, Carrie</t>
  </si>
  <si>
    <t>Essex Falls</t>
  </si>
  <si>
    <t>1929 build year,system  updates in 1990,  home in wife name only, father in law's company serving as GC, Cosmetic updates throughout interior</t>
  </si>
  <si>
    <t xml:space="preserve"> Confirmed spouse isn't doing renovations; gave approval with confirmation of fire protection since not listed on app, and expected completion of renovations within 1 year.</t>
  </si>
  <si>
    <t>Petersburg</t>
  </si>
  <si>
    <t>Vance Duck, Trina</t>
  </si>
  <si>
    <t>Prior Claim</t>
  </si>
  <si>
    <t>$142K water claim-prop was season for kids (originally parents prop), and frozen pip in March 2015. All repairs made, home now vacant for sale as kids no longer wish to use</t>
  </si>
  <si>
    <t>Agt quoted with 2500 AOP, $15K water ded. Approved subject to confirming prop would be winterized</t>
  </si>
  <si>
    <t>Tahoe City</t>
  </si>
  <si>
    <t>Almond Brothers LP</t>
  </si>
  <si>
    <t>Home was built in 1979 of frame construction.  Secondary (no rental) PC9 in brush and no losses. Partial Updates in 2000 except the roof done fully in 2005. Would like to offer with 25% ERC</t>
  </si>
  <si>
    <t>Confirmed response time is exactly 15 minutes, Good history/updates made to home. Suggesting alarm due to occupancy type, but won't require since "lower" value. Approved subj to the partner of the LP being an occupant of the home and visibility to neighbors</t>
  </si>
  <si>
    <t>Sacco, Maria</t>
  </si>
  <si>
    <t>Bakersfield</t>
  </si>
  <si>
    <t>This risk is being non-renewed by Gorst (through Lexington), because it has been under construction for 5 years and the insured had a vandalism claim on 03/20/2016 . The insured plans on finishing this year and it is 50% done.  The insured had put it on hold because she had some other pressing things going on but is focused on finishing this year.</t>
  </si>
  <si>
    <t>New build, poor loss experience with extensive builders risk that take so long to finish. Also, had claim related to the risk type (vandalism)</t>
  </si>
  <si>
    <t>Lemay, Richard &amp; Bay Thi</t>
  </si>
  <si>
    <t>Solvang</t>
  </si>
  <si>
    <t>Patterson/K.Burdine</t>
  </si>
  <si>
    <t>The insured sees approximately 5 clients per week and they do have GL in place. We would need to add the Sect. I &amp; II business exclusion. I applied a 10% s/c as well for the additional exposure, The home is a duplex and the insured’s son resides in the other unit. I did apply the animal exclusion to tenants and rate as 2 family. Requesting f/u on where on location and if full time/part time employement to be more comfortable on foot traffic</t>
  </si>
  <si>
    <t>Hanahan</t>
  </si>
  <si>
    <t>Age of Unit</t>
  </si>
  <si>
    <t>Updates were done in the 1980’s except for the roof which is a Spanish tile roof which was partially updated in 2016</t>
  </si>
  <si>
    <t xml:space="preserve">Google search revealed golf course "Yeamans Yacht Club" at same address. Per agent is open to public some months, private club remainder of year. Requesting info on # of structures at address (appears golf club has dining/bar/weddings etc.), commercial cov, and also home shows on plantation listing in SC so questioning if historic home. May consider with x-liab/ total business exclusion </t>
  </si>
  <si>
    <t>Ogden, Henry</t>
  </si>
  <si>
    <t>Jarrod Thomas, Peter</t>
  </si>
  <si>
    <t>Feather Lakes</t>
  </si>
  <si>
    <t>PC/Woodstove</t>
  </si>
  <si>
    <t xml:space="preserve">This is going to be a new purchase secondary property.  The current owner (not our insured) filled out the woodstove questionnaire for us, but they will maintain and clean as needed.  The cabin is accessible year round, and will be used year round.  The properties in the area are within a locked gated area.  It has a combo lock that is shared by the owners, and the local fire department has the combination as well.  </t>
  </si>
  <si>
    <t>Response time for seasonal home is outside our comfort level. Even though lower valued, response time is over an hour</t>
  </si>
  <si>
    <t>about 5 clients per week, in home, agreed to do with total business excl/x-liab</t>
  </si>
  <si>
    <t xml:space="preserve">Nix,David &amp; Virginia </t>
  </si>
  <si>
    <t>Multiple Owners/Roof Type</t>
  </si>
  <si>
    <t>Multiple owners (3 couples-fam members); secondary, rented 6 weeks; original wood roof; home listed for sale</t>
  </si>
  <si>
    <t>agt rated as a Secondary/Rental and added the Rental Endorsement and Animal Excl to Tenants endorsement; no brush, roof exclusion attached; extra 10% for roof and home for sale. Approved, but requested additional 5-10% surcharge to acct for addtl owners if remain competitve</t>
  </si>
  <si>
    <t>Agt f/u- Would you consider this one written on a DP3 with a surcharge that we can endorse to vacant once the reno is completed? Advised based on history, still not comfortable with risk. K.Burdine</t>
  </si>
  <si>
    <t>Garry</t>
  </si>
  <si>
    <t>First Land Holding 1 LLC</t>
  </si>
  <si>
    <t>Berlin</t>
  </si>
  <si>
    <t>MD</t>
  </si>
  <si>
    <t>LLC</t>
  </si>
  <si>
    <t>LLC-one member, established for real estate holdings. 1970's build year, all systems updated in 2005</t>
  </si>
  <si>
    <t>Home updated, LLC questionnaire acceptable, value OK, Google search of company yielded no concerns</t>
  </si>
  <si>
    <t>approved with a rush prop inspection; Loss on another prop, diff tenant, no longer owns that prop; inspection will reveal any liability concerns on current property</t>
  </si>
  <si>
    <t>Greenberg, Gary &amp; Betina</t>
  </si>
  <si>
    <t>Prior Loss w/ Bind Request</t>
  </si>
  <si>
    <t xml:space="preserve">HUCAH15000112-Prior loss-slip and fall at prop in another state; client feels claimant may have staged loss, about $17K paid out. </t>
  </si>
  <si>
    <t>McCaskill, Robert</t>
  </si>
  <si>
    <t>Belvedere</t>
  </si>
  <si>
    <t>Home was built in 1989 of frame construction. Primary PC 4 NOT in brush and no losses.</t>
  </si>
  <si>
    <t>google search of address and client OK, pics of home OK, premium and ded acceptable</t>
  </si>
  <si>
    <t>Patsouras, Larry</t>
  </si>
  <si>
    <t>PC 10/Response time</t>
  </si>
  <si>
    <t>Driving distance is 15 minutes, ran fireline as in brush-shows high. Since higher value TIV, not comfortable with high fireline at response time threshold</t>
  </si>
  <si>
    <t>Rochester</t>
  </si>
  <si>
    <t>Home photos excellent, PP limit justified, pool will be excluded, no liab being requested</t>
  </si>
  <si>
    <t>Home was built in 1991 of frame construction. Roof updated in 2016. Has pool with diving board but back yard is fenced in. Will be adding pool exclusion. Vacant PC 5 NOT in brush and no losses.</t>
  </si>
  <si>
    <t>Zack, Dominic</t>
  </si>
  <si>
    <t>The dwelling is currently insured with State Farm, but they are getting off the risk on12/7 due to the change in occupancy.</t>
  </si>
  <si>
    <t>Home was built in 2000 of frame construction.  Primary PC9 NOT in brush and no losses. Has C/S Alarms.</t>
  </si>
  <si>
    <t xml:space="preserve">Even with no brush, response time is 15-20 minutes, volunteer FD. </t>
  </si>
  <si>
    <t xml:space="preserve">Littlewood </t>
  </si>
  <si>
    <t>Warner, Kevin &amp; Kelly</t>
  </si>
  <si>
    <t>Elkton</t>
  </si>
  <si>
    <t>Home built 1996, 15 min response time, no alarms</t>
  </si>
  <si>
    <t xml:space="preserve">Response time within limits, tanker trucks bring water and pool on premise. </t>
  </si>
  <si>
    <t>Groop, Peter</t>
  </si>
  <si>
    <t>Christiane, Niels &amp; Marie</t>
  </si>
  <si>
    <t>Home was built in 2000 of frame construction. Roof updated in 2016. Primary PC 1 in brush and no losses. Customer also wants lower coverage B/C/D</t>
  </si>
  <si>
    <t>Home was built in 2000 of frame construction.  Primary PC 10 NOT in brush and one fire loss that has currently paid out over $300k. Fire was determined accidental/undetermined. Home is being rebuilt at this time.</t>
  </si>
  <si>
    <t xml:space="preserve">Open claim (Fire loss), $300K payout to dat-undetermined loss cause, 30 min respose time </t>
  </si>
  <si>
    <t>response time/open claim</t>
  </si>
  <si>
    <t>Nancy</t>
  </si>
  <si>
    <t>Gordon, Serena</t>
  </si>
  <si>
    <t>Sylvester, Gregg</t>
  </si>
  <si>
    <t>1866 year built w/updates</t>
  </si>
  <si>
    <t>Vacant DP3 w/no losses. Built in 1866. Updated/renovated in 1995. Very nice home. This is a row house. Online photos show firewalls and rest of row looks very nice from the outside.</t>
  </si>
  <si>
    <t>Dagle, Dorothea</t>
  </si>
  <si>
    <t>Cromwell</t>
  </si>
  <si>
    <t>CT</t>
  </si>
  <si>
    <t>Vacant 2 terms</t>
  </si>
  <si>
    <t xml:space="preserve">Agent looking to renew home that has been vacant with us for 2 terms. No solid plans. Work still needs to be done. </t>
  </si>
  <si>
    <t>Asked additional questions about winterizing, caretaker, etc. Email in file.  Everything sounds good. Issue outstanding is water pipes for heater. Insured has a temp alarm, and they are checking very regularly. Feel this mitigates loss.  Prem incr from $3308 to $4522 helps too.</t>
  </si>
  <si>
    <t>Burns Family Trust (Burns, Martin)</t>
  </si>
  <si>
    <t>Prop Mgt Co in home</t>
  </si>
  <si>
    <t>Family business w/3 fam members and 1 addl employee.  Office only w/no foot traffic. Prem liab only. Home in name of 2 trusts. Insd rents from the trust. Ho4 policy written for them.</t>
  </si>
  <si>
    <t>Approved with Total Business Exclusion.</t>
  </si>
  <si>
    <t>Malloy, Dan</t>
  </si>
  <si>
    <t>2004 home w/multiple structures on 193 acres. No liab - agent writing a farm liab pol for the acreage that is leased for neighbor to farm. FD 4.4 miles/10 min response. Accessible. Str include guest dwelling, rec room, garage, storage.</t>
  </si>
  <si>
    <t>Guerrero, Jason</t>
  </si>
  <si>
    <t>Winter Park</t>
  </si>
  <si>
    <t>TIV/PC10</t>
  </si>
  <si>
    <t>2007 home with alarms. 20 min response time from combination department. Partially visible to neighbors. Nice online photos.</t>
  </si>
  <si>
    <t>Not comfortable w/this value with 20 min response. Rented. Combination FD. Could only get FireLine Zip match.</t>
  </si>
  <si>
    <t>Phillips, Dianne</t>
  </si>
  <si>
    <t>Bankruptcy/Losses</t>
  </si>
  <si>
    <t xml:space="preserve">1983 home with 2013 Chapter 7 bankruptcy and 3 losses.  Roof loss paid in 6/15, never fixed. Insured has refinanced and will use part of that money and some left from claim to replace roof. </t>
  </si>
  <si>
    <t>Concern w/moral hazard. Bankruptcy and losses raise a red flag. Insurance score under 550.</t>
  </si>
  <si>
    <t>Rihan, Husam</t>
  </si>
  <si>
    <t>Poway</t>
  </si>
  <si>
    <t>2016 new build ground up. Lot currently is open with an in ground pool per online photos.</t>
  </si>
  <si>
    <t>Suggested pool exclusion and provided online photo.</t>
  </si>
  <si>
    <t>Shaaya Living Trust</t>
  </si>
  <si>
    <t>Renewal currently w/Lloyds, we are competitive. 1990 home w/2014 theft claim $5000 and 2015 water damage (no payout - fees only).</t>
  </si>
  <si>
    <t>Finfer, Stephen</t>
  </si>
  <si>
    <t>Renewal currently w/Lloyds, we are competitive. 1980 home in brush.</t>
  </si>
  <si>
    <t>Puopolo, Mark</t>
  </si>
  <si>
    <t xml:space="preserve">Palm Springs </t>
  </si>
  <si>
    <t>1942 home updated in 2006. Used a residence w/rental up to 20 weeks. Also used by corporations for photo shoots, etc.</t>
  </si>
  <si>
    <t>X-Liability; rate as sec w/20+weeks rental; RC ok vs MFRC due to level of update. NI okay w/trust as AI. Reviewed w/Louisa.</t>
  </si>
  <si>
    <t>Swain, Jonathan</t>
  </si>
  <si>
    <t>Cazenovia</t>
  </si>
  <si>
    <t>2016 new build. Per online source, property is over 400 acres w/outbuildings. 16 min response time per PC quest. I can't validate address of prop or FD online, but we have preplan from FD which supports response time.</t>
  </si>
  <si>
    <t>Validate use and condition of outbuildings.  Placement of home doesn't impact response time and is accessible by emergency veh.</t>
  </si>
  <si>
    <t>662 Saddle Ridge LLC</t>
  </si>
  <si>
    <t>Edwards</t>
  </si>
  <si>
    <t>1996 home, gutted/remodeled in 2016. No alarm. Prior owner had fire loss. Insured bought, renovated, now up for sale.</t>
  </si>
  <si>
    <t>Valley Dream Center</t>
  </si>
  <si>
    <t>Fresno</t>
  </si>
  <si>
    <t>Owned by non-profit</t>
  </si>
  <si>
    <t>1968 home updated. Owned by non-profit. Tenant is the Exec Director.</t>
  </si>
  <si>
    <t>Bubonic, Joseph</t>
  </si>
  <si>
    <t>1972 home w/updates in 2001. Insured has water loss 8/16 $26,559. Agt applied $15K water damage ded. 2nd loss 7/25/16 Contamination $136,800. Was from mold-remediated and there is a certificate.</t>
  </si>
  <si>
    <t>Gardner, Daniel</t>
  </si>
  <si>
    <t>DP3 Rental Schedule</t>
  </si>
  <si>
    <t>74 units</t>
  </si>
  <si>
    <t>Need an alarm. Gave them 30 days to install CSFB.  Online description shows private location. Also need to be winterized and heat left on.</t>
  </si>
  <si>
    <t>Rental homes around the Denver area. All are full time rental, no business. Reviewed w/Jeff.</t>
  </si>
  <si>
    <t>Castle Inspection OK (just noted brush), approving with understanding that if customer wants to signifcantly increase limits need to be mindful of TIV. 11/30 Follow up indicated no alarms, but has sprinkler, visibile to neighbors. $5K ded. Ok'd same rate.</t>
  </si>
  <si>
    <t>ERDG Trust</t>
  </si>
  <si>
    <t>1990 builders risk. Prior plumbing loss $378,150 due to plumbing issue. Interior work complete. Exterior updates being done.</t>
  </si>
  <si>
    <t>Not sure this is really builders risk. Sounds like vacant with some exterior updates being done. Would need more detail on the claim itself. Need full submission to approve.</t>
  </si>
  <si>
    <t>Nov</t>
  </si>
  <si>
    <t>Peterson, Charles</t>
  </si>
  <si>
    <t xml:space="preserve">Temecula </t>
  </si>
  <si>
    <t>1977 home. No updates indicated. Online source shows stable, horses, corrals, guest house. 14 min response time per my check - FD is 7.6 miles away.</t>
  </si>
  <si>
    <t xml:space="preserve">Burns sent DNOC due to not meeting brush clearance. Insured had pro landscaper come in and trim, etc and letter form insd states they have 100' defensible space.  </t>
  </si>
  <si>
    <t>Leslie was inquiring as there are many excellent things about the risk. Advised the Wildfire Warranty form will stand if there is a claim so we have to get confirmation from an inspector that there is 150' clearance and requirements of the form are met.</t>
  </si>
  <si>
    <t>Martin, James</t>
  </si>
  <si>
    <t>Coarsegold</t>
  </si>
  <si>
    <t>This is a renewal that we previously approved. Facts have not changed. Delta was courteously checking to see if we wanted to reunderwrite since our referral criteria tightened up.</t>
  </si>
  <si>
    <t>Advised if prev approved, we don't need to see renewals as we were previously more lenient. If FD changes or material facts of risk change, then we want to see those.</t>
  </si>
  <si>
    <t>Thames, Byron; Fisher, Trish</t>
  </si>
  <si>
    <t xml:space="preserve">1991 home in brush with full alarms. Mr. is actor/film editor. Mrs. Is actress. She has been in some recent TV. Mother is actress Connie Stevens, father is singer Eddie Fisher, sister is Carrie Fisher (Star Wars). </t>
  </si>
  <si>
    <t>Marwood</t>
  </si>
  <si>
    <t>Insured is in the business of "energy healing" (Reiki). They work from home but majority is through skype and zoom. They "may" see 1 client per month.</t>
  </si>
  <si>
    <t>Add Total Business Exclusion.  1 client per month is not too much of an exposure to trust the excl. Agt will review limitations. No increased phys dmg exposures.</t>
  </si>
  <si>
    <t>Avana, LLC</t>
  </si>
  <si>
    <t xml:space="preserve">1933 home updated. Student housing at Lehigh University for 4 students. Rented to "upperclassman - juniors". </t>
  </si>
  <si>
    <t>Advised we are not comfortable. May consider grad student exceptions.</t>
  </si>
  <si>
    <t>Kashat, Ayad</t>
  </si>
  <si>
    <t>Increase Cov A</t>
  </si>
  <si>
    <t>Wrote at $800K. Inspection came in around $600K. SF has now increased with the COC. $900K Cov A is now justified.</t>
  </si>
  <si>
    <t>Schwarts</t>
  </si>
  <si>
    <t>$25K tool schedule</t>
  </si>
  <si>
    <t>COC with GC doing the work. Insured has $20-$25K in tools he wants insured. Will be at the prop during renovation.</t>
  </si>
  <si>
    <t>What kind? How secured? Other contents?</t>
  </si>
  <si>
    <t>Caldwell, Mardie</t>
  </si>
  <si>
    <t>1896 home fully updated, but gutting is not confirmed yet. Prior schedule rug loss - $95K w/farmers. Rugs were cleaned and it damaged them. Also $7500 pipe break. Per app, pipes fully updated (replaced) in 1990.</t>
  </si>
  <si>
    <t>No sched PP due to loss. Gave Jamie's contact info at Markel Specialty. Prior to 1900 and not gutted is ineligible. Offered exception if we confirm home is excellent. Can't find online pix. Re pipe, confirm 1990 was full replacement. If not, need higher water damage ded $5K or $10K-can discuss. Need older home quest.</t>
  </si>
  <si>
    <t>Russell, Martha</t>
  </si>
  <si>
    <t xml:space="preserve">Charlottesville </t>
  </si>
  <si>
    <t>1919 home w/small amt of asbestos under the windows.</t>
  </si>
  <si>
    <t>Not something we wish to insure. Home online doesn't look great.</t>
  </si>
  <si>
    <t xml:space="preserve">Subj to roof exclusion (if roof not replaced), and investigate possible animal exposure, verify condition of other structures. Per Delta 12/2, no animals, structures ok. Roof is tile. </t>
  </si>
  <si>
    <t>Mendoza, Raymond</t>
  </si>
  <si>
    <t>1904 home w/updates. Looks okay online. Insurance score is decent. Insd paid off mortgage and didn't realize he still needed insurance. Was advised he did.</t>
  </si>
  <si>
    <t>Add 10% s/c to the 31-90 day lapse rate.</t>
  </si>
  <si>
    <t>Geiser, Ryan</t>
  </si>
  <si>
    <t xml:space="preserve">Arapahoe </t>
  </si>
  <si>
    <t xml:space="preserve">1993 home that is a new purchase. Insd is letting sells live there as tenants for a few months. </t>
  </si>
  <si>
    <t>Mitchell, Elizabeth</t>
  </si>
  <si>
    <t>Taos</t>
  </si>
  <si>
    <t>Adobe construction</t>
  </si>
  <si>
    <t>1952 adobe home, average condition per photos. Interior renovations complete. Some exterior adobe repairs being done by contractor brother who is living there. Some chickens - no concern. 3 mi to FD.</t>
  </si>
  <si>
    <t>Insured sold home to new owner and kept the mortgage. New owner didn't pay, home being foreclosed. Will be a rental.</t>
  </si>
  <si>
    <t>Can write when owner is out and home is tenant occ. Don't want to insure during foreclosure.</t>
  </si>
  <si>
    <t>OK w/$15k water ded, 15% addl s/c due to loss size, no mold coverage.</t>
  </si>
  <si>
    <t>Initially advised we are not comfortable renewing. Several days later agt said grandson is planning to move in but no date. I pressed for info and found out the policy renewed yesterday (12/5). Supposed to be 90-120 day review prior to renewal. Asked, and they are behind.</t>
  </si>
  <si>
    <t>Hillard, Patrick</t>
  </si>
  <si>
    <t>Fraser</t>
  </si>
  <si>
    <t>1997 home with 2 losses - hail and adult son suicide in basement/cleanup.</t>
  </si>
  <si>
    <t>Semradek</t>
  </si>
  <si>
    <t>Brush</t>
  </si>
  <si>
    <t>1992 home in brush. "80 acre turned parcel" with cleared brush</t>
  </si>
  <si>
    <t>Wertheim</t>
  </si>
  <si>
    <t>2006 home, renovating to move in. Work done by lic GC. Online looks nice. In brush</t>
  </si>
  <si>
    <t>Martinez, Cliff</t>
  </si>
  <si>
    <t>1957 home updated in 2000 in brush no alarms. Insured is a music composer, was drummer for Red Hot Chili Peppers and Captain Beefheart.</t>
  </si>
  <si>
    <t>Not "too famous". Ensure 150' clearance. Primary home/work at home okay with no alarms.</t>
  </si>
  <si>
    <t>Apice, Raymond</t>
  </si>
  <si>
    <t>Extend Liability to Seasonal</t>
  </si>
  <si>
    <t xml:space="preserve">Agent wanted to extend liab to seasonal in Ocean City, NJ. </t>
  </si>
  <si>
    <t>Advised we do not extend to seasonal or rental properties as we can't underwrite or monitor.</t>
  </si>
  <si>
    <t>Discussed w/Rodney - seems concern from fire, wind, etc is low. Asked for details of renovation and extent of adobe "damage". Asked if frame w/adobe, solid adobe, or reinforced. Add cosmetic roof for metal roof str. 12/6 discussed w/Jeff. He is okay w/adobe w/10% surcharge for construction. Add cosmetic roof.</t>
  </si>
  <si>
    <t>Cook, Carl</t>
  </si>
  <si>
    <t>Bloomfield</t>
  </si>
  <si>
    <t>TIV/AirBnB</t>
  </si>
  <si>
    <t>1993 home w/updated roof in 2015. 11 min response time per FD. Full alarms. 2 night min with AirBnB-rent a room or whole house. Insd not there. Pool with diving board-agt adding pool exclusion. Animal question not answered on app.</t>
  </si>
  <si>
    <t>Subj to Verification of no animals (Burns program includes animal liability). Pool excl (as noted)</t>
  </si>
  <si>
    <t>Cappuccio, Joseph</t>
  </si>
  <si>
    <t>2016 frame home in brush. Beautiful online photos. Some UW questions are blank.</t>
  </si>
  <si>
    <t>Reminded of $5M TIV max due to reinsurance. Subj to uw questions answered acceptably.</t>
  </si>
  <si>
    <t>Yes, this was the same risk Burns just submitted.  2016 frame home in brush. Beautiful online photos. Some UW questions are blank.</t>
  </si>
  <si>
    <t>$8300 premium per email</t>
  </si>
  <si>
    <t>Robertson, Teresa</t>
  </si>
  <si>
    <t>HO3 Primary/Com'l</t>
  </si>
  <si>
    <t>Russell Springs</t>
  </si>
  <si>
    <t xml:space="preserve">2006 home in PC9. 2 family dwelling. Insured lives in rear 1600 SF section. Rents the "hall" portion out to her sister's business. She holds weddings and events in the hall area. </t>
  </si>
  <si>
    <t>Total Business Excl would exclude everything if there was a loss that was related to this business.  If in home, we can handle some light exposure. This is a pretty big phys dmg and liab exposure to try to exclude. Com'l pol only covers the liability leaving a gap - lots of pressure if there is a big loss.</t>
  </si>
  <si>
    <t>$7856 premium w/no credit.  This is only the 2nd time we've received a request for approval from 2 agents.</t>
  </si>
  <si>
    <t>Wiseman, Nicholas</t>
  </si>
  <si>
    <t>Valparaiso</t>
  </si>
  <si>
    <t>Business on property</t>
  </si>
  <si>
    <t>2016 home PC5. Insured owns and operates OCR Training on property. Agent quoted X-Liability. Insd has GL and participant accident insurance.</t>
  </si>
  <si>
    <t>Approve with Total Business Exclusion.</t>
  </si>
  <si>
    <t>Downs, David</t>
  </si>
  <si>
    <t>Home on national registry</t>
  </si>
  <si>
    <t>1910 home gutted and remodeled in 2016. 10% ord/law. Rented 10-14 weeks. Per agt home is beautiful. Found online historic district that encompasses 48 buildings in this area.</t>
  </si>
  <si>
    <t xml:space="preserve">• With this home being on the National Registry, are there ever any tours conducted of the home, or any events held at the home related to this?
• Could you please forward me either a recent inspection or a web address to look at interior/exterior photos?
• Was the interior completely gutted, or was some of the architecture maintained?  Are walls drywall or plaster?  Original woodwork or new?  Any unique features inside?
• What are the attributes of the home that have it on the historic register.
• Is this quoted with Modified Functional Replacement Cost?• What kind of requirements are there from the registry for maintaining the condition or features should a loss occur?
• Do you need the 6% credit to be competitive?  We typically add a 10% surcharge for homes on National Registry due to additional exposure if there is a loss.
</t>
  </si>
  <si>
    <t>Hayes, Jerilyn</t>
  </si>
  <si>
    <t>Twain Harte</t>
  </si>
  <si>
    <t>1979 home with only heating update in 2003 and roof in 2007. $300K market; $953 Cov A. Lapse since April due to non-pay. Insd is disabled. Ins score is average. Collections for med bills. Uses pellet stove. Online photo shows lots of debris on roof.</t>
  </si>
  <si>
    <t>Due to lapse.</t>
  </si>
  <si>
    <t>Kagan, Roman</t>
  </si>
  <si>
    <t>1981 home in process of renovation. Curr carrier nonrenewed eff 12/14. Will be occupied during reno. Adding ho-3 type coverages.</t>
  </si>
  <si>
    <t>Cunat, Brian</t>
  </si>
  <si>
    <t>Napa</t>
  </si>
  <si>
    <t>Vineyard on premises</t>
  </si>
  <si>
    <t>2008 modular home on 11 acres which are leased to someone who grows and harvests grapes. Lease is in place through 2021. Vineyard is separate from home, no tasting. Number of oth str which agt will exclude any business related. Total Biz Excl being added. CGL in place by lessee.</t>
  </si>
  <si>
    <t>Black, Michael</t>
  </si>
  <si>
    <t xml:space="preserve">Red River </t>
  </si>
  <si>
    <t>2007 log home. Insured has self insured for several years. (CEO of gas and oil co. ) Agt to obtain signed no loss, 10% s/c, photos, no credit for $2500.</t>
  </si>
  <si>
    <t>Ins Score okay. No online photos. Online articles talk about millions of dollars.</t>
  </si>
  <si>
    <t>Subj to reviewing inspection to ensure all poor condition structures are excluded. Evaluate Cov A as this is a modular. No brush s/c as map showing in brush is an outline of the vineyards which are not brush. Including wildfire mitigation form. Surcharge if possible.  Alex used log vs. frame and added s/c to reach 1% addl prem.</t>
  </si>
  <si>
    <t>Opstead, Dean</t>
  </si>
  <si>
    <t>1994 home. Roof updated in 2006. Vacation rental occupied. Home is on Lake Vermilion. Online source shows the sale came with pontoon, fishing boat, canoes, kayaks. 15 min response time reported. Google shows 16 min drive time. Visible, paved, volunteer FD.</t>
  </si>
  <si>
    <t>Subj to confirmation of 15 min response time. If longer, need to re-evaluate terms. Willing to offer X-liab if boats etc. are still there.</t>
  </si>
  <si>
    <t>VV Invest LLC</t>
  </si>
  <si>
    <t>Leaking oil tank</t>
  </si>
  <si>
    <t>Insured has a property he will be fixing up to rent. There is leaking underground oil tank on the property. Prior owner removing it.</t>
  </si>
  <si>
    <t>Big concern with environmental hazard. Not comfortable, even if we knew it was prof co and we drafted specific addl exclusions.</t>
  </si>
  <si>
    <t>Thomsen, Nina</t>
  </si>
  <si>
    <t>4th vacancy renewal</t>
  </si>
  <si>
    <t xml:space="preserve">Too late to NRN. Insured expects to put up for sale soon. </t>
  </si>
  <si>
    <t>Advised preference is nrn after 2 terms. Asked for $5000 ded and 15% surcharge for $2643 premium.</t>
  </si>
  <si>
    <t>1951 build, all updates made (per app, elec partial); coal stove primary heating device</t>
  </si>
  <si>
    <t>Subject to surcharge for coal heating (per review seems OK) , and confirmation whether there is a drop-off at pool as appears in pic (Also steps on that side). If there is, advised need to consider x-liab</t>
  </si>
  <si>
    <t>build year, heat source</t>
  </si>
  <si>
    <t>Kawachi, Dennis</t>
  </si>
  <si>
    <t>Schonyers, Tanya</t>
  </si>
  <si>
    <t>Ventnoor</t>
  </si>
  <si>
    <t>Confirm pipes have been replaced and there is no galvanized.</t>
  </si>
  <si>
    <t>1935 home updated in 2016.  1/15/16 $100K water loss. Pipe burst. Repaired. $10K water ded.</t>
  </si>
  <si>
    <t>Busse Consulting LTD</t>
  </si>
  <si>
    <t>17 mortgagees</t>
  </si>
  <si>
    <t>Newer policy where agent wants to add 17 mortgagees - random people with $50K + invested it appears.</t>
  </si>
  <si>
    <t>NB criteria says more than 3 ineligible. Raises red flags on financial situation.</t>
  </si>
  <si>
    <t>Kagan, Milton</t>
  </si>
  <si>
    <t>1962 home updated. Agt moving from Lloyds. Looking to match rate of $2456. Risk looks fine. In Renie fire zone.</t>
  </si>
  <si>
    <t>Gave 12% credit to get rate to $20 more than Lloyds. Good agent. Good risk.</t>
  </si>
  <si>
    <t>Dewell, James</t>
  </si>
  <si>
    <t>Our direction for medical professions is to only offer terms X-Liability. Insd could be perceived to have deep pockets. Also include Total Business Exclusion.</t>
  </si>
  <si>
    <t>Insured performs shaminism in the home. Had prior liab loss - friend fell - claim denied.  Insd has $2M GL.</t>
  </si>
  <si>
    <t>Lorenzo, Shard</t>
  </si>
  <si>
    <t>Per our conversation earlier today, please reply back when you get the Fire Marshall Report.  We’re open to these large losses with a charge for the loss as well as an additional surcharge.  Additionally, we’d like a little more information on why it took 4 ½ years to put the home back together?  Was a licensed GC and licensed contractors used?  Did the insured do the work?  What are his credentials?</t>
  </si>
  <si>
    <t>1981 home w/prior $400,000 loss in Feb 2012.  Fire to new purchase caused by Water Tank. Home just now completed, renewal up 12/30. No fire marshall report yet - agt has requested.</t>
  </si>
  <si>
    <t>Auerbach</t>
  </si>
  <si>
    <t>Insured is an online ticket broker, no traffic. Agent applying Total Business Exc.</t>
  </si>
  <si>
    <t>Rios, Angel</t>
  </si>
  <si>
    <t>Batesville</t>
  </si>
  <si>
    <t>1975 frame home updated. Insured sets up food truck on weekends in driveway. 30 customers all weekend. No GL policy. No liability quoted.</t>
  </si>
  <si>
    <t xml:space="preserve">• We are unable to find good online photos.  Do you have a recent inspection or photos?  (We have a concern with the condition of a home with a $75,000 Cov A.)
• App indicates updates completed in 2016 and 2005.  Were these full or partial updates?
• How far is the food truck parked away from the home?
• Is there cooking conducted?  What is the source of fuel for cooking?  Where is it stored? 
• Is there a fire extinguisher in or outside of the food truck?
• If we do proceed, it would be subject to the Total Business Exclusion.  
</t>
  </si>
  <si>
    <t>Whitney Jr., John Harvey</t>
  </si>
  <si>
    <t xml:space="preserve">2000 build yaer, CS combo and interior speaers, no losses, lexington renewal-was approved last year but kept lex pol last year, 50% ERC and 25,000 water backup
</t>
  </si>
  <si>
    <t>extremely low brush, long term customer of hull, will approve again</t>
  </si>
  <si>
    <t>Agreed to write with MFRC and 10% surcharge per answers from agent.</t>
  </si>
  <si>
    <t>Rosenbaum, David</t>
  </si>
  <si>
    <t>1948 home w/updates in 2011. No brush. Insds pit bull mix bit mailman. $200K reserve. Insd is keeping the dog.</t>
  </si>
  <si>
    <t>Approved subj to 5% deductible and remind insd of exclusions in limited animal liab. $10K max. Advised agt can also have Exclusion form, but can't have both.</t>
  </si>
  <si>
    <t>Home updated, looks okay. 20' from home w/propane tank for cooking and FE. Approved subj to no liab (as quoted-front steps a concern, outside fridge and chest freezer a concern). Total Biz Excl.</t>
  </si>
  <si>
    <t>Pool slide</t>
  </si>
  <si>
    <t>Risk has a rock slide with steps built into a hill. Slightly over 5'. Do they have to exclude.</t>
  </si>
  <si>
    <t>Concern is over free standing slides where people fall off the top. Photos look okay of this slide built into a hill.</t>
  </si>
  <si>
    <t>Policy HUCAH150001117-insured doesn't want to install handrail on steps since built to code</t>
  </si>
  <si>
    <t>Approved since photo shows walls on either side of steps (in backyard) to mitigate fall hazard</t>
  </si>
  <si>
    <t>Property hazard</t>
  </si>
  <si>
    <t>Vacant</t>
  </si>
  <si>
    <t>HUCAH150001117</t>
  </si>
  <si>
    <t>HUCAH150000184</t>
  </si>
  <si>
    <t>Vacant/Builders Risk</t>
  </si>
  <si>
    <t>Builders Risk Renewal</t>
  </si>
  <si>
    <t>Renewal of vacant home/for sale, dmg to a tub faucet (completely ripped off), questioned if repairs needed</t>
  </si>
  <si>
    <t>Requested info on renewal since sounds like it may be the second renewal so requesting explanation. Advised would suggest faucet repair (in case water turned on for a home inspection), but won't require</t>
  </si>
  <si>
    <t>Borger, Asaf</t>
  </si>
  <si>
    <t>Insured is EDM DJ Borgore. Online info shows him to be controversial, X-rated, etc. gives us an indication this could be a party house. Had 1 prior water claim - rain entered balcony.</t>
  </si>
  <si>
    <t>Reviewed w/Jeff and online view of photos. Considered X-Liab. Due to concern of party house, we declined.</t>
  </si>
  <si>
    <t>Allia, Charles  RUA14077</t>
  </si>
  <si>
    <t>Other structures &gt;50%</t>
  </si>
  <si>
    <t>Insured has renovated a garage on the property into a rental apartment. Ray asked to exceed 50% and write as a 2 family risk.</t>
  </si>
  <si>
    <t>rental</t>
  </si>
  <si>
    <t xml:space="preserve">Approved property only, X-Liability. Bordering "too famous" esp due to family connections.//12/19/16 agent asked for reconsideration - reviewed w/Jeff and we agreed we could write liability. </t>
  </si>
  <si>
    <t>Cassidy, Charles</t>
  </si>
  <si>
    <t>Gunnison</t>
  </si>
  <si>
    <t xml:space="preserve">1980 log veneer home w/metal roof. Response time noted as 20-30 min. Online search of FD address shows 40 min drive time…doesn't consider volunteer FD. Medium RiskMeter. High FireLine with heavy brush. </t>
  </si>
  <si>
    <t>Pimineta, Hugo</t>
  </si>
  <si>
    <t>Ownership by 2 Trusts &amp; LLC</t>
  </si>
  <si>
    <t>1937 home w/updates. 3 family dwelling co-owned by 2 trusts &amp; LLC.  Occupied by LLC member and 1 trust member. Agt rated w/10% s/c for rental for 3rd unit which is AirBnB rental.</t>
  </si>
  <si>
    <t>Check on partial roof and partial elec update. Rest of terms as agent noted are acceptable.</t>
  </si>
  <si>
    <t>HUCAH150001017</t>
  </si>
  <si>
    <t>Empty pool - COC</t>
  </si>
  <si>
    <t>Yes, apply exclusion due to exposure of workers coming and going getting</t>
  </si>
  <si>
    <t>Inspection shows pool and spa almost empty with stagnant water in the bottom. Agent asks if pool exclusion should be added for this COC.</t>
  </si>
  <si>
    <t>Parker, Michael</t>
  </si>
  <si>
    <t>1987 home updated. Insd lab/australian shep mix dog bit the gardener. Agt quoting with animal exclusion.</t>
  </si>
  <si>
    <t>Agt confirmed first renewal, and will request insured fix faucet. Approved to release terms</t>
  </si>
  <si>
    <t>Clear Horizon Capital, Inc</t>
  </si>
  <si>
    <t>DP3 Seasonal Rental</t>
  </si>
  <si>
    <t>PC 10/TIV</t>
  </si>
  <si>
    <t>builders risk in CA.  Home was built in 1987 of frame construction, PC 10 w/ 10 minute response time, in brush. Insured GC, Subs have insurance; liab excluded</t>
  </si>
  <si>
    <t>No info on principal/designee. Advised as long as inc. info OK, and principal will be occupant once completed then approval ok w/no liab</t>
  </si>
  <si>
    <t>Revo, Bharpur</t>
  </si>
  <si>
    <t>Renting to management co</t>
  </si>
  <si>
    <t>2008 "seasonal rental". Insured rents to management co who then re-rents to renters. Home is booked for 52 weeks as a seasonal rental. 3 might minimum. Travelers nonrenewed as they rated it as an apartment.</t>
  </si>
  <si>
    <t>Call to Delta w/numerous questions about the situation.</t>
  </si>
  <si>
    <t>Guilkey, Paul</t>
  </si>
  <si>
    <t>Clayton</t>
  </si>
  <si>
    <t>Confirmed home is 4 mi from FD with 9 min response time per my check. Not in brush. 1992 home. Local alarm only.</t>
  </si>
  <si>
    <t>App asks for liab extension to another property - we don't do that.  App notes prior cancel/nrn. Approved/subject to an acceptable answer.</t>
  </si>
  <si>
    <t>Numsen, Paul</t>
  </si>
  <si>
    <t>Garfield</t>
  </si>
  <si>
    <t>Response time 15-20 mins</t>
  </si>
  <si>
    <t xml:space="preserve">2016 home not in brush. Has WBS. PC quest says not paved and not accessible - not sure which or both as info is conflicting. </t>
  </si>
  <si>
    <t xml:space="preserve">• How was response time verified? 
• I am unable to find the address on a google search.  Please verify home address and fire department address
• Are the roads not paved, or is the home not accessible?  Information isn't clear on the PC quest.
• What is the primary heat source?  
• Is home winterized when not in use?  Is heat kept on?
• App notes there is a FT employee.  How often are they at the home?  Is this the case year round?
</t>
  </si>
  <si>
    <t>Clemens, Curt</t>
  </si>
  <si>
    <t>1988 home fully updated, not in brush (Renie). Online photos look good.</t>
  </si>
  <si>
    <t>Austin, Michael</t>
  </si>
  <si>
    <t>Big Bear City</t>
  </si>
  <si>
    <t>1995 frame home (looks like log online). Not in brush. Very nice looking home.</t>
  </si>
  <si>
    <t>Confirm whether this is log and if so, ensure rating is correct. Can't read uw question answers - subj to acceptable answers.</t>
  </si>
  <si>
    <t>Galstanyan, Shagen</t>
  </si>
  <si>
    <t xml:space="preserve">Glendale </t>
  </si>
  <si>
    <t>1988 home in brush, no alarm. Online search http://www.insurancejournal.com/news/west/2006/05/16/68405.htm along with other references to lawsuits against insured and by insured.</t>
  </si>
  <si>
    <t>Official - This value in brush.  Unofficial - Moral hazard.</t>
  </si>
  <si>
    <t>Asked agent to provide info on FD address and response time. Advised at this time it seems like too long.  12/22: Response time 25-30 min per Fire Marshall. Residents nearby. Will mitigate brush and plan to full winterize home when not in use.</t>
  </si>
  <si>
    <t>Rubinfeld, Julie</t>
  </si>
  <si>
    <t>Mendham</t>
  </si>
  <si>
    <t>Response time 35-45 min</t>
  </si>
  <si>
    <t>1939 log home w/metal roof. In brush. Home professionally winterized. Propane heat.  WBS is never used. Risk is for large coml agt SCU is trying to build PL business with. $1M liability. Rated as DP1; added 15% debit.</t>
  </si>
  <si>
    <t>Approved as quoted subj to brush clearance.</t>
  </si>
  <si>
    <t>Jones</t>
  </si>
  <si>
    <t>Seabrook Island</t>
  </si>
  <si>
    <t>Agent looking for approval for coastal risk.  Ran AAL and came in with $11,247. Quoted agent $12,000 annually. Advised we could do a 3 month renovation. Submit full info for consideration. Make sure we Cov A is 100% of completed value.</t>
  </si>
  <si>
    <t>Advised we could do a 3 month renovation. Submit full info for consideration. Make sure we Cov A is 100% of completed value.</t>
  </si>
  <si>
    <t>Barkin-Oxley, Lisa</t>
  </si>
  <si>
    <t>1991 frame home. Not all UW ? Answered. App says RC is $912,900. In brush, full alarms.</t>
  </si>
  <si>
    <t>Confirm Cov A; all UW ? Answered.</t>
  </si>
  <si>
    <t>Wiggins, Christopher</t>
  </si>
  <si>
    <t>Pascagoula</t>
  </si>
  <si>
    <t>$1M liability</t>
  </si>
  <si>
    <t>1990 home. Insured is a doctor and needs $1M liab. Agent asked for approval and rates.</t>
  </si>
  <si>
    <t>Provided rates and advised this is within their authority to underwrite, quote, and bind.</t>
  </si>
  <si>
    <t>Insured is a licensed contractor - that's why it took so long.  In business for 25 years. Class A genl engineering license and Class B genl builder license. Insisted on fire marshall report. (There was an arson investigation but determined to be an accident with HWT, per agent)  12/22:  Received detailed investigation report from State Farm. Accidental loss due to HWT issue. Approved w/10% schg due to size of loss.</t>
  </si>
  <si>
    <t>Hawkins</t>
  </si>
  <si>
    <t>Insured had a $30K claim - their bird bit someone. They no longer have the bird. They do have 2 dogs. Okay to provide animal liab?</t>
  </si>
  <si>
    <t>COC &gt;2.5 years</t>
  </si>
  <si>
    <t>Insured is an eccentric entrepreneur - someone who went into space and is into all kinds of ventures. Home has been COC for 2 years. Not going to be done until 8/2017. Has his builder work on home as he has money to do it. It is funded with cash.</t>
  </si>
  <si>
    <t>Concern with home being completed as money becomes available. Moral hazard potential as well as target with long term COC.</t>
  </si>
  <si>
    <t>Vollmann, Richard</t>
  </si>
  <si>
    <t>Vacant home 3rd term renewal</t>
  </si>
  <si>
    <t>Renewal date is 1/13/17. Asked for confirmation if we can NRN. If not, $5K ded and 15% surcharge over expiring. Appx. $2210.</t>
  </si>
  <si>
    <t>Subj to $5K ded and 15% surcharge.</t>
  </si>
  <si>
    <t>Rapoport, Ronald</t>
  </si>
  <si>
    <t>Insured is a writer/journalist. Online search not concerning. Had prior loss 3.14.16 pipe burst in adj unit $5K. State Farm nrn per app-no info about why.</t>
  </si>
  <si>
    <t>Approve subj to acceptable reason for NRN.</t>
  </si>
  <si>
    <t>Per agent, risk is vacant. Some exterior work being done. Plumbing repairs made. Flow meter installed. 1990 home. ; Approved-rater submitted, and agreed to $50K water ded based on water flow alarm</t>
  </si>
  <si>
    <t>Patterson/Burdine</t>
  </si>
  <si>
    <t>The Maples Corporation</t>
  </si>
  <si>
    <t>Lafayette</t>
  </si>
  <si>
    <t>business on premises</t>
  </si>
  <si>
    <t>Risk in middle of trailer park, all owned by corporation. GL coverage on trailer park. Risk is 1957 frame, heating update 1995, roofing in 1990, and plumbing/wiring 1985, not in brush, no losses, 90% personal use, 500 sq ft used for business for the trailer park--very little foot traffic.</t>
  </si>
  <si>
    <t>Approved x-liab</t>
  </si>
  <si>
    <t>Martin and Janet Sheen, The View Trust</t>
  </si>
  <si>
    <t>Reviewed and since still active in the industry, and well-connected, unable to approve w/liab</t>
  </si>
  <si>
    <t>Martin Sheen, Actor/Producer; only interested in a quote including liab for 4 properties</t>
  </si>
  <si>
    <t>Chlavin, Jo-Ann</t>
  </si>
  <si>
    <t>Mirage</t>
  </si>
  <si>
    <t>Golf Cart/Horses</t>
  </si>
  <si>
    <t>No brush, Lexington renewal, 2 horses for personal use, 2 golf carts</t>
  </si>
  <si>
    <t>Approved terms w/liab w/understanding that horses are personal use only. Also, rater doesn't update premium for 2 golf carts. Advised Melissa on 1/3/17 that rate is $50 per cart, so $100, after response from Jeff</t>
  </si>
  <si>
    <t>Ketz, Donald</t>
  </si>
  <si>
    <t>Endorsement</t>
  </si>
  <si>
    <t>HUCAH150000269 / Endorsement-insured passed away. Home now in name of son/daughter in law. Requesting perm to endorse name change</t>
  </si>
  <si>
    <t>approved subject to same risk usage, but advised will have to redo app to confirm new owners still meet eligibility and to reaffirm acceptance of coverages so may be easier to do new pol</t>
  </si>
  <si>
    <t>Phillips, Aaron</t>
  </si>
  <si>
    <t>Longmont</t>
  </si>
  <si>
    <t>Individual Lender</t>
  </si>
  <si>
    <t>Phillips currently rents, but will be buying home eff 01/03/2017. The person he was renting from is serving as the bank, and provinding financingl requests to be added as mortagee</t>
  </si>
  <si>
    <t>Approved subject to Phillips being deeded the home, if so OK to add Kristen as mortgagee</t>
  </si>
  <si>
    <t>Stan &amp; Linda Mannschreck</t>
  </si>
  <si>
    <t>DP</t>
  </si>
  <si>
    <t>DP-Vacant</t>
  </si>
  <si>
    <t>$55K</t>
  </si>
  <si>
    <t>$56K</t>
  </si>
  <si>
    <t xml:space="preserve">2016 frame built, nice pics, 868 sq ft, This is a utility shed/garage only.  primary home is 1.3 miles away. only a utility trailer and ATV’s stored in there (insured on an auto pol).   visited about 2 times a month.  It has locks, security lights, and a cell phone monitored alarm.  </t>
  </si>
  <si>
    <t>Good condition. Frequent visitation and well monitored/secured</t>
  </si>
  <si>
    <t>Kagawa, Hank</t>
  </si>
  <si>
    <t>Monterey Park</t>
  </si>
  <si>
    <t>Duplex/vacancy</t>
  </si>
  <si>
    <t>Duplex-front rented, back vacant. Insured actively looking for tenant for the back. No brush or losses. 1945 build, will complete old home questionaire prior to release</t>
  </si>
  <si>
    <t>Approved subject to surcharge 10-15% for vacancy of back unit</t>
  </si>
  <si>
    <t>Risk has a lot of links to high-profiles in entertainment industry, a few negative remarks on a personal level. Not comfortable offering w/liab</t>
  </si>
  <si>
    <t>Agt may submit 3 of risks prop x-liab</t>
  </si>
  <si>
    <t>Kao, Wayne</t>
  </si>
  <si>
    <t>Looking for liab coverage; primary home TIV is $12Mil so placing elsewhere, interested in 3 other properties w/liab. Client is in the music industry. Seems to be currently active, with links to  high-profile artists and events</t>
  </si>
  <si>
    <t>Martin Fotini LLC</t>
  </si>
  <si>
    <t>Manchester</t>
  </si>
  <si>
    <t>3rd vacant term</t>
  </si>
  <si>
    <t>Too late to NRN. Added 15% surcharge. Confirmed $2500 ded.</t>
  </si>
  <si>
    <t xml:space="preserve">Livermore </t>
  </si>
  <si>
    <t>Guma, Linda</t>
  </si>
  <si>
    <t>DP3 COC</t>
  </si>
  <si>
    <t xml:space="preserve">Lapse. </t>
  </si>
  <si>
    <t>Insured is updating and will be renting in the next year.</t>
  </si>
  <si>
    <t>2016 home. COC. Insured didn't realize there was no coverage on the house. Getting a loan and now realized.</t>
  </si>
  <si>
    <t>15% lapse and tail end constr surcharge on $5761 premium.</t>
  </si>
  <si>
    <t>Babbit, Jamie</t>
  </si>
  <si>
    <t>1956 home fully updated in 2010. Insured is writer/producer/director. Nothing controversial/concerning found in news.</t>
  </si>
  <si>
    <t>Agreed to write with liability but no personal injury (therefore no umbrella).</t>
  </si>
  <si>
    <t>Agt may submit 3 of risks prop x-liab/approved by Kirsten</t>
  </si>
  <si>
    <t>Hull Horsham</t>
  </si>
  <si>
    <t xml:space="preserve">Bayview Drive Trust </t>
  </si>
  <si>
    <t>Bar Harbor</t>
  </si>
  <si>
    <t>2 rentals on same property</t>
  </si>
  <si>
    <t>Asked for more info on PC10 and numerous questions about dwellings to determine if they can go on same policy or if it should be separate.</t>
  </si>
  <si>
    <t>Insured has 2 rentals. Agent asking to place on same property. PC10</t>
  </si>
  <si>
    <t>Myers, Richard</t>
  </si>
  <si>
    <t>Haysville</t>
  </si>
  <si>
    <t>1955 home fully updated. NRN due to prior wind and 2 hail losses. All near or under $7K. 3% wind/hail ded. Insd has in home hair salon. GL; total business excl</t>
  </si>
  <si>
    <t>Confirm roof update; ensure insured understands roof excl; confirm no other salon type exposures (tanning etc.)</t>
  </si>
  <si>
    <t>Reedy, Elaine</t>
  </si>
  <si>
    <t>Orange Beach</t>
  </si>
  <si>
    <t>Agent asking if we can match expiring premium of $4007. Renewal prem is $5837. Average risk</t>
  </si>
  <si>
    <t>Increase due to AAL rating. Explained we did not implement caps or stair-stepped incr/decr.</t>
  </si>
  <si>
    <t>Rate relief for renewal</t>
  </si>
  <si>
    <t>Rodriguez, Maria</t>
  </si>
  <si>
    <t>Fireplace primary heat</t>
  </si>
  <si>
    <t xml:space="preserve">Delta advised inspection revealed primary heat is fireplace insert. She is verifying DNOC is the proper action. </t>
  </si>
  <si>
    <t>Bailey, Wallace</t>
  </si>
  <si>
    <t>Fort Collins</t>
  </si>
  <si>
    <t>1974 home w/12 updated roof. Son repairs coffee machines for franchise. No traffic. Has GL and garage insured. Agnt excluding oth str and adding total business excl.</t>
  </si>
  <si>
    <t>Hockin, John</t>
  </si>
  <si>
    <t>2008 frame home in brush, alarms, 10 min response. 11 min 6.1 mi confirmed via internet search. Per form, visible to neighbors, paid FD</t>
  </si>
  <si>
    <t>Subj to brush clearance confirmation</t>
  </si>
  <si>
    <t>Hanley, Quincey (Schoolboy Q)</t>
  </si>
  <si>
    <t>Insured is famous and current rapper Schoolboy Q. Online info and nature of occupation indicates some red flags.</t>
  </si>
  <si>
    <t xml:space="preserve">Decline property and liability.  </t>
  </si>
  <si>
    <t>Dec</t>
  </si>
  <si>
    <t>Referral Decisions Year to Date                                                                          December 31, 2016</t>
  </si>
  <si>
    <t>Foral, David</t>
  </si>
  <si>
    <t>1969 home. No info on updates. Insured is guitarist for Dirty Heads. Regae band. This is his seasonal. We bet it is for snowboarding. Online info okay. Ran by Jeff.</t>
  </si>
  <si>
    <t>Confirm updates/possible roof excl.</t>
  </si>
  <si>
    <t>Ghouth, Saad</t>
  </si>
  <si>
    <t>Vacancy clause/occupancy</t>
  </si>
  <si>
    <t>Rated as vacant. Insd lives in home 3 months during summer, otherwise out of state. Good precautions (alarm, water off, cameras.) Gardener there weekly. Son checks on weekly. Existing policy.</t>
  </si>
  <si>
    <t>Naylor, Mary</t>
  </si>
  <si>
    <t>Denver</t>
  </si>
  <si>
    <t>Vacant w/damage</t>
  </si>
  <si>
    <t>1896 home w/updates. Prior water loss and fire loss. Damage cleaned out but not repaired from fire. Dwelling up for sale as is. Special agency connection for our partner. Wants to offer DP1 ACV 3 month term no endorsements, 20% surcharge. Getting photos and fire marshall confirmation. Online search shows no suspicious concern w/fire.</t>
  </si>
  <si>
    <t xml:space="preserve">30% surcharge, fire marshall report, confirm condition w/photos. One 3 month term only. $10K AOP </t>
  </si>
  <si>
    <t>Due to special agency connection (details in file) and additional rate, felt comfortable making the exception. Online, insd still shows licensed for assisted living.</t>
  </si>
  <si>
    <t>Lawrence, David</t>
  </si>
  <si>
    <t>Burbank</t>
  </si>
  <si>
    <t>Insured is TV actor. No concern with lifestyle. Low cov A, modest condo. Liab not a concern. Not in brush. 3 prior water losses under $5K. $5K water damage ded quoted.</t>
  </si>
  <si>
    <t>Log homes</t>
  </si>
  <si>
    <t>Janet inquired whether we write log homes and what our underwriting and rating direction is. Discussed in response.</t>
  </si>
  <si>
    <t>Review Cov A;  get manufacturer/builder name; 10% s/c in rater.</t>
  </si>
  <si>
    <t>Agent applied in Jan 2016 for coverage. We found vague online info, asked questions, and no reply was received. Now retailer wants quote again stating bankruptcy was ch 11, business related, not a concern.</t>
  </si>
  <si>
    <t>Ran insurance score. Insd has 2 bankruptcies: Ch 11 Business in 2010 and Ch 11 Personal in 2015. Advised of decline.</t>
  </si>
  <si>
    <t>Scorza, Ralph</t>
  </si>
  <si>
    <t>Shepherdstown</t>
  </si>
  <si>
    <t>1981 home with 2 losses. Water-washer overflow 6/14; propane explosion 10/16-claim still open. Insured making jewelry and spark exploded propane tank. Work underway by busy contractor who found additional damage on recent visit.</t>
  </si>
  <si>
    <t>Not comfortable taking on risk that has work underway and not all damage is discovered.</t>
  </si>
  <si>
    <t>Lai Le, Bong</t>
  </si>
  <si>
    <t>Rancho Santa Fe</t>
  </si>
  <si>
    <t>Primary now rental</t>
  </si>
  <si>
    <t>1955 home, no update info, but online looks excellent. Not in brush. Was primary, now on short term lease to one person and insd has home up for sale.</t>
  </si>
  <si>
    <t>Subj to update info.</t>
  </si>
  <si>
    <t>Insured is GC</t>
  </si>
  <si>
    <t>Alison quoted a risk and bind order received for COC. Originally insured stated hiring licensed contractors. At time of bind, advised they were going to be the GC and hire licensed subs. Advised we cannot write the risk.</t>
  </si>
  <si>
    <t>Walters, Amy</t>
  </si>
  <si>
    <t>Over $50M cap</t>
  </si>
  <si>
    <t>Risk was in the pipeline of quoting with several others from Beverly Hill. Several hit with bind requests. This is one of them. Agency has exceeded $50M Cap. I ok'd this one being written since it was in the pipeline.</t>
  </si>
  <si>
    <t>Prajapati, Sadhana</t>
  </si>
  <si>
    <t>Pomona</t>
  </si>
  <si>
    <t xml:space="preserve">Insureds hound mix bit another person whil hiking w/the owner. Safeco NRN. $50K open claim. </t>
  </si>
  <si>
    <t>Subj to completed and acceptable UW questions on app. Animal liab may apply but need to ensure insured understands the exclusions of the coverage.</t>
  </si>
  <si>
    <t>Sponseller, Nathan</t>
  </si>
  <si>
    <t>HO3 Seasonal w/Rental</t>
  </si>
  <si>
    <t>Crawford</t>
  </si>
  <si>
    <t>Personal liability on home with rental</t>
  </si>
  <si>
    <t xml:space="preserve">1907 home w/updates. Masonry w/metal roof. Insd rents out 2 rooms (w/own entrances). Was full time inn at one time. Confirmed online sources it is just 2 rooms rented. </t>
  </si>
  <si>
    <t>Approved for personal liab since insd lives there too - no other source.</t>
  </si>
  <si>
    <t>Hassanein, Eissa</t>
  </si>
  <si>
    <t>Sinkhole coverage available?</t>
  </si>
  <si>
    <t>Insured wants to add sinkhole coverage for a home in Bethlehem PA.</t>
  </si>
  <si>
    <t>We do not currently have rates available. Asked if we needed to.</t>
  </si>
  <si>
    <t xml:space="preserve">Dog bite open claim </t>
  </si>
  <si>
    <t>Kleine, Robert</t>
  </si>
  <si>
    <t>Dana Pointe</t>
  </si>
  <si>
    <t>2004 home not in brush, alarms, 2 prior water losses in 2016 $2620 and $42,401. Home replumbed after loss.</t>
  </si>
  <si>
    <t>Since home is newer and has been replumbed, advised agent they could use some discretionary credit if needed.</t>
  </si>
  <si>
    <t>Shah, Bankim</t>
  </si>
  <si>
    <t>2015 home, full alarms. (Noted in brush, but RM says no brush) Found numerous online articles with same name Bankim Shah. Slum lord, horrible dwellings, 90+ properties, lawsuits.</t>
  </si>
  <si>
    <t>Forwarded URL's to the underwriter to confirm if this is the same person. If so, we will pass due to increased moral and morale hazard. Also high profile and target risk.</t>
  </si>
  <si>
    <t>Canepa, Douglas</t>
  </si>
  <si>
    <t>Glen Ellen</t>
  </si>
  <si>
    <t>Farming on premises/Open loss</t>
  </si>
  <si>
    <t>1994 dwelling in brush. It is a rental. The insured farms 3.1 acres of fruit and vegetables for the market owned by his family. Open loss - 6/1/16 water damage - fridge line broke. $23,777 paid. Online sources show 1991 yoc. WBS in insp photo. App from 2014.</t>
  </si>
  <si>
    <t>Norris, Daniel</t>
  </si>
  <si>
    <t>North Hollywood</t>
  </si>
  <si>
    <t>Credit for Water Dmg Excl</t>
  </si>
  <si>
    <t xml:space="preserve">1940 home w/updates. Very nice online photos. 2 water damage losses in 3 years. $9K and $12K. Agt quoted w/2 loss surcharge and $7500 ded for $3000 rate. Losses unrelated and do not show lack of maintenance. Plumbing was updated. One loss is bath pipes, one is dishwasher. Agent asking for pricing relief. </t>
  </si>
  <si>
    <t>Approved w/13% credit which is about what they would get if we removed one loss. Feel we didn't "require" the excl, would have taken the risk. They are helping us. Looks like a nice risk overall.</t>
  </si>
  <si>
    <t>Anella</t>
  </si>
  <si>
    <t>Walters, Scott</t>
  </si>
  <si>
    <t>New Bern</t>
  </si>
  <si>
    <t>1-6</t>
  </si>
  <si>
    <t>Older roof</t>
  </si>
  <si>
    <t>1919 home w/original roof. Inspected, painted, sealed regularly. Last done in 2012. Online photos look great. Plumb part updated in 2012. Question about prior carrier.</t>
  </si>
  <si>
    <t>Merritt, Jeffrey</t>
  </si>
  <si>
    <t>Asbestos siding - stay on 'til renewal</t>
  </si>
  <si>
    <t>DNOC sent after insp showed asbestos siding. Turns out it was on the app and missed. Danielle has addressed with UW. Agent wants DNOC lifted and NRN sent later. 15% asbestos. No cracking/crumbling. Okay condition.</t>
  </si>
  <si>
    <t>Youdai, Jack</t>
  </si>
  <si>
    <t>4</t>
  </si>
  <si>
    <t>1997 home updated in 2015. In Renie fire zone. Beautiful online photos. UW? Not completely answered.</t>
  </si>
  <si>
    <t>Answer uw questions.</t>
  </si>
  <si>
    <t>Bengard, Thomas</t>
  </si>
  <si>
    <t>3</t>
  </si>
  <si>
    <t>1999 frame home not in brush. Alarmed. 2 bath tub leak losses for prior owner. Tub replaced, all damages repaired. 2 losses on claims report were prior owners. Confirmed by running A+ report. This is listed as a new purchase.</t>
  </si>
  <si>
    <t>Greenberg, Robert</t>
  </si>
  <si>
    <t>10</t>
  </si>
  <si>
    <t>1998 frame home in PC10. 10 min response time per agt. In brush, alarms. Can't find "Madera" fire department within 3.97/10 min resp per PC quest. Madera is about 50 miles away?</t>
  </si>
  <si>
    <t>Asked Anella for info on plumbing and prior carrier. Will approve If it checks out. Reviewed risk w/Tim. Plumbing is updated. Confirm at inspection. Not nonrenewed.</t>
  </si>
  <si>
    <t>Rockrose Investments LLC</t>
  </si>
  <si>
    <t xml:space="preserve">Named insured </t>
  </si>
  <si>
    <t>NI is 2 LLC's and a Trust. 1955 home updated in 2005. Nice online pix. Agt getting info on members of LLC/Trust. Also checking is this a flip? Agt mentioned 1031 Exchange which made us ask about that.</t>
  </si>
  <si>
    <t>Nichole/Andrea</t>
  </si>
  <si>
    <t>Numerous emails finally resolved.</t>
  </si>
  <si>
    <t>Nourijanyan</t>
  </si>
  <si>
    <t>Home has 2 prior theft claims: 2014 $20K; 2015 $15K. Many homes broken into in the neighborhood. Insd has since added alarms. Quoting with $10-$15K deductible.</t>
  </si>
  <si>
    <t>No GC on project</t>
  </si>
  <si>
    <t>Insured is having home renovated by a licensed/insured contractor but there is not specifically a "GC".</t>
  </si>
  <si>
    <t>Subs are not always needed. As long as person in charge is a contractor (and it is not the insured), we are okay.</t>
  </si>
  <si>
    <t>All4Love LLC</t>
  </si>
  <si>
    <t>Weatherford</t>
  </si>
  <si>
    <t>9</t>
  </si>
  <si>
    <t>Home, Pool House, Guest House and separately, Commercial buildings and warehouses for insureds 2 businesses - door design and custom builder. Matt sent appraisal and aerial. All looks good.</t>
  </si>
  <si>
    <t>Business on premises/TIV</t>
  </si>
  <si>
    <t>Subj to building excl on each coml bldg and Total Business Excl.  Approved $3K over TIV limit.</t>
  </si>
  <si>
    <t>HUCAH1500000761</t>
  </si>
  <si>
    <t>Common area concern</t>
  </si>
  <si>
    <t>Inspection showed and described what looked like a common walkway and pool gate on the insured's property.  Further investigation revealed this is not the case. This is insured's walkway only, and door in their yard is used by them to get to the pool entrance.</t>
  </si>
  <si>
    <t>GA</t>
  </si>
  <si>
    <t>Donna</t>
  </si>
  <si>
    <t>Short term rental</t>
  </si>
  <si>
    <t>Insured wants to rent out their home for the PGA for 2 weeks. They have an admitted policy in force. Any options.</t>
  </si>
  <si>
    <t>Provided some input about occupancy, duplicate policies, options the admitted carrier could consider and offered to continue discussions.</t>
  </si>
  <si>
    <t>Muglia, Pamela</t>
  </si>
  <si>
    <t>Questionable attached structure</t>
  </si>
  <si>
    <t>1970's home attached by breezeway to 3 story 1892 grist mill. Insured wants to insure living structure home only. There is a firewall.</t>
  </si>
  <si>
    <t xml:space="preserve">Discussed w/Matt. Concern if there was a fire in the attached 3 story grist mill, it would topple onto the living structure - firewall wouldn't help. Decided it was best to pass. </t>
  </si>
  <si>
    <r>
      <t xml:space="preserve">Matt advised </t>
    </r>
    <r>
      <rPr>
        <b/>
        <sz val="11"/>
        <color theme="1"/>
        <rFont val="Calibri"/>
        <family val="2"/>
        <scheme val="minor"/>
      </rPr>
      <t xml:space="preserve">All Risks </t>
    </r>
    <r>
      <rPr>
        <sz val="11"/>
        <color theme="1"/>
        <rFont val="Calibri"/>
        <family val="2"/>
        <scheme val="minor"/>
      </rPr>
      <t>quoted this as an HO-3 with $770,000 covg or HO-8 with $330,000. Check to see if this was with Markel.</t>
    </r>
  </si>
  <si>
    <t>Agent verifying if any high valued handbags or scheduled items. Has probably $35,000 in purses. Not a limited class. No SPP class. Not sure we want to schedule.</t>
  </si>
  <si>
    <t>Blum, Deborah</t>
  </si>
  <si>
    <t>HO3 Primary w/Rental</t>
  </si>
  <si>
    <t>1913 home updated, nice photos per inspection. Insured occasionally rents out guest house and a room in their house.  We are competitive w/ Lloyds w/a 5% credit. Good agent risk looks nice. Insured would be home during any rental</t>
  </si>
  <si>
    <t xml:space="preserve">Pricing </t>
  </si>
  <si>
    <t>Allowed 5% credit to compete w/Lloyds policy.</t>
  </si>
  <si>
    <t>Dahlberg, John</t>
  </si>
  <si>
    <t>Agent wanted approval in case TIV increases after retailer discusses w/insured. Risk looks good. COC. 2003 home.</t>
  </si>
  <si>
    <t>Advised agent we are not scheduling. Cov C. Charge for losses.</t>
  </si>
  <si>
    <t>Mason, Violet</t>
  </si>
  <si>
    <t xml:space="preserve">Inwood </t>
  </si>
  <si>
    <t>2016 home. Risk suffered a not at fault electrical fire $400K in 2015. Fire Marshall report provided. Lapse since November since insd couldn't find coverage. Agent will get no loss letter.</t>
  </si>
  <si>
    <t>Declined at this time. News story online http://www.your4state.com/news/news/early-morning-fire-leaves-family-displaced/252561622 refers to "Powers" family. App is in name of Violet Mason. Also, no name/addr on Fire report. We only got page 18 and 19.</t>
  </si>
  <si>
    <t>Glosser, Antoinette</t>
  </si>
  <si>
    <t>HO8 Primary w/Rental</t>
  </si>
  <si>
    <t>Johnstown</t>
  </si>
  <si>
    <t>1950 home w/partial updates, flat roof new in 2004. Top floor owner occupied. 3 units on 1st floor mix of rental, vacant and storage. Has a separate address as door opens on another street.</t>
  </si>
  <si>
    <t>Increase ded. Is this a lapse? Check wire,plumb,heat carefully due to partial update, 1950.</t>
  </si>
  <si>
    <t>Powers is her son in law and daughter who are residents. Full Fire Report received - checks out. Ins Score good. Advised ok w/20% s/c - 10 for lapse, 10 for total loss size.</t>
  </si>
  <si>
    <t>Parks, Michael</t>
  </si>
  <si>
    <t>DP3 Rental COC</t>
  </si>
  <si>
    <t>Encino</t>
  </si>
  <si>
    <t>2</t>
  </si>
  <si>
    <t>COC w/tenant</t>
  </si>
  <si>
    <t>Unique situation - home is being renovated while it is tenant occupied. Agent confirmed this is the case. She was going to credit due to occupancy (vacant rate) but we decided since rate is pretty good, we would not apply a credit.</t>
  </si>
  <si>
    <t>Neubeiser, Evan</t>
  </si>
  <si>
    <t>Breckenridge</t>
  </si>
  <si>
    <t>Mid-term COC w/lapse</t>
  </si>
  <si>
    <t xml:space="preserve">Insured had 2 water claims and decided to renovate. Home is gutted and will add 700 SF addition. Coverage lapsed yesterday. </t>
  </si>
  <si>
    <t xml:space="preserve">Home closing was on 1/10/17. Agency just advised of bind request (mortgage fault). </t>
  </si>
  <si>
    <t>Need no loss letter.</t>
  </si>
  <si>
    <t>Austin, Richard &amp; Sandi</t>
  </si>
  <si>
    <t>Approved subject to lapse surcharge and midterm COC surcharge. 10% total</t>
  </si>
  <si>
    <t>Clow, John</t>
  </si>
  <si>
    <t>Angelus Oaks</t>
  </si>
  <si>
    <t>Woodstove primary heat</t>
  </si>
  <si>
    <t>Renewal - inspection just now being reviewed. Woodstove is primary and only heat; 18" clearance to side unprotected wall.</t>
  </si>
  <si>
    <t>Advised agt to nonrenew.</t>
  </si>
  <si>
    <t>Davenport, Brad &amp; Barbara</t>
  </si>
  <si>
    <t>1970 home which has been remodeled and upgraded. Photos in file look great. Uses every weekend. Winterized if not that frequent. Still some mild updates to make - cabinets, trim. Note on app indicates fixing to rent? Ho3 policy quoted. Rate came in at $935. Agent quoted $1600 due to accessibility and 20 min response time.</t>
  </si>
  <si>
    <t>Confirm future planned occupancy. $1600 rate good.</t>
  </si>
  <si>
    <t>Hull Stockton</t>
  </si>
  <si>
    <t>Wijcik, Lynda</t>
  </si>
  <si>
    <t>La Quinta</t>
  </si>
  <si>
    <t>1998 home not in brush, tile roof. No online photos. Coming from Lloyds, our prem is competitive</t>
  </si>
  <si>
    <t>Need updated and complete app.</t>
  </si>
  <si>
    <t>Strate, Mark</t>
  </si>
  <si>
    <t>Grass Valley</t>
  </si>
  <si>
    <t>Subj to acceptable nrn reason (such as brush) and situated accessibly on 10 acres.</t>
  </si>
  <si>
    <t>Billings, Ward</t>
  </si>
  <si>
    <t>7</t>
  </si>
  <si>
    <t>Renovated from a restaurant</t>
  </si>
  <si>
    <t>1908 home fully updated. 2 story brick that used to be a restaurant. Upstairs used for storage. Downstairs for living. Torch down roof with slight pitch. 100% circuit breaker/copper wire.</t>
  </si>
  <si>
    <t>Drexel</t>
  </si>
  <si>
    <t>Fearon, Todd &amp; Karen</t>
  </si>
  <si>
    <t>2017 new build in brush. Metal roof w/exclusion. Agent debited 60% to be close to competitor quotes (thank you!). New rates increase this PC.</t>
  </si>
  <si>
    <t>1999 home w/alarms, not in brush. Agent needs full 10% credit to compete. Working w/a big retailer to move an entire book. This is a straggler. Looks okay overall.  Had 1/15 burglary - has installed CS alarms since.</t>
  </si>
  <si>
    <t>Alarm certificate; confirm NRN reason - believe it is due to the loss.</t>
  </si>
  <si>
    <t>Sakmar, Bernard</t>
  </si>
  <si>
    <t>1927 home updated. Not in brush. Insds dog bit neighbors maid in 2015. Nothing paid yet, loss is still open. 5 year lab/great dane mix. Agent is applying animal exclusion. Home has a gravity furnace. Also is a historic preservation - has MFRC</t>
  </si>
  <si>
    <t>Confirm not on registry. Explained our stance on covg under the limited animal liab form.</t>
  </si>
  <si>
    <t>Garland, Chris</t>
  </si>
  <si>
    <t>Elizabeth</t>
  </si>
  <si>
    <t>2002 frame home w/corrug metal roof. Insd had bankruptcy in 2014 (says due to divorce) Ins score is on the lower side. 1.10 surcharge. FD 5.6 miles away. 1 mi of dirt road, 26 acres. 15 min response time noted. It is all of that.</t>
  </si>
  <si>
    <t>Bankruptcy in 2014</t>
  </si>
  <si>
    <t xml:space="preserve">Decline due to recent bankruptcy and high value. </t>
  </si>
  <si>
    <t>Barnes, Denver</t>
  </si>
  <si>
    <t>3 water losses</t>
  </si>
  <si>
    <t>11/14 slab leak $4564. 3/16 roof leak $10,096 wind claim. 5/16 $11,248 same slab leak - rerouted pipe out of the slab. 1986 home. Agent proposing $7500 or $10K deductible.</t>
  </si>
  <si>
    <t>Approved subject to charge for 3 losses and $10,000 deductible. If we can go this year with no losses, we can consider reducing the deductible to $7500 at the renewal and maybe consideration for continued reduction.</t>
  </si>
  <si>
    <t>Trenton Prospect (no name)</t>
  </si>
  <si>
    <t>Trenton</t>
  </si>
  <si>
    <t>Advised we would need to see the whole risk, but would exclude liability (due to relation to medical field) and add Total Business Excl. Explained implications of the form.</t>
  </si>
  <si>
    <t>Danze, Alex</t>
  </si>
  <si>
    <t>Home will be rented for weddings</t>
  </si>
  <si>
    <t>2007 home in brush. Insured will rent occasionally for weddings. Also, I found this on AirBnB and pointed out to the agent to re-rate for this exposure.</t>
  </si>
  <si>
    <t>X-liability; add Total Business Exclusion. Unknown level of exposure when renting for weddings.</t>
  </si>
  <si>
    <t>Middletown</t>
  </si>
  <si>
    <t>Pre-date effective date</t>
  </si>
  <si>
    <t xml:space="preserve">Not our typical procedure. Making exception due to large client, good relationship between co and agency. Asked for insured signed SNL and confirmation of no business activities on property. </t>
  </si>
  <si>
    <t>Agent bound risk for this very large client on 1/15 with Travelers. Within a couple of days, Travelers advised risk was not eligible. Agent scrambling for a policy - could have desk bound w/Travelers, but need 1/15 eff date. There is a lender. Agent sent statement of no loss. App says home office.</t>
  </si>
  <si>
    <t>Wheeler, Brian</t>
  </si>
  <si>
    <t>W Jefferson</t>
  </si>
  <si>
    <t>OH</t>
  </si>
  <si>
    <t>Need info on no alarms. Advised no water back-up coverage.</t>
  </si>
  <si>
    <t>2008 home with 1 prior water loss - sump pump failed $9737 9/17/14. No alarms - $4M TIV? Online photos look like a rural location.</t>
  </si>
  <si>
    <t>Kenworthy, Thomas</t>
  </si>
  <si>
    <t>2012 home w/metal roof in brush. Only accessible during summer months. Alarms.</t>
  </si>
  <si>
    <t>Getting over the lower values that I’m comfortable with when home is in a brush zone and not accessible year round.</t>
  </si>
  <si>
    <t>Whitney, John</t>
  </si>
  <si>
    <t>Moorseville</t>
  </si>
  <si>
    <t>1997 home w/updated roof. Insured used to own Whitney Farms on same property. Sold to Children. It is boarding/training for horses and kids will be adding an animal hospital.  All insured w/other carriers. Pending lawsuit against Whitney Farms (probs w/breeding a horse). Retail agents email says it is a loss for the Whitneys.</t>
  </si>
  <si>
    <t>Need more info on separation and the loss. If we proceed, need Total Business Excl and Building Excl for any business buildings.</t>
  </si>
  <si>
    <t xml:space="preserve">Laguna Beach </t>
  </si>
  <si>
    <t>Rental is for 30 days if they do it. Previously approved last year</t>
  </si>
  <si>
    <t>Yannetti, Mark &amp; Kristin</t>
  </si>
  <si>
    <t>Topsfield</t>
  </si>
  <si>
    <t>Knob &amp; Tube wiring</t>
  </si>
  <si>
    <t>1900 home in process of renovation/update. Currently has knob &amp; tube wiring. Big agent for Nichole.</t>
  </si>
  <si>
    <t>Is insd in home? If not, could elec run temp line. Cut power to knob &amp; tube. We could write when the power was cut.</t>
  </si>
  <si>
    <t>Kasey</t>
  </si>
  <si>
    <t>The Neal Foundation Trust</t>
  </si>
  <si>
    <t>Ensure no employees - this exposure is fine.</t>
  </si>
  <si>
    <t>McCormick, Tom</t>
  </si>
  <si>
    <t>Westlake Village</t>
  </si>
  <si>
    <t xml:space="preserve">1991 home updated in 2015. Full alarms. No losses. RM shows near high brush, but is rated extremely low. Agt considering rating in brush due to brush 100' away. Ran FireLine - it shows 11 High brush. Justifies rating in brush. </t>
  </si>
  <si>
    <t>I support rating for brush if agent wishes.  If so, subj to 150' clearance based on criteria of Wildfire Mitigation Form which would be attached. Rating for bush appears optional in this case.</t>
  </si>
  <si>
    <t xml:space="preserve">Insured lead singer of "Men at Work".  1976 frame home, in brush.  Updated in 2000. Can't see good online photos.  Insured has credit freeze on - no ins score available. Older home questionnaire looks good.  </t>
  </si>
  <si>
    <t>Sheen, Martin &amp; Janet</t>
  </si>
  <si>
    <t>1963 home w/ alarms. Both are actors. Martin is also a political activist.</t>
  </si>
  <si>
    <t>Subj to X-liability.  Too famous for liab, but not concerned about wild living or that people who oppose him would damage his home.</t>
  </si>
  <si>
    <t>Arms, Rob RUA14067</t>
  </si>
  <si>
    <t>Vacant 3rd term</t>
  </si>
  <si>
    <t>1957 home updated. This is large agent for Hull. Insured is having realtor finish renovations and put home up for sale.  Agent confident only this 3rd term will be needed. Inspections from 15 and 16 look okay. Decent average home. Insured there regularly.</t>
  </si>
  <si>
    <t>Add 15% surcharge to 16-17 rate.</t>
  </si>
  <si>
    <t>DeMare, Inez</t>
  </si>
  <si>
    <t>Minneapolis</t>
  </si>
  <si>
    <t>1919 home no info on updates. Prior NRN/Cancel - no info. In home daycare with 10 children. Agent quoting X-Liab.</t>
  </si>
  <si>
    <t xml:space="preserve">• Excluding liability (as quoted)
• Do not add form BWH0141
• Confirm there is a GL in place
• Home is 1919 - no update info - confirm acceptable updates
• App indicates prior cancel or nonrenewal - assume this is for the daycare.  If other reason, please let me know before binding.
</t>
  </si>
  <si>
    <t>No credit to rate.  1/25/17 found out insured will be acting as their own GC. Withdrew terms.</t>
  </si>
  <si>
    <t>Dolan, Timothy</t>
  </si>
  <si>
    <t>5</t>
  </si>
  <si>
    <t>Add a debit to get closer to competitor quote.</t>
  </si>
  <si>
    <t>Agent submitted thinking they had $1M authority. Advised they have $2M. Reviewed risk. It is okay, but 15% under Lloyds. (2772 vs. us:2379 w/mold)</t>
  </si>
  <si>
    <t>Marjon, Lou</t>
  </si>
  <si>
    <t>Santa Fe</t>
  </si>
  <si>
    <t>Commercial business in building</t>
  </si>
  <si>
    <t>1915 building fully updated. In Santa Fe historical district. Front is leased to a lawyers office. Back is leased residential.  Coverage is lapsed. No losses. Agent asking to consider with total business excl, SNL, etc.</t>
  </si>
  <si>
    <t>This would be more appropriately written on a commercial policy in my opinion since part is leased to a business. It is not the insured's business.</t>
  </si>
  <si>
    <t>Lanni, Valerie</t>
  </si>
  <si>
    <t>Temecula</t>
  </si>
  <si>
    <t xml:space="preserve">2003 home not in brush. Confirmed FD 4.2 miles away. Other FD's nearby. </t>
  </si>
  <si>
    <t>Verebelyi, Natasha</t>
  </si>
  <si>
    <t>Castle Pines</t>
  </si>
  <si>
    <t xml:space="preserve">1996 home w/2013 roof. Alarms. Agent offering liab and personal injury. Insured is Ms. Colorado. </t>
  </si>
  <si>
    <t>Reviewed online for news - no concern. FB looks fine.</t>
  </si>
  <si>
    <t>Smalling, Gerald</t>
  </si>
  <si>
    <t>2010 condo part living, part business-sectioned off w/separate entrance. Chiropractor w/8-10 clients per day. Prof liab in place. Liab and In-home business liability requested.</t>
  </si>
  <si>
    <t>X-Liability, X-in home business liab; add Total Business Excl-discuss implications w/insured.</t>
  </si>
  <si>
    <t>Burkhard, Thomas</t>
  </si>
  <si>
    <t>Swansboro</t>
  </si>
  <si>
    <t>$1M Liability</t>
  </si>
  <si>
    <t>2008 home. Insd is a physician. English Retriever no bit, swimming pool, no dive board or slide.</t>
  </si>
  <si>
    <t>Swetman, Glenn</t>
  </si>
  <si>
    <t>Historical Registry</t>
  </si>
  <si>
    <t>1910 home completely redone in 2006 after Katrina. Home was on registry when insd bought it. He never removed. No tours. Home all standard construction.</t>
  </si>
  <si>
    <t>Include MFRC</t>
  </si>
  <si>
    <t>Deyab, Jima</t>
  </si>
  <si>
    <t>Medford</t>
  </si>
  <si>
    <t>Vacant 6th term</t>
  </si>
  <si>
    <t>Risk is for HUB, large agent for Hull. Agents says there is interest in the home for purchase. Since large agent, I approved one more term w/15% surcharge. Advised it is the last.</t>
  </si>
  <si>
    <t>15% s/c - last renewal.</t>
  </si>
  <si>
    <t>Ochipinti, John</t>
  </si>
  <si>
    <t>Yuba City</t>
  </si>
  <si>
    <t>Hull Charlotte</t>
  </si>
  <si>
    <t>Demolition COC</t>
  </si>
  <si>
    <t>Reviewed HO-3. Some addl coverage still apply like FD and Trees/shrubs etc.</t>
  </si>
  <si>
    <t>Kane, Kevin</t>
  </si>
  <si>
    <t>DP-3 Vacant</t>
  </si>
  <si>
    <t>Califon</t>
  </si>
  <si>
    <t>Home titled to Co-Op</t>
  </si>
  <si>
    <t>Insured purchasing a home titled to a co-op. Insured is on a bill of sale. Co-op stays on title. Insured gets shares in the co-op. Agt wants to write with insured as NI, co-op as addl insd. Reviewed forms.</t>
  </si>
  <si>
    <t xml:space="preserve">• With the policy in the insured’s name and the Co-op as Additional Insured.
• Verify woodburning stove was professionally installed. Obtain acceptable questionnaire asap.
• Acceptable Protection Class questionnaire – response time less than 15 minutes, paved roads, fully accessible to emergency vehicles
• Verify there is thermostatically controlled heat source prior to binding. (Photo shows a wall mounted gas heater.)
</t>
  </si>
  <si>
    <t>Schaffer, Jeanne</t>
  </si>
  <si>
    <t>Toluca Lake</t>
  </si>
  <si>
    <t>1</t>
  </si>
  <si>
    <t xml:space="preserve">1939 home with major plumbing loss in 2014; roof leak loss immediately after. Agt says pipe burst. A+ I ran says toilet flush; app says backup. Partial updates to plumb, roof, elec. Arch. Shingles. </t>
  </si>
  <si>
    <t>Information not matching up on the loss details. Older home, partial updates, big losses - not comfortable.</t>
  </si>
  <si>
    <t>G&amp;H Development LLC</t>
  </si>
  <si>
    <t>HO3 Vacant</t>
  </si>
  <si>
    <t>Manhattan Beach</t>
  </si>
  <si>
    <t>Vacant prior to demolition then COC</t>
  </si>
  <si>
    <t>Insured purchased a home. It will be vacant for up to 6 months while insured obtains permits to demolish then rebuild the home.</t>
  </si>
  <si>
    <t>Concern with what value the home holds for us to insure. Moral hazard? Attractive nuisance? What if we aren't told of the demo? Discussed with Tim C. Seems best direction is to not get involved in any of these situations until demo is done, even if X-liab there is still exposure.</t>
  </si>
  <si>
    <t>Kumar, Kain</t>
  </si>
  <si>
    <t>Canyon Country</t>
  </si>
  <si>
    <t>Name search shows several online articles about this applicant charged with health care fraud along w/many other doctors.</t>
  </si>
  <si>
    <t>Moral hazard.</t>
  </si>
  <si>
    <t>Fermanyan, Minas</t>
  </si>
  <si>
    <t>Insured had a prior smoke damage from brush fire claim and has an open liab claim from tenant falling on stairs. These are both at 1 of 3 insured rental properties. Agent will surcharge on the home property for these 2. Advised we don't want to do any rentals. Asked about business at this addr that I found via google "Grigor's Key Service".</t>
  </si>
  <si>
    <t>Business at prop? What caused claimant to fall? Anything negligent on insd part?</t>
  </si>
  <si>
    <t>Luke, Chris</t>
  </si>
  <si>
    <t>Newport Coast</t>
  </si>
  <si>
    <t>Home is subdivision model</t>
  </si>
  <si>
    <t>2016 new build. Insured purchased but is leasing back to the builder to be used as a model until Oct then insured will move in. Gated comm, alarms, patrol service. Individuals make an appointment w/the community rep - they stay with them for a house tour. Excluding liab - they are extending from primary.</t>
  </si>
  <si>
    <t>Matasco Enterprises Inc</t>
  </si>
  <si>
    <t>Laguna Niguel</t>
  </si>
  <si>
    <t>Sher, Edward &amp; Mona</t>
  </si>
  <si>
    <t>DP3 Vacant Condo</t>
  </si>
  <si>
    <t xml:space="preserve">Las Vegas </t>
  </si>
  <si>
    <t>NV</t>
  </si>
  <si>
    <t>Vacant Condo</t>
  </si>
  <si>
    <t>1974 home fully updated. Burns had insured. Then moved to AIG who is hassling them assuming this is under reno. Per insd, they purchased this unit above theirs.  There is no reno. They are mad at AIG.</t>
  </si>
  <si>
    <t>Julie Ana Desilva Exempt Trust</t>
  </si>
  <si>
    <t xml:space="preserve">El Dorado </t>
  </si>
  <si>
    <t>HO8 Primary</t>
  </si>
  <si>
    <t>6</t>
  </si>
  <si>
    <t>Stolper, Stella</t>
  </si>
  <si>
    <t>Padnos Family</t>
  </si>
  <si>
    <t>Saugatuck</t>
  </si>
  <si>
    <t>ACV Settlement</t>
  </si>
  <si>
    <t>Two HO3 policies with ACV settlement. Insd buying large properties with $2.5M home and $629K caretaker home. Separate addresses. Is there an ACV option?</t>
  </si>
  <si>
    <t>Karen created a MI for for Burns use.</t>
  </si>
  <si>
    <t xml:space="preserve">2006 home in brush, backs up to a ridge. Alarms. Updated in 2016. </t>
  </si>
  <si>
    <t>Fernandez, Carmen</t>
  </si>
  <si>
    <t xml:space="preserve">Glen Ridge </t>
  </si>
  <si>
    <t>1908 home  updated in 2000. Online photos look okay. Insured had oil tank removed and it leaked some oil. SF denied loss. Insured funding clean up.</t>
  </si>
  <si>
    <t>Simantob, Shahriar</t>
  </si>
  <si>
    <t xml:space="preserve">1960 home fully updated in 2001. In the name of 3 different LLC's. Not in brush. </t>
  </si>
  <si>
    <t>LLC quest and confirmation that all parties have insurable interest.</t>
  </si>
  <si>
    <t>Henyan, Shannon</t>
  </si>
  <si>
    <t>Cedar Glen</t>
  </si>
  <si>
    <t xml:space="preserve">2008 log home made of factory milled logs. </t>
  </si>
  <si>
    <t>Fillers</t>
  </si>
  <si>
    <t>Insured has open liab claim for dog bit. Trespasser came into fenced area. Chained dog bit them. Dog has been euthanized. Claim still open.</t>
  </si>
  <si>
    <t>Liab and Animal liab okay.</t>
  </si>
  <si>
    <t>Mandylas, Thomas</t>
  </si>
  <si>
    <t xml:space="preserve">Insured has responsibility through easement agreement to insured $225K garage on neighbors property. </t>
  </si>
  <si>
    <t>Sent guidelines to Jill from DP manual and advised this is acceptable.</t>
  </si>
  <si>
    <t>Write as DP3 rental due to level protection. Agt including vacant forms.</t>
  </si>
  <si>
    <t>Insured is domestic partner of Robert Rodriguez, fashion designer. No concerning info online. Not too famous. Home will be vacant for an unknown time and then possibly renovated. $10K AOP ded</t>
  </si>
  <si>
    <t>Dehney, Christine &amp; Robert</t>
  </si>
  <si>
    <t>Avalon</t>
  </si>
  <si>
    <t>Prior dog bite</t>
  </si>
  <si>
    <t>Insured completed pet questionnaire and indicated their dog bit their child. Agent asking if animal liab will apply.</t>
  </si>
  <si>
    <t>Risk acceptable, but excl on limited animal liab form will probably cause exclusion of dog due to prior bite.</t>
  </si>
  <si>
    <t>Behlendorf, Shawn</t>
  </si>
  <si>
    <t>Evergreen</t>
  </si>
  <si>
    <t>1948 home w/some updates. Sketchy info on WBS. It is primary heat; no other source. 150' clearance not maintained. WBS was in home when purchased.</t>
  </si>
  <si>
    <t>Concerned w/little info on stove, primary heat on primary residence, moderate TIV. (Other issues: possible flat roof - cover is rubber. Trampoline-ensure excl is added)</t>
  </si>
  <si>
    <t>Georgiades, George</t>
  </si>
  <si>
    <t>1990 home w/complete plumbing replacement after slab leak loss 4/16 $113K paid. Within 100' of brush zone</t>
  </si>
  <si>
    <t>Confirm 150' brush clearance; add 5% surcharge for large loss</t>
  </si>
  <si>
    <t>Tochitrop, Brittany</t>
  </si>
  <si>
    <t>Home is rented out for 4 weeks during the Coachella Music Festival (mixed genre).</t>
  </si>
  <si>
    <t>Rate for rental use; apply form; screen renters - not a party house.</t>
  </si>
  <si>
    <t>Sutherland</t>
  </si>
  <si>
    <t>DP3 Vacant /Reno</t>
  </si>
  <si>
    <t>Indio</t>
  </si>
  <si>
    <t>1905 home in process of renovation - asbestos removal is part of the plan.</t>
  </si>
  <si>
    <t>Asbestos removal</t>
  </si>
  <si>
    <t>Yacoub, Fadi</t>
  </si>
  <si>
    <t>Cedar Rapids</t>
  </si>
  <si>
    <t>IA</t>
  </si>
  <si>
    <t xml:space="preserve">Retailer advised this is PC4, app says 4x, described as 4 miles to FD, no hydrant. Verified w/Verisk and they say this is a 9.  Tanker brings 2500 gallons. </t>
  </si>
  <si>
    <t>Rate as PC9. Discussed 2500 gallon w/Product and all are okay.</t>
  </si>
  <si>
    <t>Lusha, Masiela</t>
  </si>
  <si>
    <t>1990 home updated. Insured is actress from  George Lopez show. Other movies.</t>
  </si>
  <si>
    <t>Reviewed w/Jeff - felt okay w/liab.</t>
  </si>
  <si>
    <t>Resolve water loss - how far along? Why still open. If okay, approve subj to: • Add Total Business Exclusion (BWD0185).  Compliance is getting us a copy of the form.  Will forward as soon as I get it from them.  Similar to BWH0185.
• Check year of construction. Online sources list this as a 1991 unit https://www.homeinfomax.com/property-records/397209718/13240-arnold-dr-glen-ellen-ca-95442/sonoma-county
• Inspection shows a woodburning stove.  Need current and acceptable woodstove questionnaire.
• App is from 2014.  Need current and acceptable application.
2/1/17- damages now repaired, claim closed. Approved/subj to listed items.</t>
  </si>
  <si>
    <t xml:space="preserve">2012 frame home, no brush full alarms. Pool w/ cement slide looks acceptable online. </t>
  </si>
  <si>
    <t>Advised we can't write over $5M TIV, watch limits. Must remarket if insp val comes back higher</t>
  </si>
  <si>
    <t>Colabelli, Michael &amp; Theresa</t>
  </si>
  <si>
    <t xml:space="preserve">Orange  </t>
  </si>
  <si>
    <t>Builders Risk converting Coml space</t>
  </si>
  <si>
    <t>1950 home, no updates listed. Online photos average. Possible flat roof. 2nd floor tenant occupied during renovation.</t>
  </si>
  <si>
    <t xml:space="preserve">• App states this is a 1950 building, no updates listed.  Could you please confirm?  Are there any updates to the 2nd floor tenant space?  Please send me a copy of the Older Home Questionnaire and any other info you obtain.  If there is no roof update, we should exclude. If it is updated, thank you for recognizing the flat roof and applying the $10K deductible.
• App states “Insured hired licensed contractors”.  Is there a GC managing the renovation, or is the insured acting as GC.  If the insured is acting as GC, we wouldn’t be able to write this.  If there is a GC managing the reno, please send me a copy of the builders risk questionnaire.  
</t>
  </si>
  <si>
    <t>Meeuwsen, Jill</t>
  </si>
  <si>
    <t>Nevada County</t>
  </si>
  <si>
    <t>2008 home. Ran ins score: score okay, but shows 2 bankruptcies - another one in 2013. Self employed, owns 2 homes. Mortgage balances modified w/bankruptcy. Primary home shows up on foreclosure.</t>
  </si>
  <si>
    <t>Mosshart, Alison</t>
  </si>
  <si>
    <t>W Hollywood</t>
  </si>
  <si>
    <t xml:space="preserve">1922 home, roof update, other updates unknown. Nice online photos. Brush unknown. Alison Mosshart is a signer/songwriter. Looks like punk, blues rock, alternative. </t>
  </si>
  <si>
    <t>Excluding liability okay. Need update and brush info.</t>
  </si>
  <si>
    <t>Leon</t>
  </si>
  <si>
    <t xml:space="preserve">Unfinished home </t>
  </si>
  <si>
    <t>Insured purchasing a 2001 built home where all construction is not completed. Alex writing as an owner occupied HO3 excluding the pool, including personal liab as home is occupied.`</t>
  </si>
  <si>
    <t>Mazzei, Raymond &amp; Irina</t>
  </si>
  <si>
    <t xml:space="preserve">2001 home in brush. Alarmed accessible, 12 min response time. Electric gate. </t>
  </si>
  <si>
    <t>150' brush clearance. Quote as PC 10 on revised rater.</t>
  </si>
  <si>
    <t>Gold, Larry</t>
  </si>
  <si>
    <t>1948 home updated in 2016. Insd is producer, but nothing current found.</t>
  </si>
  <si>
    <t>Wright, Clark</t>
  </si>
  <si>
    <t>1973 rental lapsed since August. Was w/Scottsdale. Cancelled for non pay.</t>
  </si>
  <si>
    <t>Ins score and report shows concerns.</t>
  </si>
  <si>
    <t>Zhang, Lina</t>
  </si>
  <si>
    <t>Fontana</t>
  </si>
  <si>
    <t>1993 rental. Almost $100K loss in 2016. Upstairs bath water line broke. Damage repaired, claim closed. Agent offered water dmg excl or $50K ded w/surcharge.</t>
  </si>
  <si>
    <t>suggested 10-20% surcharge - up to agent.</t>
  </si>
  <si>
    <t>Forsythe, John &amp; Gwendolyn</t>
  </si>
  <si>
    <t>Perkasie</t>
  </si>
  <si>
    <t>1995 frame home. Business in basement making microchips for model trains. 10 employees. No other foot traffic. Business policy in place. Liab requested.</t>
  </si>
  <si>
    <t>requested business info, equip used, verify no vendors/customers. Explained total business excl implications for in home business. Only offer x-liab.</t>
  </si>
  <si>
    <t xml:space="preserve">Quoted last year. No changes. 1992 w/full alarms. 8 min response. No losses. </t>
  </si>
  <si>
    <t>Advised approvals are good for 90 days.</t>
  </si>
  <si>
    <t>Kaspari, Christopher</t>
  </si>
  <si>
    <t>Rochester Hills</t>
  </si>
  <si>
    <t>1999 home full alarms, gated with 3 prior losses. 6/14 water $8K, 4/14 Hail $0, 4/16 water-sump $35K. Jewelry schedule $107K $82,000 ladies ring.</t>
  </si>
  <si>
    <t xml:space="preserve">(X-jewelry, X-backup, $10K water, completed app) Offer Jamie Gregory
</t>
  </si>
  <si>
    <t>Caldwell, Anne</t>
  </si>
  <si>
    <t>Memphis</t>
  </si>
  <si>
    <t>TN</t>
  </si>
  <si>
    <t>Scheduled Personal Property</t>
  </si>
  <si>
    <t>1983 home. Updates. Incomplete app-UW questions. 5/16 water $1,200 Claim refers to leak into neighbor unit. 4/14 water $12K. Has $5K silver, $5K hearing aids.</t>
  </si>
  <si>
    <t xml:space="preserve">• Unfortunately we do not schedule hearing aids.  We can schedule the silver. 
• Updates list wiring and plumbing as 1983, but year of construction is 1987.  Please amend YOC or update years.
• 5/16 loss is described as "valve leak in bathroom caused damage to unit, leaked into neighbor unit".  Do we have a multi-family home here?  A condo?  What is the “neighbor unit”?
• $10,000 water damage ded (as you quoted)
• Completed app - UW questions are blank
</t>
  </si>
  <si>
    <t>1957 home all updated except plumbing pipes. Agt writing on HO8-water not covered. $1K AOP. Quote is X-Liab, X-business structures. Personal garage ok, Total Business Excl, $500 a/p. Apple orchard and bake store on premises.</t>
  </si>
  <si>
    <t>Anjum, Zafir</t>
  </si>
  <si>
    <t>Weed</t>
  </si>
  <si>
    <t>Response Time/ACV</t>
  </si>
  <si>
    <t>1993 home. PC 10-10-15 response time. Water tank on premises. Inspections attached (including ACV); caretaker on premises. Monitored fire/alarm, no brush. Pool not properly fenced (picket fence, no lock)</t>
  </si>
  <si>
    <t xml:space="preserve">agent updated that surcharged 60% on original rate.  This puts Markel at $2,317 prior to taxes and fees but only the $50K deductible.  I think the insured would be getting more coverage with Markel; hence the higher premium. </t>
  </si>
  <si>
    <t>GDL Best Contractors</t>
  </si>
  <si>
    <t>Long Beach</t>
  </si>
  <si>
    <t>Corporate Name</t>
  </si>
  <si>
    <t>3 brothers own the property under this corporate name. No update info. 1948 home</t>
  </si>
  <si>
    <t xml:space="preserve">• An acceptable corporate questionnaire
• Acceptable update information on this 1948 home
• No roof updates listed – please exclude roof
</t>
  </si>
  <si>
    <t>Buckingham, Gary</t>
  </si>
  <si>
    <t>Woodland Park</t>
  </si>
  <si>
    <t>1970 home updated in 2014. Inherited from father who never insured. Insd updated and now wants insd. No heat. Only used in summer. Agt quoted DP1 ACV, 10% SC, 2500 AOP</t>
  </si>
  <si>
    <t>Verified PPC</t>
  </si>
  <si>
    <t>Perrine, John</t>
  </si>
  <si>
    <t>Manteo</t>
  </si>
  <si>
    <t>1900 home not gutted</t>
  </si>
  <si>
    <t>No balloon. No historic registry, zoning, or tours. No ERC (Kasey didn't quote, just confirming), Verify Cov A. Consider interior insp.</t>
  </si>
  <si>
    <t>1900 home not gutted but all systems updated. Nice online pix. Reviewed with Tim. Shiplap walls and maybe ceilings. Online descr says "historic". App asks for ERC but Kasey didn't quote. Age fits balloon construction.</t>
  </si>
  <si>
    <t>Born, Douglas</t>
  </si>
  <si>
    <t>DP3 Secondary</t>
  </si>
  <si>
    <t>Eaton</t>
  </si>
  <si>
    <t>1984 8400 SF garage used by father/son as personal workshop. Radiant thermostatically controlled heat. Locked, entry gate. Adequate water from FD. 5 miles away. Agent really wants approval. Photos look okay. Visited daily. On property with a rental home. Tenant has no use of the structure.</t>
  </si>
  <si>
    <t>Unprot quest, X-liability.</t>
  </si>
  <si>
    <t>1802 Palisades Investments</t>
  </si>
  <si>
    <t>DP3 Seasonal w/Rental</t>
  </si>
  <si>
    <t>Leawood</t>
  </si>
  <si>
    <t>197-199 West St LLC</t>
  </si>
  <si>
    <t>Builders risk in name of LLC. Member of LLC is acting as GC - lic and insd.</t>
  </si>
  <si>
    <t>Garcia, John</t>
  </si>
  <si>
    <t>verify ITV! Confirm no business on prem.</t>
  </si>
  <si>
    <t>Kansas, Pete</t>
  </si>
  <si>
    <t>1997 home in brush w/8 min response time. FD 2 miles away. Accessible. Per PC quest, 200' brush clearance.</t>
  </si>
  <si>
    <t>WBS as noted, Brush clear confirmation, Complete app - Q8 not answered (conviction of fraud, bribery, arson)</t>
  </si>
  <si>
    <t>Fein, Kenneth</t>
  </si>
  <si>
    <t>1970 home fully alarmed. Was mother's home. Prior losses found on A+ related to residence location. One was that the insd was visiting mother and fell hit her head. Ins paid what med didn't. Another was AC leaked and got carpet wet. Call to ins only, no claim filed.  Good insurance scores.</t>
  </si>
  <si>
    <t>no surcharge for losses.</t>
  </si>
  <si>
    <t>Palmer, Angela &amp; James</t>
  </si>
  <si>
    <t>Santa Clarita</t>
  </si>
  <si>
    <t>Drexel Luxury Homes LLC</t>
  </si>
  <si>
    <t>LLC name</t>
  </si>
  <si>
    <t>LLC form indicates one individual. Nothing online that appears concerning.</t>
  </si>
  <si>
    <t>Insured is a property investor. Unknown how many other properties. Liab is limited to premises.</t>
  </si>
  <si>
    <t>Meadow Ridge Holdings LLC</t>
  </si>
  <si>
    <t>Lapse &gt;90 days</t>
  </si>
  <si>
    <t>Was builders risk, in LLC, being built for secondary. Nearing completion. Home across street being used as short term rental. Didn't realize home was without coverage</t>
  </si>
  <si>
    <t>Questioned length of lapse-uninsured since Junce 2015. Length too long</t>
  </si>
  <si>
    <t>$650,00</t>
  </si>
  <si>
    <t>1995 home. Roof update in 2009. Agt advises insd does consulting in home. Uses for personal and rents out to clients. Found online bankruptcy. Answered "no" on the app. Insured replied "oh, I thought we discussed".  Requested X Liability and with Total Biz Excl.</t>
  </si>
  <si>
    <t>Dworaczyk, Shawn</t>
  </si>
  <si>
    <t>Eldon</t>
  </si>
  <si>
    <t>2016 frame structure. Prior total fire loss due to heat lamp in dog house. Avg/below avg ins scores. Self employed SS Auto Transport.</t>
  </si>
  <si>
    <t>Cunningham, Sean &amp; Marla</t>
  </si>
  <si>
    <t>Coronado</t>
  </si>
  <si>
    <t>1915 home updated several times, full system in 2008. Unknown if alarms - if not $10K ded applies. Agent asking if we would drop to $6,000 if there are alarms (Lloyds). Q#8 (fraud, bribery, arson) and Q#4 (animals) not answered. App states historical - no info.</t>
  </si>
  <si>
    <t>Subj to completed app with UW ? Answered. Not on historical registry and no tours.</t>
  </si>
  <si>
    <t>Martindale, Liane</t>
  </si>
  <si>
    <t>Unfinished exterior bathroom walls and interior not completed. Insured ran out of money.</t>
  </si>
  <si>
    <t>Exterior photo doesn't look weather/element-proof enough. Otherwise could consider with app. (Run insurance score). Came to us with very little info just to check.</t>
  </si>
  <si>
    <t>Asked for info on bankruptcy and more info on the business.  Sent back a whole bunch more questions.  Still need to examine the bankruptcy. Mr 712 w/tax liens &amp; bad debt; Mrs 809 and ok. Sent back a final message asking for full description of the risk as I cannot figure out from the vague, incomplete and contradictory answers. Received summary and I am comfortable.</t>
  </si>
  <si>
    <t>Asked questions about use, storage, occupation related to building. All personal use.</t>
  </si>
  <si>
    <t>Jackson, Roddrick</t>
  </si>
  <si>
    <t>Yorba Linda</t>
  </si>
  <si>
    <t>Prior claims</t>
  </si>
  <si>
    <t>Certificate of Occupancy should be received in next few weeks. All updates completed</t>
  </si>
  <si>
    <t>Orange County</t>
  </si>
  <si>
    <t>Prior COC, home now ready for secondary usage of client. No brush</t>
  </si>
  <si>
    <t>Jolene S. Cherry Living Trust</t>
  </si>
  <si>
    <t xml:space="preserve">Woodside   </t>
  </si>
  <si>
    <t>Renewal policy. Inspection concerns addressed.</t>
  </si>
  <si>
    <t>Anderson</t>
  </si>
  <si>
    <t>Exclude roof - 27 years old.  Total Business Excl.</t>
  </si>
  <si>
    <t>1989 home w/4 prior water claims over 3 years old - no detail. Agt proposing $15K water dmg ded, no backup. $3123 Markel rater; $4512 Lexington</t>
  </si>
  <si>
    <t>Approved at $4K prem w/$15K water ded.</t>
  </si>
  <si>
    <t>Lots of back and forth on terms. Make sure $4K prem and $15K ded was applied.</t>
  </si>
  <si>
    <t>Davis, Curtis</t>
  </si>
  <si>
    <t>Chesterfield</t>
  </si>
  <si>
    <t>Lapse &lt; 12 months</t>
  </si>
  <si>
    <t>1998 home with lapse. Insd thought mortgage paid. Reviewed online. Unprotected quest looks okay.</t>
  </si>
  <si>
    <t>Zamir, Zion &amp; Michelle</t>
  </si>
  <si>
    <t>Possible demolition</t>
  </si>
  <si>
    <t>Insured will either completely demolish or demolish leaving only 1 wall at some unknown date in the future. Currently vacant and being checked.</t>
  </si>
  <si>
    <t>Moral and morale hazard. Why would they want to insure?</t>
  </si>
  <si>
    <t>Levitt, Daniel</t>
  </si>
  <si>
    <t>Los Altos Hils</t>
  </si>
  <si>
    <t>1988 home, no update info. Roof okay - tile. Full alarms. Not in brush. Online photos ok.</t>
  </si>
  <si>
    <t>Alexa</t>
  </si>
  <si>
    <t>Baskin, Roger</t>
  </si>
  <si>
    <t>Nashville</t>
  </si>
  <si>
    <t>2008 home with a hail loss in 2012 $89K roof replaced. Online and inspection look good.</t>
  </si>
  <si>
    <t>uw questions blank - need all completed.</t>
  </si>
  <si>
    <t>Thiesen, Raymond</t>
  </si>
  <si>
    <t>Vacant 2nd term</t>
  </si>
  <si>
    <t>No Losses. Extended vacancy as probate took a while and home had to be updated. Up for sale since 11/16.</t>
  </si>
  <si>
    <t>Bowie, Phillip David</t>
  </si>
  <si>
    <t>Fairmount</t>
  </si>
  <si>
    <t>1979 home updated in 2012. Secondary but prim is only 12 miles away. $13K Hail loss in 2016. Lapse since 12/31/16. Drive time&gt;15 per internet. Volunteer FD, dirt roads</t>
  </si>
  <si>
    <t xml:space="preserve">Response Time  </t>
  </si>
  <si>
    <t xml:space="preserve"> (Lapse, large recent claim, PC10, extended response time, volunteer FD, dirt roads.)  Additionally, I'm always a little skeptical of homes that are presented by the insured as "secondary" when they are close to their primary, in this case only 12 miles away.  (Always wonder if they aren't just vacant homes that are checked on regularly.)</t>
  </si>
  <si>
    <t>Ernst Benzien Revocable Trust</t>
  </si>
  <si>
    <t>Contents limit</t>
  </si>
  <si>
    <t>1977 frame home up for sale. Agent requesting $300,000 personal property. No alarm.</t>
  </si>
  <si>
    <t>$10K theft ded and central station alarm per guidelines.</t>
  </si>
  <si>
    <t>Rowe, Maria</t>
  </si>
  <si>
    <t>Insured has 2 water claims. 2nd was discovered when 1st was being repaired.  Cost=$14. Wonder if we can eliminate surcharge.</t>
  </si>
  <si>
    <t>Asked what the water losses actually were.</t>
  </si>
  <si>
    <t>Gaedtke, Jason</t>
  </si>
  <si>
    <t>Severance</t>
  </si>
  <si>
    <t>2014 home w/full alarms and interior sprinklers per app. PC10. Drive time per google is 14-17 min. Paid &amp; volunteer. Accessible. 2 water losses at primary. No risk meter attached-ran FireLine-low fire risk.</t>
  </si>
  <si>
    <t>Nasta, Mauricio</t>
  </si>
  <si>
    <t>1998 home, alarms. Online photo looks good. No adverse info.</t>
  </si>
  <si>
    <t>Ingersoll, Barbara</t>
  </si>
  <si>
    <t>1978 home w/roof update. Home in trust name. 15 min response by volunteer FD. Some dirt roads. Fully accessible.</t>
  </si>
  <si>
    <t>Verify placement on 294 acres does not increase response time and home is accessible on property</t>
  </si>
  <si>
    <t>Hay, David</t>
  </si>
  <si>
    <t>Rental property, agent wants 100K contents. 2 prior theft losses. Now has alarm</t>
  </si>
  <si>
    <t>Wesselink, Stephen</t>
  </si>
  <si>
    <t>2007 rental on 10 acres. Mobile home and storage facility w/separate address.</t>
  </si>
  <si>
    <t>Burke, Kenneth</t>
  </si>
  <si>
    <t>1994 home with $119,000 water damage claim. Repairs almost completed. Insured has moved into this as his primary home. In brush.</t>
  </si>
  <si>
    <t>Love, Faye</t>
  </si>
  <si>
    <t>Midway</t>
  </si>
  <si>
    <t>Vacant Lot Question</t>
  </si>
  <si>
    <t>Home is 2 separate parcels across street from each other. Lot has a garage. Also there is a dock on main property.</t>
  </si>
  <si>
    <t>Roof age</t>
  </si>
  <si>
    <t>40 year old tile roof. Avg condition per insp. Okay? Exclude next year?</t>
  </si>
  <si>
    <t>Exclude next year, or issue now with ACV, reinspect in 3 years and exclude if not replaced.</t>
  </si>
  <si>
    <t>Noe, Jacob</t>
  </si>
  <si>
    <t xml:space="preserve">Bend </t>
  </si>
  <si>
    <t>2006 home. Daycare up to 16 kids. Agt proposing with liab and Total Business Excl.</t>
  </si>
  <si>
    <t>If there is coml covg in place with Markel, we could write w/liab. Otherwise, X-liab and with Total Business Exclusion.</t>
  </si>
  <si>
    <t>Doris Pike Guthrie TX Trust</t>
  </si>
  <si>
    <t>Concan</t>
  </si>
  <si>
    <t>206 rental home. Loss 8/19/16 5 yr old child drowned in insured's pool - was a guest of the renter - parents failed to supervise the child. Nothing paid, reserves $605,000. No liab requested.</t>
  </si>
  <si>
    <t>Reed, Kincade</t>
  </si>
  <si>
    <t>Insured lives in guest house and rents out main house. On same property, same address.</t>
  </si>
  <si>
    <t>Proper policy format</t>
  </si>
  <si>
    <t>Decided to write guest house as A, rental house as B.</t>
  </si>
  <si>
    <t>Tait, Thomas &amp; Julie Anne</t>
  </si>
  <si>
    <t>1963 updated condo. Insured is mayor of Anaheim. Not in brush. Heat, wire, plumb updated. No roof update. Cover is built up.</t>
  </si>
  <si>
    <t>Condo, so no action on the roof.</t>
  </si>
  <si>
    <t>Mazmavi, Haniffa</t>
  </si>
  <si>
    <t>Cerritos</t>
  </si>
  <si>
    <t>2015 fire loss - daughter fell asleep with oil on the stove.  2015 water leak thru tile roof. 1989 home updated.  Insured is a doctor.</t>
  </si>
  <si>
    <t>Add 20% debit due to size of loss.</t>
  </si>
  <si>
    <t>Slater, Debra &amp; Carl</t>
  </si>
  <si>
    <t>1976 home updated in 2004 w/alarms in brush. Agt noted subj to 150' brush clearance.</t>
  </si>
  <si>
    <t>subj to brush clearance and complete app.</t>
  </si>
  <si>
    <t>Dwellings used to house those recently released from prison and/or ex-military.</t>
  </si>
  <si>
    <t>Asked addl questions to assess opportunity.</t>
  </si>
  <si>
    <t>Jackson, Cathy</t>
  </si>
  <si>
    <t>Holly Ridge</t>
  </si>
  <si>
    <t>1939 home unsure of updates. Sign business in home and in garage. Lite traffic. No GL.</t>
  </si>
  <si>
    <t>Additional business questions and info on updates - increased demand.</t>
  </si>
  <si>
    <t>Akenson, Brian</t>
  </si>
  <si>
    <t>Santee</t>
  </si>
  <si>
    <t>2954 home updated. Insd is elec contr. Has business in separate building. No foot traffic. 1 employee. Has GL. Agnt proposing w/TBE.</t>
  </si>
  <si>
    <t>subj to TBE and exclude any commercially used buildings.</t>
  </si>
  <si>
    <t xml:space="preserve"> Delta</t>
  </si>
  <si>
    <t>Armstrong, William</t>
  </si>
  <si>
    <t xml:space="preserve">Weston </t>
  </si>
  <si>
    <t>Can't do the schedule-referred to Markel Specialty.</t>
  </si>
  <si>
    <t>2002 home w/full alarms. 1 loss storm dmg to roof 2016 $45K. Closed. Also wants $140K PAF. Beautiful online pics.</t>
  </si>
  <si>
    <t>Tsao, Tom</t>
  </si>
  <si>
    <t>Diamond Bar</t>
  </si>
  <si>
    <t>New 2017 home being professionally decorated, so it will be vacant for a few months. Agent looking for 3 or 6 month terms. Chubb won't allow over 30 day vacancy.</t>
  </si>
  <si>
    <t>Subj to completed app (none attached).</t>
  </si>
  <si>
    <t>Glass House Inc</t>
  </si>
  <si>
    <t>Lancaster</t>
  </si>
  <si>
    <t>Transitional housing</t>
  </si>
  <si>
    <t>Director of Glass House Inc owns several dwellings, buying more. Transitional housing for homeless, vets, x-rehab, x-jail families and individuals.</t>
  </si>
  <si>
    <t>Salamone</t>
  </si>
  <si>
    <t>Mid-term COC</t>
  </si>
  <si>
    <t>Confusion w/prior carrier covering the COC. Now 60% done. Close contact of agent. Apps and forms look in order.</t>
  </si>
  <si>
    <t>Reason for decl, canc, nrn? Add surcharge. 3 month-1 year term okay.</t>
  </si>
  <si>
    <t>Renner, Debby</t>
  </si>
  <si>
    <t xml:space="preserve">Farmington </t>
  </si>
  <si>
    <t>Insured owns/operates an RV park on the premises. Coml covg in place. 1963 updated home. Good online reviews and nice home pics.</t>
  </si>
  <si>
    <t>Adler, Ellen &amp; Elliot</t>
  </si>
  <si>
    <t>No online photos. A+ I ran shows this loss only. Ins scores very good. Subj to confirm reason for nrn in 2015, current/complete app, 15% surcharge.</t>
  </si>
  <si>
    <t>Skaggs, Lori</t>
  </si>
  <si>
    <t>Arbuckle</t>
  </si>
  <si>
    <t xml:space="preserve">Tiny house </t>
  </si>
  <si>
    <t>1992 home w/tiny house as other structure. It is occupied by son and is mobile.</t>
  </si>
  <si>
    <t>Can't do the tiny house, but rest of risk is okay.  Provided other sources of insurance. If prof built and permanent, we could consider at this $30K value.</t>
  </si>
  <si>
    <t>Lykies, David</t>
  </si>
  <si>
    <t>Georgetown</t>
  </si>
  <si>
    <t xml:space="preserve">TIV   </t>
  </si>
  <si>
    <t>Vacant and for sale. Fully alarmed. Agent applied 10% credit. 2002 home. 3-6-12 mo terms. Agt quoting subj to acceptable PC quest. There Is a hydrant even though this is a pc10.</t>
  </si>
  <si>
    <t>PC quest (as noted).</t>
  </si>
  <si>
    <t>Okay as long as dwelling isn't used for park registrations, etc and there is a separate office for handling that. Verify what Cov B includes and exclude any business structures.//2/27 info came back that this is the office, no other str. Approved x-liab; w/TBE; confirm office only.</t>
  </si>
  <si>
    <t>Pashaie, David</t>
  </si>
  <si>
    <t>Mid-term construction</t>
  </si>
  <si>
    <t>Aucella, Adam</t>
  </si>
  <si>
    <t>Mid-term construction/lapse</t>
  </si>
  <si>
    <t>Construction underway. Wrote w/ NatGen but they cancelled due to items still under construction. 1901 home completely gutted and rebuilt.</t>
  </si>
  <si>
    <t xml:space="preserve">Home was gutted to studs last year. Pol renewal lapsed 1/11/17. Insd claims didn't get renewal offer. Interior not complete. Bed &amp; bath ready so insured is moving in. </t>
  </si>
  <si>
    <t>subj to: will add w/s note on app - verify. Need all uw ?'s answered. Confirm what heavy equipment they have, value, use. Noted on app.</t>
  </si>
  <si>
    <t>Matson, Ginger</t>
  </si>
  <si>
    <t>1970 home updated. Escrow closed - escrow office neglected to advise covg to be bound. Agt provide e-signed no loss letter. Agt says very organized retailer.</t>
  </si>
  <si>
    <t>Hercules Development</t>
  </si>
  <si>
    <t>COC by developer</t>
  </si>
  <si>
    <t>1980 home updated in 2000. No demo. Interior construction only being done by a developer to sell. GC involved to oversee reno. Agt adding 15-20%.</t>
  </si>
  <si>
    <t>Online photos - possible flat roof.</t>
  </si>
  <si>
    <t>Begley, Robert</t>
  </si>
  <si>
    <t>2005 home no losses. Agent wants "deluxe" coverages.</t>
  </si>
  <si>
    <t>Additional Insured</t>
  </si>
  <si>
    <t>Mother owns home in name of trust. Renting to daughter. DP3/HO4. Daughter wants to be Addl Insd on DP3. No contract in place.</t>
  </si>
  <si>
    <t>Agreed w/ Delta-with no contract pol is written right; daughter cant be AI, can be additional interest only (notification)</t>
  </si>
  <si>
    <t>Bartosh, Frank</t>
  </si>
  <si>
    <t>Carthage</t>
  </si>
  <si>
    <t>1991 frame home. 145 acres - insd bales hay from property as secondary profession. Prim home has auto body and airstrip-insured by Lloyds. Agnt applying Total Business Exclusion.</t>
  </si>
  <si>
    <t>Verify use of Machine Shed noted on app $71,200. If biz equip stored in it, the TBE will exclude covg if a loss occurs from the equip. May need to insure elsewhere. If personal use, okay.</t>
  </si>
  <si>
    <t>Total</t>
  </si>
  <si>
    <t>Walter, Ronald</t>
  </si>
  <si>
    <t>Riverview</t>
  </si>
  <si>
    <t>2008 home, no alarms, vacant and up for sale. Very nice pics online, waterfront. 3/6/12 mo terms. Home checked on several times/week. $10K theft ded; $5K VMM ded.</t>
  </si>
  <si>
    <t>Nickles, Julie</t>
  </si>
  <si>
    <t>York</t>
  </si>
  <si>
    <t>Roof exclusion waiver?</t>
  </si>
  <si>
    <t>1991 home. 26 year old roof, no updates. Insp says average condn. Was vacant, now going to be a rental. Agent asking for exception to remove exclusion.</t>
  </si>
  <si>
    <t>Write with ACV roof and increased water damage deductible $5,000 minimum? No close up photos of roof.</t>
  </si>
  <si>
    <t>McFarlane, Dijon (DJ Mustard)</t>
  </si>
  <si>
    <t xml:space="preserve">Chatsworth </t>
  </si>
  <si>
    <t>Addl info that prior owner had 2 water losses. Agt quoted w/5K water ded. Also asked for rush EHP inspection and make sure to get off if any issues.</t>
  </si>
  <si>
    <t>Insured is rapper/songwriter/producer DJ Mustard 26 years old. Agent requesting without liability. No adverse online info.</t>
  </si>
  <si>
    <t>Decline property and liability due to nature of the risk. Pretty consistent w/other decisions.</t>
  </si>
  <si>
    <t>Yager, Brent</t>
  </si>
  <si>
    <t>Greeley</t>
  </si>
  <si>
    <t>Party Wall Agreement</t>
  </si>
  <si>
    <t xml:space="preserve">2017 new build 5 unit attached townhome w/party wall agreement. </t>
  </si>
  <si>
    <t>Hird Island</t>
  </si>
  <si>
    <t>Seasonal, no alarms, not accessible, long response time from volunteers by boat. Definite total loss if a fire starts. Advised Leslie to write back with supporting info and pricing rec if she feels strongly about writing.</t>
  </si>
  <si>
    <t>Readdick, Cocoa</t>
  </si>
  <si>
    <t>Warmington, William</t>
  </si>
  <si>
    <t>Home was total fire loss due to elec. After demo, would write this policy. Wants $100K building materials. Trust.</t>
  </si>
  <si>
    <t>Need fire marshall report. Can do $25K theft of bldg matl.</t>
  </si>
  <si>
    <t>Dugger, Lesley</t>
  </si>
  <si>
    <t>Amarillo</t>
  </si>
  <si>
    <t>Volunteer FD w/FD 15 miles away and pumper. Definite total loss if a fire starts. Advised Alexa to send supporting info and strong pricing if she feels strongly about writing.</t>
  </si>
  <si>
    <t>20-25 min response time by volunteer FD. FD is 15 miles away. Pumper w/lake 500'-1/4 mile away. Alarms. Locked gate to property.</t>
  </si>
  <si>
    <t>w/Pool Exclusion &amp; 10% s/c for mid-term constr.//Follow up 3/2 that there was a prior theft and prior $72K water loss causing mold=leak in guest bath. Both from prior owners. Plumbing replaced and home is gutted and being renovated.</t>
  </si>
  <si>
    <t>Powers, John</t>
  </si>
  <si>
    <t>Pocomoke City</t>
  </si>
  <si>
    <t xml:space="preserve">PC10   </t>
  </si>
  <si>
    <t xml:space="preserve">1985 frame home. Volunteer FD is 10.2 miles away, 18 min response per google. </t>
  </si>
  <si>
    <t>Conover, Jason</t>
  </si>
  <si>
    <t>Springfield</t>
  </si>
  <si>
    <t>1976 home updated in 2016 2/ 2 losses: 13 dishwasher line $17K; 11/15 meat smoker on deck caught home on fire $300k. Insd may sell lularoe and tupperware. Agt offering X-liab. Wants BPP.</t>
  </si>
  <si>
    <t>$10K BPP. Fire Marshall report confirms accidental, unattended, cooking under covered patio. Requested addl 15% surcharge.</t>
  </si>
  <si>
    <t>I advised to fulfill MEP w/ Lex and then switch to us.</t>
  </si>
  <si>
    <t xml:space="preserve">Bobbi quoted a risk 1/27/2017 which had fuses, but upgraded to C/B. She gave Markel and Lex quote. By mistake, agent asked for Lex to be bound. Just realizing it. Wondered if we could go back to 1/27/17 to fulfill intent. </t>
  </si>
  <si>
    <t>Singh, Manjit</t>
  </si>
  <si>
    <t>Wilton</t>
  </si>
  <si>
    <t>2005 home not in brush. PC 8b=9 as there is a hydrant. Unsure of alarms. $2500 ded</t>
  </si>
  <si>
    <t xml:space="preserve">• Rating should be PC9 (we don’t have 8b in your program).  It sounds like there is a hydrant source, so that keeps it from being a 10.  (I’ve attached that bulletin we recently sent out which is helpful.)
• Central station burglar and fire would be required or we would need to apply $10,000 AOP deductible.
• Online description mentions olive trees and orchard:  https://www.zillow.com/homedetails/9681-Stablegate-Rd-Wilton-CA-95693/61331481_zpid/. Please find out additional details.  Is this personal use?  Any commercial sales? How big of an area?  If business use or large area, we’ll need to ask additional questions.
</t>
  </si>
  <si>
    <t>Iovanni, Matt (BWH102889)</t>
  </si>
  <si>
    <t>3 mortgagees</t>
  </si>
  <si>
    <t>Insured requesting to add 3rd mortgagee. Agent asking if they have to cancel or nonrenew.</t>
  </si>
  <si>
    <t>147 Liberty Rd Perry</t>
  </si>
  <si>
    <t>Picayune</t>
  </si>
  <si>
    <t>&gt;25 acres</t>
  </si>
  <si>
    <t xml:space="preserve">2004 home on 37 acres. No business or farming. </t>
  </si>
  <si>
    <t>Verify home is accessible to emergency vehicles.</t>
  </si>
  <si>
    <t>Estate of Randy Phillips</t>
  </si>
  <si>
    <t>Goodlettesville</t>
  </si>
  <si>
    <t>1989 home updated. Alarms. Parents passed away, son stays there  a couple of times a month throughout the year. Yes answers on app to knob &amp; tube, etc and lapse.</t>
  </si>
  <si>
    <t xml:space="preserve">Richmond, Mitchell </t>
  </si>
  <si>
    <t>1987 frame home, no alarms, high brush zone. $5K AOP.  Nice online photos.</t>
  </si>
  <si>
    <t>Per Danielle, questions answered wrong. No issues.</t>
  </si>
  <si>
    <t>Asked numerous questions to evaluate. Ins score decent. Ok by Louisa.</t>
  </si>
  <si>
    <t>approved subj to 150' clearance and central fire/burglar alarms.</t>
  </si>
  <si>
    <t>Hodges, Cyndy</t>
  </si>
  <si>
    <t>Carmel</t>
  </si>
  <si>
    <t>Can't get RiskMeter</t>
  </si>
  <si>
    <t>1962 rental condo updated in 07. Prior water loss charged for $51K water pipe burst. Address has no street #.</t>
  </si>
  <si>
    <t>Ran FireLine-got zip level match. Appears to be majority is 6 exposure which equates to low in RiskMeter.</t>
  </si>
  <si>
    <t>Mi</t>
  </si>
  <si>
    <t>Walton, Nathan &amp; Alexandra</t>
  </si>
  <si>
    <t>2015 home. In Renie zone but extremely low CDS and low exposure to a medium zone. State Farm NRN's due to not passing brush insp. We would not require since not brush by our defn. Beautiful online photos. Fully alarmed. No horses per submission.</t>
  </si>
  <si>
    <t>Agent noted $5M limit and that we would have to cancel if it goes over.</t>
  </si>
  <si>
    <t>Stucker, Carol</t>
  </si>
  <si>
    <t>Blum, Craig &amp; Kimberly</t>
  </si>
  <si>
    <t>Rancho Mirage</t>
  </si>
  <si>
    <t>2015 home not in brush. Online photos show portions of flat roof. Agent quoted PC9. Full alarms and partial sprinklers</t>
  </si>
  <si>
    <t>$10K wtr dmg ded for flat roof.</t>
  </si>
  <si>
    <t xml:space="preserve">Trampoline </t>
  </si>
  <si>
    <t xml:space="preserve">In ground trampoline. Anything additional than the trampoline exclusion? </t>
  </si>
  <si>
    <t>Advised of hazards and said excl is adequate.</t>
  </si>
  <si>
    <t>Alison added 7% brush surcharge because it is near brush, but not a brush area.  She is looking for some give due to us being $200 higher than competition. They have sprinklers. Decided a 2% s/c was fine. Nice online risk. Rear yard is brush and then homes. Doesn't appear dense.</t>
  </si>
  <si>
    <t>She is sending confirmation.</t>
  </si>
  <si>
    <t>Kosky, Audrey</t>
  </si>
  <si>
    <t>Mt Pleasant</t>
  </si>
  <si>
    <t>2014 dog bite claim, insured still has dog. Taking obedience classes. Agent wants to write with animal exclusion. $275K liab loss.</t>
  </si>
  <si>
    <t>Horowitz, Jack</t>
  </si>
  <si>
    <t>Pasadena</t>
  </si>
  <si>
    <t>1956 home w/updates. New purchase. Insd is taking 1 month to repaint, change carpet and new cabinets. Nothing major. Agent wants to write as HO3 Vs. COC.</t>
  </si>
  <si>
    <t xml:space="preserve">If no work to electrical plumbing, makes sense. </t>
  </si>
  <si>
    <t>Djougourian, Arsen</t>
  </si>
  <si>
    <t>Glendale</t>
  </si>
  <si>
    <t xml:space="preserve"> 118 Scrub Oak LLC</t>
  </si>
  <si>
    <t>Santa Rosa Beach</t>
  </si>
  <si>
    <t>Approved property coverage, but exclude liability and exclude personal injury. Insd is pretty high profile.</t>
  </si>
  <si>
    <t>Akin, Cheri</t>
  </si>
  <si>
    <t>Mine shaft on property</t>
  </si>
  <si>
    <t>2007 home in brush. Seasonal pond, mine shaft, 40 acres, tree house. Online photos show good railing and professional looking tree house. 40 acres ok. Seasonal pond ok. Insd offered to fence mine shaft.</t>
  </si>
  <si>
    <t>Lupton</t>
  </si>
  <si>
    <t>Animal liability</t>
  </si>
  <si>
    <t>Insured has a 2014 animal loss - horse got out on road and caused collision. $2716. Agent wants to offer $10K or $25K liab for top agent as an exception.</t>
  </si>
  <si>
    <t xml:space="preserve"> Allor, Charles &amp; Wendy</t>
  </si>
  <si>
    <t>Englewood</t>
  </si>
  <si>
    <t>Mid term builders risk</t>
  </si>
  <si>
    <t>1939 home w/reno mostly complete. Home closed in, still walls, final elec/hear, floor, kitch, bath. Licensed contractor. Big agent for Allison. Insured never responded to questions last fall to take coverage then. 20% s/c added.</t>
  </si>
  <si>
    <t xml:space="preserve"> Vanacore, Derek</t>
  </si>
  <si>
    <t>2003 home not in brush, full alarms. Aware of $5M TIV max. 3 prior losses: wind 2/14 $59,495; theft jetski (open) 10/15 $2350; water $9942 2/3/16. Lapse-10% s/c applied.</t>
  </si>
  <si>
    <t xml:space="preserve">I am approving terms for you as quoted subject to:
• If water claim of 2/3/16 was backup related, please do not add water backup coverage. 
• Please obtain details about the stolen jetski and the water damage claim and if there is anything out of the ordinary or concerning, please check back with me to review terms.  Assuming no negligent action with the stolen jetski.  Assuming pipe break or leak.  (Didn’t want you to have to wait to bind…)
</t>
  </si>
  <si>
    <t>Panas, Cynthia</t>
  </si>
  <si>
    <t>Allentown</t>
  </si>
  <si>
    <t xml:space="preserve">Reviewed google maps, no flat roof, Home looks OK. Sinc gutted, Approval subject to  inspection including EHP </t>
  </si>
  <si>
    <t>Older home w/ RC</t>
  </si>
  <si>
    <t>Hunter, John RUA015391</t>
  </si>
  <si>
    <t>Length of construction</t>
  </si>
  <si>
    <t>We have been on this risk for 1 year. Agent wants to extend 3 months.</t>
  </si>
  <si>
    <t>This was built in 1920, tenant occupied, located in PA and fully updated.  Heatiing 1996, wiring 1996, plumbing  1996 and roofing 2012. No losses.</t>
  </si>
  <si>
    <t>Mohsen, Aly</t>
  </si>
  <si>
    <t>Prior Felony</t>
  </si>
  <si>
    <t>Insured charged w/perjury (and more) in 2006. Many news articles. 1989 home w/ no losses. This is not held against the insured, but FYI, the insured's brother tried to take out a hit on the judge in the case and burn down a jurors home.</t>
  </si>
  <si>
    <t>Kawahara Revocable Trust</t>
  </si>
  <si>
    <t>1986 home w/updated roof. Online pics ok. Insd appears to be a professional artist per google. Has a detached art studio for total of $185,000 Cov B w/ garage and art studio.</t>
  </si>
  <si>
    <t>Reviewed w/Jeff - Fireline is High 6. Good rate for the brush zones now. Asked Lisa if any professional work in studio, delivery, etc, need to re-review.</t>
  </si>
  <si>
    <t>Roll, George</t>
  </si>
  <si>
    <t>Lecompton</t>
  </si>
  <si>
    <t>1925 home updated in 1996. Nice online photos. Large open carport structures for boat storage. 10 customers per month. Has GL w/Allied. Separate from home.</t>
  </si>
  <si>
    <t>Total Business Excl; Exclude other str ($20K Cov B included); get reason for prior cancel/nrn.</t>
  </si>
  <si>
    <t>• How many horses and goats?
• Please confirm no breeding, boarding, or riding lessons.
• Are the horses kept in a fenced area?
• What kind of fence?
• With the loss that occurred, did the horse get out of their fenced area?  Was there a problem with the fence?  
Received answers - in file. sounds secure enough to offer $10K animal liab.</t>
  </si>
  <si>
    <t>Insured has Doberman that recently bit mailman. $25K reserve still open.</t>
  </si>
  <si>
    <t>Could consider w/full submission. Could exclude the dog or add Ltd Animal Liab since dog is double excluded.</t>
  </si>
  <si>
    <t>LaCroix, Marsa</t>
  </si>
  <si>
    <t>Claim History</t>
  </si>
  <si>
    <t xml:space="preserve">4/16 $48K water backup (roots in drain); 2/22/17 $0 closed/denied - rain damage to paperwork (insd writing a book). </t>
  </si>
  <si>
    <t>Agent adding $10k water dmg ded. Sent email confirming.</t>
  </si>
  <si>
    <t>XS Brokers</t>
  </si>
  <si>
    <t>1895 home well maintained and updated for an employee of XSB. Not gut rehabbed. Adding FRC. $2500 ded.  (1900 rule)</t>
  </si>
  <si>
    <t>Burke, Joshua J</t>
  </si>
  <si>
    <t>One of the first policies bound. Verify condition looks good</t>
  </si>
  <si>
    <t xml:space="preserve">Cambre, Carla </t>
  </si>
  <si>
    <t xml:space="preserve">27 minute response time in PC10. 1970 home updated. </t>
  </si>
  <si>
    <t>Vacherie</t>
  </si>
  <si>
    <t>FD 19 miles away with 27 min response time. Definite total loss if fire starts. Advised Jill to send supporting info and strong pricing if she feels strongly about writing.</t>
  </si>
  <si>
    <t>Tryon, David</t>
  </si>
  <si>
    <t>RC - Not Gutted</t>
  </si>
  <si>
    <t>Liggett, Peter</t>
  </si>
  <si>
    <t>Hilton Head</t>
  </si>
  <si>
    <t>Distance to coast</t>
  </si>
  <si>
    <t>Alex wrote this and an excess liability policy and then it was disclosed the insured is their own GC.  1 year 'til completion. Insured is a contractor, hiring insured subs.</t>
  </si>
  <si>
    <t>Considered with X-liab and as is. Not comfortable. Excess carrier is cancelling too.</t>
  </si>
  <si>
    <t>Jennifer Robin Burrows Trust</t>
  </si>
  <si>
    <t>Santa Ynez</t>
  </si>
  <si>
    <t>Rental homes on property</t>
  </si>
  <si>
    <t xml:space="preserve">3 structures on property. One primary, one rental, one vacation rental. Writing all on one policy. Has $300K contents in the vaca rental. Has a barn and fine arts. </t>
  </si>
  <si>
    <t xml:space="preserve">Probably can't do the fine arts - will review later per agent. </t>
  </si>
  <si>
    <t>Berg, Trent</t>
  </si>
  <si>
    <t>Murphys</t>
  </si>
  <si>
    <t xml:space="preserve">1978 home updated in 2000, 16 min response time per PC Quest. Google=17 min. Bing=18 min. High brush zone per RM. Woodpile in online photo. </t>
  </si>
  <si>
    <t>Not comfortable exceeding 15 min in high brush zone.</t>
  </si>
  <si>
    <t>Allen Barsana ET AL</t>
  </si>
  <si>
    <t xml:space="preserve">Asbury Park </t>
  </si>
  <si>
    <t>Subsidized rentals</t>
  </si>
  <si>
    <t>6 rental homes where rent is partially subsidized. 6 LLC's own the properties.  All are updated.</t>
  </si>
  <si>
    <t>Reviewed online photos. Found below avg condition and neighboring homes/properties boarded up.</t>
  </si>
  <si>
    <t>Russell, Kent</t>
  </si>
  <si>
    <t>Danielle reviewing possible backend procedure.</t>
  </si>
  <si>
    <t>1985 updated home no brush alarms. Prior = fair plan.</t>
  </si>
  <si>
    <t>As long as fair plan was not for condition</t>
  </si>
  <si>
    <t>Craig, John</t>
  </si>
  <si>
    <t>Polik, Jeffrey</t>
  </si>
  <si>
    <t>HO3 Secondary w/Rental</t>
  </si>
  <si>
    <t>Burns NC</t>
  </si>
  <si>
    <t>Holmes, Mark</t>
  </si>
  <si>
    <t>Ins Score</t>
  </si>
  <si>
    <t xml:space="preserve">1993 home. 5 mi from coast. Low ins score, home &gt;10 years old. </t>
  </si>
  <si>
    <t>Reviewed w/Tim. Comfortable with risk.</t>
  </si>
  <si>
    <t xml:space="preserve">Shupe, Kathryn </t>
  </si>
  <si>
    <t>Whittier</t>
  </si>
  <si>
    <t>Prior Losses</t>
  </si>
  <si>
    <t xml:space="preserve">This has had 3 water losses in the last 5 years, and 2 in the last 3 years. The losses were all related to the PVC plumbing, which has been totally updated to copper after the last loss. I still applied a $10K water deductible due to the loss history, but didn’t think a water damage exclusion was necessary or really large deductible since the pipes were totally replaced. </t>
  </si>
  <si>
    <t>Zavalza, Camen</t>
  </si>
  <si>
    <t>HO3/Primary</t>
  </si>
  <si>
    <t>Perris</t>
  </si>
  <si>
    <t>It’s a primary home on 4.5 acres that is in escrow. Year built is 1992. There was a loss in 2014 from the previous owner (pipe leak, $21k paid out, repairs made, claim closed). I’ve applied a special water damage exclusion. There is also a mobile home on the property that will be rented out. Would we be able to quote the main home and attach the Building Exclusion to specifically exclude the mobile home</t>
  </si>
  <si>
    <t>Mobile home on property</t>
  </si>
  <si>
    <t>Approved subject to other building exclusion and x-liability</t>
  </si>
  <si>
    <t xml:space="preserve">primary home located in CA.  Home was updated in 2001 of frame construction.  PC3 with alarms and 1 loss:
09.01.16 - water loss - a pipe burst in the storage area -damaged carpet.
They have replaced all new pipes
Insured is high profile - actress &amp; a photographer
</t>
  </si>
  <si>
    <t>High-profile</t>
  </si>
  <si>
    <t xml:space="preserve">SHAHIDI, AFSHIN &amp; KERI </t>
  </si>
  <si>
    <t xml:space="preserve">Waggoner, Lyle &amp; Sharon </t>
  </si>
  <si>
    <t>HO3/Secondary/Rental</t>
  </si>
  <si>
    <t>Oxnard</t>
  </si>
  <si>
    <t>The insured is an actor who used to be on the Carol Burnett Show. No brush, no claims</t>
  </si>
  <si>
    <t xml:space="preserve">insured is no longer actively acting, but owns a customized trailer company; wife is retired. </t>
  </si>
  <si>
    <t>NE</t>
  </si>
  <si>
    <t>Omaha</t>
  </si>
  <si>
    <t>Home is winterized, not in use in winter (Seasonal in warmer months only). Piping updated in 2008; subject to 10% surcharge since not disclosed at rating and requested rewritten to a DP3 form if not already</t>
  </si>
  <si>
    <t>Herzog, Michael</t>
  </si>
  <si>
    <t>Frame, secondary, built in 1950/updated, new purchase, rated as PC6 , no heat; active policy BWH107552-3983205, no heat not disclosed but discovered during inspection</t>
  </si>
  <si>
    <t>Hildebrandt, Oliver &amp; Catalina</t>
  </si>
  <si>
    <t>Primary</t>
  </si>
  <si>
    <t>Primary, insured is interior designer. Occasionally sales furniture/pieces from home so some inventory and foot traffic</t>
  </si>
  <si>
    <t>Agt quoted with total business exclusion, so approved subject to confirming that not frequent/daily foot traffic (like a small store front); if it is may have to revisit liab cov</t>
  </si>
  <si>
    <t>New Chapter 11 bankruptcy. Does it make a diff that it is Ch 11 or that it is just husband.</t>
  </si>
  <si>
    <t>New is a concern. Still a family concern.</t>
  </si>
  <si>
    <t>Pex Plumbing</t>
  </si>
  <si>
    <t>2 dwellings on property</t>
  </si>
  <si>
    <t xml:space="preserve">Is pex plumbing okay?  </t>
  </si>
  <si>
    <t>We have no criteria. There have been some issues, but nothing major like polybutylene.</t>
  </si>
  <si>
    <t>Aunt is primary occupant, although not sure if that is permanent. Insured may visit on weekends.</t>
  </si>
  <si>
    <t>Write as secondary w/rental. Aunt is relative per insured definition. Since unsure of how permanent this situation is, this seems safest way to write.</t>
  </si>
  <si>
    <t>Primary home insured w/Safeco excluding rental cottage, rented via Air BnB. Has a "1/2" address, but on same property.</t>
  </si>
  <si>
    <t>Zilberman, Yana</t>
  </si>
  <si>
    <t>Desert Hot Springs</t>
  </si>
  <si>
    <t>Roark, Beverly Prokop</t>
  </si>
  <si>
    <t>Hay Springs</t>
  </si>
  <si>
    <t>1910 home updated w/15-20 min response time.  FD is 9 mi away; another 12 mi away. Volunteer. No alarms. Gravel roads</t>
  </si>
  <si>
    <t>Advised Alexa to submit if she feel strongly, but we would expect that this will be a total loss if a fire starts.</t>
  </si>
  <si>
    <t>Marchase, Anthony &amp; Cherith</t>
  </si>
  <si>
    <t xml:space="preserve">1912 home/wupdates, MFRC &amp; roof exclusion until roof is replaced. With Allied for 30 years. Allied NRN due to wildfire score. In brush zone. Cabin is 50' behind a lake that can be used by pumper. Has gas furnace in good condition. </t>
  </si>
  <si>
    <t>Subj to home being winterized off season. Agent applied 10% s/c due to summer use only.</t>
  </si>
  <si>
    <t>Gardiner, Brian</t>
  </si>
  <si>
    <t xml:space="preserve">Guffey </t>
  </si>
  <si>
    <t>Response time/Lapse</t>
  </si>
  <si>
    <t>1950 home w/updates. 2-3 year lapse as they couldn't find coverage. Insd is FD Lieutenant. 30 min response time due to volunteer, dirt roads and gate. 1/2 acre pond 300' from property. Agent surcharged prem 50%. Zip code match on  FireLine with a 4 rating.</t>
  </si>
  <si>
    <t>Fisher</t>
  </si>
  <si>
    <t>Agent looking to match last years premium on this 1790 home in Charleston.</t>
  </si>
  <si>
    <t>Asked for CQ questions and details on exact premiums.</t>
  </si>
  <si>
    <t>Keznor, Nareina</t>
  </si>
  <si>
    <t>Cape Charles</t>
  </si>
  <si>
    <t>1920 home updated. FD 8 miles away - volunteer, manned during the day. &lt;15 min response per FD.</t>
  </si>
  <si>
    <t>Anan, Shant</t>
  </si>
  <si>
    <t>1989 home updated. Prior carrier got off due to too high value. Only one online photo. Incomplete app.</t>
  </si>
  <si>
    <t>Completed app</t>
  </si>
  <si>
    <t>Poroy, Ibrahim</t>
  </si>
  <si>
    <t>Suggest to find out if liab is excluded or only the dwelling. Agent will approve X-Liab until they prove liab is excluded. 3/22 provided-approved.  At the time of loss, claims will have to evaluate the legal address of 428 ½ to determine if this is a separate location.  They may also have to evaluate any injured parties connection to the insured or the tenant</t>
  </si>
  <si>
    <t>Hartung-Mladineo Trust</t>
  </si>
  <si>
    <t>1906 home updated and abated of lead. During process, insd filed Ch 13 bankruptcy due to expense of abatement. (Insd is an attorney). Online photos show old row house.</t>
  </si>
  <si>
    <t>Check for firewalls and condition of row. Run ins score. Verify lead abatement.</t>
  </si>
  <si>
    <t>Winkler, David &amp; Sherry</t>
  </si>
  <si>
    <t>Mammoth Lakes</t>
  </si>
  <si>
    <t>About 1000' from brush zone, not in designated brush zone. Wood shake roof. 1997 home.</t>
  </si>
  <si>
    <t>Weatherhead, Randy</t>
  </si>
  <si>
    <t xml:space="preserve">In brush. FD 6 mi away w/10 min response. Alarms. 2008 home. </t>
  </si>
  <si>
    <t xml:space="preserve">• Fully equipped wood shop per online info.  Please verify no business use.
• App says no pool but online photos show a pool.  https://www.zillow.com/homedetails/19240-Rangeland-Rd-Ramona-CA-92065/16748200_zpid/. Just wanted to bring to your attention so you can confirm eligibility.
• Question about animals is blank on app. Looking for acceptable answer and confirmation of coverage eligibility, if applicable.
</t>
  </si>
  <si>
    <t>Freedland, Stephen</t>
  </si>
  <si>
    <t>2000 home alarms, in brush per referral, but only in Renie per RM.</t>
  </si>
  <si>
    <t>not in brush</t>
  </si>
  <si>
    <t>Log home builders risk</t>
  </si>
  <si>
    <t>House Buyers Inc</t>
  </si>
  <si>
    <t xml:space="preserve">Pueblo </t>
  </si>
  <si>
    <t>23 unit schedule</t>
  </si>
  <si>
    <t>23 units in Pueblo. Mostly older. Higher hail area. MFRC. 2 roof excluded. Online pics show decent condition. We tried A+-Verisk says invalid due to business name.</t>
  </si>
  <si>
    <t>ACV roof. $0.41. CLUE on all. Liab $500 K ok.</t>
  </si>
  <si>
    <t>Yaeger, Kurt</t>
  </si>
  <si>
    <t>RPS Covington</t>
  </si>
  <si>
    <t>Smith, Green</t>
  </si>
  <si>
    <t>Hackberry</t>
  </si>
  <si>
    <t>Dock home</t>
  </si>
  <si>
    <t xml:space="preserve">New build, photos look good. Home on permanent piers/pilings above the water on Calcasieu Lake. </t>
  </si>
  <si>
    <t>No flood, wind ded. We can't do floating homes, but have approved dock homes in the past.</t>
  </si>
  <si>
    <t>Bowen, Brian</t>
  </si>
  <si>
    <t>1988 home updated. In brush. App notes prior cancel/nrn - no explanation.  No info on alarms - usually require at this level. Online notes security guard and station at gated entrance.</t>
  </si>
  <si>
    <t>Advised what we found. Prior cancel - why? If brush, okay. Other, refer back.</t>
  </si>
  <si>
    <t>Rohani, Roya</t>
  </si>
  <si>
    <t>TIV/Lapse</t>
  </si>
  <si>
    <t>2005 home, not in brush w/alarms. Seasonal w/3-6 mo rental. 30 day lapse in coverage.</t>
  </si>
  <si>
    <t xml:space="preserve">Irvine </t>
  </si>
  <si>
    <t>Acceptable reason for lapse and signed no loss letter.</t>
  </si>
  <si>
    <t>2008 in PC10 w/5-6 min response time. (12-15 min per google - still ok).  No hydrant. High brush. 10,000 gallon tank 500' from home.</t>
  </si>
  <si>
    <t>Evans, David &amp; Michelle</t>
  </si>
  <si>
    <t>Sylmar</t>
  </si>
  <si>
    <t>Inquiry about whether we could consider. No adverse news. App okay. Question on Cov A - RCE $275K  App $380K</t>
  </si>
  <si>
    <t>Advised we could approve excluding liability.  https://en.wikipedia.org/wiki/Kurt_Yaeger
http://www.imdb.com/name/nm2900382/
http://people.com/bodies/amputee-actor-kurt-yaeger-is-breaking-boundaries-with-major-roles-on-four-television-series/
Subject to accurate Cov A. Riskmeter. Brush ok either way.</t>
  </si>
  <si>
    <t>Smith, Elizabeth</t>
  </si>
  <si>
    <t>1980 home w/alarms in low brush. Agt added 10% s/c for PC10. Found online reference to Kelly Blue Terrier Foundation at this address but couldn't find any detail.</t>
  </si>
  <si>
    <t>Investigate KBTF info found and verify no business use.</t>
  </si>
  <si>
    <t>Keyser, Joel</t>
  </si>
  <si>
    <t xml:space="preserve">Sherman Oaks </t>
  </si>
  <si>
    <t>Open Claim/New Bankruptcy</t>
  </si>
  <si>
    <t xml:space="preserve">1990 home.  Insd is CPA. Filing Chapter 11. Open claim on this risk. </t>
  </si>
  <si>
    <t xml:space="preserve">Concern with new bankruptcy - Ch 11 is typically business, but can be individual. Insd is self employed CPA, so there is a close connection.  </t>
  </si>
  <si>
    <t>Wolter, Tammy Rae</t>
  </si>
  <si>
    <t>HO3 Tenant</t>
  </si>
  <si>
    <t>Rental canoe and kayak</t>
  </si>
  <si>
    <t>Insured has a seasonal home rented thru VRBO. They leave canoe and kayaks for tenants use. Is this covered</t>
  </si>
  <si>
    <t>No exclusion under HO-3.</t>
  </si>
  <si>
    <t>Bana, David &amp; Tonya</t>
  </si>
  <si>
    <t xml:space="preserve">Baltimore </t>
  </si>
  <si>
    <t>2 story dwelling-lower level is law firm, upper is insd residence. No foot traffic in residence. Has commercial ins in place.</t>
  </si>
  <si>
    <t xml:space="preserve">   Advised Leslie they are really better off to insure the building commercially, and we write an HO-4.</t>
  </si>
  <si>
    <t>Melili, Niv &amp; Tally</t>
  </si>
  <si>
    <t>1977 home updated per app but not per agt submission. Roof is flat. Online photos nice. There is a dressage, riding, jumping, stable/barn.  In Renie zone. No alarm per agt submission</t>
  </si>
  <si>
    <t>Verify updates - need roof update. No breed/board/ride, etc. Add animal excl if possible. Add alarm if poss. If not $10K AOP ok. Flat roof $10K aop.</t>
  </si>
  <si>
    <t>Diener, Todd/Brinker, Lucas</t>
  </si>
  <si>
    <t>Agent asked if liability is okay due to higher profile.</t>
  </si>
  <si>
    <t>Nothing online found of concern. They are managers of actors and models.</t>
  </si>
  <si>
    <t>541 LLC</t>
  </si>
  <si>
    <t>Thornton</t>
  </si>
  <si>
    <t>1961 dwelling in LLC name.</t>
  </si>
  <si>
    <t>Advised Allison if LLC is tax purposes, formed to purchase property, okay to quote/bind rental dwellings.</t>
  </si>
  <si>
    <t>Not sure why this is a referral. Asked additional questions. Received app. Insd is having a log home professionally constructed - hand hewn logs. Looks fine.</t>
  </si>
  <si>
    <t>Grecco, Stephanie</t>
  </si>
  <si>
    <t>Savage</t>
  </si>
  <si>
    <t>1977 home partial updates. 1 prior loss tree fell on fence 7/16. Has dog boarding on lower level of home. Agent wants to offer with Total Business Excl and Animal Excl.</t>
  </si>
  <si>
    <t>Asked business questions. Concerning liability with dogs even with total biz excl as we are providing personal liability. Asked agt if we could consider with TBE and X-Liab. Animal liab built into Burns system to be included - asked Leslie to ck to see if it could be removed and animal excl added.</t>
  </si>
  <si>
    <t>Black, Janis</t>
  </si>
  <si>
    <t>1926 home updated due to $176K prior water loss. 2 story duplex. Water loss damaged both units. Insd is GC. We'd be writing after reno complete. Sounds like plumbing was replaced.</t>
  </si>
  <si>
    <t>Add MFRC. Confirm all plumbing new and no water damage excl needed.</t>
  </si>
  <si>
    <t>Osborne, Dahlma</t>
  </si>
  <si>
    <t>Rancho Palos Verdes</t>
  </si>
  <si>
    <t>1995 home w/2 slab leaks. Insd rerouted cold water. 2015-$0, 2016 $89K.</t>
  </si>
  <si>
    <t>Water damage exclusion - they haven't re-routed the hot water pipe. Offered further discussion, but feel like this is a  loss waiting to happen</t>
  </si>
  <si>
    <t xml:space="preserve">30 minute response time = total loss.  If you have some supporting information as to why you feel strongly about us writing this one, and want to send over your thoughts along with some strong pricing suggestions, I'll be more than happy to take another look.  </t>
  </si>
  <si>
    <t>2017 under construction.</t>
  </si>
  <si>
    <t>West, Robert</t>
  </si>
  <si>
    <t>Whitehall</t>
  </si>
  <si>
    <t>Rodriguez, Sussi &amp; Ruben</t>
  </si>
  <si>
    <t>Insd has 5 sheep and a mule. Wanted to add animal liab.</t>
  </si>
  <si>
    <t>$10K animal liab ok</t>
  </si>
  <si>
    <t>Whorley, Victoria</t>
  </si>
  <si>
    <t>Monroe</t>
  </si>
  <si>
    <t>PC 10, no prior claims, 1993 build year</t>
  </si>
  <si>
    <t>Hearn, John</t>
  </si>
  <si>
    <t>Corpus Christi</t>
  </si>
  <si>
    <t>Attached is a submission for primary home located in TX. Home was built in 2004, brick veneer, PC10, with a 20-30 minute response time, no alarms, security cameras, 6 dogs, no losses.</t>
  </si>
  <si>
    <t>Too great of a response time with such a high TIV</t>
  </si>
  <si>
    <t>Agent verified all subjectivities. Gave approval to release terms. K.Burdine</t>
  </si>
  <si>
    <t>Lunde, Everard</t>
  </si>
  <si>
    <t>Acton</t>
  </si>
  <si>
    <t>No losses, business on premises so quoted w/ total business exclusion</t>
  </si>
  <si>
    <t>granted approval to release terms. Home has central burglar/fire, and $10K ded per rater. Cov C is only $500K, a little low for the size of the home. So advised to let us know should they decide to increase and it pushes TIV over $4MIL. Per Google, applicant owns a jewelry/clothes boutique in Beverly Hills.</t>
  </si>
  <si>
    <t>TIV over $3MIL</t>
  </si>
  <si>
    <t xml:space="preserve"> Krakov, Nadine</t>
  </si>
  <si>
    <t xml:space="preserve">TIV: 3,782,000. 1991 build year, no claims, Lex renewal that is now competitive with Markel since primary home (prior was COC), inspection included to confirm Coverage A value, $10K water ded due to flat roof. </t>
  </si>
  <si>
    <t>SZIGETHY, Bela &amp; Alice</t>
  </si>
  <si>
    <t>Lake Hopatcong</t>
  </si>
  <si>
    <t>20 minute response time in winter</t>
  </si>
  <si>
    <t>Built in 2007, no losses, frame construction, 10 minute response time in summer months</t>
  </si>
  <si>
    <t>Approval with a 10% surcharge</t>
  </si>
  <si>
    <t>Joshua</t>
  </si>
  <si>
    <t>Cerami, Tina &amp; Sano, Concetta</t>
  </si>
  <si>
    <t>Missing railing</t>
  </si>
  <si>
    <t>Granted approval to handle in June. Insured since 2011, and this is a very nice property</t>
  </si>
  <si>
    <t>Ibe, Michael &amp; Mindee Bridgette</t>
  </si>
  <si>
    <t>Carlsbad</t>
  </si>
  <si>
    <t>Large prior claim</t>
  </si>
  <si>
    <t>4/3/16 – waterline under kitchen sink (in the slab) broke &amp; ruptured into cabinets and floor. $223,234.32 was paid out. Full water damage exclusion being applied, and considering water shut off</t>
  </si>
  <si>
    <t>Water damage exclusion a necessity at this point, suggest water shut off</t>
  </si>
  <si>
    <t>Mansur, Jon</t>
  </si>
  <si>
    <t>Response time &gt;20 mins</t>
  </si>
  <si>
    <t>This is a brand new build, secondary, PC 10.  Estimated response time is between 20-30 minutes.  Responding fire department is 10.3 miles from the home, and is a volunteer station.  There is a paid, live-in caretaker at the home.  There is a 5,000 gallon cistern next to the house, but the fire department also has the capability to bring 1 tender (2,000 gallons), and 2 engines (500-1,000 gallons). </t>
  </si>
  <si>
    <t>Per agt, can't take more than a 10% surcharge as want to beat Lex. Approved subj to getting a central/monitored alarm</t>
  </si>
  <si>
    <t>1001 Sky View LLC</t>
  </si>
  <si>
    <t>1955 home fully updated. (Was Zsa Zsa Gabor's home!) Online looks good. Insd is a real estate developer, but has home individually titled in LLC name for this property.</t>
  </si>
  <si>
    <t>DP3 Stand Alone Oth Str</t>
  </si>
  <si>
    <t>Stand alone other structure built in 2016 is a  barn with some contents. Insd has a builders risk &amp; liab from their primary. Constructing new home on this prop. Company won't cover the Oth Str. 25 min response time. $0.94 rate very strong. Top agent.</t>
  </si>
  <si>
    <t>Graham, Dale</t>
  </si>
  <si>
    <t xml:space="preserve">Kissimmee </t>
  </si>
  <si>
    <t>1984 home roof updated in 2005. Insd is private investigator w/2 employees. Agt proposing Total Business Excl.</t>
  </si>
  <si>
    <t>Subj to GL, Total Business Excl(as noted). Suggested if employees are field investigators, we may want to look at In Home Business program due to limitations of the Total Business Excl.</t>
  </si>
  <si>
    <t>Silkwood, Justin</t>
  </si>
  <si>
    <t>PC 9</t>
  </si>
  <si>
    <t xml:space="preserve">Home was built in 2013, log (milled and
treated) , PC9, with a 5 minute response time, local alarm, no losses, fire sprinklers on roof. The home also has 2- 2500 gallon holding tanks and a 75,000 gallon pond next to the home
</t>
  </si>
  <si>
    <t>Premium ok for risk, advised I noticed they are self-employed, so please just be sure that no business is being conducted on the premises.</t>
  </si>
  <si>
    <t>Primary home, no brush, response time acceptable, planning to install alarm after escrow, We are currently at $6,133 with using the 10% credit</t>
  </si>
  <si>
    <t>RM OK (out of brush), PC OK,  no losses. OK using 10% discretion, home photos very nice</t>
  </si>
  <si>
    <t xml:space="preserve">Guarachi, Alejandro </t>
  </si>
  <si>
    <t>Fisher, John &amp; Maureen</t>
  </si>
  <si>
    <t>Attached is a risk located in CA for a high profile insured.  Primary home built in 1965 and updated in 2004/2015.  PC1 with alarms and no losses.</t>
  </si>
  <si>
    <t xml:space="preserve">Reviewed Google, insured is a former actor/tv producer. Actively writes. No high-profile projects at this time. </t>
  </si>
  <si>
    <t>Pennington, Maureen</t>
  </si>
  <si>
    <t>Wilmington</t>
  </si>
  <si>
    <t xml:space="preserve">On historic registry but no public tours . All systems updated 2014. Credit Score: 754
Year Built: 1933
</t>
  </si>
  <si>
    <t>Per photos, no ornate details in home, Approved subject to confirming no rules in place regarding rebuild</t>
  </si>
  <si>
    <t xml:space="preserve"> *note: discussed w/ agent that "additional considerations characteristics" are actually considered ineligible. </t>
  </si>
  <si>
    <t xml:space="preserve"> *note: discussed w/ agent that "additional considerations characteristics" are actually considered ineligible. Exception approved by L.Trott</t>
  </si>
  <si>
    <t>Underground fuel tank</t>
  </si>
  <si>
    <t>Approved subject to confirmation of professional installation of tank, and detectors. Propane tank, not oil. Agt confirmed 03/31 that propane unit professionally installed and has detectors. Agt already had a bind request in office. New build</t>
  </si>
  <si>
    <t xml:space="preserve">2017 build, underground fuel tank in use. 5000 AOP ded, </t>
  </si>
  <si>
    <t>historic registry</t>
  </si>
  <si>
    <t>Southern Shores</t>
  </si>
  <si>
    <t>Jackson, Anthony</t>
  </si>
  <si>
    <t>Thayer, Robert</t>
  </si>
  <si>
    <t>Littleton</t>
  </si>
  <si>
    <t>1995 home under renovation to be sold.</t>
  </si>
  <si>
    <t>Ensure that the insured is not the GC. Does not appear by the names on the app and cert, but insured does own a construction company.</t>
  </si>
  <si>
    <t>Butler, Michael</t>
  </si>
  <si>
    <t>Ocean Springs</t>
  </si>
  <si>
    <t>2014 home, nice online photos. 1st row home appx. 600' from ocean. Retailer quoted w/2% ded. Guidelines require wind exclusion for 1st row. Agent asking if we can keep</t>
  </si>
  <si>
    <t>Declined 2%, need to quote w/wind and hail excl. Advised AAL rate for wind only is $9,000 for this risk. Asked her to let me know if she wants me to refer for approval.</t>
  </si>
  <si>
    <t>Fisher, Gaye</t>
  </si>
  <si>
    <t xml:space="preserve">HO3 Primary  </t>
  </si>
  <si>
    <t xml:space="preserve">1890 home, agent looking for rate relief. Premium went from $3500 to $3900. </t>
  </si>
  <si>
    <t>Rated AAL, total premium comes in at $10,314.</t>
  </si>
  <si>
    <t>Shapiro, Ronnie &amp; Chanes, Norman</t>
  </si>
  <si>
    <t>Vanice</t>
  </si>
  <si>
    <t>1920 home for 2 insureds who used to be movie producers but now are investors. IMDB info goes back &gt; 10 years. Nothing concerning.</t>
  </si>
  <si>
    <t>McCoy, Johnny C</t>
  </si>
  <si>
    <t>Corolla</t>
  </si>
  <si>
    <t>Wind exception</t>
  </si>
  <si>
    <t>Ran AAL - $2627 wind and property. Roof exclusion; no oth structures coverage.</t>
  </si>
  <si>
    <t xml:space="preserve">1991 home near NC coast. No losses. Had for 7 years; with agency for 15. Has had 1% named storm. Should be exclusion based on guidelines. Agency asking for exception for 3% wind/hail, rate of $1.29; prem $3212.  RUA5492 06 </t>
  </si>
  <si>
    <t>Bennett, Steven</t>
  </si>
  <si>
    <t>Waterloo</t>
  </si>
  <si>
    <t>1970 home updated in 2010. Landscaping business on property. No online photos or info. No foot traffic, GL in place.</t>
  </si>
  <si>
    <t>Asked addl business questions. Response time not matching up via google search. Subj to acceptable app questions.</t>
  </si>
  <si>
    <t>O'Keeffe, James</t>
  </si>
  <si>
    <t>Returned to Danielle. 1923 home updated in 1988.</t>
  </si>
  <si>
    <t>Riverside</t>
  </si>
  <si>
    <t>Shisler, Karra</t>
  </si>
  <si>
    <t>2014 home in brush w/alarms. 15-17 min response time per inspection and Bing. Sprinkler in home per inspection. FD 6 miles away.</t>
  </si>
  <si>
    <t>Confirm 150' brush clearance w/inspection. Add 5% s/c due to response time &amp; PC10. High 8 per FireLine. Low fuels at property, med at surrounding, no access prob, moderate slope. 11 min response per google. Sprinklers in home per online search. Nice risk, low brush immediately around home, trees trimmed up.</t>
  </si>
  <si>
    <t>Mozer, Peter &amp; Angela</t>
  </si>
  <si>
    <t>Davisburg</t>
  </si>
  <si>
    <t xml:space="preserve">2002 vacant risk w/sprinklers and central station alarms. </t>
  </si>
  <si>
    <t>Granatt, Richard &amp; Barbara</t>
  </si>
  <si>
    <t>2006 home w/2 water losses ($245 K and $56 K) Insured paid to re-pipe entire home. Farmers nonrenewed. Clue shows large loss still open. Also ensure 100% repiped.</t>
  </si>
  <si>
    <t>Fraser, Robert</t>
  </si>
  <si>
    <t>Lower Cov C</t>
  </si>
  <si>
    <t>Agent doesn't want 50% of Cov A for Cov C. Will we lower</t>
  </si>
  <si>
    <t>Check system to see if it allows, okay with us. Verify w/manager. I can help w/manual credit if system doesn't adjust.</t>
  </si>
  <si>
    <t>Nissen, Peter</t>
  </si>
  <si>
    <t>Berm (earth) home</t>
  </si>
  <si>
    <t>1985 cement home 2 sides 100% enclosed by earth, 1 side 65%, 1 side open. Unknown if professionally built (we require this-agt will verify). Comp shingle roof, no updates noted so roof exclusion applies per agent.</t>
  </si>
  <si>
    <t>Nice online photos. https://www.zillow.com/homedetails/5-Privateer-Dr-Afton-OK-74331/2141180464_zpid/</t>
  </si>
  <si>
    <t>NAG Investments Limited Partnership</t>
  </si>
  <si>
    <t>1959 home updated in 2009. No online photos. In brush. FD 1 mile away, hydrant 50' away per app. Appears to be some flat roof so agent applied $10,000 water damage ded.</t>
  </si>
  <si>
    <t>$10K roof ded, LLC form.</t>
  </si>
  <si>
    <t>Kerstetter</t>
  </si>
  <si>
    <t>Kulpmont</t>
  </si>
  <si>
    <t>DP1 Primary</t>
  </si>
  <si>
    <t>1908 home updated except for 1 floor of knob &amp; tube wiring. Will be updated within 6 months. Also has asbestos siding.</t>
  </si>
  <si>
    <t>Not comfortable with any K&amp;T, and no to asbestos siding.</t>
  </si>
  <si>
    <t>DP1 Stand Alone Other Str</t>
  </si>
  <si>
    <t xml:space="preserve">The insured built a barn in Colorado and they  are looking for  $100K property coverage only with a $5,000 ded.  Response time is 25 minutes.  Insured received a Markel quote from another wholesaler so submitting for review. 2016 barn, vacant DP1 rating. In brush. </t>
  </si>
  <si>
    <t>Approved at rate quoted</t>
  </si>
  <si>
    <t>Verified rating w/ apples to apples competitor quote and this rate is fine.  $1272 DP3; $750 DP1.</t>
  </si>
  <si>
    <t xml:space="preserve">Insured has an in home doggie daycare. </t>
  </si>
  <si>
    <t>Submit with app and answers to business questions. Provided copy of Total Business Excl and Animal exclusion would apply. Advised of TBE limitations.</t>
  </si>
  <si>
    <t>Pugh, John &amp; Robin</t>
  </si>
  <si>
    <t>$1850 water claim 4+ years ago, $128K water claim about 3 years ago. Plumbing pipes completely replaced. Agt charged for loss and added 10%. $10K water damage ded</t>
  </si>
  <si>
    <t>Offered lower ded if confirmation of 100% of  pipes and connections.</t>
  </si>
  <si>
    <t>All checks out. Info in file. No rental.</t>
  </si>
  <si>
    <t>H&amp;H Properties LLC</t>
  </si>
  <si>
    <t>Bowie</t>
  </si>
  <si>
    <t>2001 home on 274 acres. Secondary w/no alarms. FD is 15 miles away. PC quest says 20 min response time. Volunteer FD.</t>
  </si>
  <si>
    <t>Expect response time will be &gt;20 with volunteer, no alarms at secondary residence, 15 miles travel distance.</t>
  </si>
  <si>
    <t>Bright, Sara &amp; Byers, John Andrew</t>
  </si>
  <si>
    <t>2017 home recent ground up construction.  $700K art studio just starting construction. Will be insured's studio - she is a prof artist. Husband is a artist, record producer, musician. No online info. Agent adding % for builders risk even though not on home. Agreed Total Business excl can be added now. 6-7 month construction. Unknown if there will be public traffic etc. Agent will check as construction gets closer. Not in brush.</t>
  </si>
  <si>
    <t>10% surcharge (bldrs risk is normally 50%-typically don't need to add for other structure construction but agent doing it since it is so large). Add Total Business Exclusion. When constr is complete add Building Exclusion.</t>
  </si>
  <si>
    <t>X (No sooner than January 2018</t>
  </si>
  <si>
    <t>Bravo, Joe R</t>
  </si>
  <si>
    <t xml:space="preserve">1972 home updated. Pro:  Low value  Con:  No alarms, secondary home not visible to neighbors, volunteer FD, dirt roads, 200 yard driveway.  </t>
  </si>
  <si>
    <t>actual response time will be over 25 minutes meaning a definite total loss.  Are we getting enough premium to support that possibility?</t>
  </si>
  <si>
    <t>Harrison, Matthew</t>
  </si>
  <si>
    <t>Creedmore</t>
  </si>
  <si>
    <t>1% wind/hail per guidelines = $16,000. Risk is over 100 miles from coast. Verified not a coastal county or a county restricted in recent Hurr Matthew. Asked to be notified if Cov A increases so we can re-evaluate if $10K is adequate.</t>
  </si>
  <si>
    <t>Grimley, Kelly</t>
  </si>
  <si>
    <t xml:space="preserve">Marmora </t>
  </si>
  <si>
    <t>Prior foreclosure</t>
  </si>
  <si>
    <t xml:space="preserve">2005 new purchase. Husband had prior foreclosure 12/31/14. (Hub info not provided even though I advised this was needed) Nice home. </t>
  </si>
  <si>
    <t>Ran ins score on wife- Lowest tier we have. Judgement pending. Bad debt.</t>
  </si>
  <si>
    <t>Goldhaber, Amos Nathanael</t>
  </si>
  <si>
    <t>Kings Lake</t>
  </si>
  <si>
    <t>In addition to subj noted, remove k&amp;t within 60 days. Need RCE to support $3M. Remove portable space heaters for tenant use. Confirm not primary. Acceptable WBS quests. Exclude guest house #1 roof</t>
  </si>
  <si>
    <t>Gilley</t>
  </si>
  <si>
    <t>Greenville</t>
  </si>
  <si>
    <t>1965 home. Insured is the GC, hiring subcontractors.</t>
  </si>
  <si>
    <t xml:space="preserve">2000 dwelling w/no rental, no losses. Could not find exact addr online, but map shows &gt;2 miles. </t>
  </si>
  <si>
    <t>2006 frame home in brush. 14 min response time. 4.6 miles. Confirmed w/google. Paid fire department. 10 acres. Prior carrier nonrenewed - no explanation.</t>
  </si>
  <si>
    <t>Insured has electrolysis business in basement of home. Has a business but that is moving out. She will retain some clients and service at the home. Will have a commercial policy.</t>
  </si>
  <si>
    <t xml:space="preserve">FIRST BIND REQUEST FOR NC X-WIND. Insured is the bookkeeper for her husband's Paws of Carteret business. No animals. No foot traffic. </t>
  </si>
  <si>
    <t>1984 home updated in 2010 per realtor info. Roof is tile. Not in brush. Alarms. NRN due to losses by Travelers. 5/16 theft $42,155-insd forgot to set alarm on way to church. Home burglarized - jewelry and watches. 3/14 phys dmg - bats in attic caused damage+cost of removal.</t>
  </si>
  <si>
    <t>Agent asking to write a ground up construction starting with demolition. Typically this is a class we decline.</t>
  </si>
  <si>
    <t>Woodburning stove questionnaire</t>
  </si>
  <si>
    <t>Confirm true secondary (since caretaker there for last 10 years, always on premises); ensure pool exclusion on pol; add outbuilding exclusion if available;confirm debris/veh removed</t>
  </si>
  <si>
    <t>1991 home updated in 2001. Insured rents short term via Airbnb and VRBO.  Agent wants 50% ERS. Nice online photos. "Disruptive LLC" business comes up at this address.</t>
  </si>
  <si>
    <t>James Palmer is a British actor. In one recent TV episode and a few movies. Married in CA. Home pics online look good. No news stories.  Looks like no issue with Liab.</t>
  </si>
  <si>
    <t>Insured owns this rental home and rents it for residential use. Also has an equipment company on the property.  Construction &amp; machinery equip. Shared driveway. Separation per aerial photo.</t>
  </si>
  <si>
    <t>No covg since 10/15 when prior carrier nonrenewed. Mtg didn't force place. Just realized no coverage.  Insds are both attorneys per internet search. Loss 10/15 toilet overflow damage to bathroom and downstairs.</t>
  </si>
  <si>
    <t>1976 home roof updt 2010, util updt partial 1998. Full alarms. $2500 AOP. Vacant &amp; for sale.</t>
  </si>
  <si>
    <t>2014 home owned by Drew Brees, pro football player of New Orleans Saints. Investment for seasonal use and STR. No alarms. .5 mi from coast, wind/hail excluded. Agent quoting subj to alarms and LLC quest.</t>
  </si>
  <si>
    <t>• Confirmation of 150' brush clearance
• Regarding the mine shaft:  (1) The insured should fence off any entrances to the mine shaft so they are secure. (2) Insured should add signage indicating "Danger - Do Not Enter" or something to that effect.  (3) Insured should advise tenants the mine shaft is off limits and they are not to enter.  (4) It is recommended the insured consult with their legal counsel about adding language to their tenant lease stating the mine shaft is off limits and they are not responsible for injury.
This is not a feature of the property added by the insured. It is not naturally occurring, but did come with the property. Securing entrances and advising tenants not to use, adding a waiver to the lease should protect the insured.</t>
  </si>
  <si>
    <t xml:space="preserve">1947 home updated, not gutted. Average looking home per insp. In brush zone, 15 min response. </t>
  </si>
  <si>
    <t>Guidelines state BR &lt;2 miles are ineligible. Agent bound in error without review. Lower value. Approx. 1/2 mi to coast.</t>
  </si>
  <si>
    <t>Approved w/o water damage exclusion, but given frequency gave approval to release terms with $20K water deductible, ran lexis nexis-- above average insurance score</t>
  </si>
  <si>
    <t>Approved subject to x-liability, Mr. insured is high profile celebrity photograph and their minor daughter (currently 17) is on a popular currently filming ABC show (Black-ish)</t>
  </si>
  <si>
    <t xml:space="preserve"> When questioned by Tamika on TIV rate, suggested 10% surcharge for log home construction. K.Burdine 03/27/17</t>
  </si>
  <si>
    <t>granted approval to release terms subject to x-liability, building exclusions on any outbuildings used for the business (if any), and with the total business exclusion in place.  Advised if can provide specific business info and separation (appears to be a water delivery business), then can consider w/ liab. During review, also noted that there is a obituary from October 2016 w/applicants name so requested confirmation on who we are quoting</t>
  </si>
  <si>
    <t>Current policy-MAXH13100005275. renewal customer. Attached inspection-missing railing on one set of steps, not back at property until June and able to fix then</t>
  </si>
  <si>
    <t>agt advised need higher TIV for Coverage B, and can't get alarm so will offer Lex terms unless we want to compete. Declined as per app 26-30 minutes is the best case scenario in response w/ good weather so need more premium or a mitigator</t>
  </si>
  <si>
    <t>2017 new build ground up. Matt Harrison is major league free agent. Agent quoting X-liab as Insd has CGL. Asked for $10K AOP.</t>
  </si>
  <si>
    <t>1928 home w/some updates. Large brokerage - need to find way to help. Lloyds getting off due to outbuildings, shake roof, knob/tube in boathouse, 10% galv plumb. Agt proposing w/water and roof excl, and k&amp;t removed. Not in brush (per RM I ran)</t>
  </si>
  <si>
    <t>If insured has access to Umbrella, we'd like to stay at $500K. (If some reason to proceed w/$1M, we are not comfortable with dog   and pool must be fenced and usage supervised)</t>
  </si>
  <si>
    <t>Hedlund, Andrew</t>
  </si>
  <si>
    <t>Alta</t>
  </si>
  <si>
    <t>2 trees in deck</t>
  </si>
  <si>
    <t>1951 home, updates unknown. Roof exclusion. Not in brushy. Agent asking for DP1 ACV with roof exclusion. Quote says PC6 but app says hydrant &gt;1001 feet.</t>
  </si>
  <si>
    <t>Confirm PC, looks like it would be a 9 with hydrant 1001' away.</t>
  </si>
  <si>
    <t>MARKEL CONFIDENTIAL     Follow up &amp; FYI Notes</t>
  </si>
  <si>
    <t>Looked a little mobile home-ish, but 4 online sources listed this as regular home. Typically online sources identify manufactured home.</t>
  </si>
  <si>
    <t>Gifford Family Trust LLC</t>
  </si>
  <si>
    <t>Norfolk</t>
  </si>
  <si>
    <t>Home in name of LLC formed for family children and grandchildren for rental properties.</t>
  </si>
  <si>
    <t>Burns does not have the flat roof deductible requirement of other partners.</t>
  </si>
  <si>
    <t>Greenwood, Marion</t>
  </si>
  <si>
    <t>Brooklyn</t>
  </si>
  <si>
    <t>NY</t>
  </si>
  <si>
    <t>1896 YOC</t>
  </si>
  <si>
    <t xml:space="preserve">1896 brownstone completely updated in 2005. Nice online photos. No interior info. </t>
  </si>
  <si>
    <t>MFRC.</t>
  </si>
  <si>
    <t>Bundarin</t>
  </si>
  <si>
    <t>Insd had a couple of small losses at other rental locations. No surcharge per our discussion as they were minor. Did have a $0 Fire at our location. Last year wildfire left ash deposits on insd property. They called in to have it cleaned up not realizing the policy didn't pay for that. Denied-$0 paid. Brush surcharge and additional surcharge for location applied.</t>
  </si>
  <si>
    <t>Shawn &amp; Odel Nazarian Family Trust</t>
  </si>
  <si>
    <t>New construction just off COC.  3 prior claims at prior residence. Fire $60K in garage5/14; liab $0 11/14-no details; Theft 2/15 $55K personal property-no other details.</t>
  </si>
  <si>
    <t>Barletta Cape Properties</t>
  </si>
  <si>
    <t>Barnstable</t>
  </si>
  <si>
    <t>Premium credit</t>
  </si>
  <si>
    <t>2010 (1999?) home located on the Cape. Agent trying to match Quaker quote. Nice online photos.</t>
  </si>
  <si>
    <t>Cannot match Quaker quote (14.5% credit) as partner programs are unique. Approved 10% credit. Also verify YOC and need LLC/Corp form due to named insd.</t>
  </si>
  <si>
    <t>Discussed w/Jeff. Concern about precedent. Partner programs are unique.</t>
  </si>
  <si>
    <t>Hanna, Antoine</t>
  </si>
  <si>
    <t>Bass Lake</t>
  </si>
  <si>
    <t>2008 home, nice risk per inspection. Inspection revealed this is a PC10 w/17 min response time. Not in brush. Insp says volunteer 6 miles away, 14-17 min response. PC quest says paid/vol 8 miles away, 10 min response. Google shows 15-18 drive time. No alarm. Not in brush area. Photo shows hydrant within 600-900' of home.</t>
  </si>
  <si>
    <t>Dahan, Eyal</t>
  </si>
  <si>
    <t>Insured has filed 6 claims since 2013 and is in current litigation with his current carrier.</t>
  </si>
  <si>
    <t>Advised a rate indication could be released w/s/c for 3 losses. Need full details on losses and fire marshall report to bind. Cov needed Sunday 4/9. Not sure how they can pull it off. Ins score =750</t>
  </si>
  <si>
    <t>Evans, John</t>
  </si>
  <si>
    <t>Gap Mills</t>
  </si>
  <si>
    <t>1997 log home w/updated plumbing. FD is 4.2 miles away w/8 min drive time. Chief reports 15-20 min which seems honest. Portion of gravel road. Insd has alarm. Agnt surcharged 10%. Lower value.</t>
  </si>
  <si>
    <t>Larson, Brian &amp; Debra</t>
  </si>
  <si>
    <t>San Luis Obispo</t>
  </si>
  <si>
    <t>HO3 Primary  BWH102415</t>
  </si>
  <si>
    <t>Vice, Michael &amp; Fredna</t>
  </si>
  <si>
    <t>Moss Point</t>
  </si>
  <si>
    <t>Acreage</t>
  </si>
  <si>
    <t>2007 home on 110 acres, "no hunting or anything". No online photos. Central fire &amp; burglar alarms</t>
  </si>
  <si>
    <t xml:space="preserve">• Confirmation the home is situated on the property where it does not increase FD response time to &gt;15 minutes total.  
• Emergency vehicles can navigate the driveway to access the home on the property with no issue.
• No business use, no leasing acreage to farmers
</t>
  </si>
  <si>
    <t>Austin</t>
  </si>
  <si>
    <t>McKenzie, Charles L</t>
  </si>
  <si>
    <t xml:space="preserve">HO3 Seasonal   MAXH13100004637 </t>
  </si>
  <si>
    <t>Cotuit</t>
  </si>
  <si>
    <t>Approved 5th renewal which is now slightly over their $2M TIV authority level.</t>
  </si>
  <si>
    <t>3 family home for investor who they write a lot of business for. Needs to be bound today. Vacant reno with a lot of work to do. Quoted Friday, found out today that there is no GC - the insured is hiring all the subs.</t>
  </si>
  <si>
    <t>Advised we will be working on a program but it's not ready yet, and we can't make individual exceptions without doing all the research.</t>
  </si>
  <si>
    <t>Hashim, Masih</t>
  </si>
  <si>
    <t>Agent wondering if $20K hail CAT claim would be surcharged and if the risk is eligible with 2 losses.</t>
  </si>
  <si>
    <t>Approved w/surcharge for 2 losses. Advised we do charge for CAT claims.</t>
  </si>
  <si>
    <t>Warden, Scott</t>
  </si>
  <si>
    <t>Durango</t>
  </si>
  <si>
    <t>Asked Delta to get FD address and confirm response time.  WBS quest needed if we proceed.</t>
  </si>
  <si>
    <t>Pacquiao, Emanuel</t>
  </si>
  <si>
    <t>Agreed to write without liability due to insured being high profile. Lapse - add surcharge. Signed no loss. Insp indicates issue w/pool fence-need to resolve.</t>
  </si>
  <si>
    <t>Mariani, Marc</t>
  </si>
  <si>
    <t>Reviewed w/Louisa</t>
  </si>
  <si>
    <t>1999 home in brush. Insured is famous boxer.  No negative press.</t>
  </si>
  <si>
    <t>2016 home primary and rented on AirBnb. Insured is free agent wide receiver AML. Was w/TN Titans. No negative press. Includes $1M liability.</t>
  </si>
  <si>
    <t>Picchietti, Frances</t>
  </si>
  <si>
    <t>Bannockburn</t>
  </si>
  <si>
    <t>1966 home fully updated. Father passed away, son living in home.  Will be re-titled and LLC obtained.</t>
  </si>
  <si>
    <t>Pham, Trinh-Kha</t>
  </si>
  <si>
    <t>West Covina</t>
  </si>
  <si>
    <t>1983 home owned by daughter, occupied by mother, no rent. Daughter visits the home.</t>
  </si>
  <si>
    <t>Mother is an insured based on policy definition.</t>
  </si>
  <si>
    <t>Evans, Loretta K</t>
  </si>
  <si>
    <t>Liability hazard</t>
  </si>
  <si>
    <t>New inspection for home where insured has been moved to assisted living. Family does not want to repair damaged porch decking or sidewalk.</t>
  </si>
  <si>
    <t>Remove liability asap. Can be added back if porch is repaired. Okay to leave sidewalk.</t>
  </si>
  <si>
    <t>Tiny Houses LLC</t>
  </si>
  <si>
    <t>Escalante</t>
  </si>
  <si>
    <t>Tiny house schedule</t>
  </si>
  <si>
    <t>3 tiny houses used as vacation rental in Utah.</t>
  </si>
  <si>
    <t>Not our market.</t>
  </si>
  <si>
    <t>Insured is owner of CAL Framing, a general contracting company. Would we allow them to be the GC to build his house?</t>
  </si>
  <si>
    <t>Discussed w/Louisa. Still too close to home.</t>
  </si>
  <si>
    <t>Sanati, Robert</t>
  </si>
  <si>
    <t xml:space="preserve">Nice online pix of 1962 home updated in 1992. Not in brush. UW? Not all completed. </t>
  </si>
  <si>
    <t>UW? Complete. Advised of $5M TIV limit.</t>
  </si>
  <si>
    <t>Rush, Melinda</t>
  </si>
  <si>
    <t>1920 home updated. Insured runs 12 child daycare in home. Wants total business excl. 5/16 Hail $12K; 8/16 Wind $3868. Found 2 other losses on app 5/12 Hail $10K; 5/13 Wind $6585. No info on where daycare is insured.</t>
  </si>
  <si>
    <t xml:space="preserve">• 5% (five percent) W/H ded = $7811
• Add 15% additional surcharge/debit for frequency/severity of W/H claims
• Excluding liability – we’re not comfortable offering liability with a daycare in the home
• Include Total Business Exclusion form – please make sure insured is aware of the severe restrictions of this form for an in home business.  If any loss occurs related to the business, claims will deny the loss.  (e.g. A bottle warmer used for a daycare child shorts out, starts a fire and the house burns to the ground. Claims would deny all damage to the home and contents.)
• A commercial liability policy for the daycare must be in place (this lets us know the risk has been underwritten and gives us a comfort level with our property exposure)
</t>
  </si>
  <si>
    <t>Holtman, Catherine</t>
  </si>
  <si>
    <t>Hatteras</t>
  </si>
  <si>
    <t>1999 home lapse since 2/5/17. Decent ins score.</t>
  </si>
  <si>
    <t>Discussed w/Tim. Approve subj to reasonable explanation for 2 mo lapse, no history of cancel/late pay, signed no loss.</t>
  </si>
  <si>
    <t xml:space="preserve">Hill, John </t>
  </si>
  <si>
    <t>N Middletown</t>
  </si>
  <si>
    <t>Insured had bankruptcy in 2014. 1937 home updated. Online photos ok. Tried running ins score - no hit. Only have dob, common name.</t>
  </si>
  <si>
    <t>Dill, Brent</t>
  </si>
  <si>
    <t xml:space="preserve">2006 home rented 9-20 weeks. Nice online photos. </t>
  </si>
  <si>
    <t>Craven, Carol</t>
  </si>
  <si>
    <t>West Tisbury</t>
  </si>
  <si>
    <t>Insured will have $315K of consignment paintings in her home and needs insurance.</t>
  </si>
  <si>
    <t>Provided flyer for Jamie Gregory=Markel Specialty. Tried contacting him and his boss - neither are online.</t>
  </si>
  <si>
    <t>Frye Family Partnership</t>
  </si>
  <si>
    <t>Pending Litigation</t>
  </si>
  <si>
    <t>4 family members own a seasonal home together. Stuart Frye wants out and filed a lawsuit a couple of months ago. He wants to be bought out or have the home sold.</t>
  </si>
  <si>
    <t>Reviewed w/Louisa. Ran ins scores on all.  747,855 and 997. Stuart says not enough info to score, and he is listed as retired. We agreed if scores were okay, we would do it.</t>
  </si>
  <si>
    <t>2008 in PC10 w/5-6 min response time. (12-15 min per google - still ok).  No hydrant. No brush per invalid report attached. 10,000 gallon tank 500' from home.</t>
  </si>
  <si>
    <t>Subj to brush s/c. Sent Jill's prev submission to Leslie and asked her to share w/Danielle. The "CA Brush Fire" report is not valid. Need RM or FireLine. I provided FireLine. Both RM and FL show high brush.</t>
  </si>
  <si>
    <t>1900 home fully restored and updated. Agents cutoff is 1930.</t>
  </si>
  <si>
    <t>Subj to everything else being okay. Esp updates.</t>
  </si>
  <si>
    <t>Coyote Developers LLC</t>
  </si>
  <si>
    <t xml:space="preserve">Santa Barbara </t>
  </si>
  <si>
    <t>Need LLC quest. Verify PPC - provided detail for Leslie to review for possible PC3 vs. PC10</t>
  </si>
  <si>
    <t>Brand new build in brush. Contradictory info on PPC. Could be PC 3 based on info. Response time confirmed.</t>
  </si>
  <si>
    <t>Insured had a "huge fire" at prior location in Baltimore MD.</t>
  </si>
  <si>
    <t>Need fire marshall report or comparable. Left VM for Tamika.</t>
  </si>
  <si>
    <t>• You rated seasonal w/9-20 weeks rental, correct?
• Online photos show some pretty elaborate horse barn, fencing, and dressage areas on this property. 
http://www.realtor.com/realestateandhomes-detail/55075-Monroe-St_La-Quinta_CA_92253_M21838-31879#photo41
• Is Cov B adequate?
• Does the insured have horses?
• Any breeding, boarding, training, riding lessons?
• Are renters allowed to bring their horses?
• (There are Polo Clubs and Polo Grounds in this area. It looks like Desert VIP services caters to renters who are coming to polo events.  http://desertvipservices.com/la-quinta/)
• There was a very large loss in 2012.  We won't rate for it, but can you tell us what happened?  
Answers back are acceptable. Approved subj to excluding any structures they don't want to insure.</t>
  </si>
  <si>
    <t>Berry, Micah</t>
  </si>
  <si>
    <t>Rocky Mountain Legacy, LLC</t>
  </si>
  <si>
    <t>Kremmling</t>
  </si>
  <si>
    <t>2004 log home on 740 acres. No commercial on property - that is neighboring property (not Gould Ranch).</t>
  </si>
  <si>
    <t>Wright, Marvin</t>
  </si>
  <si>
    <t>Bartlesville</t>
  </si>
  <si>
    <t>1978 home w/updated roof in 2014. Insured welds and fixes lawnmowers and motors in his garage. Has a GL. Per inspection, the work is done in an attached garage. There are tarp covered lawnmowers around the exterior of the building and many in the driveway and in the garage. This is part time per questionnaire. 3 prior claims - 2 wind, theft. No $ amounts.</t>
  </si>
  <si>
    <t>Sanchez, Fernando</t>
  </si>
  <si>
    <t xml:space="preserve">2004 frame single family home will be rented. Insured had prior fire $110K 6/16 at rental property in Baltimore MD under name Empire Property Management. Also prior water $33K at primary in Bethesda MD (details to follow). Fire report is initial report - indicates arson inspector was called. Online report also lists arson inspector called. No dob to run score. </t>
  </si>
  <si>
    <t xml:space="preserve">Need Fire Marshall or Cause and Origin report. Need water loss detail. Need insd dob to run score.  No adverse info on insured or Empire Prop Mgt. </t>
  </si>
  <si>
    <t>Binder, Chuck</t>
  </si>
  <si>
    <t xml:space="preserve">2000 home on golf course. Nice online pics. Full alarms, gated. Agent added 10% s/c. Online photos show this prop and others on the course have unfenced pools. </t>
  </si>
  <si>
    <t>Denmore, LLC</t>
  </si>
  <si>
    <t>Insured owns 2 dwellings on 139 acres. Both are rentals. Updates unknown-roof exclusion applies to both 1959 homes. Rater attached seems to be an example of one of the dwellings.</t>
  </si>
  <si>
    <t>Process as 2 policies (or schedule) if 2 legal locations. Verify accessible by emergency vehicles and that 139 acres does not impact response time.</t>
  </si>
  <si>
    <t>Peus, Joseph</t>
  </si>
  <si>
    <t>Plumbing</t>
  </si>
  <si>
    <t>1933 home not gutted. Roof/wire updated. Plumb never updated in 40 years insd lived there. Had a $10K loss in 2016, pipe leak.</t>
  </si>
  <si>
    <t>$10K water damage deductible. Could consider lowering after EHP inspect. Copper pipes in good condition may warrant $5K ded.</t>
  </si>
  <si>
    <t>Suess, Greg</t>
  </si>
  <si>
    <t>2013 frame home w/ alarms.  Per online, insured is a partner in a law firm and a founding member of a talent management company (curr manages Zak Brown Band).Not in brush zone.</t>
  </si>
  <si>
    <t>RG Children's Trust &amp; Jenny Shalomi</t>
  </si>
  <si>
    <t>2016 home w/flat concrete roof. $10K water dmg ded applied.</t>
  </si>
  <si>
    <t>Pg 4 of app says dwelling may be used for photo/film shoots. (If we continue, subj to completed app-missing answer to uw quest #1). App says home is for sale. Asked for verification.</t>
  </si>
  <si>
    <t>Barbara Fasken 1995 Trust</t>
  </si>
  <si>
    <t>St Helena</t>
  </si>
  <si>
    <t>1992 frame home not in brush. 52 week rental. No trust form. App not complete.</t>
  </si>
  <si>
    <t>Trust form, complete app</t>
  </si>
  <si>
    <t>Smith, Tyronne</t>
  </si>
  <si>
    <t>Glassboro</t>
  </si>
  <si>
    <t xml:space="preserve">1979 home w/ partial updates. 8/13 water loss $13K; 12/14 fire loss $262K. Fire Marshal report included. </t>
  </si>
  <si>
    <t>Ins score in the surcharge category 660. Med bill in collection; verizon prior collection; $10K credit card debt. Fire report has wrong date of loss. Verified signers of the report and that Wednesday was 12/24/14. Thursday was 12/25/15. Believe it is a typo vs. fake. Verbiage in report is suspect, but with score, not worth confirming if valid.</t>
  </si>
  <si>
    <t>Newsom, Patricia</t>
  </si>
  <si>
    <t>Freeport</t>
  </si>
  <si>
    <t>1991 home fully updated in 2009. 20 min response time w/volunteer fire department. Brazoria County 1000' from gulf. (Tier 1)</t>
  </si>
  <si>
    <t xml:space="preserve">• Verifying wind/hail exclusion is applied as this is in a Tier 1 county within 1 mile to the coast
• Verifying roof was fully updated in 2009. App does not indicate full or partial. If partial, roof exclusion applies as roof would be over 25 years old.
• Completed app (several areas left blank)
• I’d like to get some additional premium due to the longer response time, something that amounts to around $200.  (I’m not sure of your quoted premium).  It’s a 20 minute drive time by a volunteer FD.
</t>
  </si>
  <si>
    <t>Palensky, James</t>
  </si>
  <si>
    <t>Ames</t>
  </si>
  <si>
    <t>2004 frame home. App says PC9, 3 mi to FD, no hydrant. Google search shows 5.9 mi to FD which makes this a PC10. Alarms. Drive time 10 min, volunteer FD.</t>
  </si>
  <si>
    <t>Rate as PC10.</t>
  </si>
  <si>
    <t>Rob</t>
  </si>
  <si>
    <t>Khanhan, Tannaz</t>
  </si>
  <si>
    <t>Texas policy</t>
  </si>
  <si>
    <t xml:space="preserve">Agent not currently authorized in TX but wants us to consider a one-off policy. </t>
  </si>
  <si>
    <t>Reviewed w/Jeff. No one offs, need to put a program together.</t>
  </si>
  <si>
    <t xml:space="preserve">Daughter owns home, mother lives in it, daughter visits. Mother had a wrongful eviction claim at different location 2 years ago 6/15/15 $0 paid. </t>
  </si>
  <si>
    <t>Insured had prior water loss 7/12 $10K - roof leak. Has a flat roof. $10K ded applied. Roof replaced. Then had fire loss in 2015. Part of roof was being repaired and subcontractors torch caught the house on fire. Subro against GC.</t>
  </si>
  <si>
    <t>Need statement from carrier who insured the home for the 2015 loss to confirm cause and subro. Still charge for the loss.</t>
  </si>
  <si>
    <t xml:space="preserve">Nguyen, Christine Giang Tien Thi  </t>
  </si>
  <si>
    <t>Surcharge for loss. Get details so we have a comfort level with the mother. Info received and approved. Declined to offer PI due to prior loss.</t>
  </si>
  <si>
    <t>Sparks, Mike &amp; Alyson</t>
  </si>
  <si>
    <t>Diamond</t>
  </si>
  <si>
    <t>Approve excluding building and w/Total Business Exclusion. 75' is enough space between. Good online reviews of the business. Operated since 2006. Insured w/AutoOwners.</t>
  </si>
  <si>
    <t xml:space="preserve">1990 home w/new roof in 2016. 2 prior losses. 2/16 wind $6649; 5/15 lightning/electrical $8483. Insd has body shop on property in separate building 25 feet from the dwelling. Employees, customers, etc. Excluding building and Total Business Exclusion. </t>
  </si>
  <si>
    <t>Need responding FD address to verify. Online looks like 15 miles. If we proceed, need LLC form and info on 740 acres.  4/19 addl info FD is 20 min away, but HOA has a fire truck and water truck on property for HOA members use. Asked for 5% s/c for response over 15 min.  4/20/17-Cov A increased. Jeff ok'd as long as verified. 10% s/c</t>
  </si>
  <si>
    <t>Decker, John &amp; Sharon</t>
  </si>
  <si>
    <t>1890 4 family. Owner occupied upper floor. 3 lower units are rented. 1988 updates to all; roof in 2002. Online photos ok. 2004 building permit online for updating dwelling for condos.</t>
  </si>
  <si>
    <t>Estate of Grandin Thompson</t>
  </si>
  <si>
    <t>Freehold</t>
  </si>
  <si>
    <t>Renewal 5th term</t>
  </si>
  <si>
    <t>Coll, Clark DBA Bankruptcy Trustee for Wayne Auge II</t>
  </si>
  <si>
    <t xml:space="preserve">Telluride </t>
  </si>
  <si>
    <t>Very high insurance score, 10% surcharge, exclude garage, renew for 1 more term only.</t>
  </si>
  <si>
    <t xml:space="preserve">1946 home vacant with Hull for 4 terms. They nonrenewed. This is insured's parents house and he is struggling to make decision on what to do with the home. Garage not in great shape-rest of house is okay. He lives next door to home. (Different streets but confirmed on google, they are next door)  Has a Lex quote but it's DP1 100% down. </t>
  </si>
  <si>
    <t>Pipkin, Byron</t>
  </si>
  <si>
    <t>Moral and morale hazard increase. (Not sure why this was on an HO-3. Moot point, so I didn't pursue.)</t>
  </si>
  <si>
    <t>Auburn</t>
  </si>
  <si>
    <t>Currently written under BWD104350-tenant occupied. Insured will be moving in as primary residence. Brush. Insp ok.</t>
  </si>
  <si>
    <t>Vickers, Jack A</t>
  </si>
  <si>
    <t xml:space="preserve">1995 home w/roof updated in 2014. Insd is high profile businessman in CO. Purchased dwelling to renovate and sell. Covg lapsed w/Cinci 1 month ago. </t>
  </si>
  <si>
    <t xml:space="preserve">1993 home w/roof updated in 2014. 2nd dwelling for Insd is high profile businessman in CO. Purchased dwelling to renovate and sell. Covg lapsed w/Cinci 1 month ago. </t>
  </si>
  <si>
    <t>DP-3, 5% surcharge for lapse. Signed no loss statement. $20K contents ok. Prem liab only. Alarms required.</t>
  </si>
  <si>
    <t>DP-3, 5% surcharge for lapse. Signed no loss statement. $20K contents ok. Prem liab only.</t>
  </si>
  <si>
    <t>Orabi, Ahmad</t>
  </si>
  <si>
    <t>Lake Forest</t>
  </si>
  <si>
    <t>No Risk Meter</t>
  </si>
  <si>
    <t xml:space="preserve">Address too new to get RiskMeter. Ran neighboring address which shows a dwelling online and still couldn't get. 2017 frame home w/ alarms. </t>
  </si>
  <si>
    <t>I ran FireLine which produced a zip result showing low brush hazard.</t>
  </si>
  <si>
    <t>Woods, Dennis &amp; Cheryl</t>
  </si>
  <si>
    <t>2007 home, nice online photos. In brush. Alarms. UW questions blank on app.</t>
  </si>
  <si>
    <t>Property is owned by trust that has 48 family members. They use this prop seasonally as a vacation residence. 12 shed structures on our insureds beach owned by neighbors.</t>
  </si>
  <si>
    <t xml:space="preserve">Initial suggestions/questions: • I’m sure we’d have to do this excluding liability
• We would have to specifically exclude the changing rooms
• Could we see a list of rules/regs or any contract pertaining to the property and the family members use
• Who in the family is ultimately responsible for managing insurance and home maintenance
• Is there a maintenance person or property manager who looks over the property
</t>
  </si>
  <si>
    <t>Brown, Donna</t>
  </si>
  <si>
    <t>Marion Station</t>
  </si>
  <si>
    <t>1920 home updated. Checked FD online. 8 minute drive time, Volunteer, about 4 miles away. 35 volunteer fire fighters.</t>
  </si>
  <si>
    <t>Dwyer, Colleen</t>
  </si>
  <si>
    <t>Galloway</t>
  </si>
  <si>
    <t>House sits over water</t>
  </si>
  <si>
    <t>1970 home updated in last 20 years. Sits over water. Online youtube video looks okay. Looks like built mostly on land, a portion extends over water. Not a floating home. 5 slips, insd rents out 4. Uses a space heater as secondary - okay per guidelines. App states flat roof. Per photos it is only a portion so decided $5K is okay vs. $10K ded in guidelines.</t>
  </si>
  <si>
    <t>Pece, Linda</t>
  </si>
  <si>
    <t>Vinita</t>
  </si>
  <si>
    <t>Business on premise</t>
  </si>
  <si>
    <t xml:space="preserve">• Confirmation of at least 15 feet separation between the bait shop and the dwelling
• Confirmation that the bait shop is staffed with regular posted hours, and customers do not come to the dwelling to get assistance
</t>
  </si>
  <si>
    <t>BWH Holdings LLC</t>
  </si>
  <si>
    <t>Sun Prairie</t>
  </si>
  <si>
    <t>Raised home</t>
  </si>
  <si>
    <t>Builders risk written and it turns out it is to cover the home being raised. Can't tell if it was moved here from another property, or just raised here. Provided direction for both possibilities.</t>
  </si>
  <si>
    <t>Moved from another loc - rescind or cancel. Raised here - okay, check GC has $1M coverage.</t>
  </si>
  <si>
    <t>Meehan, Nathan</t>
  </si>
  <si>
    <t>Alexandria</t>
  </si>
  <si>
    <t>Suggested possibility of plumbing not updated completely - could be galvanized. Suggest inspection. Higher water ded if it is galvanized.</t>
  </si>
  <si>
    <t>11/15 water leak; 1/17 burst pipe. 1949 home plumbing updated to PVC in 05. Garry checking to see if this is okay or more info needed. $2500 ded applied.</t>
  </si>
  <si>
    <t>Fredrick</t>
  </si>
  <si>
    <t>Discussed w/ Louisa. If they had called on 3/16, we probably would have helped out with less concern. Advised of this, but approved the request.</t>
  </si>
  <si>
    <t>Taylor, Jason &amp; Grace</t>
  </si>
  <si>
    <t>HO6 Secondary w/Rental</t>
  </si>
  <si>
    <t>Steamboat</t>
  </si>
  <si>
    <t>Current authority is $150K TIV. Changed that!</t>
  </si>
  <si>
    <t>Stankevich, Stephen</t>
  </si>
  <si>
    <t>Soffer, Jesse Lee</t>
  </si>
  <si>
    <t>Insured is TV and movie actor.</t>
  </si>
  <si>
    <t>Ray, Robert &amp; Laura</t>
  </si>
  <si>
    <t>Occupying during construction</t>
  </si>
  <si>
    <t>Insured will be occupying home during renovation. Agent wants okay to add coverages a homeowner needs.</t>
  </si>
  <si>
    <t>Non-owned tiny house on premises</t>
  </si>
  <si>
    <t>Insured is allowing their friend to rent a part of their property to park their tiny house.</t>
  </si>
  <si>
    <t>Refer to Jeff. No adverse news or concern. Mostly TV actor. Agreed to do WITH liability.</t>
  </si>
  <si>
    <t>4/25/17 update. Agent found lapse since 2010. Applying 15% s/c. Credit score in high 900's.</t>
  </si>
  <si>
    <t>4 named insured</t>
  </si>
  <si>
    <t>2 homes on same property. Entire property deeded to 2 brothers. Each brother and his wife occupy one of the homes.</t>
  </si>
  <si>
    <t>596 Ethel Ave LLC</t>
  </si>
  <si>
    <t>1 month policy</t>
  </si>
  <si>
    <t xml:space="preserve">Insd is in escrow and desires only 1 more month 'til it closes vs. normal 3 month 100% earned. </t>
  </si>
  <si>
    <t>If they can do it in their system, ok. If it goes over a month, revert back to normal rules.</t>
  </si>
  <si>
    <t>Ebrahimian, Lida</t>
  </si>
  <si>
    <t>1929 home w/plumbing completely updated in 2017. Other systems and roof updated. 6/16 Leak under jacuzzi $175K; 7/16 When repairing 6/16 damage, breaking into wall caused hot/cold water pipe damage $336K. No online photos of home.</t>
  </si>
  <si>
    <t>Asking to confirm all plumbing replaced. Considering 1 loss but charging for both. $10K water damage deductible. If questionable update, add water damage exclusion. Moot point on the 6/12 $0 paid loss if all is updated/replaced. Add addl loss surcharge.</t>
  </si>
  <si>
    <t>Stuart, Charles</t>
  </si>
  <si>
    <t xml:space="preserve">HO3 </t>
  </si>
  <si>
    <t>New 2017 home.  Insd has 150 brush clearance on all sides except one side has only 50' to neighbors property. It sounds like it isn't properly cleared.</t>
  </si>
  <si>
    <t>Declined as presented. Can't exclude the building. If we write with Total Business Excl, anything business related is excluded. Such a high fire exposure, don't feel we should take this on knowing it will be excluded. If a coml pol could be put in place that covers business related property losses, we could offer terms w/Total Business Exclusion.  4/26-addl info. Insured has a CGL in place which covers BI and Prop Dmg. Got loss info, no addl concerns.</t>
  </si>
  <si>
    <t>Clark, Christopher</t>
  </si>
  <si>
    <t>Naples</t>
  </si>
  <si>
    <t>2011 home almost 3 miles from gulf. Insd is retired NHL player now developmental coach for Columbus Blue Jackets.</t>
  </si>
  <si>
    <t>FL is currently restricted for wildfire. Active wildfires near Naples. Not too high profile - we can write when restr are lifted.</t>
  </si>
  <si>
    <t>Subj to no heat or acceptable heat. Turns out there is a low output heater. Advised okay as long as not portable and is thermostatically controlled.  4/26 agreed to remove Vacancy Clause form as insd going there every 2 mos. Neighbor watching, but not weekly inspection. Discussed w/Jeff.</t>
  </si>
  <si>
    <t>Esenwein, Dennis</t>
  </si>
  <si>
    <t>2009 home in brush with concrete roof. In brush, PC9. No alarms</t>
  </si>
  <si>
    <t>Day, Eric and Plotkin, Margo</t>
  </si>
  <si>
    <t xml:space="preserve">1955 home fully updated in 2007. Alarms. Insured is a TV producer. Extensive list of shows. No concerning news. </t>
  </si>
  <si>
    <t>Not too high profile for full coverage.  ($313/SF)</t>
  </si>
  <si>
    <t>Need rater. Subj to: Completed and acceptable PC quest. Completed and acceptable WBS quest. 7% Surcharge due to custom design. Concrete roof - is it flat? If so, $10K ded.  Decided against MFRC because other than living room, home looks more standard. Surcharge will help.</t>
  </si>
  <si>
    <t>Balch Chocorua Trust</t>
  </si>
  <si>
    <t>Tamworth</t>
  </si>
  <si>
    <t>NH</t>
  </si>
  <si>
    <t xml:space="preserve">1912 home updated in last 25 years. PC 9. Secondary. There is also a 2nd home $650K TIV that is also a secondary. Homes a less than 1 mile apart. </t>
  </si>
  <si>
    <t>Are they both secondary? Approved subj to confirmation of occupancy.</t>
  </si>
  <si>
    <t>Cox, Kenneth &amp; Susan</t>
  </si>
  <si>
    <t>Alarm requirement</t>
  </si>
  <si>
    <t>This was a Burns risk, agent wants Hull to rewrite. There are no alarms and it's over $2M TIV.</t>
  </si>
  <si>
    <t>Agreed to waive requirement to match competitor expiring.</t>
  </si>
  <si>
    <t>Begg, Theodore</t>
  </si>
  <si>
    <t>DP3 Vacant Builders Risk</t>
  </si>
  <si>
    <t xml:space="preserve">Vacant renewal which renews tomorrow 4/28. Agent JUST found out it is under extensive reno. Insured is acting as GC hiring many subs. Occupancy in 4 weeks - confident it will be done. Lloyds isn't helpful in PA. Have to get something done today (late in the day). </t>
  </si>
  <si>
    <t>Agreed to help out as an exception, offer terms for property only with liability excluded (old guidelines)</t>
  </si>
  <si>
    <t>Topping, Kelly</t>
  </si>
  <si>
    <t>Greenwood</t>
  </si>
  <si>
    <t>2014 PC10 in brush. 15 min response per agent. No alarms. 260 acres 5 cows, 5-8 goats. Grazing only, no farming. WBS pipe in guest house photo. Google drive time=17 min 10.1 mi. Set back on property w/gated entrance. Volunteer and paid dept. Online shows business "Gold Pan Funding"-owner's message says now retired. Must be prev owner. 3720 SF = $237 SF Lodge style timber.</t>
  </si>
  <si>
    <t>5% surcharge for longer response time($440). WBS Quest. Verify Cov A.</t>
  </si>
  <si>
    <t>Houseboat</t>
  </si>
  <si>
    <t>Referred her to Markel Marine per details in our ES UW Direction document.</t>
  </si>
  <si>
    <t>Homola, Steven</t>
  </si>
  <si>
    <t>Annandale</t>
  </si>
  <si>
    <t>1935 home w/roof update in 2002, wiring update in 1997, plumbing update in 1997. No heat source - woodburning stove is primary heat. No fire department, on lake, no sprinkler, no alarms. 647 SF cabin. Online photos look okay. This is on an island NW of Minneapolis on an inland lake.  $912 rate = $0.75</t>
  </si>
  <si>
    <t>Keltner, Charles</t>
  </si>
  <si>
    <t>1976 home w/updates. Applicant operates a landscaping business on the premises - Fertile Lawn. NRN due to this from curr carrier.</t>
  </si>
  <si>
    <t>Reviewed HO3 and Total Business Excl. No exclusions found. Not extreme enough to exclude liab. Addl surcharge is in order.</t>
  </si>
  <si>
    <t>Highlands</t>
  </si>
  <si>
    <t>Asked additional business questions. Require building exclusion for any business buildings and Total Business Exclusion form. No surcharge, since we are excluding.</t>
  </si>
  <si>
    <t>Snoddy, Terry &amp; Drabic, Timothy</t>
  </si>
  <si>
    <t xml:space="preserve">DP3 Rental   RUA015566 </t>
  </si>
  <si>
    <t>Renewal  rating</t>
  </si>
  <si>
    <t>2 unit structure, 1 occupied, 1 vacant. How should this be rated.</t>
  </si>
  <si>
    <t>Summers, Clint</t>
  </si>
  <si>
    <t xml:space="preserve">Agnt writing a primary home that shares a property with a manufactured home that is rented out by the insured. </t>
  </si>
  <si>
    <t>Charles Wooten LLC</t>
  </si>
  <si>
    <t xml:space="preserve">Venice </t>
  </si>
  <si>
    <t>Duplex</t>
  </si>
  <si>
    <t>Insured is buying and renovating a duplex. 1st floor is unit 1, 2nd floor is unit 2. Anything unusual?</t>
  </si>
  <si>
    <t>Basically a 2 family, just unique configuration.</t>
  </si>
  <si>
    <t>Boulder Bay</t>
  </si>
  <si>
    <t>Agent will exclude the mfg home and gather proof of insurance to ensure liability is in place.  Agent later called back saying mfg home was assembled on site and bolted to a permanent foundation. I advised unless it is MODULAR, we would not be able to do it.  Mobile/mfg homes can be "assembled" onsite (doublewide-2 sides) and they can have a perm foundation.</t>
  </si>
  <si>
    <t>Since one loss, not adding water damage deductible, but will add addl 10% surcharge for size of loss.</t>
  </si>
  <si>
    <t>Asked how often risk is visited. What is done w/utilities when gone. (Is elec turned off by utility co. Winterizing?). Also asked for WBS info if they have it. This will be a definite total if a fire starts. Evaluating exposure to see if we are comfortable taking that on. May consider with a higher rate like $1.25 or $1.50 per $100/TIV.  Discussed w/Louisa. 50% s/c at minimum. We do not want to be low on premium against competition. Asked agent for feedback before finalizing terms.</t>
  </si>
  <si>
    <t>Diamond Investment Group LLC</t>
  </si>
  <si>
    <t>Vermal</t>
  </si>
  <si>
    <t>Response Time &gt;30 mins</t>
  </si>
  <si>
    <t>1995 build, log cabin, response time 30 minutes, inaccessible in Winter months, LLC questionnaire OK (all related), home winterized during winter months; trying to build relationship with large agency in area</t>
  </si>
  <si>
    <t>Jeffery &amp; Debra Brabender</t>
  </si>
  <si>
    <t>Park City</t>
  </si>
  <si>
    <t>blanket coverage on personal property</t>
  </si>
  <si>
    <t xml:space="preserve">primary home, two units-short term VRBO rental in one of the units during ski season.   No more than 75 days rental with a 4 night minimum rental: listing is at https://www.vrbo.com/385121.  1998 build;
PC 3; Interior sprinklers. Wants to schedule blanket $25K fine arts (max $6K per item), blanket $50K wine (max $2K per item), and $50K jewelry ($25K earrings, $25K necklace); 2 prior water losses-water line replaced and repairs made
</t>
  </si>
  <si>
    <t>VANDANA AGRAWAL</t>
  </si>
  <si>
    <t>Built in 2002, frame construction, PC2, primary, no brush, c/s alarms, 3 losses-10/2012 - THEFT - housekeeper fired, central alarm installed, pd $1500;06/2013 WATER - pipe leak, fully repaired, pd $6,000;04/2014 THEFT - housekeeper fired, new cameras installed, pd $115,000. $25K Theft ded quoted</t>
  </si>
  <si>
    <t>Theft ded OK and concerns now mitigated with cameras/new staff; RM OK</t>
  </si>
  <si>
    <t>Approved usage and jewelry, declined wine completely, advised OK to blanket fine arts as long as not any collectables; also advised central burglar needed and all other scheduled item guidelines</t>
  </si>
  <si>
    <t>Charles Kettner</t>
  </si>
  <si>
    <t xml:space="preserve">BUSINESS ON PREMISES </t>
  </si>
  <si>
    <t>separated, comm pol in place, no customer traffic, minimal employee traffic, approved subject to building exclusion and total business exclusion</t>
  </si>
  <si>
    <t>1975 build year, insured owns landscaping company on same property, but clear separation, business policies in place for that exposure, traffic minimal, PC OK, home condition great</t>
  </si>
  <si>
    <t>LINDA MONTGOMERY &amp; ROY HAHN</t>
  </si>
  <si>
    <t>HO6/Primary</t>
  </si>
  <si>
    <t>NR prior carrier</t>
  </si>
  <si>
    <t>Jay &amp; Helen Meyer</t>
  </si>
  <si>
    <t>response time over 20 minutes and woodstove is the primary heat source.</t>
  </si>
  <si>
    <t>San Miguel</t>
  </si>
  <si>
    <t xml:space="preserve">1994 build year, log, used during summer months only so wood stove will very rarely be used. Response time 20-25 in summer, 30 in winter. </t>
  </si>
  <si>
    <t>Betzler, Brett</t>
  </si>
  <si>
    <t>Renewed w/ Chubb, but Chubb decided to NR due to brush clearance and backdated cancellation. Agt was waiting on cancellation notice before offering terms on Markel, but since backdated cancel, now needing to backdate coverage to 04/15</t>
  </si>
  <si>
    <t>Agt had home for prior owner for the last year, and knows no claims reported. Error of cancellation beyond insured control. Approved subject to signed no loss of insured.</t>
  </si>
  <si>
    <t>Barth Family Trust</t>
  </si>
  <si>
    <t xml:space="preserve">Mobile home </t>
  </si>
  <si>
    <t xml:space="preserve">This is a mobile home that has a concrete perimeter foundation (not slab foundation). </t>
  </si>
  <si>
    <t>mobile home risk</t>
  </si>
  <si>
    <t>DP3?/Condo</t>
  </si>
  <si>
    <t>vacant/condo</t>
  </si>
  <si>
    <t>vacant condo, wants to do DP3 for about $850K coverage A</t>
  </si>
  <si>
    <t xml:space="preserve">Discussing with Melissa </t>
  </si>
  <si>
    <t>response time</t>
  </si>
  <si>
    <t>response time 15-20 minutes, current policy but wasn't aware of distance issues until renewal submission (previously rated PC8)</t>
  </si>
  <si>
    <t>low TIV, FD 2.8 miles (but volunteer), doesn't use WBS</t>
  </si>
  <si>
    <t>Thomas Richards</t>
  </si>
  <si>
    <t>Bilano, Carmen</t>
  </si>
  <si>
    <t>Portola Valley</t>
  </si>
  <si>
    <t>1998 primary. No online photos or info.</t>
  </si>
  <si>
    <t>Rehoboth Beach</t>
  </si>
  <si>
    <t>DE</t>
  </si>
  <si>
    <t>The Barth Family Trust</t>
  </si>
  <si>
    <t>Structure is a mobile home</t>
  </si>
  <si>
    <t>Mobile home on permanent concrete foundation. Would we consider insuring as an HO-3.</t>
  </si>
  <si>
    <t>"Once a mobile home, always a mobile home."</t>
  </si>
  <si>
    <t>Beck, Timothy</t>
  </si>
  <si>
    <t>Vevay</t>
  </si>
  <si>
    <t>Renewal w/25 min response time. Did not find on approval log from last year. CA in brush 1986 partially updated. No alarms.</t>
  </si>
  <si>
    <t>1999 home. No alarms. 7 mile/20 min response time, visible, accessible. Paid FD. Gravel roads. Tankers bring water, no other sources. App says 10 mi to FD. Google says 15 mi/33 min.</t>
  </si>
  <si>
    <t>Need ss# to run ins score. Ins doesn't want a hit against his credit score due to financing for a mortgage. Declined but offered to take a look at a credit report the mortgage co could send and possibly that would help us.//Credit score averages 650/818. Considered fair per internet search. Asked for employment info: Foreman for First Transit, Cincinnati OH for 11 years. Stable employment. Score not bad for bankruptcy in 2014.</t>
  </si>
  <si>
    <t>Completed log questionnaire indicates name of builder and years experience are unknown. We reviewed photos and details of the home online and it looks like a custom home. 2007 build. Great condition.</t>
  </si>
  <si>
    <t>Insured filed for bankruptcy. The court appointed Clark Coll as trustee to liquefy assets and distribute money to debtors. Home is unoccupied w/some contents. For sale and there are alarms.</t>
  </si>
  <si>
    <t>Owned by large trust</t>
  </si>
  <si>
    <t>2014 home (was a restaurant- it moved and insd converted it to their home). Bait shop on premises covered commercially (bldg and liab). Delta excluded other str and added Total Business exclusion form.</t>
  </si>
  <si>
    <t>Originally bound 3/16/17. Covg lapsed 2/28. Person handling file in retailers office left the company and this was left unhandled. Hull and the retailer bound 3/16. Now lender is coming back with a force placed policy for lapse time. Agent requested backdate to 2/28 w/signed no loss.</t>
  </si>
  <si>
    <t>Questions to agent: current dec, verify-is it a 2 unit rental. How long vacant? What are the plans. May need to come up with a "blended" rate in between occupied and vacant depending on answers. May need to check coverage to see how vacant limitations apply to a 2 unit structure.//5/3/17 found online reference to this address being a bar. Photo looks like 2 story. Confused on what we are insuring. Email to agent.</t>
  </si>
  <si>
    <t>1980 home. 9/16 loss $106,000 paid. Plastic toilet part broke. To mitigate, insured replaced all with metal parts. All repairs made-loss still open (no one is sure why)</t>
  </si>
  <si>
    <t>NR for no alarm. In very high-security condo with a 24 hour guard, high security entry and key operated elevator.  Full sprinkler system in each unit.</t>
  </si>
  <si>
    <t>Domus Pacis LLC</t>
  </si>
  <si>
    <t>Palm Springs</t>
  </si>
  <si>
    <t>Tenant is a foster care enterprise</t>
  </si>
  <si>
    <t>Insured leases dwelling to a non-profit foster care enterprise. They don't own it in any way. Foster care has their own liability. Agent proposing $1M liab and Total Business exclusion.</t>
  </si>
  <si>
    <t>Asked numerous questions about the tenant and risk. Concerning class of business.</t>
  </si>
  <si>
    <t xml:space="preserve">Evans, David &amp; Michelle </t>
  </si>
  <si>
    <t>(duplicate submission for another retailer)</t>
  </si>
  <si>
    <t xml:space="preserve">Husband passed away - his name is on deed - wife still lives in home. Can we write coverage? </t>
  </si>
  <si>
    <t>She is a named insured. Yes, we can write an owner occupied HO3.</t>
  </si>
  <si>
    <t>Loyd, Dustin</t>
  </si>
  <si>
    <t>Pretty Prairie</t>
  </si>
  <si>
    <t>Year built/Equine exposure</t>
  </si>
  <si>
    <t>Subj to barn excl and EHP suppl. Will review post-issuance.</t>
  </si>
  <si>
    <t>Albanese</t>
  </si>
  <si>
    <t>Tamika getting fire report. If 100% subro, we could consider not charging. Need prior carrier. No reduction in rate.</t>
  </si>
  <si>
    <t>Gitlin, Mimi Polk</t>
  </si>
  <si>
    <t>1954 home w/partial updates. FRC applied. Insured is movie producer, Thelma &amp; Louisa and others prior to 2000.</t>
  </si>
  <si>
    <t>Subj to explanation of yes answer to business on premises. (Not too famous for full covg.)</t>
  </si>
  <si>
    <t>Delmore, Maurice &amp; Doris</t>
  </si>
  <si>
    <t>Wisconsin Dells</t>
  </si>
  <si>
    <t>WBS quest, exclude biz use oth str, add Total Business Exclusion.  Online photo shows set up. Insp photo shows treehouse w/no balusters on step railing.</t>
  </si>
  <si>
    <t>No CS alarms</t>
  </si>
  <si>
    <t>No theft alarm technically needed as there are no contents. Per guidelines, sprinklers takes the place of CS Fire alarm.</t>
  </si>
  <si>
    <t>Fabbri, Brian</t>
  </si>
  <si>
    <t>Montville</t>
  </si>
  <si>
    <t>4th renewal</t>
  </si>
  <si>
    <t>1989 home vacant and for sale for 4 years. Listed with Remax. Insured visits weekly.</t>
  </si>
  <si>
    <t>Too late to NRN. Asked for 10% surcharge ($7000 prem).</t>
  </si>
  <si>
    <t>2006 home w/interior sprinklers, no CS alarm. No contents. Agent does not want to add special deductible for no alarms.</t>
  </si>
  <si>
    <t>Hoyt, Palmore</t>
  </si>
  <si>
    <t>Tollhouse</t>
  </si>
  <si>
    <t>Add 10% surcharge for response time reaching our max. $2654 prem.</t>
  </si>
  <si>
    <t>2005 seasonal w/16 week rental home w/no alarms. Letter from FD in file. 7.2 mi 15 min response time to front of property. Home on 45 acres. Verified response time online.  No farming/no ranching per app.</t>
  </si>
  <si>
    <t>Ciampaglio, Robert</t>
  </si>
  <si>
    <t>Agent asking if they can modify minimum earned requirements to 60%.</t>
  </si>
  <si>
    <t>VIP client and trying to foster agent relationship.</t>
  </si>
  <si>
    <t>Grenwell &amp; Bogert</t>
  </si>
  <si>
    <t>Downeyville</t>
  </si>
  <si>
    <t>Home that has never been insured. Insd didn't see need to insure secondary but neighbor told them about their agent and the insured decided to look into getting some Cov A.</t>
  </si>
  <si>
    <t>10% surcharge, get photos to make sure risk is okay, order rush inspection, consider higher deductible. Otherwise, okay.</t>
  </si>
  <si>
    <t>Hsu, Dolores</t>
  </si>
  <si>
    <t>1926 home fully gutted in 2017. No PC info or brush info. Googled FD. There are several nearby, appx. 1 mi away. PC should be okay.</t>
  </si>
  <si>
    <t>If in brush, rate for it and verify 150' clearance.</t>
  </si>
  <si>
    <t>Martindale, Kenneth &amp; Evalina</t>
  </si>
  <si>
    <t>Subj to uw? Answer; confirmation no business at this address</t>
  </si>
  <si>
    <t>2004 home in brush w/clearance. Has CS alarms. One UW ? Not answered.  Found "Integris Financial" online at this address.  New purchase 5/9/17, so this may not be the insured.</t>
  </si>
  <si>
    <t>Spotsylvania</t>
  </si>
  <si>
    <t>Dry hydrant</t>
  </si>
  <si>
    <t>Will we give credit for dry hydrant?</t>
  </si>
  <si>
    <t>Confirm PC9 now, 11 min response, excellent risk. Could allow 5% credit. PC 9&gt;8 would be 10%. Officially we do not give credit for dry hydrants in a PC9 or 10, but they are recognized by ISO as a creditable water source.</t>
  </si>
  <si>
    <t>Taylor, Rachel</t>
  </si>
  <si>
    <t>Lemoore</t>
  </si>
  <si>
    <t>TIV/Business on premise</t>
  </si>
  <si>
    <t xml:space="preserve">Insured has an Interior Design Studio on premises.  Has some consultant employees come on site. Rare to have customers. </t>
  </si>
  <si>
    <t>Jones, Tajudeena</t>
  </si>
  <si>
    <t>Chicago</t>
  </si>
  <si>
    <t>Insured operates "Totally Positive Productions". Address on app is business address. Non-profit youth program in business since 1993.  Total Business Excl applies.</t>
  </si>
  <si>
    <t>Stoltze, Sharon</t>
  </si>
  <si>
    <t>Home in trust name</t>
  </si>
  <si>
    <t xml:space="preserve">Home in name of 3 trusts. Applicant is daughter of mother who passed, and the trustee. Home for sale, but daughter is occupying. </t>
  </si>
  <si>
    <t>Sounds owner occupied to me</t>
  </si>
  <si>
    <t>Woodfin, Courtney &amp; Christopher</t>
  </si>
  <si>
    <t xml:space="preserve">Carolina Beach </t>
  </si>
  <si>
    <t>Nice home. Policy lapsed for non pay. Carrier wouldn't reinstate due to concentration.</t>
  </si>
  <si>
    <t>Reviewed w/Tim</t>
  </si>
  <si>
    <t>Insured has a swim school at her home, giving lessons 4 months/year. Liab w/Scottsdale. Agent wants property terms. 2 apps attached - one shows updates in 27? One in 90?  Also says rented 52 weeks but this is HO app. Probably a typo. Agent confirmed updates are in 90. No rental.</t>
  </si>
  <si>
    <t>Approve subj to: exclude liab (as noted), add Total Business Exclusion (for any exposure related to the business we may be unaware of.)</t>
  </si>
  <si>
    <t>LLC form indicates one individual. Nothing online that appears concerning. 5/11/17. Found out home is rented to Zsa Zsa's ex husband. Interesting. Advised this is okay. Agree with requiring an HO4.</t>
  </si>
  <si>
    <t>Voegtly, Carl</t>
  </si>
  <si>
    <t>Young</t>
  </si>
  <si>
    <t>Condition</t>
  </si>
  <si>
    <t xml:space="preserve">Insured bought this high value home to renovate. Currently it is not habitable per city. </t>
  </si>
  <si>
    <t>1974 cabin updated in 2005. Home is winterized and never used in winter. Checked temperatures for area (AZ). Non-winter months never have freezing temps. Insured says stove is rarely used.</t>
  </si>
  <si>
    <t>Subj to rating as PC9 (confusion on what it really was-all documentation had a different PC); also acceptable WBS quest.</t>
  </si>
  <si>
    <t>List, Don</t>
  </si>
  <si>
    <t>2007 home, alarms, brush, 10 min response time.</t>
  </si>
  <si>
    <t>Silva, Gabriel &amp; Wendy</t>
  </si>
  <si>
    <t>There was confusion at retail office and agent accidentally deleted an email from his associates in box so they missed the bind request.  5/11/17 request to go back to 5/8/17 with SNL.</t>
  </si>
  <si>
    <t>Hinshaw, John &amp; Julia</t>
  </si>
  <si>
    <t>TIV/Wood roof</t>
  </si>
  <si>
    <t>1977 home w/roof fully updated in 1998. Agent asking about roof. This is in a low brush zone so wood roof is okay.  Scheduled jewelry is listed on app but not on email. Animals or exotic animals is marked yes with no explanation.  Online photos and info show large vineyard and large horse corrals.</t>
  </si>
  <si>
    <t>Wood roof okay. TIV okay. Be aware of $5M limit. No sched jewelry info so my approval does not include that. Need answer to animals. Look into vineyard and horse corral. Verify no business. No breeding, riding, boarding of others horses. Personal only.</t>
  </si>
  <si>
    <t>Kerr, Michael</t>
  </si>
  <si>
    <t>Windsor</t>
  </si>
  <si>
    <t>PC9 New 2017 home. No online photos. Online search shows 3.5 miles 6 min to volunteer Chuckatuck Fire Station.</t>
  </si>
  <si>
    <t>Altshuler, David</t>
  </si>
  <si>
    <t>Remove brush surcharge</t>
  </si>
  <si>
    <t>Risk is not in a brush zone, but high brush zone is nearby. Agent originally added a brush s/c due to proximity to brush. Melissa asking to remove it.</t>
  </si>
  <si>
    <t>The Columbia Hotel Inc.</t>
  </si>
  <si>
    <t>Risk in corp name for tax purposes. The insured leases home back from corp and lives there as their primary. Agent wants to give this more of an HO3 rate (agree). Adding the rental endorsement. Issuing w/premises liab only. Insured will have their own HO4.`</t>
  </si>
  <si>
    <t>Breeman, Jason &amp; Cariya</t>
  </si>
  <si>
    <t>2008 condo w/ 2 prior water losses.  10/16 water leak from 3rd floor bath $19K; 11/16 water leak from outdoor sprinklers $15K. Agent quoting w/$25,000 water damage ded.</t>
  </si>
  <si>
    <t>Lake House</t>
  </si>
  <si>
    <t>House over water</t>
  </si>
  <si>
    <t xml:space="preserve">Make sure updates are good. Order EHP to get eyes inside. </t>
  </si>
  <si>
    <t xml:space="preserve">Non-floating home extended over water.  Newer roof. Condition a little rough, may just need paint. </t>
  </si>
  <si>
    <t>Confirm reason for NRN</t>
  </si>
  <si>
    <t>This is mainly used as office and administrative. It is insureds home as well as apt rented annually to a married couple(not business related). All other questions check out. Subj to Total Business Excl. and GL is in place or will be per agent.)</t>
  </si>
  <si>
    <t>Kameron</t>
  </si>
  <si>
    <t>Hudachek, Robert</t>
  </si>
  <si>
    <t>Dock</t>
  </si>
  <si>
    <t>Is dock away from premises covered?</t>
  </si>
  <si>
    <t>Sandbakken, Steven</t>
  </si>
  <si>
    <t>1913 home being lifted to replace foundation.</t>
  </si>
  <si>
    <t>Lift to replace foundation</t>
  </si>
  <si>
    <t>St. Paul</t>
  </si>
  <si>
    <t xml:space="preserve">Discussed w/Jeff   </t>
  </si>
  <si>
    <t>Concern w/ what gaps in covg there may be from contractor.</t>
  </si>
  <si>
    <t>Lieberman, Roger</t>
  </si>
  <si>
    <t>Leslie checking on rating since this is primary with rental. In research, found 2 businesses using the insured location address.</t>
  </si>
  <si>
    <t>Check on business use - 2 businesses use the insured address and photos look like board room and waiting room.</t>
  </si>
  <si>
    <t>Brandt, Chad</t>
  </si>
  <si>
    <t>Grand Rapids</t>
  </si>
  <si>
    <t>1958 home w/updates. Insured has a massage therapy business in home. Reviewed website, looks fine. Includes Total Business Excl.</t>
  </si>
  <si>
    <t>Reminded agt about TBE limitations and make sure insured knows.</t>
  </si>
  <si>
    <t>Amstutz, Austin</t>
  </si>
  <si>
    <t xml:space="preserve">Norwalk </t>
  </si>
  <si>
    <t>Apartment in business</t>
  </si>
  <si>
    <t>2016 building is insureds flat concrete work business. He has an apartment in it. Wants contents and liability.</t>
  </si>
  <si>
    <t>Add Total Business Exclusion. (Compliance verifying use of current form; or will update to create a new one.)</t>
  </si>
  <si>
    <t>Chouest, Amy</t>
  </si>
  <si>
    <t xml:space="preserve">New Orleans </t>
  </si>
  <si>
    <t>TIV/RC</t>
  </si>
  <si>
    <t>1900 home updated in 2017 asking for RC.  Online photos limited. Indicates partial reno.</t>
  </si>
  <si>
    <t>Approved TIV. Advised Leslie to check with Danielle on their internal procedure with RC.</t>
  </si>
  <si>
    <t>Since they added it, they can remove it.  I don't see a record of requiring it. I suggested a 1/2 surcharge. Risk is PC1, 5 min response time. Prem went up $610. This is a COC 2nd term and $3,150,000 TIV, approved.</t>
  </si>
  <si>
    <t>Loper, John &amp; Tracy</t>
  </si>
  <si>
    <t>Montepelier</t>
  </si>
  <si>
    <t>1972 home w/updates. Prior dog bit - insureds dog bit child going by on bike at different location.  Agt asking with or without liability.</t>
  </si>
  <si>
    <t>Arnold, Mary &amp; Mankad, Raj</t>
  </si>
  <si>
    <t xml:space="preserve">1930 home w/updates. Insured has detached apartment/garage that has a studio insured uses to hold writing classes once a week with about 12 kids.
They will have GL for the business.
 </t>
  </si>
  <si>
    <t>Estate of Sokhana Noeu</t>
  </si>
  <si>
    <t>St Paul</t>
  </si>
  <si>
    <t>1914 home w/updates. Duplex - 1/2 personal living; 1/2 rented to business. (Unsure if personal living is insured or rented to someone.) Auto shop next door. Also found Acoustech Drywall Contr at this addr.</t>
  </si>
  <si>
    <t>Michaelson, Marc</t>
  </si>
  <si>
    <t>Pollack Investments</t>
  </si>
  <si>
    <t>New build. Builder sold 85% complete to Pollack Investments who will finish and sell the home. Expect 3-6 month policy. Agent surcharged the vacant rate by 25%. Quoting w/50% earned premium</t>
  </si>
  <si>
    <t>Corporate questionnaire. Prem liab okay if they want it.  https://www.zillow.com/homedetails/266-F-Ave-Coronado-CA-92118/17069694_zpid/</t>
  </si>
  <si>
    <t>Certified Service Dog</t>
  </si>
  <si>
    <t>Pit bull service dog</t>
  </si>
  <si>
    <t>Alia asking about insuring an HO4 for a client with a pit bull that is certified as a service dog.</t>
  </si>
  <si>
    <t>Sent list of questions and info needed to review.</t>
  </si>
  <si>
    <t>Hillen, Keith &amp; Mary</t>
  </si>
  <si>
    <t>1981 home, excellent condition, nice per online photos. No URQ, unknown if PC9 or 10. 2 losses at other locations, reviewed, okay. Alarms. Per online photos, 5 stall horse barn and riding arena on property. Insd self employed. WBS per app. In Brush per RM, but one of those unacceptable ISO reports is also attached showing no brush.</t>
  </si>
  <si>
    <t>Business info. If we proceed, Total Business Exclusion and need pier/beam foundation inspected.  5/17 students go to oth str, no one in home. Also added subj to exclude the other structure.</t>
  </si>
  <si>
    <t>Still have dog? Claim closed? What forms do they apply.   5/17-still has dog, now in a country home. Applying animal exclusion MPL108 (excludes all animals)</t>
  </si>
  <si>
    <t>Martineau, Robin</t>
  </si>
  <si>
    <t xml:space="preserve">Fergus Falls </t>
  </si>
  <si>
    <t>1946 home updated in 2000. Insured runs daycare in home licensed for 12 children. Has GL in place.</t>
  </si>
  <si>
    <t xml:space="preserve">• Excluding liability  
• Please do not add form BWH0141 as this risk does not qualify for the Burns &amp; Wilcox Daycare program
• GL must remain in place, controlled by agent
• Include Total Business Exclusion form – please make sure insured is aware of the restrictions of this form for an in home business.  If any loss occurs related to the business, claims will deny the loss.  (e.g. A bottle warmer used for a daycare child shorts out, starts a fire and the house burns to the ground. Claims would deny all damage to the home, contents, etc.)
</t>
  </si>
  <si>
    <t>Morame, Claudius EVN16010131</t>
  </si>
  <si>
    <t>Repairs</t>
  </si>
  <si>
    <t>Policy was cancelled due to repairs not made after inspection found issues. Insured has now repaired. Pol cancelled 5/2. Proof attached of repairs. Can agt reinstate.</t>
  </si>
  <si>
    <t>Charity said original insp was attached - I can't tell. Advised we could RW w/lapse unless there is a lien and there can't be a gap. Need signed statement.</t>
  </si>
  <si>
    <t>Multiple online sources describe rental and show previous sale of home. All look good.  Wood roof exclusion applies (not updated-31 years)</t>
  </si>
  <si>
    <t>Dallin, Ronald</t>
  </si>
  <si>
    <t>DP3 Short Term Rental</t>
  </si>
  <si>
    <t>Provo</t>
  </si>
  <si>
    <t>1986 home w/alarms. Short term rental w/5 night min. Was w/Travelers who nonrenewed end of April due to the rental. Had lapse of 3 weeks. 5% surcharge added.</t>
  </si>
  <si>
    <t>Equi Sport LLC</t>
  </si>
  <si>
    <t>Horse business</t>
  </si>
  <si>
    <t>Ocala</t>
  </si>
  <si>
    <t>Insured sells horses. Excluding liability which is insured w/Markel Equine. Wants $1M on barn</t>
  </si>
  <si>
    <t xml:space="preserve">You are approved to release a quote subject to:
• Excluding liability as quoted 
• Building exclusion for the barn
• Total Business Exclusion form
• FL is currently under moratorium due to fires.  If we proceed with terms, it would be subject to the moratorium being lifted.
</t>
  </si>
  <si>
    <t>Comolli, Kevin</t>
  </si>
  <si>
    <t>http://www.montereyherald.com/article/zz/20130607/NEWS/130608651</t>
  </si>
  <si>
    <t>2009 frame home. In brush. PPC is 3 or 10. Responding FD was verified with the FD. Paid, 2.4 miles, 7 min. There is a private hydrant on the property and FD confirmed it's storage capacity and flow. Appears this is acceptable as a PC3. Part flat roof. Agent applied $25K ded.</t>
  </si>
  <si>
    <t>Ma, Baojun</t>
  </si>
  <si>
    <t>Laguna</t>
  </si>
  <si>
    <t>New purchase. Prior owner had a 1/15 $0 water loss and a 5/15 $36K water loss. New owner/insured has no info on what these were. Very nice online pics.</t>
  </si>
  <si>
    <t>1991 home, copper, $2M Cov A. Not the insured's losses. Offered option of terms as quoted w/$2500 AOP or offer with $10K water damage and drop after a year to $5K, then to AOP.  5/19-agt asked for ok to quote $10K and $50K AOP options. Approved.</t>
  </si>
  <si>
    <t>Schoening, Robert</t>
  </si>
  <si>
    <t>McLelland</t>
  </si>
  <si>
    <t>Firearm Instruction Class on premises</t>
  </si>
  <si>
    <t>Insured is a firearms instructor. Holds 24 classes per year w/10 students. 2-4 of these classes may be on his property held outside. Shooting takes place on property. Has GL in place. Agt quoting w/liability exclusion.</t>
  </si>
  <si>
    <t>Considered if any phys dmg exposure exists from guns on premises. I suppose a student could mis-fire and shoot one of the buildings. Not the type of ammo that will cause "explosions". If any students end up in the house and a loss occurs, TBE will exclude coverage.</t>
  </si>
  <si>
    <t>• Excluding liability (as you quoted)
• Apply the Total Business Exclusion form.  I'm trying to envision how the 2-4 classes would always be held "outside".  What about bad weather?  Need for restroom?  With the Total Business Exclusion, even if ended up that students were in the house, we have no exposure.  Remember that limitations are there that could result in denial of claims involving the home, contents, other structures, etc.
• Completed app including answers to all underwriting questions
ALEXA SENT A FOLLOW UP EMAIL TO DISREGARD THIS REQUEST.  I HAD ALREADY REPLIED SO I LEFT THE NOTES.</t>
  </si>
  <si>
    <t>Hirsch, Alisha</t>
  </si>
  <si>
    <t>1960 home updated in 2010. Nice online photos, no concerns.</t>
  </si>
  <si>
    <t>claim still open, large reserves ($100K), dog still in home; approved subject to animal liab exclusion</t>
  </si>
  <si>
    <t>Chinook dog bit friend of a dogsitter at end of 2016; open claim reserved, dog still in home; wants quote with $10K animal liab w/ specific dog excluded.</t>
  </si>
  <si>
    <t>Open Dog Bite/Claim</t>
  </si>
  <si>
    <t>Brentwood</t>
  </si>
  <si>
    <t>Oort, Ronald</t>
  </si>
  <si>
    <t>Shapiro, James</t>
  </si>
  <si>
    <t>TIV/PC</t>
  </si>
  <si>
    <t>RM low, ded $25K, Water tank on premise, 2 fire depts w/in 5.5 miles; central alarms</t>
  </si>
  <si>
    <t>Riordan, Michael</t>
  </si>
  <si>
    <t>Joana</t>
  </si>
  <si>
    <t>Newark</t>
  </si>
  <si>
    <t>1920 build, all other updates completed. Home in great condition. PC ok. Agt quoted with understanding that updates to be made w/in 30-45 days</t>
  </si>
  <si>
    <t>approved subject to completion of updates w/in 45 days from issuance, and acceptable supp heat app</t>
  </si>
  <si>
    <t>Bush, Kevin</t>
  </si>
  <si>
    <t>Oak Glen</t>
  </si>
  <si>
    <t xml:space="preserve"> primary home located in CA. Built in 1996, frame construction, PC10, in brush, 5 minute response time, no c/a alarms and no losses.</t>
  </si>
  <si>
    <t>Hall, Harvey &amp; Lavonne</t>
  </si>
  <si>
    <t>primary; Built in 2000, frame construction, PC2, not in brush, full c/s alarms and 2 losses . They are planning on installing video cameras for added security.</t>
  </si>
  <si>
    <t xml:space="preserve">not scheduling jewelry, theft ded  at $25K; adding cameras; in gated community; subject to adding the cameras and </t>
  </si>
  <si>
    <t>Relatively low exposure, ok with liab as long as total business excluded</t>
  </si>
  <si>
    <t>Barker, Greg &amp; Lisa</t>
  </si>
  <si>
    <t>prior loss</t>
  </si>
  <si>
    <t>Dana Rose, Sean and Betty Lennon</t>
  </si>
  <si>
    <t>Jessie R. &amp; Stephanie M. Moser</t>
  </si>
  <si>
    <t>King William</t>
  </si>
  <si>
    <t>PC 10, no prior claims, 2017 build year, VA risk</t>
  </si>
  <si>
    <t>Low TIV, VA risk, claim history OK</t>
  </si>
  <si>
    <t>Nellysford</t>
  </si>
  <si>
    <t>PC 9, 2016 build year, no prior claims</t>
  </si>
  <si>
    <t>Approval, subject to confirmation that FD within acceptable distance and sufficient water trucks</t>
  </si>
  <si>
    <t xml:space="preserve">Prior large fire loss-vacant/for sale, should be short term policy; loss cause reported to be fault electric wiring (was 1960s with no updates), but now home completely redone and wiring 2017.  UPDATED: $15K of loss was from smoke/fire, remaining $400K was from asbestos abatement. Home completely redone, interior and exterior. Asbestos remediation confirmation provided. Home will also be a rental. </t>
  </si>
  <si>
    <t>Advised OK to submit, but would need fire marshal report or cause &amp; origin report from prior carrier for review. Updated: confirmed loss cause, approved w/ 10% surcharge</t>
  </si>
  <si>
    <t xml:space="preserve"> primary home located in CA. Built in 1996, frame construction, PC10, in brush, 5 minute response time, no c/s alarms and no losses.</t>
  </si>
  <si>
    <t>Advised Leslie same applicant as one submitted by Delta</t>
  </si>
  <si>
    <t>Harris, Robert</t>
  </si>
  <si>
    <t>Villa Park</t>
  </si>
  <si>
    <t>HUCAH150001008</t>
  </si>
  <si>
    <t>COC is almost complete, contents moving in. Interior cleanup, roof and railings still needed. Can they switch to secondary?</t>
  </si>
  <si>
    <t>More info needed.</t>
  </si>
  <si>
    <t>Sallans, William</t>
  </si>
  <si>
    <t>Encinitas</t>
  </si>
  <si>
    <t xml:space="preserve">1964 home, no updates noted. 3 prior losses:  2013-dog bite $300K - insured has no animals. 6/2014 $2K luggage flew off van. 3/2016 sewer backup (cause confirmed w/Safeco letter) $133K. No WBU being offered. </t>
  </si>
  <si>
    <t>approve w/10% s/c. Also exclude roof if not updated and add $5K special water ded if plumbing not updated.  No animals-also, our animal form protects us. No WBU so no concern there - we are sure it is WBU and not water damage per prior carrier letter.</t>
  </si>
  <si>
    <t>Polycomp Trust</t>
  </si>
  <si>
    <t>Trust name</t>
  </si>
  <si>
    <t xml:space="preserve">Polycomp Trust is a self-directed IRA. </t>
  </si>
  <si>
    <t>Advised if Alex wants to pursue further I can send to claims.</t>
  </si>
  <si>
    <t>3 Shadows LLC</t>
  </si>
  <si>
    <t>Agent wants to rate as vacant/reno now and endorse to vacant/for sale when done.</t>
  </si>
  <si>
    <t>Trevedi, Sharad</t>
  </si>
  <si>
    <t>Palm Beach Gardens</t>
  </si>
  <si>
    <t xml:space="preserve">Risk is in Palm Beach County. </t>
  </si>
  <si>
    <t>Currently under moratorium.</t>
  </si>
  <si>
    <t xml:space="preserve">HUCAH150000517 </t>
  </si>
  <si>
    <t>Proof of repair</t>
  </si>
  <si>
    <t>Policy is renewing. Insured needs 30 more days to provide proof of repairs.</t>
  </si>
  <si>
    <t>You are approved to release terms subject to:
• If URQ and information shows this is a PC9, okay to proceed if 15 minutes response time or less.  If PC10, please send to me so I can review information and approve final terms.
• Confirmation no business at the residence premises (insured is self employed)
• Acceptable woodburning stove questionnaire
• Confirmation we are rating this in brush per RiskMeter (we don't use the ISO California Brush Fire report)
• Confirmation of brush clearance per our requirements to 150’
• Check on any horse or animal exposure.  There is a 5 stall horse barn and riding arena on the property.
5/25/17 -- Adjusted Cov A to $1,800,000 from $2,125,000 and TIV to $3,753,750 from $4,143,750.</t>
  </si>
  <si>
    <t>Jones, George &amp; Barnum, William DBA…</t>
  </si>
  <si>
    <t>2017 home not in brush. Named insured is General Partnership. They want CPL and PI</t>
  </si>
  <si>
    <t>Wondering why CPL and PI would come off a rental dwelling but if there is a good reason and they need it, it is okay.</t>
  </si>
  <si>
    <t>This is a seasonal. This is a good agent. Insd needs more time to get the proof. Repairs are done.</t>
  </si>
  <si>
    <t>Delgado, Frank</t>
  </si>
  <si>
    <t>Oroville</t>
  </si>
  <si>
    <t xml:space="preserve">This is a renewal. Agent originally sent as a PC9 with 12 min response time. Inspection revealed PC10. Renewal UW found 8.1 miles and 21 min response time. Too late to NRN. </t>
  </si>
  <si>
    <t xml:space="preserve">10% surcharge for response time. Reviewed FireLine - high 11. </t>
  </si>
  <si>
    <t>Lance, Brent</t>
  </si>
  <si>
    <t>Other structure limit</t>
  </si>
  <si>
    <t>2006 home with Barn, detached garage w/apt, car port, $60K 36 panel solar system. 6 acres, 6 horses - both personal use. Agt offering x-liability. In brush.</t>
  </si>
  <si>
    <t xml:space="preserve">You are approved to release terms subject to:
• Confirmation there is no rental in the apartment.  (If there is rental, we can probably approve and appropriate forms can be added. Just let me know.)
• I'm approving with no liability (x-liability).  However, if you want to make a case for it, I can reconsider.  Our guideline is 5 and they have 6.  If exposure is low and no concern about current or future breeding, boarding, riding lessons, or horse sales, we could consider.  To determine exposure, it would be helpful to know:
o How many people in the household
o Do friends/neighbors/other family members ride
o Frequency of riding
o Is there a fenced area on the property where the horses are kept
o Any large amounts of hay stored in buildings
o Any 4H or horse shows?  If there are, how often are the horses taken off the property?  
o Do they expect the number of horses to change?
</t>
  </si>
  <si>
    <t>Miller, MA &amp; JA</t>
  </si>
  <si>
    <r>
      <t xml:space="preserve">Do we want to reinstate or renew this existing policy?  HUCAH150000389 </t>
    </r>
    <r>
      <rPr>
        <b/>
        <sz val="11"/>
        <color theme="1"/>
        <rFont val="Calibri"/>
        <family val="2"/>
        <scheme val="minor"/>
      </rPr>
      <t xml:space="preserve"> </t>
    </r>
    <r>
      <rPr>
        <sz val="11"/>
        <color theme="1"/>
        <rFont val="Calibri"/>
        <family val="2"/>
        <scheme val="minor"/>
      </rPr>
      <t xml:space="preserve">No claims history.  </t>
    </r>
  </si>
  <si>
    <t>Close to a mile away and owned/used by another cabin owner. Advised we are not comfortable amending address to include - too far away and less control over who would use it.</t>
  </si>
  <si>
    <t xml:space="preserve">Insured is buying home but will rent it out for 2-3 months before moving in. Okay to write as HO3 w/ higher rate for the rental.  </t>
  </si>
  <si>
    <t>Insured purchasing home now. Will be vacant until July or August, then renovation, then move in.  Can we write an HO3 COC. May be vacant for &gt;60 days.</t>
  </si>
  <si>
    <t>If it gets near 60 days call us and we will evaluate a possible extension of time for the 60 day restriction not to apply. Advised an alarm system may help. Likely it will be a short time like 10 days. Insd has to be in home by 9/1.</t>
  </si>
  <si>
    <t>Boyacigiller, Nakiye</t>
  </si>
  <si>
    <t>Atherton</t>
  </si>
  <si>
    <t xml:space="preserve">1997 home w/ alarms, no losses, not in brush. </t>
  </si>
  <si>
    <t xml:space="preserve">• Confirm square footage and Cov A.  The home is 640 square feet per several online sources.
• Confirmation the dwelling is not rented to a business.  Online sources show Economic Recovery Systems - Credit counseling service at this address (online review references "going in" to the business)  
https://www.google.com/#q=economic+recovery+systems+atherton+ca&amp;spf=1495808581354
</t>
  </si>
  <si>
    <t>Baginski, Michael</t>
  </si>
  <si>
    <t>1977 home updated in 2010. Not in brush. Alarms.</t>
  </si>
  <si>
    <t>Lyons, Gregory</t>
  </si>
  <si>
    <t>Insured cares for 2 mentally challenged individuals. Has GL for the coml liability.</t>
  </si>
  <si>
    <t>No covg modification for the 2 individuals. Reasonable exposure, and policy allows for 2 boarders. Asked for opportunity to revise terms if insd is licensed for &gt;2. Advised agt of 3 businesses found online using this address. Also, Zillow lists Mother in law apt.</t>
  </si>
  <si>
    <t>Sky Forest</t>
  </si>
  <si>
    <t xml:space="preserve">good account? Relationship w/agent? Need copy of app, insp, dec to review. If approved, 5% s/c will apply-rewrite w/lapse only.  Too late to reinstate (expired 4/15/17)  Acct and info looks fine. Confusion on app - lists primary and tenant. Asked Melissa to confirm HO3. </t>
  </si>
  <si>
    <t>Grove, Mark &amp; Heather</t>
  </si>
  <si>
    <t>Penn Valley</t>
  </si>
  <si>
    <t xml:space="preserve">Chapter 13 </t>
  </si>
  <si>
    <t xml:space="preserve">Insured had bankruptcy 4 years ago. Winemaker, Mrs is music director. Not in brush. Was with RPS for 5 years. Wants to bind today. </t>
  </si>
  <si>
    <t>Insurance score look pretty good. Group 10. Online photo shows basic ranch.</t>
  </si>
  <si>
    <t>Dudley, Gregory</t>
  </si>
  <si>
    <t>Bumpass</t>
  </si>
  <si>
    <t>PC9 with 8-9 minute response time. 2004 home.</t>
  </si>
  <si>
    <t>Harris, Joshua</t>
  </si>
  <si>
    <t>Jamesville</t>
  </si>
  <si>
    <t>1980 home updated in 2010. Googled nearest FD. 11.7 mi w/21 min response. 14.2 mi w/23 min response. Both are volunteer.</t>
  </si>
  <si>
    <t>Advised if she gets different info on an unprotected questionnaire, let us know.</t>
  </si>
  <si>
    <t>Jahns, Matthew</t>
  </si>
  <si>
    <t>2016 home. Insd had a  broken pipe loss 11/14 at another location. Would we surcharge?</t>
  </si>
  <si>
    <t>Advised we need full details of loss. We have the right to pend. Sent a list of questions.</t>
  </si>
  <si>
    <t>Personal injury</t>
  </si>
  <si>
    <t>Can they offer Personal Injury on a home that is not owner/primary.</t>
  </si>
  <si>
    <t>Advised we typically do not.  They should look to their primary.</t>
  </si>
  <si>
    <t>Strauss, Shannon &amp; James</t>
  </si>
  <si>
    <t>Taylor, Peter &amp; Patricia</t>
  </si>
  <si>
    <t>Austinville</t>
  </si>
  <si>
    <t>2005 home. Online search shows nearest FD is 10.2 miles away w/20 min drive time. It is a volunteer FD so actual response time will be higher.</t>
  </si>
  <si>
    <t>1994 home.</t>
  </si>
  <si>
    <t>Advised Garry their authority is $2M. I still reviewed and approved/</t>
  </si>
  <si>
    <t>Vanderwaal, Patrice</t>
  </si>
  <si>
    <t>Maplewood</t>
  </si>
  <si>
    <t>1957 home updated. In home daycare w/10 kids. Insd has GL. Reviewed online-no concerns found. Agent asking for $300K liab.</t>
  </si>
  <si>
    <t>Subj to excluding liab, unless GL is in place and stays in place with Markel.</t>
  </si>
  <si>
    <t>Term extension</t>
  </si>
  <si>
    <t>Very good agent for Alex. Agreed to offer options of 3 month fully earned or 1 month w/15% surcharge on annualized premium.</t>
  </si>
  <si>
    <t>Westgate Funding LLC</t>
  </si>
  <si>
    <t xml:space="preserve">New 2017 home rented 52 weeks. Not in brush. Alarms. </t>
  </si>
  <si>
    <t xml:space="preserve">LLC form  </t>
  </si>
  <si>
    <t>Rock Homes LLC</t>
  </si>
  <si>
    <t>Franklin</t>
  </si>
  <si>
    <t>2017 home new construction by builder. No alarms. 3/16/17 vandalism to security cameras while home was vacant/for sale. Current policy expires 6/1/17 - requesting 6 mo policy w/$1000 AOP.</t>
  </si>
  <si>
    <t xml:space="preserve">• Installation of monitored central station fire and burglar alarm system prior to binding
• Minimum $10,000 AOP deductible
• Surcharge premium additional 20% due to the circumstances of the risk – vacant high value home with recent vandalism claim
• Offer a 3 month policy with the option for one renewal if there are no claims or concerns during the initial 3 month term.
</t>
  </si>
  <si>
    <t>Fdurborow, F.Palmer &amp; Shirley</t>
  </si>
  <si>
    <t>Manufactured Home COC</t>
  </si>
  <si>
    <t>Oxford</t>
  </si>
  <si>
    <t>Manufactured home</t>
  </si>
  <si>
    <t>Insured is removing a mobile home and replacing w/a manufactured home on a perm foundation. COC. Insd is the contractor.</t>
  </si>
  <si>
    <t>Gave suggestion to Nichole to make sure this is a manufactured and not modular home.  Won't qualify with us due to insd is the GC, but maybe she can find a market.</t>
  </si>
  <si>
    <t>1986 home w/no plumbing except running water for sink. WBS for heat but pretty much decoration only as it is used 4-6 weeks/year.150' clearance. No online photos. Dirt roads but accessible year round.</t>
  </si>
  <si>
    <t xml:space="preserve">3 large water losses in 5 years $116K heavy rain/water damage; $402K Kitchen water damage; $587K unknown.  </t>
  </si>
  <si>
    <t>Lots of loss, but always open to review. Agent getting details on losses, what mitigation have they done, same tenants? If all losses could have been excluded w/water damage exclusion, consider offering with that. Alison will send when she has the info.</t>
  </si>
  <si>
    <t>Rutan, Richard MPLCO00001047</t>
  </si>
  <si>
    <t>Lakewood</t>
  </si>
  <si>
    <t>Renewal terms</t>
  </si>
  <si>
    <t>A hail loss came in after renewal terms were offered. Can agent surcharge in 2018?</t>
  </si>
  <si>
    <t>Decent risk, agent applied 5% rate adj s/c based on competition. Not a negligence loss.</t>
  </si>
  <si>
    <t>Detroit Renovations LLC</t>
  </si>
  <si>
    <t>Detroit</t>
  </si>
  <si>
    <t>Insured is HGTV star</t>
  </si>
  <si>
    <t>Nichole Curtis - HGTV Rehab Addict. We had another referral in June 2016 from Jill for this insured. Research shows she has homes in avg-below avg Detroit neighborhoods. Articles I researched previously indicate Curtis has had issues with pulling proper permits. Negative info about the building process.  Along with her celebrity and being a builder, liability and building condition are a concern.  We will pass on any risks for this insured.</t>
  </si>
  <si>
    <t>MacKenzie</t>
  </si>
  <si>
    <t xml:space="preserve">Frank, David </t>
  </si>
  <si>
    <t>Sea Isle City</t>
  </si>
  <si>
    <t>Home has been quoted with 1% named storm but changed to 2%. Agent is moving business. Can we honor the 1%?</t>
  </si>
  <si>
    <t>Balster, Estate of Joan</t>
  </si>
  <si>
    <t>Mormora</t>
  </si>
  <si>
    <t>30 day policy</t>
  </si>
  <si>
    <t>Nonrenewed 6/18/17 due to 2 years vacant. Insd needs 30 days additional to complete sale.</t>
  </si>
  <si>
    <t>20% s/c on pro-rated premium. 30 day fully earned.</t>
  </si>
  <si>
    <t>Delgrosso, Jay</t>
  </si>
  <si>
    <t>Earthquake</t>
  </si>
  <si>
    <t>Agent wants to know if we can add EQ to this policy?  (Not part of program)</t>
  </si>
  <si>
    <t>Not creating rates for 1. We can if there is a market. (Discussed w/Jeff)</t>
  </si>
  <si>
    <t>Send AAL questionnaire.  If they return, plug into AAL rater.  Need to confirm with Jeff to make any exception to the 2% required ded.//Got info, ran thru rater/CQ. Current rate=$2,120 w/2% premium. We need $1460 for the non-wind and $8806 for the wind rate. Not going to make the exception.</t>
  </si>
  <si>
    <t>Brewer, Robert</t>
  </si>
  <si>
    <t>1998 frame home with alarms, no losses. No online photos. Confirmed response time of 13 minutes.</t>
  </si>
  <si>
    <t>Asselin, Shawn &amp; Tabrizi-Asselin</t>
  </si>
  <si>
    <t>HO3/COC</t>
  </si>
  <si>
    <t>Ded OK, limit reasonable</t>
  </si>
  <si>
    <t>Home now has alarms, no other changes since approval; inspection provided and in great condition</t>
  </si>
  <si>
    <t>Personal Prop on COC</t>
  </si>
  <si>
    <t>HUCAH150002440 already issued, want to add $50K personal property for items in garage on property</t>
  </si>
  <si>
    <t>Muniz, Renata</t>
  </si>
  <si>
    <t>1979 build year, 3 claims: 08/2014-water heater leak ($2K), 04/2015-son/friends playing with matches, lit mattress on fire. Didn't fully extinguish as thought, and damaged neighbors home at night ($7K); 03/2017-basement flooded ($13K); $300K liab, surcharge for loss, higher water ded</t>
  </si>
  <si>
    <t>Even w/ x-liab, since child in home not comfortable offering terms. New insured relationship with customer/agency</t>
  </si>
  <si>
    <t>Per responses, loss unavoidable by insured and immediately mitigated. Agreed to proceed with no surcharge</t>
  </si>
  <si>
    <t>Fairbanks, Mary</t>
  </si>
  <si>
    <t>Boulder</t>
  </si>
  <si>
    <t>Info not originally disclosed, home is in need of renovations, inspection confirmed in area prone to wildfires, older home, advised to cancel when able</t>
  </si>
  <si>
    <t>Howard, Bobbi</t>
  </si>
  <si>
    <t>Indianapolis</t>
  </si>
  <si>
    <t>Business in Home</t>
  </si>
  <si>
    <t>insured operates a printing business out of. The insured has no employees, GL is in place, printing is outsourced and very little foot traffic.  Built in 1964</t>
  </si>
  <si>
    <t>DHEERAJ VERMA</t>
  </si>
  <si>
    <t>5% completed, expected completion Jan 2019, no alarms, no lights, no gated community, 5 acres</t>
  </si>
  <si>
    <t>Declined based on stage of build and expected completion date (which likely will be pushed back)combined with max TIV for Coverage A only, declined</t>
  </si>
  <si>
    <t>Provided acceptable responses to questions. Gave Ok for liab. K.Burdine</t>
  </si>
  <si>
    <t>Post, Robert</t>
  </si>
  <si>
    <t>Balusters</t>
  </si>
  <si>
    <t>Are horizontal balusters okay? Photo shows what appears to be no more than 4" apart.</t>
  </si>
  <si>
    <t>BBH Mountain Properties LLC</t>
  </si>
  <si>
    <t>Blue River</t>
  </si>
  <si>
    <t>Unknown (?)</t>
  </si>
  <si>
    <t>Reviewed risk. Asked Leslie to let me know if I missed something, but this did not appear to be over her authority. 1972 risk w/FRC. PC9 since no hydrant. Quoting subj to older home quest. Confirming updates and getting LLC quest.</t>
  </si>
  <si>
    <t>Nikravesh, Michael</t>
  </si>
  <si>
    <t>Additional interest</t>
  </si>
  <si>
    <t>1992 home. Big Bear Water District as AI ok. Agt quoted as PC3. Looks like it may be a 10.</t>
  </si>
  <si>
    <t>Went over 30 days, so agt sent again; confirmed OK to offer terms as previously agreed.  6/5/17 okay with 10% surcharge and SNL.</t>
  </si>
  <si>
    <t>Very secure property, and sprinkler systems in place</t>
  </si>
  <si>
    <t>Lower value, wood stove won't  be used much (if any). Agt applied 10% surcharge. Advised approval subject to appropriate winterization</t>
  </si>
  <si>
    <t>Inspection revealed a business on the property in a separate structure. Business hires out electrical contractors. Insd daughter works with him + 2 other employees. No foot traffic. GL/Prop covg in place for business. Agent wishes to quote w/Total Business Exclusion and exclude Oth Str.</t>
  </si>
  <si>
    <t>1919 home fully updated w/RC. Agt getting EHP suppl w/inspection. Equine operation on prem quoting w/Markel. No liability. Barns excluded.</t>
  </si>
  <si>
    <t>High valued secondary with large prior fire loss. Insured hired a contractor to do work. They started a fire with a space heater. Repairs complete. Not sure on subro. Seacoast coming in at $4700 w/tax/fees. Markel at $4817 w/ no charge yet for loss.</t>
  </si>
  <si>
    <t>1972 home w/updates. Roofing/siding co owned by insured shares driveway. Agent using building exclusion. GL coverage in place. WBS in garage - subj to questionnaire.</t>
  </si>
  <si>
    <t>Agent getting details. Suggested to check on delivery to determine overall exposure. Also on manufacturing and clearance frame home. Exclude other structure. Add Total Business Exclusion. All checks out, notes in file. 5/16/17</t>
  </si>
  <si>
    <t>Reviewed inspection and discussed w/agent. No system updates. Fireman inspecting home fell when stairs he was using broke.</t>
  </si>
  <si>
    <t>Asked for occupancy clarification. Investigate drywall business. Auto repair is separate address? Also asked in of on Cambodian Employment in 1/2 of duplex. If insured rents whole home, doesn't occupy themselves, this should go commercial. We will apply Total Business Exclusion.  5/19-This is a commercial exposure and would better serve insured to be quoted there.</t>
  </si>
  <si>
    <t>TIV $4.3. PC 9, no prior claims, 2017 build year, C/S alarms, water tank on premise, RM, acceptable PC questionnaire provided; response time 10 minutes</t>
  </si>
  <si>
    <t>Subject to acceptable brush clearance; PC questionnaire provided-response time OK and tanks/pond on premises.</t>
  </si>
  <si>
    <t xml:space="preserve">CPA-75-100 clients over a period from about February to April come into insureds home for consultation. Agreed OK to submit for consideration with a total business exclusion. </t>
  </si>
  <si>
    <t>Subject to acceptable brush clearance; PC questionnaire provided-response time OK and tanks/pond on premises</t>
  </si>
  <si>
    <t>We wrote a COC that the insured intended to move into. Now they have decided to sell and move after construction. They need 1 month more to finish, policy expires in 1 week.</t>
  </si>
  <si>
    <t>Renewal of BWH103523-10181197, PC 9, appropriate brush clearance, response time 3 minutes per inspection provided, accessible year round, primary occupied</t>
  </si>
  <si>
    <t>TIV/accessibility</t>
  </si>
  <si>
    <t>Written on pol MPLCO00001138, but delays in inspection as wasn't disclosed home is inaccessible from october-april. Log home, 1934 build date, in brush, 5 min response time in summer</t>
  </si>
  <si>
    <t>reviewed online sources, ok with business exposure. Sub to updates and total business exclusion</t>
  </si>
  <si>
    <t>Total Holdings LLC</t>
  </si>
  <si>
    <t>2017 home insured rents to 4 grad students of Rowan university.  Built in 2017. Online pic shows prev home on the lot.</t>
  </si>
  <si>
    <t xml:space="preserve">• Confirm there is a vetting process in place to screen the students (such as background check, deposit)
• Confirm there is some limitation in place to the number of visitors (to avoid big parties on the private off campus property)
• Acceptable LLC form
• Add a generous surcharge for the increased liability and physical damage exposure
</t>
  </si>
  <si>
    <t>Paul Loughridge III</t>
  </si>
  <si>
    <t>Payson</t>
  </si>
  <si>
    <t>Cov B</t>
  </si>
  <si>
    <t>Cov B exceeds 50% of Cov A.  2 guest houses, 2 sheds. Agent wants VMM, no alarms. Inspection provided looks okay.</t>
  </si>
  <si>
    <t>Review neighborhood and make sure buildings are locked and VMM could be offered.</t>
  </si>
  <si>
    <t>Gianelli, Robert &amp; Helene</t>
  </si>
  <si>
    <t>1993 home w/ alarms. Lex renewal. We are competitive.</t>
  </si>
  <si>
    <t>Debit the rate.</t>
  </si>
  <si>
    <t>Alder, Shannon</t>
  </si>
  <si>
    <t>Shingle Springs</t>
  </si>
  <si>
    <t>Construction</t>
  </si>
  <si>
    <t>2004 home.  2nd floor is either modular or manufactured/mobile. No evidence of it being man/mob.  Appears to be modular. It would be very unusual to crane lift a mobile home to a 2nd floor of a home like this.  Condition of home in online photos in and out looks very nice. Considering it modular.</t>
  </si>
  <si>
    <t>Confirm w/inspection that it is modular.</t>
  </si>
  <si>
    <t>Ullrich, Jeffrey &amp; Darlene</t>
  </si>
  <si>
    <t>Home completely gutted and redone in 2015. Prior owner had a $300K+ water loss.  All systems replaced. No charge for prior loss.  Amazing online photos. Looks like a great home. Alarms will be activated when purchase is complete.</t>
  </si>
  <si>
    <t>Need PC quest to verify PC. No PPC hit at address. RM shows station is 11-12 mi away.  6/6-clearly a PC3. Approved.</t>
  </si>
  <si>
    <t>Lane, Michael &amp; Connie</t>
  </si>
  <si>
    <t>Rental barn</t>
  </si>
  <si>
    <t xml:space="preserve">Insured has a 1600' barn which is rented to their caretaker who oversees seasonal property for reduced rent. </t>
  </si>
  <si>
    <t>Agent will rate as 2 family, str rented to others, secondary 20+ rental rate.</t>
  </si>
  <si>
    <t>VonDreele, Jim</t>
  </si>
  <si>
    <t>DP3 Other Structure</t>
  </si>
  <si>
    <t>Other structure only</t>
  </si>
  <si>
    <t>Medley, Penot &amp; Jennifer</t>
  </si>
  <si>
    <t>Ojai</t>
  </si>
  <si>
    <t>1898 home gutted remodeled in 2013. 3 cottages. No alarms. Not in brush. PC4. Gated.</t>
  </si>
  <si>
    <t>Need alarms or 10K ded. If burglar only, $5K ded since it is gated, primary, not in brush. Confirm no rental.</t>
  </si>
  <si>
    <t>Brittney</t>
  </si>
  <si>
    <t>Sheubrooks, Richard &amp; Muriel</t>
  </si>
  <si>
    <t>2 month extension</t>
  </si>
  <si>
    <t xml:space="preserve">NCRUA014304 construction will be done 2 months after expiration, needs extension. </t>
  </si>
  <si>
    <t>Profitable and good account.Pro-rate renewal prem +10%. 100% earned.</t>
  </si>
  <si>
    <t>Martin, Nicholas</t>
  </si>
  <si>
    <t xml:space="preserve">Pearland </t>
  </si>
  <si>
    <t>2009 home w/full alarms in TX. Insured is a football player for Houston Texans NFL. No negative information online.</t>
  </si>
  <si>
    <t>WPW LLC</t>
  </si>
  <si>
    <t>Rental home that shares driveway with commercial building also owned by the insured. No oth str; no liab; agt to add Total Business Exclusion. Photos included look okay. Agt to verify updates as there is a discrepancy.</t>
  </si>
  <si>
    <t>Quiles, Emily &amp; Eric</t>
  </si>
  <si>
    <t xml:space="preserve">Manhattan </t>
  </si>
  <si>
    <t>Piano lessons in home</t>
  </si>
  <si>
    <t>1972 home w/updates. Insured has piano lessons in home 50-80 clients/month. $500K liab. GL in place.</t>
  </si>
  <si>
    <t>Fits criteria per review of guidelines.</t>
  </si>
  <si>
    <t>Peck, Zachary</t>
  </si>
  <si>
    <t>Grandson of Gregory Peck and son of Cheryl Tiegs (actors)</t>
  </si>
  <si>
    <t>Reviewed internet, neither parent/grandparent still in lime light. Son is not in limelight</t>
  </si>
  <si>
    <t>Bullard, Sharon</t>
  </si>
  <si>
    <t>Gulf Port</t>
  </si>
  <si>
    <t>Client purchased year ago, paid cash, no insurance since</t>
  </si>
  <si>
    <t>Declined due to length of time, reason for lapse</t>
  </si>
  <si>
    <t>Ran credit, decent (mid 600s), but 2011 bankruptcy (now discharged). Not comfortable with sudden desire for insurance</t>
  </si>
  <si>
    <t>Agt advised actually DP3, not DP1. Advised still OK to offer terms</t>
  </si>
  <si>
    <t>O'Fallon, Melissa</t>
  </si>
  <si>
    <t>Moses, Douglas &amp; Tina</t>
  </si>
  <si>
    <t>Winthrop</t>
  </si>
  <si>
    <t>Subject to $2500 AOP ded, animal liab excluded, and 15-20% surcharge (as quoted)</t>
  </si>
  <si>
    <t>Licensed for 12 kids, usually has 6-8 (1 overnight), CGL in place; Home was built in 1948 and updated in 2017 of frame construction.  PC6 with no alarms and no losses</t>
  </si>
  <si>
    <t>Approved subject to not offering day care program since &gt;5 kids, total business exclusion (w/discussion of limitations), and x-liability, and maintenance of CGL pol</t>
  </si>
  <si>
    <t xml:space="preserve">3 prior claims: 12/2015: Lost ring ($3K), theft of bike on vacay ($3K), Liab ($83K)-Dog was excited to see a neighbor, jumped on him. Elderly, broke hip </t>
  </si>
  <si>
    <t>JAMES NICHOLAS &amp; DAVID LYSINGE</t>
  </si>
  <si>
    <t>Santa Ysabel</t>
  </si>
  <si>
    <t>PC</t>
  </si>
  <si>
    <t>subject to appropriate brush clearance/surcharge; also home on 100 acres so need to be sure response time accounts for that. If doesn't, needs to let us know for reconsideration.</t>
  </si>
  <si>
    <t>Digiovanni, Gerard &amp; Audrey</t>
  </si>
  <si>
    <t>West Dennis</t>
  </si>
  <si>
    <t>2 units</t>
  </si>
  <si>
    <t>Policy written as DP3 w/2 units added together under Cov A. Appears unit 1 is seasonal w/rental and unit 2 is rental.</t>
  </si>
  <si>
    <t>Advised agt to write as HO3 w/ rental and add Cov B for 2nd unit. Rate as 2 family. If both are rental, no seasonal, DP3 w/Cov A unit 1, Cov B unit 2. Rate as 2 family.</t>
  </si>
  <si>
    <t>Alford, Joseph &amp; Dawn</t>
  </si>
  <si>
    <t xml:space="preserve">Issue with agents mail delivery. Pol renewed 5/31. Insd mailed payment 5/24. </t>
  </si>
  <si>
    <t>Ok w/ signed no loss letter.</t>
  </si>
  <si>
    <t>HO3 EVN2160000283</t>
  </si>
  <si>
    <t>Agency mis-typed eff date as 6/8, should have been 6/3.</t>
  </si>
  <si>
    <t>No signed no loss letter required since agency error.</t>
  </si>
  <si>
    <t>Subj to long list of items - see email. Need to ensure work is being done professionally. Excluding liab and mold until proof of cleanup is received. Figure if they don't do it right, we don't have any liability. // Per followup, cleanup not even assessed yet - declined.//6/9/17 - clean soil test, now 3 family. Approved.</t>
  </si>
  <si>
    <t>DelRosario, Eleano</t>
  </si>
  <si>
    <t>Laguna Hills</t>
  </si>
  <si>
    <t>Verify no prior decline/cancel/nrn</t>
  </si>
  <si>
    <t>1981 home w/ no updates, tile roof. Full alarms. No losses. App says canc/decl/nrn in last 3 years. Agents says not non-renewed.</t>
  </si>
  <si>
    <t>Leineke, Joel</t>
  </si>
  <si>
    <t>Bucks Lake</t>
  </si>
  <si>
    <t>New build so that is probably why RM won't pull. Ran neighboring property and it is in brush. Not accessible year round. PC10 w/15 min response.</t>
  </si>
  <si>
    <t>Additionally, prior cancel/nrn = yes on app. (not addressed w/agent)</t>
  </si>
  <si>
    <t>Rosenthal, James E</t>
  </si>
  <si>
    <t>Dayton</t>
  </si>
  <si>
    <t>1904 home updated. Insd operates Martial Arts studio in other structure. Coml policy in place. Online info re business ok. Looks like walkway goes along home to the back.</t>
  </si>
  <si>
    <t>Total business exclusion, exclude other structure.</t>
  </si>
  <si>
    <t>RJS Aspen LLC</t>
  </si>
  <si>
    <t xml:space="preserve">Aspen </t>
  </si>
  <si>
    <t>1987 home new purchase. Prev updated in 1994. Cosmetic renovations now and home will be sold. Pending Corp/LLC quest.</t>
  </si>
  <si>
    <t>Corp LLC Form</t>
  </si>
  <si>
    <t>Cacdac, Ricardo</t>
  </si>
  <si>
    <t>2002 home, insured just moved out to new home, this will be rented. Nice online photos.</t>
  </si>
  <si>
    <t>Keene</t>
  </si>
  <si>
    <r>
      <t xml:space="preserve">Trembush, Peter </t>
    </r>
    <r>
      <rPr>
        <b/>
        <sz val="11"/>
        <color theme="1"/>
        <rFont val="Calibri"/>
        <family val="2"/>
        <scheme val="minor"/>
      </rPr>
      <t>BWH103298</t>
    </r>
  </si>
  <si>
    <t>This renewal is being referred for response time of 25 minutes. This was discovered at inspection, but was not referred to Markel at that time.  Insd is a firefighter. Home looks like manufactured. Found 3 websites that list it as mobile/manufactured.</t>
  </si>
  <si>
    <t>Advised to check further and if this is a modular (not mobile/manufactured), since we've been on for a year, lower value, insd is a firefighter, would allow the exception. Need good proof this is modular. Advised manuf. on a foundation is not modular.</t>
  </si>
  <si>
    <t>Hotchkiss</t>
  </si>
  <si>
    <t>3rd COC renewal</t>
  </si>
  <si>
    <t>Insured has been w/Zurich for 2 years w/a builders risk.  There was an issue with excavating massive blocks of lava rock from the property.  No GC or funding issues. Just major excavation project.  The insured is just now getting underway with construction and Zurich is pulling the plug. Expect to be done in 9-12 months. Prem will be set competitively.</t>
  </si>
  <si>
    <t>Tribolet, John &amp; Gina</t>
  </si>
  <si>
    <t>Kentfield</t>
  </si>
  <si>
    <t>2016 home coming up for renewal, "contract department" not renewing. Insd needs 6 month pol to complete reno to interior plus the pool.</t>
  </si>
  <si>
    <t xml:space="preserve">Kharbouch, Karim </t>
  </si>
  <si>
    <t>Insured is recording artist French Montana.  Gated/guarded community w/ alarms. Agent suggesting okay with no liability.</t>
  </si>
  <si>
    <t>No liability; verify insur interest of AI noted on app.</t>
  </si>
  <si>
    <t>Cover, Jean &amp; Suzanne</t>
  </si>
  <si>
    <t>1974 home updated in 2010. In brush. 18 min response time. Visible to neighbors. Paid department. Pond on prem accessible to FD.</t>
  </si>
  <si>
    <t>Lower value, paid department, visible, brush cleared. 10% addl s/c.  Need WBS quest if there is one (photo appears to show a pipe)</t>
  </si>
  <si>
    <t>Sean</t>
  </si>
  <si>
    <t>Creative Development Assoc LLP</t>
  </si>
  <si>
    <t xml:space="preserve">Kingston </t>
  </si>
  <si>
    <t>1/2016 $200K pipe burst. Home was vacant at the time. Found when insd checked on it. 1999 home will now be tenant occupied.</t>
  </si>
  <si>
    <t>Additional surcharge for size of loss. (1999 home w/ plumbing loss seems to be a fluke). Also want completed app (uw questions); completed Corp/LLC form.</t>
  </si>
  <si>
    <t>Pina, Luis &amp; Virginia</t>
  </si>
  <si>
    <t xml:space="preserve">2008 home w/tile roof in brush. 12 min response time 7.6 mi to paid fire department. </t>
  </si>
  <si>
    <t>Rich, Ed</t>
  </si>
  <si>
    <t>1975 home that agent is unsure if it is mobile/manuf or modular. All evidence points to mobile/manuf.</t>
  </si>
  <si>
    <t>France, Kay</t>
  </si>
  <si>
    <t xml:space="preserve">1945 home w/all systems updated. Roof in 2015. </t>
  </si>
  <si>
    <t>Diehl, Jack</t>
  </si>
  <si>
    <t>Insured may be GC</t>
  </si>
  <si>
    <t>Agent reports that insured says they are the "owner/builder". However, they have hired a contractor to manage the construction project.  He is pulling permits and hiring subs. Isn't this a GC.</t>
  </si>
  <si>
    <t>Verify if there is anything in the contract between insd and the contractor that relieves the contractor of responsibility for subs and subrogation.  If not, we should be okay.</t>
  </si>
  <si>
    <t>Huff, Gary &amp; Ava</t>
  </si>
  <si>
    <t>Modesto</t>
  </si>
  <si>
    <t>Jeffery, Kirstin</t>
  </si>
  <si>
    <t>La Jolla</t>
  </si>
  <si>
    <t>1928 home: fully updated in 1996; 2006 (partial elec, plumbing, heating). Roof updated in 2016 with wood shingle.  1/16 water loss-roof leak $20K. 5/16 broken pipe $5K.  Not in a brush zone per RM. $5K water ded applied.</t>
  </si>
  <si>
    <t>2017 home with alarms. 4/26/16 insd son had 3 passengers on golf cart. Female fell off and fractured skull. Open loss. Insured still has the golf cart per app. Assume son still in hh-nothing to contrary stated.</t>
  </si>
  <si>
    <t>Approved excluding liability.  Insured business Huff Construction at a different location per internet search.</t>
  </si>
  <si>
    <t>Discussed w/Kirsten at length. Even if golf cart was gone, son is still there.</t>
  </si>
  <si>
    <t>Crevoiserat, Jeffrey</t>
  </si>
  <si>
    <t xml:space="preserve">Encino </t>
  </si>
  <si>
    <t>2016 frame home tenant occupied. $5K AOP; $10K VMM ded.</t>
  </si>
  <si>
    <t>Nesbitt, Jeremy &amp; Kara</t>
  </si>
  <si>
    <t xml:space="preserve">Georgetown </t>
  </si>
  <si>
    <t>Change PC?</t>
  </si>
  <si>
    <t>Letters included asking for change from PC9 to 4.</t>
  </si>
  <si>
    <t>Additional info needed.</t>
  </si>
  <si>
    <t>Barlow, Tim</t>
  </si>
  <si>
    <t>Equine exposure</t>
  </si>
  <si>
    <t>Insured boards horses, but the equine liability is insured with Markel.</t>
  </si>
  <si>
    <t xml:space="preserve">Insurance must stay with Markel. Offer void if it moves to another carrier. There are policy form exclusions and limitations to coverage for the barns. Advise insured accordingly. </t>
  </si>
  <si>
    <t>Langman, David</t>
  </si>
  <si>
    <t>1984 home /w 2005 roof. Not in brush. Alarms. DP3 app submitted but noted as owner occupied secondary. Insd is pres of a property management co. Online shows this property for rent.</t>
  </si>
  <si>
    <t>Offered with /10% s/c and pool exclusion.  6/14 A+ found $246,452 water loss 1 1/2 years ago at another location. Terms are on hold.  6/15-discussed w/Jeff. We agreed to approve w/a surcharge for the loss.</t>
  </si>
  <si>
    <t xml:space="preserve">  DP-1 w/no liability was the suggestion with other questions before terms could be approved.</t>
  </si>
  <si>
    <t>name/address of responding fire station, paid or volunteer, response time, all paved roads?  (Online photos show the home is visible to neighbors.)  6/15 Volunteer FD 5 min 1.7 mi paved.</t>
  </si>
  <si>
    <t>1 year Zurich policy expires in July for this builders risk which is for the retail agent's father. Will rewrite an annual HO3 policy.</t>
  </si>
  <si>
    <t>2007 home not in brush. Older inspection in file - all looks good.</t>
  </si>
  <si>
    <t>Brill, Eric &amp; Ana</t>
  </si>
  <si>
    <t>Tree limb on carport</t>
  </si>
  <si>
    <t>Can arborist supply a statement about the health, longevity, and how much the tree grows, along with other photos. Flat roof exception $5K ded if &lt;10 years.</t>
  </si>
  <si>
    <t>Guidelines in process of changing. This offer seemed closest based on our proposed changes.</t>
  </si>
  <si>
    <t>Cordano, James</t>
  </si>
  <si>
    <t>Carmel by the Sea</t>
  </si>
  <si>
    <t xml:space="preserve">1932 home fully updated. Recently renovated. Not in brush. Has c/s fire alarm only. </t>
  </si>
  <si>
    <t>Matheny, Zachary</t>
  </si>
  <si>
    <t xml:space="preserve">Agent wants ok to add AI which is family trust formed to purchase this property. Noticed online that risk has a flat roof. </t>
  </si>
  <si>
    <t>Flat roof surcharge</t>
  </si>
  <si>
    <t>Guerin, Michael</t>
  </si>
  <si>
    <t>2017 new build. CS Burglar, not fire per app. Not all uw questions answered. PPC is 4, but there are alternatives and app says 5 mi to FD.</t>
  </si>
  <si>
    <t>Subjectivities will be installation of a central station fire alarm (app says it is just local), and all uw questions on the app completed.  Advised agt of $5M max. Asked for FD name and address.</t>
  </si>
  <si>
    <t>McNeil, Justine</t>
  </si>
  <si>
    <t>Roof is new. We don't have revised guidelines yet but I have been offering $5K water ded if roof replaced in last 10 years.</t>
  </si>
  <si>
    <t>$5K ded. Very nice neighborhood per Tamika.</t>
  </si>
  <si>
    <t>FD is 2.6 miles away. Drive map in file.</t>
  </si>
  <si>
    <t xml:space="preserve"> Anderholt Trust LLC</t>
  </si>
  <si>
    <t>Mountain Center</t>
  </si>
  <si>
    <t xml:space="preserve">2005 home in brush, CS burglar only. Stable on prop per insp. </t>
  </si>
  <si>
    <t>Steele, Evan &amp; Shari</t>
  </si>
  <si>
    <t>Saddle River</t>
  </si>
  <si>
    <t>New builders risk, not coastal.  COI and  builders risk app in file ok.</t>
  </si>
  <si>
    <t>Tobia-Fasulo, Gaye</t>
  </si>
  <si>
    <t xml:space="preserve">West Orange </t>
  </si>
  <si>
    <t>2013 $600+K fire loss. During rebuild, pipes were stolen in 2015. Then agent said insured couldn't get ins for 5 years after a fire.  Home now rebuilt. Online photos look good.</t>
  </si>
  <si>
    <t>No loss statement, fire marshal report, discuss pricing w/Lisa.</t>
  </si>
  <si>
    <t>Kurkian, Margaret</t>
  </si>
  <si>
    <t>1996 home prev w/Lex, agt wants to move. Small amount of jewelry and silver will be scheduled.</t>
  </si>
  <si>
    <t>Confirm if pp is scheduled of they are insuring under Incr Special Limits form.</t>
  </si>
  <si>
    <t>Insured is in the process of evicting her sister after a Trust lawsuit settlement gave her this home that her sister had been occupying. Sister was hiding assets from family trust. Insd lives in Japan. Attorney is handling checking on the home and selling it.  They will get their payment from the proceeds of the sale. Expect a 6 month policy. 1968 home w/updates. Alarms. Good agent. Sister to be out 6/20; insured taking ownership 6/27. Was primary residence of sister insured w/Chubb 6/2/17-6/2/18. Lawsuit actually settled in 2013 for $10M. It has taken this time to sort things out. Property will go up for sale on 6/27.</t>
  </si>
  <si>
    <t>Kagen, Karen &amp; Michael</t>
  </si>
  <si>
    <t>1952 home w/all systems updated. New plumbing pipes in 2014 after HWT flooded home. Burglary in 7/16 $4417. This is an important agent for Alison. Farmers nonrenewed</t>
  </si>
  <si>
    <t>HO3 Seasonal w/rental</t>
  </si>
  <si>
    <t>Jim Thorpe</t>
  </si>
  <si>
    <t>Step hazard</t>
  </si>
  <si>
    <t>Rear wall behind home has steps on it with inadequate railing. Historic section built by Army Corps of Engineers</t>
  </si>
  <si>
    <t>San Joaquin</t>
  </si>
  <si>
    <t>Insured owns this rental home in many partner names but it is strictly used as a rental for long term tenants. No business on property.</t>
  </si>
  <si>
    <t>Wolff, Gregory &amp; Tonya</t>
  </si>
  <si>
    <t>Barna-Dowling, Heather</t>
  </si>
  <si>
    <t>Legionarios Del Trabajo</t>
  </si>
  <si>
    <t xml:space="preserve">Insured has the loan for the property split up between 3 different IRA's who hold different portions of ownership. </t>
  </si>
  <si>
    <t>This looks like financial management vs. financial crisis.</t>
  </si>
  <si>
    <t>Advised plumbing and water loss are okay. Need info on theft to determine what they did to mitigate or if special terms are needed. 6/20-loss was break in to car at gym</t>
  </si>
  <si>
    <t>Approved per guidelines, ok to clear to property line. Advised to call FD or Cal Fire to report. Also some ? From app that don't have explanations.//No animals. Roof is not flat=slight slope. Reno from prev fire. Almost rebuilt. Sent new questions about the prior loss.//6/20 all info received and okay.</t>
  </si>
  <si>
    <t>Arms  RUA18452</t>
  </si>
  <si>
    <t>Estate sale</t>
  </si>
  <si>
    <t xml:space="preserve">Estate sale being held at this property for 3 days. Company running the sale has liab ins. </t>
  </si>
  <si>
    <t>Nothing in pol language that excludes coverage.</t>
  </si>
  <si>
    <t>Mortazavi HUCAH 150000729</t>
  </si>
  <si>
    <t>ID Fraud</t>
  </si>
  <si>
    <t>Can ID Fraud be added to a Builders Risk?</t>
  </si>
  <si>
    <t>This is more personal than risk related. Don't see a reason not to add.</t>
  </si>
  <si>
    <t>Echo Lake</t>
  </si>
  <si>
    <t>Inaccessible year round</t>
  </si>
  <si>
    <t>1944 home updated, not in brush. No PC Quest. Inaccessible year round.</t>
  </si>
  <si>
    <t xml:space="preserve">• Acceptable PCQ showing response time meets 15 minute criteria.  (Due to lower value, we are okay with an inaccessible period, also not in brush)  10% s/c for inaccessibility
• Confirmation home is winterized when not in use
• Steps in photo need a railing added
</t>
  </si>
  <si>
    <t>Mitchell, Tift</t>
  </si>
  <si>
    <t>DP1 Vacant Builders Risk</t>
  </si>
  <si>
    <t>1872 year built</t>
  </si>
  <si>
    <t>DP1 vacant rating</t>
  </si>
  <si>
    <t xml:space="preserve">Came in on an HO3 app. </t>
  </si>
  <si>
    <t>2016 home w/ metal roof. Agent says 2006 flat roof. Clarified it is 2016. Insp says flat.</t>
  </si>
  <si>
    <t>$5K ded approved - looks like very nice home!</t>
  </si>
  <si>
    <t>Extend COC</t>
  </si>
  <si>
    <t>Dauphinias, William  HUCAH1510000558</t>
  </si>
  <si>
    <t xml:space="preserve">Insured received a 1 month extension from us past 1 year. They recently were getting ready to get occupancy permit and the sprinklers malfunctioned causing a flood loss to 2 of 3 floors. GC is going after sub for damage and system repair. Need additional time. </t>
  </si>
  <si>
    <t>Issue 1 year term eff 7/2/17 with ability to pro-rate cancellation.</t>
  </si>
  <si>
    <t>Rosenblum, Michael</t>
  </si>
  <si>
    <t>Culver City</t>
  </si>
  <si>
    <t>New COC</t>
  </si>
  <si>
    <t>Was with admitted carrier who discovered construction and got off the risk. Alison wasn't sure if this was "mid-term renovation".</t>
  </si>
  <si>
    <t>Advised these do not need to be submitted. We are concerned with ones where a carrier gets off due to bad risk, or it goes beyond a year. Ok'd her approving these with 10% s/c.</t>
  </si>
  <si>
    <t>Chackel, David</t>
  </si>
  <si>
    <t>Bobbi checking on why it is taking more than a year - any concerns? 6/20 - ground up construction taking longer. No issues. 3 months to wrap up. 2 horses will move in-personal use.  15% s/c</t>
  </si>
  <si>
    <t>Nishiuchi, Meri</t>
  </si>
  <si>
    <t>Willis, Nelson</t>
  </si>
  <si>
    <t>1949 home updated. No alarms. Guest house rented out to long term tenant. App says WBS. In brush.</t>
  </si>
  <si>
    <t xml:space="preserve">• Confirmation of whether there is a woodburning stove, and if so, complete and acceptable questionnaire is required
• EHP supplement - we will review RC on back end (per procedures)
• Addition of central station fire and burglar alarms, or information explaining protection and why they would not be necessary.  This looks somewhat rural.  We typically like to see alarms for $2M TIV and above, or explanation why they are not needed.
</t>
  </si>
  <si>
    <t>Dipesa, Susant</t>
  </si>
  <si>
    <t>Scituate</t>
  </si>
  <si>
    <t>Home will be raised, addition removed, interior rebuilt. Not moving to another location. Contractor is insured.</t>
  </si>
  <si>
    <t xml:space="preserve">10% s/c for raising. Asked for info and s/c on 1/27/15 loss on app - wind driven rain. No detail. </t>
  </si>
  <si>
    <t>6/20-branch asked for 10% credit - declined as this is CA brush zone, PC9, 13 min response.</t>
  </si>
  <si>
    <t>6/20 Now has CS fire too. LLC form ok. 2 horses-personal only. Signed statement of no loss in file.</t>
  </si>
  <si>
    <t>Niemi, Nathan</t>
  </si>
  <si>
    <t>Ann Arbor</t>
  </si>
  <si>
    <t>Replace foundation</t>
  </si>
  <si>
    <t xml:space="preserve">1939 home will be updated during reno. Adding 1200 SF addn and replace foundation. </t>
  </si>
  <si>
    <t>1. Need construction site to be lighted and fenced. Replacing foundation could involve open hole? If they can't do this, offer X-liability  2. App says prior cancel because of "remold". Thinking they mean remodel, but want to make sure this isn't a comment about mold.</t>
  </si>
  <si>
    <t>Gary Ruel Trust</t>
  </si>
  <si>
    <t>Family left home to adult child in name of trust.  Individual is disabled. Brother of individual has trust in his name and he is caretaker for home. Okay to write HO-3.</t>
  </si>
  <si>
    <t>Owner occupied situation. Home taken care of by family member.</t>
  </si>
  <si>
    <t>Bolin Spruce Way LLC</t>
  </si>
  <si>
    <t>Duplex where one side is finished and up for sale, other still under construction and will be up for sale.  LLC for asset protection.</t>
  </si>
  <si>
    <t>Remove non-historic steps, or put an adequate barrier and sign to deter access.// 6/21 reviewed photo and asked for more photos.</t>
  </si>
  <si>
    <t>Wauhtal, David Paul</t>
  </si>
  <si>
    <t>Wichita</t>
  </si>
  <si>
    <t>Meets UW guidelines.</t>
  </si>
  <si>
    <t>Insured moving a 1 chair beauty shop into her home. 40-65 clients/month. InHome Business program with $10K property. Has a GL in place. 1916 home updated. Nice online photos.</t>
  </si>
  <si>
    <t>Add c/s theft, Trust/LLC form, confirm no rental (insured is real est developer per online search)//Lowered Coverages. No rental, added cs theft alarm</t>
  </si>
  <si>
    <t>Wagner, Eric</t>
  </si>
  <si>
    <t>15% credit</t>
  </si>
  <si>
    <t>1994 home w/roof updated in 2010. On 8 acres. PC9. FD 2.5 miles away. Volunteer and paid both. 8 min response time. In brush zone. Has woodburning stove. Agent wants to apply 15% credit to meet competitor.</t>
  </si>
  <si>
    <t>Risk is acceptable with WBS quest. However since PC9 and in brush, we cannot approve any credit.</t>
  </si>
  <si>
    <t>Sent cc to Danielle.</t>
  </si>
  <si>
    <t>Apex Investments LLC</t>
  </si>
  <si>
    <t>New build (flat roof $10K ded). 3 months left to do interior work only and then 3 months to sell. Insd wants 6 mo policy. Const started 1/21/14 per app. Not in brush.</t>
  </si>
  <si>
    <t>Devista LLC</t>
  </si>
  <si>
    <t>New flat roof. Can we go with $5K ded?</t>
  </si>
  <si>
    <t>Home for sale. Photo in file. Very nice. Brand new renovation - new roof.</t>
  </si>
  <si>
    <t>Is there a reason they need to move from their current carrier?  Is this another situation where the current carrier wants to write an annual policy and they only want a 6 month policy?   Could you please share the current renewal pricing?  A Homeowners app was submitted.  Would risk be written as an HO-3 Builders Risk or a DP-3?  Could we find out why construction has taken so long?  Leaning toward declining. Subj are completed app and big surcharge.  // 6/21 current insurer is nonrenewing due to 2 terms-won't offer 3rd. Agreed subj to complete app and match expiring. Prior carrier wrote for $16,509 for a year. Agent quoted us at $9,384 for a year.  76% surcharge.</t>
  </si>
  <si>
    <t>Skibaum LLC</t>
  </si>
  <si>
    <t>1995 home undergoing $650K renovations. IN LLC name. Few days of no coverage due to paying cash. Wants a $25K ded rate too.</t>
  </si>
  <si>
    <t>Gross, Jack</t>
  </si>
  <si>
    <t>10% surcharge for unique/custom. (Open to discuss if this kicks us out of being competitive. It is a nice home.)</t>
  </si>
  <si>
    <t>1992 home updated. Full alarms. $10K ded; 2% wind/hail ded. Online photos show a very unique/custom home built by renowned builder.  Don't see any flat roof. Home is vacant and for sale.</t>
  </si>
  <si>
    <t>Get LLC form and signed no loss. Online pics look good. App has water backup, but agt did not quote during construction. Got $25K factor/credit from Bethany.  .82. Add 4% credit to the 10K rate</t>
  </si>
  <si>
    <r>
      <t xml:space="preserve">Discussed security required - </t>
    </r>
    <r>
      <rPr>
        <strike/>
        <sz val="10"/>
        <color theme="1"/>
        <rFont val="Calibri"/>
        <family val="2"/>
        <scheme val="minor"/>
      </rPr>
      <t xml:space="preserve">need camera and water flow sensors added to central station. </t>
    </r>
    <r>
      <rPr>
        <sz val="10"/>
        <color theme="1"/>
        <rFont val="Calibri"/>
        <family val="2"/>
        <scheme val="minor"/>
      </rPr>
      <t xml:space="preserve">Need info on sister's state of mind and how the eviction will play out. Require inspection prior to effective date to confirm no damage. Surcharge 20%. Add existing damage exclusion. Require attorney to inspect bi-weekly for 1 month, then weekly. </t>
    </r>
    <r>
      <rPr>
        <strike/>
        <sz val="10"/>
        <color theme="1"/>
        <rFont val="Calibri"/>
        <family val="2"/>
        <scheme val="minor"/>
      </rPr>
      <t xml:space="preserve">Consider requiring insured realtor to be present at all house showings. (to ensure sister doesn't come in, and house is secured after showings.)  </t>
    </r>
    <r>
      <rPr>
        <sz val="10"/>
        <color theme="1"/>
        <rFont val="Calibri"/>
        <family val="2"/>
        <scheme val="minor"/>
      </rPr>
      <t>Main concern is whether sister will damage the house. How can we protect as much as possible.  //  6/19/17 Mother lives in Taiwan. Niece currently occupies home but has found place to live and is leaving voluntarily. Sounds like little/no worry about anyone damaging the home. Struck out requirements above that we will no longer ask for based on new info. // Attorneys can't get into home until after 6/27. Agreed they can inspect and take photos then (post tenant move out).</t>
    </r>
  </si>
  <si>
    <t>LLC form.  .21 pricing - asked her to take a look at it.  Usually like to add 10% for tail end.  //  6/22 contractor has carried no insurance! Suggested 12% surcharge which brings prem in just below $6K.</t>
  </si>
  <si>
    <t>Trevithick, Karla</t>
  </si>
  <si>
    <t>DP1 Other Structure</t>
  </si>
  <si>
    <t>Hayden</t>
  </si>
  <si>
    <t>2016 masonry structure only. 14 min response time. FD is 5.8 miles away. Not paved but accessible, visible. Pond freezes over but there are tankers and a well.</t>
  </si>
  <si>
    <t>Diving board</t>
  </si>
  <si>
    <t>Risk has a diving board per inspection. Agent wants to know if there is a pool exclusion.</t>
  </si>
  <si>
    <t>Must send cancellation unless diving board can be removed.  No pool excl and can't exclude liab.</t>
  </si>
  <si>
    <t>1980 home w/updates. No alarms - agt quoted $10K ded. Not in brush. PPC says 4 with alternatives. App says 9; 5 miles to FD. Hydrant. Agt quoted 4.</t>
  </si>
  <si>
    <t>I want to verify PC to approve final terms. Asked for name &amp; addr of responding FD. If after hours (which is in 30 min), Lisa can review and approve.</t>
  </si>
  <si>
    <t>Voorhees, Bert</t>
  </si>
  <si>
    <t>Tibuk, Kerem &amp; Duygu</t>
  </si>
  <si>
    <t>Tujunga</t>
  </si>
  <si>
    <t>PC10 with 20 min response, but automatic aid in place w/ FD w/8min response. Concrete wall home w/ glass roof.</t>
  </si>
  <si>
    <t>Pokrajac, Steven &amp; Cori</t>
  </si>
  <si>
    <t>Monrovia</t>
  </si>
  <si>
    <t>1992 home, nice online photos. Open claim due to neighbor blaming insured and other defendants for a mudslide. We should not have any exposure with this open loss.  Issues that caused the mudslide have been fixed. Excellent account for 10 years w/retailer.</t>
  </si>
  <si>
    <t>Keep rates not too far off expiring.</t>
  </si>
  <si>
    <t>Lester, Angela &amp; Morrow, Brett</t>
  </si>
  <si>
    <t>Doylestown</t>
  </si>
  <si>
    <t>Northeast Real Holdings LLC</t>
  </si>
  <si>
    <t xml:space="preserve">Insured has a signmaking business next door to primary dwelling. Separate address, GL. There is a front room in his dwelling that he uses as a mini showroom. 5 customers a week on average. Insd doesn't know if GL extends. </t>
  </si>
  <si>
    <t>Approved X-liability.  Don't see need to add Total Business Exclusion because there really isn't a physical damage exposure with the public traffic.</t>
  </si>
  <si>
    <t>If all checks out, agent will offer builders risk with personal property and high theft deductible.</t>
  </si>
  <si>
    <t>This is a builders risk which has damage still under repair from loss in 2016. Agent to determine extent of damage/repair left. 5/31/16 elec stove fire $57K; during clean up there was a theft $0 paid jewelry - didn't meet deductible and wasn't scheduled. 7/25/16 lightning $3800.</t>
  </si>
  <si>
    <t>IM to Jeff. EM to agent - how does the risk fit w/ISO's auto aid criteria? Discussed. Decided if ISO recognized, PC would be lower. Safe bet is to decline.</t>
  </si>
  <si>
    <t>New build that Hull has insured as a BR for a year. Needs 6 months more to complete. With Lex.60% complete - need to install drywall, elec, plumbing. 2nd insd and contractor are both Brett Morrow. Per Mackenzie, this is an error. The contractor is Unique Construction.</t>
  </si>
  <si>
    <t>Sassounian, Farhad &amp; Shilla</t>
  </si>
  <si>
    <t>8/25/12 $81K water loss due to filter under sink leaking when no one was home. 1967 home updated in 98. Unsure if galvanized.</t>
  </si>
  <si>
    <t>Did no review full submission.  Agent applying $10,000 water damage ded.</t>
  </si>
  <si>
    <t>Parents are buying home for their daughter (agt getting details of age and situation). Should this be DP3 rental or HO3 and include daughters name</t>
  </si>
  <si>
    <t>Discussed situation is case by case. In this case, sounds like owner occupied situation. Agt to verify if college student, special needs, etc and add subjectivities accordingly.  Pol language supports "family members" as named insureds.</t>
  </si>
  <si>
    <t>Wagner, Edna</t>
  </si>
  <si>
    <t>Greensburg</t>
  </si>
  <si>
    <t>Commercial property adjacent</t>
  </si>
  <si>
    <t>This is a row house between 2 commercial businesses. Prior vandalism 2015 $1400. Water from fridge 2015 $3000.</t>
  </si>
  <si>
    <t>Lafayette Scott Street LLC</t>
  </si>
  <si>
    <t>DP1 Builders Risk</t>
  </si>
  <si>
    <t>1908 build. Waiting for permits and will be renovated. Fire fighter injured on the property when a stair broke.</t>
  </si>
  <si>
    <t xml:space="preserve">Prev submitted by Hull with a B&amp;W inspection on 5/11/17. We declined due to condition. </t>
  </si>
  <si>
    <t>Walper, Tom</t>
  </si>
  <si>
    <t>Insured as GC</t>
  </si>
  <si>
    <t>1974 risk w/updates. Roof exclusion applies until replaced. 6 month reno expected. Insured is GC hiring licensed subs.</t>
  </si>
  <si>
    <t>Kellerhouse</t>
  </si>
  <si>
    <t>Pullman, Bryan</t>
  </si>
  <si>
    <t>Farming on premises</t>
  </si>
  <si>
    <t>Minor renovation left</t>
  </si>
  <si>
    <t>Was a COC for 6 months then rewritten, but insured/contractor had some interior work left and new carrier was not happy and got off the risk. All that remains now is paint and a few fixtures on ground floor. They will be "finishing" the attic with drywall, floor and paint.  Didn't feel this was more that an average homeowner may do. Plumbing and wiring is complete.  (Even if some attic wiring is done, at least insured is a elec contractor.)</t>
  </si>
  <si>
    <t>6/26/17 terms revised from $2,940,000 TIV to $2,390,000. Approve.</t>
  </si>
  <si>
    <t>Current guidelines allow insured as GC if liability is excluded. Approved this and advised new guidelines will be sent.  2nd request to consider and I stuck to the answer. No liability.</t>
  </si>
  <si>
    <t>KNCT Castle Rock Lake Properties</t>
  </si>
  <si>
    <t>Mauston</t>
  </si>
  <si>
    <t>PC10 Not accessible year round</t>
  </si>
  <si>
    <t>2008 log home.  Nice online photos. FD is volunteer. 10.5 miles away. 16-20 min drive time. Not accessible year round. Alarms. VMGA rate .35.</t>
  </si>
  <si>
    <t xml:space="preserve">Vacant  </t>
  </si>
  <si>
    <t>2017 risk new purchase currently vacant. Beautiful online photos. 10% surcharge added by agent. 2nd home for the insured.</t>
  </si>
  <si>
    <t>Spalding, William &amp; Stephanie</t>
  </si>
  <si>
    <t>Phillips, Jacqueline</t>
  </si>
  <si>
    <t>Robertsville</t>
  </si>
  <si>
    <t>Originally agent excluded liability due to animals on the property. Then they were told there was a B&amp;B. Approval sought. My google search revealed this is a full blown event venue with events open to the public and tickets on Eventbrite for some events. It is a B&amp;B also. Online show possibility for a runway on the property. On and off for sale since 2012. (Moral hazard)</t>
  </si>
  <si>
    <t>Relayed all URL's showing these various events.  This is too much for a homeowners policy.</t>
  </si>
  <si>
    <t>Approved with 110% s/c (2.10 factor) .73 rate. Per Danielle recently, competitors charge .60-.80 for high response time/inaccessible</t>
  </si>
  <si>
    <t>Reviewed w/Jeff, he's okay with doing it.</t>
  </si>
  <si>
    <t>Khandabi, Moussa</t>
  </si>
  <si>
    <t>2001 rental home with alarms. Previously quoted - increase in Cov A over last year - insd thought underinsured.  May not use alarms. Agent quoting 2 ded.</t>
  </si>
  <si>
    <t>Online photos - possible flat roof. If updated in 15 years, allow $5K ded if they have c/s alarms. Otherwise $10K ded.</t>
  </si>
  <si>
    <t>What are the neighboring businesses? Details on vandalism?//6/27. Businesses sound fine and insd has installed lighted (theft of copper from AC unit)</t>
  </si>
  <si>
    <t>Goodwyn, Dora A</t>
  </si>
  <si>
    <t>Church Road</t>
  </si>
  <si>
    <t>1968 home updated. No detail on PC10.</t>
  </si>
  <si>
    <t>Asked for name/addr of FD, response, paid/volunteer, etc.</t>
  </si>
  <si>
    <t>Reinking, Darrell</t>
  </si>
  <si>
    <t>Suffolk</t>
  </si>
  <si>
    <t>1978 home updated in 2000. No detail on PC10.</t>
  </si>
  <si>
    <t xml:space="preserve">2016 home not in brush no alarms. Approved same risk for another retailer of Burns on 6/14/17. </t>
  </si>
  <si>
    <t>Akhtar, Gurinder</t>
  </si>
  <si>
    <t>Beaumont</t>
  </si>
  <si>
    <t>New build started in 2/2017; will be completed 12/2017.65% done. Roof, floor, cabinets, paint left.</t>
  </si>
  <si>
    <t>Where currently insured, why moving? Risk was uninsured. Thought builder took care of it.</t>
  </si>
  <si>
    <t>Brenlar LLC</t>
  </si>
  <si>
    <t>The Sea Ranch</t>
  </si>
  <si>
    <t>2005 w/$10K ded. Metal roof. Not in brush. Alarms. Looks clean.</t>
  </si>
  <si>
    <t>McCool, Adria</t>
  </si>
  <si>
    <t>2017 home (replaced bungalow showing in online photos). No alarms but $10K AOP quoted. App UW questions blank</t>
  </si>
  <si>
    <t>completed app</t>
  </si>
  <si>
    <t>Kelley, Stanley</t>
  </si>
  <si>
    <t>Oaklyn</t>
  </si>
  <si>
    <t>Electrical condition</t>
  </si>
  <si>
    <t>Retired physician owns 2 family home. Online pics look okay. There is one circuit of knob &amp; tube wiring. Contractor removing 2nd week of July. 1945 home w/ updates.</t>
  </si>
  <si>
    <t>Nervo, Miriam</t>
  </si>
  <si>
    <t>Nonrenewal</t>
  </si>
  <si>
    <t>Lloyds is nonrenewing for losses.  Any questions? 1925 home updated owned by high profile EDM DJ pair. Leaking pipe loss and suit by prior tenant for them not fixing known electrical issue.</t>
  </si>
  <si>
    <t>Has an electrician deemed the existing knob/tube safe until they can get out there?  Is it an active circuit?  What circuit is it?  Is that circuit currently in use? What is running off or connected to the circuit?  Other than the knob/tube, is there an updated breaker box?  Any idea when that was updated?  Any fuses?// Replacing many outlets &amp; switches, plus breaker panel is Zinsco (fire hazard)</t>
  </si>
  <si>
    <t>White, Scott</t>
  </si>
  <si>
    <t>Fishers</t>
  </si>
  <si>
    <t>2002 home w/ alarms. New purchase. Good online photos. Insd is property management co owner.</t>
  </si>
  <si>
    <t>Brown, Edward J &amp; Deborah Ann</t>
  </si>
  <si>
    <t>Coto De Caza</t>
  </si>
  <si>
    <t xml:space="preserve">subject to 
• 150’ brush clearance.  Rater says &lt;150’, maybe that is just for rating purposes.  In CA, we are strict about the 150’ clearance.
• Please ask about horses and horse exposure, riding lessons, breeding, boarding:  https://www.zillow.com/homedetails/30861-Via-Colinas-Coto-De-Caza-CA-92679/25617343_zpid/.  Depending on number of horses and activity, we may have to revise terms.
• Please also ask about a vineyard – Zillow states 1600 vines.  Do they still have them?  Any sales, tasting, hiring someone to maintain, leasing to someone to maintain?  We may need to do some additional underwriting or add a total business exclusion.
</t>
  </si>
  <si>
    <t>Johnson, Meredith M</t>
  </si>
  <si>
    <t>Fishlake</t>
  </si>
  <si>
    <t>not within 20 mi of an active fire. Resolve Y answer to "Any brush, flood, forest fire, landslide"</t>
  </si>
  <si>
    <t>1944 home updated in 2014. No alarms. 30-40 min response, not accessible. Zip 84701 not on moratorium list. Y answer to UW question on app.  .74 pricing. $2500 ded. Notes say excellent condition and no woodstove.</t>
  </si>
  <si>
    <t>De LaGarza, Dolores</t>
  </si>
  <si>
    <t xml:space="preserve">Laredo </t>
  </si>
  <si>
    <t>Seasonal 2016 home on rear, front home is duplex rented long/short term. Photo condition looks good. Rail missing on rental home deck. Was with Fair Plan.</t>
  </si>
  <si>
    <t xml:space="preserve">You are approved to release terms with a 50% surcharge on the $1000 rate for a total premium of $1500, subject to:
• Confirmation that the reason the risk was with Fair Plan was due to coastal exposure and not condition or other concern.
• Front rental home upper level deck appears to be missing a large section of railing.  This must be repaired immediately and proof provided to you.
</t>
  </si>
  <si>
    <t>Casey, Michael</t>
  </si>
  <si>
    <t>Oregon House</t>
  </si>
  <si>
    <t>Off grid</t>
  </si>
  <si>
    <t xml:space="preserve">Business is at a separate location.  Subject to:
• Completed and acceptable woodburning stove questionnaire
• Confirmation of 150' brush clearance
• Confirmation that the home is winterized with pipes drained when not in use.  This is in an area that is subject to freezing temps.  One concern with off grid homes is the ability to maintain heat when no one is there.
• I would like to see if you can apply a 5-10% surcharge (based on competitive position) due to the additional exposure
</t>
  </si>
  <si>
    <t>2009 home w/log siding. Nice photos provided. 1592 SF. Runs off solar and backup batteries. Prim heat is gas forced air w/woodstove. Photo looks ok. In brush. Insd owns pest control business. FD 2.2 miles away. New purchase.</t>
  </si>
  <si>
    <t>La Puesta LLC</t>
  </si>
  <si>
    <t>Big Sur</t>
  </si>
  <si>
    <t>Location address</t>
  </si>
  <si>
    <t>HO3 Seasonal w/Rental and Builders Risk</t>
  </si>
  <si>
    <t xml:space="preserve">1977 home with updates. Location address is vague. On water side of PCH, Hwy 1 near Rocky Creek Bridge.  Prof appraisal uses this address as did the MLS. Only house in the vicinity. 2 FD's are within 15 min response. 5.5 mi and 9 mi away. In LLC with one member. 60 day COC - roof, cabinets, floor, heat, paint, fence by  GC.  Write as COC, endorse to 2nd/rent when done. Flat roof-$5K water damage ded (new). Home is completely visible from the street and the bridge location. Would be easy for FD to identify. </t>
  </si>
  <si>
    <t>Liability coverage</t>
  </si>
  <si>
    <t xml:space="preserve">Insured is living in home during renovation and wants CPL and med pay. There is an exposure w/the workers. </t>
  </si>
  <si>
    <t>We should go after Workers Comp is there is an injury. Insured living in their home needs this coverage.  Med Pay is limited to $5000 even if it did come back on us. Okay with the standard coverages.</t>
  </si>
  <si>
    <t>Fioravanti</t>
  </si>
  <si>
    <t>There was a PAF loss at prior property.  PAF is on a stand alone policy. They believe babysitter took jewelry - 2016 mysterious disappearance loss. Should this be charged?</t>
  </si>
  <si>
    <t>Yes. It is a reflection on the insured's history and should be charged.</t>
  </si>
  <si>
    <t>Craig</t>
  </si>
  <si>
    <t>Told Craig if there is a good story we can consider. Otherwise we wish to pass.</t>
  </si>
  <si>
    <t>We approved risk w/lapse 6 weeks ago.  Coverage was not pursued and now they want to bind.</t>
  </si>
  <si>
    <t>Discussed w/Tim</t>
  </si>
  <si>
    <t>Subject to written confirmation from the FD that they can locate this address. Rate as PC10. Confirmation of response time. Assuming non brush location. If &gt;15 minute response time discuss additional surcharge.//6/29 Retailer spoke to FD, fully documented. This is PC9, 15 min response. no problem finding the home. Sent approval</t>
  </si>
  <si>
    <t>Johnson, Boyd</t>
  </si>
  <si>
    <t>1976 home w/ some updates. Shares address with another individual who has a home on the property. They both own land, but structures owned individually.</t>
  </si>
  <si>
    <t xml:space="preserve">• Rush inspection to confirm condition and upkeep
• Verify no business conducted on the premises.  I found this for Jon Klingelhofer:  https://www.google.com/#q=jon+klingelhofer+construction+nv&amp;spf=1498773224669  Since they are sharing the same address, we need to be clear on the exposure to determine if there is any concern about our insured's section of the property.
• Your note says plumbing and roof are updated, but the app says heating and plumbing.  If that is the case we would need to apply the roof exclusion to this 41 year old roof.
• With off grid homes, one of our concerns is freezing pipes if the insured is away.  What precautions do they follow to ensure pipes do nto freeze?
• Complete and acceptable woodburning stove application
• Could you please tell me the current pricing?  We will want to apply a surcharge for the additional exposures of sharing the property with others, possible overlapping coverage, and off grid systems.
</t>
  </si>
  <si>
    <t>Solaris Property Group LLC  BWD104421</t>
  </si>
  <si>
    <t>This is a Markel renewal that did not get referred at NB.  2004 masonry home. 4/1/15 wind/hail $30K. Roof replace. Inspection in file.  2 electrical hazards identified in photos that were not listed as recs. Tape over breakers in one panel, no panel cover on another.  There are 3 panels.</t>
  </si>
  <si>
    <t>LLC form in file. Get electrical hazards corrected.</t>
  </si>
  <si>
    <t>Sent duplicate submission info to Danielle. Approved subj to conf of year built. Noticed some online sources show this as 1926. Did not see that before.  6/30/17 asked to put in name of LLC. Form ok, approved.</t>
  </si>
  <si>
    <t>Kirkland</t>
  </si>
  <si>
    <t>Motorhome on property</t>
  </si>
  <si>
    <t>Insured is living in a motor home on the 20 acre property during construction. Do we have any concern with premises liability. Ground up construction of home at the front, motor home is at the back.</t>
  </si>
  <si>
    <t>Gerson</t>
  </si>
  <si>
    <t>TIV/Flat roof</t>
  </si>
  <si>
    <t>1994 home. Roof is flat and original. Beautiful Malibu beach home. $5K AOP deductible.</t>
  </si>
  <si>
    <t>Carbondale</t>
  </si>
  <si>
    <t>TIV/Prior loss</t>
  </si>
  <si>
    <t>This is a Markel renewal that did not get referred at NB.  2003 home with alarms. Caretaker home appears to be insured but app says separate property address. Insp shows water damage in basement. No note if this is repaired. Prior loss was to caretaker home $140K water damage. (Utilities not turned on in error - insd didn't realize it was a separate addr.)</t>
  </si>
  <si>
    <t>Brown, Charles BWH104677</t>
  </si>
  <si>
    <t>Wall, William &amp; Teresa</t>
  </si>
  <si>
    <t>Irving</t>
  </si>
  <si>
    <t xml:space="preserve">• Add the Total Business Exclusion form
• Add a Building Exclusion for specifically listing any structures on the property that are used and/or insured commercially
• Obtain information on the 2012 roof claim noted on the app - what happened? What was the total amount of damage?  Have all repairs been made?  (This is outside the surcharge period, but we still want to know.)
</t>
  </si>
  <si>
    <t>1962 home w/updates. Insd has Cool 2 Inc. business on property. House is fenced off. No foot traffic. 4 employees. They rent out tents, tables, equipment, generators for events. Reviewed aerial photo of property and business website online. 2012 roof loss noted on app - no detail.</t>
  </si>
  <si>
    <t>Follett, Kelly</t>
  </si>
  <si>
    <t>Olympic Valley</t>
  </si>
  <si>
    <t>Secondary home, 2017  build, in brush, PC 2, hydrant w/1000 feet, no losses</t>
  </si>
  <si>
    <t>acceptable brush clearance, no losses, and confirmation of occupancy (app says occupied daily)</t>
  </si>
  <si>
    <t>Approved increase of coverage B to $674,190 for: detached garage, rv storage garage, tool garage; subject to all being personal usage</t>
  </si>
  <si>
    <t>Nikoletta LLC</t>
  </si>
  <si>
    <t>Wells</t>
  </si>
  <si>
    <t>2015 home in Maine. Agent wants earthquake. We only have it in SC.</t>
  </si>
  <si>
    <t>Risk okay, but can't add earthquake for one risk.</t>
  </si>
  <si>
    <t xml:space="preserve">ADDL QUESTIONS IF WE DID FOR SOME REASON MOVE FOREWARD:  How did the loss occur?  What was the total amount of damage?  What steps have been taken to mitigate future losses?
Is the insured planning on living in the home when it is complete?  (Verifying if HO-3 form is correct)
Current premium?
Need to do an RCE based on what the completed structure will be like and insure for 100% of the completed value (should always be that way from the start of the policy).  It appears $313,000 is going to be too low.
Really concerned with the open windows in the photos?  How are they protecting rain, birds, vandals, etc. from getting in?
</t>
  </si>
  <si>
    <t>Extensive loss occurred in the spring and has not been reported.</t>
  </si>
  <si>
    <t>1926 home being rehabbed. 6 month terms issued. We have been on risk 1 1/2 years so far. Photos look good.  However a loss has occurred. Extensive vandalism in the spring. (This is now July). Also advised risk appears to have been and still is underinsured.</t>
  </si>
  <si>
    <t>Red Brick Rehab LLC</t>
  </si>
  <si>
    <t>Salinas</t>
  </si>
  <si>
    <t>1999 home not in brush. Tile roof per app, but online photo shows mostly flat. No updates to roof per app. $2500 AOP on app. No alarms yet.</t>
  </si>
  <si>
    <t>$10K water damage ded. Need c/s fire and burglar alarms.</t>
  </si>
  <si>
    <t>Ardron, Gerard &amp; Marigold</t>
  </si>
  <si>
    <t>If roof truly is original, need ACV roof and 10% s/c (keeping in line w/guidelines we are developing) Could work on the s/c if this makes us uncompetitive.  //7/6 reviewed terms regarding roof. Approved option of $10K water ded and not ACV.</t>
  </si>
  <si>
    <t>Alison/Bobbi</t>
  </si>
  <si>
    <t>Policy forms support. Co-ins is figured against MFRC so I see no reason why we can't insured for MFRC.</t>
  </si>
  <si>
    <t>Lan Liu</t>
  </si>
  <si>
    <t>No address</t>
  </si>
  <si>
    <t>Insured building ground up COC. No address yet - it is Lot 49. In gated community. Mail going to neighbor. Insd lives in China.</t>
  </si>
  <si>
    <t>subject to confirmation that responding FD can find the location.</t>
  </si>
  <si>
    <t>Rice, Chris</t>
  </si>
  <si>
    <t>Policy form</t>
  </si>
  <si>
    <t>1926 home w/partial updates. New purchase will be renovated (extent not determined). MIL will live in part of house and other part will be rented.  Ho-3 or DP-3?</t>
  </si>
  <si>
    <t>DP3 since it's MIL and tenants. HO4's for all as needed. MFRC and plumb/heat/elec inspection since partial update.</t>
  </si>
  <si>
    <t>Kenneth &amp; Molora Vadnais Living Trust</t>
  </si>
  <si>
    <t>1925 home updated, nice condition but will have MFRC. RC came in at Cov A $5.2M but agent estimates MFRC at $800/SF=$4.2M. Can they insure for 100% MFRC.  Not in brush. System updates, breakers. Beautiful online pictures. Custom features.</t>
  </si>
  <si>
    <t>Currey, Janice</t>
  </si>
  <si>
    <t>ERC</t>
  </si>
  <si>
    <t>1964 home w/partial updates in 1983. Agent asking for okay to add ERC.</t>
  </si>
  <si>
    <t>Advised Jill this is something within their authority to decide on and we are auditing on the back end.</t>
  </si>
  <si>
    <t>Idyllwild</t>
  </si>
  <si>
    <t>5 horses</t>
  </si>
  <si>
    <t xml:space="preserve">2006 home in brush. Prev approved risk on 5/25/17. That home sale fell through and this is a different property. </t>
  </si>
  <si>
    <t>As long as horse situation is the same (personal only, no breed, board, sales, riding lessons) then liab is still okay.</t>
  </si>
  <si>
    <t>Sheely, Kathleen</t>
  </si>
  <si>
    <t>Plymouth</t>
  </si>
  <si>
    <t>2002 home w/alarms. PC9 10 min response.  Business on prem is concrete flatwork company. 7 employees but many go to job site.  Aerial photo shows separation. Total Business Excl is included.</t>
  </si>
  <si>
    <t>Ali, Syeda &amp; Uddin, Khaja</t>
  </si>
  <si>
    <t>Bradbury</t>
  </si>
  <si>
    <t xml:space="preserve">2001 home in brush w/alarms. App UW questions not completed.  Online photos and description look good. </t>
  </si>
  <si>
    <t>Not "too famous". Has caretaker frequently staying on premises - ok w/no alarm. Prev approved 12/2016. No changes in online concerns.</t>
  </si>
  <si>
    <t>Cavanaugh, Donald</t>
  </si>
  <si>
    <t>Sitkovetsky, Aleksander</t>
  </si>
  <si>
    <t>2000 barn w/ office. Insuring just the barn and liability Insd will be living on the property with their motor home. 22 acres. Fenced, gated driveway. Agent charging $1500 min prem.</t>
  </si>
  <si>
    <t>2008 build year, secondary, per PC questionnaire water tank on premise, and 15 minute response time (road partially unpaved but still accessible), in brush,  AOP is $5K</t>
  </si>
  <si>
    <t>Butler, Kiemoni</t>
  </si>
  <si>
    <t>Rolling Hills Estate</t>
  </si>
  <si>
    <t>Insured has a unique established healthy tree with a limb that is overhanging the carport. This is an attached open on 3 sides carport - low value but attached to the house. This is for Alison's best retail agent. Arborist has examined and says it is healthy. Removing it will cause the tree to fall over. .</t>
  </si>
  <si>
    <t>1872 year built - had hurricane Matthew damage. Loss is pending due to disagreement with ins co. $37K in reserve. Insd gutting to studs. Average condition per photo online. Insd is a real estate agent and his co sign is in yard in online photo.</t>
  </si>
  <si>
    <t>Can't insure risk where insured is acting as their own GC. Turns out that was incorrect.  I then asked  Why so long? Why moving now? What is expiring prem?) BR quest said new construction. Insp shows this is a reno and they planned to work on it for 2 years according to the quest. Per agt building new primary. Existing prim will become guest house/studio. More questions.//Ultimately approved dwelling only, no liab. This house IS ground up construction. 6 mo terms approved.</t>
  </si>
  <si>
    <t>Vacant land with no house, COC ground up. Area will be fenced during construction. Insured has grapefruit and avocado on property. Someone rents this from them and picks it. They have a GL with insured as addl insured. No liab - it is extended from their current primary. Will add total business exclusion.</t>
  </si>
  <si>
    <t>Decline to  liability, physical damage, and morale hazards.</t>
  </si>
  <si>
    <t>1990 home w/updates purchased for daughter to live in full time, insureds visit seasonally. Chubb NRN due to brush. In brush zone. Rater says &lt;150 clearance. Online Zillow shows horses and vineyard.</t>
  </si>
  <si>
    <t>Deductible</t>
  </si>
  <si>
    <t>Agent inquiring about $25K AOP deductible. Wants to save $.</t>
  </si>
  <si>
    <t>Advised agent it reaches a point of diminishing returns where we can only give a few points for $10K to $25K AOP. If they really want, let me know and I will work w/Bethany on a number.</t>
  </si>
  <si>
    <t>Contents</t>
  </si>
  <si>
    <t>Agents wants to add $700,000 personal property to vacant home up for sale. Insured staging with their own property. Theft coverage is n/a. Central station alarms. $10K ded already in place.</t>
  </si>
  <si>
    <t>C/S alarms in place and $10K ded.  Comfortable since no theft coverage. High value home.</t>
  </si>
  <si>
    <t xml:space="preserve">Alliance </t>
  </si>
  <si>
    <t>2007 home. Trucking business and 30 cattle on premises. Appears to be about 40' from dwelling with separate drive per aerial view. Unknown use of cattle. Agent applying Total Business Excl, Animal Exclusion, and requiring GL.</t>
  </si>
  <si>
    <t>Insured is a doctor in the process of retiring. This risk was written as a vacant dwelling, but it is actually used as his medical practice with 3-4 patients per week, no residential use other than he eats lunch there on the day(s) he sees patients. Agent non-renewed. Retailer wants to know how we can stay on it. Tamika did refer this commercially, they reached out but agent has not replied there. Trying to keep this policy.</t>
  </si>
  <si>
    <t xml:space="preserve">Risk is not being used as a dwelling. It is commercial medical office. Should be insured commercially. </t>
  </si>
  <si>
    <t>Zhou, Xuhua</t>
  </si>
  <si>
    <t>2016 dwelling we wrote as vacant, now purchased by new owner.</t>
  </si>
  <si>
    <t>See Yehoda approval. No adverse info on new insured.</t>
  </si>
  <si>
    <t>TIV/PC 10</t>
  </si>
  <si>
    <t>Kapaa</t>
  </si>
  <si>
    <t>Hill, Richard</t>
  </si>
  <si>
    <r>
      <t>0</t>
    </r>
    <r>
      <rPr>
        <sz val="9"/>
        <color theme="1"/>
        <rFont val="Calibri"/>
        <family val="2"/>
        <scheme val="minor"/>
      </rPr>
      <t>7/11/17 update from Danielle: Jon has used his home address and landline for his business correspondence for 40 years.  He is a home builder specializing in Victorian restoration and his work takes place elsewhere
Roof is galvanized steel.  I have had the panels replaced as needed on an ongoing basis
any exposed water pipes in the crawl space under the house are wrapped in foam insulation.  the house is insulated.  Rest of subjectivities will be confirmed later. Burdine gave approval to continue with quote, and advised that need to be sure to take other winterization measures as well, not just pipe wrapping</t>
    </r>
    <r>
      <rPr>
        <sz val="11"/>
        <color theme="1"/>
        <rFont val="Calibri"/>
        <family val="2"/>
        <scheme val="minor"/>
      </rPr>
      <t xml:space="preserve">
</t>
    </r>
  </si>
  <si>
    <t>THE DANA R STONE REVOCABLE TRU</t>
  </si>
  <si>
    <t>Tahoma</t>
  </si>
  <si>
    <t>Frame, PC4, built in 1999, marked as tenant (appears to be only used as str), no brush, no losses, located in CA; log home, held in two trusts</t>
  </si>
  <si>
    <t>Secondary home, 2001 build year, built on 10.5 acres of marshland</t>
  </si>
  <si>
    <t>Perrone, Toni</t>
  </si>
  <si>
    <t>Taylor, Jayceon</t>
  </si>
  <si>
    <t>Calabasa</t>
  </si>
  <si>
    <t>High Profile</t>
  </si>
  <si>
    <t>Rapper-The Game, attached list of legal issues (most recent 2016), currently renting home but in process of buying</t>
  </si>
  <si>
    <t>Too high profile; still very involved in entertainment/music industry. For example, recently had a reality show (2015) on a major network where females competed to date him</t>
  </si>
  <si>
    <t>TIV/Prior  Non-renewal</t>
  </si>
  <si>
    <t>2 prior theft claims, out of brush, alarms in home, 2001 build; Travelers NR due to 2 theft losses-provided info-1 in 2013-power was out, someone came in home and insured scared off-$3,075 paid. 1 in 2016-insured left door open for a guest, has since installed electronic locks that he can change codes on if a guest uses-paid $1400</t>
  </si>
  <si>
    <t>subject to confirmation no business on premise, all uw app questions answered, and prefer higher theft ded, but OK keeping with lower ded since mitigation was put in place</t>
  </si>
  <si>
    <t>Agt confirmed no other business exposure (Dream Maker LLC is not an active business, but insured still has name registered just in case). Gave OK to release terms with a lower ded, higher loss of use; but subject to total business exclusion/other structure exclusion as needed</t>
  </si>
  <si>
    <t>TIV/Renewal</t>
  </si>
  <si>
    <t>BWH104709-35753198 CARL WOODS-renewal.</t>
  </si>
  <si>
    <t>Reviewed 2016 approval; gave OK to renew as total business exclusion still endorsed on pol. Advised approved subject to agent still in control of comm policy</t>
  </si>
  <si>
    <t>Per app and photos, pool has diving board. Unclear from photos if pool fenced. Advised subject to pool exclusion</t>
  </si>
  <si>
    <t xml:space="preserve">Built in 2005, brick veneer, primary, PC5, no alarms, no losses, located in IN, reviewed google. Insured is a anesthesiologist </t>
  </si>
  <si>
    <t>Park, Chanwang</t>
  </si>
  <si>
    <t>Making sure not in Brush Zone (can't find notes if HI is in brush, but per Google some current wildfires); if in brush, need to be sure roof is fire resistant shakes</t>
  </si>
  <si>
    <t>Benson, Steve &amp; Darleene</t>
  </si>
  <si>
    <t>8B</t>
  </si>
  <si>
    <t>Built in 1990, roof updated 2013, in brush zone, frame, no losses, RM, Unprotected questionnaire provided</t>
  </si>
  <si>
    <t>Questionnaire OK, water tank on premises, response time OK. Declined use of discretionary credit due to PC and Brush</t>
  </si>
  <si>
    <t>Gave OK to 2017 renew. Inspection, updated LLC in file. Home rented fulltime</t>
  </si>
  <si>
    <t>Hu, Wei; Ge, Zhe Yong</t>
  </si>
  <si>
    <t>New Castle</t>
  </si>
  <si>
    <t>Approve, suggest alarm installation (central alarms noted on app)</t>
  </si>
  <si>
    <t>Agt f/u that alarms are in home</t>
  </si>
  <si>
    <t>Quarry</t>
  </si>
  <si>
    <t>Becker, Michelle</t>
  </si>
  <si>
    <t>Primary,2004 build, prior dog bit claim $20K, dog no longer in home, but have new german sheppard pup so quoted with animal exclusion; prior bankruptcy discharged in 2016</t>
  </si>
  <si>
    <t>Approve, subject to 10% surcharge for prior history and animal exclusion as quoted</t>
  </si>
  <si>
    <t>x-liab and total business exclusion. Advised if want liab need more info on trucking business on premises</t>
  </si>
  <si>
    <t>Business on Premise</t>
  </si>
  <si>
    <t>Tulsa</t>
  </si>
  <si>
    <t>Marshall, Brenda</t>
  </si>
  <si>
    <t>Rachel</t>
  </si>
  <si>
    <t>Legum, Stacy</t>
  </si>
  <si>
    <t>subject to: response time w/in 15 minutes, no employees on premise, trampoline exclusion</t>
  </si>
  <si>
    <t xml:space="preserve">Risk is 8 miles from Fire Station. Home also is on 7 acres with 3 horses that are used for personal use only. There is a home office where business is conducted(HVAC business), no clients are on the property. There is a trampoline on the premises with a safety net and anchored to the ground with sand bags. </t>
  </si>
  <si>
    <t>In brush, PC 8, Primary, frame, c/s alarms, built in 1996, no losses;</t>
  </si>
  <si>
    <t>Advised Jill same applicant as one sent by Danielle in May/June</t>
  </si>
  <si>
    <t>Confirmed from google that insured didn't build home, but did pull permits for detached structures; premium OK; Nationwide NR-advised to be sure no property/applicant concerns</t>
  </si>
  <si>
    <t>Greenberg, Randy and Sarah</t>
  </si>
  <si>
    <t>DP3/Rental</t>
  </si>
  <si>
    <t>1991 build, in brush, no losses</t>
  </si>
  <si>
    <t>approved w/ brush surcharge</t>
  </si>
  <si>
    <t>Moegling, Rainer</t>
  </si>
  <si>
    <t>2008, frame construction, PC3, with alarms, and one loss. Prior loss from 01/17 should be closed soon, no repairs started (roof/water). Lloyds NR 07/05/17</t>
  </si>
  <si>
    <t>No explanation given for NR; advised repairs need to be underway prior to releasing terms</t>
  </si>
  <si>
    <t>Jacobson, Sandra &amp; Ronald</t>
  </si>
  <si>
    <t>Prescott</t>
  </si>
  <si>
    <t>PCQ Ok, approved with animal exclusion.</t>
  </si>
  <si>
    <t>built in 2000 of frame construction.  PC10, 6 minute response time, with full c/s alarms. They have an open dog bit claim 11/11/16; reserve amount is $10,000. Insured was hiking with dog and dog was scared by other hiker that came around a bend and nibbled the ankle of the other hiker.</t>
  </si>
  <si>
    <t>Home was built in 1994 of frame construction. PC4, not in brush, No C/S Alarms, No losses.</t>
  </si>
  <si>
    <t>Keshen, Mary Ann</t>
  </si>
  <si>
    <t>Home acceptable, business separated. OK w/ total business and other structure exclusion</t>
  </si>
  <si>
    <t>primary home located in CA.  Home was built in 2000 of frame construction. PC4, not in brush, no losses, no alarms. There is a business exposure. There is one driveway, 2 buildings on the property. One building is used as an office for Bradley Electric. The other building is where the applicant lives. Little foot traffic. It is rare a client would come to the office. Usually the only people at this office are him, his office manager and his estimator.</t>
  </si>
  <si>
    <t>Business</t>
  </si>
  <si>
    <t>Bermuda Dunes</t>
  </si>
  <si>
    <t>Bradley, Bill</t>
  </si>
  <si>
    <t>Manavi, Farshad</t>
  </si>
  <si>
    <t xml:space="preserve">1925 home w/MFRC. No info yet on updates. Agt quoted w/$5K ded. Roof updated in 91. Found a "unit B" online. </t>
  </si>
  <si>
    <t>Verify what this unit B is and if it changes application detail.</t>
  </si>
  <si>
    <t>Tubbahji, Samar</t>
  </si>
  <si>
    <t>1989 dwelling w/ 3 prior losses. 4/17 water leak pipes $13K; 5/16 hail damage $14K; 11/15 frozen pipes $34k.  Agent checking on what has been done to mitigate. Wants terms pending.</t>
  </si>
  <si>
    <t>Pending info on what has been done to mitigate. If nothing, advised we probably won't offer terms.</t>
  </si>
  <si>
    <t>Hickey, Geneva</t>
  </si>
  <si>
    <t>Oracle</t>
  </si>
  <si>
    <t>1923 home on historical registry.  Site of Buffalo Bill Cody gold mine. Branch wants RC. Several outbuildings.</t>
  </si>
  <si>
    <t>Pham, Ashley HUCAH150002467</t>
  </si>
  <si>
    <t xml:space="preserve">Agent found out from inspection that duplex is half rented, half under reno. Can they write DP3 coverage needed for the side that is rented?  </t>
  </si>
  <si>
    <t>6 renters</t>
  </si>
  <si>
    <t>Small homeowners which agent found online is renting individual rooms. Turns out it is to 6 individuals. Agent wants to decline.</t>
  </si>
  <si>
    <t>Campbell, Barton &amp; Susetter HUCAH150000817</t>
  </si>
  <si>
    <t>1970 home with roof exclusion. Renewal coming up. Roof is metal tile and per inspection looks like in good condition. Agent wants to add covg back for roof.</t>
  </si>
  <si>
    <t>If we get a roofer statement, can consider adding ACV roof.</t>
  </si>
  <si>
    <t>Ainslie, Bradford &amp; Erika</t>
  </si>
  <si>
    <t>Alarm</t>
  </si>
  <si>
    <t>2000 home w/ no alarm, required for this TIV. Appears to have $5K ded.</t>
  </si>
  <si>
    <t>Asked for 7500 or 10000 ded.</t>
  </si>
  <si>
    <t>The Beuchert Family Trust</t>
  </si>
  <si>
    <t>Hughesville</t>
  </si>
  <si>
    <t>1965 home updated. Volunteer FD within 2 miles per google.</t>
  </si>
  <si>
    <t>Confirm responding FD. 15 min or less ok.</t>
  </si>
  <si>
    <t>Morady</t>
  </si>
  <si>
    <t>Valuation</t>
  </si>
  <si>
    <t>Inspection shows $2.9M. Agent produced MSB 360 showing $2.336M. Should value be changed?</t>
  </si>
  <si>
    <t>Review details. If similar, no gaps, okay to go with $2.336. Can ask vendor to re-run using different valuation vendor.</t>
  </si>
  <si>
    <t>Western Equity Partners</t>
  </si>
  <si>
    <t>NI is 4 individuals acting together to purchase, reno and sell.  They individually own other houses as well.  This is not a conglomerate.  Okay to keep on PL?</t>
  </si>
  <si>
    <t>Rose, Jeffery BWH72635164</t>
  </si>
  <si>
    <t xml:space="preserve">Fairplay </t>
  </si>
  <si>
    <t>Cosmetic hail form</t>
  </si>
  <si>
    <t>Since inception and for 2 renewals, the policy has not had the cosmetic hail form. Jill just caught it. Asking her to look into what happened at branch or SRD. System ok now? Everyone on board w/applying? She is asking if we have to add it or can we continue without.</t>
  </si>
  <si>
    <t>Remove 7.455 credit to get back to square one, then apply a 3% surcharge. This gets to about 10.5 surcharge. Hailscore is 1, so okay to proceed with surchage in place of form. Very nice overall log style home.</t>
  </si>
  <si>
    <t xml:space="preserve">Campbell   </t>
  </si>
  <si>
    <t>Business use other structure</t>
  </si>
  <si>
    <t>Insured has an off premises retail store and stores antique items (inventory) in her barn on premises.  Property is insured elsewhere, needs barn coverage.</t>
  </si>
  <si>
    <t>Full submission coming. Policy itself covers this. Add Total Business Excl.</t>
  </si>
  <si>
    <t>Dandridge</t>
  </si>
  <si>
    <t>Short term renal to ministry members.  (??) Broadcast for local TV from garage. No crew, insured &amp; camera only.</t>
  </si>
  <si>
    <t>Falco</t>
  </si>
  <si>
    <t>Madison</t>
  </si>
  <si>
    <t>1900 dwelling w/2013 updates. 3 losses: 2013 fire - subro against contractor - fire during renovation. 3/15 toilet overflow $31K; 11/16 family member tripped on sidewalk. Open. May be Madison Twp. Still fighting. Sidewalk area repaired.</t>
  </si>
  <si>
    <t xml:space="preserve">You are approved to release terms with liability subject to:
• RC okay if home has been gutted and renovated per guidelines.  If updated only, then MFRC would apply.
• No water backup coverage.  (Not sure if you were including – I see it on the app)
• Surcharge for 2 losses
</t>
  </si>
  <si>
    <t>Maurer, David</t>
  </si>
  <si>
    <t>Fairbanks</t>
  </si>
  <si>
    <t>1921 home updated. Tree trimming business - administrative work on premises. No traffic. Add total business excl. Has GL.</t>
  </si>
  <si>
    <t>Asked numerous questions to verify occupancy.  Turns out this is a secondary rental. Insd has owned since 02. Stays there 15-20 weeks a year. Rented for 3 night minimum other weeks. Approved w/ rental rating.  7/19/17 revised TIV per Jill's request</t>
  </si>
  <si>
    <t>Asked Danielle about caretaker home. Separate address should be separate property?  Asked if water damage in main home basement is repaired?// 7/19/17 caretaker home on same property. Approved pending confirmation of water damage repair.</t>
  </si>
  <si>
    <t>Cohanim, Ilana HUCAH15000000848</t>
  </si>
  <si>
    <t xml:space="preserve">Agent reviewing for renewal terms and wanted claim detail and advice on how to proceed. </t>
  </si>
  <si>
    <t>Advised ok if occupied. If for sale, vacant or still builders risk, would not offer renewal terms. $41K loss 9/16 for VMM at dwelling.</t>
  </si>
  <si>
    <t>Kreymer, Mark</t>
  </si>
  <si>
    <t>Triplex Liability</t>
  </si>
  <si>
    <t>Agent has a triplex which has turned out to be 3 separate units w/3 separate addresses. Discussed writing as 3 separate DP policies w/liability charge for each.</t>
  </si>
  <si>
    <t>Easton</t>
  </si>
  <si>
    <t xml:space="preserve">Treehouse </t>
  </si>
  <si>
    <t>Hidden Valley Properties BWD107998</t>
  </si>
  <si>
    <t xml:space="preserve">Existing DP3. House is rented. Now added treehouse which will be rented separately. $50K, high off ground, doesn't look like all balusters are in place. </t>
  </si>
  <si>
    <t>Not comfortable with this construction or height. Especially since it is a rental. Other programs have treehouses as ineligible. Since existing, will require excluding treehouse, removing liab, or moving risk. Pro-rata cancel ok.</t>
  </si>
  <si>
    <t>Taus, Jason &amp; Michelle</t>
  </si>
  <si>
    <t>Groveland</t>
  </si>
  <si>
    <t>Wildfire within 20 miles</t>
  </si>
  <si>
    <t>Peirce, Will</t>
  </si>
  <si>
    <t>Rockport</t>
  </si>
  <si>
    <t>maintenance of GL pol through agency, acceptable PC (not listed on app), TBE and other structure exclusion as quoted</t>
  </si>
  <si>
    <t>Boat and RV storage on premises.  Total business exclusion applied.  Located within 3-400 ft of home. GL is in place and excluding Other Structures.  No employees, no foot traffic.   We currently write the GL Policy.</t>
  </si>
  <si>
    <t>Vintage Properties LLC</t>
  </si>
  <si>
    <t>Renewal policy BWH104178-5982201 (no prior referral done).Frame, built in 2004, no losses, located in NM</t>
  </si>
  <si>
    <t>Reviewed inspection-flat roof, but AOP $5K and no flat roof ded guidelines for burns, OK w/secondary rating for home occupied by adult daughter all year; PCQ questionnaire notes response time as 19-21 minutes, but notes at the bottom that another station within 2 miles. Approved with 50% surcharge 2017 renewal, 50% at 2018, as premium too low. IF response time within 15 minutes no surcharge needed</t>
  </si>
  <si>
    <t>used .60/100, and need about $10K more than current premium</t>
  </si>
  <si>
    <t>Multnomah</t>
  </si>
  <si>
    <t>home is rented out to Blooming Rose Pre-school LLC. There is a Scottsdale GL policy currently in place for the pre-school operations; 1942 build, partial updates to wiring and plumbing.</t>
  </si>
  <si>
    <t>1.  This is the site of a gold mine once run by Buffalo Bill Cody.  Are tours offered?  
2.  Guest house is rented out per website:
http://www.highjinksranch.net/accomodations.html  Is this still the case?
3.  Accommodations for passing hikers:
http://www.highjinksranch.net/az-trail.html  Is this still the case?
If we proceed, it will be subject to:
• Protection class should be “9”.  8B converts to a 9.
• Excluding building that has travel trailer built into it - does not qualify for our program
• Exclude barn per agent note
• Woodburning stove questionnaire for unit in Casita building
• Since this is a significant historical site, we would not be comfortable offering replacement cost.  If we proceed, functional replacement cost could be offered.
• Please provide annual premium.  We will want to add a surcharge for the extended response time.
• Determine if there are any animals or farming on the premises.
//7/20/17  Answers to all provided and proceeded w/terms.</t>
  </si>
  <si>
    <t>Insured Last Name</t>
  </si>
  <si>
    <t>Insured First Name</t>
  </si>
  <si>
    <t>Alejandro &amp; Sharon</t>
  </si>
  <si>
    <t>Santana</t>
  </si>
  <si>
    <t>COC or renovation</t>
  </si>
  <si>
    <t xml:space="preserve">Agent inquiring about whether a CA risk is ground up or renovation. One wall is being left. </t>
  </si>
  <si>
    <t xml:space="preserve">Watch out for demolition! We could write after it is done. </t>
  </si>
  <si>
    <t>Rider</t>
  </si>
  <si>
    <t>Evelyn</t>
  </si>
  <si>
    <t>Pending foreclosure</t>
  </si>
  <si>
    <t>Hospitalization left insured with months of unpaid bills resulting in foreclosure.</t>
  </si>
  <si>
    <t>Ins score reveals other issues.</t>
  </si>
  <si>
    <t xml:space="preserve">Ford    </t>
  </si>
  <si>
    <t>Gwen</t>
  </si>
  <si>
    <t>Could you please expand on this a little more:  "short term rental rented to members of a ministry".  Is this for ministry use or residential?  Is it for missionaries, or is it a halfway house or something like that?  I'm sure there are other questions, this is just a little vague.
Regarding the broadcast out of the garage:
• Is there any equipment that would increase the fire hazard (which might affect the main dwelling)?
• Is there a website?
As you noted, we would be applying the Total Business Exclusion, but just want a feel for the overall exposure before we go forward.
//7/20/17 This is a commercial risk w/rental. Suggested Jill pursue a church BOP or commercial policy.</t>
  </si>
  <si>
    <t>07/21 advised to add a 20-25% surcharge for response time. K.Burdine</t>
  </si>
  <si>
    <t>The Adami-Robertson Family Trust</t>
  </si>
  <si>
    <t>2017  build, frame construction, alarms, no losses; coming off COC policy. PVC roof. $5K AOP ded</t>
  </si>
  <si>
    <t>Mahanian</t>
  </si>
  <si>
    <t>Robert</t>
  </si>
  <si>
    <t>full time tenant occupied dwelling located in CA, home was built in 1936, frame construction, fully updated in 2006,  PC1, no c/s alarms, and no losses., wood roof (ACV roof endorsement)</t>
  </si>
  <si>
    <t>ERC OK since full updates in 2006; subject to no home business being conducted on premises. From google search, he is a owner of a robocall company that has been sued in the past. Doesn't have any personal issues though</t>
  </si>
  <si>
    <t>Felix</t>
  </si>
  <si>
    <t>Risk will be rented back to sellers for 6 months. Agent asking if we can do HO3 Seasonal w/rental</t>
  </si>
  <si>
    <t>Risk acceptable, but want to do on DP3 as it will be clearly rented for a full 6 months. Agent came back to discuss.  I reviewed w/Jeff and we agreed good exposure. If they want a 1 year policy HO3 w/rental, then okay.</t>
  </si>
  <si>
    <t>Potter</t>
  </si>
  <si>
    <t>Kristen</t>
  </si>
  <si>
    <t xml:space="preserve">1980 home w/updated roof. Alarms, in brush. Online shows this individual as possible actress, but not a concern, not that high profile. </t>
  </si>
  <si>
    <t>Confirm year of construction - online and app shows 1938. Email shows 1980. Possibly gut/remodel?</t>
  </si>
  <si>
    <t>Bonda</t>
  </si>
  <si>
    <t xml:space="preserve">1986 home w/full updates, no losses, not in brush. </t>
  </si>
  <si>
    <t>Online source shows insd addr as business addr. Where do employees meet and where is equip stored. Total Business Excl ok, may need building excl.  // 7/24/17 addl info from Danielle - employees come to prem and business equip and trucks are stored in a pole barn 60' from home. Approved with TBE and building excl. GL must remain in place.</t>
  </si>
  <si>
    <t>Detwiler Fire (Mariposa County) is 17 miles away and heading away from the risk. Can we bind eff 7/27 which is date closing takes place.</t>
  </si>
  <si>
    <t>HO3 w/rental</t>
  </si>
  <si>
    <t>Staten Island</t>
  </si>
  <si>
    <t xml:space="preserve">Insured rents rooms to 4 students. No kitchen facilities. He has access to all rooms. </t>
  </si>
  <si>
    <t>See if anything was ever written for this insured. We declined.</t>
  </si>
  <si>
    <t>Lemberger</t>
  </si>
  <si>
    <t>Nosson</t>
  </si>
  <si>
    <t xml:space="preserve">Zhang </t>
  </si>
  <si>
    <t>Haugh</t>
  </si>
  <si>
    <t xml:space="preserve">Lucille   HUCAH150002573  </t>
  </si>
  <si>
    <t xml:space="preserve">Request to apply lower deductible to partial flat roof updated in 2010. </t>
  </si>
  <si>
    <t>Approved if truly replaced. $2,500 ded and 10% s/c or $5,000 ded.</t>
  </si>
  <si>
    <t>Railing</t>
  </si>
  <si>
    <t xml:space="preserve">Home has steps with no railing. Wall on one side, dirt bank on the other. </t>
  </si>
  <si>
    <t>Blameuser</t>
  </si>
  <si>
    <t xml:space="preserve">Robin  HUCAH150002356 </t>
  </si>
  <si>
    <t>Loftus</t>
  </si>
  <si>
    <t>James &amp; Cecilia</t>
  </si>
  <si>
    <t xml:space="preserve">2010 home w/ alarms in high brush.  Insd is an emergency medicine doctor. Online info/photos ok.  Flat roof. $10K ded quoted. </t>
  </si>
  <si>
    <t>Damiani</t>
  </si>
  <si>
    <t>Joel</t>
  </si>
  <si>
    <t>Honolulu</t>
  </si>
  <si>
    <t>2017 newly built condo. Additional construction on interior. Only appx 1000' to coast. Guidelines say &lt;2000' is ineligible.</t>
  </si>
  <si>
    <t>Zalyan</t>
  </si>
  <si>
    <t>Edgar</t>
  </si>
  <si>
    <t>2001 dwelling. Insd is realtor. $275/SF Cov A. Online photos and info okay. Not in brush, has alarms.</t>
  </si>
  <si>
    <t>Dold</t>
  </si>
  <si>
    <t>Peter &amp; Lesley</t>
  </si>
  <si>
    <t xml:space="preserve">Retailer bound coverage on 7/5 for escrow closing. His bind request went to his draft email folder.  There have been no losses.  There is a small fire but it is over 20 miles away per notes in file. Risk looks fine. </t>
  </si>
  <si>
    <t>Zethraeus</t>
  </si>
  <si>
    <t>Gary</t>
  </si>
  <si>
    <t>1982 home where main house and/or guest house may be rented, although this is considered the insured's primary. He has a seasonal as well. Agent restricting coverages, rating as a 3 family and adding 10% surcharge.</t>
  </si>
  <si>
    <t>Found a business at this location. Approve/subj to confirming no business. (May be old info - new purchase)</t>
  </si>
  <si>
    <t>Pierre-Paul</t>
  </si>
  <si>
    <t>Jason</t>
  </si>
  <si>
    <t>Montclair</t>
  </si>
  <si>
    <t>Too great of a lapse with no legitimate reason</t>
  </si>
  <si>
    <t>Primary, 1982 build, some updates, no brush, PC 4, non-renewed from state farm 2 years ago, hasn't had insurance since. Agency providing him with quotes 2 years ago, and he never followed through</t>
  </si>
  <si>
    <t>&gt;90 day lapse</t>
  </si>
  <si>
    <t>El Dorado</t>
  </si>
  <si>
    <t>Pierre &amp; Sonia</t>
  </si>
  <si>
    <t>Stovall</t>
  </si>
  <si>
    <t>Discussed w/Louisa. 07/26/17-granted approval to increased Cov D to $365,000, and Cov C to $50K. Home has been changed to seasonal/partial tenant. K.Burdine</t>
  </si>
  <si>
    <t>Elelsi LLC</t>
  </si>
  <si>
    <t>Capped zip code</t>
  </si>
  <si>
    <t xml:space="preserve">You are approved to release terms subject to:
• Confirmation of square footage.  App shows 1800 SF.  Online source shows 1236 SF.  This could affect Cov A.  https://www.zillow.com/homedetails/516-Hillside-Dr-Lake-Arrowhead-CA-92352/2094441363_zpid/
• The online photos look like there may be some overhanging branches.  Please confirm brush is cleared as required to 150’.
• Please order plumbing/heat/electrical inspection (due to prior loss)
• Verify prior loss amount paid.  App shows $91,000.  Email notes $9,371.  It is okay either way, I just want to make sure notes are accurate.
• Since it sounds like we are the only ones willing to write, please quote accordingly.
• PC9 or less with 15 minute response time
</t>
  </si>
  <si>
    <t>Referred to Louisa to discuss high profile. Louisa agrees to exclude liab and pers inj.</t>
  </si>
  <si>
    <t>Exclude liab and PI due to high profile/target risk.</t>
  </si>
  <si>
    <t>Quote is for 6/13, but approved bind as of 7/5 with signed and dated statement of no loss.//Agent asked if they could forego signed no loss. Verified NO with Louisa.</t>
  </si>
  <si>
    <t>Did they get signed no loss?</t>
  </si>
  <si>
    <t>Munakash</t>
  </si>
  <si>
    <t>Robert &amp; Jennifer</t>
  </si>
  <si>
    <t xml:space="preserve">It is renewing 7/28 with Lex, however, Lex has removed Sect. II liability due to a claim. The loss date was 3/1/2011 for insider trading. The underwriter provided the following description:
“The SEC filed suit against our insured for insider trading; our insured misappropriated information from a friend that GSI Commerce would be acquired by Ebay; suit alleges insured traded while inn possession of this information”
The claim was denied by AIG on 8/16/2016.  </t>
  </si>
  <si>
    <t>When integrity is questioned I don't feel comfortable writing the risk at all.</t>
  </si>
  <si>
    <t>Cliffside Holdings LLC</t>
  </si>
  <si>
    <t>2 dwellings on same property</t>
  </si>
  <si>
    <t>Insured buying 2 homes on same property and inheriting a tenant whose rent is calculated into the sale. Should this be 1 policy or 2? How are loss of rents covered?</t>
  </si>
  <si>
    <t>May be renovating within a year. Unknown since this is new. Decided best long term decision is 2 separate policies. Provided policy language re loss of rents.</t>
  </si>
  <si>
    <t>Time Study - Minutes Spent</t>
  </si>
  <si>
    <t>Ellen</t>
  </si>
  <si>
    <t>Confirm Berlin Fire Co. 5.4 miles away is responding FD.</t>
  </si>
  <si>
    <t>1998 home. Google notes nearest FD is Berlin Fire co. 5.4 miles. 9 minute drive time. Website appears to be paid department.  Online photos are okay.</t>
  </si>
  <si>
    <t>Siegmund</t>
  </si>
  <si>
    <t>Sonia</t>
  </si>
  <si>
    <t>Chang</t>
  </si>
  <si>
    <t>Joseph</t>
  </si>
  <si>
    <t>Policy coming up for 3rd term. 6 months left to go on builders risk. Interior work left.</t>
  </si>
  <si>
    <t>Asked agt why the delay. If no issues, just a long time, add 10%. If concern, refer back.</t>
  </si>
  <si>
    <t>• Are these undergrad or graduate students?
• What college?
• We are told they don’t get kitchen privileges.  How do they eat or drink?  Do they have appliances in their individual rooms?
• Is this the insured’s full time primary residence?
• What is the insured’s occupation and is he generally around outside of his work hours or is he traveling?  (I wondered if maybe he was never around and he’s making pretty good money renting out rooms to students.)  
• What is the named insured so I can note my log.  
• As we discussed, there is a competitor premium of $4,800 (appx $0.90).  Our quoted rental premium is well below this and we are looking at an owner occupied policy.  You suggested a premium of about $3,800, which is about $1,000 more than quoted, correct?
//7/27/17 insured is a teacher renting to rabbinical students. they eat at school, all meals. Confirmed several rabbinical colleges in area.</t>
  </si>
  <si>
    <t>Should be a higher caliber of student even though undergrad.</t>
  </si>
  <si>
    <t>Balswick</t>
  </si>
  <si>
    <t>Jerry &amp; Carolyn</t>
  </si>
  <si>
    <t>Sonora</t>
  </si>
  <si>
    <t>2002 frame home in brush, 7 acres with c/s fire alarm. Response time 15 min minimum. Could be 17 w/traffic.</t>
  </si>
  <si>
    <t>7% surcharge for borderline response time</t>
  </si>
  <si>
    <t>I am comfortable proceeding because of some positives about the situation:
• Medium brush per RiskMeter; High 12 w/medium fuels per FireLine
• Other fire stations within 5 miles of home
• Risk is seasonal but has central station fire alarms
• Additional surcharge being applied
25 miles from Detwiler fire per my measurement</t>
  </si>
  <si>
    <t>Paul &amp; Sandra</t>
  </si>
  <si>
    <t>LaCanada-Flintridge</t>
  </si>
  <si>
    <t>Existing damage</t>
  </si>
  <si>
    <t xml:space="preserve">Gaynon    HUCAH150002500 </t>
  </si>
  <si>
    <t>Good agent. They are applying water damage excl and mold excl until all repairs are made. Existing damage excl always goes on. 30 days to fix. Will get photos and proof of prof contractor repair.</t>
  </si>
  <si>
    <t>1951 home w/updates. Nice home, shows pride of ownership. There are a few maintenance items. The agency would like to give the insured the opportunity to fix. Copy of inspection in file.</t>
  </si>
  <si>
    <t>Nunez</t>
  </si>
  <si>
    <t>Insured has a primary home on same prop as this tenant dwelling. Insured w/Safeco - they will not insure or extend liab. Agent will exclude other structures if needed so we don't insure the primary and any related structures. If the tenant dwelling has none, they will issue w/no Cov B.</t>
  </si>
  <si>
    <t>Tree in deck</t>
  </si>
  <si>
    <t>1922 home updated, good condition except some roof damage which is in the process of being repaired -excluding until done - contractor scheduled for tomorrow. There is an 80 year old tree growing through deck and near house. They have maintained it. Can we write?</t>
  </si>
  <si>
    <t>Russell</t>
  </si>
  <si>
    <t>John</t>
  </si>
  <si>
    <t>Non compliance inspection</t>
  </si>
  <si>
    <t>Risk bound in April. Insured went to Alaska in mid-May for 3 months, known trip. Insp co wasted time scheduling and now can't do interior insp. Neighbor can't be reached. Retailer is difficult, but insured is innocent in this.1975 home w/07 updates, all pex plumbing. Can we stay on until 9/15 inspection.</t>
  </si>
  <si>
    <t>Okay to wait, already past 30 days. If any issues or if insured doesn't cooperate w/9/15 insp, send mid-term cancellation</t>
  </si>
  <si>
    <t>Huynh</t>
  </si>
  <si>
    <t>Nice risk but it has no c/s alarm. Does $10K AOP apply since it is a rental risk and insured can't confirm whether alarms will be used?</t>
  </si>
  <si>
    <t>Fire/smoke detectors don't require activation by a tenant , they are always active. We would require them at a minimum. Could forego burglar since no guaranty of use. $10K ded applies if no alarms.</t>
  </si>
  <si>
    <t>Little</t>
  </si>
  <si>
    <t>Audrey</t>
  </si>
  <si>
    <t>10 prior losses</t>
  </si>
  <si>
    <t>Insured has multiple mysterious disappearance/theft losses close together with $0 paid. Apparently babysitter or nephew took items from her. Was insured w/USAA, Safeco, then Lloyds. There were thefts w/ all the carriers in addition to other types of losses. Insured added alarm to her closet where someone was taking items. Apparently she called every time she found one thing missing.</t>
  </si>
  <si>
    <t>Claim frequency. Question of state of mind. Morale hazard.</t>
  </si>
  <si>
    <t>2nd dwelling on property  (5 risks on same call)</t>
  </si>
  <si>
    <t>Chang-Haywood</t>
  </si>
  <si>
    <t>Rosa</t>
  </si>
  <si>
    <t>Approved, online photos OK, google search OK.</t>
  </si>
  <si>
    <t>Stephen</t>
  </si>
  <si>
    <t>Smith</t>
  </si>
  <si>
    <t>Nels &amp; Kristen</t>
  </si>
  <si>
    <t>online submission, Built in 1948, updates in 2004, AOP $10K, central alarms/sprinklers in home, no losses</t>
  </si>
  <si>
    <t>Approved subject to confirmation of Cov A amount w/ RCE if not already completed. Market value around $4.5 mil for this home per online review, so want to be sure not an applicant generated Cov A amount.</t>
  </si>
  <si>
    <t>Draine</t>
  </si>
  <si>
    <t>Kathryn &amp; Les</t>
  </si>
  <si>
    <t>DP3/Vacant</t>
  </si>
  <si>
    <t>Submitting this secondary home located in Colorado. Built in 1975, PC 4,  updated in 2017 and roof updated in 2012. No losses, RC, AOP $10K, brush OK</t>
  </si>
  <si>
    <t>vacant, for sale. No brush, no losses, aop $5K.</t>
  </si>
  <si>
    <t>submission OK, online search OK</t>
  </si>
  <si>
    <t>Zynda</t>
  </si>
  <si>
    <t>Heather M</t>
  </si>
  <si>
    <t>Kronenwetter</t>
  </si>
  <si>
    <t>1995 new purchase w/large outbuilding. Will be animal rescue and K9 training. Agt quoted w/animal exclusion, total business excl, other structure excl.</t>
  </si>
  <si>
    <t>L. Ruth</t>
  </si>
  <si>
    <t>EIFS</t>
  </si>
  <si>
    <t xml:space="preserve">Patterson    63759621 </t>
  </si>
  <si>
    <t>1993 EIFS home insured for 3 years no losses. Inspected in 2015 - EIFS identified. Beautiful online photos. Can we renew?</t>
  </si>
  <si>
    <t>1997 is cutoff for water-managed (draining) EIFS. Advised we need a professional inspection to ensure good condition, no rot, no mold. Don't do without it. Hidden damage can occur.</t>
  </si>
  <si>
    <t xml:space="preserve">Williams </t>
  </si>
  <si>
    <t>Kane</t>
  </si>
  <si>
    <t>1958 log home being renovated by the insured who is not a contractor. No GC.</t>
  </si>
  <si>
    <t>We require a licensed and insured GC for any construction or renovation.</t>
  </si>
  <si>
    <t>Schementi</t>
  </si>
  <si>
    <t>Michael</t>
  </si>
  <si>
    <t>Ocean Grove</t>
  </si>
  <si>
    <t>1890 dwelling - 3 fam rental. Written for prev owner in 2015 before we required confirmation of full gut. Photos look very good. No losses. Inspection shows updated systems.</t>
  </si>
  <si>
    <t>Lauren</t>
  </si>
  <si>
    <t>David R</t>
  </si>
  <si>
    <t>Creasey    BHX100046</t>
  </si>
  <si>
    <t xml:space="preserve">Atlantic </t>
  </si>
  <si>
    <t>Inspection compliance</t>
  </si>
  <si>
    <t>Inspection noted siding repair was needed. Insured has contracted with someone but it will take 30-45 days to complete. Copy of contract received. Other repair completed nicely.</t>
  </si>
  <si>
    <t>Dunn</t>
  </si>
  <si>
    <t xml:space="preserve">Becky  </t>
  </si>
  <si>
    <t>Cape Girardeeau</t>
  </si>
  <si>
    <t xml:space="preserve">1992 home no updates.  Shingle roof in good condn per app. Prior decline/cancel/nrn question not answered. Prior covg, prior losses not answered. Agent quoting w/no liab. GL in place. Per aerial and online photos, there is not a separate building. It appears the business is conducted in the basement of the house. Biz has separate driveway and entrance. </t>
  </si>
  <si>
    <t>Liese</t>
  </si>
  <si>
    <t xml:space="preserve">HO3 Secondary </t>
  </si>
  <si>
    <t>2008 home used seasonally w/WBS as primary heat. Acceptable installation. Any chance we could consider?</t>
  </si>
  <si>
    <t>Blair</t>
  </si>
  <si>
    <t xml:space="preserve">Richard </t>
  </si>
  <si>
    <t xml:space="preserve">Primary home, vacation rental and studio on property. Art studio used by insured and as "open studio" with visitors able to drive by and stop in and 2x year they have studio events. Sales of art and books via internet. There is signage. In reality only 10 visitors per year come. Coml carrier won't cover building (?). No employees. </t>
  </si>
  <si>
    <t>This should be commercial. Exposure sounds like it could fluctuate. HO3 language excludes this building so even if we wanted to forego the Total Business Excl, the policy excludes.</t>
  </si>
  <si>
    <t>IS there a furnace at all? How often and when do they go there?  (Concerns: Stoking up the stove since there is no backup. Pipes freezing.)  //Follow up info: someone using house year round. No other heat. Scottsdale has on a DP1 for $7300.</t>
  </si>
  <si>
    <t>Check WBS quest. Make sure issued at PC9.  No policy on file 7.31.17</t>
  </si>
  <si>
    <t>No policy on file 7.31.17</t>
  </si>
  <si>
    <t>Fully completed app?  Many spots were blank.  No policy on file 7.31.17</t>
  </si>
  <si>
    <t>Eskridge</t>
  </si>
  <si>
    <t>William</t>
  </si>
  <si>
    <t>Tangier</t>
  </si>
  <si>
    <t>Additional questions to determine eligibility. Also found another business using this address.//7.31.17 additional information received. Exposure acceptable w/subjectivities quoted.</t>
  </si>
  <si>
    <t>Arbutus</t>
  </si>
  <si>
    <t xml:space="preserve">Marsh    </t>
  </si>
  <si>
    <t>Ewell</t>
  </si>
  <si>
    <t>1969 home w/updates located on Tangier Island. Volunteer FD on island w/5 min response time. (1 tanker/1 pumper) Located mid-island. Agent quoting with .59 rate. 1 hr ferry ride.</t>
  </si>
  <si>
    <t>1975 home w/updates located on Smith Island. Volunteer FD on island w/9 min response time (2 tankers/2 pumpers) Located on western part of island. Agt quoting w/.61 rate. 45 min ferry ride. Somerset county.  .247 PC1-8 base rate remainder of state.</t>
  </si>
  <si>
    <t>CICI #4 Real Estate HUCAH15000279</t>
  </si>
  <si>
    <t>Inspection delay</t>
  </si>
  <si>
    <t>Tenant is high profile and has asked for delay in inspecting until 9/18/17. Risk eff 7/24/17. May not have within 60 days. 2015 insp received. Looks fine.</t>
  </si>
  <si>
    <t>Send DNOC if insp completion gets delayed past 60. Take action post-60 if needed.</t>
  </si>
  <si>
    <t>Cole</t>
  </si>
  <si>
    <t>2 horses</t>
  </si>
  <si>
    <t>2006 home w/2 horses, personal use. Also a barn. Agent hasn't discussed w/me before so she was checking.</t>
  </si>
  <si>
    <t>Verify no breeding, boarding, riding lessons, no commercial. Brief review of documentation as this is within agent's authority</t>
  </si>
  <si>
    <t>Insured is suing his own co and hasn't made repairs since Jan 2017.</t>
  </si>
  <si>
    <t>Insd has 2 open water claims w/Kemper and has hired a public adjuster. He is suing Kemper. Pipe and AC leakage. Not all damage repaired</t>
  </si>
  <si>
    <t>Open claims</t>
  </si>
  <si>
    <t>Bell</t>
  </si>
  <si>
    <t>Pamela</t>
  </si>
  <si>
    <t>1950 home fully updated. Daycare has 10 kids at a time (17 registered). Will have GL. Lapse due to mistaken non-pay since 11/2016. Agt applied $2500 ded and surcharge. Adding total business exclusion.</t>
  </si>
  <si>
    <t>If GL is with Markel, we can write w/liab and TBE. If elsewhere, exclude liab and add TBE. Need signed no loss.</t>
  </si>
  <si>
    <t xml:space="preserve">Aguilar </t>
  </si>
  <si>
    <t>Dorothy</t>
  </si>
  <si>
    <t>Las Cruces</t>
  </si>
  <si>
    <t>1947 home updated. Insd has an upholstery business on premises. No GL. Prior carrier cancelled due to discovery of business and lender force placed.</t>
  </si>
  <si>
    <t>Need addl business info to proceed. Outlined in email.</t>
  </si>
  <si>
    <t>Approved at .61 rate. Notes in file re adequate premium reviewed w/Bethany &amp; Jeff.</t>
  </si>
  <si>
    <t>Want to see website and confirm location. But looking good to go.  GL in place. No liab on policy. Not including Total Business Excl as that will cause gaps in home and contents coverage if a loss occurs. Don't see a dog business increasing the physical damage exposure to the dwelling, so okay with it in the house w/no exclusions. Roof exclusion requested.//8/1 reviewed addl info all ok, notes in file.</t>
  </si>
  <si>
    <t>Noe</t>
  </si>
  <si>
    <t>Patricia</t>
  </si>
  <si>
    <t>Federal Pacific Stab-Lok panel</t>
  </si>
  <si>
    <t>1974 home w/ no elec updates and FPSL panel.  Rest of risk looks okay.</t>
  </si>
  <si>
    <t>Fire hazard. Provided online info. If replaced w/licensed contractor, rest of risk is okay.</t>
  </si>
  <si>
    <t>Corp LLC Form Acceptable, PC Ok, premium OK. Per agt "We would of course watch and check for the Wildfires if this were to bind."//8/1/17 agt wanted to reduce deductible - declined due to no alarms.</t>
  </si>
  <si>
    <t>Piazza HUCAH150002729</t>
  </si>
  <si>
    <t>David &amp; Stephanie</t>
  </si>
  <si>
    <t>Bike/bicycle and kayak on rental property</t>
  </si>
  <si>
    <t>Is there coverage?  Referred back to Burns policy from 3/24/17 for answers.</t>
  </si>
  <si>
    <t>Cowles</t>
  </si>
  <si>
    <t>Ginger</t>
  </si>
  <si>
    <t>Elkhorn</t>
  </si>
  <si>
    <t xml:space="preserve">I am assuming the daycare takes place within the home itself.  If that is the case, you are approved to release terms subject to:
• Please do not add BWH0141
• GL obtained and maintained
• Excluding liability
• Include Total Business Exclusion - please make sure insured is aware of the severe restrictions of this form for an in home business.  If any loss occurs related to the business, claims will deny the loss.  (e.g. A bottle warmer used for a daycare child shorts out, starts a fire and the house burns to the ground. Claims would deny all damage to the home and contents.)
Your email says “on premises”.  If it takes place in a separate building, terms would still be the same but we would add a subjectivity:  Building exclusion applies for building where daycare takes place.
</t>
  </si>
  <si>
    <t>Milam</t>
  </si>
  <si>
    <t>Gilbert</t>
  </si>
  <si>
    <t>San Rafael</t>
  </si>
  <si>
    <t xml:space="preserve">1947 home w/complete updates. No alarms. $2500 ded. Nice online photos.
</t>
  </si>
  <si>
    <t>Refer to Jeff for input on island and need pricing from Bethany. Per Jeff, we can price for the wind and addl s/c for repair increased cost. //  .59 rate confirmed by Bethany &amp; Jeff.</t>
  </si>
  <si>
    <t>Marshland not in guidelines</t>
  </si>
  <si>
    <t>Exclude any commercial other structures. Confirm no other business on prem. Found an online source connecting Kathleen to "Dream Maker Homes LLC".</t>
  </si>
  <si>
    <t xml:space="preserve">1993 home w/ alarms. Not in brush per RM. Close to it, but online Zillow photos look okay. No concern w/insd name or business. </t>
  </si>
  <si>
    <t xml:space="preserve">RM OK, log home and trust questionnaires OK. </t>
  </si>
  <si>
    <t>Questioning accessibility and if prone to flooding and to confirm address as current provided shows business area on google. Asked for photos if available</t>
  </si>
  <si>
    <t>Seasonal, WA, 2006 built, frame, no alarms, no losses. New US home purchase by applicant, will be returning to China for a couple of months then use this home as primary</t>
  </si>
  <si>
    <t>PC good, reviewed PVC roof for residents-likely flat roof, but very strong surface. AOP Ok , premium appropriate. Approval to release terms with appropriate brush guidelines</t>
  </si>
  <si>
    <t>Approved w/ 2% deductible, same as &gt;2000'. Also 10% surcharge. Discussed w/Jeff. Okay since it is a condo. Subj to:  BR supplement and GL cert. Quote says Named Storm $0. Need to fix.</t>
  </si>
  <si>
    <t>RCE at inspection to confirm. Cov A seems low.</t>
  </si>
  <si>
    <t>Insured is DE for NY Giants. Had 2015 fireworks incident involving injury.</t>
  </si>
  <si>
    <t xml:space="preserve">Risk is in Lake Arrowhead (42352) which is currently capped at $50M. Agent is trying to get this increased, but meanwhile is asking for an exception. My records show 47,103,972 which still gives them room. I believe they closed it short of the max.  1990 home w/water loss from prior owner. Discrepancy w/SF, therefore Cov A could be off. </t>
  </si>
  <si>
    <t>Home was built in 1952 and updated of masonry construction.  PC3 with no alarms and no losses. Storage facility on premises(home behind). GL in place, and quoted with TBE</t>
  </si>
  <si>
    <t>Reviewed online photos, home pretty close to business. Due to potential amount of traffic on premise (about 10 per month per questionnaire) and type of risk, OK with x-liab and tbe</t>
  </si>
  <si>
    <t>reviewed website/facebook page of school. Appears to be a school only up to 15 kids in school; x-liab, TBE, and FRC settlement option if residential use. If comm only, advised better fit on comm pol</t>
  </si>
  <si>
    <t>1965 home, PC 5 w/alarms; 2 losses-11/1/15-water-paid $6418 and 07/14/16-wind/hail-$0 paid Trucking business conducted on premises</t>
  </si>
  <si>
    <t>Frame, built in 2008, tenant occupied, no losses, wood shake roof, located in HI PC 10-response time 15 minutes, hydrant w/in 100 0 feet, $19,184 premium</t>
  </si>
  <si>
    <t xml:space="preserve">1. Please forward a copy of the RiskMeter.
2. Usually with risks over $2,000,000 TIV, we like to see a higher deductible (like $10,000).  Bill &amp; Danielle asked that we leave the underwriting in your hands and not stipulate this in the guidelines.  We still like to understand your thoughts.  Could you tell me what aspects of this risk give you a comfort level with the $2,500 deductible.    Got RM and discussed ded w/Danielle. Approved $5K if no alarms. $2500 if it turns out they have them.
</t>
  </si>
  <si>
    <t>Kristian</t>
  </si>
  <si>
    <t>Allegan</t>
  </si>
  <si>
    <t>14 chickens</t>
  </si>
  <si>
    <t xml:space="preserve">1969 home w/1 water loss 2016 $2925. $2500 water damage ded applied. Insured has 14 penned chickens on property. </t>
  </si>
  <si>
    <t>Confirm no business, no buying/selling, no egg sales without further review.</t>
  </si>
  <si>
    <t>Begala   BWH105269</t>
  </si>
  <si>
    <t>Hall</t>
  </si>
  <si>
    <t>Stephanie</t>
  </si>
  <si>
    <t>Altadena</t>
  </si>
  <si>
    <t>2002 home. $90K water loss w/prior owner. Professionally repaired, dried, broken pipe replaced w/ stainless steel braided hose; also replaced other supply hoses in the home w/this hose. Insd is MD. Agt added $10K ded. Agt added 5% s/c due to proximity to brush.</t>
  </si>
  <si>
    <t>Verify alarms. Okay with prior water loss - steps taken, newer home. Suggested 10% s/c.</t>
  </si>
  <si>
    <t>West Coast Properties LLC</t>
  </si>
  <si>
    <t>Montero</t>
  </si>
  <si>
    <t>Humberto</t>
  </si>
  <si>
    <t>Julian</t>
  </si>
  <si>
    <t>2005 frame home in brush w/ no alarms, seasonal. 20 minute response time. Reviewed address of FD and it appears to be 11 min/5.9 miles. UPQ states something about 20 minutes - not sure if that is all or one tanker response time.</t>
  </si>
  <si>
    <t>Fox</t>
  </si>
  <si>
    <t>2000 home w/hydrant on property. Low brush. Reviewed online photos - all ok.</t>
  </si>
  <si>
    <t xml:space="preserve">(per PC Bulletin by Tim C, hydrant on prop is acceptable). </t>
  </si>
  <si>
    <t>Reifman  HUCAH150000874</t>
  </si>
  <si>
    <t>1961 home updated/rebuilt in 2011. Flat roof. $5K AOP. Surcharging for large contractor error loss. Approved renewal to match expiring $10,634.</t>
  </si>
  <si>
    <t>Subj to match expiring prem</t>
  </si>
  <si>
    <t>Ashish</t>
  </si>
  <si>
    <t>Goel</t>
  </si>
  <si>
    <t xml:space="preserve">1950 home partially updated. Home has "cast iron plumbing 10%". We assume it is drain lines, but not sure. </t>
  </si>
  <si>
    <t>Okay if it is drain lines. If supply lines, it is a concern. Insd willing to get licensed plumber to inspect. Kirk will proceed with that.</t>
  </si>
  <si>
    <t>8/3/17 addl info for revised quote. Installing pool-apply pool excl and other stru excl.</t>
  </si>
  <si>
    <t>Shantz</t>
  </si>
  <si>
    <t>Duncan</t>
  </si>
  <si>
    <t>Running Springs</t>
  </si>
  <si>
    <t>2012 home in name of insured and his development co name. He and wife are part of the LLC. Can home be written in corp name?</t>
  </si>
  <si>
    <t>Osterberg</t>
  </si>
  <si>
    <t>Bruce</t>
  </si>
  <si>
    <t>Closed territory</t>
  </si>
  <si>
    <t>1998 home quoted by agent at the end of June for an 8/3 effective date. They received bind request. Also includes a $125K fine arts schedule</t>
  </si>
  <si>
    <t>No to the schedule. Gave Jamie Gregory info. Jeff's email to agt advises we will honor existing quotes. Gave heads up to Jamie.</t>
  </si>
  <si>
    <t>Hendrix</t>
  </si>
  <si>
    <t>Rodney &amp; Joanne</t>
  </si>
  <si>
    <t>2004 home w/ 3 prior water losses and a withdrawn liab loss. 3 losses from 2015. Plumber has inspected system and approved. Liab loss was daughter who feel, claim withdrawn. Found music business on prop location.</t>
  </si>
  <si>
    <t>Moreno</t>
  </si>
  <si>
    <t>Tara</t>
  </si>
  <si>
    <t>Berthoud</t>
  </si>
  <si>
    <t>2017 home purchased by realtor insureds and leased back to builder as model. Alarms/camera. Employee present, otherwise locked. Agt proposing TBE &amp; full coverage.</t>
  </si>
  <si>
    <t>Concern that this is a realtor trying to find cheap model home insurance. Quote is for $760. Way to cheap for this exposure.</t>
  </si>
  <si>
    <t>Jackson</t>
  </si>
  <si>
    <t>Robert &amp; Tara</t>
  </si>
  <si>
    <t>1985 home w/ alarms &amp; updates in 1998. Low brush. 20 acres, no farming, no horses. Prior wind loss and water $175K in 8/16. Sink overflow. Chubb NRN. Can't open all attachments</t>
  </si>
  <si>
    <t>• What was the cause of loss?  (App says sink overflow…any more detail?)
• What has been done to mitigate future loss?
• Where is the house situated on the 20 acres?  Near the front?  Fully accessible driveway?  (Trying to evaluate if the 20 acres would affect response time.)
• Please feel free to send me a copy of your quote with proposed water damage deductible and rate.
• I can’t open any of the ATT 1-5 documents.  Could you please reattach in maybe a different format so I can open and review.  
Low brush. Looking for mitigation and no incr in response time.</t>
  </si>
  <si>
    <t>Ok if titled owner. Then w/prem liab only and no PI. Need answer to prior cancel/decl/nrn question.//8/4-prior decl is SL-2's. This is n/a! Green Constructor is a titled owner. Approved.</t>
  </si>
  <si>
    <t xml:space="preserve">• I see the insured's are realtors.  What do they intend to do with the home after the year is up?
• Are the insured’s involved as the property realtors and/or do they have any business involvement or connection with the builders?
• Is the builder's office in this dwelling, or is it just used as a model?
• What occupancy was used in the rating?  Tenant or vacant?
• What is being insured under Cov C?
This may be leaning toward a commercial exposure, I'm trying to evaluate if I can fit it into our program.  If we can, I'd probably propose issuing excluding liability because of the exposure and public traffic.  I’d also propose not applying the Total Business Exclusion.  I’m concerned that the TBE is going to really limit the coverage because everything that would happen (other than weather) could be attributed to the business.    //  8/7 approved subj to rate as vacant, no liab, agt call on TBE
</t>
  </si>
  <si>
    <t>Bleriot</t>
  </si>
  <si>
    <t xml:space="preserve">2017 frame dwelling w/full alarms. 10 min response time, accessible. </t>
  </si>
  <si>
    <t>No CO research yet from Bethany to confirm how we are handling w/Burns. Online photos show ok brush clearance, trees are trimmed up.</t>
  </si>
  <si>
    <t>Ok w/$5K ded. Investigate business (insd listed on the website and insd addr). Need detail.  //  Guitar and piano lessons in home. Appears to meet In Home Business guidelines. Approved subj to meeting.</t>
  </si>
  <si>
    <t>Gomez-Cuetara</t>
  </si>
  <si>
    <t>Addl Interest</t>
  </si>
  <si>
    <t>Insd filed chapter 11 and wants Govt AI name added. Approval attached is for a different insured. Can't find an approval in file.</t>
  </si>
  <si>
    <t>Ketchum</t>
  </si>
  <si>
    <t>Paul &amp; Nancy</t>
  </si>
  <si>
    <t>North Topsail Beach</t>
  </si>
  <si>
    <t>1994 home rented 30 weeks. Prior bankruptcy discharged in 2009. Home shows for sale for at least 2 years. Don't know if insd is selling or just buying.</t>
  </si>
  <si>
    <t xml:space="preserve">This is a new purchase per phone conversation with Craig Smith. </t>
  </si>
  <si>
    <t>Reviewed w/Tim. Agreed if new purchase, they've apparently turned credit around.</t>
  </si>
  <si>
    <t>Ohman</t>
  </si>
  <si>
    <t>Laura &amp; Trudy</t>
  </si>
  <si>
    <t>1980 home updated in 2013. Not in brush, $5K AOP. Nice online photos. STR quest confirms no seasonal use. Insd owns 3 properties total in the area.</t>
  </si>
  <si>
    <t>DP3. Online shows up for sale 5/27/17. Did insd buy or are they selling (may be an indication of financial concern)</t>
  </si>
  <si>
    <t>Rice</t>
  </si>
  <si>
    <t>Gordonsville</t>
  </si>
  <si>
    <t>2005 home. Volunteer FD is 16 min away. Quoted w/prem of $1575  (.45)</t>
  </si>
  <si>
    <t>Apply 20% s/c for .54 rate.</t>
  </si>
  <si>
    <t>Ellsworth</t>
  </si>
  <si>
    <t>Anthony Skeen</t>
  </si>
  <si>
    <t>Policy originally issued in 2016. Burns sent DNOC for inadequate clearance. They provided photos from agent and note from insured saying they cleared to 100'. Advised this was not adequate.  Agent now asking to offer renewal terms.</t>
  </si>
  <si>
    <t>Snowmass Village</t>
  </si>
  <si>
    <t>Deer Ridge Lodge LLC</t>
  </si>
  <si>
    <t>1990 home w/ alarms &amp; no losses. Agt will require alarm cert and LLC. Online photos good.</t>
  </si>
  <si>
    <t>530 Divide Drive LLC</t>
  </si>
  <si>
    <t>1998 home w/updates and alarms, no losses. Agt aware of $5M TIV Limit.</t>
  </si>
  <si>
    <t xml:space="preserve">Insured is a Snowmass realtor. </t>
  </si>
  <si>
    <t>Mainland</t>
  </si>
  <si>
    <t>Kirt &amp; Mary</t>
  </si>
  <si>
    <t>Purcellville</t>
  </si>
  <si>
    <t xml:space="preserve">2017 home. 14 min 7 mi to responding paid FD. Agt quoting .350. PC1-9 rate is .20. </t>
  </si>
  <si>
    <t>Gore Creek Properties LLC</t>
  </si>
  <si>
    <t>2015 home w/fire alarm, no burglar alarm. $10K ded quoted. Half duplex sold, this is now up for sale. Staged, but not insured's contents.</t>
  </si>
  <si>
    <t xml:space="preserve">Trevino </t>
  </si>
  <si>
    <t>Prior tenant's adult child w/mental illness started a fire -2015 - $100K. That tenant moved out.</t>
  </si>
  <si>
    <t>Zinsco Breakers</t>
  </si>
  <si>
    <t>Breaker panel to be replaced within 14 days or DNOC - agnt to advise of hazard of Zinsco. Don't move in until replaced. Excluding water until HWT is fixed. Excluding roof until determined condition is okay.</t>
  </si>
  <si>
    <t>TBD - agent emailing</t>
  </si>
  <si>
    <t xml:space="preserve">Insured sets up a large model railroad in yard 2-3X year w/buildings. Advertises to churches, sr center, neighbors, children. Juice &amp; cookies served. Sign-in, helpers. </t>
  </si>
  <si>
    <t>Insured must get an event policy for each event. Referred to Jamie Gregory for possible schedule of the railroad.</t>
  </si>
  <si>
    <t>Jill &amp; Jeff</t>
  </si>
  <si>
    <t>Ryan</t>
  </si>
  <si>
    <t>Barry &amp; Candice</t>
  </si>
  <si>
    <t>1988 home w/2008 roof. Alarms. Prior $163K loss 2/17 due to heavy rain storm. No note on cause. All tearout done. Just deciding on finish contractor. Should be done in next few months.</t>
  </si>
  <si>
    <t>What caused the rain damage to get inside?</t>
  </si>
  <si>
    <t>Daniel</t>
  </si>
  <si>
    <t xml:space="preserve">Rate relief   </t>
  </si>
  <si>
    <t>1987 dwelling and duplex on same property all rented. Agt wants to match All Risks quote $3581. Wind prem is $2,345. VMGA=$3679. Attritional is .22. To match AR, .21 rate.</t>
  </si>
  <si>
    <t>Verify construction info of duplex. Inspect both the dwelling and duplex. Rate as 3 family (although I believe no diff). $3581 or close is acceptable.</t>
  </si>
  <si>
    <t>Cambridge</t>
  </si>
  <si>
    <t>Grant</t>
  </si>
  <si>
    <t>1923 home updated in 2014. Very nice online photos. Will be vacant with remodel starting at end of year and then it will be primary.</t>
  </si>
  <si>
    <t>Wasn't clear on what requested terms were. Approved DP3 Vacant w/FRC, then endorse to builders risk when constr starts.</t>
  </si>
  <si>
    <t>What addl info was received that proved adequate clearance? No new info is in the file sent after my declination on 12/2.//8/9 Leslie pointed out this is not a brush zone. Advised DNOC should not have been issued.  Okay to renew.</t>
  </si>
  <si>
    <t>Cairns</t>
  </si>
  <si>
    <t>Akpulat</t>
  </si>
  <si>
    <t>Karabet</t>
  </si>
  <si>
    <t>Lepe</t>
  </si>
  <si>
    <t>Raul &amp; Bethany</t>
  </si>
  <si>
    <t>Mission Viejo</t>
  </si>
  <si>
    <t>Inspection</t>
  </si>
  <si>
    <t>Insured forgot key and insp co is now wanting to charge $100 to go back to do interior. Can they waive?</t>
  </si>
  <si>
    <t>As long as OHQ and RCE are ok.</t>
  </si>
  <si>
    <t>Run ins score if home is for sale.  Jeff Leone sent duplicate submission.//8/9 ins score is very good. Approved.</t>
  </si>
  <si>
    <t>Grabler</t>
  </si>
  <si>
    <t>Peter &amp; Wendy</t>
  </si>
  <si>
    <t>Wind ded</t>
  </si>
  <si>
    <t>1990 home masonry w/alarms 2 miles from the coast. Agent would like to quote 10% wind ded.</t>
  </si>
  <si>
    <t>Completed app (none attached)</t>
  </si>
  <si>
    <t>reviewed w/ Jeff. If not frame, not old, and ok ded, ok to quote. Jeff ok'd 10% ded.</t>
  </si>
  <si>
    <t>Ruby</t>
  </si>
  <si>
    <t>Canon City</t>
  </si>
  <si>
    <t>Concerned with length of time and owner/builder. Considered other options like if they brought in a GC, but no guaranty of the quality of the work done so far.</t>
  </si>
  <si>
    <t>Sieger Property Development LLC</t>
  </si>
  <si>
    <t>2017 new construction currently vacant and appears to be for sale. Alarms. Medium brush.</t>
  </si>
  <si>
    <t>Note:  Have not received instruction or direction yet on writing high value in brush zone. This is PC5. Seems like this is okay based on initial direction from Jeff.</t>
  </si>
  <si>
    <t>Schramel</t>
  </si>
  <si>
    <t xml:space="preserve">Nathaniel </t>
  </si>
  <si>
    <t>Ocracoke</t>
  </si>
  <si>
    <t xml:space="preserve">1950 home w/updates. Business on property. Insd owns building and rents it to a gift shop/massage studio. </t>
  </si>
  <si>
    <t>Checking w/Tim</t>
  </si>
  <si>
    <t>Fulco</t>
  </si>
  <si>
    <t>Frank Carl</t>
  </si>
  <si>
    <t>2003 brick veneer home with alarms. FD is 6.1 miles away. 10 min. Confirmed online.</t>
  </si>
  <si>
    <t>Hawk LLC</t>
  </si>
  <si>
    <t>2017 new build vacant and for sale. Nice online pics. Not in brush, no alarms, $5K ded. Has 50% ERC. $500/SF seems adequate.</t>
  </si>
  <si>
    <t>LLC form</t>
  </si>
  <si>
    <t>Gail</t>
  </si>
  <si>
    <t>Solona Beach</t>
  </si>
  <si>
    <t>1961 home w/full updates. 2 prior water losses described. $25K water ded. No loss trend.</t>
  </si>
  <si>
    <t>Verify adequate cov B. Online indicates 1600 SF guest house, only $200K cov B.</t>
  </si>
  <si>
    <t>Would we waive inspection since they got one in 2016? 1976 home w/updates. Good inspection, photos look good. Not in brush. Alarms and sprinkler.</t>
  </si>
  <si>
    <t>Need to confirm cov A and submit for full review. We didn't get all the required info.///8/10 all info received and looks good.</t>
  </si>
  <si>
    <t>Gonzalez</t>
  </si>
  <si>
    <t>Roberto</t>
  </si>
  <si>
    <t>St Peters</t>
  </si>
  <si>
    <t>4 losses</t>
  </si>
  <si>
    <t>1984 frame home w/4 losses since 2014 when written (not referred) and now one new loss to roof. $25K water damage applied.</t>
  </si>
  <si>
    <t>Need addl loss info. Looks like a trend. Any m mitigation. How was roof replaced in 2016 and now there is a new loss? Can't find current loss in system.</t>
  </si>
  <si>
    <t>Richman</t>
  </si>
  <si>
    <t>Allen</t>
  </si>
  <si>
    <t>Alpine Meadows</t>
  </si>
  <si>
    <t>1967 frame dwelling. $250K prior water loss-2nd floor bath pipe break. Total gut &amp; remodel. Usu I would s/c 10% due to size of loss. Since gut/reno, would reduce to 5%. Then saw there is a leak detection system added. Decided against required s/c.</t>
  </si>
  <si>
    <t>S/C if there is room to do it.</t>
  </si>
  <si>
    <t>Schrobsdorff</t>
  </si>
  <si>
    <t>Phyllis</t>
  </si>
  <si>
    <t xml:space="preserve">1900 home w/updates. Nice online photos. Lapse since 5/2/17. No explanation. Not in brush. </t>
  </si>
  <si>
    <t>EHP and confirm RC ok w/inspection. Get reason for lapse and signed no loss.</t>
  </si>
  <si>
    <t xml:space="preserve"> Wilkins</t>
  </si>
  <si>
    <t>Jimmy</t>
  </si>
  <si>
    <t>Cardiff by the Sea</t>
  </si>
  <si>
    <t>1964 home w/updates in 2010. Insured is pro skateboarder. Has a skateboard ramp in his yard. Fenced per online photos. $1M liab quoted.</t>
  </si>
  <si>
    <t>Excluding liab. Can't control guests use of skateboard ramp. Insd is 24 year old single individual. Would allow liab if he didn't have the ramp.</t>
  </si>
  <si>
    <t>Confirm 150' brush clearance. Need LLC form.//Dani asked us to consider .22-.23 rate to match competitor. Advised in brush we really can't reduce rate. Quote is .27 now.</t>
  </si>
  <si>
    <t>Florencio &amp; Roya</t>
  </si>
  <si>
    <t>Husband's score 762, no bankruptcy. Lots of large and dismissed debt. Wife's score is 729 w/ recent business bankruptcy. $90K judgements. Much dismissed debt. (yes, 62 min is correct as of 8/10)</t>
  </si>
  <si>
    <t>Need to check app to see how bankruptcy quest was answered. Run ins score and check date. //8/8 addl info requested. //8/10 asked agt to mid term cancel or nonrenew to get us off this risk as quickly as legally possible due to concern w/financial condition. Refused to add AI (sometimes this causes risk to move)</t>
  </si>
  <si>
    <t>Babak and Farahmand, Haleh</t>
  </si>
  <si>
    <t>Binafard</t>
  </si>
  <si>
    <t xml:space="preserve">1960 home updated in 2001. Home has flat roof. Nice condition. Comp roll. Agreed to allow $5000 full water damage ded as this was how it was originally issued. Agt didn't know of flat roof and they missed fixing the ded when the insp came in. </t>
  </si>
  <si>
    <t>Roof guidelines still under discussion.</t>
  </si>
  <si>
    <t>Neumiller</t>
  </si>
  <si>
    <t>Neil</t>
  </si>
  <si>
    <t>Steamboat Springs</t>
  </si>
  <si>
    <t>Beautiful condo in Steamboat Springs rented for 15 weeks a year. High end. $7500-$30,000 for 5 days. Management co. Climbing wall in condo so excluding liab.  Not in brush. Alarms.</t>
  </si>
  <si>
    <t xml:space="preserve">No scheduled items. Confirm only residential use. </t>
  </si>
  <si>
    <t>Found online info about insured building a property to rent for weddings. Make sure it isn't happening. May be okay since x-liab. We would need to evaluate.</t>
  </si>
  <si>
    <t>Barbara</t>
  </si>
  <si>
    <t>Wilkins   BWH104238</t>
  </si>
  <si>
    <t>Two homes on the same property. How to insure?</t>
  </si>
  <si>
    <t xml:space="preserve">We’ve handled this situation a couple of different ways.  We prefer not to add the two Cov A’s together as we feel it could really create confusion at claim time.  You can:
• Switch the homes around – insure the higher valued one under Cov A and the lower under Cov B
• Write two separate policies, one for each home
</t>
  </si>
  <si>
    <t>Su</t>
  </si>
  <si>
    <t>Yur-Fang</t>
  </si>
  <si>
    <t>2003 dwelling undergoing cosmetic reno. Then will be vacant. Eventually will be occupied 9 months a year when kids are in school. Bal of time will be in Taiwan. Request to rate as reno and then en to vacant.</t>
  </si>
  <si>
    <t>Lots of sale history online. This is a new purchase per app.</t>
  </si>
  <si>
    <t>• Acceptable answer (No) to question #8 on the app.  This is the fraud/arson question and it is currently blank.
• Complete and acceptable LLC form.
$400 psf.</t>
  </si>
  <si>
    <t>Josie</t>
  </si>
  <si>
    <t>Victorville</t>
  </si>
  <si>
    <t>Martinez   BWH109293</t>
  </si>
  <si>
    <t>Debbi</t>
  </si>
  <si>
    <t>Pine Valley</t>
  </si>
  <si>
    <t>Appear insufficient. Provided extensive Cal Fire forms and info to support clearance requirements.</t>
  </si>
  <si>
    <t>Inspection showed brush issue. Insured provided clearance photos. Agt asking for 2nd opinion if I think it is acceptable.</t>
  </si>
  <si>
    <t>Niedzielski</t>
  </si>
  <si>
    <t>Vince</t>
  </si>
  <si>
    <t>San Diego</t>
  </si>
  <si>
    <t>2015 home in high brush. Online confirmation that response time is 14 minutes. UPQ attached and acceptable. Photos show well cleared of brush.</t>
  </si>
  <si>
    <t>Need an app before binding. None was attached. Agent adding $500 to quote. Brings closer to Lex premium (around 10% less)</t>
  </si>
  <si>
    <t>Asubar</t>
  </si>
  <si>
    <t>Steven &amp; Concepcion</t>
  </si>
  <si>
    <t>Vancouver</t>
  </si>
  <si>
    <t>1995 home; new pipes installed under the home, new furnace, new roof and new fence. Has 6 losses since 12/11/14. 2 wind; 2 are related, furnace breakdown/freeze, water line failed, water leak on roof.</t>
  </si>
  <si>
    <t>Long list of additional questions to evaluate the loss history.</t>
  </si>
  <si>
    <t>Google search OK, new build, OK with Coverage B w/ description-agt to confirm that no farm animals/personal use only.</t>
  </si>
  <si>
    <t>TIV/COV B</t>
  </si>
  <si>
    <t>primary home MA. Home was built in 2017, frame construction, PC3, with full c/s alarms and no losses. Cov B limit high ($400,000)due to newly built barn. App states no animals, but agt will confirm</t>
  </si>
  <si>
    <t>S. Yarmouth</t>
  </si>
  <si>
    <t>James &amp; Kelly</t>
  </si>
  <si>
    <t>Sullivan</t>
  </si>
  <si>
    <t>B &amp; B INN LLC OF MILL CREEK GA</t>
  </si>
  <si>
    <t>Winamac</t>
  </si>
  <si>
    <t>TIV/Bed &amp; Breakfast</t>
  </si>
  <si>
    <t>Built in 1996, frame, no losses, PC7, primary, located in IN; Bed in breakfast with pool</t>
  </si>
  <si>
    <t>Foster Properties Unlimited LLC</t>
  </si>
  <si>
    <t>three properties, short term rentals, agent that Nichole is trying to grow, one PCQ provided -10-20 response time</t>
  </si>
  <si>
    <t>Requested separate PCQs if able; also advised if purely rental, no owner occupancy at any point through year, need to be rated as a rental. Advised prefer 15 min response time, but after reviewing new PCQ may be considered w/ appropriate surcharge; advised would need LLC questionnaire if we continue</t>
  </si>
  <si>
    <t>Agt requested to release with other structure coverage for pool; advised need to proceed w/ pool exclusion/other structure exclusion as agreed at this point. KB 08/16/17</t>
  </si>
  <si>
    <t>REFERRING DUE TO TIV $1,331,900 PC 10 &amp; NOT ACCESSIBLE YEAR ROUND, 40 ACRES (NO BUSINESS USE, PC10, brick veneer, secondary, c/s alarm, built in 2011, no losses, located in IL</t>
  </si>
  <si>
    <t>Llewellyn</t>
  </si>
  <si>
    <t>Statement rec'd. 5-10 years left. Gave Ok for ACV, advised be sure insured aware needs to replace w/in that time frame. K.Burdine</t>
  </si>
  <si>
    <t>approved w/ condition: acceptable LLC quest; will quote as rental, will surcharge 20% for each property at 20 min response time; separate PCQ or indication on the 1 which addresses it applies to</t>
  </si>
  <si>
    <t>Anjam</t>
  </si>
  <si>
    <t>Zafir</t>
  </si>
  <si>
    <t>insured needs builders risk, just received home back from settlement w/ex-wife, and property wasn't well cared for. Renovations include: painting, windows, roof, floors. No walls. Home is accessible year round. Inspection was attached. No losses, CS alarm, premium $14,816. No GC as types of work easily subbed out</t>
  </si>
  <si>
    <t>Confirmed with LT that OK with BR instead of vacant, even though no GC being used. OK w/ premium and inspection reviewed</t>
  </si>
  <si>
    <t>DP1-Stand Alone</t>
  </si>
  <si>
    <t>Sebago</t>
  </si>
  <si>
    <t xml:space="preserve">They own an expensive dock that comes out of the water in the winter, but their homeowners won't cover the dock. It cost $20k </t>
  </si>
  <si>
    <t>Confirmed that dock on insured residence/not used by others. Reviewed with LT and agreed to offer x-liab since on same property as HO policy.</t>
  </si>
  <si>
    <t>Sagita Ventures LTD</t>
  </si>
  <si>
    <t>Lex renewal; 2009 build, alarms, inspection/RM provided</t>
  </si>
  <si>
    <t>Subject to acceptable LLC questionnaire</t>
  </si>
  <si>
    <t>Jaindl</t>
  </si>
  <si>
    <t>David &amp; Jacquelyn</t>
  </si>
  <si>
    <t>PC 9/TIV</t>
  </si>
  <si>
    <t>Paupack</t>
  </si>
  <si>
    <t>2013 build, inland, PCQ provided</t>
  </si>
  <si>
    <t>all info acceptable</t>
  </si>
  <si>
    <t>Home was built in 2017 of frame construction, PC4 , full C/S alarms and no losses. Home is currently a model home for  a new builder. Insured leasing to builder for two years, then will become their secondary.</t>
  </si>
  <si>
    <t>x-liab due to traffic from being model home</t>
  </si>
  <si>
    <t>West Des Moines</t>
  </si>
  <si>
    <t>TIV?</t>
  </si>
  <si>
    <t>BERGSCHLOSS LLC</t>
  </si>
  <si>
    <t>Carolyn</t>
  </si>
  <si>
    <t>Wilson</t>
  </si>
  <si>
    <t>WY</t>
  </si>
  <si>
    <t>Vacant home, no losses, PC OK</t>
  </si>
  <si>
    <t>Attached is the rater, apps, riskmeter, and some photos.  There is no loss history.    The home is surrounded by aspen trees, and not too far from Main Street Breckenridge.  It’s in a Low Propensity to Burn area, but there are trees within 100 feet.  I’ve included a roof exclusion, and the wildfire form.  Which I’ll talk to the agent about trimming trees within 10 vertical feet of the roof.</t>
  </si>
  <si>
    <t>Approval subject to addressing brush/trees prior to issuance. Also, updated 1978 (1965 build) so requested inspection to include interior to review all systems</t>
  </si>
  <si>
    <t>Betty</t>
  </si>
  <si>
    <t>Vargas</t>
  </si>
  <si>
    <t>Samuel &amp; Joshua</t>
  </si>
  <si>
    <t>Harrison</t>
  </si>
  <si>
    <t>Attached is a primary home quote for the above named insured located in CA.  Home was built in 2002 of frame construction.  PC9 with alarms and no losses.</t>
  </si>
  <si>
    <t>Hollister</t>
  </si>
  <si>
    <t>1991 build, no brush, no losses, fulltime rental, PC 4</t>
  </si>
  <si>
    <t>Steiner</t>
  </si>
  <si>
    <t>Centre Hall</t>
  </si>
  <si>
    <t>2017 new construction. Photo shows risk partially constructed. No info on prior carrier or how long under construction, etc.</t>
  </si>
  <si>
    <t>CA Building Structure</t>
  </si>
  <si>
    <t xml:space="preserve">Insured has purchased a dwelling in his business name. He and other employees stay here when they are doing solar panel jobs in the area. </t>
  </si>
  <si>
    <t>No business use, average # of employees (no more than expected on STR risk). Residential only.</t>
  </si>
  <si>
    <t>Anson   HUCAH150002385</t>
  </si>
  <si>
    <t>Weston &amp; Bailey, Susan</t>
  </si>
  <si>
    <t>Puopolo</t>
  </si>
  <si>
    <t>1997 home w/alarms. Nice online photos. Home has a pool w/built in cement slide per photos.</t>
  </si>
  <si>
    <t>Reminded of $5M TIV.</t>
  </si>
  <si>
    <t xml:space="preserve">Mary </t>
  </si>
  <si>
    <t>Carol &amp; Keith</t>
  </si>
  <si>
    <t>East Boothbay</t>
  </si>
  <si>
    <t>Pricing</t>
  </si>
  <si>
    <t xml:space="preserve">Huang </t>
  </si>
  <si>
    <t>Edwyn Charles</t>
  </si>
  <si>
    <t>Provided referral info to Markel Specialty.</t>
  </si>
  <si>
    <t>1945 Risk currently w/Lex $1411 premium. Agent wants to match. Updated home used as seasonal rental - no student. Tenants are screened. 528' from water. Current pricing $2050. 30% credit.</t>
  </si>
  <si>
    <t>Helfrich</t>
  </si>
  <si>
    <t>Joseph Jr.</t>
  </si>
  <si>
    <t>Lawrence</t>
  </si>
  <si>
    <t>No licensed GC</t>
  </si>
  <si>
    <t>Tail end construction (only 30 days left) and insured's father is the GC w/construction supervisor and other hired subs. Current company found out about reno and cancelled.</t>
  </si>
  <si>
    <t>We have a GC situation that doesn’t really fit our criteria and a home that is nearing completion.  Both of these factors increase our exposure.</t>
  </si>
  <si>
    <t xml:space="preserve">Referred to Jeff for pricing review. $907 in wind premium. That leaves $508 for non-wind or about 8.7 ROL. We can go with it per Jeff &amp; Bethany. </t>
  </si>
  <si>
    <t>Shipping container on fenced/secured vacant lot. Would this be other structures?</t>
  </si>
  <si>
    <t>Asked addl questions to determine if this was other structure on HO-3 or as a DP-1 stand alone; Could consider.</t>
  </si>
  <si>
    <t xml:space="preserve">Willson </t>
  </si>
  <si>
    <t>Ashlyn &amp; Miller, Cody</t>
  </si>
  <si>
    <t>1954 home w/updates. Insured is young singer/songwriter. No adverse info. Quote includes $1M liab/$1M PI.</t>
  </si>
  <si>
    <t>Jeff reviewing - approved. Case by case basis on the Personal Injury. In this case, okay.</t>
  </si>
  <si>
    <t>Kitselman</t>
  </si>
  <si>
    <t>Kent</t>
  </si>
  <si>
    <t>Templeton</t>
  </si>
  <si>
    <t>2000 home w/alarms in high RM brush zone. High6 FireLine. 19 min drive time from 2 FD's. 20 acre lot w/chickens and olives which are harvested by insd or caretaker. GL will be in place. Guest house w/WBS.</t>
  </si>
  <si>
    <t>Decline due to response time over 15 min. Reviewed emergency response requirements for CA emergency vehicles. Ran Fireline.</t>
  </si>
  <si>
    <t>Retain an arborist to confirm safety of tree and that growth won't damage deck or home. Determine growth rate for long term assurance.//8/21 received arborist report. Tree needs to be removed.//8/22 Can they have more than 30 days - yes since they are wokring on it.</t>
  </si>
  <si>
    <t>Schmidt</t>
  </si>
  <si>
    <t>Danelle</t>
  </si>
  <si>
    <t xml:space="preserve">Beatrice </t>
  </si>
  <si>
    <t>Daycare/Open loss</t>
  </si>
  <si>
    <t>1978 home with wind damage to shingles-adjuster has visited - open loss, not repaired yet. Daycare on premises that does not qualify. Agent quoting w/Business exclusion, liab excluded, existing dmg excl, roof excl.</t>
  </si>
  <si>
    <t>Can't write now due to open claim but can consider after claim is closed (or near closed) once all damage is assessed and repaired.  Would write X-liab and with Total business excl.</t>
  </si>
  <si>
    <t>Pendola</t>
  </si>
  <si>
    <t>Greg &amp; Marcie</t>
  </si>
  <si>
    <t>1987 home w/updates. no online photos.  4 prior losses for leaky windows and water damage. $15-$50,000 each. Insured has replaced all windows.//8/22 App shows leak from light fixture as well. Repair doc shows roof repair as well as replaced windows. Agent quoting w/$1000 ded as insd has made these extensive repairs to mitigate.  (($55K in repairs)</t>
  </si>
  <si>
    <t>Please refer for review.//8/22 reviewed all info.  Asked for $5K water damage deductible. If we go a year w/no losses, can re-assess.</t>
  </si>
  <si>
    <t>Sutton</t>
  </si>
  <si>
    <t>Troy</t>
  </si>
  <si>
    <t>If written, make sure limited animal liab was not applied as this was approved X-Liab.</t>
  </si>
  <si>
    <t>Sterling</t>
  </si>
  <si>
    <t>1935 home w/updates. Insured operates dog breeding and boarding operation. No note of GL. Diagram in file. Kennel is attached to home. Agent offering with Total Business exclusion. $71K of oth str but Cov B is $15K. Reviewed online info - sounds reputable.</t>
  </si>
  <si>
    <t xml:space="preserve">• Apply Total Business Exclusion
• Exclude liability 
• Review condition of other structures and apply Building Exclusions for all structures we are not insuring.  App notes $71,000 of other structures. Cov B is $15,000.  Concern with condition noted for structures in photo page 1, 2, and 16.  Any structures in good condition that we are insuring should be insured to 100% replacement cost.  
</t>
  </si>
  <si>
    <t>John R Harrison LLC</t>
  </si>
  <si>
    <t>Warwick</t>
  </si>
  <si>
    <t>1989 home w/ no updates and no alarms per app. Was assisted living facility, no primary residence.</t>
  </si>
  <si>
    <t xml:space="preserve">• We are assuming no current use as assisted living, not a bed &amp; breakfast
• Apply roof exclusion – 27 year old roof with no update info.  If roof has been replaced in last 25 years, you don’t have to exclude.
• Protection class is not PC9 or 10 – if so refer with response time info
• We require c/s burglar and fire alarms for TIV over $2,000,000; or in lieu of alarms, a $10,000 AOP deductible can be applied
</t>
  </si>
  <si>
    <t>Scott</t>
  </si>
  <si>
    <t>Rhea</t>
  </si>
  <si>
    <t>1975 risk updated. In brush. Burglar alarm; no fire alarm. $10K ded applied. Clearance to 200' per app. Treehouse and guesthouse per online source. $1M liability.</t>
  </si>
  <si>
    <t xml:space="preserve">Wilkins      </t>
  </si>
  <si>
    <t>Eric</t>
  </si>
  <si>
    <t xml:space="preserve">1972 home with updates in brush. On 40 acres. Nice online photos. Confirmed 5-6 minute response time. Accessible. </t>
  </si>
  <si>
    <t>Confirm accessible on the 40 acres by emergency veh, and response time not impacted by 40 acres</t>
  </si>
  <si>
    <t>pool makes ineligible; questioned if comm pol in place, if willing to exclude liab, if used for event planning (as suggest on provided comm app), how many room rented (appears more than 4), and if partially owner occupied for further consideration</t>
  </si>
  <si>
    <t>PGA Investments</t>
  </si>
  <si>
    <t>Update question</t>
  </si>
  <si>
    <t xml:space="preserve">1930 home bought as is. Condition fine, but insured doesn't know if there are breakers, fuses or k&amp;t. Plans to close paying cash, get in there with GC and gut/reno. </t>
  </si>
  <si>
    <t>Suggested to find out how quickly he will get in there. If it will sit, it's a concern. Don't run utilities and equip off wiring until it is assessed. If any fuses or k&amp;t, gut quickly. Alison will investigate.</t>
  </si>
  <si>
    <t>Cummings</t>
  </si>
  <si>
    <t xml:space="preserve">Greg   </t>
  </si>
  <si>
    <t>New build up for sale, alarms, checked on regularly by insd or realtor. Added VMM and WBU since it is alarmed and new.</t>
  </si>
  <si>
    <t>HO6 Primary/Bldrs Risk</t>
  </si>
  <si>
    <t>Mitzner</t>
  </si>
  <si>
    <t>Dianna</t>
  </si>
  <si>
    <t>Markleeville</t>
  </si>
  <si>
    <t>2005 home with alarms. Nice online photos. No adverse insured info. Trees around home appear trimmed up in online photos. Risk is in brush zone.</t>
  </si>
  <si>
    <t>Itz</t>
  </si>
  <si>
    <t>David &amp; Juliana</t>
  </si>
  <si>
    <t>Ribera</t>
  </si>
  <si>
    <t>2007 risk w/30-45 minute volunteer FD response time. Insd may be GC-app and BR quest conflict-Leslie will verify. Pricing is .20/TIV. Flat roof. $10K ded. Was a B&amp;B-new purchase.</t>
  </si>
  <si>
    <t>Reviewed online info - ok. // 8/23 Danielle asked for 25%/50% ERC. OK as long as Cov A is 100% ITV.</t>
  </si>
  <si>
    <t>Jamieson</t>
  </si>
  <si>
    <t>Christopher</t>
  </si>
  <si>
    <t>Mercer</t>
  </si>
  <si>
    <t>1925 risk fully updated in 2017. No alarms. 22 minute drive time by volunteer fire dept. Not paved, not visible, accessible. 2 woodstoves-have quest on 1. $1029 prem (.64) 9+ families (relatives) use the home.</t>
  </si>
  <si>
    <t>WBS quest, EHQ, 30% surcharge.</t>
  </si>
  <si>
    <t>Elihu</t>
  </si>
  <si>
    <t>Albert</t>
  </si>
  <si>
    <t>1999 home with 3 losses - wind, pipe burst, rain damage to roof. Insured is business owner. Search reveals lawsuits and lost copyright infringement suit.</t>
  </si>
  <si>
    <t>Moral hazard</t>
  </si>
  <si>
    <t>Douglas H</t>
  </si>
  <si>
    <t>San Bernardino</t>
  </si>
  <si>
    <t>Cannabis operation</t>
  </si>
  <si>
    <t xml:space="preserve">Currently not entertaining risks w/cannabis operations. </t>
  </si>
  <si>
    <t>Roseland</t>
  </si>
  <si>
    <t>Aluminum wiring</t>
  </si>
  <si>
    <t xml:space="preserve">1970 home w/aluminum wiring. Insured purchasing 9/20. Electrician is pigtailing copper wire. </t>
  </si>
  <si>
    <t>Reviewed https://www.cpsc.gov/s3fs-public/516.pdf and declined to agent.</t>
  </si>
  <si>
    <t>Dehqanzada</t>
  </si>
  <si>
    <t>Aria &amp; Jennifer</t>
  </si>
  <si>
    <t xml:space="preserve">2015 home in brush w/tile roof. Online pics look good. No UPQ. </t>
  </si>
  <si>
    <t>Acceptable UPQ and drive time &lt;15 min by paid FD.</t>
  </si>
  <si>
    <t>Blanch</t>
  </si>
  <si>
    <t>1956 home w/some updates. Insured has business in basement - sells clothes to appx 20 walk ins per month and also online.</t>
  </si>
  <si>
    <t>Need page 1 of app to review address and see if there is any online info. Business name? Employees? May be able to proceed X liab and need uw questions answered on app.</t>
  </si>
  <si>
    <t>Newton</t>
  </si>
  <si>
    <t>Richard &amp; New, Lindy</t>
  </si>
  <si>
    <t>Flagstaff</t>
  </si>
  <si>
    <t>2004 dwelling. Main home will be rented out short term or Vacation rental. Insured will live in connected guest house and run his contractor office out of it. No employees, no foot traffic. Agt applying business exclusion.</t>
  </si>
  <si>
    <t>Total business exclusion. Confirm no business storage in any other structures. Also STRQ as noted. WBS on 2 pellet stoves</t>
  </si>
  <si>
    <t>Alex was inquiring about scheduling a $3,000 bicycle that a 7th grader rides to school. It is locked in a bike rack with other bikes and left outside. Lex and Lloyds will write. He said a $75-$100 rate would be okay.</t>
  </si>
  <si>
    <t>Discussed w/Jeff &amp; Louisa and they agreed we are not interested.</t>
  </si>
  <si>
    <t>Gummer</t>
  </si>
  <si>
    <t>Mary W (Mamie)</t>
  </si>
  <si>
    <t>1944 home updated. Roof will be replaced when purchased. Not in brush. Online shows nice home but all wood accents are 135 year old barn wood.</t>
  </si>
  <si>
    <t xml:space="preserve">• Please apply Functional Replacement Cost due to this information:  https://www.zillow.com/homedetails/2566-Verbena-Dr-Los-Angeles-CA-90068/20805801_zpid/ "Custom wood finishes using 135 year old wood from a barn in Northern California".
• Woodburning stove questionnaire for freestanding fireplace shown in online photo.
• Please apply roof exclusion until roof is replaced
• Complete acceptable answers to UW questions - Not all questions are answered
</t>
  </si>
  <si>
    <t>Reviewed w/Louisa. We are okay with liability. Not too famous.</t>
  </si>
  <si>
    <t>Mears</t>
  </si>
  <si>
    <t>New quote with lapse from 7/17/17 to 8/24/17. Insured thought they had renewed their prior policy.</t>
  </si>
  <si>
    <t>Signed no loss. Verify location is not Suffolk, VA.</t>
  </si>
  <si>
    <t>Hope Valley</t>
  </si>
  <si>
    <t>Wisckol  BWH105463</t>
  </si>
  <si>
    <t>2016 risk in brush with resp time over 15 min. Renewal that was not referred at NB. Full sprinkler system in home w/direct alarm to FD. Insp shows no balusters (addressed), elec panel cover missing, WBS.</t>
  </si>
  <si>
    <t>Check on elec panel and wbs. Why not referred at NB?</t>
  </si>
  <si>
    <t>Derek</t>
  </si>
  <si>
    <t>Carnelian Bay</t>
  </si>
  <si>
    <t xml:space="preserve">2006 home in brush with lapse. Unclear how long. SF prior carrier nonrenewed due to bike theft claim. </t>
  </si>
  <si>
    <t>ARDR Realty</t>
  </si>
  <si>
    <t>DP3 Vacant/Builders Risk</t>
  </si>
  <si>
    <t>New construction. Very little info, but no concerns with what is presented. Insured will rent dwelling upon completion. One attachment makes it sound like there is demolition.</t>
  </si>
  <si>
    <t>Only okay if no asbestos abatement or demo. Need app and riskmeter</t>
  </si>
  <si>
    <t>Rauch</t>
  </si>
  <si>
    <t>Corella</t>
  </si>
  <si>
    <t>Doud</t>
  </si>
  <si>
    <t>Roberts</t>
  </si>
  <si>
    <t>Vines on wall</t>
  </si>
  <si>
    <t>1962 home updated in 2000. All admitted carriers declined due to vines growing all over garage. Stucco finish.</t>
  </si>
  <si>
    <t>If vines are on a trellis and not growing on the actual wall, it would be okay. If any part of the vines are attached to the wall, I reviewed concerns with water damage and damage to stucco.</t>
  </si>
  <si>
    <t>Floor heat</t>
  </si>
  <si>
    <t>1970 dwelling w/"floor heat". No info on what this means. 50 years old original.</t>
  </si>
  <si>
    <t>Horse at another location</t>
  </si>
  <si>
    <t>Insured's daughter keeps her horse at grandparents house. She is only rider. Goes to rodeo once a month.</t>
  </si>
  <si>
    <t>We can write the risk if there are no other issues but it does not appear the animal liab form extends liab to an insured animal in someone elses control.</t>
  </si>
  <si>
    <t>Hidden Valley Lake</t>
  </si>
  <si>
    <t>Insured is referring to their home as manufactured. Agent shared photos and online reference. Reviewed neighborhood and other homes. Does not at all appear to be manufactured. Maybe modular. Agent will proceed and have inspector check carefully.</t>
  </si>
  <si>
    <t>Inspector carefully check.  Looks like a site built home in and out. All online sources refer to it as site built.</t>
  </si>
  <si>
    <t>Need competitor pricing. Danielle indicated .60-.80 for longer response times. Our rate of $2106 considers 15 min.//Went with .60 TIV rate //8/30 revised terms to $1M Cov A from $700,000</t>
  </si>
  <si>
    <t>Freeman</t>
  </si>
  <si>
    <t>Brenda</t>
  </si>
  <si>
    <t xml:space="preserve">1979 home updated no alarms, no brush. Quoted with $2500 ded. </t>
  </si>
  <si>
    <t>Please apply $5000 ded due to no alarms.</t>
  </si>
  <si>
    <t xml:space="preserve">From the photo provided, it looks like construction has already started.  How long has construction been in progress?  Where has risk been insured?  If uninsured, please advise why.  If previously insured, please advise why coverage is being moved from current carrier.  When is construction estimated to be completed?  Any reason for delay if beyond 1 year?  Is there a licensed and insured general contractor managing the construction?  Is $1,375,000 the estimated cost of the completed structure?//8/22 all answers ok. approved w/5-10% s/c if possible. //8/30 mistake - no prior COC covg. Agent quoting w/20% surcharge. Approved. </t>
  </si>
  <si>
    <t>823 and 807 ins scores.</t>
  </si>
  <si>
    <t>Ins Score 800</t>
  </si>
  <si>
    <r>
      <t xml:space="preserve">• Is this a new purchase, or how long has the insured owned the home?
• Am I understanding that there is a lapse in coverage on this home as well as on another location that is a full time rental?  Could you tell me the reason for lapse of coverage?  Has it been lapsed since 2/2017?
• Tell me about the lapse on the other rental home.  Reason, how long, what is the TIV of that risk.
• Notes on app say that SF cancelled over a bike theft claim?  That seems unusual.  Was there more than one claim?  Could we get the SF loss runs?
• What is the distance of this home to any current wildfires?
Between you and me, there are some red flags on this risk:
• It’s usually a bad sign when someone has multiple policies lapse, and on top of it a theft loss.  
• Info provided shows the home is up for sale for a price lower than what was paid 10 years ago. (A concern if this is not a new purchase.)
</t>
    </r>
    <r>
      <rPr>
        <b/>
        <sz val="8"/>
        <color rgb="FFFF0000"/>
        <rFont val="Calibri"/>
        <family val="2"/>
        <scheme val="minor"/>
      </rPr>
      <t>If we do go forward an additional surcharge may apply.</t>
    </r>
    <r>
      <rPr>
        <sz val="8"/>
        <color theme="1"/>
        <rFont val="Calibri"/>
        <family val="2"/>
        <scheme val="minor"/>
      </rPr>
      <t xml:space="preserve">
A+ shows no losses. // 8/30/17 Add 10% surcharge to to lapse mindset. Insured is buying this home - new purchase. Existing home lapsed 2/17 - they are living there now. Will turn into rental.</t>
    </r>
  </si>
  <si>
    <t>Dolan</t>
  </si>
  <si>
    <t>Dan</t>
  </si>
  <si>
    <t>2006 home low brush tile roof. UW question blank: "Conv of fraud, bribery, arson". No UPQ</t>
  </si>
  <si>
    <t>Need UPQ to determine response time and location details. If ok, subj to UW question. Online pics ok.</t>
  </si>
  <si>
    <t>Thompson</t>
  </si>
  <si>
    <t>Michael &amp; Aldora</t>
  </si>
  <si>
    <t xml:space="preserve">Renovation project started in 2015 stalled 6 months ago because insured's mother became ill. They used house funds to loan her $500K. She didn't understand they wanted repayment. They sued her. Litigation nearing the end. Unknown outcome. Unknown if funds are needed to restart construction. Dwelling is roughed in w/tarpaper and most windows boarded. Mrs is homemaker; Mr is trucker for Costco. They currently live in neighborhood. 2 mortgages Wells Fargo and Bayview Loan Servicing. Agents says constr is slated to pick up in September whether they get money or not. Curr carrier Franklin Mutual is nonrenewing eff 9/26. Tamika did not quote yet.  </t>
  </si>
  <si>
    <t>Piscataway</t>
  </si>
  <si>
    <t xml:space="preserve">What if litigation is not successful and they don't get the money back? How are they resuming construction?  Concern w/Cov A vs Mkt Val, google earth shows it in same condition for 10 months. Financial concern w/situation.
</t>
  </si>
  <si>
    <t>Chase</t>
  </si>
  <si>
    <t>Clifford &amp; Danielle</t>
  </si>
  <si>
    <t xml:space="preserve">Tuftonboro </t>
  </si>
  <si>
    <t>New construction in PC 9/10. Didn't dig too far. Nothing adverse on app.</t>
  </si>
  <si>
    <t>Outside our TIV max of $5M and may be outside appetite for newness of program. Cc'd Chris.</t>
  </si>
  <si>
    <t>Melissa's notes from original referral:2001 home not in brush, full c/s alarms. Online info looks fine. 2 prior theft losses - break in to home per app. 7/13 $3K computer, watches; 5/16 $1,400 computer and satchel. Checked Trulia, not a high crime area (although many have occurred). Wouldn't figure a $3.5M TIV risk to be a smash and grab target. No online concerns with name or prop addr. mLooking for any evidence or morale hazard. Should have done something to keep this from happening.  • The app says these were both home break ins.  Could you please get some details about what happened.  It was this house, correct?  How did the losses occur, what time of day, anyone home, did they have alarms at the time?
• What has been done to prevent future similar losses?
• If we move forward it will be subject to:
Confirmation of no business taking place on the premises (app says self employed, agent has CL policies, just wanted to make sure)
• All UW questions on app must be answered (some are blank)
Considered running an A+ and insurance score, but loss amounts are small. May do this when the answers come back.</t>
  </si>
  <si>
    <t>If this is in cement elec floor heat, should be okay. Suggest heat contractor inspection due to age. If other, let me know.//8/30 turns out to be gas heater in the floor, radiates throughout house. Inspected today by hvac contractor and all is in good condn.</t>
  </si>
  <si>
    <t>Lanigan</t>
  </si>
  <si>
    <t>Latos</t>
  </si>
  <si>
    <t>Insured rents to brother and occasionally visits. Brother has HO4. Agent wants to write on HO3 w/ low contents, no loss of use, premises only coverage.</t>
  </si>
  <si>
    <t>Agreed as a family member is typically a good exposure. By insured definition, family members are included as insureds. Nice home. Brother has been there over a year.</t>
  </si>
  <si>
    <t>Bauer</t>
  </si>
  <si>
    <t>Kevin</t>
  </si>
  <si>
    <t>1963 home updated in brush. Prior carrier Fair Plan. Insd has batting cage on property that is used by son and sometimes children from son's baseball team.</t>
  </si>
  <si>
    <t>Exclude liab. Verify why w/Fair plan. Ok if due to brush.</t>
  </si>
  <si>
    <t>Goodfriend</t>
  </si>
  <si>
    <t>Scott &amp; Laurie</t>
  </si>
  <si>
    <t xml:space="preserve">Prior claim </t>
  </si>
  <si>
    <t>1959 home w/plumbing and roof update. Prior lawsuit from city to upgrade plumbing.  $30,245 paid 6/21/16.</t>
  </si>
  <si>
    <t>Found several articles online about high copper levels found in drinking water and the city forcing residents to replace pipes. I could not find this specific address, but it does sound like a CA thing. Copy of prior carrier claim doc in file. Subj to full underwriting including RM, OHQ, EHP, s/c for lapse.</t>
  </si>
  <si>
    <t>2003 dwelling with daycare on premises. Excluding liability and obtaining GL. Also quoting with Total Business Exclusion.</t>
  </si>
  <si>
    <t>21 63rd Condo Assoc</t>
  </si>
  <si>
    <t>1987 2 fam rental home updated in 2006. Water damage loss from leaking windows; curr carrier nonrenewing as they no longer write multi fam homes. Agt proposing to write builders risk and then convert to 2 fam.</t>
  </si>
  <si>
    <t>Due to existing water damage - demo/repair hasn't started. If more is found we could be on the hook.</t>
  </si>
  <si>
    <t>Poppert</t>
  </si>
  <si>
    <t>Tyler</t>
  </si>
  <si>
    <t>Guatay</t>
  </si>
  <si>
    <t xml:space="preserve">2017 new build in brush with 3 months of renovation left - mostly cosmetic interior. $10K ded. $4589 for 3 mo pol ($18K+ annually). N side is only 135' cleared. App indicates lapse. </t>
  </si>
  <si>
    <t>How long has coverage been lapsed?  Has this been insured as a builders risk or uninsured?  Why did coverage lapse?  Any reason a previous builders risk carrier did not continue coverage?  Subj to possible surcharge based on answers and 150' brush clearance.</t>
  </si>
  <si>
    <r>
      <rPr>
        <sz val="10"/>
        <color theme="1"/>
        <rFont val="Calibri"/>
        <family val="2"/>
        <scheme val="minor"/>
      </rPr>
      <t xml:space="preserve">Agency was aware of response time last year, but policy did not get referred. Ran FireLine - 18 fire score - Extreme brush. 25 min response,accessible, but not paved. </t>
    </r>
    <r>
      <rPr>
        <sz val="8"/>
        <color theme="1"/>
        <rFont val="Calibri"/>
        <family val="2"/>
        <scheme val="minor"/>
      </rPr>
      <t xml:space="preserve">
4/17/17 follow up from Fire Department - email in file that response time is 10 minutes. (From CAL FIRE fire chief)</t>
    </r>
  </si>
  <si>
    <t>4 unit home currently occupied by 2 tenants. 2 units under reno. Then those will be rented out, 2 tenants will move out and the other 2 units will undergo reno. Expect it to take a year.  $100K LOU agt will explain that it covers rental, not the vacants. Flat roof 10% s/c and $10K ded. 15% s/c for reno. vacant rate.</t>
  </si>
  <si>
    <t>Risk looks good. Approve if response time truly is &lt;15 min. If over 15, refer back w/details. Advised not sure we could make an exception.  Fireline is Extreme 13. Heavy fuels, Moderate slope, very limited access. Part of 2003 Cedar fire. Copy of FL in temp file. RM shows moderate.</t>
  </si>
  <si>
    <t>Agent may quote, but proof of loss (fire marshal or carrier report) needed prior to bind. Markel to review.//8/11 fire report reviewed, okay.</t>
  </si>
  <si>
    <t>1920 home updated to c/b however they are Zinsco. This is a new purchase -it was pointed out in the inspection. Closing is proceeding. Insured getting an electrician to fix. Also has a HWT issue - getting a plumber. May have a roof issue - getting a contractor.</t>
  </si>
  <si>
    <t xml:space="preserve">Home started in 2014. 1 1/2 years left. Insured is contractor, working on home in their spare time - retired. Photos show some plywood covering, some Tyvek. SF now getting off. </t>
  </si>
  <si>
    <t xml:space="preserve">Per PCQ, 10 min response time, gravel road to home may be inaccessible if bad weather. Advised OK to release terms with 30% surcharge for possible inaccessibility </t>
  </si>
  <si>
    <t>Agent wants to add $200,000 schedule of shoes worn one time for promotions and then displayed around his condo.  This was referred and approved by Markel Specialty. // 8/23 found out condo will be under construction. Checked on regularly.</t>
  </si>
  <si>
    <t>1990 home w/ 19 Arabian horses (personal use). Land leased to cannabis grow operation. 46 acres.</t>
  </si>
  <si>
    <t>Lewicki</t>
  </si>
  <si>
    <t xml:space="preserve">Newport   </t>
  </si>
  <si>
    <t>Van Veen</t>
  </si>
  <si>
    <t>Thoms</t>
  </si>
  <si>
    <t>Berto &amp; Betty</t>
  </si>
  <si>
    <t>Insured contractor</t>
  </si>
  <si>
    <t>Asked questions about extent and contracts.</t>
  </si>
  <si>
    <t>2016 home w/ $115K prior fire loss. Fire Marshal report indicates unknown cause. Electrical meter is being tested. (as of 12/2015 report). Quoted, they have bind request, wasn't referred prior to quoting.</t>
  </si>
  <si>
    <t>Declined due to no clear cause/origin of the fire and the fact that American Modern non-renewed it. If AM decided to get off this for only a single loss (despite the fact that it's a large fire) then it feels as though there may be more to the story. Didn't get the final report showing results of electrical meter test.</t>
  </si>
  <si>
    <t>Discussed with Tim</t>
  </si>
  <si>
    <t>Airplane hangar</t>
  </si>
  <si>
    <t>Submit with full details and pricing.</t>
  </si>
  <si>
    <t xml:space="preserve">Mary   </t>
  </si>
  <si>
    <t xml:space="preserve">HO3 Renewal </t>
  </si>
  <si>
    <t>Horner   BWH105083</t>
  </si>
  <si>
    <t>Cobb</t>
  </si>
  <si>
    <t>Renewal looking to add ERC. 1958 home w/updates. Not in brush. Says PC6, but app looks like it should be a 9 - no hydrant within 1000'</t>
  </si>
  <si>
    <t>Check w/Dani. Check brush clearance and PC - looks like it should be a 9.</t>
  </si>
  <si>
    <t>Say</t>
  </si>
  <si>
    <t>Geza</t>
  </si>
  <si>
    <t>LOP Rentals LLC</t>
  </si>
  <si>
    <t>New 2017 build. In brush. Insured is a contractor and is participating in the building.  This is ground up construction.</t>
  </si>
  <si>
    <t>Duley</t>
  </si>
  <si>
    <t>Kessler</t>
  </si>
  <si>
    <t>Adam &amp; Debra</t>
  </si>
  <si>
    <t>Cov A</t>
  </si>
  <si>
    <t xml:space="preserve">Existing policy written at $2M. Agent wants to increase to $3M midterm. </t>
  </si>
  <si>
    <t>Valid RCE. Couple of inspection items noted - roof condition and tape across breaker. Asked agent to ensure they are addressed.</t>
  </si>
  <si>
    <t>Catalina</t>
  </si>
  <si>
    <t>Quoted renewal eff 7/28. Agent followed up with insured but no reply. Now insured wants policy. Alex proposing renew with lapse with SNL.</t>
  </si>
  <si>
    <t xml:space="preserve">Risk in the name of LLC which is brother and sister who inherited home when father died. Alex proposing to write as HO3 since brother Charles is living there. </t>
  </si>
  <si>
    <t xml:space="preserve"> This is an owner occupied exposure.</t>
  </si>
  <si>
    <t>Owner occupied renovation w/several months left. Insured moving in now. Any rate relief since insured is going to be living there and reno is not extensive?  1910 risk was gutted to studs in 1995. Due to open loss, agent changed mind about rate credit originally requested. Claim due to clogged/dripping sink on 2nd floor. $33K reserve.</t>
  </si>
  <si>
    <t>Tail end construction/Open loss</t>
  </si>
  <si>
    <t xml:space="preserve">Holland  </t>
  </si>
  <si>
    <t>Judah</t>
  </si>
  <si>
    <t>Tiburon</t>
  </si>
  <si>
    <t>2007 risk not in brush w/alarms. Online photos and info okay. No indication of rental use.</t>
  </si>
  <si>
    <t>9/6 purposely uninsured (??) Running insurance score.//Score okay. Some small med liens and tax liens that go back a few years. Apply 15% surcharge and brush clearance.</t>
  </si>
  <si>
    <t>Tear out from water loss 100% complete and under repair. No undiscovered damage. Insd bought home appx 1 year ago and it has been under reno since. Online pics and info are okay and confirm this.  Applied addl 10% for tail end construction.//Alex called back. He thought I understood the construction situation. He had already revealed an indication without the addl 10% s/c. Pondered and felt we could do it at the quoted rate. It is owner occupied and rebuilt.  .22 rate and we may keep it.</t>
  </si>
  <si>
    <t xml:space="preserve">Nathan  </t>
  </si>
  <si>
    <t>1986 home w/updates, roof in 2009 per app. 12 min drive time by paid FD confirmed via google. PCQ says 100' brush clearance. Google search shows some kind of business at address. This appears to be new purchase per nice online info and pics.</t>
  </si>
  <si>
    <t xml:space="preserve">• A favorable HO Acord app PRIOR to binding - confirming no lapse, no losses, occupation, etc. (as you noted)
• Confirmation of 150' brush clearance (PCQ says 100')
• Please obtain details and refer back for review if there is a business on the property.  I found info about some kind of business at this address when I was reviewing the risk online:  https://www.google.com/search?q=+calamity+malibu+ca&amp;oq=+calamity+malibu+ca&amp;gs_l=psy-ab.3...17386.19776.0.20657.10.10.0.0.0.0.142.1142.0j9.9.0..3..0...1.1.64.psy-ab..1.6.801...0j0i67k1j0i7i30k1.pagTZK43ftA
</t>
  </si>
  <si>
    <t>Tom &amp; Shelly</t>
  </si>
  <si>
    <t>2006 risk in gated community w/alarms. Nice online photos. Low brush.</t>
  </si>
  <si>
    <t>No online concerns</t>
  </si>
  <si>
    <t>Thrall</t>
  </si>
  <si>
    <t>Atlantic City</t>
  </si>
  <si>
    <t xml:space="preserve">Agent inquiring if 2 condo units in a multi-unit building can be together on one policy or separate. They've been on an HO-6 together. </t>
  </si>
  <si>
    <t>Need new apps with all info completed and update info.</t>
  </si>
  <si>
    <t>Kaleka</t>
  </si>
  <si>
    <t>Virender &amp; Kuljeet</t>
  </si>
  <si>
    <t>Madera</t>
  </si>
  <si>
    <t>2006 home not in brush with full alarms. App says PC 8/9. 5 mi; 750'.  Email cover says 8. Flat roof. $5000 deductible. PPC I ran shows PC10.</t>
  </si>
  <si>
    <t>Frangieh</t>
  </si>
  <si>
    <t>Sultaneh</t>
  </si>
  <si>
    <t>Coatesville</t>
  </si>
  <si>
    <t>completed app, pic of Franklin stove - need questionnaire.</t>
  </si>
  <si>
    <t>Richards</t>
  </si>
  <si>
    <t>Byron</t>
  </si>
  <si>
    <t>Eligibility</t>
  </si>
  <si>
    <t>Steel airplane hangar owned by insured is located at a small regional airport. Used for storage, nothing hazardous. Insured used to own a plane. No concerning exposures in the area. Good security.</t>
  </si>
  <si>
    <t>Siegel</t>
  </si>
  <si>
    <t>Contents for COC</t>
  </si>
  <si>
    <t>Insured is having house gutted. There is a detached garage that will remain untouched. Insured will store $70K of contents in it. Garage is locked. Insured is renting house in the neighborhood. No one has access to garage except insured.</t>
  </si>
  <si>
    <t>Johnnie</t>
  </si>
  <si>
    <t>Clinton</t>
  </si>
  <si>
    <t>1989 home updated. In home daycare 6 kids,, licensed for 12. GL in place. 2 prior wind losses $2K 11/14; 7K 5/16.</t>
  </si>
  <si>
    <t>Okay excluding liability. Found and reviewed Safe Haven Child Care online.  Professional, nothing concerning (x-liab).</t>
  </si>
  <si>
    <t>Epstein</t>
  </si>
  <si>
    <t>Santa Rosa Valley</t>
  </si>
  <si>
    <t>1980 dwelling w/tile roof. Email says PC9. PCQ says PC10. PPC says 10W which is 10. 13 min drive time by paid FD. 6.9 miles away with hydrant. $43K water damage claim in 2015 - pipes replaced per app. Agent applied $25K water damage ded. Jeff to correct rating to in brush. There is a garage w/apartment but it is not rented.</t>
  </si>
  <si>
    <t xml:space="preserve">Correct rate to in brush, correct update info, rate as PC10.  </t>
  </si>
  <si>
    <t>Stradella Land LLC</t>
  </si>
  <si>
    <t>Acceptable LLC form</t>
  </si>
  <si>
    <t>Builders risk ground up construction. Property will be fenced. GC managing project.  Low brush, although there is brush nearby per RM.</t>
  </si>
  <si>
    <t>Merrill</t>
  </si>
  <si>
    <t xml:space="preserve">Douglas  </t>
  </si>
  <si>
    <t>1935 home updated in 2001. Roof fully replaced in 1995 (wood shake). Alarms. 6/24/15 CAT wind/hail loss. $142,458 paid by Chubb to replace roof. It has not been done as insured is waiting for Tesla solar shingles to come to market in his area. Lapse for non pay since 11/16.</t>
  </si>
  <si>
    <t>Delta/Leslie</t>
  </si>
  <si>
    <t>McCray</t>
  </si>
  <si>
    <t>Ron</t>
  </si>
  <si>
    <t>2006 home in brush w/200'clearance on 20 acres. 5 min response time. In ground pool leaks - applying existing damage excl. Insd will be replacing. Prior CA/NRN question on app is "yes", no explanation. Insd is CEO of Sac Ice.</t>
  </si>
  <si>
    <t>Reason for yes answer? Consider pool exclusion. Confirm no business - provided web info.</t>
  </si>
  <si>
    <t>3 year FireLine score is 10 (100% likelihood of hail damage every 3 years).  2 years since loss-damage not repaired. Negligible FireLine score.</t>
  </si>
  <si>
    <t>Condo in CA, not in brush. $300K prior liab loss. Son and friend in dingy that was hit going to insured's yacht. No info on whether son was at fault or negligent.</t>
  </si>
  <si>
    <t>Allowed x-liab. If they want liab, let us know more of the story about son being at fault or negligent.//9/8 more info indicates okay to write premises liability only. No boat or umbrella. // 9/12  another request received to add liab. Sent copy of the 9/8 approval to add prem liab. Discussed w/Rachel and this is not available. I was responding to reasonableness of the request and didn't check forms. Revised terms back to x-liab.</t>
  </si>
  <si>
    <t>James  BHX100079</t>
  </si>
  <si>
    <t xml:space="preserve">Inspection shows horizontal balusters. Are we okay with those? Appear to be no more than 4" apart. </t>
  </si>
  <si>
    <t>Confirm no more than 4" space.</t>
  </si>
  <si>
    <t>Cacti Towers LLC</t>
  </si>
  <si>
    <t>Rio Grande City</t>
  </si>
  <si>
    <t>1977 home updated in 2010 w/2012 metal roof update. New purchase. 10 other structures including carports, guest houses, bathrooms, storage barn, equip canopy, greenhouse.</t>
  </si>
  <si>
    <t>Law Offices</t>
  </si>
  <si>
    <t>Insured purchased a "home" using as an office. ADM market declined, can we quote in E&amp;S.</t>
  </si>
  <si>
    <t>This would be a commercial exposure since there is no residential use.</t>
  </si>
  <si>
    <t>Acosta, Rolando  BWH108556</t>
  </si>
  <si>
    <t xml:space="preserve">Additional questions:
• 30 cattle - what are they used for?  Are they related to the trucking business, or a separate business?  Are cattle bought and sold?  Amy slaughtered or other processing activities on premises?
• How far apart is the trucking business garage from the dwelling?  (It looks about 40 feet in the online aerial view - please confirm)
• What are the actual activities of the trucking business
• Are they hauling products?  What kind? Anything hazardous? Any storage of hauled items on property?
• Is the truck repair on the premises for repair of their fleet or is this a mechanic operation? (Asking to determine the extent of fire hazard near the dwelling)
If terms are offered they will be subject to:
• Specific exclusion of all buildings and barns used for the trucking business and the cattle (using the Building Exclusion form)
• Total Business exclusion
• Animal exclusion
• GL policy in place
• All uw questions on the app answered (some are blank)
• PCQ
• Confirmation no employees ever go into or around the dwelling//Received addl info and agreed to remain on risk subject to items listed.
</t>
  </si>
  <si>
    <t>Habibi</t>
  </si>
  <si>
    <t>Mehdi  HUCAH1500001013</t>
  </si>
  <si>
    <t>1988 home being rewritten from Lex. Full inspection in file. Old app will be replaced. No riskmeter. HWT appears gas powered.</t>
  </si>
  <si>
    <t>Current app, risk meter and rate, clear 3' to gas appliances.</t>
  </si>
  <si>
    <t>Czeschin</t>
  </si>
  <si>
    <t xml:space="preserve">3 structures on premises. Primary home and 2 fourplexes that occupy full time long term tenants. </t>
  </si>
  <si>
    <t>3 separate policies all with separate liability charges.</t>
  </si>
  <si>
    <t>Lonsbury</t>
  </si>
  <si>
    <t>Mark</t>
  </si>
  <si>
    <t xml:space="preserve">1969 home, no update info. Was with Markel last year and lapsed 2/26/17. </t>
  </si>
  <si>
    <t>Ins score reveals bankruptcy that was not disclosed. On this app, not all uw questions are answered and no update info on 1969 home.</t>
  </si>
  <si>
    <t>Kate</t>
  </si>
  <si>
    <t>Nina</t>
  </si>
  <si>
    <t>Crestline</t>
  </si>
  <si>
    <t>Insured is friends with Kat Von D and describes herself as an actress. Mostly insignificant movies. Not much online info. Online photos show baluster concern.</t>
  </si>
  <si>
    <t>Subj to acceptable balusters.  Agent has positive info noted in email in file. Agt knows business manager. Insd is moving to find a more quite lifestyle.</t>
  </si>
  <si>
    <t>Ribelin</t>
  </si>
  <si>
    <t>Roy</t>
  </si>
  <si>
    <t>1954 home updated. Open claim from Hurricane Harvey. Shingles blown off, no flood damage. Jill proposing with roof excl and existing damage excl.</t>
  </si>
  <si>
    <t xml:space="preserve">Concerned with storm so recent. Suggest stay with Scottsdale exp 3/11/18. </t>
  </si>
  <si>
    <t>Emaiol</t>
  </si>
  <si>
    <t>Arusy</t>
  </si>
  <si>
    <t>Eitan</t>
  </si>
  <si>
    <t>Silver Spring</t>
  </si>
  <si>
    <t>1964 home updated. Risk has 5 prior losses. 3 of them were from an issue with tree roots growing in plumbing 5/16-6/16. Plumbing replaced in entire home. Tree issue fixed.  5/13/16 wind $675. 4/17 water $866 window sill leak. Windows have been updated. Write w/20% surcharge?</t>
  </si>
  <si>
    <t>Approved w/50% surcharge and suggested 2500 ded.</t>
  </si>
  <si>
    <t>Donald</t>
  </si>
  <si>
    <t>Robert &amp; Andrea</t>
  </si>
  <si>
    <t>Odessa</t>
  </si>
  <si>
    <t>Earth home</t>
  </si>
  <si>
    <t>1983 home w/ updated roof. Prev inspection in file is okay. Outbuildings excluded. Contents excluded. No water damage since quoting as DP1. Usage unclear. DP1, but app says secondary and rental.</t>
  </si>
  <si>
    <t>Answer to prior ca/nrn question. Confirm occupancy. (Does not make a difference to terms, just need to note file.)</t>
  </si>
  <si>
    <t>Discussing w/Louisa&gt;&gt;Jeff - Declined</t>
  </si>
  <si>
    <t>Not comfortable with the history and feel this is a physical damage exposure as well as a liab exposure.</t>
  </si>
  <si>
    <t>PCQ, requote at PC10, 15 minute response time//9/11 Got PCQ-can't read name of primary responding FD. Agent noted PC9 on the PCQ - verifying with Leslie as we show it should be PC10. // 9/14/17 Info provided confirms this should be PC10, not PC8 or 9 as noted in the submission and PCQ.  11 minute response time, 6.9 miles.</t>
  </si>
  <si>
    <t>Spurlock, Andrew</t>
  </si>
  <si>
    <t>Rios</t>
  </si>
  <si>
    <t>Mauricio &amp; Heather</t>
  </si>
  <si>
    <t>Cedar Glenn</t>
  </si>
  <si>
    <t>Actor</t>
  </si>
  <si>
    <t>actor, secondary home</t>
  </si>
  <si>
    <t>Online info OK, very low key, no large projects recently (or ever from what I can locate) restricted liab on secondary home anyway.</t>
  </si>
  <si>
    <t>Odland</t>
  </si>
  <si>
    <t>Derrick</t>
  </si>
  <si>
    <t>DP3-Rental</t>
  </si>
  <si>
    <t xml:space="preserve">BWD105548-renewal w/ no prior approval,
Frame, tenant, built in 2012, no losses, PC4, in brush, located in CA, inspection attached
</t>
  </si>
  <si>
    <t xml:space="preserve">Per online review, home now has indoor pool in spa. Advised OK to renew, but needs to be sure properly secured. </t>
  </si>
  <si>
    <t xml:space="preserve"> requested reason why was not originally sent before binding</t>
  </si>
  <si>
    <t>Declined request for additional credit to decrease $972 renewal premium increase. KB 09/06/2017</t>
  </si>
  <si>
    <t>Estate of Linda Gerace</t>
  </si>
  <si>
    <t>Mount Airy</t>
  </si>
  <si>
    <t>1972 build-plumbing.roof updated, MFRC applied</t>
  </si>
  <si>
    <t>no concerns</t>
  </si>
  <si>
    <t>Piuma Properties</t>
  </si>
  <si>
    <t>2009 home w/central alarms and sprinkler. In high brush, but aerial view looks okay. Agent will enforce 150' clearance and get corp quest for LLC.</t>
  </si>
  <si>
    <t>1738 Golf Lane LLC</t>
  </si>
  <si>
    <t xml:space="preserve">HO6 Secondary    </t>
  </si>
  <si>
    <t>1983 risk updated. Insd uses as secondary, never rented. Insured is a businessman in the community. No adverse info at all.</t>
  </si>
  <si>
    <t>Marshal &amp; Cara</t>
  </si>
  <si>
    <t>Furlong</t>
  </si>
  <si>
    <t>New construction. Insd is an attorney and has an open defamation liability claim filed against his business. No details. Also 2 prior water losses and a loss in 2012 for guests spilling drinks $2400 paid.</t>
  </si>
  <si>
    <t>Need details of liab loss. Leaning toward no as 2012 drink spill loss raises red flag for claims conscious insured. 2 water losses not a concern as they sounded legit and this is a new build. Researched online looking for the defamation case. Insd is a business law atty for real estate, non profit, and corporate law.</t>
  </si>
  <si>
    <t>Agent replied to my proposal saying they found an alternative offer excluding liab, I can close the file.</t>
  </si>
  <si>
    <t xml:space="preserve">Vincent </t>
  </si>
  <si>
    <t>2013 home in medium brush with alarms.  No adverse online info. Online photos looks good.</t>
  </si>
  <si>
    <t>Remind agent of $5M TIV limit.</t>
  </si>
  <si>
    <t>Morgan</t>
  </si>
  <si>
    <t>Janell &amp; Mark</t>
  </si>
  <si>
    <t>Insured grows veggies and crops and sells them at farm market. No employees. Owns 7 acres, but only part of this is garden. Was on a hobby farm policy with QBE.</t>
  </si>
  <si>
    <t>Apply Total Business Exclusion. Suggest small GL for business. Agent will recommend UFI policy to retailer.</t>
  </si>
  <si>
    <t>Dashnaw</t>
  </si>
  <si>
    <t>Insured purchased a $25,686 engagement ring and wants to add to policy. No losses. Insured for 1 year with Markel.</t>
  </si>
  <si>
    <t>Agt authority is $25K. Ring will be won all the time. Makes sense with Cov A. Agt has appraisal.</t>
  </si>
  <si>
    <t>Lakesha</t>
  </si>
  <si>
    <t>Milwaukee</t>
  </si>
  <si>
    <t>Daycare</t>
  </si>
  <si>
    <t>1919 home minor updates, roof exclusion, no losses. Lapse since 7/13/17. Daycare for 8 kids. May be getting GL. Consider with liab and TBE.</t>
  </si>
  <si>
    <t>Due to lapse. (Also advised Jill of concern with insurance score. Adverse information)</t>
  </si>
  <si>
    <t>Score under 600 with judgements and collections</t>
  </si>
  <si>
    <t>Teaneck</t>
  </si>
  <si>
    <t>Agent says new purchase, may be renovated, currently has a desk and works there. No running water. Electric only. 1935 home with some updates. Online photos show 2014 purchase which is supported by app included from 2014. Ins score poor.</t>
  </si>
  <si>
    <t xml:space="preserve">Agents says new purchase, but the app shows purchase date of 7/2014 which matches what I find online.  In fact, the attached app is from 2014, which must be when the insured purchased.  FYI - Insurance score is poor.  Risk is currently vacant and appears to have been for almost 3 years.  Currently used for business purposes.  Possible plan to apply for a loan for renovations, but no guaranty this will happen. (May not be able to with their score, and it hasn't happened yet.)
Based on current use as business, the fact it has been vacant possibly for 3 years, and the fact that we don't have solid plans in process to renovate for occupancy, I would say this best belongs on a commercial policy.
My guess is it might be in the midst of renovation and they ran out of money.  (No running water?)  Or they've been applying for loans and have been unsuccessful and decided to use it as an office vs. leaving it empty.  
</t>
  </si>
  <si>
    <t>Wagner</t>
  </si>
  <si>
    <t>Michelle &amp; Augustus</t>
  </si>
  <si>
    <t>White Bear Lake</t>
  </si>
  <si>
    <t>Open fire loss</t>
  </si>
  <si>
    <t xml:space="preserve">1996 home w/ $352K open fire loss, and 2 2015 losses - pipe burst $14K, hail $16K. Fire dept report says cause is undetermined and there would be further investigation. </t>
  </si>
  <si>
    <t>650-690 scores. 3 bankruptcies, late mortgage payment, repo.</t>
  </si>
  <si>
    <t>Researched online.  Ran insurance score - extremely adverse info - called Jill to discuss</t>
  </si>
  <si>
    <t>West Of LLC</t>
  </si>
  <si>
    <t>West Of is an LLC entity formed for ownership of the one rental property.  JKS-CMSV LLC is an entity that is managing the leasing. There was a request to add them as Addl Insd. Alison talked to them to clarify and they agreed Addl Int is ok. Both entities have the same members.</t>
  </si>
  <si>
    <t>Christopher &amp; Patricia</t>
  </si>
  <si>
    <t>2000 home w/roof replaced after $44K CAT hail claim 6/21/15. Also 11/16 $72K water backup in toilet. No backup quoted. All damages repaired. Insd is owner of Lodo's Bar &amp; Grill chain in CO. Also has SPP which I will refer to Jamie Gregory. NRN due to losses.</t>
  </si>
  <si>
    <t>Blandford</t>
  </si>
  <si>
    <t>Jeff &amp; Lori</t>
  </si>
  <si>
    <t xml:space="preserve">Coronado </t>
  </si>
  <si>
    <t>In process construction</t>
  </si>
  <si>
    <t xml:space="preserve">No scheduled jewelry.  Ran hail score. 3 year is a 10.  However, this is a newer roof, we are generously surcharging, and we have a 1% wind/hail deductible (per guidelines).  </t>
  </si>
  <si>
    <t>New ground up that the insureds thought the contractor was insuring. He was not. 60% complete, started in Jan. Expect 6-8 months. Home is locked, secured, fenced. Licensed GC. Agent added 10% s/c for mid-term. Rate is appx $5858 + s/c.</t>
  </si>
  <si>
    <t>Sinclair</t>
  </si>
  <si>
    <t>Cynthia</t>
  </si>
  <si>
    <t xml:space="preserve">1948 home with only roof update. Many app questions re systems are blank. Insd has weddings and events on premises but not in the house. Aerial photo provided, but not sure what it is depicting. Prior hail loss 6/17 $3698. </t>
  </si>
  <si>
    <t>Bass</t>
  </si>
  <si>
    <t>Insured is adding 2 interior walls in a basement. Do they need a COC</t>
  </si>
  <si>
    <t>This is pretty basic.  At most a couple of outlets would be run. Insured having work done by a contractor. No COC needed.</t>
  </si>
  <si>
    <t>Maconick</t>
  </si>
  <si>
    <t>Rupert</t>
  </si>
  <si>
    <t xml:space="preserve">2 month lapse. 1962 home. Insd owns an ad agency. He didn't pay renewal. </t>
  </si>
  <si>
    <t>Signed no loss.  Ins Score is great.</t>
  </si>
  <si>
    <t>Story went on and on and on and changed multiple times. Final info is that JKS LLC will not be listed at all. This is STR and no business use. Advised Alison not to proceed any further trying to nail down JKS interest since they are not going to be listed. It won't change the form.</t>
  </si>
  <si>
    <t xml:space="preserve">$360K total loss . Insd was a witness to a restraining order violation and the offender burned down their house in 4/2016. COC almost done.  Wants a policy when it's complete in October.  2nd loss was $70K water damage. While roof was in process there was rain damage. Agt will be surcharging for 2 losses plus 10% addl due to size of loss. </t>
  </si>
  <si>
    <t>Nasri</t>
  </si>
  <si>
    <t>Sira</t>
  </si>
  <si>
    <t>12/16 $50K and 6/17 $32K pipe break losses.  Home is 1994. Extensive repairs/tearout completed. Pipes repaired/replaced. Agt quoting $25K water damage ded.</t>
  </si>
  <si>
    <t>No concerning online info. Full claim detail in file. Good deductible.</t>
  </si>
  <si>
    <t>Hakim</t>
  </si>
  <si>
    <t>Said &amp; Julia</t>
  </si>
  <si>
    <t xml:space="preserve">1926 builders risk. Julia is the daughter and will occupy the home upon completion. Rate is coming in around .31. Non brush. </t>
  </si>
  <si>
    <t>Agt may apply some discretionary credit.  I would suggest only a small amount as this is a builders risk and currently an older home. Very nice online photos.</t>
  </si>
  <si>
    <t>Day</t>
  </si>
  <si>
    <t>Dennis &amp; Janice</t>
  </si>
  <si>
    <t>Rate relief</t>
  </si>
  <si>
    <t xml:space="preserve">VMGA rate $3334. Scottsdale rate $2377. (We have $10K backup) </t>
  </si>
  <si>
    <t>Ran CQ rater, can't beat our rate.</t>
  </si>
  <si>
    <t>See file.</t>
  </si>
  <si>
    <t>Reviewed with Bethany. Ran Tiger. Worked with Tiger over 2 days. Issue w/CQ rater. Resolved, but not getting a favorable rate. Much back and forth.</t>
  </si>
  <si>
    <t xml:space="preserve">High brush per RiskMeter outside Aspen.  FireLine is Moderate 3. 16-20 min response time from paid FD.  Alarms.  PC10.  Lex is quoting $21,893.  Our rater comes in at $17,354 (.37).  </t>
  </si>
  <si>
    <t>Vensel</t>
  </si>
  <si>
    <t>Eric &amp; Theresa</t>
  </si>
  <si>
    <t>Aspen</t>
  </si>
  <si>
    <t>Ferguson</t>
  </si>
  <si>
    <t>Esther</t>
  </si>
  <si>
    <t xml:space="preserve">3 story dwelling/condo with roof last replaced in 1987. Karen says it is in great shape per Zillow. They applied roof exclusion but retailer wants it removed on this newly written risk eff 9/22/17. </t>
  </si>
  <si>
    <t>Can consider removing excl when the insp comes back (must come to me for review). Meanwhile, I am willing to allow ACV roof vs Excl due to business Charlotte writes with us and that this is one of their great agents.</t>
  </si>
  <si>
    <t>532 Huntley LLC</t>
  </si>
  <si>
    <t xml:space="preserve">2 duplexes 1913 updated in 1990, ready to be updated again. We prev insured for 9/15-9/16 term. Uninsured since then. Homes were good condition then. Insd busy with many property deals and lost track of ins. Has assistant now. </t>
  </si>
  <si>
    <t>Signed no loss and 15% surcharge.</t>
  </si>
  <si>
    <t>Montoya</t>
  </si>
  <si>
    <t>Janiece</t>
  </si>
  <si>
    <t>11/16 and 1/17 water backup. 7/16 leaking pipe. Agent writing on HO-8 (named perils excludes water)</t>
  </si>
  <si>
    <t>Perez</t>
  </si>
  <si>
    <t>Victor</t>
  </si>
  <si>
    <t>Glenbrook</t>
  </si>
  <si>
    <t>Daly</t>
  </si>
  <si>
    <t>Melanie &amp; Timothy</t>
  </si>
  <si>
    <t xml:space="preserve">Approved with either animal excl or limited animal liab form.  Compliance has confirmed (and Jeff too) that we are comfortable with our limited animal liab form even if excluded dog or dog that bit. Open liab claim is not a worry that it could come back to us. </t>
  </si>
  <si>
    <t>Republic National Inc</t>
  </si>
  <si>
    <t xml:space="preserve">Apopka </t>
  </si>
  <si>
    <t xml:space="preserve">1970 dwelling owned by corporation (commercial land surveyors). Owner stays here seasonally along with other family members and employees when they work in the area. </t>
  </si>
  <si>
    <t>Total business exclusion. Prem liab only.</t>
  </si>
  <si>
    <t>Lance</t>
  </si>
  <si>
    <t>Brent  BWD110048</t>
  </si>
  <si>
    <t>Change from prior referral</t>
  </si>
  <si>
    <t>See July 7 email and prior May 25 entry on this log about this risk.  Insured is now moving in and requesting increased limits</t>
  </si>
  <si>
    <t>Johnston</t>
  </si>
  <si>
    <t>Lincoln</t>
  </si>
  <si>
    <t>1948 or 1970 dwelling tenant occupied by insured business partner. New purchase. LLC formed in May 2017. Insured will be building a commercial kitchen in the detached garage. He and tenant/partner will produce hot sauce for sale at local markets. No sales from garage.</t>
  </si>
  <si>
    <t xml:space="preserve">See 9/22/email for list of questions re business.  If we are able to proceed it will be subject to:
• Total Business Exclusion form
• No other structures coverage or exclusion of the detached garage using the Building Exclusion form
• GL in place
• Roof exclusion is roof has not been replaced in last 25 years (no update per app)
• Possible 10-20% surcharge due to increased exposure to the dwelling from the business on the premises.
</t>
  </si>
  <si>
    <t>Must have at least 15 feet separation from the dwelling and confirmation of proper commercial suppression equipment.</t>
  </si>
  <si>
    <t>Rombalski</t>
  </si>
  <si>
    <t>Megan &amp; Rom, Jordan</t>
  </si>
  <si>
    <t>Tucson</t>
  </si>
  <si>
    <t>1984 home updated. 1 prior loss 7/17 water heater leaked-closed/repaired. Insd has salon in the garage. (Not known if attached or detached) Has business policy. Zoned commercial.</t>
  </si>
  <si>
    <t>Mt. Bethel</t>
  </si>
  <si>
    <t>Ground up construction. Insd has a barn and cottage on the property. $100K contents being stored in them. (They have $210K, but we are only going to give $100K.)  They will be moving back into the home after construction.</t>
  </si>
  <si>
    <t>Structures in good condition. Locked and secured. .47 rate competitive with other markets.</t>
  </si>
  <si>
    <t>Jarrell</t>
  </si>
  <si>
    <t>Tina &amp; Glen</t>
  </si>
  <si>
    <t>Regen</t>
  </si>
  <si>
    <t>Details coming. Insured buying a new townhouse. Prior loss is from insured's 17 y/o autistic son. Cooking a pop tart,, it caught on fire. He put the toaster in the trash can to put it out. $236K damage. *Insured has hired a caregiver. Son will be supervised at all times. Central Alarms. Open claim is only for permit reimbursement and holdback for contents RC $2K total. Prior carrier is State Farm and they nonrenewed due to loss.</t>
  </si>
  <si>
    <t>Asked Delta if VMGA had any credit applied yet (since agent has discretionary)// Declined to match the rate due to 1974 secondary w/flat roof. No online info or photos to give me any additional comfort level.</t>
  </si>
  <si>
    <t>If we got up around $20K it would be .42.  It’s an amazing property  https://www.realtor.com/realestateandhomes-detail/79-Wind-River-Rd_Carbondale_CO_81623_M19974-24241#photo22.// 9/22 Agent asking if we can do .38 to  beat the AIG direct rate by 17%</t>
  </si>
  <si>
    <t>Referred rate to Jeff for review. He agreed anything between technical rate of .37 and Lex is okay with him.</t>
  </si>
  <si>
    <t xml:space="preserve">Gave indication we can approve if fire marshal report checks out and everything is okay with the submission. Reviewed app, all looks okay. Subj to:   • Surcharge for loss + 10% additional surcharge because it is a large loss
• Please forward fire marshal report so I can review
• Rate as PC9
• Son has full time supervision by caregiver or insured
</t>
  </si>
  <si>
    <t>The Estate of Richard Fagher</t>
  </si>
  <si>
    <t>Akron</t>
  </si>
  <si>
    <t>1990 dwelling w/some updates.  Home for sale, son living there. Father passed away) Alarms. Online photo shows diving board.</t>
  </si>
  <si>
    <t>Apply pool exclusion or remove diving board.  Sent photo.</t>
  </si>
  <si>
    <t>Merkel</t>
  </si>
  <si>
    <t>Timothy &amp; Beth</t>
  </si>
  <si>
    <t>Muncie</t>
  </si>
  <si>
    <t>TIV/Large loss</t>
  </si>
  <si>
    <t xml:space="preserve">1992 dwelling that suffered a total fire loss on 7/28/17. Fire marshal report in file-undetermined cause. Also 3/16 $48K hail loss. </t>
  </si>
  <si>
    <t>Provided confidential list of concerns to Jill.</t>
  </si>
  <si>
    <t>750-is ins scores. Doesn't appear over-extended. However, 5 adults live in the house and work at the restaurant. $1.3M RC; $589K Market value. House for sale for a year prior to the fire. Value $675K reduced over the year to $499,900, plus the renovated and replaced appliances. Appears hard to sell. Alarm on when all left for work - no smoke detectors per report. Fire reported by neighbor at noon. Also found PMB Aircraft parts at the property owned by Mike Bristow. Not sure who this is. Didn't mention it since we are declining. Spent a lot of time on this risk because the scores were decent and I wanted to provide a helpful declination.</t>
  </si>
  <si>
    <t>Great Lake Plumbing Co</t>
  </si>
  <si>
    <t>MPLCO00001106</t>
  </si>
  <si>
    <t>Insured pursuing lawsuit for siding, trim and fascia that was supposed to have a lifetime warranty and there is damage. Can we renew the risk?</t>
  </si>
  <si>
    <t>Provided there is no water/weather infiltration, okay to renew.  If there is an issue, nonrenew.</t>
  </si>
  <si>
    <t>Generator</t>
  </si>
  <si>
    <t xml:space="preserve">Applicant is Amish and power is from a gas powered generator. </t>
  </si>
  <si>
    <t>• Entrance to salon is separate from the entrance to the dwelling
• No tanning beds if the garage is attached or within 15 feet of the dwelling
• No more than 2 chairs if the garage is attached or within 15 feet of the dwelling
• Exclude the garage structure if it is detached using the Building Exclusion
• Apply Total Business Exclusion
// 9/25 heard back. Attached, separate, no tanning, 1 chair. Approved w/TBE.</t>
  </si>
  <si>
    <t>Watkins Property Management</t>
  </si>
  <si>
    <t>2006 condo with 4 units. Insd has a property management co office in one and rents 3 others on a short term basis. Can't tell if owner lives here or just has their office here. Separate access to office. Has commercial policy in place. Quoted with Total Business Exclusion</t>
  </si>
  <si>
    <t>Must have owner occupancy to qualify. Otherwise, this is office and rental and should go commercial.  Could not tell from description if owner lived here.</t>
  </si>
  <si>
    <t>This is a condo exposure, so .21 rate is okay.</t>
  </si>
  <si>
    <t>Haldeman</t>
  </si>
  <si>
    <t>Noel &amp; Mary Ellen</t>
  </si>
  <si>
    <t>N Wildwood</t>
  </si>
  <si>
    <t>2005 frame dwelling visible to neighbors. 2% wind/hail. Lloyds $1951. Agent wants to match which would require a 12% total credit.</t>
  </si>
  <si>
    <t>Eberle</t>
  </si>
  <si>
    <t>Karl</t>
  </si>
  <si>
    <t>Iliamna</t>
  </si>
  <si>
    <t>AK</t>
  </si>
  <si>
    <t>1980 home with updates. No alarms. 1 mile from DF with no hydrants, but response time estimated to be over 15 minutes from volunteer fire department. Pricing is .53.</t>
  </si>
  <si>
    <t>About House</t>
  </si>
  <si>
    <t>Policy term</t>
  </si>
  <si>
    <t xml:space="preserve">Home is in contract and will be closing a few days after the expiration date. Agent wants to quote a 30 day pro rated premium. </t>
  </si>
  <si>
    <t>Fully earned.</t>
  </si>
  <si>
    <t>Rhodes</t>
  </si>
  <si>
    <t>Kansas City</t>
  </si>
  <si>
    <t>1970 home w/updated roof. Prior hail loss. Dwelling is a rental and occupied with full time tenant. There is a detached structure with an office. Insured employee goes there 2-3 days week to pay bills for Commercial Landscaping business. GL in place.</t>
  </si>
  <si>
    <t>Greenberg</t>
  </si>
  <si>
    <t>Lorraine</t>
  </si>
  <si>
    <t>Long Grove</t>
  </si>
  <si>
    <t xml:space="preserve">1992 dwelling, no losses. Nice online photos. Wiring and heat updated in 07. </t>
  </si>
  <si>
    <t xml:space="preserve">• Please ensure interior inspection is ordered so we can confirm quality of renovation and electric, plumbing, and heating condition.  Make sure second floor is inspected to look for signs of roof leak issues.  (Common in these type of buildings.)
• Complete answers to underwriting questions received with bind request - several critical questions have been left blank.
</t>
  </si>
  <si>
    <t>Blank</t>
  </si>
  <si>
    <t>Benvel</t>
  </si>
  <si>
    <t>Very little info at this time. Just looking for market open to the scenario. Our concern would be that the system would be left unattended and pipes would freeze. Considering Amish lifestyle (farming, wife/kids at home more frequently) that is not as much a concern. Feel this could be an okay risk if everything else checks out. Needs to be updated electrical system, etc. //9/26 updates in 2010. PPC shows 6/6Y which could be 6 or 9. Agent quoted 8. Changed to 9 and gave premium of $1819.</t>
  </si>
  <si>
    <t>Make sure this was issued as a PC9 or that there is info on a hydrant within 1000'</t>
  </si>
  <si>
    <t xml:space="preserve">I was just over 6 hours turnaround on this one.  I worked an audit in the morning and in the afternoon when I went to work referrals, I had internet issues. </t>
  </si>
  <si>
    <t>Starr</t>
  </si>
  <si>
    <t>Johnathan</t>
  </si>
  <si>
    <t>Little Grass Valley</t>
  </si>
  <si>
    <t>2017 new construction almost complete. Local alarms only with sprinklers and cameras outside.  No online photos. Inspection provided - looks good. List of construction remaining is minimal. Even if insured is doing (lic contractor), it is minimal cosmetic.</t>
  </si>
  <si>
    <t>Myrtle Beach</t>
  </si>
  <si>
    <t>1958 dwelling with updates. Nice online photos. Online sources say 1938. MFRC quoted.Alarms. Mortgage requires 2% ded. (We require 3%)</t>
  </si>
  <si>
    <t>Cooper</t>
  </si>
  <si>
    <t>Matthew  BWH100194</t>
  </si>
  <si>
    <t>Renewal with new loss</t>
  </si>
  <si>
    <t>2005 home in brush. Approved last year. Has new water loss since - 12/16 fridge line leaked. $14K paid. Agt quoting with $10K water damage ded. $5K AOP</t>
  </si>
  <si>
    <t>Kebert</t>
  </si>
  <si>
    <t>Sandra &amp; Dewey  HUCAH150002721</t>
  </si>
  <si>
    <t>Pool damage</t>
  </si>
  <si>
    <t>Inspection revealed concrete damage along side of pool. Agt required repair. It is taking a while to get estimates. Agt asking for extension and will add pool exclusion.</t>
  </si>
  <si>
    <t>Advise insured of the excl. It excludes liab for their spa as well as pool and surrounding deck. Sent copy of form. Since it specifically excludes the deck, we are okay allowing all the time they want with the exclusion in place.</t>
  </si>
  <si>
    <t>Theurer</t>
  </si>
  <si>
    <t>Gerd &amp; Laurie</t>
  </si>
  <si>
    <t>Needs a ranch or commercial policy. Response time not eligible.</t>
  </si>
  <si>
    <t>2007 ranch with multiple buildings rented out for weddings, etc per website. VRBO says guests can bring their own horses and use the stable. Risk presented as a secondary vacation rental with 2 structures and a barn for storage. Google search shows 20 min response time. Not in brush.</t>
  </si>
  <si>
    <t>Advise agent to check YOC - online sources show 1938. Referred to product for quoting and review of deductible request. // Obtained premium from product and relayed to agent.  11% surcharge on VMGA rate.</t>
  </si>
  <si>
    <t>Bethany relayed about an 8% surcharge. I increased to 11%.</t>
  </si>
  <si>
    <t>Littlefield</t>
  </si>
  <si>
    <t>Renewal</t>
  </si>
  <si>
    <t>Insured has completed renovation and is now asking for increased coverages which put the risk over $5M TIV.  How do they handle, it's too late to legally NRN.</t>
  </si>
  <si>
    <t>Offer renewal with full amount of Cov A only and offer competing quotes. Suggest to increase rate.</t>
  </si>
  <si>
    <t>Becovic</t>
  </si>
  <si>
    <t>Husein &amp; Ese</t>
  </si>
  <si>
    <t>Phoenix</t>
  </si>
  <si>
    <t>TIV/Loss</t>
  </si>
  <si>
    <t>1984 dwelling currently vacant. Had 2013 water loss (pool pipe leaked flooding basement) over $100K. Added $25K water ded. Nice inspection and online info. Roof updated in 2012. $10K AOP.</t>
  </si>
  <si>
    <t>Kappeler</t>
  </si>
  <si>
    <t>Nan &amp; John</t>
  </si>
  <si>
    <t xml:space="preserve">Huntington Beach </t>
  </si>
  <si>
    <t>2003 home nonrenewed by 21st Century due to 2 claims. 1 pipe burst. 1 open dog bite 8/2017.</t>
  </si>
  <si>
    <t>Blank answer to Q#8, confirm damage repaired.</t>
  </si>
  <si>
    <t>Was the UW question answered?</t>
  </si>
  <si>
    <t>O'Connor</t>
  </si>
  <si>
    <t>Lawrence Richard</t>
  </si>
  <si>
    <t>Mountain Village</t>
  </si>
  <si>
    <t>1990 dwelling used seasonally with up to 12 weeks of STR. Brush clearance. Insured coming from Chubb due to addition of STR.  .20 rate. Would like a touch more, but current prem is $2665 with Chubb. Agent will increase if competition is higher. Believe roof to be asphalt. Will resubmit if woodshake (some online pics look like woodshake)</t>
  </si>
  <si>
    <t>With Chubb 11/17 renewal.// 9/28 addl info from Matt. Remote Eskimo village accessibly by plane or boat to island.  However it is confirmed that the volunteer FD is on the same landmass with 15 minute response. Advised pricing is solid. Make sure we have good Cov A value.</t>
  </si>
  <si>
    <t>Salo</t>
  </si>
  <si>
    <t>Christopher A &amp; Heidi M</t>
  </si>
  <si>
    <t xml:space="preserve">Stockbridge </t>
  </si>
  <si>
    <t xml:space="preserve">1994 home w/updates. Insured operates non-profit ziplining camp on his adjoining property with separate address. Fully insured commercially.  There is a pole barn on that business property used for business.  It was added onto and those additions are on the insured property. Part of the pole barn is used as conference center and restrooms. AO nonrenewed. </t>
  </si>
  <si>
    <t xml:space="preserve">• Commercial policies must remain in place
• Specifically exclude the barn building used by the business that is partially on the insured property (Use the building exclusion)
• Okay to insure personal use structures on the insured property
• Confirm none of the zip line courses are located on the insured property.
• Apply Total Business Exclusion (as you noted)
</t>
  </si>
  <si>
    <t>Separate address and exclusions protect us.</t>
  </si>
  <si>
    <t>Watson</t>
  </si>
  <si>
    <t>Ruth</t>
  </si>
  <si>
    <t>1997 quonset hut renovated to be rental dwelling. Purchase of dwelling and 19 acres $289K. Agent asking for $300K Cov A. App says $30K. Quonset huts have low PSF. Response time over 15 min by volunteer FD and gravel roads.</t>
  </si>
  <si>
    <t xml:space="preserve">Asked agent to check:  • Confirm interior renovation was professionally completed (especially concerned with wiring, plumbing, heating)
• Confirm no business use or business storage – residential use only
• Cov A
• Google shows a 14 minute drive time between the property and the FD.  This is a volunteer FD, gravel roads, so the response time will be over 15 minutes.  We would need to apply a surcharge to the premium for this.  I can determine the amount when we settle on a Cov A.
</t>
  </si>
  <si>
    <t>Holt</t>
  </si>
  <si>
    <t>Lake Almanor</t>
  </si>
  <si>
    <t>Beautiful 2006 home on the lake. $5K AOP, no alarms noted. In brush, trees are trimmed up. Some kind of stove in living room per online photo.</t>
  </si>
  <si>
    <t>4 Lemoye Dr Assoc LLC</t>
  </si>
  <si>
    <t>Cape May</t>
  </si>
  <si>
    <t xml:space="preserve">1900 dwelling with updates within 1000' of water. Electrician scheduled to come in this afternoon after 1:00 closing to remove fuses and knob &amp; tube and replace w/breakers and new wire. Reno involves this and HVAC only. No other renovations planned. .60-.65 rate. </t>
  </si>
  <si>
    <t xml:space="preserve">WBS questionnaire if applicable. Confirm brush clearance. Forested area.  </t>
  </si>
  <si>
    <t>We have a rule, no reno within 2 miles of coast. Online photos show very nice exterior. Somewhat dated interior but good condition. Seems like a good risk with a good rate. //9/28 risk is not knob &amp; tube, it is circuit breakers. Change is to HVAC only. Does not need to be builders risk. Will be secondary only.</t>
  </si>
  <si>
    <t>Addl req to add PI, ID Fraud, ERC.</t>
  </si>
  <si>
    <t>Stevenson</t>
  </si>
  <si>
    <t>2000 home, alarms, not in brush per RM, zip code match 6 high FireLine. Hail score =1. 20 min response time for volunteer FD 3.8 miles away (10 min google drive time). Lex $13,817, a $2K incr over expiring. We are at $14,138. Alison wants to apply a 10% credit for $12,742  .29.  Animal mounts going elsewhere.</t>
  </si>
  <si>
    <t xml:space="preserve">Reviewed w/Jeff   </t>
  </si>
  <si>
    <t>Facter</t>
  </si>
  <si>
    <t>1996 unique and custom Rock Home, new purchase. Concrete and metal structure. Pricing .19. Not in brush. On beach.</t>
  </si>
  <si>
    <t>Reviewed w/Louisa who reviewed w/Jeff. We feel too custom. It will quickly get over $5M.</t>
  </si>
  <si>
    <t>Lupatkin</t>
  </si>
  <si>
    <t>Arroyo Grande</t>
  </si>
  <si>
    <t>1996 risk with local alarm only in brush. Quoted as PC9, no PPC, this looks like PC10. FD is 8 miles away. 15-20 min response. Quest says there is a hydrant.</t>
  </si>
  <si>
    <t>Response time &gt;15, high value, in brush.</t>
  </si>
  <si>
    <t>Dipaolo</t>
  </si>
  <si>
    <t>Marcelo</t>
  </si>
  <si>
    <t>Apply $10K water ded due to losses. Order a roof inspection to verify age.</t>
  </si>
  <si>
    <t xml:space="preserve">2017 New ground up COC, starting after demolition of current dwelling is complete. Will be primary so quoting as HO3. 18-24 month construction w/licensed contractor. Not in brush. </t>
  </si>
  <si>
    <t xml:space="preserve">1940 updated home. Not in brush.  </t>
  </si>
  <si>
    <t>Online review shows this insured is a high profile rapper in addition to ownership of a clothing and cannabis store.  Too high profile.</t>
  </si>
  <si>
    <t xml:space="preserve">Trotts </t>
  </si>
  <si>
    <t>Hamilton</t>
  </si>
  <si>
    <t>New construction with large prior loss. 2/17 painter rags combusted $685K loss. 12/16 freezing pipes $16K. Agent getting info on loss, who is contractor, subro?</t>
  </si>
  <si>
    <t>Request Withdrawn by Jill - insured went elsewhere.  Nice home per online info. Approved 12-13% credit.// Later in the day I got another referral for what looks like the same risk from Jill. Replied to her with a copy and asked for more info.</t>
  </si>
  <si>
    <t xml:space="preserve">WBS quest.  //  9/28 risk is 12 miles from controlled burn Eureka fire. Unable to bind until 100% contained. //10/2 additional request received to consider since insured is without coverage. </t>
  </si>
  <si>
    <t>Discussed w/Louisa.  // 10/2 Referred to Louisa</t>
  </si>
  <si>
    <t xml:space="preserve">Insured closed on 9/28/17 but didn't come in to agents office to sign papers until 9/30/17. (Didn't realize signature was needed to bind) Agent sent to Alex on Saturday. </t>
  </si>
  <si>
    <t>Agreed to backdate with signed statement of no losses.</t>
  </si>
  <si>
    <t>Dollar</t>
  </si>
  <si>
    <t>Tim  BWH106295</t>
  </si>
  <si>
    <t>Osceola</t>
  </si>
  <si>
    <t>Pool exclusion per inspection.</t>
  </si>
  <si>
    <t>Robie</t>
  </si>
  <si>
    <t xml:space="preserve">Resubmit with full info. Fire marshal report. Can consider - not insured's fault. // 10/2 - contractor who caused 2 losses is same contractor they are still using.  </t>
  </si>
  <si>
    <t>Ahouraian</t>
  </si>
  <si>
    <t>Manijeh</t>
  </si>
  <si>
    <t>Good risk given 5% credit to win for great agent. After A+ run, 2 $0 losses found. One was leak under bath that turned out to be under ded and was repaired. Another involved pool water damaging plants and furniture. Details will be developed.</t>
  </si>
  <si>
    <t>Discussed that since both losses will be surcharged. Since $0 confirmed, we will still allow the $5 credit.</t>
  </si>
  <si>
    <t xml:space="preserve">New build 50% complete. No losses, no alarms yet. Perimeter is locked chain, gated community. BR supplement does not note reason for moving risk mid-construction.
</t>
  </si>
  <si>
    <t>Soussel</t>
  </si>
  <si>
    <t>Tempe</t>
  </si>
  <si>
    <t>Gotuaco</t>
  </si>
  <si>
    <t>Margaret</t>
  </si>
  <si>
    <t>Year of construction</t>
  </si>
  <si>
    <t>Risk originally submitted to Burns as 1975, which is the year the condo was converted.  Actual YOC is 1889. Reviewed inspection and EHP.</t>
  </si>
  <si>
    <t>Correct YOC at renewal</t>
  </si>
  <si>
    <t>1931 risk updated in 2005. Decent online photos. Risk was a commercial building with 2 units on 1st floor and apartment on 2nd with attic loft. This is now zoned residential one family. Lower level used for tenant storage. Tenant living on 2nd floor with attic on 3rd. Large parking lot remains. Agent confirmed residential zoning.</t>
  </si>
  <si>
    <t>1923 risk updated. Insd has negative record including sexual harassment and discrimination suits. Consider with and without liab.</t>
  </si>
  <si>
    <t>1928 risk updated. Insd has negative record including sexual harassment and discrimination suits. Consider with and without liab.</t>
  </si>
  <si>
    <t>Asked all the business questions. If we proceed, subj are:  • Apply Total Business Exclusion
• It seems we should be applying functional replacement cost due clear info on app that there have been no updates
• Prior to binding, obtain all missing answers on app about wiring, plumbing and heating.  Most of the fields are blank, and some of these are eligibility issues.
• Order EHP to ensure non-updated systems are operational and safe
9/20 - info came back. sounds okay. website reviewed. replied w/terms.</t>
  </si>
  <si>
    <t xml:space="preserve">Need fire marshal report and police report proving the story. Also asked what security there will be. Offender is in process of being arrested. </t>
  </si>
  <si>
    <t>1974 frame secondary with no losses, no alarms. Full update to FLAT roof in 2010. VMGA=$3048 (.25) . Lloyds=$2595 (.21). appx 15% credit. They are quoting HO5.</t>
  </si>
  <si>
    <t>1988 home remodeled. Prior NRN due to brush (admitted). Expires tomorrow.  On 9/11, the insured's German shepherd bit someone. Mrs is an attorney. There were no marks, person said they were okay, went home and filed suit. No reserve yet. $500K liab requested. Agent says good insured and good risk otherwise.</t>
  </si>
  <si>
    <t>1966 home not in brush.  Prior losses: 10/14 water $0, 11/14 toilet malfunction $115K, 1/17 sewer backup $20K. $5K AOP ded. Flat roof updated in 2000 per app.</t>
  </si>
  <si>
    <t>Prior approval last year. Slight Cov A increase so resubmitted for review. 20 min response time.</t>
  </si>
  <si>
    <t xml:space="preserve">11/11 $100K water loss - kitchen pipes replaced. 6/16 $11K hot water pipe burst under kitchen.  10/16 $8K washing machine pipe burst flooded garage. </t>
  </si>
  <si>
    <t>Asked questions about repairs in 2011. Would probably consider water damage exclusion or at least a $25K ded.</t>
  </si>
  <si>
    <t>Finguerra</t>
  </si>
  <si>
    <t>Kurt &amp; Cheryl</t>
  </si>
  <si>
    <t>Looks fine.  Pointed out issue on inspection - gas grill and bbq grill on small porch.</t>
  </si>
  <si>
    <t>Helltown Holdings LLC</t>
  </si>
  <si>
    <t>BWD106512</t>
  </si>
  <si>
    <t>This is a renewal that was never referred at NB (branch exceeded authority). PC10, 25 min response time, rental in brush.</t>
  </si>
  <si>
    <t>Requested nonrenewal due to brush and 25 min response time.</t>
  </si>
  <si>
    <t>Khodorkovsky</t>
  </si>
  <si>
    <t>Risk expired on 9/29. Alex followed up on 9/28 and again yesterday.  Apparently the agent is no longer with the agency and the emails did not get handled properly. Alex asked about renewal w/o lapse.</t>
  </si>
  <si>
    <t>Can either write with new date or backdate and get SNL. Not insured's fault.</t>
  </si>
  <si>
    <t>Fugger</t>
  </si>
  <si>
    <t>Ed</t>
  </si>
  <si>
    <t>1930 dwelling w/updates.  Remodeling will start in the spring. Needs vacant policy until then. Closing 10/4/17 per agent. App says 10/14.</t>
  </si>
  <si>
    <t>Online photos show possible flat roof. Requested $10K water damage ded.</t>
  </si>
  <si>
    <t>37 Navajo Place LLC</t>
  </si>
  <si>
    <t>Wildwood</t>
  </si>
  <si>
    <t>Ramsey</t>
  </si>
  <si>
    <t>2016 risk with full alarms and sprinkler. PC quest says 8 minute response.</t>
  </si>
  <si>
    <t>My Google search shows FD is 12.7 miles away with 16 min drive time. Paid dept. Approved terms w/25% surcharge bringing rate to about .30. Advised if I have info wrong, to advise correct FD address.</t>
  </si>
  <si>
    <t>Reviewed w/Jeff. We like the risk, nice house. Unit 5 is separate, it's 2 structures. Along with that, one of the units is owner occupied. Agreed to write with 3% surcharge on the technical rate for 4 family.</t>
  </si>
  <si>
    <t>4 family dwelling, 1 unit occupied by owner along with a rented cottage. Agent asking to insure as homeowners 5 family. Usually this would go commercial.</t>
  </si>
  <si>
    <t>Glasco</t>
  </si>
  <si>
    <t>Grace &amp; Goulding, Chris</t>
  </si>
  <si>
    <t>2005 home in brush, no alarms. Confirmed 2.7 mile, 8 min response time.</t>
  </si>
  <si>
    <t>Reference to a business "Dian Glasco Multi Media". Home office okay. Refer back if other.</t>
  </si>
  <si>
    <t>Nelson</t>
  </si>
  <si>
    <t>Granby</t>
  </si>
  <si>
    <t>2017 home 8 miles from the FD. 13 min drive time per Google. Volunteer FD, response time will be longer. App/quest/email says PC9. 8 miles from FD is PC10. 35 acres. 34 acres leased to C Lazy U Ranch which is a Dude Ranch in this community. Owners of homes are giving "membership". Separate road. House is 10,000 feef from ranch. App questions-many marked with "x".</t>
  </si>
  <si>
    <t>Cieslikowski</t>
  </si>
  <si>
    <t>Carl &amp; Cathy</t>
  </si>
  <si>
    <t>Animals and Business on Premises</t>
  </si>
  <si>
    <t>1999 risk rated PC9 by retail agent. Leslie caught and changed to 10. In brush. PC Quest shows 4 miles/7 min. Google shows 8.7 miles/17 min. Insd will have llamas, sheep, cattle for grazing. Will also rent 2 RV spaces.</t>
  </si>
  <si>
    <t>Response time &gt;15, in brush.</t>
  </si>
  <si>
    <t xml:space="preserve">Addl questions if I have wrong info regarding response time.  We could still have some exposure with the animals if there is any breeding or sales with people coming on the property.  Is there any of this, or is it strictly for grazing?
Could we please get some more information on the plans to rent RV storage space?  Will this allow in and out privileges?  Will they just be parked off season with 1-2 expected visits from the owners?  Is there a separate policy for the building rented out for RV storage?  What else is that structure used for?
What other structures are included in the $310,000?  We would need to exclude any used for the animals if there is breeding or sales.  We may need to exclude the building rented out for RV storage.  
</t>
  </si>
  <si>
    <t>1974 home, very nice per online pics. One loss - boat collision $7K. Unknown alarms. Insured is actor who played Greg Brady.</t>
  </si>
  <si>
    <t xml:space="preserve">You are approved to release terms subject to:
• Please exclude liability.  We are comfortable with the property, but uncomfortable offering liability due to insured being high profile.
• Please advise what the $16,175 APPL loss was on 8/5/14.  If anything of concern or indication of negligence or fault, we want to revisit terms
• Home is up for sale per app and online sources - please confirm there is seasonal use, being regularly checked on, and is not vacant
• Central station burglar alarms are required
• Please ensure all underwriting questions are answered - several are blank.  Please resubmit if there are any yes answers of concern
</t>
  </si>
  <si>
    <t xml:space="preserve">Discussed w/Louisa.  Insd doesn't appear to be a concern, but due to high profile, we are excluding liab. Ran IS because house has been for lease and sale for many years. It's &gt;900. </t>
  </si>
  <si>
    <t>Tomta</t>
  </si>
  <si>
    <t>Odette</t>
  </si>
  <si>
    <t>Chatsworth</t>
  </si>
  <si>
    <t>1976 dwelling with various water losses. Quoted with $50K water damage deductible and surcharge about 20% in addition to s/c for the claims.  2/16 slab leak $86K - pipes re-routed. Agt verifying extent. 10/16 pipe leak near tennis court $2435.  2/17 roof leak $181. Assume repairs made-agt verifying.</t>
  </si>
  <si>
    <t>Confirm repairs. Reroute of damaged pipes in slab. $5K premium.</t>
  </si>
  <si>
    <t>Prieve</t>
  </si>
  <si>
    <t>Jason &amp; Michelle</t>
  </si>
  <si>
    <t>1994 dwelling.  Agent quoted and 3 losses were revealed. Bind request came in and 4th loss was discovered. 1.       03/01/15 – dishwasher line broke, damage to flooring and cabinetry in kitchen, but carrier declined to pay, $00 paid out
2.       09/11/15 – AC condenser unit leaked into wall, due to faulty installation (overflow line was not long enough,) $2,581.00 paid out
3.       09/11/16 – AC unit leak again, but after this, they installed an automatic shut-off valve on the AC unit to avoid any future problems, $00 paid out
4.       1/27/2017 – Pipe burst - $38,601
Agent will surcharge for 4 losses and apply a water damage deductible.  $50K required.</t>
  </si>
  <si>
    <t>Hightower</t>
  </si>
  <si>
    <t>Jason B &amp; Julie A Sanchez</t>
  </si>
  <si>
    <t>1991 Dwelling with updated plumbing in 2010. Low brush. PC4 per ISO PPC. App says no prior coverage - can't tell if this is a new purchase.</t>
  </si>
  <si>
    <t>Liab okay, insured not too famous. Why no prior coverage - may need to apply 5% s/c for lapse, 10% for long lapse.</t>
  </si>
  <si>
    <t>Howard</t>
  </si>
  <si>
    <t>Booth</t>
  </si>
  <si>
    <t>Grassy Sounds</t>
  </si>
  <si>
    <t>1941 dwelling with current updates. Could not find online photo. Home will be raised by licensed contractor. No mention of builders risk. Insd is a director/producer.</t>
  </si>
  <si>
    <t xml:space="preserve">.46 rate. Probably builders risk. </t>
  </si>
  <si>
    <t>Verify builders risk. Confirm this is frame, not something unique like houseboat. (Address brings up a marina. Other unique dwellings in that area.) Is it being raised over water? If so, resubmit with full details of contractor plan.</t>
  </si>
  <si>
    <t>Wheeler</t>
  </si>
  <si>
    <t>1974 home w/some updates. Wood shake roof updated in 2005-agent applying ACV roof. Not in brush, so roof okay. Online photos okay.</t>
  </si>
  <si>
    <t>The dishwasher line and the pipe burst are the real pipe concerns. $25K will mitigate future losses.  The AC leak is different and has been mitigated by insured w/ a shut-off. // Lex came back w/$25K ded and lower price. I withdrew terms 10/5/17.</t>
  </si>
  <si>
    <t>Central Palm Properties LLC</t>
  </si>
  <si>
    <t>HO6 Seasonal w/rental</t>
  </si>
  <si>
    <t>Oakland</t>
  </si>
  <si>
    <t>Property with mold/liability claim is a 1940 dwelling. This is a newer condo.  We don't do roof exclusions on condos where we are insuring interior only.</t>
  </si>
  <si>
    <t>1988 seasonal rental condo. 2 night min rental.  Good condition.  Open liab loss at different location in CA.</t>
  </si>
  <si>
    <t>.28 rate. Was going to increase to .30. Since FD is paid and they have alarms, felt we could leave it. Drive time is 13 min.</t>
  </si>
  <si>
    <t>You are approved to offer a quote subject to:
• Explanation of why we are starting a policy when the construction is 50% complete
• Was the home previously insured?  With which carrier, and why is the insured changing carriers
• Answer to these questions may affect eligibility
• 10% additional surcharge applies to VMGA rate since we are coming in mid-construction
//10/5 Agent taking over business for insd. Curr w/Zurich in good standing. Looking for 10/7 renewal alternative terms. Approved w/10% s/c. Asked to make sure Cov A is accurate.</t>
  </si>
  <si>
    <t>Likely we will approve with a surcharge, so I originally offered this with subjectivities.</t>
  </si>
  <si>
    <t>Sovia</t>
  </si>
  <si>
    <t>Nags Head</t>
  </si>
  <si>
    <t>Primary home on top floor with bottom floor rented out for AirBnB with separate entrance. Online photo shows 2 story home. Rented 10 weeks/year. 2001 home.</t>
  </si>
  <si>
    <t>Medlin</t>
  </si>
  <si>
    <t>Frances</t>
  </si>
  <si>
    <t>2005 home rented 22 weeks. Lapse since 8/25/17. Cancelled w/prior carrier and agent just realized it. Online photos show commercial area.</t>
  </si>
  <si>
    <t>6 week lapse - 2 moratoriums since then and this is seasonal.  No way to surcharge</t>
  </si>
  <si>
    <t>Even with Signed No Loss, I would require an in/ext inspection to confirm no storm damage.</t>
  </si>
  <si>
    <t>DeMartini Inc.</t>
  </si>
  <si>
    <t>Guidelines state:  "Occupant of the property must be the principal of the corporation when writing corporate owned property.  Premises liability limitation form is required if writing liability."  Since this is only husband and wife who incorporated for property ownership, we restrict to prem liab, we are okay.  Found some online articles about this insured's name for a City Supervisor - mild news. No indication this is the same person-not overly concerned w/the reports.</t>
  </si>
  <si>
    <t xml:space="preserve">Since this is only husband and wife who incorporated for property ownership, we restrict to prem liab, we are okay.  </t>
  </si>
  <si>
    <t>Incline Village</t>
  </si>
  <si>
    <t xml:space="preserve">1994 dwelling. Nice online photos. In corporate name - needs to be premises liability. LLC form provided. </t>
  </si>
  <si>
    <t>Izmirian</t>
  </si>
  <si>
    <t>New 2017 build expiring w/Zurich 10/9/17. All that is left is to seal floors, install blinds and appliances, clean, inspect. Occupancy permit expected 11/10/17. Does this need to be COC?</t>
  </si>
  <si>
    <t>Okay to write as secondary, no COC - minor items left. Check rating w/other competitors to get our best rate.</t>
  </si>
  <si>
    <t>Capstone Ins is agt-name TBD</t>
  </si>
  <si>
    <t xml:space="preserve">DP1 Vacant   </t>
  </si>
  <si>
    <t>Ewing</t>
  </si>
  <si>
    <t>Agreed to write as a DP1 with no theft or VMM. Condition of home must be good. On DP1, we won't have a concern about any of the worst case scenario losses (except arson). Decent client for decent agent.</t>
  </si>
  <si>
    <t>7 bedroom dwelling across from a college, currently vacant while insured decides if he might want to rent. Online photos look good. Claim in Aug 2017, break in, turned off water, stole copper. No security improvement. Police ramped up drive by. Has someone monitoring the property. Dwelling is winterized and good condition. Tamika already advised if risk is rented it must go commercial.</t>
  </si>
  <si>
    <t>Glen L &amp; Jeri C</t>
  </si>
  <si>
    <t>New construction.  There were 2 structures at the location but they have already been demolished.  One year by licensed GC. Primary home is extending liab.</t>
  </si>
  <si>
    <t>Richard &amp; Lisa</t>
  </si>
  <si>
    <t>Wishon</t>
  </si>
  <si>
    <t>Thomas   BWH100181</t>
  </si>
  <si>
    <t xml:space="preserve">1953 risk updated in brush no alarms. Was not referred by branch at NB. Over 15 min response time. Was issued as PC4, it is PC10. </t>
  </si>
  <si>
    <t>Not comfortable with response time. &gt;15 min drive time, volunteer FD, no alarms, secondary. Cc'd Danielle - another referral issue.</t>
  </si>
  <si>
    <t>Bilbrey</t>
  </si>
  <si>
    <t>Edwardsville</t>
  </si>
  <si>
    <t>1999 home with brand new wood shake roof. Central alarm per app. No alarm per PCQ. Online photos show animals and barn. Online check of insd name shows insured who is atty using home address and another attorney. Response time close to 15 min on 64 acres. Volunteer FD. 7.9 mi. 12 min drive time.</t>
  </si>
  <si>
    <t xml:space="preserve">I'm okay with the losses - you have surcharged as well as applied a $25,000 AOP.  They have a new woodshake roof.  Even with a prior hail loss, a new roof should be somewhat resistant.  I checked the hail score and it is acceptable (2 in 3 years; 4 in 4 years)
</t>
  </si>
  <si>
    <t>West</t>
  </si>
  <si>
    <t>David</t>
  </si>
  <si>
    <t>Rothsay</t>
  </si>
  <si>
    <t>Built in 1940/updated, PC8, frame, primary, no losses, located in MN, Has light touch massage therapy business, has separate GL policy for the business</t>
  </si>
  <si>
    <t>DP1-Rental</t>
  </si>
  <si>
    <t>139 acres/lapse</t>
  </si>
  <si>
    <t>Declined due to 6 month lapse, and unclear why sudden decision to insure. Advised should there have in fact been coverage in place since April, could reconsider</t>
  </si>
  <si>
    <t>Approved in April, but insured did not secure coverage at that time for unknown reason. Now interested in pursuing quote again. Agt applied 10% surcharge to quote due to the lapse</t>
  </si>
  <si>
    <t>Agt quoted with total business exclusion, so approved subject to GL remaining in place and applicant aware of limitations of TBE</t>
  </si>
  <si>
    <t>2006 home rated last year as 8B. SRD discovered it should be a 9 and should have been referred. 7 minute response time by FD. In brush. Multiple FD's with name listed on PCQ. RM shows several FD's.</t>
  </si>
  <si>
    <t>New risk that does not presently have alarms and TIV is just over $2M. Getting within 30 days. Agent proposing to quote with and without alarm credit and possibly proceed with issuing with credit if it is coming close to inception. $2500 AOP</t>
  </si>
  <si>
    <t>Gillis</t>
  </si>
  <si>
    <t>Fallbrook</t>
  </si>
  <si>
    <t>1989 risk out of brush on 3 acres. Insured's trust is buying. Adult son who is a trust beneficiary will occupy the home as primary residence. Can they write as HO3? Trust as AI. Son may take on fostering up to 6 dogs, and grow shitake mushrooms for a business. Not happening now. Details to follow.</t>
  </si>
  <si>
    <t>HO3 ok with trust as AI. Provided info on how we may be able to handle businesses with exclusions.</t>
  </si>
  <si>
    <t>Walderbach</t>
  </si>
  <si>
    <t>Not comfortable with this exposure even with TBE.</t>
  </si>
  <si>
    <t>Wright</t>
  </si>
  <si>
    <t>Carol Jean</t>
  </si>
  <si>
    <t>1950 home updated. Not in brush. Dog grooming business in house and garage with kennels. Customers bring to home, but they pick up some. Customers use house entrance. Liab is excluded. $28K other structures. Quoted with TBE. Working on a GL.</t>
  </si>
  <si>
    <t>Ok w/TBE. Exclude garage w/kennels if it is detached. UW questions (some are blank)</t>
  </si>
  <si>
    <t>Ins score: 684/687 Michael’s occupation reported on app does not match credit report.
Michael has 6 med bills in collection recently.
Wells Fargo opened 8/05 $288K, pays late, past due now.
Bayview opened 6/07 $125K, current//9/8/17 explained general information to Tamika and that we are not interested in writing this. // 10/10/17 Called back for reconsideration. Had more facts. Went through facts and photos. Then agt Tamika realized insured was acting as their own GC, so that kicked it out for us.</t>
  </si>
  <si>
    <t>Carol Hafner Revocable Trust</t>
  </si>
  <si>
    <t>Verify premium</t>
  </si>
  <si>
    <t>1998 home 2.09 miles from coast. Alarms. Pool w/exclusion. CQ shows $2110. Is this right?</t>
  </si>
  <si>
    <t>Verified w/Bethany. Rate is correct.</t>
  </si>
  <si>
    <t>TBD</t>
  </si>
  <si>
    <t>Seller/applicant is renting back her house for 6 months. Can an HO be written?</t>
  </si>
  <si>
    <t>New owner needs a DP3. Seller/applicant needs an HO4.</t>
  </si>
  <si>
    <t>Sarti</t>
  </si>
  <si>
    <t>Inverness</t>
  </si>
  <si>
    <t xml:space="preserve">New construction 2017 risk in brush. Insd is doctor. PC3 confirmed - hydrant per app. </t>
  </si>
  <si>
    <t>completed and acceptable builders risk quest.</t>
  </si>
  <si>
    <t>Demarest</t>
  </si>
  <si>
    <t>Emily</t>
  </si>
  <si>
    <t>1867, completed updated but wiring won't be complete until w/in 30 days of closing (prior updates partial). Agt requiring updates w/in 30 day timeframe. Will have option to change to primary after remodeling completed</t>
  </si>
  <si>
    <t>Contingent upon confirming all updates before offering RCV, and acceptable Builders Risk Supp</t>
  </si>
  <si>
    <t>Mohr</t>
  </si>
  <si>
    <t>Jurgen</t>
  </si>
  <si>
    <t>a primary home located in CO. Home was built in 2007 of frame construction, PC9 , no alarms. 15-18 minute drive time.</t>
  </si>
  <si>
    <t>From docs, home over 5 miles from FD. Requested updated premium rated as PC 10 instead of 9</t>
  </si>
  <si>
    <t>May consider risk with appropriate premium once PC 10 updated</t>
  </si>
  <si>
    <t>Buena Vista</t>
  </si>
  <si>
    <t>Branson</t>
  </si>
  <si>
    <t>Home was built in 2003. It is built of 100% frame construction. PC10. No losses.</t>
  </si>
  <si>
    <t>Pacific</t>
  </si>
  <si>
    <t>Built 1993 with full updates in 2010, and roof updated in 2012, c/s alarms, no losses, frame, secondary, located in TN</t>
  </si>
  <si>
    <t>Response time, PCQ OK</t>
  </si>
  <si>
    <t>Nearest FD 13.1 miles away, response time too great</t>
  </si>
  <si>
    <t>Big Sandy</t>
  </si>
  <si>
    <t>Ross</t>
  </si>
  <si>
    <t>McMillan</t>
  </si>
  <si>
    <t>Business/Bankruptcy</t>
  </si>
  <si>
    <t>Financial concerns/lapse</t>
  </si>
  <si>
    <t>Built in 1989/updated, PC6, frame, no losses within last 3 years, primary, located in WI.The insured operates a group home out of her house under name of Compassions Connection LLC, insured with Philadelphia. There are 2 group home residents. The insured had a bankruptcy due to medical reasons in 2014. Her HO3 cancelled for non-payment last month. But the agent is requiring her to pay the full amount prior to binding if we can quote</t>
  </si>
  <si>
    <t>Ran report, poor financials</t>
  </si>
  <si>
    <t>Halstead</t>
  </si>
  <si>
    <t>Joy</t>
  </si>
  <si>
    <t>vacant home located in TX. Brick Veneer construction, built in 2004, PC2, no losses and no C/S alarms. Premium: $15,349</t>
  </si>
  <si>
    <t>Home for sale, photos very nice, premium OK</t>
  </si>
  <si>
    <t>Charles</t>
  </si>
  <si>
    <t>Hurd</t>
  </si>
  <si>
    <t>Peterson</t>
  </si>
  <si>
    <t>Coastal?</t>
  </si>
  <si>
    <t>coastal ded appropriate per chart, online review OK</t>
  </si>
  <si>
    <t>Towson</t>
  </si>
  <si>
    <t>Ivanisov</t>
  </si>
  <si>
    <t>Alexender &amp; Oxana</t>
  </si>
  <si>
    <t>HO3-Primary</t>
  </si>
  <si>
    <t>Sunol</t>
  </si>
  <si>
    <t>Home 50 miles from wildfire, lot of land/water in between home and nearest fire, 1979, remodeled 2014, quoted with alarm and wildfire mit warranties, hydrant in front of home, FD 1.7 miles</t>
  </si>
  <si>
    <t>reviewed google crisis map, appears agt correct w/ attachment showing distance from nearest fires. Discussed w/ LT and confirmed distance acceptable. Acceptable photos online.</t>
  </si>
  <si>
    <t>STOFFLE</t>
  </si>
  <si>
    <t>Connie</t>
  </si>
  <si>
    <t>This insured and her late husband opened their large barn up as LLC to rent our for venues such as weddings. There is a separate driveway/entrance to this barn. All on the same address though. Insured has a commercial property &amp; CGL for this barn.</t>
  </si>
  <si>
    <t>TBE (as quoted); since same address also x-liab and other structure exclusion</t>
  </si>
  <si>
    <t>PC2, frame, c/s alarms, built in 1974/will confirm full updates, no losses, located in IN; Wood shake roof put on in 1989 and resealed/patched in 2016 with a new 8yr warranty.  I don't have a copy of the warranty, but I am told we can get it if need be.  Could we write this wood shake roof with an ACV loss settlement on the roof if we get a copy of the warranty?</t>
  </si>
  <si>
    <t>subject to warranty for ACV loss on roof</t>
  </si>
  <si>
    <t>Fort Wayne</t>
  </si>
  <si>
    <t>Bates</t>
  </si>
  <si>
    <t>Leonard</t>
  </si>
  <si>
    <t>Marie</t>
  </si>
  <si>
    <t>La Habra</t>
  </si>
  <si>
    <t xml:space="preserve">Roof </t>
  </si>
  <si>
    <t>Risk is 11 miles from a 65% contained wildfire. Can they bind?</t>
  </si>
  <si>
    <t>Any risk within 20 miles is not eligible. Fire must be 100% contained.</t>
  </si>
  <si>
    <t>Near active wildfire</t>
  </si>
  <si>
    <t>Jayne</t>
  </si>
  <si>
    <t>1922 home w/ updates. Not in brush. No alarms. $1M liab. Insd is actor, director, musician, producer. Most gigs were in 80's and 90's. Not much recently.</t>
  </si>
  <si>
    <t>Amstutz</t>
  </si>
  <si>
    <t>Edward  BWH106100R1</t>
  </si>
  <si>
    <t>Animal Liability</t>
  </si>
  <si>
    <t>We previously approved this risk with animal liab exclusion. Insd operates a farm camp where animal care is interactive. Many types of farm animals. Has GL (it was w/Markel last year-unconfirmed if still there).</t>
  </si>
  <si>
    <t>Choren</t>
  </si>
  <si>
    <t>John &amp; Suzanne</t>
  </si>
  <si>
    <t>Oconomowoc</t>
  </si>
  <si>
    <t>1962 dwelling w/partial updates. PC9 per agent, but risk is listed as 13 miles from FD. Referred to Danielle. Woodstove quest ok - not in use. 49 acres. Online photos look okay. Flat roof per pics and app says built up. $5K ded.</t>
  </si>
  <si>
    <t>Bernard</t>
  </si>
  <si>
    <t>Brian &amp; Haag, Wendy</t>
  </si>
  <si>
    <t>1995 risk with EIFS. Appears no drainage system. Had risk since 2009 w/one withdrawn loss. Discussed w/Ray in 2016, but never finalized surcharge. Agent proposing 5% surcharge.</t>
  </si>
  <si>
    <t>Okay with 10% s/c (60.4% s/c on tech rate.)</t>
  </si>
  <si>
    <t>Aftalion</t>
  </si>
  <si>
    <t>4 tri-plexes on property. Can they be written on separate policies? Inspection attached. Loopnet commercial info online.</t>
  </si>
  <si>
    <t>Send this to commercial. Loopnet shows 19 units total. Looks like an apartment community.</t>
  </si>
  <si>
    <t>Tatton</t>
  </si>
  <si>
    <t>Rhett &amp; Andrea</t>
  </si>
  <si>
    <t>Condo that is allowed to be rented for 1 night. Will we allow?  2007 risk.</t>
  </si>
  <si>
    <t>Leave as is with Animal Exclusion. Need to confirm PC. App says 7. Looks like 9 or 10.</t>
  </si>
  <si>
    <t>Asking Bethany opinion on forms. Looks to me we should leave as is. Bethany agrees.</t>
  </si>
  <si>
    <t>May need to discuss this one with Danielle when info is clarified.</t>
  </si>
  <si>
    <t>If it is primarily rented 2 nights and 1 night is just to fill a few openings, we could consider. (95% 2 nights pretty good). Otherwise, if open to 1 night always, we should decline.// Primarily 1 night rental - listed that way on AirBnB site per Allison. Declined.</t>
  </si>
  <si>
    <t>Pruitt</t>
  </si>
  <si>
    <t>Jasika</t>
  </si>
  <si>
    <t>Other Structure</t>
  </si>
  <si>
    <t>Guest house rented out. 1914 updated in 2013. Actress with a few films and TV shows.</t>
  </si>
  <si>
    <t>Winegardner</t>
  </si>
  <si>
    <t xml:space="preserve">Lenoir City </t>
  </si>
  <si>
    <t>1992 home w/updates. Nice online photos. PC 10. 7 min response time per quest. 6.1 miles. Google shows 11 min drive time. Volunteer FD. Online source shows for sale. Occupied by property managers per app.</t>
  </si>
  <si>
    <t>Advised of probable 15 min response time.</t>
  </si>
  <si>
    <t>Fuerguson</t>
  </si>
  <si>
    <t>William F</t>
  </si>
  <si>
    <t xml:space="preserve">Ely </t>
  </si>
  <si>
    <t>Not accessible</t>
  </si>
  <si>
    <t>1954 frame cabin, updated in 1996. Elec baseboard heat. Access by boat, no vehicle. FD has access by boat and water pumped from lake. VMGA $1214. Agt to get pumper info and wbs quest.</t>
  </si>
  <si>
    <t xml:space="preserve">We talked today about an applicant buying a home. They will be leasing their attached garage to a travel agency business.  </t>
  </si>
  <si>
    <t>Asked all the business questions.  If we proceed, TBE.</t>
  </si>
  <si>
    <t>Elston</t>
  </si>
  <si>
    <t>Fallon</t>
  </si>
  <si>
    <t>1995 risk 20 miles/25 min from FD. Mostly volunteer. FT Caretaker. Quoted at $1666.</t>
  </si>
  <si>
    <t>Looking for rate around .75 for lengthy response time. 75% surcharge on VMGA rate=$2730.</t>
  </si>
  <si>
    <t>Insd not too famous. Trying to determine if there is another primary home on the property.// Per Danielle, prim home on prop that would not insure this one. Approved X-Liab (due to prim home on prop).// Per Danielle 10/18, agent needs liability, primary is excluding. Advised her to add the Building Exclusion to specifically exclude the primary home and any structures insured on that policy. We would be okay then.</t>
  </si>
  <si>
    <t>Wenham</t>
  </si>
  <si>
    <t>Kenneth</t>
  </si>
  <si>
    <t>2017 home. No online photos. Scottsdale rated in brush. RM shows not in brush.</t>
  </si>
  <si>
    <t xml:space="preserve">Handled file just over 6 hours. Had a doc appt mid-day and came back to a claim issue exploding with SCU. </t>
  </si>
  <si>
    <t>Orosco</t>
  </si>
  <si>
    <t>Chris R &amp; Lisa A</t>
  </si>
  <si>
    <t>1980 home updated. Central alarm only. $5K ded. No online photos.</t>
  </si>
  <si>
    <t>Niels &amp; Marie</t>
  </si>
  <si>
    <t>Christiane   BWH106779</t>
  </si>
  <si>
    <t>2000 primary home w/ c/s burglar alarm. Approved last year. Agent requesting renewal terms.</t>
  </si>
  <si>
    <t>Reviewed submission, don't see anything different. Advised agent no need to refer renewals if no change to risk or guidelines. Asked if something changed to let me know.</t>
  </si>
  <si>
    <t>Grage</t>
  </si>
  <si>
    <t>Ralph</t>
  </si>
  <si>
    <t>138 Cypress LLC</t>
  </si>
  <si>
    <t>DP3 Vacant Reno</t>
  </si>
  <si>
    <t>1913 home w/partial updates along the way with latest in 1980. Agent will be renovating including updates to systems. Agt quoting with FRC and roof exclusion. $10K ded</t>
  </si>
  <si>
    <t xml:space="preserve">Colorado Springs </t>
  </si>
  <si>
    <t>Loss surcharge</t>
  </si>
  <si>
    <t>Insured had a roof hail loss, replaced $17K roof out of pocket. Prior carrier had a $35 expense payment, that's it. Claim is closed. Agreed to allow 15% credit to offset claim surcharge. Did not want to remove it for tracking purposes.</t>
  </si>
  <si>
    <t>Up to 15% credit. Call if more is needed to offset.</t>
  </si>
  <si>
    <t>Taylor &amp; Myra</t>
  </si>
  <si>
    <t>Aransas</t>
  </si>
  <si>
    <t>I show 7.9 miles to the property from the volunteer FD.  Shows 13 min drive time.</t>
  </si>
  <si>
    <t>Starkey   BWH106402</t>
  </si>
  <si>
    <t>Huff</t>
  </si>
  <si>
    <t>Trisha &amp; Danny</t>
  </si>
  <si>
    <t>Fireline shows "High 6, medium fuels, mod slope, no access issues."  Drive time by paid FD right at 15 minutes. Slight rate adjustment - 5% surcharge gets us to $0.58. Need uw questions answered.</t>
  </si>
  <si>
    <t>Forwarded to Bethany for rate review. Bethany approved with .90 rate</t>
  </si>
  <si>
    <t>Subj to winterized, WBS quest, 35% surcharge.</t>
  </si>
  <si>
    <t>Congregation Berditchev Lakewood Inc.</t>
  </si>
  <si>
    <t>Commercial Builders Risk</t>
  </si>
  <si>
    <t>This is a single family home being renovated to be a synagogue.</t>
  </si>
  <si>
    <t>This should be written on a commercial policy.</t>
  </si>
  <si>
    <t>Hsu</t>
  </si>
  <si>
    <t>Hubert</t>
  </si>
  <si>
    <t>1924 home w/ partial updates. Alarms. 12 month tenant. Owner lives outside US, has full time property management company handling the rental. Insd is an attorney.</t>
  </si>
  <si>
    <t>Friedrich</t>
  </si>
  <si>
    <t>Steven &amp; Carmon</t>
  </si>
  <si>
    <t>2013 dwelling in brush, no alarms $5K ded. No online photos. Insured sued Marvel Comics for a character he says he created. No other adverse news.</t>
  </si>
  <si>
    <t>Alarm criteria - need alarms or incr ded.</t>
  </si>
  <si>
    <t>Employees</t>
  </si>
  <si>
    <t>Elderly insured has 3 FT and 2 PT caretakers who are mostly fam members. WC limits to 2. Can they write excluding liability. 2 small water losses ($1400 and $2500). Written by HUB, their biggest agent.</t>
  </si>
  <si>
    <t>Okay without liability.  Also said beware of SPP.  There isn't any.</t>
  </si>
  <si>
    <t>Trust</t>
  </si>
  <si>
    <t>2 named insureds and 2 trusts who co-own home. In name of Trusts, but agent wants to write in individuals names with Trust as AI.  Reviewed DP AI form and it limits to Cov A &amp; B.</t>
  </si>
  <si>
    <t>Liability claim</t>
  </si>
  <si>
    <t>HILLMAN</t>
  </si>
  <si>
    <t>SCOT T &amp; ADRIANNE</t>
  </si>
  <si>
    <t>Cayucos</t>
  </si>
  <si>
    <t>Frame, secondary, no losses, PC4, built in 1983, no brush, located in CA;VMGA PREMIUM $11,197</t>
  </si>
  <si>
    <t>online photos, info OK. Advised agt that $5Mil is absolute max TIV, so should inspection return higher value then would need to get off risk.</t>
  </si>
  <si>
    <t xml:space="preserve"> From online link, appears Cov A came from Market value, doesn't appear RC will have to be increased</t>
  </si>
  <si>
    <t>Jhin</t>
  </si>
  <si>
    <t>Hyo &amp; Kyo</t>
  </si>
  <si>
    <t>Insured's neighbor disputed the placement of our insured's fence. There was a claim filed, but no lawsuit, 0 paid, now closed. The dispute is settled. Neighbors are in good standing. 2 week lapse. Carrier no longer writing and insured forgot about the renewal. 1982 home with updates. New flat roof in 2010.</t>
  </si>
  <si>
    <t>Agent sending over due to &gt;$3M TIV. Will confirm there is no concern of neighbor vandalizing property or causing issues.//10/20 info received. Okay. Agent applying lapse surcharge and 5% surcharge as we are pricing well.</t>
  </si>
  <si>
    <t>Fleishman</t>
  </si>
  <si>
    <t>Robert &amp; Tamara</t>
  </si>
  <si>
    <t>2017 home not in brush, full alarms. $5K ded. Roof appears flat. Nice online photos.</t>
  </si>
  <si>
    <t>Elwes</t>
  </si>
  <si>
    <t>Cary &amp; Lisa</t>
  </si>
  <si>
    <t>Insured is actor (Princess Bride, TV, movies, not much recently). Married w/child. No controversial info. 1978 unpdated.In brush. Nice online photos.</t>
  </si>
  <si>
    <t>Reviewed w/Louisa. Liab okay since no current roles. Family.</t>
  </si>
  <si>
    <t>Kurtz</t>
  </si>
  <si>
    <t>Greer</t>
  </si>
  <si>
    <t>1995 home with 2 prior water losses: 5/17 water heater $1005; 6/17 sink flood $1783. $5K ded applied.</t>
  </si>
  <si>
    <t>Acceptable deductible.</t>
  </si>
  <si>
    <t>Verifying PC and response time. Conflicts with what I found online.. Update: Per agent, meant "3" not 13 miles. So FD appears correct. Also stated roads are paved and drive will be plowed as required. . Approved subject to accessibility OK. Burdine</t>
  </si>
  <si>
    <t>Gam &amp; Pops LLC</t>
  </si>
  <si>
    <t>Warrington</t>
  </si>
  <si>
    <t>1966 dwelling updated. Has homeowner installed WBS per quest. No losses. Agt quoted with USLI, but they sent a declination which the agt says they didn't get. Wonders if we can help with reducing $1500 prem to $673 for one year. Admitted qualified. Willing to provide SNL and new eff date.</t>
  </si>
  <si>
    <t>Approved with rate of $975, lowest Bethany felt we could go with their max 10% and discount for great ins score.</t>
  </si>
  <si>
    <t xml:space="preserve">Prior owners had a total fire loss. Our applicant purchased the dwelling in the burned out condition and will be rebuilding it, ground up. </t>
  </si>
  <si>
    <t>Jeffries Realty LLC</t>
  </si>
  <si>
    <t>Wiring concern</t>
  </si>
  <si>
    <t>1907 dwelling updated in 1970 will be updated and sold. Agent was told there are circuit breakers. Just found out there is active knob &amp; tube wiring. They will be disconnecting but not removing it as one of the first items in the coc.</t>
  </si>
  <si>
    <t>4955 Marmol LLC</t>
  </si>
  <si>
    <t>It is active; is it providing electricity to anything? If so, call me back to discuss. If not, okay to proceed allowing 2 weeks to disconnect it.//10/25 more info:  the knob &amp; tube is not providing electricity to anything. Only the fridge is plugged in and not to a k&amp;t circuit. Allow 'til 11/8 to get signed statement from contractor that k&amp;t is disconnected and no longer used.</t>
  </si>
  <si>
    <t>Updating</t>
  </si>
  <si>
    <t>Insured said all reno was done, change to primary. Agent did, now they say there are some additional changes being made. Re surface ceilings and remove/re-drywall a fireplace area. Will be renovating a detached poolhouse in the future. Okay to leave as primary, but add 10-15% surcharge for the work.  It's pretty minor, and we don't require a COC for a poolhouse.</t>
  </si>
  <si>
    <t>1953 dwelling that has been uninsured for 6 months. Agent sending for review.</t>
  </si>
  <si>
    <t>Probably okay with a 5-10% surcharge over the 90 day lapse surcharge already built into the rater.</t>
  </si>
  <si>
    <t>(We got cut off while talking. Agent to submit with details.)</t>
  </si>
  <si>
    <t>Everett</t>
  </si>
  <si>
    <t>Ralph &amp; Siri</t>
  </si>
  <si>
    <t>Due to response time double guideline requirement, primary wood stove, etc.</t>
  </si>
  <si>
    <t>Lela M Souza, Trustee of the A-Survivor's Trust</t>
  </si>
  <si>
    <t>Log home,  photos online at https://www.zillow.com/homedetails/4710-San-Juan-Vista-Rd-Placerville-CO-81430/124652354_zpid/.  This will be a new purchase for the insured.  The home is a little off the grid, but is accessible year round and the roads are maintained all winter.  However, the insured’s only plan to use the home in the summer months, so they won’t be using the woodstove often.  They will winterize it each winter which they are going to do right after they purchase.  They have solar panels and propane generator for power.  Response time 25-30 minutes</t>
  </si>
  <si>
    <t>Farming</t>
  </si>
  <si>
    <t>x-liab due to farming operations, OK with prop only based on online photos</t>
  </si>
  <si>
    <t>Occhiogrosso</t>
  </si>
  <si>
    <t>Joseph &amp; Marie</t>
  </si>
  <si>
    <t xml:space="preserve">Ocean </t>
  </si>
  <si>
    <t>Confirm the applicant has no connection to prior owner. Order immediate inspection to ensure it is ground up construction./10/25 more info: the home is not burned to the ground. No idea what caused fire. We need a fire marshal report. Covg is not bound. Holding 10/13 eff date. Allow up to 30 days from that date with signed loss if we agree to write. 10/26 more info. Home changed hands a couple of times since loss (people renoing and then deciding not to.) Confirmed elec is off and will be fully replaced.  Asked agt to confirm no furnace issue and then ok to bind.</t>
  </si>
  <si>
    <t>Colich</t>
  </si>
  <si>
    <t xml:space="preserve">Tom &amp; Judy </t>
  </si>
  <si>
    <t>Alex will send copy of quote.//10/26 advised 12.5% s/c added.</t>
  </si>
  <si>
    <t>1965 home updated in 98. 100% copper. Agt originally quoted with 10% s/c. Now they found a loss. $20K toilet overflow (2nd floor). Has alarms, $5K water dmg ded.</t>
  </si>
  <si>
    <t>Agreed to have agent surcharge for loss, remove their credit and add just enough to match prem. New employee bound without running A+ so they really wanted to match.</t>
  </si>
  <si>
    <t>Peter</t>
  </si>
  <si>
    <t>New construction ground up, not in brush. Prev home on the property demolished already.</t>
  </si>
  <si>
    <t>Brant</t>
  </si>
  <si>
    <t>Deborah</t>
  </si>
  <si>
    <t>Straight forward builders risk.</t>
  </si>
  <si>
    <t>Glasso</t>
  </si>
  <si>
    <t>Dian &amp; Chris</t>
  </si>
  <si>
    <t xml:space="preserve">Nevada   </t>
  </si>
  <si>
    <t>2005 home in brush. 15 minute drive time by combination fire department. Medium brush. .49 rate $7471 VMGA premium. Found possible business on premises although app says both are retired. No online photos of home found.</t>
  </si>
  <si>
    <t>Add 5% surcharge to get from .49 to .51. in case actual response time may be slightly over. 15 minute drive time. Check on business.</t>
  </si>
  <si>
    <t>1986 primary home and guest house on property. Both had separate addresses. 733 and 733 1/2.  Write on one policy or separate. They really only want the guest house insured.</t>
  </si>
  <si>
    <t>Okay to write separately.</t>
  </si>
  <si>
    <t>Vidrine</t>
  </si>
  <si>
    <t>Kyle</t>
  </si>
  <si>
    <t>Baton Rouge</t>
  </si>
  <si>
    <t xml:space="preserve">4plex townhome </t>
  </si>
  <si>
    <t>Requested additional info. Advised if applicant owns outside, and only unit owns, shouldn't be a problem. But from attachment name (says condo.townhome) and online pics concerned this may be a condo or apt complex which would be ineligible</t>
  </si>
  <si>
    <t>Walther</t>
  </si>
  <si>
    <t>Apache</t>
  </si>
  <si>
    <t>PC/TIV</t>
  </si>
  <si>
    <t>Frame, secondary, built in 2006, PC10, no losses, located in AZ</t>
  </si>
  <si>
    <t>PCQ OK, response time w/15 minutes. Photos OK</t>
  </si>
  <si>
    <t>Schulze</t>
  </si>
  <si>
    <t>Roth</t>
  </si>
  <si>
    <t>Blane</t>
  </si>
  <si>
    <t>Near prior fire (10 miles) but the fire is now 100% contained.  Home was built in 2002 of frame construction.PC10 with no alarm, but visible to neighbors and accessible all year (however road is unpaved), and no losses.There is not a wood shake roof but there is wood siding. There is a 14 minute response, quoting at a $5k deductible and .60 rate</t>
  </si>
  <si>
    <t>Response time OK. Reviewed with MP and confirmed no active fires in area. System was rating at .495 rate but agt took upon himself to quote at higher. Approved at higher</t>
  </si>
  <si>
    <t>Camino</t>
  </si>
  <si>
    <t>Loss Payees</t>
  </si>
  <si>
    <t xml:space="preserve">3 loans on prop need to be listed; It looks like this has a 1st, 2nd, and 3rd loan.  I checked with the lender and all three loans are with the California Housing Finance Agency.  The first is a regular FHA loan.  The second and third are also with them but are “silent” loans.  The second is a MyHome loan and the third is a Zip loan.  They are zero interest loans not payable until the home is sold.  They are given to borrowers to help with the down and closing costs.  They just sit there not accruing interest until the home is sold.  </t>
  </si>
  <si>
    <t>Approved. Researched loan types and confirmed don't indicate financial hardship</t>
  </si>
  <si>
    <t>Heidt</t>
  </si>
  <si>
    <t>Frederick</t>
  </si>
  <si>
    <t>Lenoir</t>
  </si>
  <si>
    <t>approval to offer terms on this risk, however it must be rated as a PC 10 since the fire department is over 5 miles from the property.</t>
  </si>
  <si>
    <t>In brush, frame, PC1, primary, c/s alarm, no losses, COC was just completed</t>
  </si>
  <si>
    <t xml:space="preserve">FARSHID &amp; ELHAM </t>
  </si>
  <si>
    <t xml:space="preserve">Faridnia </t>
  </si>
  <si>
    <t>Approved subject to brush surcharge/guidelines</t>
  </si>
  <si>
    <t>reviewed coastal guidelines. All met.</t>
  </si>
  <si>
    <t>Prior nonrenewal</t>
  </si>
  <si>
    <t>ROBERT LUFKIN &amp; ZHENG LI</t>
  </si>
  <si>
    <t>Brian &amp; Tracey</t>
  </si>
  <si>
    <t>Celayeta   6417674</t>
  </si>
  <si>
    <t>Pier &amp; Beam foundation</t>
  </si>
  <si>
    <t xml:space="preserve">Approved this risk for not being accessible year round. Inspection shows nice home, but the foundation is pier and beam. $200K cov a. </t>
  </si>
  <si>
    <t>Stevens</t>
  </si>
  <si>
    <t>Joe</t>
  </si>
  <si>
    <t>Price match</t>
  </si>
  <si>
    <t>1970 home in brush. Agt wants to match $1582 Scottsdale quote. Our rate is $1818.</t>
  </si>
  <si>
    <t>Advised we won't rate match since in brush. Also pointed out concerning Federal Pacific Stab Lok type electrical panel.</t>
  </si>
  <si>
    <t>Weston</t>
  </si>
  <si>
    <t>Steven &amp; Rochelle</t>
  </si>
  <si>
    <t>Total business exclusion - Purchasing a home on 8 acres &amp; using an outbuilding for his business.  He has a construction business, a couple of employees working for him in the building, no foot traffic, business currently insured with Travelers</t>
  </si>
  <si>
    <t xml:space="preserve">Ok with online review, and separation of business. </t>
  </si>
  <si>
    <t>Demolition</t>
  </si>
  <si>
    <t>Insured took out a $500K policy on a home.  Hull was under the impression it was a COC renovation.  Now they found out that is going to be torn down in 8-9 months and then a new one built. It is vacant. Market value is $11M.  There is a lender.  They wanted $2M on it, but since it was originally bound at $500k, Hull is refusing to increase. 1500 SF home.</t>
  </si>
  <si>
    <t>Creekside Ranch Trust</t>
  </si>
  <si>
    <t>George &amp; Gracie LLC</t>
  </si>
  <si>
    <t>4 structures</t>
  </si>
  <si>
    <t>Dwelling with guest house, back building, and garage. Insured will be renovating main house and maybe others in April 2018. Meanwhile, this is vacant. May eventually rent out the guest house. Can they put all structures on one policy.</t>
  </si>
  <si>
    <t>Insured owns and insures a primary home elsewhere. They are renovating their guest house and the carrier won't insure it. Can we?</t>
  </si>
  <si>
    <t>Write as DP3 reno. Try to get liab excluded and extended from primary. But if carrier won't, then write liab, but specifically exclude the primary and any other structures using building exclusion so we don't have any liab there.</t>
  </si>
  <si>
    <t>Dream Property Group, LLC</t>
  </si>
  <si>
    <t>Brendan</t>
  </si>
  <si>
    <t>Barkyoumb</t>
  </si>
  <si>
    <t>Sandra &amp; Ronald</t>
  </si>
  <si>
    <t xml:space="preserve">Animals   </t>
  </si>
  <si>
    <t>1890 dwelling gutted and remodeled. 3 family owner occupied.  Insured has a pony and 2 goats.</t>
  </si>
  <si>
    <t>As long as access is limited to tenants. $10K only.</t>
  </si>
  <si>
    <t>JM Wilson</t>
  </si>
  <si>
    <t>Cheryl</t>
  </si>
  <si>
    <t>Metz</t>
  </si>
  <si>
    <t>Hastings</t>
  </si>
  <si>
    <t>Losses and Age of Home</t>
  </si>
  <si>
    <t>1900 home w/some updates. Average new purchase. 3 prior losses - 2 form a rental and 1 from primary which is sold. Agent proposing FRC.</t>
  </si>
  <si>
    <t>FRC, roof and mold exclusion. Consider HO-8</t>
  </si>
  <si>
    <t>Ronda Cashman Evans Trust</t>
  </si>
  <si>
    <t>Roof update</t>
  </si>
  <si>
    <t>1978 dwelling with unknown roof updates.  Should roof be excluded? It is being replaced during reno.</t>
  </si>
  <si>
    <t>Exclude roof. Remove exclusion when proof of replacement is received.</t>
  </si>
  <si>
    <t>Brookman</t>
  </si>
  <si>
    <t>Sidney</t>
  </si>
  <si>
    <t xml:space="preserve">2 losses from prior owner. Do we need to be concerned with $191 smoke loss and $31K physical damage. </t>
  </si>
  <si>
    <t>No concern seems obvious. Okay to quote for new owner with no surcharges.</t>
  </si>
  <si>
    <t>Kremesec</t>
  </si>
  <si>
    <t>Rohnert Park</t>
  </si>
  <si>
    <t>Active wildfire</t>
  </si>
  <si>
    <t xml:space="preserve">Dwelling is 10 miles from the 99% contained Tubbs fire in Santa Rosa area. Can we make an exception?  </t>
  </si>
  <si>
    <t>Insured is purchasing 11/6 and renting back to current owner for 3 months. Then renovating to sell for 9 months. Agent wants to present a blended rated policy that won't have to be endorsed except for policy forms and limits when reno starts (Lloyds does this.)</t>
  </si>
  <si>
    <t>Berberian</t>
  </si>
  <si>
    <t>Alexander &amp; Sheri Saltzman</t>
  </si>
  <si>
    <t>DP3 Vacant/Short Sale</t>
  </si>
  <si>
    <t xml:space="preserve">1982 dwelling vacant and up for short sale. </t>
  </si>
  <si>
    <t>Insurance scores are a concern. Possible moral hazard.</t>
  </si>
  <si>
    <t>Sent to Jeff for review - he approved. Subject to lapse surcharge and signed no loss stmt.</t>
  </si>
  <si>
    <t>Rivkin</t>
  </si>
  <si>
    <t>Vladimir</t>
  </si>
  <si>
    <t>Fires are 99 % contained. Can they bind?</t>
  </si>
  <si>
    <t>Verified w/Jeff</t>
  </si>
  <si>
    <t>Renewal was quoted with $10K water ded due to $17K pipe break to water heater on 8/9/17. 1988 dwelling. Only loss in 9 years. Agent surcharged for loss.  Would we be okay with $5K water ded?</t>
  </si>
  <si>
    <t xml:space="preserve">Asked for PC10, rerated. Decided to allow 13 min drive time since FD is paid and there are alarms.  Aerial photos provided on 10/5.  Great separation, separate roads to get to both properties.  Insd not affiliated w/the ranch at all, they just lease land.  Agent will exclude structures: "All structures owned by and used by C Lazy U ranch on the adjoining 34 acres".
Subject to:
• App has several underwriting questions answered with an "X".  Please have answers corrected to Y or N.
• Apply Total Business Exclusion  
</t>
  </si>
  <si>
    <t>Confirm 64 acres doesn't affect response. Alarms? Photos of animals? Business? Coml kitchen in barn?  If we proceed - not all uw questions are answered/All questions appropriately answered. Gave approval to release as long as all UW questions correctly answered. Kburdine</t>
  </si>
  <si>
    <t>1958 home updated in 2010. Insured runs gunsmith and locksmith business out of home w/5-10 visitors per month. Has a GL.</t>
  </si>
  <si>
    <t>1/23/16 $8,950 claim on primary home for damage from snow to gutters. Claim closed and damages repaired. Built in 1998, PC5, Worcester county, Territory 2, less than 1 mile from coast, frame, secondary, VMGA $1,791</t>
  </si>
  <si>
    <t>Renewal that appears may not have been referred at NB (from Danielle) X-wind. 15-20 min response time. 1996 stucco.</t>
  </si>
  <si>
    <t>1980 frame dwelling. Has log siding. 15 min drive time by paid FD. 6.3 miles. No barriers. Full time residence, Mrs is homemaker. Med brush per RM. Photos shows cabin in woods with trees trimmed up. Many UW questions blank.</t>
  </si>
  <si>
    <t>Acceptable OHQ. Breakers, no knob &amp; tube, no aluminum (blank on app). Acceptable RiskMeter with associated rating.</t>
  </si>
  <si>
    <t>Home currently under farm policy, but farm policy removing property since personal use; farm liab policy still in place; family members regularly occupy home</t>
  </si>
  <si>
    <t>Quoted as a PC 9, Frame, secondary, built in 2015, no losses, located in NC, 15-16 minute response time, FD 6.4 miles away</t>
  </si>
  <si>
    <t xml:space="preserve">1962 home with prior losses. 2/1/2016 – wind damage to exterior and roof - $5,725; 6/11/2016 – theft – home burglarized $35,629;       1/3/2017 – water – bathroom plumbing - $7,511. Agent quoted w/$5K AOP and $10K wter damage. CS alarms added since burglary and insured keeps their items in a "secret hiding spot". Asking to insure 3 watches totaling $36K. Need current appraisal on one of them. Declined by their stand alone market.
</t>
  </si>
  <si>
    <t>PC2, not in brush, built in 1995, frame, secondary, c/s alarms, no losses, located in CA. 1000 feet from coast. Mercury NR for coastal exposure</t>
  </si>
  <si>
    <t>Asked agent to have insured confirm no issues. Suggested structural engineer to confirm. Advised we would not cover.</t>
  </si>
  <si>
    <t xml:space="preserve">In middle of construction, builder went bankrupt. Some very small number of items left to be done. Insured will be the GC for any little things left. They need to get a home warranty to get their Occupanyc Permit. Home has passed town inspection. </t>
  </si>
  <si>
    <t>Since town inspected and only a bit of work left.</t>
  </si>
  <si>
    <t>Maria</t>
  </si>
  <si>
    <t>Rose</t>
  </si>
  <si>
    <t>Margate City</t>
  </si>
  <si>
    <t>EIFS siding</t>
  </si>
  <si>
    <t>RUA3385 renewal policy. Most recent inspection noted 70% EIFS siding. No claims, 8th year renewal, quoted with surcharge, 1964 build</t>
  </si>
  <si>
    <t>Approved, requested inspection by qualified EIFS siding inspector by 2018 renewal. Absolute mold endorsement is on pol as well</t>
  </si>
  <si>
    <t>Friedmann</t>
  </si>
  <si>
    <t>Metcoff</t>
  </si>
  <si>
    <t>Norman &amp; Irene</t>
  </si>
  <si>
    <t>HO6 Condo</t>
  </si>
  <si>
    <t>Active claim</t>
  </si>
  <si>
    <t>Insured wants quotes on increasing Cov A. Agent wants to know if it is okay to increase.</t>
  </si>
  <si>
    <t>Quality risk, get a valid Cov A and quote that. (Insd asking for $20K &amp; 50K)</t>
  </si>
  <si>
    <t>Agent decided against blended rate due to big price difference between rental and vacant reno. Noticed ivy on walls in online photos - must be removed. // 11/2 Alex asked if they kept the vines w/a $50K water damage ded would we accept.  I looked at pics and agreed. Vines are on a small part of house and on garage.</t>
  </si>
  <si>
    <t>Moore</t>
  </si>
  <si>
    <t>Mike</t>
  </si>
  <si>
    <t>Frame, built in 1995, secondary, no losses, located in CA</t>
  </si>
  <si>
    <t>photos/brush OK.</t>
  </si>
  <si>
    <t>Jorger</t>
  </si>
  <si>
    <t>Jayjack</t>
  </si>
  <si>
    <t>Andrew</t>
  </si>
  <si>
    <t>Attached is a secondary risk located in OH. Frame construction, built in 2000, PC10, 14-18 min drive time, no alarms, no losses. The company they currently have coverage with is no longer writing in OH.</t>
  </si>
  <si>
    <t>Online photos and PCQ Ok. OK with possible 18 min drive time since to lower value</t>
  </si>
  <si>
    <t>Martin</t>
  </si>
  <si>
    <t>Approved subject to acceptable responses on animal question on app as currently blank.</t>
  </si>
  <si>
    <t>Standell</t>
  </si>
  <si>
    <t>Attached is the recently reviewed inspection, apps, and rater.  This is a 6 month builder’s risk, and the expected completion date is the end of January.  Then it will be a primary home.  Flat roof, updated in 2013, wanting to waive ded</t>
  </si>
  <si>
    <t>approved. Home in great condition, roof as well, updated in last 9 years</t>
  </si>
  <si>
    <t>Saca</t>
  </si>
  <si>
    <t>Diana</t>
  </si>
  <si>
    <t>Reminded of $5M TIV. Checked and confirmed fire in fact 100% contained.</t>
  </si>
  <si>
    <t>Amanda</t>
  </si>
  <si>
    <t>HO3 primary</t>
  </si>
  <si>
    <t>St. Louis</t>
  </si>
  <si>
    <t>Attached is a home in Saint Louis, frame construction on a hillside, on piers.  PC3 with no alarms and no losses.</t>
  </si>
  <si>
    <t>Advised of concerns with pier foundation. Discussed that issues are often ongoing and therefore excluded. Home is in great condition, approved with strong recommendation to have structural engineer check to ensure integrity of structure</t>
  </si>
  <si>
    <t>Karapetian</t>
  </si>
  <si>
    <t>Armen</t>
  </si>
  <si>
    <t>There have been 3 prior losses, 1 within the past 3 years. The recent one had a large payout (02/2017 $100K-theft and damage to flooring). The other 2 losses in 2014 had a $0 payout (1 theft from car). The agent advised that some other homes in the area were also burglarized. The insured did have CS alarms at that time, however, the burglars cut through the glass on the rear sliding door to gain entry. They have since also installed cameras and a ring doorbell system</t>
  </si>
  <si>
    <t xml:space="preserve">Theft ded of $25K. </t>
  </si>
  <si>
    <t>Polacheck</t>
  </si>
  <si>
    <t>Brent &amp; Jody</t>
  </si>
  <si>
    <t>Prior Losses/Non-renewal</t>
  </si>
  <si>
    <t xml:space="preserve">water damage claims.  I have quoted with the normal loss s/c and with a $50K WD deductible as that is the program’s max.  The insured has mitigated against future plumbing issues with installing a water shutoff valve.  It looks like the claim in regards to the balcony was a freak accident.  </t>
  </si>
  <si>
    <t>Subject to water dmg exclusion; shutoff didn't address freak accident (water on outside of home caused collapse of balcony).</t>
  </si>
  <si>
    <t>approved this risk, with a total business exclusion, liability exclusion, and other structure exclusion (if any other structures are used in the business). , if they do in fact want the premises liability included on the policy, we would need additional information regarding the business. For example: foot traffic, what specific activities are taking place, are there any employees, do they plan on continuing to renew the lease after the 2018 expiration etc.</t>
  </si>
  <si>
    <t>Baumann</t>
  </si>
  <si>
    <t>Jennifer</t>
  </si>
  <si>
    <t xml:space="preserve">referring due to this home having a small vineyard on the property currently leased out till the end of 2018 which is used by Welch's Grape Juice Company. 1979 with full updates to heating and roof in 2017 and a partial update to the wiring in 1997. It is built of 100% frame construction. PC9. No losses.
</t>
  </si>
  <si>
    <t>Dunham</t>
  </si>
  <si>
    <t>Increased other structures</t>
  </si>
  <si>
    <t>Increased other structures due to 2 detached structures on the property; detached garage with living space, storage shed w/ rental living space, 42 solar panels</t>
  </si>
  <si>
    <t>add rental endorsement: MPLH0179; per photos there is a large pond insured owns on prop, advised to be sure doesn't rent shown boats to anyone else</t>
  </si>
  <si>
    <t>Multiple dwellings</t>
  </si>
  <si>
    <t>Insured has 3-3family dwellings. Can they be put on one policy w/ a schedule? 1 rater or multiple?</t>
  </si>
  <si>
    <t>Okay on one policy if they can handle. Need separate raters, can't combine.</t>
  </si>
  <si>
    <t>Dahlstrom</t>
  </si>
  <si>
    <t>Retail agent bound eff 11/1 and inadvertently did not send bind request to Lisa. They are a top agent and this is not a common thing.</t>
  </si>
  <si>
    <t>Insured isn't at fault. Insured confirmed no losses.</t>
  </si>
  <si>
    <t>Insured has a partially furnished home that after reno is complete will be their secondary. No alarms. Nice neighborhood on Malibu beach. $150,000 Cov C requested.</t>
  </si>
  <si>
    <t>Our rule is $50K binding authority w/o alarm-submit higher amounts. Since in nice hood on beach, approved subject to the $150K being larger items. Nothing small that could easily be carried off.</t>
  </si>
  <si>
    <t>CNC Financial LLC</t>
  </si>
  <si>
    <t>Topeka</t>
  </si>
  <si>
    <t>1975 dwelling with auto conditioning and storage business in a separate structure far from the home. Will have GL.</t>
  </si>
  <si>
    <t>Pounders</t>
  </si>
  <si>
    <t>Patrick</t>
  </si>
  <si>
    <t>Menlo Park</t>
  </si>
  <si>
    <t>Arrowhead Properties Limited</t>
  </si>
  <si>
    <t>Helendale</t>
  </si>
  <si>
    <t>12/17/16 fire $343K where homeless people burned down the house.</t>
  </si>
  <si>
    <t xml:space="preserve">• Several key uw questions are blank.  Could you let me know what the answers are?  (And of course you will want to make sure to get a fully completed signed app if we proceed.)
• Could you please get a copy of the fire marshal report?
• Could I have the names of the individuals that are part of Arrowhead Properties?  Also their dates of birth?  We want to look a little more at the financial situation.
• Could I please see a copy of the Corp/LLC questionnaire if they have completed it?                               • Could you please send us a copy of the Protection Class questionnaire?
</t>
  </si>
  <si>
    <t>Check condition and exclude any of concern. Okay to cover main as Cov A and rest as Cov B. //10/31 per retailer photos structures are in questionable condition. Agt sending for opinion. // 11/3/17 removing liability because there are 3 employees.  2 gardeners/1 caretaker who lives in a motor home on premises.//11/6/17  caretaker is a friend who lives in a "trailer", they are not paid. Not sure if this trailer is a mobile home or what-agt will check more. Ok to include liab and workers comp if there are only 2 employees.</t>
  </si>
  <si>
    <t>Asked business questions. Need to ensure phys dmg and liab exposures don't test the limits of our exclusion.// 11/7/17  • Acceptable Corporate/LLC questionnaire
• Specifically exclude any structures used commercially
• Apply Total Business Exclusion form
allowed liability since there a separation and separate drives.</t>
  </si>
  <si>
    <t>Agent asked for ERC. Per their chart we should not approve. Asked to advise if additional circumstances.</t>
  </si>
  <si>
    <t>Vallabhaneni</t>
  </si>
  <si>
    <t>Rao</t>
  </si>
  <si>
    <t>St Louis</t>
  </si>
  <si>
    <t>2008 home w/2 prior losses $50K hail in 2016 and $10K water damage loss. Agent applies $10K AOP ded and there is a 2% wind/hail ($50K-ish). Nice online pictures.</t>
  </si>
  <si>
    <t>3 year Hail score is 9. Due to high ded and newer roof, we should be okay.</t>
  </si>
  <si>
    <t>Sanabria</t>
  </si>
  <si>
    <t>Kay</t>
  </si>
  <si>
    <t>Lapse for several months - husband passed away and insured was unaware she needed to renew coverage. 9 mi from water. Diving board-exclusion applied.  1999 dwelling - nice home per photo.</t>
  </si>
  <si>
    <t>15% surcharge applied.</t>
  </si>
  <si>
    <t xml:space="preserve"> MI</t>
  </si>
  <si>
    <t>received acceptable info regarding business (no employees, no customers, just a large machine to make plastic covers).</t>
  </si>
  <si>
    <t>Soberanes</t>
  </si>
  <si>
    <t>Walnut Creek</t>
  </si>
  <si>
    <t>Total Business Exclusion - Insured runs equestrian center on property One employee, Lisa Soberanes (Suzanne's sister), 15-20 horses GL Limits $2MM Umbrella $1MM Liability $400,000 Fire Coverage</t>
  </si>
  <si>
    <t>Ok with risk; x-liab w/ GL in place for business exposure</t>
  </si>
  <si>
    <t>Dorsey</t>
  </si>
  <si>
    <t>Susan</t>
  </si>
  <si>
    <t>Woodside</t>
  </si>
  <si>
    <t>1952 updated home. 15 min response time from paid department. In brush. Verified FireLine is High 9. Photos show light forested area.</t>
  </si>
  <si>
    <t>Valadao   HUCAH150002848</t>
  </si>
  <si>
    <t>PC Assignment</t>
  </si>
  <si>
    <t>Risk has a water tank. Could it be a PC4? There is a tank near the home for public use.</t>
  </si>
  <si>
    <t>This is a PC9.  ISO has this as a 4/4X(4/9). If ISO approved the tanks, it would be a 4.</t>
  </si>
  <si>
    <t>Theobald</t>
  </si>
  <si>
    <t>Cov C &gt;10%</t>
  </si>
  <si>
    <t>Pump and filtration is $20K, pump house is $11K. Okay?</t>
  </si>
  <si>
    <t>Numerous questions. Not sure if we can do since prior loss. May refer to Jamie Gregory.//agreed to issue//11/9/17 agent asked for 16% credit to match Lex. Declined, but offered to desk bind for 3 days.</t>
  </si>
  <si>
    <t>Ip</t>
  </si>
  <si>
    <t>Tze Hung &amp; Melissa Locke</t>
  </si>
  <si>
    <t>2001 home, nice online photos. No losses. $5K AOP flat roof.</t>
  </si>
  <si>
    <t>Evans</t>
  </si>
  <si>
    <t>Quoted in March. Agent added 10% surcharge for lapse.   Will verify not near brush.</t>
  </si>
  <si>
    <t>Hiltbrand</t>
  </si>
  <si>
    <t>Quote includes roof exclusion, existing damage exclusion</t>
  </si>
  <si>
    <t>DOL 10/3/17 – wind blew some shingles off the roof - $1,697  is being paid on the claim.  The insured is just waiting for the carrier to release the check for payment. Loss surcharge included</t>
  </si>
  <si>
    <t>Mackie</t>
  </si>
  <si>
    <t>Marion</t>
  </si>
  <si>
    <t>Brigantine</t>
  </si>
  <si>
    <t>Short Sale</t>
  </si>
  <si>
    <t>vacant for up for short sale.  Prior coverage was cancelled for non pay of premium on 10/5/17 by the finance company.  Photos of the house are on Zillow.  Nice house. </t>
  </si>
  <si>
    <t>Offered to further consider after reviewing insurance score, but agt advised would just decline</t>
  </si>
  <si>
    <t>Harris</t>
  </si>
  <si>
    <t>Jason &amp; Jennifer</t>
  </si>
  <si>
    <t>Wrightsville Beach</t>
  </si>
  <si>
    <t>2008 home. Renewal $10,382. Ironshore coming in at $9,404. Can we match?</t>
  </si>
  <si>
    <t>Wertheim   BWD107102</t>
  </si>
  <si>
    <t>2006 home, renovating to move in. Work done by lic GC. Online looks nice. In brush.  Construction not complete after 1 year term. Agent wants to renew.</t>
  </si>
  <si>
    <t>Extending by a month or two, okay.</t>
  </si>
  <si>
    <t xml:space="preserve">Wall </t>
  </si>
  <si>
    <t>Angus</t>
  </si>
  <si>
    <t>Applicant is a film editor. Reviewed online info.  Home was featured in "The Last Boy Scout" movie.</t>
  </si>
  <si>
    <t>Not too famous.  Home in movie is not a concern.</t>
  </si>
  <si>
    <t>Peterson   BWH106983</t>
  </si>
  <si>
    <t>Agent wants to renew. Reviewed details and they meet current requirements.</t>
  </si>
  <si>
    <t>.32 rate excluding wind is adequate for this response time.  11/10 - agent found out there is a Harvey wind loss. (Likely will be denied per notes on 17C4773). Asked agent to ensure damages are repaired.</t>
  </si>
  <si>
    <t>Maguire</t>
  </si>
  <si>
    <t>Julie &amp; Jens Proche</t>
  </si>
  <si>
    <t>2006 home. Prior dog bite and insured is keeping the dog. Agent wants to quote with Animal Liability and remove the prior bite history exclusion.</t>
  </si>
  <si>
    <t>We can write with Limited Animal Liability but cannot remove the prior bite exclusion.</t>
  </si>
  <si>
    <t>Realtor</t>
  </si>
  <si>
    <t xml:space="preserve">Marsha   </t>
  </si>
  <si>
    <t>Oak Island</t>
  </si>
  <si>
    <t>Log cabin</t>
  </si>
  <si>
    <t xml:space="preserve">1979 full log cabin w/galvanized metal roof. Updated in 2012. </t>
  </si>
  <si>
    <t>Asked Tim for input.  If kit log home, okay to quote but get good estimator. Value seems low. We figure around $175/psf. If hand hewn, not eligible.</t>
  </si>
  <si>
    <t>Reviewed w/Bethany and she felt we were getting adequate rate to allow the match.</t>
  </si>
  <si>
    <t>Peterhans</t>
  </si>
  <si>
    <t>Andre &amp; Donna Gallagher</t>
  </si>
  <si>
    <t xml:space="preserve">2017 home in brush full alarms. PCQ says 9 minute response time 6.1 miles. Confirmed 11 minute drive time on Google.  Online photos ok. </t>
  </si>
  <si>
    <t>Adequate brush clearance (PCQ says not cleared to 200')</t>
  </si>
  <si>
    <t>Oakley</t>
  </si>
  <si>
    <t>Natasha</t>
  </si>
  <si>
    <t>Insured achieved fame as a blogger and on instagram. She and close friend have "Bikini A Day" business. No adverse news.</t>
  </si>
  <si>
    <t>Excluding liability.  Insured could be a target risk - public and lavish lifestyle.</t>
  </si>
  <si>
    <t>Akhlaghpour</t>
  </si>
  <si>
    <t>Pass on a bankruptcy. Also advised we would not add US Trustee if we had been on the risk.</t>
  </si>
  <si>
    <t>TBE, Exclude oth str or $0, not comfortable with credit, GL remain in place.</t>
  </si>
  <si>
    <t>APPROVED 8/28/171.  No rentals, just a guest house
2.  There no more tree house.
3.  Insured with CA Fair Plan due to brush only.
1. Increase Loss of Use to $300,000
2.  Decrease liability to $100,000
3.  Increase Ord Law 5%
11/14/17 Agent asked to add $50 limited animal liab. No concerns</t>
  </si>
  <si>
    <t>Meixner</t>
  </si>
  <si>
    <t>Ajay</t>
  </si>
  <si>
    <t xml:space="preserve">primary home for the above named insured located in CA.  Home was built in 1993 and roof updated in 2013 of frame construction.  No alarms and no losses.  PC9 home on 41 acres and the responding fire station only having 1 pumper of 500 gallons. they have a mutual aid agreement with El Dorado Station 72 at 7200 Florian St Cool CA 95613 and they have 2 pumpers, 200 gallons, 1250 GPM and 1 tanker, 2500 gallons. The responding time for the El Dorado Station is 20 minutes.
</t>
  </si>
  <si>
    <t>Approved, online photos OK, google search OK. Response time of primary response acceptable; requested extra 10% surcharge (if competitive) to account for 1 tanker, possible need for mutual aid</t>
  </si>
  <si>
    <t xml:space="preserve">Business on premises (Divine Adult Family Home LLC) does have GL and professional liability coverage.  They provide live in care and daily activities(getting dresses, eating, bathing, reminder to take medication, but no meds are given to clients). This is an overnight facility. Home was built in 1994 and roof updated in
2010 of frame construction.  PC1 with no alarms and no losses.
 </t>
  </si>
  <si>
    <t>UKOENINN</t>
  </si>
  <si>
    <t>Akan</t>
  </si>
  <si>
    <t>Ryan &amp; Megan</t>
  </si>
  <si>
    <t>Friedlinghaus</t>
  </si>
  <si>
    <t>HUCAH150001490-renewal</t>
  </si>
  <si>
    <t>renewal OK-ISO, RM, Inspection acceptable</t>
  </si>
  <si>
    <t>Renewal-TIV</t>
  </si>
  <si>
    <t>Home is a secondary home in DE, 1.2 miles to coast,  Built in 2011 of frame construction.  PC5, no alarms. VMGA Premium - $1701 (with taxes and fees $1958.03). Total Premium to Match $1,022.79 (policy premium would need to be $792 before taxes/fees) Would need 60.03% discount</t>
  </si>
  <si>
    <t>Candace</t>
  </si>
  <si>
    <t>Hart</t>
  </si>
  <si>
    <t>Brush zone, no losses, primary home, frame construction, located in CA</t>
  </si>
  <si>
    <t>Ronald &amp; Carolyn</t>
  </si>
  <si>
    <t>ABACHERLI</t>
  </si>
  <si>
    <t>RM, response time, inspection, OK</t>
  </si>
  <si>
    <t>Granted renewal approval 11/14/2017</t>
  </si>
  <si>
    <t>Christer</t>
  </si>
  <si>
    <t>Charlene</t>
  </si>
  <si>
    <t>Okay with water damage exclusion. Overall, home looks pretty good. Exclusion will also take care of the flat roof. Interior inspection rush!</t>
  </si>
  <si>
    <t>Bernstein</t>
  </si>
  <si>
    <t>Paul</t>
  </si>
  <si>
    <t>Granny unit on property used as a full time rental. Primary home insured w/state farm. They are excluding the granny unit and liab.</t>
  </si>
  <si>
    <t xml:space="preserve">Exclude the primary and any associated other structures. Okay to quote with liab. </t>
  </si>
  <si>
    <t xml:space="preserve">Martinez    </t>
  </si>
  <si>
    <t>Ernest</t>
  </si>
  <si>
    <t>Dwelling has a small crack in the stucco. Safeco is nonrenewing due to crack and due to the tenant's large supply of plastic recycling bottles that makes the prop look bad.  They are getting rid of the bottles. Agent wants to quote with water damage exclusion.</t>
  </si>
  <si>
    <t>Fuses</t>
  </si>
  <si>
    <t>We have been on this risk for 7 years, originally written by the agent in 2005 w/Scottsdale.  They did an interior inspection and found FUSES!  The insured says a lic elec says the fuses are fully functional.  Original app said breakers</t>
  </si>
  <si>
    <t>Give 60 days to replace the fuses w/breakers…or if they won't do it, nonrenew.</t>
  </si>
  <si>
    <t>East Charlburg</t>
  </si>
  <si>
    <t>2 structures on one parcel, owned by daughter who lives in FL. Primary home is rented out. Barn is converted to living and occupied by insd father. $57K value so can't go on stand alone.  Father is an independent trucker and sometimes keeps a trailer or two on prop and does paperwork in his residence.  There is a historic Flour Mill on the property that they can't tear down. Currently no info on age, value, condition.</t>
  </si>
  <si>
    <t>Include TBE. Okay on one policy. Check inspection for the Flour Mill and exclude if any issues.</t>
  </si>
  <si>
    <t>Stuart</t>
  </si>
  <si>
    <t>Insured is a movie producer. Reviewed online information. No famous movies.</t>
  </si>
  <si>
    <t>Okay with liability. Not too famous.</t>
  </si>
  <si>
    <t xml:space="preserve">Brown </t>
  </si>
  <si>
    <t>Arlene</t>
  </si>
  <si>
    <t xml:space="preserve">Originally issued as PC9 with 10 minute response time. At renewal, SRD found PC10 and 18 min response time. I declined and asked for non-renewal. Branch came back with different responding FD address. </t>
  </si>
  <si>
    <t>I called the fire department listed on the PCQ and they couldn't confirm what we needed. I ran a PPC and it showed a completely different FD, further away, as the responding FD. Sent info to Jill</t>
  </si>
  <si>
    <t>HUCAH150003398</t>
  </si>
  <si>
    <t>Agent sending full file for review. Previously we said we wouldn't insure a property where the home basically had no value - it will be torn down! // 10/31 Reviewed w/ Jeff and declined. Note that a policy was already in force before info was obtained. Agent offered opportunity to cancel if they placed it quickly elsewhere.</t>
  </si>
  <si>
    <t>Note - policy was already issued. This just clarified we wouldn't cover the dock.</t>
  </si>
  <si>
    <t>Only 7% contained - new fire. Agent rarely asks for these exceptions but too soon to consider this one. Agent will monitor and resubmit if they still need an exception next week.//7/24 sent again. Fire 50% contained and admitted markets are lifting moratoriums. Online site shows fire 5 miles closer to property. Extensive damage, evac orders till in place. Advised Alex I can't send this to management. Decline stands.//Fire cleared and risk was bound 8/30/17</t>
  </si>
  <si>
    <t>Reviewed file. Agent quoting contingent on supplemental for all 3 parties.</t>
  </si>
  <si>
    <t>Risk is okay but contents are not acceptable. Decline addition of contents.</t>
  </si>
  <si>
    <t>Vileisis</t>
  </si>
  <si>
    <t>Birute</t>
  </si>
  <si>
    <t>Borderline response time. High brush per FireLine.</t>
  </si>
  <si>
    <t>Tae Eun</t>
  </si>
  <si>
    <t>Prior Claims</t>
  </si>
  <si>
    <t>Attached is a home built in 2000, PC4 of masonry construction with CS alarms. They are being non- renewed by State Farm due to the below losses. 4/12/14 - hail cat loss $1,400 paid out, closed. 4/25/14, home in neighborhood exploded causing damage to insured's home and about 50 other homes, 11,984 paid out, closed. 2/22/17, sewer backup loss, $33,621 paid out, claim closed, the insured has repaired all of the damages and installed a water detector in their basement.</t>
  </si>
  <si>
    <t>Subject to the backup exclusion and $10k water dmg ded as quoted; reviewed news articles, confirmed explosion was no fault of insured</t>
  </si>
  <si>
    <t>Too much risk while home is being lifted</t>
  </si>
  <si>
    <t>Manuel &amp; Rosa</t>
  </si>
  <si>
    <t>AZEVEDO</t>
  </si>
  <si>
    <t>This is a COC risk where they are lifting the home 3 ft</t>
  </si>
  <si>
    <t>Novitt</t>
  </si>
  <si>
    <t>Anita</t>
  </si>
  <si>
    <t>Belmar</t>
  </si>
  <si>
    <t>1903 dwelling updated in 2016, roof in 2011. Water claim 2/2016. Power outage and multiple radiators burst. Boiler kept sending water when power came back on. Major water loss. Unknown $ amount.</t>
  </si>
  <si>
    <t>Agent added 10% credit. I asked for 10% debit instead.</t>
  </si>
  <si>
    <t>ACV okay?</t>
  </si>
  <si>
    <t>Beautiful updated home with ornate woodwork and interior trims. Insured relocating from MO and wants to insure ACV only. Online photos show good condition.</t>
  </si>
  <si>
    <t>Fagg</t>
  </si>
  <si>
    <t>Jeffrey &amp; Nancy</t>
  </si>
  <si>
    <t>Heber City</t>
  </si>
  <si>
    <t>Sent to Bethany with proposal of .80 rate $5,657.</t>
  </si>
  <si>
    <t>Meaker</t>
  </si>
  <si>
    <t>Bruce &amp; Barry</t>
  </si>
  <si>
    <t>Montroce</t>
  </si>
  <si>
    <t>firm rental vetting process prior to becoming a rental, and you have approval to release the quoted terms with this contingency along with the 15% surcharge.</t>
  </si>
  <si>
    <t>DP3 Builders Risk/Rental</t>
  </si>
  <si>
    <t>loss at this property on 6/06/2017-tenants having a meth lab in the home ($0 payout).   All of the remediation has been done, and the home has been cleared for renovation/construction. In We are looking to write a builder’s risk.  They are using an insured contractor to complete the work, and get GL cert prior to binding. </t>
  </si>
  <si>
    <t xml:space="preserve">approved w/alarms; inspection revealed no alarms. Advised OK to retain w/no alarms but must increase AOP and theft deductible to a minimum of $10,000 </t>
  </si>
  <si>
    <t>Hanford</t>
  </si>
  <si>
    <t>Photos, PCQ OK.</t>
  </si>
  <si>
    <t>Snider</t>
  </si>
  <si>
    <t>Cape Girardeau</t>
  </si>
  <si>
    <t>1984 (Home updated-except wiring), no alarms, one loss-sept 2016-drunk man climbed on roof and fell off</t>
  </si>
  <si>
    <t>Confirmation that area of roof closed off as stated</t>
  </si>
  <si>
    <t>Tooma</t>
  </si>
  <si>
    <t>Tom &amp; Marta</t>
  </si>
  <si>
    <t>Coming off COC, vacant/up for sale</t>
  </si>
  <si>
    <t>Insured lives close to home, easy to monitor, photos OK</t>
  </si>
  <si>
    <t>Kathleen</t>
  </si>
  <si>
    <t>Raytown</t>
  </si>
  <si>
    <t>Approved as quoted; inspection photos/online review OK</t>
  </si>
  <si>
    <t>Pandukht</t>
  </si>
  <si>
    <t>Kira</t>
  </si>
  <si>
    <t>Silverado</t>
  </si>
  <si>
    <t>Wanted to check if 150 brush clearance necessary; RM high, so advised brush guidelines do apply</t>
  </si>
  <si>
    <t>Acceptable brush clearance</t>
  </si>
  <si>
    <t>TBM LLC</t>
  </si>
  <si>
    <t>NC X-Wind</t>
  </si>
  <si>
    <t>quote OK</t>
  </si>
  <si>
    <t>Primary, wind excluded, PC OK, no claims, agent just checking to be sure OK</t>
  </si>
  <si>
    <t>Agt advised retail called FD and confirmed address. Advised that need something in writing confirming they respond to our exact insured location before reconsidering. Agt then advised that would offer renewal at very high premium (to meet state requirements of NR), and will also quote w/other carriers</t>
  </si>
  <si>
    <t>Colbert Properties LLC</t>
  </si>
  <si>
    <t>Jeff reviewed, declined base on response time.</t>
  </si>
  <si>
    <t>Pearson</t>
  </si>
  <si>
    <t>Dennis &amp; Christine</t>
  </si>
  <si>
    <t>in brush</t>
  </si>
  <si>
    <t>approved subject to appropriate brush guidelines</t>
  </si>
  <si>
    <t>Blake</t>
  </si>
  <si>
    <t>Julie</t>
  </si>
  <si>
    <t>Harwich</t>
  </si>
  <si>
    <t>applicant coming off foreclosure, needs insurance in order to have it discharged</t>
  </si>
  <si>
    <t>Due to recent foreclosure + lapse in coverage</t>
  </si>
  <si>
    <t>Israel Ben</t>
  </si>
  <si>
    <t>Houston</t>
  </si>
  <si>
    <t>Moyal</t>
  </si>
  <si>
    <t>2017 build, PC 1 (ISO attached), full c/s alarms</t>
  </si>
  <si>
    <t>online photos OK; advised agt to be sure to use appropriate exclusions and/or deductibles for Harris County; from Map appears to be over a mile from coast</t>
  </si>
  <si>
    <t xml:space="preserve">Burdine </t>
  </si>
  <si>
    <t>Trail</t>
  </si>
  <si>
    <t>Liability exposure</t>
  </si>
  <si>
    <t>1972 dwelling on 127 acres. Walking bridge on property with No trespassing signs and barbed wire.</t>
  </si>
  <si>
    <t>Concerned with condition and part is insured built. Also concerned with barbed wire.</t>
  </si>
  <si>
    <t>Home was built on the base of a 1920 bridge. It is only slightly elevated. Professionally constructed. Beautiful online photos.</t>
  </si>
  <si>
    <t>Gave approval for extension; issuing 3 month term. K.Burdine</t>
  </si>
  <si>
    <t>McCombs</t>
  </si>
  <si>
    <t>DP3/Tenant</t>
  </si>
  <si>
    <t>Aptos</t>
  </si>
  <si>
    <t>During bind request, revealed &gt;90 day lapses; $100K fire loss at another prop in 10/2017 (assume Santa Rosa fire)</t>
  </si>
  <si>
    <t>10% surcharge, statement of no loss, and confirmation that loss is in fact from Santa Rosa</t>
  </si>
  <si>
    <t>Castle Valley</t>
  </si>
  <si>
    <t>HO3 Secondary Builders Risk</t>
  </si>
  <si>
    <t>Risk was bound with info of 15 min response time. Turns out to be 30 min and inaccessible year round. Builders risk. 2012 log home with finishing being done to 2nd floor.</t>
  </si>
  <si>
    <t>Reviewed w/Bethany. Quote was .46 rate. We offered .70 and all subjectivities agent noted, plus need acceptable woodstove questionnaire.</t>
  </si>
  <si>
    <t>Somogyi</t>
  </si>
  <si>
    <t>Christi</t>
  </si>
  <si>
    <t>Pending liab loss. Claimant tripped on sidewalk which was heaved by tree roots. Repair made. HOA and another owner are responsible, not our insured. Still open, going to trial soon.</t>
  </si>
  <si>
    <t xml:space="preserve">Since repair made, no further hazard. </t>
  </si>
  <si>
    <t xml:space="preserve">301 Orange Street LLC </t>
  </si>
  <si>
    <t>Proximity to commercial prop</t>
  </si>
  <si>
    <t>Confirmation that owners of property have no ownership in the car shop next door; appropriate use of flat roof guidelines per online pics of home</t>
  </si>
  <si>
    <t>This is next to a business – car shop. It is NOT part of the property of the 3 family; gut/rehab</t>
  </si>
  <si>
    <t>Rodger</t>
  </si>
  <si>
    <t>Hillsborough</t>
  </si>
  <si>
    <t>Frame, PC2, built in 1967, no brush, no losses, CFSB, located in CA.  Wood roof -2008 ( WILL add ACV loss settlement endt); NR by prior due to renovations; will be completed in next 6 months, in prop during reno</t>
  </si>
  <si>
    <t>RM, ISO, application, &amp; BR Supp, online review all OK. Reminded that if any increases to coverage needed after renovations or inspection, property no longer eligible due to max TIV</t>
  </si>
  <si>
    <t>Chan</t>
  </si>
  <si>
    <t>Leng</t>
  </si>
  <si>
    <t xml:space="preserve">40 year old row house in average condition. Some plumbing issues. 60 amp plumbing. Insured to repair/replace upon purchase. </t>
  </si>
  <si>
    <t>Allow with water exclusion. This will take care of the shingles on the roof over the walk and the plumbing.</t>
  </si>
  <si>
    <t>Hosley</t>
  </si>
  <si>
    <t>Gary &amp; Reed Engel</t>
  </si>
  <si>
    <t xml:space="preserve">Littleton  </t>
  </si>
  <si>
    <t>1976 dwelling that will be gutted and remodeled.  Prior $328K fire loss on 4/23/17 - electrical fire between renters when insured was working. Nonrenewed by prior carrier.  Agent quoting w/50% surcharge.</t>
  </si>
  <si>
    <t>Speck</t>
  </si>
  <si>
    <t>Nevada</t>
  </si>
  <si>
    <t>1990 home updated in 2014. In brush. Acceptable PCQ.</t>
  </si>
  <si>
    <t>Confirmed 6 minute response time.</t>
  </si>
  <si>
    <t xml:space="preserve">Running photos by Bethany before proceeding. Rates don't contemplate this type of exposure and increased hazard. </t>
  </si>
  <si>
    <t>Zephier</t>
  </si>
  <si>
    <t>Ward</t>
  </si>
  <si>
    <t>Loss 06/24/2017-should be settled in December, prior prop has fire loss. Loss cause: kids playing w/fireworks, 1910 build on new prop (updates)</t>
  </si>
  <si>
    <t>Subject to children that played with fireworks not moving to new prop (ex: prior loss children in that neighborhood). If are moving, advised to resubmit for further review</t>
  </si>
  <si>
    <t>Yorkshire</t>
  </si>
  <si>
    <t>Santa Cuarita</t>
  </si>
  <si>
    <t>PC4, built in 1979, frame, primary, c/s alarm, in brush, located in CA</t>
  </si>
  <si>
    <t>Advised if no updates be sure appropriate settlement used</t>
  </si>
  <si>
    <t>Brooks Spring LLC</t>
  </si>
  <si>
    <t>Coverage A</t>
  </si>
  <si>
    <t>This property has two small hunting cabins on it that are used as secondary homes.  Primarily during hunting season.  They are only 328 square feet and 210 square feet.  Then there’s a well house.  The insured really wants to insure the buildings since they are fairly nice and newer dwellings.  They both have electricity, water, and heating, PCQ says 30 min response, map shows over 1 hour</t>
  </si>
  <si>
    <t>Discussed w/ PM. Rate ($900) not adequate for risk and unusual that now seeking insurance (pics from 2008); response time to great</t>
  </si>
  <si>
    <t xml:space="preserve">primary home submission for the above named insured located in CA(HO3 in a brush zone).  Home was built in 2005 of frame construction.  PC3 with alarms and no losses. Adding - $10,000 animal liability, </t>
  </si>
  <si>
    <t>Attached is a secondary risk located in CA. Frame construction, built in 2017, PC10,in brush, 14 min drive time, no c/s alarms, one loss in 10/10/17.  Please note that the loss was paid by the insured and was less than $1k, the heat damaged the mail box and the keypad for the gate.</t>
  </si>
  <si>
    <t>1976 home w/no updates. Roof exclusion. PC9 4 min response time, accessible. In brush.</t>
  </si>
  <si>
    <t>tuck under garage, plastic forming machinist with workshop in garage; GL in place for business operation; quoted with TBE</t>
  </si>
  <si>
    <t>PC10 &amp; not accessible year round, appears to be 30 min response time; Secondary, log home, no losses, built in 2001, located in UT</t>
  </si>
  <si>
    <t>Response time may be less based on my research, but volunteer FD, not accessible year round</t>
  </si>
  <si>
    <t xml:space="preserve">Insured has a Chapter 11 business bankruptcy and needs US Trustee listed on their policy. Lexington won't take the risk and agent is looking to place elsewhere.  </t>
  </si>
  <si>
    <t>Too much prop and liab risk, even w/ exclusions; suggest comm better product for needs</t>
  </si>
  <si>
    <t>Confirmed with Bethany current rating is appropriate, can not discount 60%</t>
  </si>
  <si>
    <t>Dwelling inherited from parents. Bro was caretaker. Insd just went to look at home to put up for sale and found bro hasn't done anything for 4 years. Dry rot to exterior sills, needs paint. Agent wants to quote w/water damage exclusion.</t>
  </si>
  <si>
    <t>1978 home w/some updates. Full alarms. In brush, no RiskMeter attached. 15-16 min response time by paid and volunteer FD. Ran FireLine - High 12.</t>
  </si>
  <si>
    <t>2007 home winterized and not used in winter. 44 min possible response time and not accessible in winter. Good agent. Quoted .36 with 5% surcharge.</t>
  </si>
  <si>
    <t>Home was built in 2000 of frame construction.PC9 risk - 8 minute response time/accessible year round and no hydrant within 1000 feet. Home is not equipped with alarms and has no losses</t>
  </si>
  <si>
    <t>1955 build, partially updated, no losses, insured hair dresses-one chair/6 customers week. Quoted w/ no liab and TBE</t>
  </si>
  <si>
    <t>Originally quoted w/ 5% credit, but at bind discovered 90+ day lapse; so adding 5% surcharge</t>
  </si>
  <si>
    <t>Lapse at 9 months, didn't realize as prior agent left the company; approved with $2500 ded and surcharge</t>
  </si>
  <si>
    <t>LMJ Enterprises</t>
  </si>
  <si>
    <t xml:space="preserve">Risk is 2/3 rental and 1/3 flower shop. </t>
  </si>
  <si>
    <t>This belongs on a commercial policy - no owner occupancy.</t>
  </si>
  <si>
    <t>Walter Joseph &amp; Kathryn</t>
  </si>
  <si>
    <t>Saint Helena Island</t>
  </si>
  <si>
    <t>1987 frame home. Agent quoted at $4,503 and wanted to match $3,281.</t>
  </si>
  <si>
    <t>We can write, but we can't meet the $3,281 request.</t>
  </si>
  <si>
    <t>Bethany and Kylie rated this out for us.</t>
  </si>
  <si>
    <t>Paterson Development Group LLC</t>
  </si>
  <si>
    <t>Paterson</t>
  </si>
  <si>
    <t>Commercial next door</t>
  </si>
  <si>
    <t>1920 3 family home with updates. Next door to auto  shop. Agent confirming it is not on the deed and no insured ownership.</t>
  </si>
  <si>
    <t>Alan</t>
  </si>
  <si>
    <t>1917 home w/updates. New purchase. Ornate home in solid condition with some dry rot, cracks, and water damage. Overall has potential. Insured is repairing. Cancelled by Lloyds due to condition and no central station fire alarm.</t>
  </si>
  <si>
    <t xml:space="preserve">TIV too high. Reviewed possible terms w/Cheryl if we could have taken it. </t>
  </si>
  <si>
    <t>Anne T</t>
  </si>
  <si>
    <t>1923 risk w/updates. Agent advised of Sandy loss over 3 years. All damage is repaired. Payment from prior carrier not settled yet due to battle w/FEMA.</t>
  </si>
  <si>
    <t>Okay since all repairs made.</t>
  </si>
  <si>
    <t>Wilhelm</t>
  </si>
  <si>
    <t>Sarasota</t>
  </si>
  <si>
    <t xml:space="preserve">Rate    </t>
  </si>
  <si>
    <t>2007 risk in Sarasota 1 mi from coast coming in with what seems like a low rate. Agent increased rate 50% and wants to know if that is okay.</t>
  </si>
  <si>
    <t>Reviewed with Product Management who sent to Tiger. Odd rate coming in for all. Advised to go ahead with 50% s/c provided we are within range of competition. Thanked Jill for questioning!</t>
  </si>
  <si>
    <t>Jacklyn</t>
  </si>
  <si>
    <t>Effective date</t>
  </si>
  <si>
    <t>1967 risk w/roof update. Agent bound on 11/10 but didn't get docs in until today and the wildfire in CA is within 5 miles. Lapsed risk w/Lex. For big agent in Malibu.</t>
  </si>
  <si>
    <t xml:space="preserve">Reviewed w/ Louisa by phone and per her suggestion, emailed Jeff w/full info. He agreed risk bound 11/10/17. </t>
  </si>
  <si>
    <t xml:space="preserve">Checked with Louisa. Burdine-Agt came back 12/6, retail very upset (Large agt). Renewal was already offered, and concern was discovered during bind. Agt advised would complain to Markel and CA DOI if renewal offer not honored, and suggested instead renew as offered and send NR for next term. Also, advised that it is inspected regularly by city or county engineers and meets all inspector codes and  is in better condition today then has been in the past (agt has been on prop many times over 25+ years). Agreed to renew as suggested, with NR next term if doesn't exclude liab. </t>
  </si>
  <si>
    <t>Bookmyer</t>
  </si>
  <si>
    <t>Scott &amp; Kelly</t>
  </si>
  <si>
    <t>Cherry Hills</t>
  </si>
  <si>
    <t>Current rental, now vacant. Will do renovations in about 6 months. Requested Ho3 vacant</t>
  </si>
  <si>
    <t xml:space="preserve"> Approved as DP3 vacant, will need to rewrite to builders risk when ready</t>
  </si>
  <si>
    <t>Clarington</t>
  </si>
  <si>
    <t>Advised per pics and most recent descript sounds to be more of a secondary risk; can further consider w/ additional info (wood stove questionnaire and PCQ)</t>
  </si>
  <si>
    <t>First described as campsite; later clarified no comm use, personal only; 11 miles from FD, no hydrants</t>
  </si>
  <si>
    <t>Jill/Danielle</t>
  </si>
  <si>
    <t>Estate of William G. Helis</t>
  </si>
  <si>
    <t>Extended Vacancy</t>
  </si>
  <si>
    <t>PC2, built in 1934/some updates, masonry, no losses, located in LA. Vacant since owner passed away in 1988. Daughter wants to keep house as is. Lives in CA. Well maintained prop-confirmed that 24/7 security at the house itself, property is gated, caretaker checks on house 5 days a week, home has been updated as recently as 2010</t>
  </si>
  <si>
    <t>John Monroe</t>
  </si>
  <si>
    <t>Black</t>
  </si>
  <si>
    <t>Thanksgiving 2016 loss-still open for ALE. Insured not rebuilding, buying this new prop. Claim cause: fire loss-Insured cleaned out the smoker after Thanksgiving and put the ashes in the bed of the truck in the garage.  All occupants of the home were present. Total payout: $771,500</t>
  </si>
  <si>
    <t>Based on cause of loss (insured negligence), date, and size advised not comfortable insuring at this time</t>
  </si>
  <si>
    <t>BOEHLKE BOTTLED GAS CORP</t>
  </si>
  <si>
    <t>Mequon</t>
  </si>
  <si>
    <t>Commercial prop next door, owned by same company as this home. TBE quoted</t>
  </si>
  <si>
    <t>Acceptable as long as different addresses, as it appears to be</t>
  </si>
  <si>
    <t>Dumoulin</t>
  </si>
  <si>
    <t>Kokomo</t>
  </si>
  <si>
    <t>primary home for the above named insured located in IN.  Home was built in 2000 of brick veneer construction.  PC9 with alarms and no losses</t>
  </si>
  <si>
    <t>no loss statement needed. Per app, cancelled in November (over 30 days)</t>
  </si>
  <si>
    <t>Genovese</t>
  </si>
  <si>
    <t>Michael &amp; Barbara</t>
  </si>
  <si>
    <t>1992 roof; agt advised insured will update after closing</t>
  </si>
  <si>
    <t>Granted approval again on 12/06/2017 after receiving request from Danielle to approve again. K.Burdine</t>
  </si>
  <si>
    <t>Rating as PC 10 (FD over 5 miles) and installing central alarms or increasing AOP ded</t>
  </si>
  <si>
    <t>secondary home for the above applicant located in CA. Home was built in 2010.100% frame construction. PC9. No losses, ISO, PCQ, APP attached</t>
  </si>
  <si>
    <t>Ladera Ranch</t>
  </si>
  <si>
    <t>Ryan &amp; Erin</t>
  </si>
  <si>
    <t>Lowe</t>
  </si>
  <si>
    <t>there is a closer volunteer FD that is on call to assist should there be a report; lower valued, renews 12/22/2017…subject to issues noted on attached inspection being addressed(e.g. brush clearance)</t>
  </si>
  <si>
    <t xml:space="preserve">Response Time </t>
  </si>
  <si>
    <t>renewal policy-BWH100719R1-secondary rental home for the above applicant located in CA, in brush. Home was built in 1950 with full updates to heating, wiring, roofing and plumbing in 2007. It is built of 100% frame construction. PC10. No losses. Response time 17 minutes;</t>
  </si>
  <si>
    <t>THE RIVERA-CORUM LIV</t>
  </si>
  <si>
    <t>Boething</t>
  </si>
  <si>
    <t>Marjory</t>
  </si>
  <si>
    <t>Calabasaa</t>
  </si>
  <si>
    <t>Home was built in 1971 and updated in 2006 and roof in 2010 of frame construction.  PC4 with alarms and one water loss, brush</t>
  </si>
  <si>
    <t>checked, home not near any fires</t>
  </si>
  <si>
    <t>Wilson Family Trust</t>
  </si>
  <si>
    <t>Gave approval to renew, TIV now $5mil. K.burdine 12/7/17</t>
  </si>
  <si>
    <t>Per agt, home will be vacant indefinitely. Discussed w./ Melissa. May be comfortable as long as they re-underwrite every year as required. Requesting current quoted premium//premium $28,928 premium in VMGA (CQ wind premium is $18,754 and original property premium is $9,976). Approval granted w/ annual reunderwriting</t>
  </si>
  <si>
    <t>Morrison</t>
  </si>
  <si>
    <t>other structures 1,840,000</t>
  </si>
  <si>
    <t>no comm use of other structures, pc ok, photos ok</t>
  </si>
  <si>
    <t>Whitman</t>
  </si>
  <si>
    <t>Pam</t>
  </si>
  <si>
    <t>agt exceeded max TIV for county, wants consideration. Not in brush, but very close to high brush zones</t>
  </si>
  <si>
    <t>Declined due to high TIV, very close to brush, fires in general area, not comfortable w/exception</t>
  </si>
  <si>
    <t xml:space="preserve">Samuel </t>
  </si>
  <si>
    <t>PC2, no brush, frame, built in 2017, primary, no losses, located in CA</t>
  </si>
  <si>
    <t>RM, ISO, pics OK</t>
  </si>
  <si>
    <t>S</t>
  </si>
  <si>
    <t>Air BNB</t>
  </si>
  <si>
    <t>primary residence and they rent the apartment over their detached garage out through airbnb</t>
  </si>
  <si>
    <t>risk acceptable</t>
  </si>
  <si>
    <t>Built in 1995, PC2, frame, secondary, c/s alarms, no losses, located in CO</t>
  </si>
  <si>
    <t>PACS COLORADO LLC</t>
  </si>
  <si>
    <t>photos, ISO OK</t>
  </si>
  <si>
    <t>Keystone</t>
  </si>
  <si>
    <t>Sahba</t>
  </si>
  <si>
    <t>20% surcharge</t>
  </si>
  <si>
    <t>Business of premises</t>
  </si>
  <si>
    <t>Alice</t>
  </si>
  <si>
    <t>Zoeher</t>
  </si>
  <si>
    <t>McLean</t>
  </si>
  <si>
    <t>Kirk &amp; Jennifer</t>
  </si>
  <si>
    <t>This insured has had a rental policy in place, however, the home is under construction. The agent just found out today; fully enclosed but working on interior</t>
  </si>
  <si>
    <t>Approved, advised need a 20% surcharge; RM and photos OK</t>
  </si>
  <si>
    <t>Drolson</t>
  </si>
  <si>
    <t>Kaitlin</t>
  </si>
  <si>
    <t>Escondido</t>
  </si>
  <si>
    <t>Insured renting out stables on property: max 3 horses, stables only (no foot traffic)</t>
  </si>
  <si>
    <t>TBE, other structure exclusion for stables, and animal exclusion</t>
  </si>
  <si>
    <t>Cawelti</t>
  </si>
  <si>
    <t>Holt &amp; Andria</t>
  </si>
  <si>
    <t>Wood Fords</t>
  </si>
  <si>
    <t>primary home located in CA. Frame construction, built in 2003, PC 10, Drive time is 15 minutes, not in brush, no losses, no c/s alarms.</t>
  </si>
  <si>
    <t>PCQ,drivetime, RM OK. Advised to be sure no concerns w/ animals as requested $50K in animal liab but no animals mentioned on app</t>
  </si>
  <si>
    <t>Dennis</t>
  </si>
  <si>
    <t>Piney Point</t>
  </si>
  <si>
    <t>requested PCQ for review. Only quote attached</t>
  </si>
  <si>
    <t>Brynne</t>
  </si>
  <si>
    <t>Home was built in 1962 and roof updated in 2010.  Looking for HO3 with FRC settlement.  PC3 with no alarms and no losses. Insured has inhome business - Dog Grooming, no employees.  Insured's have a completely separate entrance for the business which is in their basement.</t>
  </si>
  <si>
    <t>Subject to TBE and x-liab based on level of exposure</t>
  </si>
  <si>
    <t>Zarnegin</t>
  </si>
  <si>
    <t xml:space="preserve">Bo </t>
  </si>
  <si>
    <t xml:space="preserve">1939 home w/updates, approved in 2016 when it was vacant. Now rented.  </t>
  </si>
  <si>
    <t>Subj to confirmation of FD location.//gave approval to renew, Cov A needs to go up $30K per inspection.K burdine 12/11/17</t>
  </si>
  <si>
    <t xml:space="preserve">Hahn </t>
  </si>
  <si>
    <t>Bonnie</t>
  </si>
  <si>
    <t>Get WBS as app states it is for heat.  Inspection determined this is inaccessible year round, brushy, and 60 min response time. Adjusted rate with 50% s/c vs. original 20%.</t>
  </si>
  <si>
    <t>Hildebrand</t>
  </si>
  <si>
    <t>Exception to cap</t>
  </si>
  <si>
    <t>Malibu risk where agency has exceeded cap. Submitting for exception. 1959 home w/ some updates. RM is not in brush, but brush is within 500' (heavy). FireLine shows high 12 w/heavy fuel and med-heavy surrounding fuel.</t>
  </si>
  <si>
    <t>Too close to brushy area.</t>
  </si>
  <si>
    <t>Weitz</t>
  </si>
  <si>
    <t>Risk written 1/2017 without uw approval. Insured is a film producer.  There was a liability policy with Hudson.  There was a work comp loss which occurred on 11/15/16. Files w/WC board on 5/30/17, still open.  Employee of subcontractor was injured during construction.  There was a GC.</t>
  </si>
  <si>
    <t>Not too high profile.  Loss seems like it will be successfully defended as insured is not the employer. Subject to confirmation that construction is complete (so that claimant is no longer working on insured's home).</t>
  </si>
  <si>
    <t xml:space="preserve">LARE &amp; JANET </t>
  </si>
  <si>
    <t>Schlee</t>
  </si>
  <si>
    <t>NR by Badger Mutual eff 12/12 due to open claim. DOL 09/2016-plaster fell on tenants head. Won't provide reserve info to Broker, but $13K in medical bills thus far. Tenant still in home, but plan to evict once claim closed</t>
  </si>
  <si>
    <t>Declined due to open claim, claimant still in home. Concerned if another claim is reported in interim or during eviction</t>
  </si>
  <si>
    <t>Lake Wales</t>
  </si>
  <si>
    <t>Built in 1998, frame, primary, no losses, located in Polk County, FL; PC 10 16 min response time; VMGA Premium $4,798</t>
  </si>
  <si>
    <t>Photos Ok, PCQ Ok, premium acceptable</t>
  </si>
  <si>
    <t>Pontes</t>
  </si>
  <si>
    <t>Stephen &amp; Lisa</t>
  </si>
  <si>
    <t>Janesville</t>
  </si>
  <si>
    <t>Zip Line on prop</t>
  </si>
  <si>
    <t>frame, built in 1994, primary, no losses, in brush, located in CA; Zip line on the property - once inspected will be used by family &amp; friends</t>
  </si>
  <si>
    <t>Approved subj to x-liab due to recreational device</t>
  </si>
  <si>
    <t>Advised OK to remove alarms during construction phase (keep setting off alarms), but requested higher ded's if able.  12/13/17</t>
  </si>
  <si>
    <t>VanBeurden</t>
  </si>
  <si>
    <t>William &amp; Lise</t>
  </si>
  <si>
    <t>Clovis</t>
  </si>
  <si>
    <t>Home was built in 1988 and updated in 2008 and wiring in 2000.  Frame construction, PC9 and alarms.</t>
  </si>
  <si>
    <t>Advised can consider further. If we do end up securing the property, it would be subject to a rush inspection to be sure all is in fact. To further review, can you provide an address, the VMGA premium, brush, and ISO info on the property</t>
  </si>
  <si>
    <t>however due to the higher contents limit and no burglar alarm in the home a $10K theft deductible will be required.</t>
  </si>
  <si>
    <t>Attached is a seasonal home for the above applicant located in UT. Home was built in 2000, no updates. It is built of 100% frame construction. PC4. No losses. $350,000 in contents</t>
  </si>
  <si>
    <t>Content Limit</t>
  </si>
  <si>
    <t>JTB &amp; COS PROPERTIES, L.L.C.</t>
  </si>
  <si>
    <t>Safarian</t>
  </si>
  <si>
    <t>Artine</t>
  </si>
  <si>
    <t>Lapsed 10/11 w/ Travelers, quoted with surcharge</t>
  </si>
  <si>
    <t>While reviewing this address, it appears to be within 20 miles of a fire that isn’t quite 100% contained (Creek Fire and another unnamed fire).  Advised to check back after 100% contained for further consideration, with a no loss statement</t>
  </si>
  <si>
    <t>Gave approval for renewal terms w/ same subjectivities. K.Burdine 12/15/17</t>
  </si>
  <si>
    <t>Agreed ok to offer terms, with contingency in place prior to binding: no damage to home, no loss statement signed, fire 100% contained</t>
  </si>
  <si>
    <t>Gary &amp; Pam</t>
  </si>
  <si>
    <t>Zip Code</t>
  </si>
  <si>
    <t>We are under $50 mil – I believe it is currently around $48,300,000 and the TIV on this one is under $1 million</t>
  </si>
  <si>
    <t>Confirming will not breach the zip code cap</t>
  </si>
  <si>
    <t>Ware</t>
  </si>
  <si>
    <t>Britt</t>
  </si>
  <si>
    <t>Murrells Inlet</t>
  </si>
  <si>
    <t>Home was built in1994 and updated in 2017 of frame construction.  PC10 with local alarm and no losses.</t>
  </si>
  <si>
    <t>Hining</t>
  </si>
  <si>
    <t>Oak Park</t>
  </si>
  <si>
    <t>Insured is a music instructor with 5-8 students per day.  Max is about 24.  Classes are held in the basement Wednesday - Saturday.  He does carry a separate BOP policy.  Total Business Exclusion</t>
  </si>
  <si>
    <t>Maintenance of comm pol and TBE; online review OK</t>
  </si>
  <si>
    <t>Bookmyer (AKA The Freiburg Pact LLC)</t>
  </si>
  <si>
    <t>Current rental, now vacant. Will do renovations in about 6 months. Agent asking to match SCU competing quote which we approved on 12/4/17.</t>
  </si>
  <si>
    <t>Approved with VMGA rate. Advised we can't match Markel competitor quotes.</t>
  </si>
  <si>
    <t>Peter &amp; Nicholas Whitney</t>
  </si>
  <si>
    <t>Agent would like to write 2 rentals on one policy. Main dwelling is a vacation rental. Detached structure is 300 SF annual rental.</t>
  </si>
  <si>
    <t>Advised agent I am comfortable with how they handle. They are free to get a 2nd opinion, but I'm okay with them proceeding without referral.</t>
  </si>
  <si>
    <t>Behr</t>
  </si>
  <si>
    <t>Wolfgang</t>
  </si>
  <si>
    <t>DP3 Rental/Reno</t>
  </si>
  <si>
    <t>This is the 4th 3 mo renewal. Insured is renovating and Cov A needs to be increased. Agency already over their cap.</t>
  </si>
  <si>
    <t>In the future, make sure room is left for these situations.</t>
  </si>
  <si>
    <t>Denger</t>
  </si>
  <si>
    <t>Marc &amp; Elisheva Denger</t>
  </si>
  <si>
    <t>Construction start date</t>
  </si>
  <si>
    <t>This is new construction builders risk but not starting until February. They want coverage in place now because of plans, permits, etc.</t>
  </si>
  <si>
    <t>Ensure no demolition of existing home. Basically we are insuring a vacant lot for a while.</t>
  </si>
  <si>
    <t>Kirkendall</t>
  </si>
  <si>
    <t>Roger &amp; Alice</t>
  </si>
  <si>
    <t xml:space="preserve">1900 home updated. Agent pre-screening before quoting. 4 prior losses. 3/14 Fire $2994. 12/13 Refrig prod $519. 9/13 &amp; 4/13 Theft $348 and $1030. Currently lapsed for non pay since 11/15. </t>
  </si>
  <si>
    <t>Poor ins score, curr non pay, prior losses.</t>
  </si>
  <si>
    <t>458 score with judgements, liens and collections.</t>
  </si>
  <si>
    <t>Samjord Properties</t>
  </si>
  <si>
    <t>Annapolis</t>
  </si>
  <si>
    <t>Force placed policies</t>
  </si>
  <si>
    <t>Agent has 2 applications for 2 properties in MD. They are "force placed".  Asked for more info, but advised if the lender is force placing, that is not a kind of policy we write.</t>
  </si>
  <si>
    <t>Ross   HUCAH150003568</t>
  </si>
  <si>
    <t>La Canada-Flintridge</t>
  </si>
  <si>
    <t>Glosso</t>
  </si>
  <si>
    <t>Horses and lessons</t>
  </si>
  <si>
    <t>Risk is not in brush zone. Quoted value was under $3M. Policy was issued. Inspection value is over $3M which requires approval.  (This is not the $3M TIV cap).</t>
  </si>
  <si>
    <t>Very nice home, not in brush.</t>
  </si>
  <si>
    <t>LRVC, LLC</t>
  </si>
  <si>
    <t>Valley Center</t>
  </si>
  <si>
    <t>1960 dwelling with updates. Agent bound as primary homeowners. Risk is full time tenant caretaker.  There is also a business on premises that is a storefront and warehouse for organic fruit and nut operation.</t>
  </si>
  <si>
    <t>Policy was issued in September. Needs to be cancelled asap.</t>
  </si>
  <si>
    <t>Boutelle</t>
  </si>
  <si>
    <t>Built in 1991, PC3, frame, primary, no brush, located in CA</t>
  </si>
  <si>
    <t>Del Mar</t>
  </si>
  <si>
    <t>approval to offer terms with personal liability, mold, water backup, personal injury, ID fraud and Coverage C/D as long as the GC has a GL policy in place.</t>
  </si>
  <si>
    <t>Currently w/ Lex, want to move to Markel-renovations to include addition of living space and garage. Home occupied fully during renovations, wants personal liab instead of premise, GC has been hired</t>
  </si>
  <si>
    <t>Extra Coverages on COC</t>
  </si>
  <si>
    <t>Diggins &amp; Fitgerald</t>
  </si>
  <si>
    <t>Lawrence &amp; Kelly</t>
  </si>
  <si>
    <t>No electrical updates</t>
  </si>
  <si>
    <t>COC submission for a home that will be the insured’s primary upon completion. The home is old (built 1929) and currently has knob and tube wiring. The agent advised all electrical and plumbing will replaced shortly after escrow closes</t>
  </si>
  <si>
    <t>approval with complete updates w/in 30 days after closing</t>
  </si>
  <si>
    <t>Wolf</t>
  </si>
  <si>
    <t>Josh</t>
  </si>
  <si>
    <t>Park</t>
  </si>
  <si>
    <t>Jonathan</t>
  </si>
  <si>
    <t xml:space="preserve"> approval to release as quoted. Please be sure no art-dealings are taking place inside the premise (based on the co-applicants job title).</t>
  </si>
  <si>
    <t>PC3, frame, primary, no losses, built in 1998/updated, updated in NY</t>
  </si>
  <si>
    <t xml:space="preserve">Walt </t>
  </si>
  <si>
    <t>Saratoga</t>
  </si>
  <si>
    <t>2000 home with 2 large plumbing losses. Quoted $5K AOP. Not in brush. 2016 fitting burst in 2nd floor master bath. $226,410. 2015 toilet valve had slow leak in 2nd floor guest bathroom $68,018.</t>
  </si>
  <si>
    <t>Lori</t>
  </si>
  <si>
    <t>Meadows</t>
  </si>
  <si>
    <t>Brenda Mingo</t>
  </si>
  <si>
    <t>Long</t>
  </si>
  <si>
    <t>George &amp; Mary Jo</t>
  </si>
  <si>
    <t>Loveland</t>
  </si>
  <si>
    <t>1968 dwelling with unknown updates. Underwriter "guessed" at dates. 1 year lapse due to nonrenewed and agency did not replace in error.  Rated as PC7-underwriter "guessed". Not all UW questions answered.</t>
  </si>
  <si>
    <t xml:space="preserve">2001 dwelling. Insured moved to TX and in error, covg lapsed 3/15/17 - forgot to pay bill. App requests $300K contents. No info on alarms. </t>
  </si>
  <si>
    <t>Addl 10% for lapse. Signed no loss. Add roof excl (suppl says roof it 26-50 years old). I ran PPC - it is PC1 - advised UW not to guess. All UW questions need to be answered.</t>
  </si>
  <si>
    <t>Signed no loss.  Only $50K contents approved. Call if more needed with explanation and alarm info.</t>
  </si>
  <si>
    <t>Zayed</t>
  </si>
  <si>
    <t>Mahmoud</t>
  </si>
  <si>
    <t xml:space="preserve">Westlake   </t>
  </si>
  <si>
    <t>1982 dwelling w/partial updates.  30 day lapse for non pay. 3 prior losses. 1/15 Freezing/weather $8832. 11/1/15 water/non weather $7780. 3/8/17 wind &amp; hail $11,515.</t>
  </si>
  <si>
    <t>Signed no loss. UW questions all need to be answered.</t>
  </si>
  <si>
    <t>DB Charleston, LLS</t>
  </si>
  <si>
    <t>Wildfire &lt;20 miles</t>
  </si>
  <si>
    <t xml:space="preserve">1969 vacant frame dwelling.  8.25 miles from Creek fire (I measured). Fire is 98% contained, no longer under control of CalFire. They are clearing remaining issue.  </t>
  </si>
  <si>
    <t>Agreed to bind since fire is highly contained per multiple sources and 8.25 miles away.</t>
  </si>
  <si>
    <t xml:space="preserve">Christian   </t>
  </si>
  <si>
    <t>Brad</t>
  </si>
  <si>
    <t>2000 home in brush. Online photos okay. Home has been custom updated since purchase. Hot tub with no cover some distance from the dwelling.</t>
  </si>
  <si>
    <t>Get hot tub cover. Confirm no business. Photos show vineyard near the home. Need info if it is theirs.</t>
  </si>
  <si>
    <t>1997 home w/updates. Insured has 4 personal horse and 2 personal ponies. 5 acres. Personal use. Occasional horseback riding lessons. No boarding.</t>
  </si>
  <si>
    <t>Online search shows more going on than riding. Purchase shows new so possibly prior owner business. Questions to Jill. If we proceed it will be subject to:
• Animal exclusion
• Total business exclusion
• Possibly the Building exclusion for any buildings and fencing used in the business.
This is all previous owner. Current owner's partner conducts no more than 5 lessons/week. Has liab pol. They may keep a friends horse occasionally.. Approved as noted above.</t>
  </si>
  <si>
    <t xml:space="preserve">Thomas     </t>
  </si>
  <si>
    <t>2008 dwelling in brush. Insured has 3 lab dogs. Brush clearance only 30 feet. Can an exception be made.</t>
  </si>
  <si>
    <t>We are strict with our CA brush clearance. So is CAL Fire. Clear, then we can consider. Also, reminder to check for active fires.</t>
  </si>
  <si>
    <t>Abidi</t>
  </si>
  <si>
    <t>Asad &amp; Hina</t>
  </si>
  <si>
    <t>Potential new risk appx. 15 miles to the Creek Fire (98% contained). Can they bind? Don't have bind request yet.</t>
  </si>
  <si>
    <t>As long as it is at least 98% contained when the bind comes in they can bind. If the fire flares and containment % is reduced, re-evaluate.</t>
  </si>
  <si>
    <t>Doyle</t>
  </si>
  <si>
    <t>David &amp; Kelly</t>
  </si>
  <si>
    <t xml:space="preserve">2007 home in brush w/central burglar alarm. $10K deductible applied. NRN by prior carrier. </t>
  </si>
  <si>
    <t>Need acceptable reason for NRN.</t>
  </si>
  <si>
    <t>Manboubi-Fardi</t>
  </si>
  <si>
    <t>1928 dwelling updated in 2000. Not in brush zone. All UW questions answered 'no'.</t>
  </si>
  <si>
    <t>Googled insured and found a bankruptcy court doc from 2014. Ran ins score and found another bankruptcy in 2013.</t>
  </si>
  <si>
    <t>Score is 632 with adverse info, bankruptcy, collection. $3M of open debt.</t>
  </si>
  <si>
    <t>Bancheri</t>
  </si>
  <si>
    <t xml:space="preserve">Joseph </t>
  </si>
  <si>
    <t>Ventnor City</t>
  </si>
  <si>
    <t>1923 home updated in 2007. Extends over canal about 1/2 mile from ocean. Boats can park under a portion of the home. Extensive pilings. Appears to be professionally done and similar to other homes in the area. Agent suggested excluding liab due to boats parking under home.</t>
  </si>
  <si>
    <t>https://www.zillow.com/homedetails/5502-Edgewater-Ave-Ventnor-City-NJ-08406/37843546_zpid/  Looks stable, nice home.</t>
  </si>
  <si>
    <t>Campbell</t>
  </si>
  <si>
    <t>1970 home not in brush. Scottsdale nonrenewing due to 2/8/17 loss - storm caused roof to cave. Risk is in Malibu. Repairs not completed. Agt proposing to add roof exclusion and existing dmg exclusion. Inspection provided - flat roof.</t>
  </si>
  <si>
    <t>Tony</t>
  </si>
  <si>
    <t>DP3Tenant</t>
  </si>
  <si>
    <t>2000 dwelling not in brush. 13 min drive time. FD is 6.9 miles away. Inspection and photos provided.</t>
  </si>
  <si>
    <t>Found a couple of issues w/the inspection that inspector didn't address - open breaker slots. Chicken coup. Inspector noted bridge needs railing - confirming it is repaired. App is mostly blank.</t>
  </si>
  <si>
    <t>1995 risk 20 miles/25 min from FD. Mostly volunteer. FT Caretaker. Quoted at $1770.  Risk quoted in October as an HO3; resubmitted as a DP3.</t>
  </si>
  <si>
    <t>Ok w/WBS quest and rate around $2730.</t>
  </si>
  <si>
    <t>Apply 10% additional s/c for large loss.  $25K water damage ded. // 12/28/17 agt asked for increased limits - re-approval from TIV $3,884,500</t>
  </si>
  <si>
    <t>Madden</t>
  </si>
  <si>
    <t>Pueblo</t>
  </si>
  <si>
    <t xml:space="preserve">1997 vacant dwelling.  Wind claim 4/17 - roof replaced. Current open liab loss. Handrail was loose and pulled off wall - claimant fell. </t>
  </si>
  <si>
    <t>Subj to confirmation that the damaged rail was repaired by a licensed contractor and there are no other liability issues inside or outside the home.</t>
  </si>
  <si>
    <t>Wise</t>
  </si>
  <si>
    <t>1900 dwelling will be vacant for 4-6 months. Then will be endorsed to builders risk and $1M added. Insured lives in London and won't be moving in until all work is done. $5K AOP covers the flat roof. Closing today.</t>
  </si>
  <si>
    <t>Provided this is not a brush zone.</t>
  </si>
  <si>
    <t>Karvelas</t>
  </si>
  <si>
    <t>Brian &amp; Lizeth</t>
  </si>
  <si>
    <t>2017 home in medium brush. Agt quoted as PC10. 7 min drive time. Photos show very nice home on the top of a hill.</t>
  </si>
  <si>
    <t>Nice home, reasonable drive time.</t>
  </si>
  <si>
    <t>Landrum</t>
  </si>
  <si>
    <t>Harry &amp; Concetta</t>
  </si>
  <si>
    <t>Mullica Hill</t>
  </si>
  <si>
    <t>1994 home w/heating update. Insd has optometrist business in home w/separate entrance. Has BOB and WC. 50 patients/week. Agt quoted with Total Business Exclusion.</t>
  </si>
  <si>
    <t>Okay excluding liability.  Medical exposure and heavy foot traffic in the home itself.  Concern of large loss that we would have to defend.</t>
  </si>
  <si>
    <t>Agt quoted ground up in Feb, but insured didn't take as thought GC GL would cover. After GL advised didn't, now seeking cov. Foundation, framing, roofing, windows, rough heating and Air conditioning and plumbing are done.  Surcharging 20%</t>
  </si>
  <si>
    <t>PC2, frame, tenant, no losses, built in 1941/updated, not a brush zone, located in CA. Agent disclosed the tenant will be doing Piano Lessons Mon- Thurs. and on Saturday, tenant usually has 2-3 lessons a day; TBE in place</t>
  </si>
  <si>
    <t>approval to release with the total business exclusion in place. subject to the tenant also residing in the same property. If it is used strictly for piano lessons, then the property is ineligible.</t>
  </si>
  <si>
    <t>Photos/info OK. Reminded that if any increases needed, prop no longer eligible since max TIV</t>
  </si>
  <si>
    <t xml:space="preserve">Estate of Kurtis Gunderson </t>
  </si>
  <si>
    <t>Mr. PH passed away, Mrs.PH failed to make payments, but now court appointed administrator has money to pay back payment. Once paid, and insurance in force, can remove foreclosure. They have a current tenant, and also a buyer in place to buy the home once foreclosure removed.</t>
  </si>
  <si>
    <t>Referral Decisions Year to Date                                                                          December 31, 2017</t>
  </si>
  <si>
    <t>Asked numerous questions about maintenance, what happened, why so long to repair, who is doing the repair. This is an attached townhouse w/flat roof. Provided weather history showing .38" rain (4/10") and 10 mph winds on 2/7-2/8.//received answers. Feel there is a maintenance issue and an HOA issue. Declined.</t>
  </si>
  <si>
    <t>Burke</t>
  </si>
  <si>
    <t>Naugatuck</t>
  </si>
  <si>
    <t xml:space="preserve">1895 risk, fully updated but not gutted. Online pics look okay - average. Agent asking for RC. </t>
  </si>
  <si>
    <t>Don't feel that caliber of risk qualifies for RC.</t>
  </si>
  <si>
    <t>Dishman</t>
  </si>
  <si>
    <t>El Dorado Hilla</t>
  </si>
  <si>
    <t>PC9, frame, primary, built in 1976, no losses, located in brush in CA</t>
  </si>
  <si>
    <t>PCQ, pics, OK. Approved subj to roof exclusion as no updates</t>
  </si>
  <si>
    <t>Coleman</t>
  </si>
  <si>
    <t>Lorton</t>
  </si>
  <si>
    <t xml:space="preserve">3 claims-08/2017-water from high rains, 05/2017-theft (insured had check mailing out…), 02/2016-hail. </t>
  </si>
  <si>
    <t>Volk</t>
  </si>
  <si>
    <t>Paul &amp; Evelyn</t>
  </si>
  <si>
    <t>Applicant occupation: Producer-no recent films</t>
  </si>
  <si>
    <t>Reviewed google. Ok with exposure</t>
  </si>
  <si>
    <t>Conigliaro</t>
  </si>
  <si>
    <t>Douglas &amp; Carla</t>
  </si>
  <si>
    <t>Brother</t>
  </si>
  <si>
    <t>Boston</t>
  </si>
  <si>
    <t>Dedham</t>
  </si>
  <si>
    <t>Insured is owner of a pharmacy that had a major suit issue. Insured found moving their personal funds and was fined (no jail). Chubb NRN'd</t>
  </si>
  <si>
    <t>I ran insurance score on as many applicants as possible.  713 and 710 scores - okay.</t>
  </si>
  <si>
    <t>Reviewed w/ Jeff.  1/4/18 approval email in Quaker file from Jeff "Financial fraud charges with minimal fines from what I read - if the insureds aren't in dire financial trouble because of the charges, then I wouldn't be completely opposed to it." Approved subject to 15% surcharge on total prem.</t>
  </si>
  <si>
    <t>Southborough</t>
  </si>
  <si>
    <t>Over our TIV max</t>
  </si>
  <si>
    <t>Magnacca</t>
  </si>
  <si>
    <t>Coastal home, https://www.redfin.com/CA/Malibu/19214-Pacific-Coast-Hwy-90265/home/6852225</t>
  </si>
  <si>
    <t>Right next to very high brush zone</t>
  </si>
  <si>
    <t>Nazari</t>
  </si>
  <si>
    <t>PC1, built in 1992, frame, primary, no losses, not in brush, located in CA</t>
  </si>
  <si>
    <t>ISO, RM, pics OK</t>
  </si>
  <si>
    <t>OK w/ separation of business, no other concerns at address; OK with TBE</t>
  </si>
  <si>
    <t>Company auto parked on premise as well as some outbuildings used to store business property. No business foot traffic on  property. Owner of LLC uses as primary residence. TBE quoted; Frame, primary, PC4, built in 1980, no losses, located in MO</t>
  </si>
  <si>
    <t>Scapers Development LLC</t>
  </si>
  <si>
    <t>Lea</t>
  </si>
  <si>
    <t>Claire</t>
  </si>
  <si>
    <t>Ava</t>
  </si>
  <si>
    <t>Reviewed online, and this isn't just B&amp;B. Also rental facility for events. Due to response time and additional exposure--declined. http://www.dockleyranch.com/</t>
  </si>
  <si>
    <t>CA, no brush, central alarms in home</t>
  </si>
  <si>
    <t>Ersoff</t>
  </si>
  <si>
    <t>Brichler</t>
  </si>
  <si>
    <t>PC9, frame, built in 2002, secondary, no losses, located in IN</t>
  </si>
  <si>
    <t>ISO, pics OK</t>
  </si>
  <si>
    <t>400 N Bristol LLC</t>
  </si>
  <si>
    <t>New construction just completed which will be put up for sale. $5M seems to be the valid RC.</t>
  </si>
  <si>
    <t>Advised agent we can approve $5M exactly, but if the inspection comes back the risk will have to be moved. Also, if it doesn't sell and stays on the market for some time, inflation would have to be applied which would also force it to be moved.</t>
  </si>
  <si>
    <t>Louisa</t>
  </si>
  <si>
    <t>Foley</t>
  </si>
  <si>
    <t>Insured owns entire building. Lower level will be their art and furniture business. Upper level will be their home. Avg condition per online photos. 1939 building w/flat roof. Water stain on ceiling noted in online photos. Total business exclusion quoted.</t>
  </si>
  <si>
    <t>Check ACV-bldg is 3720 SF. Add $5K water dmg ded due to flat roof and possible stain. Also existing damage excl. Make sure coml covers personal loss due to TBE exclusions. Confirm $100K oth str noted in email. Exclude liab - unknown amt of foot traffic. Sugg quote as commercial w/ insd renting apt and writing an HO4.</t>
  </si>
  <si>
    <t>Lindsey</t>
  </si>
  <si>
    <t>River Drive Realty Trust</t>
  </si>
  <si>
    <t>Falmouth</t>
  </si>
  <si>
    <t xml:space="preserve">2005 home. Listed as seasonal. 1.5 hours from insured's primary, on the water. (Insured is realtor.) Online sources show he is the owner since 2005. Seems legit as seasonal. Open loss is broken fridge line damage to floors. Still under repair since 3/17. Expect completed 2/24/18. Client doesn't like their carrier's claim handling. PA involved. Another loss 8/27/17 lost diamond ring on ferry $8200. </t>
  </si>
  <si>
    <t>Gina</t>
  </si>
  <si>
    <t>Napoles</t>
  </si>
  <si>
    <t>Frequency of loss and mold issues</t>
  </si>
  <si>
    <t>2007 home currently with Lex. Agt asking if we would be interested in quoting with $25K water dmg ded.  Loss runs show 12 water losses, close in date in 12/2016.  App lists 2/21/15 water/mold. 9/9/16 water/mold. 1/20/17 water damage from rain storm.</t>
  </si>
  <si>
    <t>Sturgis</t>
  </si>
  <si>
    <t>8Y</t>
  </si>
  <si>
    <t>1997 home. Occasional rental handled by a realtor who wanted to be listed on the policy as AI.  1/25/14 furnace shut down, pipes froze and broke. $295,000 damage.</t>
  </si>
  <si>
    <t>Ensure all damage repaired and furnace replaced or repaired/in working order. 4 years ago-didn't feel additional mitigation would be needed. Realtor can't be listed - no insurable interest.</t>
  </si>
  <si>
    <t>Tallman</t>
  </si>
  <si>
    <t>Reminded about max TIV</t>
  </si>
  <si>
    <t>Townhome, 2012 build, completely updated</t>
  </si>
  <si>
    <t>Charlies</t>
  </si>
  <si>
    <t>Attias</t>
  </si>
  <si>
    <t>Requested more specific info on recent claims, and also current VMGA premium//Approval as long as issue with basement which allowed for water intrusion is fixed</t>
  </si>
  <si>
    <t>Remmert</t>
  </si>
  <si>
    <t>Stephen &amp; Sarah</t>
  </si>
  <si>
    <t xml:space="preserve">2013 asphalt/rubber roof; 1995 build, desired $5K ded ; has a fire suppression system.  They have 2 dogs, no bite history, and no dangerous breeds.  </t>
  </si>
  <si>
    <t>No activating CSFB alarm, so advised need but need to add a $10,000 theft deductible along with the surcharge (agt suggest 5%) and $10,000 AOP deductible.</t>
  </si>
  <si>
    <t>Matz</t>
  </si>
  <si>
    <t>Miami</t>
  </si>
  <si>
    <t>1 claim-09/2016 roof leak repaired; W/H excluded; 1949 build with 2006 updates</t>
  </si>
  <si>
    <t>subject to 15% ded as suggested by agt</t>
  </si>
  <si>
    <t>Hastman</t>
  </si>
  <si>
    <t>This is a detached garage that has a suite above it that they rent out short term with more than 2 nights minimum.  The insured’s primary home is on the same property, and insured with Travelers, but they will not insure the outbuilding due to short term rental.  We quoted this back in August, but the construction wasn’t finished so they didn’t take the policy.  Construction is now complete, but there has been a lapse since construction started on the outbuilding.</t>
  </si>
  <si>
    <t>other building exclusion listing home since on same address</t>
  </si>
  <si>
    <t>Williams</t>
  </si>
  <si>
    <t>Richard</t>
  </si>
  <si>
    <t xml:space="preserve">2000 construction, PC 10 w/ no alarm and accessible all year-12 minute response time, no losses, other structures: game room, detached garage, granny unit, home office. </t>
  </si>
  <si>
    <t>Bonnell</t>
  </si>
  <si>
    <t>Douglas &amp; Terri</t>
  </si>
  <si>
    <t>MPLCO00001309-Insured moving to Australia for 2 years, renting out home for long term basis. Wishes to add MPLH0179 for remainder of this term, then rewrite next term</t>
  </si>
  <si>
    <t>photos, response OK</t>
  </si>
  <si>
    <t>SL Ranch LLC</t>
  </si>
  <si>
    <t>George West</t>
  </si>
  <si>
    <t>weekend ranch, 700 acres, no rental, 30 minutes response, 2007, no losses, secondary</t>
  </si>
  <si>
    <t>Details OK, no rental use of acreage, response time to be surcharged 10%</t>
  </si>
  <si>
    <t>Whelan</t>
  </si>
  <si>
    <t>Patrick &amp; Priscilla</t>
  </si>
  <si>
    <t>Ocean View</t>
  </si>
  <si>
    <t>TBE required</t>
  </si>
  <si>
    <t>No SPP. Asked for detail on how much left to repair. Concern with mid-repair water losses. Loss completely repaired. Approved subj to mold exclusion.</t>
  </si>
  <si>
    <t>1623 Fairhill Road</t>
  </si>
  <si>
    <t xml:space="preserve">Perkasie </t>
  </si>
  <si>
    <t>1700 farmhouse renovated in 1900, updated in 1950. Online photos appear average. Sunroom being removed. Will be occupied during reno. Per agt, walls, plumbing, and wiring replaced. Oth structures have issues but will be renovated. Garage structure has 1 light powered by knob/tube.</t>
  </si>
  <si>
    <t>Average condition. Applied $10K water damage ded. Okay to insure garage if it is ONLY sitting there til reno. If used, don't want to insure due to knob/tube.  Apply $150-$200 s/c. Mold exclusion. See file for list.</t>
  </si>
  <si>
    <t>Graford</t>
  </si>
  <si>
    <t>Insured has never had prior coverage - self insured. Nervous since hearing about all the fires. 2009 dwelling, no alarms, FD 14 mi away. 17-20 min response time. Full log custom home. $3,664 prem. Insured is retired.</t>
  </si>
  <si>
    <t>Ran insurance scores - mid 500's with collections. Home is also underinsured. Should be $150-$200/SF. Coming in at $130. No interest in this account due to the scores.</t>
  </si>
  <si>
    <t xml:space="preserve">This is a builders risk that will be the insured's primary home when 7 month renovation is completed. Annual policy written. Insured leaving $50K contents there. Some in locked rooms (they have only key) and some in a shipping container in their driveway. </t>
  </si>
  <si>
    <t>If shipping container is locked (only key is w/insured), cant easily be towed away, and contents in it make sense (i.e. furniture, not jewelry and fine arts - which might be a moral hazard).</t>
  </si>
  <si>
    <t>2015 Atlantic Avenue LLC</t>
  </si>
  <si>
    <t>Long Beach Twp</t>
  </si>
  <si>
    <t xml:space="preserve">1950 home updated. Not first row. Agent says he wanted okay for wind, since wind guidelines changed. </t>
  </si>
  <si>
    <t>Provided current guideline info and asked what he heard changed. Bethany and I checked - found no changes.</t>
  </si>
  <si>
    <t>Rossiter</t>
  </si>
  <si>
    <t>Bluffton</t>
  </si>
  <si>
    <t xml:space="preserve">2004 dwelling that will be vacant for at least a month, then tenant occupied. Rates of both provided. How can they handle. CA/RW? </t>
  </si>
  <si>
    <t>Finlayson</t>
  </si>
  <si>
    <t>Keith &amp; Dawn</t>
  </si>
  <si>
    <t>1964 dwelling written for one of Hulls "great agents". They quoted on 12/7 prior to the rate increase.  They want to bind eff 1/18/18.  They usually give 30 days.  It is in a medium brush zone, but borders on a lot of extremely low brush near at least 2 sides of the risk.</t>
  </si>
  <si>
    <t>Lower TIV, medium brush surrounded by low brush. Outside 30, but still within the max 45 days that we require new rates to apply.  Return to regular rates next year.</t>
  </si>
  <si>
    <t>Nitsch</t>
  </si>
  <si>
    <t>Halletsville</t>
  </si>
  <si>
    <t>PC 10, 25-30 min response time. 15 heads of cattle, 75 acres</t>
  </si>
  <si>
    <t>due to the extended response time please add a surcharge of 10%. Additionally, due to the cattle exposure, the quote would need to be offered x-liability.</t>
  </si>
  <si>
    <t>Robert Allen &amp; Valerie</t>
  </si>
  <si>
    <t>Pebble Beach</t>
  </si>
  <si>
    <t>PC2, frame, secondary, built in 1982, located in CA, 2 losses in 2017-1 water-intrusion at windows, 1 water-pipe burst</t>
  </si>
  <si>
    <t>Water damage ded of at least $10K (all windows in house have been fixed); reminded of max TIV so no future increases avail, include inflation protection</t>
  </si>
  <si>
    <t>vacant dwelling which is currently listed for sale.  Previously with Lexington.  I have attached the most recent inspection which reflects the dwelling is over insured.  PC3. AOP $5000, 6 month term, 50% MEP, $7,261, liab excluded</t>
  </si>
  <si>
    <t>inspection OK, reason for vacancy OK</t>
  </si>
  <si>
    <t>Cresskill</t>
  </si>
  <si>
    <t>Ferolie</t>
  </si>
  <si>
    <t>Yehoda</t>
  </si>
  <si>
    <t>Yaron</t>
  </si>
  <si>
    <t>100,000 in contents for a vacant home without alarms. The home was rebuilt in 2017 and is furnished and up for sale now.</t>
  </si>
  <si>
    <t>required $10K theft ded</t>
  </si>
  <si>
    <t>De La Torre</t>
  </si>
  <si>
    <t>Primary, built in 2002. CS burglar alarm (will obtain cert.) No losses. PC 3</t>
  </si>
  <si>
    <t>Talburt</t>
  </si>
  <si>
    <t>Tabitha</t>
  </si>
  <si>
    <t>Attached is a primary in AR, no losses. two 5 acre lots, but they own an auto repair shop on the same 5 acres as the home. Looking for RC, home built in 1984, full updates to heating and roofing in 2005, partial to wiring and plumbing in that same year. Attached is an app, the GL for the business, and an ISO</t>
  </si>
  <si>
    <t>photos, rm, OK</t>
  </si>
  <si>
    <t>Subject to TBE and other building excl; reviewed satellite images and there is clear separation from primary home and business</t>
  </si>
  <si>
    <t>Keith</t>
  </si>
  <si>
    <t>Henderson</t>
  </si>
  <si>
    <t>1. Rates are not right. Should be appx 65% diff. cc'd Tammi and Bethany.  2. Can endorse DP3 from vacant to tenant.  3. Can't have water bu on vacant.//worked w/Bethany and Alia. New rater coming. Alia will quote as vacant and issue that way. Endorse when tenant occupied.</t>
  </si>
  <si>
    <t>Hudson</t>
  </si>
  <si>
    <t>Lloyd</t>
  </si>
  <si>
    <t>Hominy</t>
  </si>
  <si>
    <t>PC 10, 15 minutes response time, &gt;25 acres, no farming on property, hunting only, liability excluded; 2016 build</t>
  </si>
  <si>
    <t>Approved w/ Liab excluded. PCQ acceptable</t>
  </si>
  <si>
    <t>Rick</t>
  </si>
  <si>
    <t>2 family home, 1926 build-fully updated, no losses, lapse in coverage--converted from 4 family to 2, he lives in one portion, ex-wife and child in other.  Other portion of the building used for storage of business tools, GL in place for business, no employees</t>
  </si>
  <si>
    <t>Requested info on lapse</t>
  </si>
  <si>
    <t>James Lennox</t>
  </si>
  <si>
    <t>Malibu home-low brush</t>
  </si>
  <si>
    <t>Discussed with MP. Agreed this property is worthy of TIV cap exception</t>
  </si>
  <si>
    <t>Demeuse</t>
  </si>
  <si>
    <t>Steve</t>
  </si>
  <si>
    <t xml:space="preserve">Primary, 1999 build, 2 losses (CAT and water), </t>
  </si>
  <si>
    <t>Approved subj to repairs from 06/17 CAT loss. Response time acceptable (7 minutes)</t>
  </si>
  <si>
    <t xml:space="preserve">Home is rented to daughter as her full time residence. Heat source is a non-thermostatically controlled butane gas 3 burner heating unit. </t>
  </si>
  <si>
    <t>Unknown what city in AZ - are there freeze days? If not, we may be able to accept a non-thermostatically controlled heater. If so, we can't write it.  Agent will get more info and submit is she feels it is acceptable.</t>
  </si>
  <si>
    <t>Reefe</t>
  </si>
  <si>
    <t>Bryan</t>
  </si>
  <si>
    <t>1918 coml building w/living space. Insured is a realtor moving from his other home in Phil and will be living in 1 of 3 units. Other 2 units vacant for now. Will be renovated. Desirable up and coming area.</t>
  </si>
  <si>
    <t>Numerous subjectivities in email. Qualifies for DP3 as it is owner occupied.  Condition in occupied unit very nice. Others will be renovated. They are intact and systems are updated. Great ins score.</t>
  </si>
  <si>
    <t>Andre Family Trust</t>
  </si>
  <si>
    <t>Agree with agents terms</t>
  </si>
  <si>
    <t>Kevin L &amp; Diana R</t>
  </si>
  <si>
    <t>New Hope</t>
  </si>
  <si>
    <t>2008 dwelling. Prior large fire loss from a power strip. No detail on score.</t>
  </si>
  <si>
    <t>Will consider if score is good along with app and fire marshal report.</t>
  </si>
  <si>
    <t>Mcbeath</t>
  </si>
  <si>
    <t>2016 build, c/s alarm, ISO provided</t>
  </si>
  <si>
    <t>applicants current address and this property are in the same city/state, which is unusual for a secondary home. You have approval to offer terms on this risk, however please confirm the usage of the property prior to binding.</t>
  </si>
  <si>
    <t>Beulah</t>
  </si>
  <si>
    <t>Lacygne</t>
  </si>
  <si>
    <t>2004, PC 10, 20-25 min response, visible to neighbors, family not ready to see (in living trust). No liab offered as acreage rented for hay</t>
  </si>
  <si>
    <t>approval to offer terms, with the liability being excluded and the 10% surcharge due to the extended vacancy (as quoted)</t>
  </si>
  <si>
    <t>due to the increased response time and the inaccessibility during the winter months, please add a 15-20% surcharge.</t>
  </si>
  <si>
    <t>Pollock</t>
  </si>
  <si>
    <t>Burnett</t>
  </si>
  <si>
    <t>SAN JUAN CAPISTRANO</t>
  </si>
  <si>
    <t>Westchester</t>
  </si>
  <si>
    <t>Stein</t>
  </si>
  <si>
    <t>Israel &amp; Baila</t>
  </si>
  <si>
    <t>THERAPY BUSINESS. 20-30 PATIENTS PER WEEK. INSURED HAS OWN GL POLICY - OCCUPANCY OF IN-HOME BUSINESS IS LESS THEN 50% OF RESIDENCE AREA. NO EMPLOYEES. INSURED DOES NOT OCCUPY ANY OTHER BUSINESS IN ANOTHER LOCATION.; built in 2011, no losses</t>
  </si>
  <si>
    <t>Mirzaie</t>
  </si>
  <si>
    <t>Reza</t>
  </si>
  <si>
    <t>Palisades</t>
  </si>
  <si>
    <t xml:space="preserve">We are quoting C at 50% and D at 20%. It has CS fire &amp; burglar alarms. Not technically in a brush zone. </t>
  </si>
  <si>
    <t>RCE provided, photos, ISO OK</t>
  </si>
  <si>
    <t>Peninsula Masion Inc.</t>
  </si>
  <si>
    <t>PC2 with full c/s alarms, visible to neighbors and accessible all year, and no losses; no brush</t>
  </si>
  <si>
    <t>RM, photo, ISO OK</t>
  </si>
  <si>
    <t>photos acceptable, proper mitigation in place based on prior losses</t>
  </si>
  <si>
    <t>Townson</t>
  </si>
  <si>
    <t>trying to match All Risks quote; Built in 1998, PC4, Worcester county, Territory 2, less than 1 mile from coast, frame, secondary</t>
  </si>
  <si>
    <t>Info OK, OK with premium credit to bring down to match quote</t>
  </si>
  <si>
    <t>Sheffield</t>
  </si>
  <si>
    <t>Jeremiah</t>
  </si>
  <si>
    <t>465,00</t>
  </si>
  <si>
    <t>Subject to professional installation and suggested suppl during inspection</t>
  </si>
  <si>
    <t>Herdman</t>
  </si>
  <si>
    <t>Rhonda</t>
  </si>
  <si>
    <t>Paige</t>
  </si>
  <si>
    <t>Approval to offer terms on this risk with liability, but to do so the total business exclusion must be in place</t>
  </si>
  <si>
    <t>Insured is operating a massage therapist business out of their garage.  about 20 visits a month.  GL is in place through ABP;Home was built in 1920 with full updates in 2017 of frame/stucco construction.  PC6 per attached iso with no alarm, but visible to neighbors and accessible all year, and no losses.</t>
  </si>
  <si>
    <t>approval to offer terms on this risk, subject to the total business exclusion being added as well as liability being excluded. Based on a review of the site, it does appear they may operate a landfill (or recycling fill) of some sort. Please just be sure this is occurring off-premises. If there is in fact a landfill on the same property, please let me know as we would need to re-evaluate the property coverages as well.</t>
  </si>
  <si>
    <t>primary home for the above applicant located in MO. Home was built in 1960,  with full updates to heating, wiring, roofing, and plumbing in 2000. It is built of 100% frame construction with central station fire alarm. PC5. 1 loss, . The business is called AAA Disposal Service Inc http://www.aaadisposal.net/.</t>
  </si>
  <si>
    <t>Buckner</t>
  </si>
  <si>
    <t>Holmberg</t>
  </si>
  <si>
    <t>Hughes</t>
  </si>
  <si>
    <t>Jarvis</t>
  </si>
  <si>
    <t>Lenoir City</t>
  </si>
  <si>
    <t>in addition to the total business exclusion, please also add the Building Exclusion and specifically list the non-owned cell tower on property leased to cell carrier</t>
  </si>
  <si>
    <t>PC5, frame, secondary, built in 1900/updated, located in TN; insured leasing part of the property for a cell tower located on the property to a cell carrier</t>
  </si>
  <si>
    <t>Bettencourt</t>
  </si>
  <si>
    <t>Mequoin</t>
  </si>
  <si>
    <t>approval to offer terms on this risk as quoted with the total business and other structure exclusion</t>
  </si>
  <si>
    <t>Commercial property on same property-grows orchids and has green house. Agent's advised there is coverage for the business.  Added total business exclusion and added building exclusion for greenhouse. In spring they get about 2 people/day, otherwise 2 people/week. The other structure is about 50-60 ft from home and uses the same driveway.</t>
  </si>
  <si>
    <t>2 rental properties on one parcel. $400K main dwelling and $150K apartment w/garage. Additionally there is a $200K barn on the premises where the insured boards horses.</t>
  </si>
  <si>
    <t>Animal exclusion, total business exclusion, building exclusion for barn, equine liab.</t>
  </si>
  <si>
    <t>Insured is on reality show "Million Dollar Listing". We declined primary due to location, can we write his rental?</t>
  </si>
  <si>
    <t>Reviewed w/ Louisa - too famous for liability</t>
  </si>
  <si>
    <t>Riotto</t>
  </si>
  <si>
    <t>Stephen &amp; Michelle</t>
  </si>
  <si>
    <t xml:space="preserve">Home is vacant and for sale. Had water damage claim w/prior carrier. $178,000 paid. 2nd floor bath pipe broke. 1974 home all updated. No mold. All gutted. Work is substantially completed but not closed. LOU outstanding - $20K. Cabinets &amp; flooring left. </t>
  </si>
  <si>
    <t>1173 Westbend LLC</t>
  </si>
  <si>
    <t>West Lake Village</t>
  </si>
  <si>
    <t>vacant, 6 month policy, C/S alarms</t>
  </si>
  <si>
    <t>Photos, ISO, loss history OK</t>
  </si>
  <si>
    <t>Greene</t>
  </si>
  <si>
    <t>Therese</t>
  </si>
  <si>
    <t>Logrippo</t>
  </si>
  <si>
    <t>Shrewsbury</t>
  </si>
  <si>
    <t>1822 build, updates in 2007, 2 losses (Inland marine and water), RC quoted</t>
  </si>
  <si>
    <t>FRC only (not completely gut/rebuild), need to update rater to reflect 1822 build year, not 2007 updates</t>
  </si>
  <si>
    <t>Luarde</t>
  </si>
  <si>
    <t>builders risk sup, RM, rater, OK</t>
  </si>
  <si>
    <t>Renovation project, 202 build, Frame, owner occupied at completion</t>
  </si>
  <si>
    <t>Santa FE</t>
  </si>
  <si>
    <t>Paddins</t>
  </si>
  <si>
    <t>Dowling</t>
  </si>
  <si>
    <t>Greenbackville</t>
  </si>
  <si>
    <t>PC 9, c/s alarms, 2008 build, 23356 zip (agt wants help with premium)</t>
  </si>
  <si>
    <t>HPPW LLC</t>
  </si>
  <si>
    <t>Koloa</t>
  </si>
  <si>
    <t xml:space="preserve">1.4 Miles to the coast, (map attached)
PC 5
</t>
  </si>
  <si>
    <t>subject to w/h guidelines being met</t>
  </si>
  <si>
    <t>Lee</t>
  </si>
  <si>
    <t>Rotz</t>
  </si>
  <si>
    <t>Von</t>
  </si>
  <si>
    <t>Prior $20K loss from smoke/fire caused by dryer. Agent asked for proof, only got loss run with no cause listed. Loss over 4 years ago.</t>
  </si>
  <si>
    <t>Ask for fire marshal report or get confirmation from State Farm of the cause, this is within agent's authority.</t>
  </si>
  <si>
    <t>Marella</t>
  </si>
  <si>
    <t>Insured is EVP of Mosley Music. Reviewed online info. No news stories.</t>
  </si>
  <si>
    <t>Discussed w/ MP, since home was owner occupied half of the term, agree to allow for endorsement for remainder of term</t>
  </si>
  <si>
    <t>Agt quoted w/total business exclusion-propeller business on premise. 25-30 customers a year-http://www.easternprop.com/index.html., not in home at all, outbuilding only.; 1974 build, no losses</t>
  </si>
  <si>
    <t>free standing Wood stove, secondary heat source, 1987 build, updated, PC 1-5</t>
  </si>
  <si>
    <t>1964 vacant home soon to be up for sale. With us 2/19/16-17. NOC during term, payment made, but reinstatement overlooked. Insd still wants policy. Issuing with new effective date, 15% s/c, no loss letter, rush interior inspection.</t>
  </si>
  <si>
    <t>PC 9, 6 minutes respond time, but roads inaccessible in winter. 1986 build, 1 loss-closed/repaired</t>
  </si>
  <si>
    <t xml:space="preserve"> two Water Damage losses: The water filter was replaced and the AC was repaired.  $25K WD Deductible and did not offer Mold due to the prior claim. Reached out to the agent to see if the mold was localized to the rug or if it was extensive.  If extensive I requested a mold remediation cert prior to binding.</t>
  </si>
  <si>
    <t xml:space="preserve">Determine how much work was completed and what is left. As long as all demo, mold testing and initial repair is done, we can take on final finishing touches. (Want to ensure we don't get stuck if there is mold or damage not yet discovered.)  Apply mold exclusion. May apply some water damage exclusion or deductible too. TBD when risk is fully submitted//approved 1/31/18 w/ mold excl; existing damage excl. </t>
  </si>
  <si>
    <t>in home caregiver for a bed ridden family. TBE and GL in place. 69 of 75 acres leased for farming</t>
  </si>
  <si>
    <t>PCQ, drive time, photos OK</t>
  </si>
  <si>
    <t>Attached is a primary home located in TN. Home was built in 1930 of frame construction, 3200 acres(5 square miles), updates in 2011, PC10 , no alarms, 15-16 minute drive time; farming exposure (including employees) so adding TBE, no coverage since 06/07/2015 due to applicants business manager error. 15-16 min response time</t>
  </si>
  <si>
    <t>Not too famous</t>
  </si>
  <si>
    <t>Insured renting home to a doctor who will live and work out of the home doing consultations for his patients.</t>
  </si>
  <si>
    <t>This is a better fit commercially</t>
  </si>
  <si>
    <t>Matson</t>
  </si>
  <si>
    <t>Dave</t>
  </si>
  <si>
    <t>Workshop 200' from home used to service machinery from insured's business.</t>
  </si>
  <si>
    <t>Exclude the workshop and add TBE. Insured has the structure insured under his business policy.</t>
  </si>
  <si>
    <t>Hairapetian</t>
  </si>
  <si>
    <t>Leo</t>
  </si>
  <si>
    <t>1987 dwelling not in brush. CS alarms.</t>
  </si>
  <si>
    <t>Raters not clear, assistance requested from PM and have questions pending to Charity (Melissa/Kirsten)</t>
  </si>
  <si>
    <t>McCormick</t>
  </si>
  <si>
    <t>Due to no prior insurance.  Additional concerns from our review of the risk.</t>
  </si>
  <si>
    <t>Exposure too high w/ so many exposures, even w/ x-liab. Also, foot traffic, animals, sanctuary essentially "closing off" two sides of the home in the event of an emergency, etc cause concern for prop coverages as well</t>
  </si>
  <si>
    <t>Discussed with LT.</t>
  </si>
  <si>
    <t xml:space="preserve">Requested DOB </t>
  </si>
  <si>
    <t>for insurance score</t>
  </si>
  <si>
    <t>Primary home located in MO. Built in 2000, Frame construction, PC10, response time is 20 minutes, no losses. This has a bed and breakfast and the insured lives in the basement.  There is also 2 portable buildings and one that is rented out.</t>
  </si>
  <si>
    <t xml:space="preserve">Having trouble getting RM. Address: 26115 Augusta Drive, Lake Arrowhead, San Bernardino, CA 92352 to pull in RM. Should use Brush? 1994 build, no losses, </t>
  </si>
  <si>
    <t>Were able to validate PC, but not RM; I couldn't get FireLine to hit either. Advised can release, but must surcharge for brush</t>
  </si>
  <si>
    <t>Sent Kirsten a copy of the pricing we provided to Burns. I'm not sure I sent it to her.  MP</t>
  </si>
  <si>
    <t>Primary, c/s alarm, no losses, sanctuary on prop-http://lionhabitatranch.org/  Per app 42 lions, Emu, ostrich, 4 presa canarios and cane corsos. Clear separation from home per inspection (large fences); quoted x-liab</t>
  </si>
  <si>
    <t>Unable to locate any photos of the property online, to get a good understanding of the separation of the home and the farm land. But as long as there is clear, sufficient, separation of the two you have approval to offer terms on this risk. As stated, the terms would need to include the total business exclusion and the GL policy in place. I would also suggest requiring the farming business to have a liability policy in place to cover that exposure. If they do not have one in place, then I would suggest taking an additional 10-15% to address the possibility of a claim being filed on our policy that we may have to defend against.</t>
  </si>
  <si>
    <t>response time 7-10 minutes,3 month term, no losses, 1994 build, premium $3,570</t>
  </si>
  <si>
    <t>Eger</t>
  </si>
  <si>
    <t>Sherman</t>
  </si>
  <si>
    <t>Ocean City</t>
  </si>
  <si>
    <t>1923 home w/updates. Seasonal use. Has no furnace. Insd drains pipes when not used. Has done this for "decades". Nice online photos. Roof shows patched shingles - pic online is from 2013. App shows roof updated in 2018.</t>
  </si>
  <si>
    <t>Provided only used in late spring/summer when there are no freeze days. No portable or solid fuel heat used. Surcharge TBD, no VMGA premium provided.</t>
  </si>
  <si>
    <t>Average/month</t>
  </si>
  <si>
    <t>2017 Avg/  month</t>
  </si>
  <si>
    <t>Difference</t>
  </si>
  <si>
    <t>% difference</t>
  </si>
  <si>
    <t>Fawnskin</t>
  </si>
  <si>
    <t>2 structures (main and guest) on property. Insured wants them to be combined under a single Cov A limit. This is how tax and title are and he wants them to match.</t>
  </si>
  <si>
    <t>Can't combine both under A. Did agree to write one policy with A &amp; B.</t>
  </si>
  <si>
    <t>Ground up construction -insured is a roofer and is acting as the GC, hiring all subs. Have we changed our position?</t>
  </si>
  <si>
    <t>Still unable to insure risks where insured is the GC.</t>
  </si>
  <si>
    <t>Confirmed this is on Bethany's project list.</t>
  </si>
  <si>
    <t>Haefele</t>
  </si>
  <si>
    <t xml:space="preserve">1990 stucco dwelling w/ original tile roof. Insd father lived there and insd recently inherited after father passed. Little maintenance. Existing wood rot, settling cracks, liability hazards. Insd planning to fix and move in within 60-90 days. </t>
  </si>
  <si>
    <t>Apply exclusions: existing damage, water damage, mold damage, liability exclusion. Outlined terms of repair required to adjust. Rate as vacant. Addl prem due to increased adjusting expenses.</t>
  </si>
  <si>
    <t>Make sure all the repairs were proved before exclusions were lifted.</t>
  </si>
  <si>
    <t>Property includes primary dwelling and guest cottage rented out via AirBnB. Insured has animals - 2 horses, 4 alpacas, ducks, chickens. Can $10K limited animal liab be added?</t>
  </si>
  <si>
    <t>All personal use? Any interaction by cottage guests? Evaluate and we can decide. Alpacas don't bite per google. Want to make sure this isn't a petting zoo, pony ride exposure for guests.</t>
  </si>
  <si>
    <t>Rickenback</t>
  </si>
  <si>
    <t>Robert &amp; Iris</t>
  </si>
  <si>
    <t xml:space="preserve">Insured is asking for an "AI" US Government c/o Forest Service/HO Association. </t>
  </si>
  <si>
    <t>Interest is that they own the land and lease it to the HOA.  Ok to add as additional interest, but not additional insured.</t>
  </si>
  <si>
    <t>Wiehe</t>
  </si>
  <si>
    <t>4 hail score for sample of risks. Brush score is 0-1. Agent asking for 1% wind/hail, ACV roof if over 15 years old, exclude if over 25 (only one). Homes built in late 90's - 2000's. Insured is the property manager.</t>
  </si>
  <si>
    <t>Anders</t>
  </si>
  <si>
    <t>Rhonda Moss</t>
  </si>
  <si>
    <t>Poplar Bluffs</t>
  </si>
  <si>
    <t>1978 home. Online pics look ok.  Has 7 children. 5 is limit in program. $100K liab.</t>
  </si>
  <si>
    <t>Squitieri</t>
  </si>
  <si>
    <t>2000 home. Insd is transportation customer and wanted personal lines quote. $700K schedule referred and approved by Jamie Gregory.</t>
  </si>
  <si>
    <t>Agt can't quote in VMGA - referred issue to Bethany. Advised JMW that the risk is acceptable and also provided the SPP quote.</t>
  </si>
  <si>
    <t>Woltz</t>
  </si>
  <si>
    <t>1984 risk "seasonal w/rental" leased to Blue Sky Ranch and also used as AirBnB 2 night minimum. Renters can use boat and kayaks and bring pets.</t>
  </si>
  <si>
    <t xml:space="preserve">Shocking exposure per online search. Horses, equine therapy, boarding, possible breeding, open to public for events and parties. </t>
  </si>
  <si>
    <t>Solei</t>
  </si>
  <si>
    <t>Siyavoush &amp; Sandra</t>
  </si>
  <si>
    <t>Frame construction, built in 1961, full updates in 2014 except to roof (roof exclusion added), not in brush, PC1, no losses.</t>
  </si>
  <si>
    <t>Sliwa</t>
  </si>
  <si>
    <t>Marek</t>
  </si>
  <si>
    <t>$120,000 claim on prior home</t>
  </si>
  <si>
    <t>Fire claim--requested cause and origin or fire report for review of specific causes</t>
  </si>
  <si>
    <t>however we need to take an additional 10% to account for the increased response time and the large number of acres. Also, please be sure that there isn't any hunting, ATV trails, etc. Ran insurance score: high</t>
  </si>
  <si>
    <t>Nunnelly</t>
  </si>
  <si>
    <t>Tom &amp; Jessica</t>
  </si>
  <si>
    <t>Dixon</t>
  </si>
  <si>
    <t xml:space="preserve">Coverage A 1.5 million, Protection Class 10. FD 10 minutes away, No Hydrant. No central alarm system . </t>
  </si>
  <si>
    <t>Requested PCQ; advised at this TIV(greater than $2M), we also require that the home have central alarms. Since they do not, the AOP deductible and theft deductible must be $10K (unless they have a full house sprinkler system).</t>
  </si>
  <si>
    <t>GFLATS LLC</t>
  </si>
  <si>
    <t>Home was built in 1900 of frame construction, full roof update in 2004, full wiring and heating update in 2014, partial plumbing update in 2014 (rated as full update), PC 1 , no alarms.; prior water losses</t>
  </si>
  <si>
    <t>Water ded included, photos, settlement OK</t>
  </si>
  <si>
    <t>Rauscher</t>
  </si>
  <si>
    <t>Frank</t>
  </si>
  <si>
    <t>St. Davids</t>
  </si>
  <si>
    <t>01/31/2018 lapse, Insured had a prior water/wind claim DOL 7/14/17– wind damaged the roof during a storm which caused some damage to interior.  Per the agent all mold has been remediated and the roof has been completely replaced.  - $87,674 was paid on claim, updates last 10 years, home in great condition</t>
  </si>
  <si>
    <t>Sipkovich</t>
  </si>
  <si>
    <t>Vincent</t>
  </si>
  <si>
    <t>Huntington Beach</t>
  </si>
  <si>
    <t xml:space="preserve">have approval to offer terms on this risk. Since the address won't pull a Risk Meter, we will have to treat it as if it is in brush. </t>
  </si>
  <si>
    <t>seasonal home for the above named insured located in CA.  Home was built in 1984 of frame construction. Full heat update in 2017, full roofing update 2006,  PC4 with local alarms. Risk meter not pulling</t>
  </si>
  <si>
    <t>Wyatt</t>
  </si>
  <si>
    <t>Constance</t>
  </si>
  <si>
    <t xml:space="preserve">You have approval to offer terms on this risk.  However, since it is not pulling a Risk Meter, you will need to treat it as if it is in brush. </t>
  </si>
  <si>
    <t>Attached is a COC located AT 3305 Dardanelles Ave Tahoe City, CA 96145.  Home is being built completed in 2018 of frame construction.  PC4 to provide alarm certs, and have stated no losses.</t>
  </si>
  <si>
    <t>Engstrand</t>
  </si>
  <si>
    <t>Christina</t>
  </si>
  <si>
    <t>Jenner</t>
  </si>
  <si>
    <t xml:space="preserve">1937 dwelling w/partial updates. Heating is a fireplace insert - no furnace.  664 SF, not in brush. App says "Duraheat Kerosene insert w/blower". (per online, this is a portable kerosene heater). Receipt and pix seem to support Lopi Republic wood insert. </t>
  </si>
  <si>
    <t>Without thermostat control, we can't do a wood insert. Jenner gets cold and freeze days. (North of San Francisco). If they use a portable kerosene heater, this is ineligible.</t>
  </si>
  <si>
    <t>DePrisco</t>
  </si>
  <si>
    <t>2004 home w/2 prior water losses. Agt quoted HO8. Wants water backup.  1/14 frozen pipe burst $43K 6/15 toilet leak while on vacation $11K</t>
  </si>
  <si>
    <t>Can't do water backup on HO8. HO8 doesn't cover water damage, so offered HO3 if there are no other issues w/risk. Add full water damage exclusion (which excludes freezing and water discharge). Could add backup since neither of these losses is backup related.</t>
  </si>
  <si>
    <t>Healy</t>
  </si>
  <si>
    <t>Valley Springs</t>
  </si>
  <si>
    <t>EMail</t>
  </si>
  <si>
    <t>Chulu</t>
  </si>
  <si>
    <t>Valerie</t>
  </si>
  <si>
    <t>Urbandale</t>
  </si>
  <si>
    <t xml:space="preserve">Daycare in home, GL policy in place, </t>
  </si>
  <si>
    <t>subject to the applicant maintaining a GL policy on the daycare exposure and the quote including the Total Business Exclusion. Also, since there was a lapse in coverage since 11/30/2017, please quote a $2500 deductible and obtain a signed no loss letter prior to binding.</t>
  </si>
  <si>
    <t>Moeller</t>
  </si>
  <si>
    <t>Frame construction, built in 2016, Full C/S alarms, no losses, PC2. Agt will remind branch of TIV limit after inspection, etc</t>
  </si>
  <si>
    <t>Weixelman</t>
  </si>
  <si>
    <t>Home was built in 1979 with no updates, excluding roof &amp; offering ACV Dwelling Settlement.  Frame construction, PC9 with no year round access.  No losses</t>
  </si>
  <si>
    <t xml:space="preserve">Brenner </t>
  </si>
  <si>
    <t>Sherman Oaks</t>
  </si>
  <si>
    <t xml:space="preserve">2 large water claims – over 2 years. The insured now has a leak detection system. </t>
  </si>
  <si>
    <t>Maintenance of leak detection system. AOP is $5K so ok with it at that ded. Suggested go up to $10k, but won't require. Also subject to confirmation that repairs complete</t>
  </si>
  <si>
    <t>Hardy</t>
  </si>
  <si>
    <t>Delmas</t>
  </si>
  <si>
    <t>built in 1981 of frame construction, fully roof update in 2005, PC4 , no alarms, Insurance Score B, 7 cows-raised to eventually sell for meet, barn on premises, but hay kept in metal building, agt would like Cov A., B, and E</t>
  </si>
  <si>
    <t>Based on the number of cows on the property, and the use of the cows, we do need to stick within the guidelines. As such, you have approval to offer terms, but we will have to exclude liability coverage and the barn.</t>
  </si>
  <si>
    <t>Kurt &amp; Debora</t>
  </si>
  <si>
    <t>1969 build, all updates, no losses, no animals, in brush, central alarm in home, 4/9 per app</t>
  </si>
  <si>
    <t>RM, photos OK, advised based on distance to FD approved as a PC 10</t>
  </si>
  <si>
    <t>Dolifka</t>
  </si>
  <si>
    <t>Don</t>
  </si>
  <si>
    <t>app vacant/ future renovation located in CO.  Home is a 1995 frame dwelling, that will be used as a guest house once renovations are complete.  PC5 with no alarms and no losses, it is right next to their primary. Prior to purchasing, there was a plumbing issue and the water was turned off. Repairs/renovations of about $100K starting in the summer</t>
  </si>
  <si>
    <t>due to existing damage, amount of time before repairs to begin, home sitting w/o utilities (not part of a winterization plan)</t>
  </si>
  <si>
    <t>Home was built in 1959 of frame construction.  PC4 with alarms, and no losses, low b rush, insured a songwriter</t>
  </si>
  <si>
    <t>Photos, updates, RM, profile OK</t>
  </si>
  <si>
    <t>Gong</t>
  </si>
  <si>
    <t>Tommy</t>
  </si>
  <si>
    <t>Visalia</t>
  </si>
  <si>
    <t xml:space="preserve">Daycare in home, GL policy in place, less than 7 children, quoted with TBE, small claim-$285 water damage under sink, 1964 build-all updates. Can have liab? </t>
  </si>
  <si>
    <t>Reminded that doesn't qualify for burns daycare program. Advised OK to release with TBE and GL must be submitted via tenant--insured--agency every renewal. Reviewed online-appears to be a home daycare so OK w/ business exposure as approved</t>
  </si>
  <si>
    <t>photos, repairs, lapse OK</t>
  </si>
  <si>
    <t>Info not checking out. Need app copy, fire marshal report, detail from prior carrier. 2/12- PC8B confirmed. Agt can't get fire marshal report. Asked for first responder report.</t>
  </si>
  <si>
    <t>797 Insurance score</t>
  </si>
  <si>
    <t>Sent follow up questions to agent. Proposal pending to Louisa and Bethany. 2/12/18 Agent still not sure if they want to write as they found out it is the insured who is shopping the policy. Might mean a lot of work only to have it shopped again. If they go forward I advised it was looking good.  All of my email w/Louisa and Bethany is filed in the agent's email file, along w/the original submission.</t>
  </si>
  <si>
    <t>Clissold</t>
  </si>
  <si>
    <t>Tod</t>
  </si>
  <si>
    <t>Primary home w/garage that is a vacation rental $150K.</t>
  </si>
  <si>
    <t>Confirm garage is on the premises and it has living quarters. Not rented for storage use.</t>
  </si>
  <si>
    <t>Mussi Properties</t>
  </si>
  <si>
    <t>Bowden</t>
  </si>
  <si>
    <t>2007 2 cabins. PCQ shows 20 min response time and no hydrant. Rated as PC9. Can't find location addr on a map. Can't find address for Witmer VFD online. Rough search shows 16 miles away.</t>
  </si>
  <si>
    <t>Asked agent for proof or rate as PC10 and send back so we can assure rate adequacy.  Current rate is $.66/100 TIV//Revised rating to PC10 makes it .77/100. Agent only rating as 1 family. Advised if the 2 cabins are rented separately, it needs to be 2 family.  If the "property" is rented, it can be 1 family.  Suggested changing to 2 family since it's only 2%.</t>
  </si>
  <si>
    <t xml:space="preserve">Agent realizes we can't write a $29M home. They called asking if we could write a following form layer of it, or write the first layer with no coinsurance.  </t>
  </si>
  <si>
    <t>Irene</t>
  </si>
  <si>
    <t xml:space="preserve">there are two claims:  03/03/2016 - $4,115.00 paid out under windstorm damage to a greenhouse. Closed 11/08/16.  Also, 01/07/2018- $3,532.23 paid thus far due to pipe burst and water damage. Claim is still open; 1941 build; quoting with $1,000 AOP and $5,00 special water ded.  Terms would be subject to current update information on the roof </t>
  </si>
  <si>
    <t>need to confirm updates, estimated completion date of repairs</t>
  </si>
  <si>
    <t>Lindsay</t>
  </si>
  <si>
    <t>Gomez</t>
  </si>
  <si>
    <t>John &amp; Rosa</t>
  </si>
  <si>
    <t>PC 10, built in 1989 updated in 2000, frame, primary, located not in brush in CA with a 5 minute response time; VMGA $7,796 premium</t>
  </si>
  <si>
    <t xml:space="preserve">ISO, RM, PC questionnaire, photos OK. </t>
  </si>
  <si>
    <t>Weatherly</t>
  </si>
  <si>
    <t>Romance</t>
  </si>
  <si>
    <t xml:space="preserve">wedding business on premises. No access to the home, layout confirms separation, will require CGL, 199 build, updates, </t>
  </si>
  <si>
    <t>Confirmation of CGL and total business exclusion. Also app stated 02/2017 expiration date of prior policy. Perhaps typo? If not, need to discuss</t>
  </si>
  <si>
    <t>subject to confirmation of the wood burning stove being professionally installed.. However, from the PC questionnaire, this property is over 5 miles from the fire department. If that is in fact correct, it would need to be rated as a PC 10. If it is in fact within 5 miles, then please be sure that you use PC 9 rates for the 8B assignment</t>
  </si>
  <si>
    <t>Bob</t>
  </si>
  <si>
    <t>Built in 2007, frame, primary, 8B, in brush, no losses, located in CA</t>
  </si>
  <si>
    <t>Dent</t>
  </si>
  <si>
    <t>Alasdair</t>
  </si>
  <si>
    <t>the pictures online do show a woodstove in the home. Please be sure a questionnaire is completed to evaluate that exposure</t>
  </si>
  <si>
    <t>Brush zone, PC5, frame, built in 1977/updated, primary, no losses, located in CA</t>
  </si>
  <si>
    <t>Marshall</t>
  </si>
  <si>
    <t>Rebecca</t>
  </si>
  <si>
    <t>Moon</t>
  </si>
  <si>
    <t>Callie</t>
  </si>
  <si>
    <t>Insured is an actress. Reviewed online info.  She has been in a number of TV series and some movies. Relatively famous.</t>
  </si>
  <si>
    <t>okay excluding liability</t>
  </si>
  <si>
    <t xml:space="preserve">Insured wants to write primary with us. They are building a guest house which will be insured separately w/ Scottsdale. </t>
  </si>
  <si>
    <t>COC must have liability. Apply building exclusion for the guest house under construction.</t>
  </si>
  <si>
    <t>Yamini</t>
  </si>
  <si>
    <t xml:space="preserve">Questioning occupancy.  Once clarified, we can allow a rate quote subj to more info on how the insured's carrier would reimburse them. </t>
  </si>
  <si>
    <t>Yehzkel</t>
  </si>
  <si>
    <t xml:space="preserve">1930 dwelling updated in 2016. Online photos show ivy/vines growing on walls. Not in brush. </t>
  </si>
  <si>
    <t>Approved an indication subj to confirmation of the ivy/vines. If they keep them, just add water damage excl and mold excl. If removed, must be professional.</t>
  </si>
  <si>
    <t>Brown</t>
  </si>
  <si>
    <t>Bay Village</t>
  </si>
  <si>
    <t xml:space="preserve">Year built is 1971 and no updates are given, so the roof is 47 years old.  Personal property is 75% of Coverage A, not 70%.  There were two sizable claims, both water based, so I put a $5,000 water deductible and excluded water backup.   </t>
  </si>
  <si>
    <t>requested OHQ, roof exclusion, and $10K water ded or damage. Pended for OHQ</t>
  </si>
  <si>
    <t>Three Sisters Inn LLC</t>
  </si>
  <si>
    <t>Three Sisters In LLC</t>
  </si>
  <si>
    <t>Primary home with bed and breakfast = 5 rooms rented, 1905 build, updates 1995, FRC</t>
  </si>
  <si>
    <t>approved, but not as b&amp;b program. Subject to GL policy maintained by agency and TBE in place</t>
  </si>
  <si>
    <t>Isabel</t>
  </si>
  <si>
    <t>St. Clair Sherman</t>
  </si>
  <si>
    <t>Air BNB approximately 24 weeks, will confirm two night minimim met</t>
  </si>
  <si>
    <t>Approved subject to 2-night minimum being met</t>
  </si>
  <si>
    <t>Enyedi</t>
  </si>
  <si>
    <t>The claim was due to plumbing pay out $10,000 DOL 9/10/2017. They have a wood roof which the agent believes it is the original. Updates were in 1980 per the inspection</t>
  </si>
  <si>
    <t>10K water deductible must be applied due to the galvanized plumbing and prior claim history. Please be sure to confirm that all repairs were made from that loss. Additionally, due to the age of the roof it must be excluded on the policy.</t>
  </si>
  <si>
    <t>Approved-confirmed no tours, no rebuild guidelines; subject to acceptable OHQ; profile not too high; no ornate features from photos in home</t>
  </si>
  <si>
    <t>1881 build, historical registry and not sure if you consider a chicago cubs executor a high profile. Coverage A $800,000 Roof completed in 2006, home gutted in 1990, no losses, being canceled by Nationwide due to historical registry, just purchased in 12/17</t>
  </si>
  <si>
    <t>Polo</t>
  </si>
  <si>
    <t>James &amp; Cynthia</t>
  </si>
  <si>
    <t>Reynolds</t>
  </si>
  <si>
    <t>Home was built in 2005 of frame construction.  PC9 with no alarm, but visible to neighbors and accessible all year, and no losses; horse breeding company-wants liability</t>
  </si>
  <si>
    <t>In order to include liability we would need to confirm that a GL policy is in place to cover the horse breeding exposure. We would also need to include the total business and animal liability exclusions. If they do not have a GL policy in place, or don't want to add the exclusions, then we would have to exclude the liability.</t>
  </si>
  <si>
    <t>Erb</t>
  </si>
  <si>
    <t>Rory</t>
  </si>
  <si>
    <t>2002 build, central alarms, frame construction, PC 10</t>
  </si>
  <si>
    <t>PCQ, map, photos, RM OK.</t>
  </si>
  <si>
    <t>Highland Corporation</t>
  </si>
  <si>
    <t>Lynchburg</t>
  </si>
  <si>
    <t>PC 9, built in 2001, frame, seasonal, with a 10-15 minute response time. home used for business retreats and meetings</t>
  </si>
  <si>
    <t>You have approval to offer terms on this risk. However, due to the use of the property for business meetings and retreats, the total business exclusion must be included on the policy. Additionally, please be sure they have a GL policy in place that provides coverage when using this property for business dealings.</t>
  </si>
  <si>
    <t>Andresen</t>
  </si>
  <si>
    <t>Approved to quote--RM and photos OK</t>
  </si>
  <si>
    <t>Hess</t>
  </si>
  <si>
    <t>Carol</t>
  </si>
  <si>
    <t>Pine Beach</t>
  </si>
  <si>
    <t>2 prior losses, one fire-01/2016 space heater-repairs made, no longer use portable devices</t>
  </si>
  <si>
    <t>subject to OHQ,  claims included in premium rating</t>
  </si>
  <si>
    <t>Bailey</t>
  </si>
  <si>
    <t>Nicholas &amp; J.Hannah</t>
  </si>
  <si>
    <t>2 prior water losses. 10/15 $68K Sink filter failed. 6/16 $284K Toilet floater disconnected and leaked.</t>
  </si>
  <si>
    <t>Asked numerous questions and suggested if we get good info we may be able to offer terms with subjectivities: Exclude mold, 10% s/c, install water sensor w/shutoff.</t>
  </si>
  <si>
    <t>Marylou</t>
  </si>
  <si>
    <t xml:space="preserve">Burbank </t>
  </si>
  <si>
    <t>1978 risk in brush. Full CS alarms. Online google photo looks good.</t>
  </si>
  <si>
    <t>Merline</t>
  </si>
  <si>
    <t xml:space="preserve">1925 build, international owner (in Canada),need help with quote </t>
  </si>
  <si>
    <t>Landri</t>
  </si>
  <si>
    <t>Redlands</t>
  </si>
  <si>
    <t>1925 year built, RM OK</t>
  </si>
  <si>
    <t>RM ok, photos OK</t>
  </si>
  <si>
    <t>Ridgeway Partners LLC</t>
  </si>
  <si>
    <t>1989 build, PC 9 (quoted), no alarms, 318 acres (300 used for grazing-GL in place), vacant since 2003, electricity off</t>
  </si>
  <si>
    <t>Home is actually used as secondary by 3 adult children, electric will be turned on, advised must be rated as PC 10 since 5.1 miles from FD. TBE must be applied.</t>
  </si>
  <si>
    <t>Pottsville</t>
  </si>
  <si>
    <t>approval to offer terms, confirmed banquet hall no longer in use as such and will obtain and acceptable Supplemental Heat Questionnaires.</t>
  </si>
  <si>
    <t>John &amp; Lisa</t>
  </si>
  <si>
    <t>Attached is a primary home located in CA. Frame construction, built in 1985, PC2, Full C/ S alarms, not in brush, 2 water losses, both closed (pipes burst/leak in 09/2017). Quoted as HO8 with 10% surcharge, NR due to losses</t>
  </si>
  <si>
    <t>approved at quoted premium, but must add roof exclusion based on age of roof</t>
  </si>
  <si>
    <t>Matteson</t>
  </si>
  <si>
    <t>Frame, Built in 1913, fully updated in 1998, PC2, not in brush, no recent losses, no alarms, E insurance score</t>
  </si>
  <si>
    <t>Based on TIV limit, no alarms, required higher deductible unless sprinklers in home</t>
  </si>
  <si>
    <t>Tognetti</t>
  </si>
  <si>
    <t>Brian &amp; Paula</t>
  </si>
  <si>
    <t>Buckle</t>
  </si>
  <si>
    <t>Brandon &amp; Lori</t>
  </si>
  <si>
    <t>KS, Markel only market, 2 losses, lapse since 10/30/2017</t>
  </si>
  <si>
    <t>You have approval to offer terms on this property. However, due to the reason for the lapse the premium must be surcharged by 5%, the deductible must be a minimum of $2500, and a signed no loss must be completed.</t>
  </si>
  <si>
    <t>You have approval to offer terms on this risk. From the one pic I was able to locate online, this may have a supplemental heating device. If that is correct, please review with the applicant and handle accordingly.</t>
  </si>
  <si>
    <t>Layne</t>
  </si>
  <si>
    <t>Attached is a primary home for the above applicant located in AR. Home was built in 2007. It is frame construction, no alarms. PC10. No losses.</t>
  </si>
  <si>
    <t>Photos, RM, settlement costs OK</t>
  </si>
  <si>
    <t xml:space="preserve">Lapse since 2015 due to business manager non renewing, 15-16 minute drive time, added TBE due to some farming exposure (3200 acres), Premium $12,957 </t>
  </si>
  <si>
    <t>Must apply TBE and get a GL. If not GL, X liab ok with TBE. Doesn't qualify for Burns in home daycare program.</t>
  </si>
  <si>
    <t>1995 home in brush no alarms, tile roof. Open claim with $53k remaining. Neighbor mowing on dry day caused fire and subro is occurring. $183K damage to landscape and exterior smoke damage. (Seems high) Remaining: replace gazebo (from smoke damage??) 31 roadway lights, paint back of home. $53K reserve still open. Insured putting off work until rain season passes.</t>
  </si>
  <si>
    <t>Reviewed w/Louisa.  Too soon to pursue.  I advised SCU we don't have the forms or procedures for this.  Also, not advantageous since we only write $5M.</t>
  </si>
  <si>
    <t>2 properties on the same street. Agent quoted one as primary one as secondary. Prior loss, insured sued neighbor for playing music too loud. They have since moved out. Insured was reimbursed by Their Own carrier for legal fees.</t>
  </si>
  <si>
    <t>Malibu home-ln brush</t>
  </si>
  <si>
    <t>Bethany can help with quote, but pended for eligibility concerns: age of home (need ohq), property condition (photos online show concerns), noted "no prior coverage" on app</t>
  </si>
  <si>
    <t>residential property with commercial kitch (was a caterer), another apartment above has regular kitchen. Quote w/ pool exclusion (diving board), exclude coverage B, add tBE as precaution</t>
  </si>
  <si>
    <t>Metal building, no losses, no central heat or air. Only source of heat is fireplace. Applicant lives in part of building, other part is shop/storage</t>
  </si>
  <si>
    <t>Questioning if any fuels or wood activity stored/done in unit</t>
  </si>
  <si>
    <t>rented 10-12 weeks, on lake Michigan, no losses, 22 acres, will be installing alarms, IS D, response time 16 minutes</t>
  </si>
  <si>
    <t>PCQ, photos, OK. Approved subject to extra 5% surcharge</t>
  </si>
  <si>
    <t>Glenn</t>
  </si>
  <si>
    <t>Add TBE, GL has to stay in place. Advised of limitations of GL with doing car detailing in one of the attached garages.</t>
  </si>
  <si>
    <t>Insured has a home on premises w/attached garages. Small office structure at front of property. Runs auto sales business off property. Has a GL. Auto detailing in garage only, no repairs.</t>
  </si>
  <si>
    <t>DeLaCruz</t>
  </si>
  <si>
    <t>Diane &amp; Brian</t>
  </si>
  <si>
    <t>Fairplay</t>
  </si>
  <si>
    <t>We don't write insured builders.</t>
  </si>
  <si>
    <t>Kern</t>
  </si>
  <si>
    <t>Steven</t>
  </si>
  <si>
    <t xml:space="preserve">Retail agent sent paperwork today to bind coverage 3/4/18. They included statement of no losses.  Agent asking if they can go back to 3/4/18 as that is the date the insured's coverage expired.  No explanation of why it was one day late.  </t>
  </si>
  <si>
    <t>Ok w/signed statement of no loss</t>
  </si>
  <si>
    <t>Policy being nonrenewed due to dog scratch and bite. 12 year old daschund bit a child.  Claim is open with $7K pending in case there is scarring.</t>
  </si>
  <si>
    <t>Agent will be applying Limited Animal Liab which will exclude this animal.</t>
  </si>
  <si>
    <t>VonNorman</t>
  </si>
  <si>
    <t>Laisure</t>
  </si>
  <si>
    <t xml:space="preserve">Mark &amp; Karen </t>
  </si>
  <si>
    <t>Very nice secondary home on a lake. Has a log guest house (s/c?) with a woodstove. Also a 2nd guest house. Can they write all that? Woodstove will be removed as soon as they close (new purchase). There is an open mine. An actual mine with tracks. There also appears to be an open well pit in the photos.  The lake has a platform and a long slide going into it.  The slide is over 5' above the platform. $9K liab claim from 5 years ago.</t>
  </si>
  <si>
    <t>Agent is able to write liab elsewhere. Insd is removing the WBS. Secondary risk so feel okay about not getting a questionnaire while it's in process.  Log home is maybe 10% of the total TIV so waived any extra surcharge. Agt checking on the liab claim</t>
  </si>
  <si>
    <t>Orig app was x-liab. Now that we have info, loss was not really negligence by insured. Open loss can't come back on us. Continuous coverage except liability.</t>
  </si>
  <si>
    <t>Lansberry</t>
  </si>
  <si>
    <t>Kevin &amp; Lynn</t>
  </si>
  <si>
    <t>1976 home updated in 2017. Prior owner had claims - agt getting info. Insured is VP and CFO for Disney.  In brush.</t>
  </si>
  <si>
    <t>Agt getting claim info-will refer if applicable. Offered x-liability after discussion w/Louisa. Insured too high profile for liab. // Later on 3/8 agent found out $20K smoke claim from Sand Fires. All damage repaired. Also a $0 theft - not an issue.</t>
  </si>
  <si>
    <t>Shah</t>
  </si>
  <si>
    <t>Sandeep</t>
  </si>
  <si>
    <t>2001 dwelling, insured moved out, for sale. 8/17 large water loss. 2nd story bath pipe break $90,000 damage. Agt applying $25K deductible. All copper plumbing.</t>
  </si>
  <si>
    <t>Newer home, one loss, even though large, $25K deductible is comfortable for a home that will be vacant.</t>
  </si>
  <si>
    <t>Vanhorn</t>
  </si>
  <si>
    <t>Subject to TBE, OK with separation/type of business</t>
  </si>
  <si>
    <t>DiDonato</t>
  </si>
  <si>
    <t>Vincenzo &amp; Grace</t>
  </si>
  <si>
    <t>No coverage since 07/2016, 1965 build with updates, insured just didn't want coverage, home no for sale, no prior loss</t>
  </si>
  <si>
    <t xml:space="preserve">there appears to be some issues with the property itself (missing siding, missing front steps, damaged foundation). It also appears to have been of commercial usage.  It’s concerning as well that they were willing to go without insurance for so long, but now when it is time to sale the home they attempt to purchase a policy (perhaps the realtor is suggesting/requiring that they do so?). </t>
  </si>
  <si>
    <t>Advised if want us to consider further info can do so</t>
  </si>
  <si>
    <t>Baxley Revocable Trust</t>
  </si>
  <si>
    <t xml:space="preserve">Agent referred a $13M TIV risk.  </t>
  </si>
  <si>
    <t>Reminded of our max TIV. Note to Bethany, maybe put a hard stop in the rater as a reminder? Also check other raters?</t>
  </si>
  <si>
    <t>Savenok</t>
  </si>
  <si>
    <t>Tatiana</t>
  </si>
  <si>
    <t>Burr Ridge</t>
  </si>
  <si>
    <t>Cafaro Family Trust</t>
  </si>
  <si>
    <t>Brook Field</t>
  </si>
  <si>
    <t>future loss mitigated with sprinkler system</t>
  </si>
  <si>
    <t>The build year of this property is 1960, so we would need to review an Older Home Questionnaire. It was noted that they have a burglar alarm, but at this TIV (over $2M) we require a central station fire and central station burglar alarm.  A full house sprinkler is acceptable in lieu of a fire alarm.  If no central station fire alarm or sprinkler, the AOP deductible must be a minimum of $10,000.  If no central station burglar alarm, theft deductible must be increased to a minimum of $10,000. Also advised of max TIV</t>
  </si>
  <si>
    <t>Bianes</t>
  </si>
  <si>
    <t>Vicente</t>
  </si>
  <si>
    <t>Home was built in 1990, with a full plumbing update in 2016. It is frame construction, no alarms. PC3. 2 losses., 2 prior losses. Water loss-led to reroute and water shut off</t>
  </si>
  <si>
    <t>Alarm requirements being met</t>
  </si>
  <si>
    <t>Papadakos</t>
  </si>
  <si>
    <t>Dimitri</t>
  </si>
  <si>
    <t xml:space="preserve">Frame, Built in 2000, PC4, right on lake Michigan, no losses, full c/s alarms, no hit on the insurance score. The other structure on the insured's property is used for the insured's not for profit business. Applicant has a separate policy for the structure and GL policy for the business. The business is BESFI, which exists to promote ballet education in Suffolk County, NY Other Structures is excluded, and total business exclusion has been added.
http://www.besfi.com/
</t>
  </si>
  <si>
    <t>Martinez</t>
  </si>
  <si>
    <t>Henry</t>
  </si>
  <si>
    <t>Home was built in 1972, with a full updates in 1998. It is masonry construction, no alarms. PC10. No losses</t>
  </si>
  <si>
    <t>Approved as quoted with TBE</t>
  </si>
  <si>
    <t>subject to confirmation of response time w/in 15 minutes.</t>
  </si>
  <si>
    <t>Bennett</t>
  </si>
  <si>
    <t>Ian &amp; Jill McCarthy</t>
  </si>
  <si>
    <t>You have approval to offer terms as quoted. Please be sure the agency is aware they need to confirm that the professional liability and general liability policies remain in place before each renewal.</t>
  </si>
  <si>
    <t>a Pediatric Occupational Therapy business in the home that has a separate entrance, but is the same property as the primary home.  They do have a commercial GL policy, we’ve added an animal exclusion, we added a total business exclusion, and a 10% surcharge. </t>
  </si>
  <si>
    <t>Duchone</t>
  </si>
  <si>
    <t>Jacques</t>
  </si>
  <si>
    <t>10W</t>
  </si>
  <si>
    <t>clear separation, offer terms subject to the total business exclusion and general liability policies being in place</t>
  </si>
  <si>
    <t>need an acceptable Older Home Questionnaire based on its age. Also, the TIV seems a little low based on online pics, so please be sure to let us know if further review determines it is significantly higher.</t>
  </si>
  <si>
    <t>Said</t>
  </si>
  <si>
    <t>Forke</t>
  </si>
  <si>
    <t>Palmyra</t>
  </si>
  <si>
    <t>Dog boarding, 15 visitors a month, GL in place, PC9, primary, built in 2017, no losses, Ins Score F, located in NE</t>
  </si>
  <si>
    <t>Secondary home, no losses, PC 9, rater attached</t>
  </si>
  <si>
    <t>Vineyard Haven</t>
  </si>
  <si>
    <t>Ronald J. &amp; Alyce K. Ostrow Trust</t>
  </si>
  <si>
    <t>approval to offer terms subject to a no loss statement, confirmation of GC liability, a lapse and 25% surcharge, and a PC 10 rating</t>
  </si>
  <si>
    <t>John &amp; Alma</t>
  </si>
  <si>
    <t>Hillary</t>
  </si>
  <si>
    <t>Slone</t>
  </si>
  <si>
    <t>100 year old shotgun style home recently renovated and 2 story addition added. System replaced, appears to be an gut/reno.</t>
  </si>
  <si>
    <t>Juan</t>
  </si>
  <si>
    <t>Risk quoted for closing 2/12/18. Insured signed policy docs on 2/26/18. Then they closed and forgot to notify agent. Closing was 3/7/18. Agt followed up and found out they forgot to notify. Lender will force place if no coverage in place.</t>
  </si>
  <si>
    <t>Nice condition, reviewed appraisal</t>
  </si>
  <si>
    <t>Appears intent was to book 3/7. Have signed statement of no loss.</t>
  </si>
  <si>
    <t>Mahserejian</t>
  </si>
  <si>
    <t>Kevork</t>
  </si>
  <si>
    <t>Calabassas</t>
  </si>
  <si>
    <t>RM, photos,PC OK</t>
  </si>
  <si>
    <t>apply a 5% surcharge for the lack of heat on the second floor, and also please be sure to obtain an Older Home Questionnaire for the file</t>
  </si>
  <si>
    <t>Frame, secondary rental, no losses, located in NJ, no heat on second floor</t>
  </si>
  <si>
    <t>Gables by the Sea LLC</t>
  </si>
  <si>
    <t>Barajas</t>
  </si>
  <si>
    <t>Alfredo</t>
  </si>
  <si>
    <t>Since we are now coming in at a later stage in the process, we would need to take an extra 20% surcharge in order to consider.</t>
  </si>
  <si>
    <t>Offered quote in December, didn't accept, now 20% complete and want to move to Markel</t>
  </si>
  <si>
    <t>San Jose</t>
  </si>
  <si>
    <t>Deshaun</t>
  </si>
  <si>
    <t>NFL player (Texans 2017 first round pick)., frame, built in 2005, no losses, full c/s alarms</t>
  </si>
  <si>
    <t xml:space="preserve"> x-liability due to his high-profile.</t>
  </si>
  <si>
    <t>approval to offer terms as suggested (with the total business and animal liability exclusion). This is subject to a GL policy being put into place and maintained at each renewal.</t>
  </si>
  <si>
    <t>primary home located in WA. Frame construction, built in 1993, PC5, no losses, C/S fire alarm only, C insurance score. Dog boarding business in detached garage-No foot traffic in actual home. Customer can go a month or so without having any dogs boarding with her, foot traffic very low; 0 employees; Customer has the ability to hold up to 10 dogs but hasn't had that many at one time before.</t>
  </si>
  <si>
    <t>Stacy</t>
  </si>
  <si>
    <t>Laidlow</t>
  </si>
  <si>
    <t>Brent &amp; Rebecca</t>
  </si>
  <si>
    <t>RM, ISO, TIV, Pics OK</t>
  </si>
  <si>
    <t>Lexington Malibu Renewal</t>
  </si>
  <si>
    <t>Geraldine</t>
  </si>
  <si>
    <t>Gilliland</t>
  </si>
  <si>
    <t>You have approval to offer terms on this risk as quoted: to include the animal exclusion, water deductible, lapse surcharge, and claim surcharge.</t>
  </si>
  <si>
    <t>Raul &amp; Monique</t>
  </si>
  <si>
    <t>Franco</t>
  </si>
  <si>
    <t>Streltsov</t>
  </si>
  <si>
    <t>Vladislav</t>
  </si>
  <si>
    <t>Valley Glen</t>
  </si>
  <si>
    <t>the fire was caused by fire under the chimney. All repairs were getting completed last week. Insured has reinforced the fireplace. The payout amount was just under $16K.</t>
  </si>
  <si>
    <t>Chin</t>
  </si>
  <si>
    <t>be sure to include the total business exclusion too. Just in case he does change his mind in the near future; pics of property OK</t>
  </si>
  <si>
    <t>Behler</t>
  </si>
  <si>
    <t>Stacie</t>
  </si>
  <si>
    <t>1878 build, fully gutted, no tours/no registry, no losses</t>
  </si>
  <si>
    <t>As long as the complete gut/remodel has been confirmed, you have approval to offer terms on this risk.</t>
  </si>
  <si>
    <t>Sandstrom</t>
  </si>
  <si>
    <t>Nicholas</t>
  </si>
  <si>
    <t>Home was built in 1982, with no updates. This is a berm/earth home, part of the roof is dirt with tile on top and the garage is rolled roofing. This has been rated as a frame/dwelling in VMGA. PC4. No losses, central station fire and burglar alarm.</t>
  </si>
  <si>
    <t>due to the unique construction build, we will need to take an additional 5% surcharge. Not of dome construction, quoted as HO8 w/ roof exclusion</t>
  </si>
  <si>
    <t>Holzapfel</t>
  </si>
  <si>
    <t>Laurie</t>
  </si>
  <si>
    <t>Ventura</t>
  </si>
  <si>
    <t>Lapse since October 2017 (nonpay) having trouble placing due to brush</t>
  </si>
  <si>
    <t xml:space="preserve">approval to offer terms on this risk, subject to a lapse surcharge, a RiskMeter, and acceptable Older Home Questionnaire. </t>
  </si>
  <si>
    <t>Mockabee</t>
  </si>
  <si>
    <t>Jason &amp; Jode</t>
  </si>
  <si>
    <t xml:space="preserve">1864 build, no brush, PC 4, no losses, </t>
  </si>
  <si>
    <t>Has this home been completely gutted/remodeled? Since the 1864 build year was used on the rater, I am assuming it has not been. If there has not been a complete gut of the home, this property is not eligible for our product. If there has been a complete gut/remodel then we are able to use that year as the actual build year</t>
  </si>
  <si>
    <t>Photos, PC, LLC ? OK, agt included S/C</t>
  </si>
  <si>
    <t>2 properties, same LLC,was COC with Zurich, one is 90% done; second is completely done</t>
  </si>
  <si>
    <t>2908 Ocean, LLC</t>
  </si>
  <si>
    <t>Mills</t>
  </si>
  <si>
    <t>Big Sky</t>
  </si>
  <si>
    <t>26 minutes response, log home, no losses, c/s alarm</t>
  </si>
  <si>
    <t>J&amp;J Home Investments LLC</t>
  </si>
  <si>
    <t xml:space="preserve">Not comfortable w/ reason for 3 mortgages </t>
  </si>
  <si>
    <t>ran credit, poor range</t>
  </si>
  <si>
    <t>O'Guinn LLC</t>
  </si>
  <si>
    <t>2007, metal warehouse but used as primary residence, no losses, no alarms, consists of living space and garage space</t>
  </si>
  <si>
    <t>acceptable w/ plumbing/heating/electric in home</t>
  </si>
  <si>
    <t>30% surcharge due to response time</t>
  </si>
  <si>
    <t>25 minute response time, PC 10, on 35 acres, built in 2009, frame, secondary, accessible year round with a well and creek within 350 ft, 25 minute response time, J insurance score.</t>
  </si>
  <si>
    <t>Bondurant</t>
  </si>
  <si>
    <t>Busbice</t>
  </si>
  <si>
    <t>Kiepen</t>
  </si>
  <si>
    <t>Scott &amp; Stephanie</t>
  </si>
  <si>
    <t>Alamo</t>
  </si>
  <si>
    <t>insured w/ Zurich 3 years. Several contractor delays, 75% complete, expect September completion (mostly interior, some exterior); Zurich NR due to 3rd renewal</t>
  </si>
  <si>
    <t>Reasons don't justify length of delay, concerns for future delays with so much work left</t>
  </si>
  <si>
    <t xml:space="preserve">6905 Pleasure Ave </t>
  </si>
  <si>
    <t>6905 Pleasure Ave</t>
  </si>
  <si>
    <t>Sea Isle</t>
  </si>
  <si>
    <t>1 loss, w/ Hull for 3 years-all damages repaired and inspection OK</t>
  </si>
  <si>
    <t>ACV roof endorsement (1994 build-original roof)</t>
  </si>
  <si>
    <t>Tour</t>
  </si>
  <si>
    <t>Touraj</t>
  </si>
  <si>
    <t>1960 home updated. Nice online pic, possible flat roof. Insured nonrenewed for not having alarms. Agent quoting with $10,000 ded.</t>
  </si>
  <si>
    <t>Ok, $10K is our criteria. Asked agt to make a note in file of flat roof in case they decide to install alarms. Flat roof form could be added.</t>
  </si>
  <si>
    <t>Harley</t>
  </si>
  <si>
    <t>Owosso</t>
  </si>
  <si>
    <t>Chimney crumbling, roof concerns. Agent asking if we would consider quoting with roof exclusion and existing damage exclusion.</t>
  </si>
  <si>
    <t xml:space="preserve">Also added water damage exclusion, pending repair or removal of chimney. Insp did not note liab concern w/chimney. </t>
  </si>
  <si>
    <t>Turner GST Exempt Trust</t>
  </si>
  <si>
    <t>Duplex. Half will be vacation rental, half will be insured's property management business. No owner occupancy (habitational). Agt offering to write on DP3.</t>
  </si>
  <si>
    <t xml:space="preserve">This should go on a commercial policy. </t>
  </si>
  <si>
    <t>Brill</t>
  </si>
  <si>
    <t>Eric &amp; Ana</t>
  </si>
  <si>
    <t>Comfortable with arborist report and credentials found online. Several subjectivities to continue monitoring overhanging branch and provide reports every 3 years. Agent to monitor. Set a pend for 3 years out to audit this file.</t>
  </si>
  <si>
    <t xml:space="preserve">There was one online negative article about someone with this name. But the article refers to someone who is a council woman. The insured's occupation is listed as homemaker.  It could fit, since she is listed as widowed, and the person in the article's husband is deceased (suicide).  The article referred to some questionable zoning actions from 2010 regarding vacant property. Couldn't find any other info to corroborate a concern with this insured. </t>
  </si>
  <si>
    <t>Prior fire loss, error when quoting in VMGA, The fire originated at the fuse box and spread through-out the home.  It was basically a total loss, and all new wiring, plumbing, heating and roofing is in place as well as all interior work.  They have also installed sprinklers as they never want to go through anything like that ever again.</t>
  </si>
  <si>
    <t>New build, insured is the GC. Would we consider without liab? There has been a 30 day lapse due to written w/Allstate and they didn't know it was a builders risk.  They cancelled in Feb, insured hasn't been able to find coverage.</t>
  </si>
  <si>
    <t>Insured has an open liab claim with $50K in reserves. Policy renewed without liability  3/3/18 w/Lex who is the one handling the claim. Insured did cosmetic reno to whole house w/GC. Never got COC. Sub fell off ladder and is suing the insured. Loss occurred Summer 2016 (almost 2 years) and is still open.</t>
  </si>
  <si>
    <t>primary home located in MO. Frame construction, Built in 2005, PC10W, no losses, no alarms, E insurance score; The applicant has an auto repair shop on the premises. The shop is behind the house. No employees. They are not towing the autos. The applicant would go to his 1 customer location, pick up a car and bring them to his shop to work on. If the car is not drivable they will then use a tow company to bring the car to the shop.  Business will have GL in place</t>
  </si>
  <si>
    <t xml:space="preserve">Malibu risk off PCH and not in brush. I am quoting D at 10% since it isn’t a primary. TIV is $1,450,000. </t>
  </si>
  <si>
    <t>acceptable PCQ, subject to: Properties greater than $2M TIV are required to have a central station fire and central station burglar alarm.  A full house sprinkler is acceptable in lieu of a fire alarm.  If no central station fire alarm or sprinkler, increase AOP deductible to a minimum of $10,000.  If no central station burglar alarm, increase theft deductible to a minimum of $10,000.</t>
  </si>
  <si>
    <t>BR, didn't realize coverage was needed, now ready to purchase, 14 min drive time</t>
  </si>
  <si>
    <t>NR by State Farm for claims/brush-3 claims: wildfire 2014-$102K, mudflow 2014-$109K, 01/2017=2 water claims from flooding from rains-$17K total</t>
  </si>
  <si>
    <t>approved a premium of $24K (.75:100) due to acceptable log home ?, photos, but higher response time.</t>
  </si>
  <si>
    <t>5 Coral Cove Way LLC</t>
  </si>
  <si>
    <t>Dana Point</t>
  </si>
  <si>
    <t>2018 new construction, now vacant and up for sale. Construction just completed. Online photos look good. No adverse information about insured.</t>
  </si>
  <si>
    <t>Clean risk. Roof looked flat in photos, but roof cover is tile.</t>
  </si>
  <si>
    <t>Horn</t>
  </si>
  <si>
    <t>Ragnar</t>
  </si>
  <si>
    <t>New York</t>
  </si>
  <si>
    <t>Insured's convicted for illegal au pair management involving overwork and "employing" 2 when Norway law requires light work and only 1 per HH. Condo in NY is their primary. Court case appealed in Norway.</t>
  </si>
  <si>
    <t>Willing to consider exception for the case. Willing to consider exception for another HO-6. Not able to write in NY. Can't do one off's.</t>
  </si>
  <si>
    <t>Payerk</t>
  </si>
  <si>
    <t xml:space="preserve">Dan  </t>
  </si>
  <si>
    <t>Millersburg</t>
  </si>
  <si>
    <t>Muy Grande Ranch previously used for commercial hunting and lodge/resort. 10' perimeter fence, 6 stocked ponds, white tail deer. Insured is millionaire with many MI properties. This will not be commercial use. Will be for family get togethers only.  Insured likely will hunt and fish, but no commercial use. Groundskeeper lives in $250K dwelling on property. Same address, quoting under Cov B/2 family. Insured was "Dan's Excavating".</t>
  </si>
  <si>
    <t>Response time. Verify information.</t>
  </si>
  <si>
    <t>Franz Johann Investments LLC</t>
  </si>
  <si>
    <t>Pewaukee</t>
  </si>
  <si>
    <t>TBE, GL, and FRC (all were quoted by agent). Per FB page, greenhouse and fun center (appears occasional "fairy parties"). Advised agt be sure GL covers this exposure as well</t>
  </si>
  <si>
    <t>Deboard</t>
  </si>
  <si>
    <t>Deardra</t>
  </si>
  <si>
    <t>HO-3 primary home located in CA. Home was built in 2002 of frame construction, with no updates. PC10, in brush. No losses, local alarms</t>
  </si>
  <si>
    <t>premium appropriate for 15 minute drive time; acceptable PCQ provided.</t>
  </si>
  <si>
    <t>primary home located in CA with 2 rentals located on the property. Home was built in 1945 of frame construction, PC9 , no alarms. Full roof update in 2003 with other full updates in 1975.</t>
  </si>
  <si>
    <t>Approved with HO 04 40 endorsement for rental exposure. Requested 10% surcharge if able for extra exposure; PCQ OK</t>
  </si>
  <si>
    <t>Hield</t>
  </si>
  <si>
    <t>Chavano</t>
  </si>
  <si>
    <t>While the losses were technically beyond their control, this home has not been having much luck over the last few years with claims. It may be worth considering with some deductible adjustments and premium adjustments. Questioned what premium/terms agt quoted//agt quoted at $14K, but lex at $9K. Advised can offer terms at that rate, but can't match Lex</t>
  </si>
  <si>
    <t>Waters</t>
  </si>
  <si>
    <t>Shawnee</t>
  </si>
  <si>
    <t xml:space="preserve">Lex coming in at $2217. We are at $2800. Wood shake roof in KS. </t>
  </si>
  <si>
    <t>Agreed to match 2217 tech prem (+ tax/fee) with $5000 deductible.</t>
  </si>
  <si>
    <t>Freedland</t>
  </si>
  <si>
    <t>Stephen &amp; Alexis</t>
  </si>
  <si>
    <t>In extremely low brush and on 3 sides, but one side 100' away is high brush. Agt applying brush surcharge. This is $50K over their TIV limit for our max TIV limit.</t>
  </si>
  <si>
    <t>Mooresville</t>
  </si>
  <si>
    <t>NR from prior carrier due to 08/2014 and 09/14 water loss (partial plumbing updates since then), 11/15/2017-hail and wind</t>
  </si>
  <si>
    <t>Approved subject to $25K water deductible</t>
  </si>
  <si>
    <t>Referred to Louisa 4:10 pm 3/20/18. Agreed to approve, I will pitch recommendation to Jeff about low brush bordering high brush. Also this risk ok'd w/brush s/c &amp; wildfire mit form. Advised agt if Cov A comes back higher, may  need to reevaluate approval.</t>
  </si>
  <si>
    <t>Gold</t>
  </si>
  <si>
    <t>Larry</t>
  </si>
  <si>
    <t>Producer, prior approval as DP3, but will now use as primary. Updates in 2016</t>
  </si>
  <si>
    <t>Approved; reviewed and nothing recent for producer. Ok w/ liab</t>
  </si>
  <si>
    <t>Lopez</t>
  </si>
  <si>
    <t>Subject to no tours of property; reviewed online and there isn't any info on tours or weddings</t>
  </si>
  <si>
    <t>requesting clarification on sister-is this a rental for applicant, or sis on deed of home? Pics, exposure Ok. Will confirm liab OK w/LT; confirmed this is a rental for applicant. Approved as DP3. advised sis would need HO4</t>
  </si>
  <si>
    <t>LaDonna</t>
  </si>
  <si>
    <t>3 water claims (2 over 3 years old); per app, for sale and possible leaks</t>
  </si>
  <si>
    <t>DP3, prior home demolished, rebuilding from ground up, no brush</t>
  </si>
  <si>
    <t>Requested confirmation of occupancy as quoted as HO3 primary, also descript of leaks. If confirms-may offer with $10K water ded//home is occupied until sale,. No leaks, approved with $10K ded</t>
  </si>
  <si>
    <t>Beauregard</t>
  </si>
  <si>
    <t>Donald K &amp; Antonietta</t>
  </si>
  <si>
    <t>Wellfleet</t>
  </si>
  <si>
    <t>Agent inquiring if a mobile home on blocks qualifies for an HO-3.</t>
  </si>
  <si>
    <t>Advised of our position - once a MH always a MH</t>
  </si>
  <si>
    <t>Requested BR questionnaire//approved subject to BRQ</t>
  </si>
  <si>
    <t>Aleman</t>
  </si>
  <si>
    <t>Pablo</t>
  </si>
  <si>
    <t>Need more info on the case. Report shows witnesses, but not that there was an arrest.</t>
  </si>
  <si>
    <t>Ins score is 775 and no concerns. Insd prior business has no adverse info. No adverse info on the insd.</t>
  </si>
  <si>
    <t>Michael S. Agron Living Trust</t>
  </si>
  <si>
    <t xml:space="preserve">Concerned about what exposure could become with the rescue animals. </t>
  </si>
  <si>
    <t>17 minute response time, MD risk, $7,325.00 premium; Seasonal (will confirm if rental exposure, rated as no rental), built in 1982/some updates, no losses</t>
  </si>
  <si>
    <t>Teaford</t>
  </si>
  <si>
    <t>PCQ, online info OK. Need to surcharge 25% to get to closer to agreed rate for extended response time. Also requested alarms be confirmed</t>
  </si>
  <si>
    <t>ESTATE OF MANDELL L &amp; MADELINE</t>
  </si>
  <si>
    <t xml:space="preserve">Built in 1949; Full Updates to Heating, Wiring, Roofing, Plumbing; Vacant but requesting $500K in contents. </t>
  </si>
  <si>
    <t>Per online info , home not for sale. Requested reason for vacancy and if home periodically checked on. //agt confirmed parents passed away, children preparing to sell and regularly check home and also has alarms in home.</t>
  </si>
  <si>
    <t>Minkhorst</t>
  </si>
  <si>
    <t xml:space="preserve">Coastal risk coming in with $9116 wind and total $14533. Agt wants to match competitor $11500. </t>
  </si>
  <si>
    <t>Reviewed w/Bethany. Only .11 cent ROL. Need .20-.24</t>
  </si>
  <si>
    <t>Fernbaugh</t>
  </si>
  <si>
    <t>Rim Forest</t>
  </si>
  <si>
    <t>Home was built in 1978 of frame construction, PC5 ,local alarm. Full roof update in 2006. Rated as brush as the risk meter would not pull the address. The insured's make toffee in their home and sell for profit. Absolutely no foot traffic in the home, no employees and they have BPP &amp; CGL in place.</t>
  </si>
  <si>
    <t>Proper insurance in place for business exposure;  website OK: https://thetoffeepot.com/</t>
  </si>
  <si>
    <t>Las Vegas</t>
  </si>
  <si>
    <t>Nicole</t>
  </si>
  <si>
    <t>Shinavar</t>
  </si>
  <si>
    <t xml:space="preserve">
Attached is a builders risk DP-3 four-plex located in NV. Home was built in 1984 of frame construction, with full roof updates in 2017. PC2. 3 losses, one open.-fire loss, $100K reserve. Anticipated closing date 03/31 or upon completion of repairs. Fire loss due to accidental cooking fire. 1 unit still ok, other 3 under repairs.  (quoted premium $4990)
</t>
  </si>
  <si>
    <t>Averre</t>
  </si>
  <si>
    <t>Berton</t>
  </si>
  <si>
    <t>Applicant is possible target. Wanted to check before offering terms</t>
  </si>
  <si>
    <t>Was a member of band, most hits in 70s/80s. Nothing recent no concerns. Confirmed with LT OK to offer w/ liab</t>
  </si>
  <si>
    <t>Klewein</t>
  </si>
  <si>
    <t>Linn</t>
  </si>
  <si>
    <t>secondary home, 3 losses (2 in last 5 years) all weather; inlaws have rent land from applicant for cattle (they have GL in place)</t>
  </si>
  <si>
    <t>Barosela</t>
  </si>
  <si>
    <t>approval to offer terms on this risk, subject to the total business exclusion being applied. From the description and satellite image of the property, it appears there is a very clear separation of the business. However, please be sure there are not large amounts of fuel stored on the premises. Please be aware--given the type of business this does not qualify for the In-Home Incidental Business Program</t>
  </si>
  <si>
    <t>Moonflower LLC</t>
  </si>
  <si>
    <t>1940 gutted and remodeled home going through renovation. Construction is mid-term, renewal comes up 4/1. Agt wants Markel to write this. It is currently insured wrong under some kind of coml policy. Not in brush.</t>
  </si>
  <si>
    <t>Agent is submitting for review. Sounds like it will be okay.</t>
  </si>
  <si>
    <t>Norris</t>
  </si>
  <si>
    <t>Eureka &amp; Whitman, Anthony</t>
  </si>
  <si>
    <t xml:space="preserve">Pol cancelled w/Mercury for material misrep. Prior theft claim, alleged the insured provided erroneous receipts to substantiate loss. Insd disagrees. A second loss for fallen tree was declined. </t>
  </si>
  <si>
    <t>Insured is suing for the misrep, another sign we don't want to be in the middle of the issue.</t>
  </si>
  <si>
    <t>Pomee</t>
  </si>
  <si>
    <t>Lorie</t>
  </si>
  <si>
    <t>Nice looking home. Insd is a landscaper and has some business storage on premises. Back yard is messy per insp sent.</t>
  </si>
  <si>
    <t>Find out more info on the business. Also, looks like backyard is being re-landscaped. Agt will verify. Looks like a nice house, would be okay with tidying up. Total Business Exclusion could apply.</t>
  </si>
  <si>
    <t xml:space="preserve">2nd call/update - 2 weeks from completion. Will be seasonal/rental on HO-3. Agt will rate with a 25% annual surcharge rate to keep competitive. Almost completed, exposure should be minor. </t>
  </si>
  <si>
    <t>Perrins</t>
  </si>
  <si>
    <t>Steven &amp; Dawson</t>
  </si>
  <si>
    <t>1992 builder, central alarms, PC 9, brush, no losses</t>
  </si>
  <si>
    <t>PCQ ,premium, online info OK</t>
  </si>
  <si>
    <t>approval to offer terms, with the woodstove cleaning/surcharge, roof exclusion, ACV settlement, and increased rate (.60-.70/100 TIV)//Agt advised 03/29 that woodstove primary heat source. CO risk w/ no yr round accessibility, or central heat for plumb, etc, declined.</t>
  </si>
  <si>
    <t>DeFrenza</t>
  </si>
  <si>
    <t>Antonio</t>
  </si>
  <si>
    <t>$260,000 water loss, caused 04/19/2017; part failure. Alarm company notice condensation on windows and notified insured of possible water issues</t>
  </si>
  <si>
    <t>water exclusion; advised if other mitigations put into place (i.e. water shut off or alarm) may consider w/ special h20 deductible</t>
  </si>
  <si>
    <t>Simantob</t>
  </si>
  <si>
    <t>Shahriar</t>
  </si>
  <si>
    <t>prior approval, didn't accept at that time. No change in risk.</t>
  </si>
  <si>
    <t>photos, app, RM OK</t>
  </si>
  <si>
    <t>approval to offer terms with an additional 20% surcharge for late entry</t>
  </si>
  <si>
    <t>This is a brand new build where the insured thought the contractor was carrying the builder’s risk policy, but found out they weren’t.  So they are now looking for coverage, and it’s 50% complete with home being walled and roofed; no losses</t>
  </si>
  <si>
    <t>Joel &amp; Diana</t>
  </si>
  <si>
    <t>Greenhouse on property; grow/sell vegetables, garden tools, no marijuana. Owner/wife only employees, customers arrive via car, 1938 build, want FRC (all complete updates except plumbing-partial)</t>
  </si>
  <si>
    <t>Primary home, TX, professional basketball player with Sacramento Kinds. Requested sister to be listed as an AI (lives in home full-time)</t>
  </si>
  <si>
    <t>Historic registry, primary residence rent out other structure for VRBO and AirBNB, and occasional weddings. Quoted with TBE and will confirm GL, 1905 build, full updates, no alarms</t>
  </si>
  <si>
    <t>Insured moved to new home. Prior location was burglarized and torched when they were in Mexico. $500K jewelry, pens, Rolex and 2 expensive cars stolen. Risk not in brush. Police report provided.</t>
  </si>
  <si>
    <t>1986 home. Insured has horse boarding business as well as insured takes in rescue animals. Currently has camel, llama, peacocks, dogs, and more. There is a farm policy. Online shows full blown horse boarding. Agent asked for $300K liability.</t>
  </si>
  <si>
    <t>Requested status of repairs//about 20% complete. Mostly kitchen left (already gutted). Agreed with 5% surcharge</t>
  </si>
  <si>
    <t>Attached is a primary home located in MO. Frame construction, built in 1998 roof updated in 2014, PC3, no losses, G insurance score. Full time boat repair shop on the property, no employees, detached structure. Business policies in place, quoted w/ TBE</t>
  </si>
  <si>
    <t>Home was built in 1980. It is frame construction, no alarms. PC5. No losses. Roof was updated in 2017. The insured owns a painting business. There is a shed on premise that the painting business is operated out of.</t>
  </si>
  <si>
    <t>accidental fire by owners boyfriend (Owner passed away in fire), home now in name of fire. Caretaker at property several times a week. No alarms.</t>
  </si>
  <si>
    <t>due to the type of exposure, this risk does not qualify for the incidental in-home business program. Terms may be offered subject to the maintenance of a GL policy, and the total business and animal exclusion being applied.</t>
  </si>
  <si>
    <t>It’s currently with Aspen (not through our office) and the renewal date is 3/14/18. The agent advised Aspen took a 20% rate increase this year and he’s really looking to move.</t>
  </si>
  <si>
    <t>Zoned commercial, used to be a restaurant but now strictly used as residence. Insured is a handy man so will get a GL policy for that exposure</t>
  </si>
  <si>
    <t>Ardalan</t>
  </si>
  <si>
    <t>Pezhman &amp; Maryam</t>
  </si>
  <si>
    <t xml:space="preserve">2003 dwelling in brush, PC10, over $3M TIV. </t>
  </si>
  <si>
    <t>Agent must have forgot TIV MAX is $3M. Sent copy/paste of guidelines.</t>
  </si>
  <si>
    <t>Loss(es)</t>
  </si>
  <si>
    <t>Occupancy/Use</t>
  </si>
  <si>
    <t>Other UW Reason</t>
  </si>
  <si>
    <t>Heat Source</t>
  </si>
  <si>
    <t>Prior Lapse/NRN</t>
  </si>
  <si>
    <t>Losses</t>
  </si>
  <si>
    <t>NEW FIELD W/DROP DOWN             System Reason(s) for Referral</t>
  </si>
  <si>
    <t>Roger</t>
  </si>
  <si>
    <t>no brush, high-value, rented, but for sale (will confirm actively rented)</t>
  </si>
  <si>
    <t>reminded of max TIV</t>
  </si>
  <si>
    <t>photos, value, PCQ acceptable, advised need to get to .60/100 as agreed</t>
  </si>
  <si>
    <t>WI risk (no brush), response time 17-30 minutes, no alarms</t>
  </si>
  <si>
    <t>Val</t>
  </si>
  <si>
    <t>NR 12/30/17 by prior carrier-German Shepherd (Still in home) but two people, also water claim from 2016 (repaired)</t>
  </si>
  <si>
    <t>Phaliwal</t>
  </si>
  <si>
    <t>Asab</t>
  </si>
  <si>
    <t>Northville</t>
  </si>
  <si>
    <t>Insured has a dog with a prior bite and open liability claim.  They are keeping the dog.  Agent quoting with animal liability exclusion.</t>
  </si>
  <si>
    <t>Pakzad</t>
  </si>
  <si>
    <t>Nicolas</t>
  </si>
  <si>
    <t xml:space="preserve">Insureds father was owner of high end boutique. Son inherited. Owns 2 properties near each other. Agent is writing them separately. Primary and guest house. </t>
  </si>
  <si>
    <t>Reviewed w/Louisa. Not too famous.</t>
  </si>
  <si>
    <t>Talenfeld</t>
  </si>
  <si>
    <t>Somerset</t>
  </si>
  <si>
    <t xml:space="preserve">Insured has a dome home used seasonally now that agent wants to insure for $100K with a roof exclusion. Will be starting construction on a $1M seasonal this summer, ground up. Road not accessible year round, but will be when new home is built. </t>
  </si>
  <si>
    <t>Can't do dome home unless they have a valid estimator that has "dome" construction option.  Can do builders risk - ok with .80 rate now and .65 when occupied due to extended response time - 15 miles, 5 is dirt.</t>
  </si>
  <si>
    <t>Stilson</t>
  </si>
  <si>
    <t>Earl</t>
  </si>
  <si>
    <t>Clay</t>
  </si>
  <si>
    <t xml:space="preserve">1925 updated large dwelling which was an inn, then adult daycare, now insured's primary. Still zoned commercial. </t>
  </si>
  <si>
    <t>Check insurance score. Found online articles saying insured is going to push for rezoning to make this a drug rehab facility. Advised we need to cancel this policy if that happens and r/w to commercial. Suggested Total Business Excl be added.</t>
  </si>
  <si>
    <t>Pluto LLC</t>
  </si>
  <si>
    <t>Tchula</t>
  </si>
  <si>
    <t>1.35/100 rate!</t>
  </si>
  <si>
    <t>Partovy</t>
  </si>
  <si>
    <t>Katherine</t>
  </si>
  <si>
    <t>Vacation rental not in brush.</t>
  </si>
  <si>
    <t>This appears to be within Alison's authority. Asked her about it.</t>
  </si>
  <si>
    <t>Estate of Daniel L Berman</t>
  </si>
  <si>
    <t xml:space="preserve">1995 log home vacant and for sale. Top tier credit. No losses, no alarm. 600 acres leased for hay. That individual watches the house. </t>
  </si>
  <si>
    <t>Add TBE to exclude the leased farming.</t>
  </si>
  <si>
    <t>Agt quoted .70 rate. I increased to $1.00 for vacant and for sale with 20-25 min response time.</t>
  </si>
  <si>
    <t>Saboeiro</t>
  </si>
  <si>
    <t>Greg</t>
  </si>
  <si>
    <t xml:space="preserve">Okatie </t>
  </si>
  <si>
    <t>2000 home in established golf/retirement community w/hydrants. FD is 6.6 miles away, just over 15 min response. Agt quoting w/20% surcharge with central station alarm subjectivity.</t>
  </si>
  <si>
    <t>Comfortable with the rate. This is a good "10" situation and it is for Tim who never asks for exceptions. Map shows 17 min response.</t>
  </si>
  <si>
    <t>Contreras</t>
  </si>
  <si>
    <t>Meliton</t>
  </si>
  <si>
    <t>Montello</t>
  </si>
  <si>
    <t>It is challenging for them to get fire marshal reports to release a quote.  Agreed to provide at time of binding. We can always decline then. Agreed to allow oth str rented to others form for the rental dwelling.</t>
  </si>
  <si>
    <t>Resch</t>
  </si>
  <si>
    <t xml:space="preserve">Brandon    </t>
  </si>
  <si>
    <t>1972 home updated, A ins score. Insd rents stable to others for 2 horses. Stable at property entrance. Horse owners visit property. No GL or farm policy in place. Agt excluding liab and applying TBE and animal exclusion.</t>
  </si>
  <si>
    <t>Also asked for building exclusion and pointed out if liab is excluded they don't have to apply animal liab excl on top of it.</t>
  </si>
  <si>
    <t>Clancy</t>
  </si>
  <si>
    <t>Christian</t>
  </si>
  <si>
    <t>Insd is manager to rapper Tyler the Creator.</t>
  </si>
  <si>
    <t>Tyler is too high profile.  Manager is closely associated.</t>
  </si>
  <si>
    <t>Porec</t>
  </si>
  <si>
    <t>Sherwin</t>
  </si>
  <si>
    <t>Deerfield</t>
  </si>
  <si>
    <t>1956 home updated. K ins score. 3 losses - 1/18 car hit garage $2500; 4/17 hail roof $7732; 2/16 car hit garage $988. $2500 ded applied. Total business excl applied.</t>
  </si>
  <si>
    <t>Considered excluding garage, but losses were small and $2500 ded is quoted. Asked agt to note file to consider excluding garage if there are other losses. Reviewed policy language. Vehicle and equipment stored in garage is not considered excluded under business Cov B.</t>
  </si>
  <si>
    <t>New build with a tenant dwelling on the same property. Prior losses = fire loss/total due to elec malfunction of heat lamp in garage used with their pet gecko. Will get fire marshal report. Also had 12/16 broken copper pipe loss in owned unit and another $4k water loss in tenant unit.</t>
  </si>
  <si>
    <t>Skytt</t>
  </si>
  <si>
    <t>Insured has primary with us. Policy extended liab to a vacant piece of land. Insured started construction of a duplex on that property in November and is just now looking into getting insurance. BR supplement says work will be completed in May. Unknown how much work is left or if we will retain policy.</t>
  </si>
  <si>
    <t>Will we retain? How much work is left? May consider if we will retain even though close to completion.  Apply adequate s/c to make up for missing out on initial building.</t>
  </si>
  <si>
    <t>DP1</t>
  </si>
  <si>
    <t>HO8</t>
  </si>
  <si>
    <t>HO3 Seas/Sec</t>
  </si>
  <si>
    <t>HO3 Seas/Sec w/Rental</t>
  </si>
  <si>
    <t>Darrock</t>
  </si>
  <si>
    <t>Donald &amp; Naomi</t>
  </si>
  <si>
    <t>2003 dwelling w/7/17 bath fan malfunction loss $13,400. Insured owns this as a residential rental in a neighborhood.  The State of AZ has placed 2 handicapped individuals there with 2 caretakers. State of AZ has provided a liability policy. This quote excludes liab and includes Total Business Exclusion.</t>
  </si>
  <si>
    <t>Residential dwelling, insured is not conducting a group home or assisted living. Occupancy is reasonable. No liability.</t>
  </si>
  <si>
    <t>Kinyon</t>
  </si>
  <si>
    <t>Barry &amp; Holly</t>
  </si>
  <si>
    <t>Joseph J</t>
  </si>
  <si>
    <t xml:space="preserve">Cheboygan </t>
  </si>
  <si>
    <t>1964 home with heat, roof, plumb updates. Elec not updated. Insd starting a welding and woodworking business in his detached garage. Smootharc LLC. GL will be obtained. Light foot traffic. Garage exclusion and Total Business exclusion.</t>
  </si>
  <si>
    <t>1956 dwelling gut/update in 2002. Nice online photos. Insured lives across the street. Not in brush. We asked 90265 to be referred case by case.</t>
  </si>
  <si>
    <t>Nice risk, insured is close. Good individual exception.</t>
  </si>
  <si>
    <t>Kressel</t>
  </si>
  <si>
    <t>1981 risk updated in 2018. Remodeling going on. Roof is tile, not updated original 1981. Other systems updated. Insured is a casting director of many programs. No adverse info found.</t>
  </si>
  <si>
    <t>No adverse info found. Roof is eligible within 40 years.</t>
  </si>
  <si>
    <t>Cauden Ltd a BVI Ltd Co.</t>
  </si>
  <si>
    <t>We have written overseas named insured's before. Agt says no adverse info online, couldn't find anything. Will get LLC questionnaire.</t>
  </si>
  <si>
    <t>app has as PC 9, requested PCQ. Advised can consider w/ acceptable PCQ, business exclusion, and animal exclusion. Also claim surcharges//Acceptable PCQ received. Approved subj to exclusions/surcharge</t>
  </si>
  <si>
    <t>Jinhong</t>
  </si>
  <si>
    <t>Li</t>
  </si>
  <si>
    <t>Rental, no brush</t>
  </si>
  <si>
    <t>Reviewed online sources, no photos-per app and online home sold in 10/2017 for $7M. Approved subj to appropriate coverage A being quoted and alarm requirements being met</t>
  </si>
  <si>
    <t>Malibu risk, no brush, 1946 build</t>
  </si>
  <si>
    <t>Approved subj to alarm requirements being met; also acceptable OHQ</t>
  </si>
  <si>
    <t>Rusconi</t>
  </si>
  <si>
    <t>Jenkins</t>
  </si>
  <si>
    <t>Noblesville</t>
  </si>
  <si>
    <t>3 water losses, 2014, 2016, 2017 loss dates (sump pump back up in basement), $5K water ded quoted, $10K backup limit</t>
  </si>
  <si>
    <t>approved as quoted</t>
  </si>
  <si>
    <t>Kory &amp; Sarah</t>
  </si>
  <si>
    <t>Gast</t>
  </si>
  <si>
    <t>Hancock</t>
  </si>
  <si>
    <t>daycare on premises, seeking coverage elsewhere for business exposure</t>
  </si>
  <si>
    <t>subject to TBE and securing business coverage for daycare exposure; reviewed online info and home is licensed for up to 6 children</t>
  </si>
  <si>
    <t>subject to no outdated components in cellar</t>
  </si>
  <si>
    <t>Age of Home: Cellar was built in 1847, but the home's  structural integrity from the ground up was built in 1920 and home renovated fully again in 2008 for roof, 2012 for electric/plumbing &amp; heating 2015.  Masonry construction with no alarms and no losses</t>
  </si>
  <si>
    <t>Girardeau</t>
  </si>
  <si>
    <t>Connell</t>
  </si>
  <si>
    <t>Teresa</t>
  </si>
  <si>
    <t>Strang</t>
  </si>
  <si>
    <t>Charles &amp; Doris</t>
  </si>
  <si>
    <t>2015 home with prior $1.3M fire loss due to chimney fire. Home rebuilt. No current coverage.</t>
  </si>
  <si>
    <t>Need C&amp;O report and run ins score at the time we review. Need to review reason for lapse. Did not ok subj to because of both lapse and prior fire.</t>
  </si>
  <si>
    <t xml:space="preserve">Granite Peak Resorts </t>
  </si>
  <si>
    <t>Yosemite</t>
  </si>
  <si>
    <t>7 units in Yosemite park. Agent says PC6. Experience w/other risks is that there is 30 min response. Probably brush. Letter provided of excellent fire protection and mitigation.</t>
  </si>
  <si>
    <t>Confirm clearance, confirm PC.</t>
  </si>
  <si>
    <t>Age of Home</t>
  </si>
  <si>
    <t>Number of mortgages:  New purchase, insured required  3 private investors for renovations to home</t>
  </si>
  <si>
    <t xml:space="preserve">Arborist Report/Tree issue:  1955 home updated. Approved quote last year pending arborist report. Extensive discussion w/ agent, review of report, photos in file. </t>
  </si>
  <si>
    <t xml:space="preserve">Named Insured out of Country:  Agent wondered if we had an issue with the named insured.  </t>
  </si>
  <si>
    <t>Dreifuss</t>
  </si>
  <si>
    <t>film producer, 2 prior losses on rental property,score E, liab requested, Built in 1937; Frame construction; Full updates in 2009</t>
  </si>
  <si>
    <t>reviewed online info, no concerns with offer liab (confirmed OK with LT), requested info on large 03/2017 claim ($85K) just to be sure no concerns carry over to this application</t>
  </si>
  <si>
    <t>Azar</t>
  </si>
  <si>
    <t>Elias</t>
  </si>
  <si>
    <t>Stevenson Ranch</t>
  </si>
  <si>
    <t>OK with terms as quoted</t>
  </si>
  <si>
    <t xml:space="preserve">1924 dwelling with updates. Home was the feature of a book Dispatches from Pluto. Individuals rent through AirBnB. App notes an event to "launch the house" Online lists horses and centralized hunting headquarters. 20 min response time. No galvanized. WBS are decorative, not used. </t>
  </si>
  <si>
    <t>Suggested event policy for the house launch as business excl may apply. Need WBS quests or permanently seal loading doors.</t>
  </si>
  <si>
    <t>Swanson</t>
  </si>
  <si>
    <t>Lesli</t>
  </si>
  <si>
    <t>Remote cottage $110K TIV. 30-60 response time. $1.00 rate. Additional info provided that actually cottage is inaccessible and an inspector can't even get there. There is also no current coverage.</t>
  </si>
  <si>
    <t>Online info shows the home at this address is 2700 SF. Inaccessible and can't get an inspection, plus the lack of coverage.</t>
  </si>
  <si>
    <t>Discussed pricing with Bethany, don't feel we can price for this exposure.</t>
  </si>
  <si>
    <t>Alecia</t>
  </si>
  <si>
    <t>Bentley</t>
  </si>
  <si>
    <t>Agent quoted on 3/5. New rates 3/7. Bind request 4/10. Will we honor?</t>
  </si>
  <si>
    <t>Jeff ok'd 45 day honor.</t>
  </si>
  <si>
    <t>Verified w/Louisa since this involve using a prior rate.</t>
  </si>
  <si>
    <t>Stanton</t>
  </si>
  <si>
    <t>Mindy</t>
  </si>
  <si>
    <t>Wyoming</t>
  </si>
  <si>
    <t>Daycare on premises.  Has coverage elsewhere for business exposure.  Quoted with Total Business Exclusion and Excluding Liability.  Up to 14 children.</t>
  </si>
  <si>
    <t>Liability excluded, plus TBE to exclude any physical damage exposures from Daycare. Daycare Coml policy in place.</t>
  </si>
  <si>
    <t>Braun</t>
  </si>
  <si>
    <t xml:space="preserve">1990 home w/alarms in med brush zone. </t>
  </si>
  <si>
    <t>Per guidelines, can't write over $3M in brush zones.</t>
  </si>
  <si>
    <t>Faramarz &amp; Dalia</t>
  </si>
  <si>
    <t>Reviewed zip list, 90210 still under the $100M exception we allowed.</t>
  </si>
  <si>
    <t>Glenn &amp; Barbara</t>
  </si>
  <si>
    <t>1880 YOC (per app) unknown if gut/reno since question on Lex app is not answered. Vacation rental that lapsed for non pay 10/17. Also, insd was having landscaping done and a worker fell in a poorly capped well. This is going under WC, not a liab loss. Insd is a divorce attorney - long established in the area. No adverse information. Google shows "Williamson Web Development" at this address.</t>
  </si>
  <si>
    <t>Confirm gut reno. Exclude liab as we don't know if there are other hazards or if this one is fixed. Lapse ok w/15% s/c. Investigate business. No adverse info online. Careless to let insurance lapse, but don't see this as a moral hazard. Has the means to maintain property. Very nice online photos.</t>
  </si>
  <si>
    <t>Guevorkian</t>
  </si>
  <si>
    <t>Emma</t>
  </si>
  <si>
    <t>Risk has had minor damage from 2 wildfires in 2016 and 2017. In extremely low brush (RM) and Negligible-0 (FireLine). Renovated in 2017. Incomplete app.</t>
  </si>
  <si>
    <t>Herried</t>
  </si>
  <si>
    <t>1974 home w/updated heating and roof. 120 acres. No business or farming. Other structures coverage should be excluded per app.</t>
  </si>
  <si>
    <t>Insured is 71 years old, less concerned about hunting use, but asked John to confirm. No other structures requested.</t>
  </si>
  <si>
    <t>Leigh</t>
  </si>
  <si>
    <t>Todd</t>
  </si>
  <si>
    <t>1483 N Easterly Terrace</t>
  </si>
  <si>
    <t>Home is partially cantilevered at the back.</t>
  </si>
  <si>
    <t>New Port</t>
  </si>
  <si>
    <t>2 water losses; have since installed flow alarm and shut off</t>
  </si>
  <si>
    <t>mitigators in place, AOP is $5K</t>
  </si>
  <si>
    <t>photos OK, approved subject to TIV Alarm requirements being met</t>
  </si>
  <si>
    <t>HV, vacant, 2018 build, no brush</t>
  </si>
  <si>
    <t>Tustin</t>
  </si>
  <si>
    <t>7 Oceanfront Lane</t>
  </si>
  <si>
    <t>Moritz</t>
  </si>
  <si>
    <t>Primary home, within 100 feet of brush</t>
  </si>
  <si>
    <t>Declined due to proximity to brush</t>
  </si>
  <si>
    <t>Rottman</t>
  </si>
  <si>
    <t>Darrel &amp; Patricia</t>
  </si>
  <si>
    <t>Rockland</t>
  </si>
  <si>
    <t>05/24/2017 $282,000 fire claim; applicant cigarette in bed; oxygen tank also in home</t>
  </si>
  <si>
    <t>Declined to due to negligence of applicant regarding large claim from prior year</t>
  </si>
  <si>
    <t>Dean</t>
  </si>
  <si>
    <t xml:space="preserve">Home built in 1880s, home has been completely renovated;$25k option NAMED STORM 3% WATER DAMAGE AOP $25,000 V&amp;MM </t>
  </si>
  <si>
    <t>reminded of TIV limits; home has ornate features according to online review so requested 10% surcharge (we are lower than next lowest quote)</t>
  </si>
  <si>
    <t>Raynie</t>
  </si>
  <si>
    <t>Edward</t>
  </si>
  <si>
    <t xml:space="preserve">Green Creek </t>
  </si>
  <si>
    <t xml:space="preserve">Builders risk on dwelling that is in very poor condition. New roof put on. Siding very poor condition. </t>
  </si>
  <si>
    <t>Provided copy of the email to Ray.</t>
  </si>
  <si>
    <t>Asked additional questions as I couldn't find any online entries. 1965 risk built by licensed contractor and engineer.  Approved subj to rush inspection to confirm stability and acceptable railings.</t>
  </si>
  <si>
    <t>Asked for more fire and loss detail. PC confirmation. Roof update. Surcharge will apply as there have been 2 wildfire losses. Complete app. Considering since both fire reports show very low exposure. Reviewed w/Louisa. Low payout. Brush exposure negligible. We are getting extra 10% surcharge plus the 2 loss surcharges. Agreed to terms with increase ded from $2500 to $5000.</t>
  </si>
  <si>
    <t xml:space="preserve">OK with exclusions IF there is 30' clearance on all sides. Online photos show a close neighborhood. Also need garage on separate breaker/circuit. 1964 home no updates, don't want this drawing off/taxing/overloading the house circuits. Also require GL to be maintained. // Received information that the clearance on 2 sides is more like 20 feet. Considered adjusting our terms to exclude liability, but honestly feel we need 30 feet. This is a residential neighborhood.  If something happens we could be looking at a very large defense cost. Determined declination was the best option. </t>
  </si>
  <si>
    <t>Aaron</t>
  </si>
  <si>
    <t>Edward &amp; Mindy</t>
  </si>
  <si>
    <t>Cherry Hills Village</t>
  </si>
  <si>
    <t>and 2 losses, water leak detection, central alarms, loss 1: pool house Pipes replaced-12/2016; loss 2: basement sump pump back up-05/17 (water back up not included). Jewelry schedule over $100,000</t>
  </si>
  <si>
    <t>No water backup, confirmed unable to do schedule</t>
  </si>
  <si>
    <t>Schofner</t>
  </si>
  <si>
    <t>Linda</t>
  </si>
  <si>
    <t>Grandview</t>
  </si>
  <si>
    <t>Lapse since 01/2018, no central heat, 2007 build, log construction, supplemental heat source used</t>
  </si>
  <si>
    <t>Ahart</t>
  </si>
  <si>
    <t>Ted</t>
  </si>
  <si>
    <t>1950 build, no losses, primary home; match rates quote from Hull, but they have FRC instead of ACV as quoted by Burns; wants FRC</t>
  </si>
  <si>
    <t>advised OK to match at FRC as long as partial updates have been completed</t>
  </si>
  <si>
    <t>100-200 feet from brush</t>
  </si>
  <si>
    <t>Colquhon</t>
  </si>
  <si>
    <t>Riley</t>
  </si>
  <si>
    <t>Anthony</t>
  </si>
  <si>
    <t>All necessary repairs have been made; photos submitted as confirmation</t>
  </si>
  <si>
    <t>Priola</t>
  </si>
  <si>
    <t>Barrington Hills</t>
  </si>
  <si>
    <t>Insured will be using barn as primary home, former home as other structure (not rented)</t>
  </si>
  <si>
    <t>Photos OK, barn has central heat, plumbing, electric</t>
  </si>
  <si>
    <t>Granelli</t>
  </si>
  <si>
    <t>Policy RUA19821-open large water loss</t>
  </si>
  <si>
    <t xml:space="preserve">$10,000 Water Damage Deductible and surcharged the premium an additional 25% as suggested by agt  </t>
  </si>
  <si>
    <t>Sheila</t>
  </si>
  <si>
    <t>10/23 wind loss, 01/08/2018 water loss (busted pipe)</t>
  </si>
  <si>
    <t>suggested discussion how to winterize home (prior loss for bust pipes, insured didn't know how to deal with cold weather)</t>
  </si>
  <si>
    <t>Papritz</t>
  </si>
  <si>
    <t>Saundra</t>
  </si>
  <si>
    <t>2 loss in last 4 years-10/2014-water damage, 01/07/2018-jewelry and cameras stolen</t>
  </si>
  <si>
    <t>Water ded and all perils ded at least $5K</t>
  </si>
  <si>
    <t>Edward &amp; Virginia</t>
  </si>
  <si>
    <t>Nice home with minor reno. 1860 home was completely renovated in 2016. Agent looking for .60 rate. Currently at about .73</t>
  </si>
  <si>
    <t>Reviewed w/Louisa. We agreed to go to a .68 rate premium of $12,715. That's $1,000 credit. 15% on the non-CQ rate. // Agt re-rated without EQ and offered rate per the rater with no credit.</t>
  </si>
  <si>
    <t>Ranadrea &amp; Jeremiah Moore</t>
  </si>
  <si>
    <t xml:space="preserve">Insured filed bankruptcy 3 years ago and then withdrew it, per agt. </t>
  </si>
  <si>
    <t>555,565, bankruptcy showing from 8/2014</t>
  </si>
  <si>
    <t>Got info and ran scores. Advised agent we could not write.</t>
  </si>
  <si>
    <t>Grayden</t>
  </si>
  <si>
    <t>Sprague</t>
  </si>
  <si>
    <t>1987 with roof update, C/S alarms, no brush, score A, actress</t>
  </si>
  <si>
    <t>reviewed online sources for NI and spouse; some recent work, but smaller. No concerns noted. Confirmed with LT OK to offer liability</t>
  </si>
  <si>
    <t>RM, PCQ, photos, premium acceptable</t>
  </si>
  <si>
    <t>Attached is a primary home located in IL. Home was built in 1975 with roof update 2008, heating update 2008, PC 10; D score</t>
  </si>
  <si>
    <t>Andy &amp; Gail</t>
  </si>
  <si>
    <t>Pitts</t>
  </si>
  <si>
    <t>Levy</t>
  </si>
  <si>
    <t>Solomon</t>
  </si>
  <si>
    <t>No brush, photos great</t>
  </si>
  <si>
    <t>Submitting for exception in Malibu</t>
  </si>
  <si>
    <t>minimum $2500 AOP deductible for loss history, ACV roof endorsement; $5000-$10K water damage deductible</t>
  </si>
  <si>
    <t>Coverage A $200,000 Protection class 4, 100 Amp, Natural Gas; 3 weather claims in last 3 years, 5 in last 7</t>
  </si>
  <si>
    <t>Thelma</t>
  </si>
  <si>
    <t>Dohm</t>
  </si>
  <si>
    <t>Cruse</t>
  </si>
  <si>
    <t>Toby</t>
  </si>
  <si>
    <t>Silverthorne</t>
  </si>
  <si>
    <t>Insured purchased in 12/2017 but failed to get insurance (too busy with work). Written through top agency, surcharged 10%, will do interior inspection and no loss letter</t>
  </si>
  <si>
    <t>Approved as quoted</t>
  </si>
  <si>
    <t>Approved w/ water exclusion//discussed further w/ agent, agreed with $20K water ded</t>
  </si>
  <si>
    <t>1966 build, 3 water claims in 4 years (all repaired 08/2017-$36K-leak; 10/01/2015-$10K; 05/18/2014-$5k (frozen pipe)</t>
  </si>
  <si>
    <t>St. Clairesville</t>
  </si>
  <si>
    <t>Harlan &amp; Rosemarie</t>
  </si>
  <si>
    <t>Lulti</t>
  </si>
  <si>
    <t>Merti</t>
  </si>
  <si>
    <t>Attached is a builders risk property located in CA. Home was built in 2018 it is ground up construction, currently approx. 75% complete; RM not pulling new address, rest of city not in brush</t>
  </si>
  <si>
    <t>advised that as long as entire city not in brush; then comfortable with no brush rating. But if any area has, then need to rate as brush</t>
  </si>
  <si>
    <t>Dibenedetto</t>
  </si>
  <si>
    <t>Diego</t>
  </si>
  <si>
    <t>PC 3, 1987, no updates - roof is tile. Looking to approve S/T no losses, inspection. This is a K. CS alarms present.</t>
  </si>
  <si>
    <t>In brush, reminded agt of TIV limit in brush.</t>
  </si>
  <si>
    <t>Keel</t>
  </si>
  <si>
    <t>Ann</t>
  </si>
  <si>
    <t>Midland</t>
  </si>
  <si>
    <t>3 losses-water 2015, fire (lightning) 2017-still open, 12/14/17-water leak</t>
  </si>
  <si>
    <t>frequency/open losses</t>
  </si>
  <si>
    <t>Dallas</t>
  </si>
  <si>
    <t>Cooper City</t>
  </si>
  <si>
    <t xml:space="preserve">Reviewed with LT. Agreed OK to offer w/ liab. </t>
  </si>
  <si>
    <t>Lucas</t>
  </si>
  <si>
    <t>Davide &amp; Helena</t>
  </si>
  <si>
    <t>Malibu risk, no brush</t>
  </si>
  <si>
    <t xml:space="preserve">Approved to quote. </t>
  </si>
  <si>
    <t>Advised something to consider; questioned if applicant did conversion, or purchased as is? Requested confirmation of plumbing, heating, and electric in structure</t>
  </si>
  <si>
    <t>Originally built as warehouse; converted to private residence and garage</t>
  </si>
  <si>
    <t>Knoxville</t>
  </si>
  <si>
    <t>Beeler</t>
  </si>
  <si>
    <t>Kelly &amp; Patsy</t>
  </si>
  <si>
    <t>Hayes</t>
  </si>
  <si>
    <t>Split Pc, 1981 build, no losses</t>
  </si>
  <si>
    <t>RM,photos, etc, OK</t>
  </si>
  <si>
    <t>the amount and variety of business that takes place on this property (petting zoos, riding lessons, summer camps, private events, cheese/soap making, camping expeditions, tours, etc.) that could lead to issues at the property.</t>
  </si>
  <si>
    <t>PC 9, primary, insured operates petting zoo/pony ride  business (gilchrist farm). Has GL policy in place, but residence is on same prop, NR by allstate 04/30, 1954 build</t>
  </si>
  <si>
    <t>Saugus</t>
  </si>
  <si>
    <t>Lawrence &amp; Dwanna</t>
  </si>
  <si>
    <t>Lousberg</t>
  </si>
  <si>
    <t>Angela</t>
  </si>
  <si>
    <t>primary home located in OK. Home was built in 2006, roof was fully updated in 2017. PC2. lady who owns a high value house who was recently divorced. Her ex husband called her agency and intimidated the CSR into adding him as a named insured to the policy. He even got them to backdate it to inception.After addition, he started calling in fraudulent liab/and property claims. Most have been closed, but a lot still open. Chubb NR due to claims</t>
  </si>
  <si>
    <t>Advised that given circumstances of tension surrounding property/open claims, not eligible at this time</t>
  </si>
  <si>
    <t>photos, app, review OK. Advised to be sure alarm requirements are met.</t>
  </si>
  <si>
    <t>Attached is a primary home located in CA not in brush. Home was built in 2003 of frame construction. PC1, with 1 loss- theft-$5k</t>
  </si>
  <si>
    <t>Ramin</t>
  </si>
  <si>
    <t>Soleymani</t>
  </si>
  <si>
    <t>Shreve</t>
  </si>
  <si>
    <t>John &amp; Johnna</t>
  </si>
  <si>
    <t>Romney</t>
  </si>
  <si>
    <t>Protection Class 9, PCQ attached, prior loss-fire loss at prior property. Fire report confirms was from a faulty extension cord.</t>
  </si>
  <si>
    <t>Suggested alarms in home</t>
  </si>
  <si>
    <t>Beauchamp</t>
  </si>
  <si>
    <t>Strawberry</t>
  </si>
  <si>
    <t xml:space="preserve">Open theft claim from 01/24/2018, almost closed; currently $1200 paid. </t>
  </si>
  <si>
    <t>Advised that can move forward with list from insured that was sent to current carrier with contents that were claimed in loss</t>
  </si>
  <si>
    <t>Green Benson</t>
  </si>
  <si>
    <t>Kirsten</t>
  </si>
  <si>
    <t>O'Fallon</t>
  </si>
  <si>
    <t>Advised Ok to offer terms with TBE; advised that this doesn’t qualify for home business program (they also had included the HBB supp).</t>
  </si>
  <si>
    <t>Questioned use of property: Tenant occupied; but referral says insured runs a training program from the location</t>
  </si>
  <si>
    <t>Minilak LLC</t>
  </si>
  <si>
    <t>Garden Glade LLC</t>
  </si>
  <si>
    <t>Lithonia</t>
  </si>
  <si>
    <t>Brandon Marshall, wide receiver for the New York Giants, recent free agent, is purchasing this condo for one of his family members to live in. The condo is going to be in the name of an LLC for tax purposes and we will get a completed LLC questionnaire prior to binding</t>
  </si>
  <si>
    <t>Approval to release as quoted, no concerns w. online review for a DP risk.</t>
  </si>
  <si>
    <t>Requested confirmation of use prior to release since appears it is only him and his wife; so may be in Baltimore a lot.</t>
  </si>
  <si>
    <t>defensive back for Baltimore Ravens</t>
  </si>
  <si>
    <t>Peachtree City</t>
  </si>
  <si>
    <t>Boykin</t>
  </si>
  <si>
    <t>W Sidney</t>
  </si>
  <si>
    <t>open liab loss-involving their PUL-2016-Son DUI on ATV, caused death. Son no longer in house.</t>
  </si>
  <si>
    <t>Primary home only, no PUL</t>
  </si>
  <si>
    <t>Approval with acceptable fire report and burglar alarm installation. Also requested fire alarm to be suggested</t>
  </si>
  <si>
    <t>Vacant property, not currently for sale but will likely do so. $800K in contents. Prior losses: water and fire (cooking)0. Quoted with $25K AOP ded. , $13,900 premium</t>
  </si>
  <si>
    <t>Miriam</t>
  </si>
  <si>
    <t>Grynberg</t>
  </si>
  <si>
    <t>Thorsen</t>
  </si>
  <si>
    <t>Sharron &amp; Robert</t>
  </si>
  <si>
    <t>Vacant property, for sale so home still staged with property; CSFB alarms, gated community</t>
  </si>
  <si>
    <t>approval to offer as quoted with the exclusions in place. If there are any farming structures for the ranch, be sure to exclude those as well.</t>
  </si>
  <si>
    <t>horse riding on ranch; GL liability in place for exposure, quoted with TBE and animal exclusion</t>
  </si>
  <si>
    <t>Goetz</t>
  </si>
  <si>
    <t>Alexander</t>
  </si>
  <si>
    <t>Frank &amp; Melanie</t>
  </si>
  <si>
    <t>Brian Head</t>
  </si>
  <si>
    <t>Home was built in 1970 of frame construction with no updates. PC10, with no losses; no electricity, propane tank/generator used when in home (seasonal), woodstove also used, 6.5 miles from FD (14 Drive time).</t>
  </si>
  <si>
    <t>Too many factors for concern of fire loss (home also not accessible year round)</t>
  </si>
  <si>
    <t>Christopher &amp; Jessica</t>
  </si>
  <si>
    <t>1989 dwelling, updated, alarms. Qualified for 10 part time children/typically 5 attend in in home daycare. Farmers CGL for daycare. New purchase (prev rented from parents.) Incomplete app uw questions.</t>
  </si>
  <si>
    <t xml:space="preserve">As quoted TBE, Animal Excl. Get app completed. </t>
  </si>
  <si>
    <t>Crite</t>
  </si>
  <si>
    <t>Greensboro</t>
  </si>
  <si>
    <t>Has a cheaper quote from Lex and wants us to match. 1952 home with 5 prior claims.  Had tenants in there, now owner occ. Not all claims could be attributed to tenant. They are home maintenance and others.</t>
  </si>
  <si>
    <t>Advised $5k AOP, no credit and charge for all losses.</t>
  </si>
  <si>
    <t>Welch</t>
  </si>
  <si>
    <t>St. Peters</t>
  </si>
  <si>
    <t>Bankruptcy.  Insd has 2 prior losses and a bankruptcy, Chapter 13, due to hospitalization.  Went to court 1/10/18, in payoff for 5 years.</t>
  </si>
  <si>
    <t>Concern with active bankruptcy.</t>
  </si>
  <si>
    <t>Knauer</t>
  </si>
  <si>
    <t>Location.  Risk is in Malibu, we have that zip restricted for submission only. Risk was approved last November.</t>
  </si>
  <si>
    <t xml:space="preserve"> Khashoggi</t>
  </si>
  <si>
    <t>Layla &amp; Essam</t>
  </si>
  <si>
    <t>Devito</t>
  </si>
  <si>
    <t>1900 dwelling updated in 2012. Online photos ok w/many large outbuildings. $32K Cov B. Insd bought home from 90 year old man who is living in a mobile home on the property w/a life lease. Children will remove trailer when insd passes.</t>
  </si>
  <si>
    <t>Ok with building exclusion for the mobile home as this will exclude phys dmg and liability.  Need to evaluate Cov B - lots of structures. Exclude or increase covg.</t>
  </si>
  <si>
    <t>Patterson LA risk</t>
  </si>
  <si>
    <t xml:space="preserve">Dwelling and guest house on same property. Mom lives in guest house rent free. </t>
  </si>
  <si>
    <t>Write on HO-3. No HO-4 needed for mom. Confirm there are railings on the guest house deck.</t>
  </si>
  <si>
    <t>Lappen</t>
  </si>
  <si>
    <t>Malibu is restricted - good quality risks only. Alison confirms this is nice home. Online looks okay.  Not in brush but she is applying some brush s/c anyway.</t>
  </si>
  <si>
    <t>Insured has a dwelling, hobby farm and crane business on this property. His workers stay in the dwelling. Can this go on a DP-3?</t>
  </si>
  <si>
    <t>This is a commercial exposure. This isn't residential rental, it's housing for workers and the businesses are on the same property.</t>
  </si>
  <si>
    <t>Barr</t>
  </si>
  <si>
    <t>Harry</t>
  </si>
  <si>
    <t>Not in brush, PC1. No concerns with the risk.</t>
  </si>
  <si>
    <t>Ground up builders risk. Demolition has been completed. Expected to be done 10/2018.</t>
  </si>
  <si>
    <t>Irle Family Trust</t>
  </si>
  <si>
    <t>Hartford</t>
  </si>
  <si>
    <t>Vacant dwelling in PC10, not accessible year round. $.92 rate. 2 prior losses on other rental properties (electrical fire $9,374 and wind $0). 2 burst HWT pipe losses at this dwelling. Quoted w/water damage exclusion.</t>
  </si>
  <si>
    <t>Robert &amp; Monica</t>
  </si>
  <si>
    <t>Shingles Springs</t>
  </si>
  <si>
    <t>In brush, PC10. No concerns with the risk</t>
  </si>
  <si>
    <t>No concerns. Ground up construction.</t>
  </si>
  <si>
    <t>Vacant since purchased in 2014. No prior coverage at all; no losses. 1962 home w/no updates. Online photos look nice and show 85 renovation, but this is not stated.  Getting insurance not in anticipation of pre-construction activity and inspection.</t>
  </si>
  <si>
    <t>Good risk for Malibu exception.  // Alison replied the next day that Malibu was the mailing. Turns out it's really in Pacific Palisades.</t>
  </si>
  <si>
    <t>John Stiegler Trust</t>
  </si>
  <si>
    <t xml:space="preserve">Not in brush. Very nice Malibu risk. Found online reference to a surfing business at this address with pics of customers on the home deck w/their boards. </t>
  </si>
  <si>
    <t>Loubet</t>
  </si>
  <si>
    <t>No issues</t>
  </si>
  <si>
    <t>Hazard excluded.  Good rate for the exposure.</t>
  </si>
  <si>
    <t>Advised Jill  this is within their authority to bind based on new criteria we implemented. Gave them a break on logging the error.</t>
  </si>
  <si>
    <t>Advised Jeff this is within their authority to bind based on new criteria we implemented.  Gave them a break on logging the error.</t>
  </si>
  <si>
    <t>Not in brush.  1991 home being rented back to sellers for one month and then undergoing renovation for primary occupancy.  Nice online photos.</t>
  </si>
  <si>
    <t>Vacant/For sale: 2 losses-02/17 theft ($0-thought had to pay for tenants property), 07/2016 smoke from nearby fire; two losses at other locations (property since sold)</t>
  </si>
  <si>
    <t xml:space="preserve">2005 dwelling w/burglar alarm. Not in brush. Writing as vacant but will be tenant occupied soon. Very nice online photos. </t>
  </si>
  <si>
    <t>Declined due to multiple concerns (non-renewal led to lapse, cold climate with supp heat in a log home)</t>
  </si>
  <si>
    <t>AIG nonrenewal due to $218,000 liab claim (landscaping encroached onto neighbors property);  100-200 feet from brush per RM</t>
  </si>
  <si>
    <t>Short term rental; 2 prior liability claims (occurred one day apart), issue was an open outlet hole;has since been remedied</t>
  </si>
  <si>
    <t>Home was built in 2003 of stucco construction, c/s fire alarm only; applicant is professional football player (Currently free agent)</t>
  </si>
  <si>
    <t>1979 build with updates, no losses, applicant is counselor with business in outbuilding, approx 100 visitors a month. They quoted with the total business exclusion and an other structure exclusion</t>
  </si>
  <si>
    <t>Insured runs a training program for dogs to locate explosive odor. It's not explosive material, just a smell. Program regulated by ATF and property inspected and cleared for safety. Quoted with Total Business Exclusion</t>
  </si>
  <si>
    <t>Delrahim</t>
  </si>
  <si>
    <t>Vahid David</t>
  </si>
  <si>
    <t>Owned by insured's company, Ventura Oil. Concerning online articles.</t>
  </si>
  <si>
    <t>See email</t>
  </si>
  <si>
    <t>Pearring</t>
  </si>
  <si>
    <t>Jerry</t>
  </si>
  <si>
    <t xml:space="preserve">Insured's dog got loose and attacked a small dog who was being walked by a woman who fell and hurt her knee. $70K open reserves. Dog is a Husky mix, now kept in back yard.  </t>
  </si>
  <si>
    <t>Since this is not a bite, we may not have the protection of the exclusions of the Limited Animal Liab form. Approved with the Animal exclusion.</t>
  </si>
  <si>
    <t>Graves</t>
  </si>
  <si>
    <t>Joseph Eugene</t>
  </si>
  <si>
    <t>1943 dwelling w/updated occupied by an tenant/employee of a Metal Working business on the premises which is run by the insured.  Branch pushing back on Rachel's decline trying to get this whole risk insured commercially.</t>
  </si>
  <si>
    <t>Agree with Rachel's decline.  This should be written on a commercial policy.</t>
  </si>
  <si>
    <t>Asked numerous business questions.  If all clears could offer terms x-liability, Total Business Exclusion, require GL.// Turns out this is the father's property and the son USED TO hold surfing training there. That is no longer the case - he teaches at Trancas per retailer/insured.  I approved subj to the TBE since there is/was a website with the insured's address.</t>
  </si>
  <si>
    <t>Very nice risk.  We have in writing that the lessons are not at this property.  TBE is a precaution.</t>
  </si>
  <si>
    <t>Maralian</t>
  </si>
  <si>
    <t>Vahe</t>
  </si>
  <si>
    <t>acceptable for approval</t>
  </si>
  <si>
    <t>The property is accessible year round and is 6.3 miles to fire station, 10 minute response time.</t>
  </si>
  <si>
    <t>Carla</t>
  </si>
  <si>
    <t>Hager</t>
  </si>
  <si>
    <t>Breeze</t>
  </si>
  <si>
    <t>Approved only if secure GL, and apply TBE and animal exclusion</t>
  </si>
  <si>
    <t>1955 build, system updates 2010; will get COC and GC confirmation at bind, no brush, CSFB alarms, insured renovating then selling</t>
  </si>
  <si>
    <t xml:space="preserve">Reminded of $5M TIV. </t>
  </si>
  <si>
    <t>Sader</t>
  </si>
  <si>
    <t>Roca</t>
  </si>
  <si>
    <t>No liability; exposure too large, even with exclusions in place</t>
  </si>
  <si>
    <t>Note: also several negative online reviews of business practices for kennel</t>
  </si>
  <si>
    <t>Petoskey</t>
  </si>
  <si>
    <t>No PUL coverage</t>
  </si>
  <si>
    <t xml:space="preserve">tenant occupied duplex is in Malibu where we are over our zip code cap. It is across the street from the water front and out of the Brushfire Zone but in the Renie zone showing 1800’ to brush. I added a 20% debit for the zip code in addition to the brush load. </t>
  </si>
  <si>
    <t>Anton</t>
  </si>
  <si>
    <t>Klimov</t>
  </si>
  <si>
    <t>Tague</t>
  </si>
  <si>
    <t>Historic registry; renovations</t>
  </si>
  <si>
    <t>MFRC only, home is not super ornate, but def some unique qualities per online review. Also contingent to no tours</t>
  </si>
  <si>
    <t>Mcdaniel</t>
  </si>
  <si>
    <t>Gerald</t>
  </si>
  <si>
    <t>reviewed FD online to confirm response times/miles, agreed best to exclude TBE as insured daughter helps with business at another business location</t>
  </si>
  <si>
    <t>. Agent noted a business exposure - the insured will be working from his home and may have a client come by his home office on rare occasions but majority of his work is all done via telephone, email, etc with in state/out of state clients. His daughter in Co Springs takes care of all new client intake &amp; most servicing. He currently doesn't have his own premises liability policy for his business since his exposure is very minimal but wants to make sure gaps are addressed</t>
  </si>
  <si>
    <t>require no loss and 5-10% surcharge for the lapse; report was very clear no contamination concerns</t>
  </si>
  <si>
    <t>Renovation quote, originally submitted in October; had to do meth remediation from prior owners at some point.  Provided confirmation of remediation services</t>
  </si>
  <si>
    <t>Jeremy</t>
  </si>
  <si>
    <t>Porto</t>
  </si>
  <si>
    <t>Zdenek</t>
  </si>
  <si>
    <t>Tamara &amp; Marilee</t>
  </si>
  <si>
    <t>COC, insured living in home, so will need to include additional endorsements (including mold and water back-up), included In VMA premium</t>
  </si>
  <si>
    <t>OK with exposure as quoted</t>
  </si>
  <si>
    <t>Hallin</t>
  </si>
  <si>
    <t>Brush, $5K ded, 2007 build, no alarms</t>
  </si>
  <si>
    <t>acceptable PCQ,</t>
  </si>
  <si>
    <t>Kiner</t>
  </si>
  <si>
    <t>Seth &amp; Caren</t>
  </si>
  <si>
    <t>NR due to prior loss-$456,000 water claim in 2015 (insured out of town), completely gutted and rebuilt, no issues since then, home office that has GL policy (no customers), including surcharge for loss</t>
  </si>
  <si>
    <t>subj to $10K water deductible</t>
  </si>
  <si>
    <t>Aubrey</t>
  </si>
  <si>
    <t>Solana Beach</t>
  </si>
  <si>
    <t>retired baseball player, wants liability, NR by Chubb for losses to prior home. Current home 2018 build, CSFB,</t>
  </si>
  <si>
    <t>x-liab. Reviewed online sources and still very visible in public eye</t>
  </si>
  <si>
    <t>appropriate exclusions in place</t>
  </si>
  <si>
    <t>greenhouse on property, no marijuana, TBE applied, GL in place</t>
  </si>
  <si>
    <t>Harrodsburg</t>
  </si>
  <si>
    <t>Libre</t>
  </si>
  <si>
    <t>Malibu risk, in brush</t>
  </si>
  <si>
    <t>declined due to brush</t>
  </si>
  <si>
    <t>Gitlin</t>
  </si>
  <si>
    <t>Mimi</t>
  </si>
  <si>
    <t>Primary home in CA not in brush, PC1, built in 1954, with partial updates to wiring/ heating plumbing in 2004 and full roof update in 2016, FRC dwelling settlement; Insured is a movie producer. GAIA Entertainment, Inc</t>
  </si>
  <si>
    <t xml:space="preserve">No adverse info found. </t>
  </si>
  <si>
    <t>Adverse info found (including recent lawsuit due to issues at his home and recent foreclosure)</t>
  </si>
  <si>
    <t>Attached is a primary home property located in AZ. Home was built in 2005- no losses; issue in 2007 (accident) but none since then. Retired NFL player</t>
  </si>
  <si>
    <t>Briggs</t>
  </si>
  <si>
    <t>approval to offer terms on this risk. However, due the response time, inaccessibility, and original wiring, please surcharge the VMGA premium by at least 30%.</t>
  </si>
  <si>
    <t>me construction, secondary, no  losses, c/s alarms, built in 1975 - roof was fully updated in 2013 and partial update on the plumbing in 2013, located in UT. 21 min response time, alarms in home, no losses</t>
  </si>
  <si>
    <t>Lehi</t>
  </si>
  <si>
    <t>Billeter-Young</t>
  </si>
  <si>
    <t>Temby</t>
  </si>
  <si>
    <t>Spencer</t>
  </si>
  <si>
    <t>Comm zoned property, converted for residential use. Includes 800 sq feet attached space that could be rented, but wife plans to use at this point</t>
  </si>
  <si>
    <t>approval to offer terms on this risk. However, please include the total business exclusion.</t>
  </si>
  <si>
    <t>Advised need to wait until claim is closed. If repairs already completed, advised to provide status and can further consider// update: repairs not done. Advised unable to offer terms at this time</t>
  </si>
  <si>
    <t>NR for claims (08/0160wind, 01/2018-frozen pipes still open)</t>
  </si>
  <si>
    <t>Clifford &amp; Jean</t>
  </si>
  <si>
    <t>Douglas</t>
  </si>
  <si>
    <t>1,250,00</t>
  </si>
  <si>
    <t>1868 build year, updates to home. Doesn't appear to be complete rebuild</t>
  </si>
  <si>
    <t>For a home with a build date prior to 1900, we would require a complete gut/rebuild. While there may have been updates to the home, it doesn’t appear it was completely gutted down to the studs. If it actually was completely redone, please provide additional specific information.</t>
  </si>
  <si>
    <t>Home has been gutted/rebuilt</t>
  </si>
  <si>
    <t>1900 build year, gutted/rebuilt</t>
  </si>
  <si>
    <t>Kathy</t>
  </si>
  <si>
    <t>Sanders</t>
  </si>
  <si>
    <t>Celtic Build LLC</t>
  </si>
  <si>
    <t>the dwelling is rented to long term tenants and the garage is rented to a painter who does not live there but uses the structures as his workshop. There is no foot traffic, but he does store some paintings and materials in the garage. No more than $10,000 worth of material. We have added a total business exclusion.</t>
  </si>
  <si>
    <t>TBE included, since tenant occupied Ok with comm exposure, acceptable RM and PCQ obtained</t>
  </si>
  <si>
    <t>Not comfortable approving w/subjectivities until we find out if it will be demolition, or gut/reno.  If demolition, we will decline. If gut/reno, we can approve subj to confirmation of at least average condition-proof by photo, no knob&amp;tube or aluminum wiring (as this would be a hazard while they wait to reno in 6 months.) // 5/14/18 This will be a gut/reno. No knob&amp;tube.</t>
  </si>
  <si>
    <t>Originally approved.  Then got info on 5/15/ that there are roof leaks. The insd boyfriend is the GC.  However, applying roof exclusion and that will be one of the first things fixed.</t>
  </si>
  <si>
    <t>Kirsten and I discussed.  Ultimately a good risk.</t>
  </si>
  <si>
    <t>Shaprio</t>
  </si>
  <si>
    <t>No brush, photos, online review OK</t>
  </si>
  <si>
    <t>approved with acceptable LLC questionnaire,  confirmed no student housing or commercial use</t>
  </si>
  <si>
    <t>Dov Kreisworth</t>
  </si>
  <si>
    <t>Keren Hachesed Student Aid Fund</t>
  </si>
  <si>
    <t>DGML Real Estate LLC</t>
  </si>
  <si>
    <t>Foster</t>
  </si>
  <si>
    <t>6 prior losses (4 on same date to various rentals, only 1 on current secondary home)</t>
  </si>
  <si>
    <t>Agreed OK but claims must be surcharged (agreed to 4 as max per rater).</t>
  </si>
  <si>
    <t>Shoumer</t>
  </si>
  <si>
    <t>Hersel &amp; Neda</t>
  </si>
  <si>
    <t>PC9, frame, primary, built in 1983/roof updated, located in CO</t>
  </si>
  <si>
    <t>Walko</t>
  </si>
  <si>
    <t>Aspen Mountain Retreat LLC</t>
  </si>
  <si>
    <t>PC6, frame, built in 1974 (roof updated in 2010, wiring, plumbing, heating - 1985), no losses, located in CO, Castle inspection included</t>
  </si>
  <si>
    <t>Hierarchy Gardens LLC</t>
  </si>
  <si>
    <t>Orrington</t>
  </si>
  <si>
    <t>Dwelling with a cannabis farm on premises.  Business is insured commercially.  Agent looking for coverage for main owner occupied house.  Cov B of $180,000 is for 2 greenhouses used for the cannabis farm.</t>
  </si>
  <si>
    <t>Currently not entertaining risks with cannabis operations on premises.  Still federally illegal. Increased fire, theft, phys dmg exposure.</t>
  </si>
  <si>
    <t>Eivich</t>
  </si>
  <si>
    <t>Mantua</t>
  </si>
  <si>
    <t>Attach the roof exclusion but indicate on the dec that it applies to the garage roof only. // With updated info about the business rental, the risk was declined. Advised a commercial policy is more appropriate.// Agent emailed. They have in writing that the insured will not rent out to any businesses.  The garage will only be used by the tenants.</t>
  </si>
  <si>
    <t>Carter</t>
  </si>
  <si>
    <t>Michael &amp; Megan</t>
  </si>
  <si>
    <t>Cota De Caza</t>
  </si>
  <si>
    <t>Risk is in a brush zone and over our $3M TIV limit, but it is a small area of brush a not the edge of the community per the agent.</t>
  </si>
  <si>
    <t>Still in a brush zone and surrounded by high brush per the RiskMeter</t>
  </si>
  <si>
    <t>Thone</t>
  </si>
  <si>
    <t>Robby &amp; Bridgette</t>
  </si>
  <si>
    <t>Dwelling in Malibu not in brush. No alarm, flat roof. Agent applied $10KAOP deductible.</t>
  </si>
  <si>
    <t xml:space="preserve">Matt   </t>
  </si>
  <si>
    <t>Letitia Uptown</t>
  </si>
  <si>
    <t>Reapproval that does not appear to have been logged before.  Vacant AZ home, 1989 no alarms. 300 acres leased for grazing, GL in place.  X-liability.  Vacant since 2003, management co checks on home monthly., nephew stays in home one weekend a year. Elec is off but will be on soon.</t>
  </si>
  <si>
    <t xml:space="preserve">Approved subj to utilities being on and signed no loss.  </t>
  </si>
  <si>
    <t>Nice home just east of PCH</t>
  </si>
  <si>
    <t xml:space="preserve">Jeff  </t>
  </si>
  <si>
    <t xml:space="preserve">Rhoads </t>
  </si>
  <si>
    <t>1960 dwelling w/updates to heat and roof. Not in brush. Tenant runs an 8 child daycare. Agt quoted with TBE.</t>
  </si>
  <si>
    <t>Completed app, TBE, require GL covering the dwelling if business causes a loss, excluding liability because we have no control of the insured's business. Insured could be pulled into losses especially since children are involved.</t>
  </si>
  <si>
    <t>Michelle</t>
  </si>
  <si>
    <t>Platt/Masi</t>
  </si>
  <si>
    <t>Jess and Mark</t>
  </si>
  <si>
    <t>Boek</t>
  </si>
  <si>
    <t>Luther</t>
  </si>
  <si>
    <t>170k fire loss in 2017. electrical fire in attack while insured wasn't home. They will be replacing all electrical along with other systems in home. Licensed and insured GC. Insured will move in at completion.</t>
  </si>
  <si>
    <t>Has construction been started or is it currently undergoing demo? Is the risk currently uninsured? If construction hasn’t started and there hasn’t been a lapse, ok to issue terms.</t>
  </si>
  <si>
    <t>Yes</t>
  </si>
  <si>
    <t>Doremus</t>
  </si>
  <si>
    <t>Drake</t>
  </si>
  <si>
    <t xml:space="preserve">Insured is a screen writer. Nominated at Sundance Film Festival. Not a name I recognize. </t>
  </si>
  <si>
    <t>Approved- not that famous.</t>
  </si>
  <si>
    <t>Upton</t>
  </si>
  <si>
    <t>Dan &amp; Maya</t>
  </si>
  <si>
    <t xml:space="preserve">builders risk with a living roof. Vegetation not planted directly on the roof, but on planters elevated above. </t>
  </si>
  <si>
    <t>Three Oaks</t>
  </si>
  <si>
    <t xml:space="preserve">DP3 short term rental. 20 weeks seasonal. One loss in 2017 where the hot tub froze, payout $8k. </t>
  </si>
  <si>
    <t>Lipking</t>
  </si>
  <si>
    <t>Jeremy &amp; Danielle</t>
  </si>
  <si>
    <t>Agoura Hills</t>
  </si>
  <si>
    <t xml:space="preserve">• 6/22/2013: Dog Bite – Insured’s pug bit someone at a prior address of the insured’s. They still own the dog. $41,257 paid out.
• 11/12/2014: Water Damage – Pipe leak at prior address. $431,000 paid out.
This home is a new purchase for the insured. However, the prior owner of this home also had a couple of losses (CLUE report attached) that are in subrogation. </t>
  </si>
  <si>
    <t>Adv we'll need the animal liab exl form attached. Also asking for additional info on the big water loss- was it owner occ? Were they not home at the time? It's a pretty big loss for water. Also asking if there is any existing damage for the prior owner claims that are in subro.</t>
  </si>
  <si>
    <t>approved again with the following subjectivities: Total business exclusion in place, GL policy in place for the business (the tenant will need to submit proof to the owner, who will need to provide renewal term of that policy each year to qualify for renewal of this policy) Also, from a review of the information for the daycare it appears that the tenant does reside in the house. this approval is contingent on the tenant in fact residing in the home as well, and not just her renting it for the business.</t>
  </si>
  <si>
    <t>Rose Meadow Farm LLC</t>
  </si>
  <si>
    <t>greenhouse on property, no marijuana, TBE applied,  Attached is a primary home built in NY. Built in 1952 of frame construction with full updates to heating, roofing, and plumbing in 2013, full updates to wiring in 1990. PC3, with no losses.</t>
  </si>
  <si>
    <t>GL and TBE in place</t>
  </si>
  <si>
    <t>personal use only, no petting zoo,variety of animals but none too exotic, agreed to include limited animal liability</t>
  </si>
  <si>
    <t>primary home, animals for personal use on property: 2 pigs, 1 llama, 3 horses, 3 goats NO BITE HISTORY</t>
  </si>
  <si>
    <t>Salisbury</t>
  </si>
  <si>
    <t>Jorge &amp; Denise</t>
  </si>
  <si>
    <t>Reyes</t>
  </si>
  <si>
    <t>Letts</t>
  </si>
  <si>
    <t>Ian</t>
  </si>
  <si>
    <t>They are using a licensed and insured GC and will move in upon completion. The home is 65% completed.</t>
  </si>
  <si>
    <t>It appears the build started in 2015. Why has it taken so long to complete? Additionally, it doesn’t appear the have any coverage in place currently. Is there a reason why they have gone without coverage, and are now seeking so late into the project?</t>
  </si>
  <si>
    <t>Wooten</t>
  </si>
  <si>
    <t>photos, premium acceptable</t>
  </si>
  <si>
    <t>Kim Arthur and Elizabeth Torrey</t>
  </si>
  <si>
    <t>Rosenlieb</t>
  </si>
  <si>
    <t>Scott &amp; Jay</t>
  </si>
  <si>
    <t>Tehachapi</t>
  </si>
  <si>
    <t>PC4, built in 1994, frame, in brush, secondary, no losses, located in CA, ins score A, premium $6,890</t>
  </si>
  <si>
    <t>premium, review acceptable</t>
  </si>
  <si>
    <t>secondary, CSFB alarm, PC 9, log, secondary, low temp alarm, $50K water backup</t>
  </si>
  <si>
    <t>Laura Tomasvewski</t>
  </si>
  <si>
    <t>Rodney Dunlap</t>
  </si>
  <si>
    <t>Bender</t>
  </si>
  <si>
    <t>Arrowhead</t>
  </si>
  <si>
    <t>wood shake roof, nr from prior carrier due to no longer writing in zip</t>
  </si>
  <si>
    <t>RM included, not in brush. Advised wood roof alone does not make it ineligible</t>
  </si>
  <si>
    <t>Unfortunately, this property is ineligible for our product.  The type of business exposure is one that is pretty unique, and we may have been able to consider with a total business exclusion. I'm not too familiar with sawmill work, so would have to research it more to see if it is an exposure that a business exclusion could properly mitigate. Also, 5 years gap in coverage</t>
  </si>
  <si>
    <t>Gassville</t>
  </si>
  <si>
    <t>Brett</t>
  </si>
  <si>
    <t>Vaughn</t>
  </si>
  <si>
    <t>Tolliver</t>
  </si>
  <si>
    <t>Cecilia</t>
  </si>
  <si>
    <t xml:space="preserve">She was insured through the Michigan Fair Plan for a while but has been without insurance for about two years now </t>
  </si>
  <si>
    <t>Due to lapse</t>
  </si>
  <si>
    <t>primary home in CA. Built in 1994 of frame construction with full updates to heating, roofing, plumbing, and wiring in 2004. PC2, with no losses</t>
  </si>
  <si>
    <t>RM, photos, PC, acceptable</t>
  </si>
  <si>
    <t>Scantlin</t>
  </si>
  <si>
    <t>Mark &amp; Debra</t>
  </si>
  <si>
    <t>new purchase, will have one personal horse, prior CAT loss from wildfire to prior property</t>
  </si>
  <si>
    <t>Secondary home,  rental 45 days a year. CSFB alarms, interior sprinklers, 2001 build</t>
  </si>
  <si>
    <t>PC, alarms, photos, online review acceptable</t>
  </si>
  <si>
    <t>Frame, built in 1974 (partial updates in 2012 only), secondary, no losses, located in WY</t>
  </si>
  <si>
    <t>premium surcharge of 25% to get too .60:100</t>
  </si>
  <si>
    <t>wood roof in brush, high TIV</t>
  </si>
  <si>
    <t>Frame, primary, c/s alarms, brush, PC2, no losses, located in CA</t>
  </si>
  <si>
    <t>Conway</t>
  </si>
  <si>
    <t>Adams</t>
  </si>
  <si>
    <t>Reidsville</t>
  </si>
  <si>
    <t>Trott/Burdine</t>
  </si>
  <si>
    <t>Luke</t>
  </si>
  <si>
    <t>Advised can currently quote, but not considered for in-home program, so need GL and TBE in place. Advised would have to exclude liability if elect to build an event center in the future</t>
  </si>
  <si>
    <t>even with the exclusions in place, we would not be able to offer liability coverage on this risk. The exposure from most businesses related to firearms are beyond are appetite at this time. However, you do have approval to offer terms on this risk, x-liability.</t>
  </si>
  <si>
    <t xml:space="preserve">Business-assemble muzzle loaders and ship to customers. O, 1962, fully updated in 2000, HO3, PC 3, RC. This is an "N" insurance score. </t>
  </si>
  <si>
    <t>Emails</t>
  </si>
  <si>
    <t>Wallace</t>
  </si>
  <si>
    <t>Beverly</t>
  </si>
  <si>
    <t>Santa Fe Springs</t>
  </si>
  <si>
    <t>large fire loss in Dec. 2016 (approximately $170K paid).</t>
  </si>
  <si>
    <t>Requested additional information on fire loss as no details provided</t>
  </si>
  <si>
    <t>Arthur</t>
  </si>
  <si>
    <t>no brush, 1948 but complete update/remodel, alarm in home</t>
  </si>
  <si>
    <t>photos, rate appropriate</t>
  </si>
  <si>
    <t>Zhang</t>
  </si>
  <si>
    <t>Milton</t>
  </si>
  <si>
    <t>Vinton</t>
  </si>
  <si>
    <t>2 losses-02/2016-line burst on washer (no payout), 02/14/2018-water line burst, fixed</t>
  </si>
  <si>
    <t>$2500 AOP ded, all repairs done</t>
  </si>
  <si>
    <t>From what you described, this sounds to be more of a commercial risk. If the insured owns the land, and rents the dwelling out and uses the land for his greenhouse/nursery business, the cumulative risk is commercial. Advised to let me know if need further review</t>
  </si>
  <si>
    <t>Land for premises is used to harvest plants for the nursery located next door. Insured has 2 million GL policy for business exposure.  There are a few employees, no foot traffic.  The insured location is a rental unit, and will only be used to grow plants on the property for selling at the nursery which is located next door on a separate address.</t>
  </si>
  <si>
    <t>London Derry</t>
  </si>
  <si>
    <t>Ronald &amp; Kathleen</t>
  </si>
  <si>
    <t>Hill</t>
  </si>
  <si>
    <t>Bremmer</t>
  </si>
  <si>
    <t>Randy &amp; Christi</t>
  </si>
  <si>
    <t>approval to offer terms on this risk as quoted, subject to the GL policy remaining in-place and the total business exclusion.</t>
  </si>
  <si>
    <t xml:space="preserve">PC3, 2007 build, no losses,The insured owns an Electrical Engineering business with 1 employee.  He operates it out of a separate entrance/building from the home, but does share the same driveway.  </t>
  </si>
  <si>
    <t>Cold Springs Property Management LLC</t>
  </si>
  <si>
    <t xml:space="preserve">20 properties in same county. The LLC is owned by all family members who also manage the properties, and have GL coverage for their management company. all properties have been updated over the years, single family, and roofs are within 10 years of age and composite material, Some of the houses are on the west side of town, and some the east side.  They are all within 2-3 miles of a fire department, on the edge of town, but do not have hydrants.  </t>
  </si>
  <si>
    <t>Under review</t>
  </si>
  <si>
    <t>Near a brush zone.</t>
  </si>
  <si>
    <t>Jeff reviewed. Risk was okay but questioned surcharge. Some back and forth. Finally, Alison agreed to apply full surcharge.</t>
  </si>
  <si>
    <t>No brush, Malibu risk</t>
  </si>
  <si>
    <t>daycare-6 kids, no GL, German sheppard (quoted with animal exclusion)</t>
  </si>
  <si>
    <t>PC 9, no alarm, visible to neighbors, 1993 build, 1 hail loss in 2016, IS D,onsite kennel 3 buildings, total 16,900 feet), 150 yards from home, about 5 customers a day, quoted with animal liab excluded</t>
  </si>
  <si>
    <t>risk acceptable for exception</t>
  </si>
  <si>
    <t>Malibu rush, no brush</t>
  </si>
  <si>
    <t>Builders risk, as a result of prior fire loss (marshal report confirms caused by dryer)</t>
  </si>
  <si>
    <t>50% completed. Prior carrier cancelling due to extent of renovations (include moving interior walls). Agt quoted with 20% surcharge and $2500 AOP ded due to midterm work. Should be done 3-6 months</t>
  </si>
  <si>
    <t>OK with surcharge and higher ded</t>
  </si>
  <si>
    <t xml:space="preserve">Builder's risk, insured living in home. Licensed GC, quote with endorsements for coverage while they are in home. </t>
  </si>
  <si>
    <t>subject to correct rating (app was too blurry to tell if rated secondary/rental). Per inspection, vacation rental and longterm lease on apartment, apartment has WBS so need questionnaire, and need to meet &gt;$2MIL alarm requirements</t>
  </si>
  <si>
    <t>Dwelling has an attached flat roof garage.  The roof is in poor condition but will be replaced within 60 days of closing.  Agent called back later and advised that the insured will be renting out the large 3 bay garage to a commercial enterprise of some sort, maybe a trucking company. Online photo link in agency file.</t>
  </si>
  <si>
    <t xml:space="preserve">not in a brush zone, but it's across the street (100ft away) from medium/high brush. PC provided on app shows 4, ran FireLine and PC and it's coming back as a PPC10. </t>
  </si>
  <si>
    <t>prefer something closer to a fire station. App indicates 3 miles. UPDATE: agt responded and indicated the PC is in fact 10. 5 miles to fire station. FireLine shows moderate slope, no access problems. Last fire in that area was in 2007 and 1996 (1/4 mile from Calabasas fire). will approve with a brush surcharge.</t>
  </si>
  <si>
    <t>F/U from GA-fire loss undetermined per fire report; I advised that if undetermined, not comfortable offering terms. Questioned why they originally thought it was electrical (maybe insurance companies C&amp;O report?) Can further consider if so. Burdine Insured confirmed that was out of town at time of loss, will be total rebuild. Since no mention of arson in fire report, advised approval as previously offered</t>
  </si>
  <si>
    <t xml:space="preserve">FireLine is high (12) with heavy fuels. Steep slope per FireLine. RM shows in a brush zone and in Renie. Was considering it, however, with the high brush and the potential to have brush on the roof, I'm not comfortable. </t>
  </si>
  <si>
    <t>Agency asking for refreshed terms. Originally approved w/subjectivity in February.</t>
  </si>
  <si>
    <t>Rating, online review OK</t>
  </si>
  <si>
    <t>losses over $100K-10/2015-animal died on top of home and damaged duct system. All repaired; 12/2016-water dripping, all repaired. Quoted wit water ded, and desire $25K med pay</t>
  </si>
  <si>
    <t>Sawmill operated on property, PC 6, home built in 2013. Cash purchase, so no insurance</t>
  </si>
  <si>
    <t>As long as only 1 horse (Per photos, room for more) for personal use only, approved with animal liab. No need to surcharge prior cat loss</t>
  </si>
  <si>
    <t>weddings in pavilion</t>
  </si>
  <si>
    <t>subject to TBE, GL in place, other structures exclusion for pavilion, and confirmation no bed and breakfast as advertise; also 5% surcharge</t>
  </si>
  <si>
    <t>quoted as in home business-x-mass tree family November-dec, $70K a year. Also plan to build an event center to host weddings, etc.</t>
  </si>
  <si>
    <t>05/1/2015-$95K liab loss-had to file Ellis act to evict tenant and they sued for wrongful eviction. 3 unit building, gas wall heaters in 2 units, insureds unit has no heat so uses fireplace and electric blanket. 1918 build, partial updates to wiring and plumbing, full updates to heating/roofing</t>
  </si>
  <si>
    <t>Mileski</t>
  </si>
  <si>
    <t>Bret</t>
  </si>
  <si>
    <t xml:space="preserve">Winchester </t>
  </si>
  <si>
    <t>Nice home per online photos on 10 acres. Nearby airport. Building on prop used as shop for insured's sign/framing company. Was a hangar. Agent quoted with TBE.</t>
  </si>
  <si>
    <t>GL maintained by retailer, TBE, All UW questions answered, advise if bldg ever used as a hangar. Photos show adequate distance from dwelling. 10 acres, so airport exposure is not a concern.</t>
  </si>
  <si>
    <t>Referred since we capped Malibu 90265. Referrals of PC1-7 non-brush only. This risk is in brush.</t>
  </si>
  <si>
    <t>Not writing any new brush exposed business in Malibu.</t>
  </si>
  <si>
    <t xml:space="preserve">Tenant is a hoarder. Stacks of belongings in yard. No interior photos. 1927 dwelling with only partial updates. Prior carrier cancelling due to condition.  Insd says they are cleaning up and tenant will be out in a few months. Want 7/1/18 eff date for top agent. </t>
  </si>
  <si>
    <t>Concerned of the morale hazard w/older home/partial updates.  Advised if we had an EHP, it might help. Although if we saw interior, we may not want to write.</t>
  </si>
  <si>
    <t>3757 Condominium Association</t>
  </si>
  <si>
    <t>1990 2 unit dwelling updated recently. Prior freezing loss 1/18 $65K. Repairs done, plumbing replaced. Heat was maintained. Gas meter malfunction. Carrier is subrogating against gas company. Seasonal, insured checks on dwelling regularly. Quoted w/$10K water ded.</t>
  </si>
  <si>
    <t>Olansky Investments, LLC</t>
  </si>
  <si>
    <t>Dwelling suffered a prior mold claim 2.5 years ago.  Mold was professionally remediated.  Mold report includes several recs to prevent future water/mold issues. No info on whether these were addressed. 1969 Dwelling with $5K mold coverage.</t>
  </si>
  <si>
    <t>Although we allow mold covg if mold is prof remediated, it should be confirmed that the recs listed were complied with before any covg is bound.</t>
  </si>
  <si>
    <t>Jameson</t>
  </si>
  <si>
    <t>Maurice &amp; Jean</t>
  </si>
  <si>
    <t>Deep River</t>
  </si>
  <si>
    <t>1948 dwelling w/updates. Dog breeding on premises.  Additionally, prior large fire loss $84K caused by a/c. DOL shows 7/21/18 which can't be right. Agent applied TBE and Animal Excl.</t>
  </si>
  <si>
    <t>Empire Legacy Holdings LLC</t>
  </si>
  <si>
    <t>1918 dwelling with full updates/remodeled in 2018. Purchased 4/2018. In name of LLC which is solely owned by the trust. Agent wants to include trust as Addl Insd.</t>
  </si>
  <si>
    <t>Since they own the LLC, they have an insurable interest.  All are the same individuals. No commercial exposure.</t>
  </si>
  <si>
    <t>Billy</t>
  </si>
  <si>
    <t>Union</t>
  </si>
  <si>
    <t>2018 dwelling. Insd is pro football player for Cincinnati Bengals. No adverse online info.</t>
  </si>
  <si>
    <t>X-liability due to high profile status. // 6/11/18 Alexa advised the insurance score was a no hit (98). Find it odd that this individual would have bad or no credit, so stayed with terms offered.</t>
  </si>
  <si>
    <t>Ojaj</t>
  </si>
  <si>
    <t xml:space="preserve">Guest house, primary home with farmers. </t>
  </si>
  <si>
    <t>Discussed w/ MP, ok to offer terms with premises liability. As long as main home excluded as an other structure and retains it's own liab coverage</t>
  </si>
  <si>
    <t>in brush, doesn't qualify for exception</t>
  </si>
  <si>
    <t>Jens</t>
  </si>
  <si>
    <t>Campbell Fidler</t>
  </si>
  <si>
    <t>Anne</t>
  </si>
  <si>
    <t>In brush, insureds on tv shows, primary home, flat roof replaced 9 years ago</t>
  </si>
  <si>
    <t>google search ok, not too high profile, rating appropriate</t>
  </si>
  <si>
    <t>Efraim</t>
  </si>
  <si>
    <t xml:space="preserve">Fire loss to prior home (CAT loss), </t>
  </si>
  <si>
    <t>approval to offer terms on this risk. However, a 40% surcharge needs to be added to account for the increased response time and the periodic inaccessibility.</t>
  </si>
  <si>
    <t>primary home in CO. Built in 1971 with no known updates, roof exclusion has been added until updates can be confirmed. PC10, with no losses.</t>
  </si>
  <si>
    <t>Deese</t>
  </si>
  <si>
    <t>Yolo County Creative LLC</t>
  </si>
  <si>
    <t>confirm there is no commercial exposure to the property. There was a 2012 online listing about a Solar Panel Farm at the property, but it appears this may no longer apply.</t>
  </si>
  <si>
    <t>Built in 1930/updated, new purchase, no losses, tenant occupied, frame,</t>
  </si>
  <si>
    <t>Onabula</t>
  </si>
  <si>
    <t>Adewale</t>
  </si>
  <si>
    <t>subject to a GL being in place for that exposure as well.</t>
  </si>
  <si>
    <t>Adult care provider, Applicant been caring for the individuals since 2011, applicant has licensing in place for the caring of these individual, a team and family members may come check on residents, residents may go out for day programs and come back in the afternoon, it is a home to provide companionship.; quoted with TBE</t>
  </si>
  <si>
    <t>Colby</t>
  </si>
  <si>
    <t>Trevor &amp; Linda</t>
  </si>
  <si>
    <t>secondary home in malin</t>
  </si>
  <si>
    <t>Subject to no brush, RM not attached</t>
  </si>
  <si>
    <t xml:space="preserve">approval to offer terms on this risk subject to a water damage exclusion </t>
  </si>
  <si>
    <t>Barbara &amp; Randy</t>
  </si>
  <si>
    <t>Merrit</t>
  </si>
  <si>
    <t>Smithdale</t>
  </si>
  <si>
    <t>prior claim-grandson hit head after falling off golf-cart</t>
  </si>
  <si>
    <t>subject to the $5,000 AOP, 10% W/H, $25,000 Water damage deductibles.</t>
  </si>
  <si>
    <t>had 5 losses - Water/Slab leak - pipe replaced - $55,345 01/07/16 - Physical damage - repairs completed but later claim subrogated from this claim - $5,135 02/09/2016- Water - water heater broke and replaced - $20,988 07/30/2016 - Accidental discharge - a/c unit leaked and replaced - $8,513 01/01/2017 - Weather - subrogated from 01/07/16 claim - repaired incorrectly before - $30,266</t>
  </si>
  <si>
    <t>Max &amp; Suzanne</t>
  </si>
  <si>
    <t>Wertz</t>
  </si>
  <si>
    <t>Kelliher</t>
  </si>
  <si>
    <t>Cindy</t>
  </si>
  <si>
    <t>1961 dwelling w/updated in 2015. Non brush. Insd has full time dog day care business. 5 at a time, breed restrictions, small dogs. Has a coml policy thru Pet Sitters Assoc - a Markel Underwritten policy.</t>
  </si>
  <si>
    <t xml:space="preserve">• Apply the Total Business Exclusion, apply the Animal Liability Exclusion. Ensure TBE is understood. Even though liab policy is with Markel, there could be gaps.
</t>
  </si>
  <si>
    <t>Fuller</t>
  </si>
  <si>
    <t>Carol &amp; Mead, Carol</t>
  </si>
  <si>
    <t>2013 home. Lloyds quoting at $3077 plus tax and fee for total $3,275. Agent wants to come in $100 lower. Also referred for TIV.</t>
  </si>
  <si>
    <t>Advised TIV is in their authority. Asked for a rater so we can refer to Bethany. Additionally, address doesn't match between Austin's email and the Lloyds quote. Coverages don't match between the app and the Lloyds quote. Make sure we are comparing apples/apples.</t>
  </si>
  <si>
    <t>Pallas</t>
  </si>
  <si>
    <t>James &amp; Digna</t>
  </si>
  <si>
    <t>Butte Gold</t>
  </si>
  <si>
    <t>1979 dwelling with 2010 roof update. Insured has daycare on premises. Applying for a GL. Empty and fenced pool on premises. Agent asking for liab with pool exclusion and TBE.</t>
  </si>
  <si>
    <t>No liab/no med pay per guidelines. (concern of defense costs). TBE, still need GL in place as TBE excludes everything. Reminded this would not be in the Markel Day Care program. Online source shows 10 children license. App says 5-6.</t>
  </si>
  <si>
    <t xml:space="preserve">Johnson </t>
  </si>
  <si>
    <t>Yvonne &amp; Craig</t>
  </si>
  <si>
    <t>1957 dwelling rented annually. Tenant runs a daycare for 4-8 kids out of house. Foremost found out and got off the risk.</t>
  </si>
  <si>
    <t>Godwin</t>
  </si>
  <si>
    <t>Rod "Chris"</t>
  </si>
  <si>
    <t>Tampa</t>
  </si>
  <si>
    <t>2017 dwelling. Insured is wide receiver for Tampa Bay Bucs.</t>
  </si>
  <si>
    <t>Exclude liability due to high profile. No adverse news.</t>
  </si>
  <si>
    <t>Sanford</t>
  </si>
  <si>
    <t>1999 frame dwelling with 2015 roof. $250,000 liability loss paid. Insd child was skiing and accidentally ran into another person causing injury 3/14/16. Claim is closed. Liability coverage of $500K requested.</t>
  </si>
  <si>
    <t>Agt came back with wanting a 12.5 cent rate. Asked addl questions and will ck w/Bethany.</t>
  </si>
  <si>
    <t>OK w/TBE. We are insuring our insured, not the tenant. Tenant has GL</t>
  </si>
  <si>
    <t>Email to Bethany/Louisa for direction. Bethany's response in file. Analysis is this scenario is okay. Ask for a GL to be in place.</t>
  </si>
  <si>
    <t>Morra</t>
  </si>
  <si>
    <t>Paul &amp; Danielle</t>
  </si>
  <si>
    <t>Malibu is restricted - good quality risks only. 1007 dwelling with a prior $76K 2016 water damage loss.</t>
  </si>
  <si>
    <t>Clean risks only.</t>
  </si>
  <si>
    <t>Accidental skiing accident. 11 year old child of insured. No negligence. Child was hurt too. No more family skiing.</t>
  </si>
  <si>
    <t>Discussed w/Kirsten and Louisa, all agreed okay.</t>
  </si>
  <si>
    <t>Boyett</t>
  </si>
  <si>
    <t>1989 dwelling w/ updates. Wife does 1 on 1 swim lessons in the backyard pool. Many precautions in place and a GL.</t>
  </si>
  <si>
    <t>TBE, pool exclusion.  Liability ok.</t>
  </si>
  <si>
    <t>Timothy</t>
  </si>
  <si>
    <t>Gregg</t>
  </si>
  <si>
    <t>Altamont</t>
  </si>
  <si>
    <t xml:space="preserve">2009 dwelling. Open liab loss $300K. Insd accidentally shot target spotter and long range shooting range. It was ruled an accident per agent who has known insd for 50 years. </t>
  </si>
  <si>
    <t>Confirmed the story with several online articles.</t>
  </si>
  <si>
    <t>Zaprazny</t>
  </si>
  <si>
    <t>New Ringgold</t>
  </si>
  <si>
    <t>1959 dwelling on the same property as a huge junkyard/salvage yard/parts store.  Online photos show an extremely large operation.  GL with Motorists.</t>
  </si>
  <si>
    <t>Reviewed w/Louisa. This is a risk where we feel even if we excluded liab, we would still incur great cost to defend our policy. In addn to the liab issues, there is pollution exposure.</t>
  </si>
  <si>
    <t>Blakeley</t>
  </si>
  <si>
    <t>Harris Turner</t>
  </si>
  <si>
    <t>Andrews</t>
  </si>
  <si>
    <t>Our range starts at .60. This is a newer dwelling, lower value. Feel .59 is adequate.</t>
  </si>
  <si>
    <t>Samuel</t>
  </si>
  <si>
    <t>Reminded of Program max TIV</t>
  </si>
  <si>
    <t>review appropriated, online review doesn't reveal anything concerning, particularly for a DP risk, coastal guidelines met</t>
  </si>
  <si>
    <t>tenant occupied dwelling located in FL. Home was built in 1977 of masonry construction,  PC2 , no alarms. Applicant plays for the Pittsburgh Pirates. His mom will be living in the home and paying no rent; ACV and roof exclusion quoted, 8.01 mi from coast</t>
  </si>
  <si>
    <t>Rodriquez</t>
  </si>
  <si>
    <t>Jing</t>
  </si>
  <si>
    <t>Due to heat source combined with age of home//agent provided updated OHQ-central heat and updates made to all units</t>
  </si>
  <si>
    <t>Too much gap in coverage, building nearing completion</t>
  </si>
  <si>
    <t>insured has not had prior coverage and the home is about 70% completed. The insured Mr. Quach and his sister's will move in as soon as it is completed.</t>
  </si>
  <si>
    <t>Brisbane</t>
  </si>
  <si>
    <t>Hung</t>
  </si>
  <si>
    <t>Quach</t>
  </si>
  <si>
    <t>Tomlinson</t>
  </si>
  <si>
    <t>Kelli</t>
  </si>
  <si>
    <t>Carisbad</t>
  </si>
  <si>
    <t>3 water losses in last 3 years, 1 theft (ex-husband, no longer in house)</t>
  </si>
  <si>
    <t>water damage exclusion ,and $5K AOP</t>
  </si>
  <si>
    <t>BUrdine</t>
  </si>
  <si>
    <t>risk acceptable per provided info, advised need completed app to confirm</t>
  </si>
  <si>
    <t>Mina</t>
  </si>
  <si>
    <t>Amirpour</t>
  </si>
  <si>
    <t>Dwelling in average condition but has basement covered in mold which agent says is due to not using correct drywall and house was closed up. Insured doing the clean up and replacing roof. Sketchy on what other updates being done other than paint. No GC at this point. Agent is saying "minor cosmetic" which we know is vague.</t>
  </si>
  <si>
    <t>Advised Tamika to find out what the updates are that are being done. If only roof and mold, apply water damage exclusion, roof exclusion, and mold exclusion. We would not require a GC but we would require this work be done by a professional. If more than that, if any kitchens or baths, more than floor and paint, they must have a GC.</t>
  </si>
  <si>
    <t>Boyer</t>
  </si>
  <si>
    <t>Palm Desert</t>
  </si>
  <si>
    <t>Vacant, for sale, central station fire and burglar and 24/7 manned security at gated community</t>
  </si>
  <si>
    <t>https://www.realtor.com/realestateandhomes-detail/142-Kiva-Dr_Palm-Desert_CA_92260_M27649-58696 </t>
  </si>
  <si>
    <t>Boss</t>
  </si>
  <si>
    <t>Conklin</t>
  </si>
  <si>
    <t>built in 1910 of frame construction with full updates 1993- 2006, PC9, no alarms. 58.5 acres and 45 are rented out for farming. Front porch is being updated and is 95% done.</t>
  </si>
  <si>
    <t>subject to them having a GL in place for the farming exposure and also applying the Total Business Exclusion.  Additionally, the front porch must be done before including liability on the policy, and all the other issues noted on the inspection (such as the peeling paint), needs to be addressed</t>
  </si>
  <si>
    <t>approved with $2500 AOP ded</t>
  </si>
  <si>
    <t>James &amp; Kim</t>
  </si>
  <si>
    <t>Clements</t>
  </si>
  <si>
    <t>Louise</t>
  </si>
  <si>
    <t xml:space="preserve">open liability claim (dog bite-Mastiff-insured son owns dog and still lives in house). 08/4/2017 loss date. </t>
  </si>
  <si>
    <t>Discussed w/ MP, OK proceeding with animal exclusion</t>
  </si>
  <si>
    <t>risk acceptable with other structure exclusion</t>
  </si>
  <si>
    <t>Palmer</t>
  </si>
  <si>
    <t>Pelorous Equity Group Inc &amp; Thayer Properties Inc.</t>
  </si>
  <si>
    <t>acceptable Corporate Questionnaires are received, and neither of the prior owners are involved with the Inc.’s, you have approval to offer terms. However, due to our late entry onto the risk please include a 15-20% surcharge.</t>
  </si>
  <si>
    <t>Pelorous Equity Group Inc. &amp; Thayer Properties Inc.</t>
  </si>
  <si>
    <t>San Anselmo</t>
  </si>
  <si>
    <t xml:space="preserve">construction started in 2017, prior owners had to stop due to financial issues, new investors finishing up then placing to sell. No brush. </t>
  </si>
  <si>
    <t>Roysdon</t>
  </si>
  <si>
    <t>Loomis</t>
  </si>
  <si>
    <t>woodshake roof, wood siding, w/in 100 feet of brush, lapse in coverage, $5000 AOP</t>
  </si>
  <si>
    <t>Agreed that due to lapse/construction type so close to brush will not offer terms</t>
  </si>
  <si>
    <t>Causey Cabin LLC</t>
  </si>
  <si>
    <t>Huntersville</t>
  </si>
  <si>
    <t>premium increase to $4K</t>
  </si>
  <si>
    <t>ALexa</t>
  </si>
  <si>
    <t>Garrett</t>
  </si>
  <si>
    <t>Dian</t>
  </si>
  <si>
    <t>builder's risk HO3 located in AZ. Home was built in 2003 of masonry veneer construction (stucco) , PC10 , c/s alarms, 15 minute response time; 40% into renovations</t>
  </si>
  <si>
    <t>approval to offer terms, however please apply a 20% surcharge to account for the build in progress</t>
  </si>
  <si>
    <t>This is a WI risk, DP-1, ACV, PC9. Home built in 1978, Updates to Heating and roofing 2012 and 2010.  The agent says all utilities are active. 117 acres, 100 of those leased out to a farmer - they don't require it now but will require the farmer leasing the property to have insurance in place for their farming operations. The applicant is in a nursing home and is terminal, children are planning on selling once the applicant has passed. The daughter is over quite frequently, there is a 30 year old horse on premises, not for riding.</t>
  </si>
  <si>
    <t>Appleton</t>
  </si>
  <si>
    <t>Discussed with MP, have approval to offer terms on this risk, but they (or the farmer) must have a farm liability policy in place to cover that exposure. Additionally, we would need to apply the Total Business and Animal Exclusion as well.</t>
  </si>
  <si>
    <t>Delmar</t>
  </si>
  <si>
    <t>Schmeichel</t>
  </si>
  <si>
    <t>Mcivor</t>
  </si>
  <si>
    <t>Chagrin Falls</t>
  </si>
  <si>
    <t>insured sells metals to companies, keeps sample and materials in basement office. No  clients or foot traffic, no current GL in place, 1970 build with updates</t>
  </si>
  <si>
    <t>approval to offer terms on this risk, but this approval is subject to the total business exclusion and they must secure a GL policy to cover that business exposure. If they are unwilling, or unable, to secure the GL policy this may only be issued x-liability with the exclusion in place.</t>
  </si>
  <si>
    <t>Mcnemar</t>
  </si>
  <si>
    <t>Vickie</t>
  </si>
  <si>
    <t>Columbia</t>
  </si>
  <si>
    <t>2016 fire claim for a payout of 110,000.</t>
  </si>
  <si>
    <t>approval to issue as quoted, subject to a confirmed response time w/in 15 minutes.</t>
  </si>
  <si>
    <t>primary home in CA. Built in 2012 with no updates. It is frame construction, PC10. One small water loss.</t>
  </si>
  <si>
    <t>Colin &amp; Audrey</t>
  </si>
  <si>
    <t>Sillery</t>
  </si>
  <si>
    <t>Shuchi</t>
  </si>
  <si>
    <t>1953 dwelling that will be demolished completely with the exception of 1 wall.  Agent wants to know if that counts as demolition.</t>
  </si>
  <si>
    <t>Advised the moral and morale hazards apply since there is really no value to the dwelling.</t>
  </si>
  <si>
    <t>Golden Gate Ranch LLC</t>
  </si>
  <si>
    <t>Atlanta</t>
  </si>
  <si>
    <t>1, 385,850</t>
  </si>
  <si>
    <t>FD 15 miles, volunteer, 20 minutes away, woodstove</t>
  </si>
  <si>
    <t>Due to response time</t>
  </si>
  <si>
    <t>2017 liab claim-$300K, insured 13 year old son accidentally shot neighbor friend in the eye</t>
  </si>
  <si>
    <t>Concorde</t>
  </si>
  <si>
    <t>Kendra &amp; Jasen</t>
  </si>
  <si>
    <t>Lesie &amp; Beverly</t>
  </si>
  <si>
    <t>1959 build with updates, secondary, in brush, insured failed to renew with current carrier</t>
  </si>
  <si>
    <t>, this approval is subject to a 20% surcharge and understanding that an inspection will be ordered asap to ensure the property is still in acceptable condition.</t>
  </si>
  <si>
    <t>discussed w/ MP, this fits in their DP stand alone program.</t>
  </si>
  <si>
    <t>insured living in garage, main home is with another carrier and being demolished (builders risk on that policy).</t>
  </si>
  <si>
    <t>Foristell</t>
  </si>
  <si>
    <t>Darryl &amp; Lisa</t>
  </si>
  <si>
    <t>Christisen</t>
  </si>
  <si>
    <t>Marcus</t>
  </si>
  <si>
    <t>Sunman</t>
  </si>
  <si>
    <t>GL and TBE in place, 20% surcharge for loss</t>
  </si>
  <si>
    <t>Approved with $10K AOP</t>
  </si>
  <si>
    <t>No central station alarms, but insured wants $10K AOP ded</t>
  </si>
  <si>
    <t>2,473,00</t>
  </si>
  <si>
    <t>Plant</t>
  </si>
  <si>
    <t>Michael Dahir Dudum Trust</t>
  </si>
  <si>
    <t>approved with water damage exclusion until pipes replaced</t>
  </si>
  <si>
    <t>need confirmation of fire loss. If was indeed from lightning, we would be able to offer terms after confirmation on the number of horses and that they are all for personal use only.</t>
  </si>
  <si>
    <t xml:space="preserve">2 claims-1 fire, 1 small theft. </t>
  </si>
  <si>
    <t>Drach</t>
  </si>
  <si>
    <t>online review, app, OK</t>
  </si>
  <si>
    <t>historical home (no tours), quoted at FRC</t>
  </si>
  <si>
    <t>Tender hearts enterprises</t>
  </si>
  <si>
    <t>In brush, want to rewrite from CRC to Burns</t>
  </si>
  <si>
    <t>Originally declined due to TIV, but per agent requoted less than $3mil. Approved sub to rush inspection</t>
  </si>
  <si>
    <t>Approved w/ other structure exclusion</t>
  </si>
  <si>
    <t>Zionsville</t>
  </si>
  <si>
    <t>Clarke</t>
  </si>
  <si>
    <t>Smart</t>
  </si>
  <si>
    <t>Berice &amp; Maria</t>
  </si>
  <si>
    <t>Bridgeport</t>
  </si>
  <si>
    <t>Risk has mix of plumbing pipes including iron per inspection. Do we allow? 1938 dwelling</t>
  </si>
  <si>
    <t>Ok as an exception if they are waste lines and not supply lines, and if they are not older than 65 years. Likely that is not the case. Also offered to do with water damage exclusion.</t>
  </si>
  <si>
    <t>Lyras</t>
  </si>
  <si>
    <t>Kenwood</t>
  </si>
  <si>
    <t>1950 with full updates in 2015 PC 4; hydrant within 100 ft In a brush zone; smoke damage from wildfire loss. $200K paid, almost closed.</t>
  </si>
  <si>
    <t>claim and brush surcharge</t>
  </si>
  <si>
    <t>requested more info about losses (Which fires, what damaged, etc) due to frequency</t>
  </si>
  <si>
    <t>3 CAT claims, over 2400 brush zone, questioning if need to surcharge</t>
  </si>
  <si>
    <t>Larry &amp; Marilyn</t>
  </si>
  <si>
    <t>Baron</t>
  </si>
  <si>
    <t>Laurie &amp; Dean</t>
  </si>
  <si>
    <t>Malibu risk</t>
  </si>
  <si>
    <t>no brush, photos/review OK</t>
  </si>
  <si>
    <t>water ded in place</t>
  </si>
  <si>
    <t>Primary home in CA, not in brush, built in 2003 of frame construction with full plumbing updates in 2017. PC3 full CS Alarms, 2 losses (1 water loss, 1 V&amp;MM)</t>
  </si>
  <si>
    <t>Hebson</t>
  </si>
  <si>
    <t>roof that is 25%  covered by man-made concrete shingles and  the other 75% is architectural shingles. The home was built in 1932. The address is 4304 State Street Dr New Orleans La 70125.</t>
  </si>
  <si>
    <t>updates confirmed, roof integrity confirmed</t>
  </si>
  <si>
    <t>Joe &amp; Linda</t>
  </si>
  <si>
    <t>West Memphis</t>
  </si>
  <si>
    <t>10/2013-burglarly $5K; 07/14-water ($359.00) water ($963.00)</t>
  </si>
  <si>
    <t>$2500 AOP due to the loss history.</t>
  </si>
  <si>
    <t>guidelines met</t>
  </si>
  <si>
    <t>Not in brush, but close so applying surcharge. Inspection confirms home acceptable</t>
  </si>
  <si>
    <t>Xia Heo and Sun</t>
  </si>
  <si>
    <t>Cui</t>
  </si>
  <si>
    <t>Lundy</t>
  </si>
  <si>
    <t>property is not accessible by road year round. Unprotected Rated Questionnaire indicates there is a dry hydrant installed, but home is not accessible by fire department year round; PC 10. There is also an additional 34.5 acres used for personal use.</t>
  </si>
  <si>
    <t>requested information as to why it's not accessible year round</t>
  </si>
  <si>
    <t>subject to the $25K water damage deductible and short term rental questionnaire.</t>
  </si>
  <si>
    <t>Rogers</t>
  </si>
  <si>
    <t>Mora</t>
  </si>
  <si>
    <t>Edith &amp; Jeffrey</t>
  </si>
  <si>
    <t>2 total losses within 3 years-09/2016-fridge leak, 02/17/2018-pin hole leak no pay out amount; AOP ded $2500</t>
  </si>
  <si>
    <t>confirmation of claims closed/repairs made, also need to include both losses on rater</t>
  </si>
  <si>
    <t>Approval to offer with FRC as quoted, new guidelines met</t>
  </si>
  <si>
    <t>1915 build. Home not gutted, but fully updated in 2006</t>
  </si>
  <si>
    <t>Tania</t>
  </si>
  <si>
    <t>Castellanos</t>
  </si>
  <si>
    <t>Topham</t>
  </si>
  <si>
    <t>Steven &amp; Teresa</t>
  </si>
  <si>
    <t>No brush, $10K ded, 2002 build, no losses, no alarms</t>
  </si>
  <si>
    <t>Confirmed can lower ded if alarms present</t>
  </si>
  <si>
    <t>Advised of $3M PC10 cap, so unable to bind location 1599 Top Dollar Rd, but other 3 OK (they are w/in her authority)</t>
  </si>
  <si>
    <t>Secondary home, roads paved, tankers on property, but no hydrants</t>
  </si>
  <si>
    <t>Mokelumne Hill</t>
  </si>
  <si>
    <t>Muehlhauser</t>
  </si>
  <si>
    <t>Topton</t>
  </si>
  <si>
    <t>Home is on 36 acres, secondary (no rental), full time caretaker on premise</t>
  </si>
  <si>
    <t>confirmation of personal use of acreage only</t>
  </si>
  <si>
    <t>Hugh &amp; Betty</t>
  </si>
  <si>
    <t xml:space="preserve">Malibu risk; The insured operates an office out of a guest house on premises – the agent has a GL policy and artisan policy in place. The name of the business is Holst Brothers Inc (developers). </t>
  </si>
  <si>
    <t>3 water losses in the past 3 years, being cancelled for losses</t>
  </si>
  <si>
    <t>approval to offer terms with liability and Med Pay excluded</t>
  </si>
  <si>
    <t>Cause indicates no negligence or insulation issue. Owner checks regularly. Unit 2 is rented.</t>
  </si>
  <si>
    <t>Asked numerous business questions. Also asked for correct DOL, a/c update, and C&amp;O report. If all checks out, risk should be fine. // 6/8/18 Barbara sent a copy of the GL application. It is in the agency email box. It shows breeding only of Shiatzu dogs, 5-6 litters; 15 average animals sold per year. More answers coming. //  subject to them obtaining a GL policy for the business exposure, and also the total business and animal exclusions must be applied. KB</t>
  </si>
  <si>
    <t>Lloyds renewal, no losses, monitored alarms, 6.2 miles from FD</t>
  </si>
  <si>
    <t>1998 dwelling w/ updates in 2015. PC 9 with 20 min response time. VMGA pricing coming in at .59.</t>
  </si>
  <si>
    <t xml:space="preserve">1994 build, central alarms. 2 claims-08/19/16  water heater, 12/2016 pipe, </t>
  </si>
  <si>
    <t xml:space="preserve">purchasing home, but demolishing a 200 sq foot workshop. </t>
  </si>
  <si>
    <t>Periodic inaccessible; close to neighbors, alarms</t>
  </si>
  <si>
    <t>1910 with full updates, property originally had two dwellings. One burned down due to overloaded power outlet; leases out land to father in law for farming</t>
  </si>
  <si>
    <t>Cast iron pipes used for waste lines only</t>
  </si>
  <si>
    <t>primary HO3 located in IN. Home was built in 2005 of frame construction , PC4 , no alarms, open loss with prior carrier-subrogated fire loss for other structure (painters left oil rags on floor and fire in other structure).</t>
  </si>
  <si>
    <t>Seasonal/ short term rental home in CA, not in brush, built in 1972 of frame construction with full updates in 2017. PC3, no CS Alarms, 2 losses water loss in 2016, and roof damage from snow</t>
  </si>
  <si>
    <t>COC, primary and moving in upon completion of renovations. Farmers NR due to extent of renovation: walls, doors, window space, kitchen, flooring (no additional square footage)</t>
  </si>
  <si>
    <t>want more info on whether child has limited/supervised access to weapons in home. Advised can offer x-liability for sure//cpnformed all guns, including BB, have been removed from the home. No litigation has been filed directly against the insured. APproved quote</t>
  </si>
  <si>
    <t>Jim</t>
  </si>
  <si>
    <t>Little Rock</t>
  </si>
  <si>
    <t>DP3-1900 build, will be fully updated, son moving in home upon completion, on historic registry, $5K ded</t>
  </si>
  <si>
    <t>confirmation of no tours (unlikely given online review and rebuild)</t>
  </si>
  <si>
    <t>Gilles</t>
  </si>
  <si>
    <t>Miho</t>
  </si>
  <si>
    <t>1978 dwelling with part wire/plumb update 05 and full heat/roof update 08. Insured teaches yoga class once a week in her living room for 2-5 students. Has a separate liability policy for the class.</t>
  </si>
  <si>
    <t>Ok with TBE and maintain the liab policy. Advised of the exclusions in the TBE - may need to look at commercial coverage.</t>
  </si>
  <si>
    <t>Scrivner</t>
  </si>
  <si>
    <t>Ozark</t>
  </si>
  <si>
    <t>1972 dwelling w/partial updates. Insured has a shop 20 feet from the dwelling where he makes cast bullets using a die cast machine. He runs "Meister Bullets" business.</t>
  </si>
  <si>
    <t>TBE, $10,000 theft ded(no credit), uw questions, do not insure the shop. Reviewed web and fb in detail. These are lead cast bullets, no powder. No gun sales. Insured is clearly an enthusiast and addr is published - hence the $10K theft ded.</t>
  </si>
  <si>
    <t>Dale E</t>
  </si>
  <si>
    <t>Shawnee Mission</t>
  </si>
  <si>
    <t>1955 dwelling with full updates. However there are 2 water losses. 5/17 $2K appliance pipe; 8/17 $146K heavy rains, sewage up through floor drains</t>
  </si>
  <si>
    <t>Knecht</t>
  </si>
  <si>
    <t>Hampstead</t>
  </si>
  <si>
    <t>Exposure completely removed with the exclusion. Online home photos ok. Lower insurance score, but loss is 3rd party.</t>
  </si>
  <si>
    <t>Quoted with $10K water damage ded and no water backup. App did not answer galvanized, but this concern is offset with higher ded.</t>
  </si>
  <si>
    <t>Wordell</t>
  </si>
  <si>
    <t>Stephen &amp; Margarite</t>
  </si>
  <si>
    <t xml:space="preserve">1998 dwelling w/tile roof and stucco siding. Updated in 2000. Insured suffered damage from Thomas fire. 2 separate losses. Fire 12/10/17 (dwelling and landscape $131K); Flood (mud flow from fire $108K). There were tenants there who were arrested for illegal substances. They are no longer there. </t>
  </si>
  <si>
    <t>Apply surcharge for 2 losses plus additional 15%. RM indicates high brush. FL (copy in file) is a 9 and does account for the Thomas fire.</t>
  </si>
  <si>
    <t>Emmer</t>
  </si>
  <si>
    <t>Paul &amp; Beau Franklin</t>
  </si>
  <si>
    <t>S/C addl 10% due to size of loss. Verify PC2 - RiskMeter shows no station within 5 miles. Why Animal Liab for a tenant risk?</t>
  </si>
  <si>
    <t>Perryman</t>
  </si>
  <si>
    <t xml:space="preserve">2018 dwelling in brush. Agent verifying our guidelines for this zip. </t>
  </si>
  <si>
    <t>No brush exposed risks in 90210 at any TIV</t>
  </si>
  <si>
    <t>Gregga</t>
  </si>
  <si>
    <t>Montecito</t>
  </si>
  <si>
    <t xml:space="preserve">1968 home not in brush. Primary, but app shows vacant and online shows up for sale. Nice home. 3 prior losses in 5 years. 8/13 pipe burst $34K. 10/16 clogged toilet damage $1,336. 7/17 Thomas Fire LOU $120K. </t>
  </si>
  <si>
    <t>Confirm occupancy. Addl 5% s/c due to size of 7/17 loss.</t>
  </si>
  <si>
    <t>Haines</t>
  </si>
  <si>
    <t>Willits</t>
  </si>
  <si>
    <t>2012 dwelling not in brush. Prior fire loss in 2012 $189K in damage. Agent doesn't know cause. Dwelling was rebuilt. Agt asking to quote pending fire marshal report.</t>
  </si>
  <si>
    <t>Ok'd the quote pending the fire marshal report if there is a request to bind. May also want to run insurance score. This is per procedures agreed to with management.</t>
  </si>
  <si>
    <t>Unruh</t>
  </si>
  <si>
    <t>Kip</t>
  </si>
  <si>
    <t>St. Peculiar</t>
  </si>
  <si>
    <t>1972 build with updates, one loss-not paid as caused by flooding; wedding on premise, not in home</t>
  </si>
  <si>
    <t xml:space="preserve">TBE and GL in place; </t>
  </si>
  <si>
    <t>Approved, property in great condition, no brush</t>
  </si>
  <si>
    <t>France</t>
  </si>
  <si>
    <t>Janov</t>
  </si>
  <si>
    <t>Derric &amp; Jenny</t>
  </si>
  <si>
    <t>Badin</t>
  </si>
  <si>
    <t>some asbestos still present in home</t>
  </si>
  <si>
    <t>ineligible due to asbestos material</t>
  </si>
  <si>
    <t>RM, photos, PC acceptable</t>
  </si>
  <si>
    <t>CA risk, primary home, 1915,completely rebuilt, CFSB alarms</t>
  </si>
  <si>
    <t>Elizabeth &amp; Stephen</t>
  </si>
  <si>
    <t>Sutro</t>
  </si>
  <si>
    <t>Nguyen</t>
  </si>
  <si>
    <t>Tu &amp; Phung</t>
  </si>
  <si>
    <t>TBE and GL in place</t>
  </si>
  <si>
    <t>apply other structure exclusion to the main home</t>
  </si>
  <si>
    <t>guest home on premises, using as vacation rental. Main home insured separately, not in brush</t>
  </si>
  <si>
    <t>McCloskey</t>
  </si>
  <si>
    <t>SBW Capital Partners LLC</t>
  </si>
  <si>
    <t>Not in CDS brush zone, excluding roof</t>
  </si>
  <si>
    <t>no brush, photos/online review, scope OK</t>
  </si>
  <si>
    <t>TBE and GL in place; online review OK</t>
  </si>
  <si>
    <t>family counselor, 10 patients a week, separate area in home</t>
  </si>
  <si>
    <t>Edmondson</t>
  </si>
  <si>
    <t>Koste</t>
  </si>
  <si>
    <t>Brandon</t>
  </si>
  <si>
    <t>Pinconning</t>
  </si>
  <si>
    <t>adult foster care business</t>
  </si>
  <si>
    <t>Overnight facility, amount of beds indicate likely employees</t>
  </si>
  <si>
    <t>The Stanley Nesheim Family Trust</t>
  </si>
  <si>
    <t>Washington</t>
  </si>
  <si>
    <t>DC</t>
  </si>
  <si>
    <t>prior fire loss, think it may have been electrical but loss undetermined. Parents owned home at time, but now deceased. Home repaired, now vacant, up for sale</t>
  </si>
  <si>
    <t>with claim surcharge</t>
  </si>
  <si>
    <t>Clavin</t>
  </si>
  <si>
    <t>x-liability. Reviewed and still upcoming and very active in industry. Advised prop terms only</t>
  </si>
  <si>
    <t>Groen</t>
  </si>
  <si>
    <t>2 water losses, insured provided narrative about extensive measures taken so won't occur again</t>
  </si>
  <si>
    <t>subject to $10K water ded</t>
  </si>
  <si>
    <t>Parry</t>
  </si>
  <si>
    <t>Norma</t>
  </si>
  <si>
    <t>Boersig</t>
  </si>
  <si>
    <t>Randall</t>
  </si>
  <si>
    <t>mo</t>
  </si>
  <si>
    <t>11/2017 fire loss-insured was using metal saw in basement. Combustible's nearby lit</t>
  </si>
  <si>
    <t>confirmation no longer engages in similar activities in basement</t>
  </si>
  <si>
    <t>KD Works, LLC</t>
  </si>
  <si>
    <t>Marin</t>
  </si>
  <si>
    <t>2014-water damage from small roof leek, open liab loss-they are a claimant (weren't aware they were) of sewage overflow from neighbor onto their property. Neighbor already cleaned up at their expense, so applicant wasn't aware of insurance involvement</t>
  </si>
  <si>
    <t>Repairs made, no concerns with for risk</t>
  </si>
  <si>
    <t>Whitney</t>
  </si>
  <si>
    <t>Lavington Hagood LLC</t>
  </si>
  <si>
    <t>Discussed w/ MP agreed OK to offer as quoted</t>
  </si>
  <si>
    <t>Kiawah Island</t>
  </si>
  <si>
    <t>Tom</t>
  </si>
  <si>
    <t>Lawanda</t>
  </si>
  <si>
    <t>TIV greater than $5M</t>
  </si>
  <si>
    <t>Advised if can get under $5M, then can offer terms</t>
  </si>
  <si>
    <t>Approved w/ no loss and 5% surcharge</t>
  </si>
  <si>
    <t>two water claims in 2014, lapse since 05/19/2018 (non payment of premium)</t>
  </si>
  <si>
    <t>O'Brien</t>
  </si>
  <si>
    <t>Kasloff</t>
  </si>
  <si>
    <t>Masako</t>
  </si>
  <si>
    <t>Risk is in Malibu, not in brush. Nice online photos.</t>
  </si>
  <si>
    <t>Not in brush, lower PC, good home.</t>
  </si>
  <si>
    <t>Ihle Family Trust</t>
  </si>
  <si>
    <t>1995 dwelling. Unknown if in brush, but not a restricted zip. Runs AirBnB w/3 night minimum. 15% s/c applied (generous). Insured has a concrete business. Online search shows insd address but notes say it is office only w/some employees.</t>
  </si>
  <si>
    <t>Confirm where concrete operations, equip, supplies are kept if the dwelling is office only. Okay if all that is elsewhere. Re-evaluate terms if its at the property.</t>
  </si>
  <si>
    <t>Marx</t>
  </si>
  <si>
    <t>. Built in 1981 with full updates in 2005. Frame, PC3, two losses, one mysterious disappearance loss closed out at $133,875.</t>
  </si>
  <si>
    <t>Insured didn't replace ring, no other HV items</t>
  </si>
  <si>
    <t>review acceptable, subject to acceptable PCQ</t>
  </si>
  <si>
    <t>Glassberg</t>
  </si>
  <si>
    <t>Dershowitz</t>
  </si>
  <si>
    <t>Chilmark</t>
  </si>
  <si>
    <t>09/10/2015-lightning, 04/10/2017-water. All repairs made, 01/2015-$932,000 liability for libel/slander/defamation; wants PAF schedule as well</t>
  </si>
  <si>
    <t>$5K ded, PAF guidelines met, x-liab due to liab loss</t>
  </si>
  <si>
    <t xml:space="preserve"> subject to confirmation of the GL policy and the total business exclusion being applied.</t>
  </si>
  <si>
    <t>Not in brush, over 150 feet from, insured is therapist and see clients in home</t>
  </si>
  <si>
    <t>Vera</t>
  </si>
  <si>
    <t>Lenmore</t>
  </si>
  <si>
    <t>Swimming school-per applicant they enter through the home, about 20 students a month, own business for 4 years, GL in place</t>
  </si>
  <si>
    <t>Advised not fit our short-term rental market sign more of a "time-share"</t>
  </si>
  <si>
    <t>fractionally owned units. The condo/villa is part of an HOA community and our insured would have access to the unit for 5 weeks per year. He wants to short term rent it for a few of those weeks when he’s not using the unit.</t>
  </si>
  <si>
    <t>Not given</t>
  </si>
  <si>
    <t>Smeltzer</t>
  </si>
  <si>
    <t>Skip</t>
  </si>
  <si>
    <t>New Paris</t>
  </si>
  <si>
    <t>2005 dwelling quoted excluding liability. Total business exclusion. Daycare on premises with pool and 2 dogs. These are separated from the daycare and play area.  GL will be in place.</t>
  </si>
  <si>
    <t>Liab exposure eliminated with liab exclusion and TBE and GL.</t>
  </si>
  <si>
    <t>Hogan</t>
  </si>
  <si>
    <t>Cory</t>
  </si>
  <si>
    <t>2008 vacant dwelling. Quoted as PC 9 but PC quest shows 6 mi to FD w/hydrant within 1000' (10W). Prior loss (unknown date) water pipe burst $175K. $10K water ded quoted.</t>
  </si>
  <si>
    <t>Rerate to 10W. Verify cause of burst pipe and resubmit if due to freeze, lack of heat etc. Confirm no mold. Bind if loss is closed.</t>
  </si>
  <si>
    <t>Paape</t>
  </si>
  <si>
    <t>Kerry</t>
  </si>
  <si>
    <t>Houma</t>
  </si>
  <si>
    <t>2005 primary dwelling. Insured has 8 horses, personal use, kept in barn. 28 fenced acres. No cov B on app.</t>
  </si>
  <si>
    <t xml:space="preserve"> Gregga</t>
  </si>
  <si>
    <t>1968 dwelling updated. Prior 1/9/18 Thomas fire loss $138K. 8/2013 sewer backup $34K.</t>
  </si>
  <si>
    <t>Ludlow</t>
  </si>
  <si>
    <t xml:space="preserve">2010 log home w/woodstove as primary heat. Not accessible year round. Nice home. Cov A=$64/SF. Rate=$871/.40. Heat reclaimer per WBS quest. </t>
  </si>
  <si>
    <t>Look at a .80 rate for 20 min response and a woodstove.</t>
  </si>
  <si>
    <t>Asked addl questions see email. Considering because if it is truly personal use, we can surcharge for the additional exposure.//Has Equestrian liab policy. Has Lloyds policy for barn/arena-no Cov B for us. 8 horses, no business, no riding, no lessons, etc.  Approved with animal exclusion, okay with CPL, no Cov B.</t>
  </si>
  <si>
    <t>Aune</t>
  </si>
  <si>
    <t xml:space="preserve">1998 frame/log dwelling quoted as PC9 w/20 min response. Supplemental woodstove, no info. Animal liab, no animal info on app. PCQ unclear about year round access. Volunteer FD, hydrant. </t>
  </si>
  <si>
    <t>Mapped distance FD to dwelling - over 10 miles. W/hydrant, this is a 10W. Advised Danielle as this is the second one today that listed a 9 but is a 10W. Asked for more info. We can provide a rate for this once we know accessibility and correct PC10W rate.</t>
  </si>
  <si>
    <t>.81 if not accessible,  .71 if accessible. (As long as this is over the VMGA 10W rate)</t>
  </si>
  <si>
    <t>Monkarsh</t>
  </si>
  <si>
    <t>1967 dwelling not in brush. Updates in 2000. Alarms unknown. Occupancy listed as primary, and noted as vacant. (?)</t>
  </si>
  <si>
    <t>Confirm occupancy, updates, alarms.</t>
  </si>
  <si>
    <t>Hein Heritage Trust</t>
  </si>
  <si>
    <t>Prescott Valley</t>
  </si>
  <si>
    <t>wood stove and solar panel primary heat source, never had insurance on it, responding fire department over 15 minutes, 482 sq ft, 1982 build, 5 acres with a well, visits about 4 times a year</t>
  </si>
  <si>
    <t>Too many eligibility concerns</t>
  </si>
  <si>
    <t>Laks</t>
  </si>
  <si>
    <t>Yael</t>
  </si>
  <si>
    <t>Insured lives in home, leases land to non-profit animal shelt-The Gentle Barn (GL policy in place). Quoted w/ animal liability and Cov B exclusions and TBE, no brush</t>
  </si>
  <si>
    <t>When is home used? (If in summer, stove will rarely be used). Need better Cov A - can be a subjectivity. Get info on heat reclaimer - not eligible if that is correct. //Danielle advised limited summer use, no heat reclaimer, will incr rate.</t>
  </si>
  <si>
    <t>Approval to offer terms with 10% surcharge</t>
  </si>
  <si>
    <t>a secondary home with some short-term rental only 6 weeks out of the year.; no central heat, woodstove primary heat source. Professionally installed and inspected by a fire department, 1980 build, in brush</t>
  </si>
  <si>
    <t>Greg &amp; Alison</t>
  </si>
  <si>
    <t>Dubois</t>
  </si>
  <si>
    <t xml:space="preserve">; lower valued, so subject to 15% surcharge </t>
  </si>
  <si>
    <t>Sheridan</t>
  </si>
  <si>
    <t>Cliff</t>
  </si>
  <si>
    <t>126 acres, nonrenewed from Chubb for 3 losses (03/2017-fire to main home-$1MIL; 08/2016-water $14K; 06/2015-tornado to horse barn-$0):Client owns 2 horses and 1 donkey and approximately 14 head of cattle. The property is NOT a working ranch / farm but for personal use only. Animal liability has been excluded</t>
  </si>
  <si>
    <t>Due to the number of farm animals they own, they are not eligible for liability coverage. As such, terms may be offered x-liability.</t>
  </si>
  <si>
    <t>Drago &amp; Kathy</t>
  </si>
  <si>
    <t>Daic</t>
  </si>
  <si>
    <t>approval to offer terms on this risk, subject to the Total Business Exclusion being applied and confirmation that they have a GL policy covering the blueberry business.</t>
  </si>
  <si>
    <t>Attached is a primary home located in TN. Home was built in 1996 of frame construction,  PC 9, blueberry picking business</t>
  </si>
  <si>
    <t>Eagerville</t>
  </si>
  <si>
    <t>Carl &amp; Nancy</t>
  </si>
  <si>
    <t>Wallenchinsky</t>
  </si>
  <si>
    <t>David &amp; Flora</t>
  </si>
  <si>
    <t>Author, home has alarms but not active so quoting with minimum deductible requirements for TIV</t>
  </si>
  <si>
    <t>Lang</t>
  </si>
  <si>
    <t>1974 home not in brush with alarms. Insured is a film producer.</t>
  </si>
  <si>
    <t>Theodore</t>
  </si>
  <si>
    <t>Covelo</t>
  </si>
  <si>
    <t>2008 dwelling in brush. WBS is primary heat. Response time reported as 10 minutes.</t>
  </si>
  <si>
    <t>Mapped 15-20 min drive time + volunteer department - will be more like 25 minutes. WBS floor protection not adequate. Should be 18" from unit to front of floor protection. In brush.</t>
  </si>
  <si>
    <t>Rubis</t>
  </si>
  <si>
    <t>1998 dwelling with lapse since 6/1/2017. Insured oversight. PC10-confirmed response time &lt;15 minutes. 7/19/18 tornado dmg to roof, $10-$15K damage. Agt applying roof excl and existing damage excl. TBE for cattle building construction business. Storage only and occasional employee visit to pick up. Has a GL. Meets clients at their locations.</t>
  </si>
  <si>
    <t>Good ins score. Apply existing dmg, roof, water damage, mold exclusion. Can remove when proof of prof repair received. 10% addl s/c for lapse. GL must be maintained.</t>
  </si>
  <si>
    <t>Esser</t>
  </si>
  <si>
    <t>1990 build,  flooring business on premise. The applicant uses an outbuilding on the property to store varnish and saw the flooring, there are employees on the premise but they do not have access to the home. Terms if offered would be subject to a total business exclusion and the outbuilding where the flooring business is housed would be excluded.</t>
  </si>
  <si>
    <t>Subject to GL policy in place</t>
  </si>
  <si>
    <t>White</t>
  </si>
  <si>
    <t>Built in 1975 with full update to the roof in 2014 and partial update to the heating in 2014. Brick veneer, PC10, no losses. 15-25 min response time</t>
  </si>
  <si>
    <t>approved, VMGA premium appropriate</t>
  </si>
  <si>
    <t>approved, with double VMGA premium</t>
  </si>
  <si>
    <t>Secondary (no winter access), 1999 build, non-renewal by Lexington for inaccessibility</t>
  </si>
  <si>
    <t>Idaho Springs</t>
  </si>
  <si>
    <t>Cynthia M. Schneider Living Trust, The</t>
  </si>
  <si>
    <t>Yontz</t>
  </si>
  <si>
    <t>Christine</t>
  </si>
  <si>
    <t>foreclosure in last 5 years-now closed. Was taking care of sick sister and got behind on payments. Insurance score S, 2000 build, PC 3, local alarm, 2014 loss for theft</t>
  </si>
  <si>
    <t>reviewed credit-also bankruptcy and open collections</t>
  </si>
  <si>
    <t>we would need to review an Unprotected Questionnaire. The rating is appropriate for a 6 month term. Please be sure they are aware that for a 6-month term there is a 50% Minimum Earned Premium.</t>
  </si>
  <si>
    <t>Vacant dwelling for sale, please note I credited premium to reflect 6-mo short term option.  There is a pending offer per Zillow site</t>
  </si>
  <si>
    <t>1 ,109,500</t>
  </si>
  <si>
    <t>New London</t>
  </si>
  <si>
    <t>Bartelli</t>
  </si>
  <si>
    <t>Short</t>
  </si>
  <si>
    <t>Fred &amp; Mary</t>
  </si>
  <si>
    <t>approval to offer terms on this risk, subject to the total business exclusion being applied, and confirmation that a GL policy is in place for the business exposure.</t>
  </si>
  <si>
    <t>avocado farm on premises, loss history-bathtub leak 06/2014; 10/2017-fence blown down in storm' 12/2017-shop and barn burned from wildfire.</t>
  </si>
  <si>
    <t xml:space="preserve">close to a brush zone, but is still in the city neighborhoods, and over 300 feet clearance.  The agent hasn’t advised of CSFB alarms.  </t>
  </si>
  <si>
    <t>Liang</t>
  </si>
  <si>
    <t>Haas</t>
  </si>
  <si>
    <t>Jeffrey &amp; Griselda</t>
  </si>
  <si>
    <t>Approved w/ appropriate claim surcharge</t>
  </si>
  <si>
    <t>Azevedo</t>
  </si>
  <si>
    <t>Loren M</t>
  </si>
  <si>
    <t>You have approval to offer terms on this risk subject to the rating being updated to a PC 10, the $10K AOP ded, and other structure exclusion.</t>
  </si>
  <si>
    <t>160 acres (no farming or ranching), has policy in place to cover liability so no liability needed, Just A, B, C, PC 10</t>
  </si>
  <si>
    <t>French</t>
  </si>
  <si>
    <t>Shane</t>
  </si>
  <si>
    <t>insured syndicated radio talk show host for Rover's Morning Glory</t>
  </si>
  <si>
    <t>approval to offer property terms on this risk. However, based on the current high-profile of the applicant, he would not be eligible for liability coverage.</t>
  </si>
  <si>
    <t xml:space="preserve">fire claim with an undetermined loss cause. Particularly one of this size. Given the Protection Class and the loss history, I'm not comfortable offering terms at this time. </t>
  </si>
  <si>
    <t>Risk is secondary family lake cottage home that had a total fire loss on 10/18/2016. No other losses. They were unable to determine what started the fire, but that it started in the living room</t>
  </si>
  <si>
    <t>Wild Rose</t>
  </si>
  <si>
    <t>James &amp; Lorene</t>
  </si>
  <si>
    <t>Gaudynski</t>
  </si>
  <si>
    <t>Vodde</t>
  </si>
  <si>
    <t>Ronald</t>
  </si>
  <si>
    <t>Cincinnati</t>
  </si>
  <si>
    <t>3 claims in one year, all dog scratches, still has dog. Quoted with animal liab exclusion</t>
  </si>
  <si>
    <t>Quoted w/ animal liab exclusion</t>
  </si>
  <si>
    <t>Nehring</t>
  </si>
  <si>
    <t>Phillip</t>
  </si>
  <si>
    <t>Gravois Mills</t>
  </si>
  <si>
    <t>metal building, 1-2 blocks from his lake home, stores boats and PWC's, has small living space (kitchen and bath), appraisal included</t>
  </si>
  <si>
    <t>premium OK for risk</t>
  </si>
  <si>
    <t>Ungar</t>
  </si>
  <si>
    <t>Ken &amp; Avan</t>
  </si>
  <si>
    <t>No brush</t>
  </si>
  <si>
    <t>no farming, livestock, just land for personal use</t>
  </si>
  <si>
    <t>2 homes, both in KS, 96 acres on first, 217 acres of second</t>
  </si>
  <si>
    <t>Shawn &amp; Sara</t>
  </si>
  <si>
    <t>Reis</t>
  </si>
  <si>
    <t>Jose</t>
  </si>
  <si>
    <t>Shelton</t>
  </si>
  <si>
    <t>Dyer</t>
  </si>
  <si>
    <t>Charles &amp; Heather</t>
  </si>
  <si>
    <t>Gastonia</t>
  </si>
  <si>
    <t>You may offer terms on this risk, subject to a $5K water damage deductible</t>
  </si>
  <si>
    <t>2 water losses, under $5K</t>
  </si>
  <si>
    <t>Theodore &amp; Sally</t>
  </si>
  <si>
    <t>Bolema</t>
  </si>
  <si>
    <t>Debra &amp; James</t>
  </si>
  <si>
    <t>Montreal</t>
  </si>
  <si>
    <t>03/3017-hail, 11/2016-washer hose ($0), 07/2016-water damage to rental condo</t>
  </si>
  <si>
    <t>claims on rental</t>
  </si>
  <si>
    <t>Kasal</t>
  </si>
  <si>
    <t>Hidden Hills</t>
  </si>
  <si>
    <t>06/21/2016-fire to other structure</t>
  </si>
  <si>
    <t>You may offer terms on the risk, with an other structure exclusion applied. Should they want to include coverage on the other structure, we would need to review the fire report or cause &amp; origin report, to confirm the cause of loss.</t>
  </si>
  <si>
    <t>Approval with 15% surcharge due to PC; confirmed truly no rental. Insured family is large and when go in town use both homes to house.</t>
  </si>
  <si>
    <t>Jared</t>
  </si>
  <si>
    <t>Jensen</t>
  </si>
  <si>
    <t>31 minute respond time, $2500 ded, 6041 County Road 11 Craig, CO 81625</t>
  </si>
  <si>
    <t>31 minute respond time, $2500 ded, 1000 County Road 11 Craig, CO 81625</t>
  </si>
  <si>
    <t>Jimenez</t>
  </si>
  <si>
    <t>Jorge &amp; Jennifer</t>
  </si>
  <si>
    <t>Client is established actor/writer/producer</t>
  </si>
  <si>
    <t>x-liability, current high profile actor</t>
  </si>
  <si>
    <t>all conditions met</t>
  </si>
  <si>
    <t>Don &amp; Marcie</t>
  </si>
  <si>
    <t>Croutch</t>
  </si>
  <si>
    <t>La'el</t>
  </si>
  <si>
    <t>approval property terms, x-liab due to high profile</t>
  </si>
  <si>
    <t>3 water claims in 3.5 years-01/18-pipe broke-$3500, 01/28/16-water damage-5600, 03/04/15-ice dam ($0); quoted with $5K Water ded</t>
  </si>
  <si>
    <t>Jessica</t>
  </si>
  <si>
    <t>Calvo</t>
  </si>
  <si>
    <t>Houghton</t>
  </si>
  <si>
    <t>Brett &amp; Ceree</t>
  </si>
  <si>
    <t>Lincolnton</t>
  </si>
  <si>
    <t>Vishal</t>
  </si>
  <si>
    <t>Khanna</t>
  </si>
  <si>
    <t>Shouse</t>
  </si>
  <si>
    <t>August &amp; Earl</t>
  </si>
  <si>
    <t>PC 10, DP1, ACV, AOP $5K, x-liab; quoted subject to inspection with EHP</t>
  </si>
  <si>
    <t>approved as quoted. $5, 535 premium OK</t>
  </si>
  <si>
    <t>Handelsman</t>
  </si>
  <si>
    <t>Yehuda</t>
  </si>
  <si>
    <t>1995 dwelling. $10K ded due to no alarm. No online photos. Not in brush.</t>
  </si>
  <si>
    <t xml:space="preserve">Clean risk  </t>
  </si>
  <si>
    <t>Vacation rental in Malibu, not brush exposed, CFSB alarms, 1947 build with updates</t>
  </si>
  <si>
    <t>grows/sells succulent plants (Evergreen Farm). Has commercial GL coverage and prop coverage with Hartford</t>
  </si>
  <si>
    <t>1984 dwelling with some updates. 2004 roof. 5/17 open dog bite loss. Dog sitter broke up fight between insured's 2 dogs. Jack Russel/beagle mix and plot hound. The plot hound bit. Insured still has the dog. Quoted with animal liability exclusion. Open reserve over $100,000.</t>
  </si>
  <si>
    <t>1995 frame dwelling with 2010 roof update. Insd is VP of Edible Arrangements. 1/18/18 loss $411,616 Leak from master bedroom toilet down into the kitchen. Good ins score. Quoted with $25,000 Water Damage Deductible. Also quoted with Animal Liability.</t>
  </si>
  <si>
    <t>famous musician, brush</t>
  </si>
  <si>
    <t>technically not in brush but added a 10% s/c. App, RM, aerial and quote attached. Rate is at $.20., 50 feet from brush per RM</t>
  </si>
  <si>
    <t>discussed with LT. Ok to offer terms since not in brush, FireLine score 10, large agency relationship for GA</t>
  </si>
  <si>
    <t>age of home qualifies for modified functional replacement cost, just want replacement cost; quoted with slight surcharge</t>
  </si>
  <si>
    <t>HV Nantucket risk, central station alarms</t>
  </si>
  <si>
    <t>Reviewed address online, and is advertised as  a large swimming school w/ instructors (FB review from within the past week regarding school). Insured purchased house in 01/2018 per app, so requesting clarification on her school (if in fact different than google search): https://www.hammondswimschool.com/about-us // Approved subject to x-liab (too many concerns, and $25K water ded as quoted)</t>
  </si>
  <si>
    <t>No water backup coverage. Surcharge loss + extra 10%. FireLine shows score '0' Negligible hazard.</t>
  </si>
  <si>
    <t>Approved, subject to x-liability. Per website, large operation. Animal interaction encounters/events/etc. https://www.gentlebarn.org/california</t>
  </si>
  <si>
    <t>10/2017-$201K fire loss around recessed lighting; home was recently renovated</t>
  </si>
  <si>
    <t>requested confirmation home has been checked by electrician since assume recessed lighting was put in during renovations//The agent confirmed that the electrical was inspected and everything passed, and an electrical box was added back to the home by the Electric company.</t>
  </si>
  <si>
    <t>reviewed, and discussed with LT. Applicant founded website for under reported government news. OK including Sect II</t>
  </si>
  <si>
    <t>BR-contractor requirements met, attached confirmation of drive distance and PC</t>
  </si>
  <si>
    <t>Secondary, 26 min response time, $2500 AOP, not accessible year round, quoted at $1632</t>
  </si>
  <si>
    <t>Thomas fire loss, 2017-$410,000-smoke damage</t>
  </si>
  <si>
    <t>2 water damage claims in last 3.5 years, broken pipe, pipe replaced. Hot water leak, replaced. Updated plumbing in building</t>
  </si>
  <si>
    <t>2 losses, one was a Lowes dishwasher faulty installation and the other is a sump pump failure</t>
  </si>
  <si>
    <t>offer terms on this risk, be sure the rate includes the two prior claims.</t>
  </si>
  <si>
    <t>Balkind</t>
  </si>
  <si>
    <t>1990 dwelling used as sec and airbnb. 23 acres of fruit trees and veg given to neighbors and used by insd in his restaurant. Burns coml dept writing Farm policy for liab.</t>
  </si>
  <si>
    <t>Jordan</t>
  </si>
  <si>
    <t>Curtis</t>
  </si>
  <si>
    <t>Request to insure 2 rental dwellings including premises liab. Insd is high profile former WA Redskins player. Also in the news for 2015 assault of girlfriend. He will stand trial shortly. Online articles reviewed.</t>
  </si>
  <si>
    <t>1 dog bit claim, 0 paid, dog no longer in home. 5 horses for personal use only, cows personal use only (use to graze land and cows for personal consumption). No cows now, but they get some occasionally.</t>
  </si>
  <si>
    <t xml:space="preserve">approval with animal liab excluded//subsequent conversation with Cheryl - advised we could write with animal liability </t>
  </si>
  <si>
    <t>Referred to Louisa with rec to decline the risks.  She agreed.  We fully declined due to high profile and the details of the case.</t>
  </si>
  <si>
    <t>Apply total business exclusion. Online shows 2 dwellings on prop. Rate as 2 family.//Addl info is that the farm exposure is titled to another entity name"Sane Farming Inc". Whether this is affiliated w/insured or not, feel the exposure is okay with separate policy and TBE.</t>
  </si>
  <si>
    <t>Huifeng International USA Inc.</t>
  </si>
  <si>
    <t>Arcadia</t>
  </si>
  <si>
    <t>2012 dwelling.  Tenant hired a babysitter who had a slip/fall and sued the insured. Insured is a for profit corporation. Premises liability is requested, but agt offered to quote excluding. No online adverse info about the corporation.</t>
  </si>
  <si>
    <t>Googled named insured and it is clearly an agrichemical corporation. Need full detail on ownership/use of this dwelling. If it checks out for investment only, then no liab. If different tenants came in could have premises liability.</t>
  </si>
  <si>
    <t>Dameris</t>
  </si>
  <si>
    <t>The Chazanas Family Living Trust</t>
  </si>
  <si>
    <t>2014 dwelling with alarms, not in brush. On beach with concrete pilings. Online photos look very good.  Capped zip.</t>
  </si>
  <si>
    <t>2014 dwelling in capped zip. Alarms. Not in brush, but near brush which appears acceptable. Agent applied surcharge. Home is 8 years old, may be a flat roof, but that is acceptable with no update and no endorsement/exclusion.</t>
  </si>
  <si>
    <t>Purisano</t>
  </si>
  <si>
    <t>David &amp; Laurel</t>
  </si>
  <si>
    <t>Tail end construction. Insured wants a 3 month policy and Lex won't provide. Construction almost complete.</t>
  </si>
  <si>
    <t>Risk was not insured with Lex in 2017 until it was 75% complete. Still not complete and now they want a 3 month policy with us. Not comfortable taking the tail end construction, and likely we won't retain it.</t>
  </si>
  <si>
    <t>Koo</t>
  </si>
  <si>
    <t>Kwan Mo</t>
  </si>
  <si>
    <t>1990 dwelling with $465K wildfire loss for 10/17. Not in brush area. Fireline is "2". In process of repair.</t>
  </si>
  <si>
    <t>Add 10% s/c. Fireline ok. Confirm cause. Exclude roof and water until repaired.</t>
  </si>
  <si>
    <t>Fowler</t>
  </si>
  <si>
    <t>Jon (Jonathan)</t>
  </si>
  <si>
    <t>Ran insurance score for support in the decision and it showed concerns of bad debt and delinquent accounts. Score UNDER 600 IN SURCHARGE RANGE.</t>
  </si>
  <si>
    <t>primary home in NE. Built in 2008 with full update to the roof in 2016. Brick veneer, PC10, two losses (2016-hail-$100K, theft from veh), 13-15 minute response time</t>
  </si>
  <si>
    <t>VMGA rate acceptable</t>
  </si>
  <si>
    <t>Spade</t>
  </si>
  <si>
    <t>Piedmont</t>
  </si>
  <si>
    <t>1921 very nice home (per online photos) not in brush. Insured is husband of the late Kate Spade. (App says brother, but I found no mention of a brother named Andres, only a husband.  DOB seems in line.)  No liab requested - they have it through a "family policy"</t>
  </si>
  <si>
    <t>Make sure we know who we are insuring. Ok x-liab. ERC okay.</t>
  </si>
  <si>
    <t>Sontonastasi</t>
  </si>
  <si>
    <t>Joan &amp; Kenneth Phillips</t>
  </si>
  <si>
    <t>1986 1600 SF airplane hangar used as storage for $250K contents until the insured's home is complete. Gated airport w/fire station. HH goods, nothing commercial or hazardous. Locked building. Roof and cosmetic exclusions. No one else uses.</t>
  </si>
  <si>
    <t>Ran insurance score - 780/840</t>
  </si>
  <si>
    <t>Low exposure, good security, metal building. Great insurance scores.</t>
  </si>
  <si>
    <t>Weiss</t>
  </si>
  <si>
    <t>Marty</t>
  </si>
  <si>
    <t xml:space="preserve">2002 vacant will be up for sale. No PC info. Online photos look okay.  There is "Marty Weiss" child star molester, but that individual is around age 55.  Our insured is 74.  </t>
  </si>
  <si>
    <t>Tried to run ins score to confirm occupation or info.  I could not get a result - said it was frozen per the consumer, and was under review.  DOB was confirmed.</t>
  </si>
  <si>
    <t>Lemon Grove</t>
  </si>
  <si>
    <t>1953 w/full updates in 2018. Fire loss, undetermined on 7/15/17. $130,000. Report provided is first responder fire dept report.</t>
  </si>
  <si>
    <t>Interesting that a fire started when no one was there on a 1953 rental. Definitely want fire marshal report to give us more info. Decline if we can't get comfortable with a cause. No adverse online info.</t>
  </si>
  <si>
    <t>Kopun</t>
  </si>
  <si>
    <t>Lynne</t>
  </si>
  <si>
    <t xml:space="preserve">1949 home, very nice per online pics. Updates in 1988, but agent thinks metal roof was updated more recently. Has alarms. </t>
  </si>
  <si>
    <t>Asked for cosmetic roof and ACV roof until condition/age could be confirmed, then could remove ACV roof. Gave info on brush clearance.</t>
  </si>
  <si>
    <t>Coffin</t>
  </si>
  <si>
    <t>1979 dwelling w/updated roof. Has non thermostatically controlled wall heaters. Agt proposing to quote DP1 and rewrite to DP3 when heating is updated.</t>
  </si>
  <si>
    <t>Need actual fire marshal cause &amp; origin. Report notes 2 unit (check rate). One unit - people were away in Mexico. Other unit was vacant. // C&amp;O from prior carrier does not indicate any suspicious cause. Did not add AP for loss being slightly over $100K because 5% that we often do won't add much.</t>
  </si>
  <si>
    <t>Hamlin</t>
  </si>
  <si>
    <t>1990 dwelling not in brush. No concerns.</t>
  </si>
  <si>
    <t>Not in brush, clean risk. PC2.</t>
  </si>
  <si>
    <t>Gines</t>
  </si>
  <si>
    <t>Erica</t>
  </si>
  <si>
    <t>Sicklerville</t>
  </si>
  <si>
    <t xml:space="preserve">1991 dwelling. Son was cooking 1/18 and burned the house down when a kitchen towel caught on fire, he put it in the trash, thought fire was out but it wasn't. He put the can outside and it caught the side of the house on fire. It spread and affected attached neighbors house too. No fire marshal report. </t>
  </si>
  <si>
    <t xml:space="preserve">Ran insurance score  </t>
  </si>
  <si>
    <t>poor score with collections and bad debt</t>
  </si>
  <si>
    <t>Suggested DP3 w/water damage exclusion. Insd agreeable to update to thermostats.</t>
  </si>
  <si>
    <t>Venice</t>
  </si>
  <si>
    <t xml:space="preserve">Insured exec w/ Golden State, 1938 build, complete renovation 2000.  </t>
  </si>
  <si>
    <t>property, applicant, premium ok</t>
  </si>
  <si>
    <t>Litner</t>
  </si>
  <si>
    <t>Alan &amp; Lorin</t>
  </si>
  <si>
    <t xml:space="preserve">Open loss:2 losses within 3 years, but all loss history is listed on the application.  There is a 5/20/2018 water damage claim that is open, and potential loss value could be $175,000 if not denied.  Chubb is having an engineer complete an inspection on the property to see if it’s a construction defect or ongoing issue.  They said if it’s not then the claim will pay around $175,000.  They are having water intrusion from their windows.  </t>
  </si>
  <si>
    <t xml:space="preserve">We could offer terms as suggested (with the roof and water damage exclusion), but must wait until the claim is closed or at least the repairs are nearly complete. We aren’t comfortable binding policies in the middle of a claims process, so would need to wait until we offer terms. </t>
  </si>
  <si>
    <t>Vankooten</t>
  </si>
  <si>
    <t>quoted exclusions, TBE, an GL maintained</t>
  </si>
  <si>
    <t>Reviewing Satellite photos of this property, it doesn’t appear that the home is in a historic district. However, please just confirm with the applicant. If it is not, and the property has been updated, you are able to offer terms with FRC.</t>
  </si>
  <si>
    <t>YOC 1868, home complete gut/rebuild, quoted FRC</t>
  </si>
  <si>
    <t>New Haven</t>
  </si>
  <si>
    <t>Khalil</t>
  </si>
  <si>
    <t>Hanania</t>
  </si>
  <si>
    <t>Yu</t>
  </si>
  <si>
    <t>COC, updating wiring in home (1945 build), but not in attached garage that has knob &amp; tube wiring</t>
  </si>
  <si>
    <t>Urlich</t>
  </si>
  <si>
    <t>Ivan</t>
  </si>
  <si>
    <t>Palso Verde Peninsula</t>
  </si>
  <si>
    <t>Started reno some, but living in home, all cosmetic. Admitted doesn't want, quoted with 15% surcharge on HO</t>
  </si>
  <si>
    <t>Inspection, premium, exposure acceptable</t>
  </si>
  <si>
    <t>Since this is not in brush, and the deductible is $10K to account for the lack of alarms, you have approval to offer terms on this risk.</t>
  </si>
  <si>
    <t>Boren</t>
  </si>
  <si>
    <t>zip code 90049</t>
  </si>
  <si>
    <t>Hawes</t>
  </si>
  <si>
    <t>Lucy</t>
  </si>
  <si>
    <t>Salt Lake City</t>
  </si>
  <si>
    <t>47 minutes response time, lo home, 2008 build, secondary</t>
  </si>
  <si>
    <t>Response time too high past max comfort of 30 minutes</t>
  </si>
  <si>
    <t>ran his insurance score and it is very good, so we can consider this with a 15% surcharge. Please just make sure a no loss statement is completed prior to binding, and order a rush inspection of the property.</t>
  </si>
  <si>
    <t>No coverage since 11/01/2017-insured cancelled auto and didn't understand that it included their home.Prepping to sale and noticed lack of insurance</t>
  </si>
  <si>
    <t>Augstin</t>
  </si>
  <si>
    <t>Pavel</t>
  </si>
  <si>
    <t>Howell</t>
  </si>
  <si>
    <t>03/10/2018-claim closed, $228,893, fire accidental, no negligence, repairs made but decided to renovate</t>
  </si>
  <si>
    <t>Premium appropriate for risk</t>
  </si>
  <si>
    <t>Holland</t>
  </si>
  <si>
    <t>1924 dwelling updates sporadic. Unknown if all plumbing is copper. Prior $40K loss - sprinkler system caused water to run to neighbors house and caused damage.  Initially said french drains installed; then found out that was not the case. Vegetation removed and sprinkler volume reduced by gardener. Also, house built on 2 parcels, need both addresses listed. Near brush.</t>
  </si>
  <si>
    <t>Exclude liab and $25K water ded to protect us until expert report on drainage received. Roof exclusion. MFRC. 5% brush surcharge. Statement from insd in file about their confusion on the drainage correction.</t>
  </si>
  <si>
    <t>Crockett</t>
  </si>
  <si>
    <t>Kimberly &amp; Craig</t>
  </si>
  <si>
    <t>Built in 1967 with full updates to wiring, heating, and plumbing in 2017 and roof in 2012. Frame, PC4, no losses, VMGA premium $1944, want to beat Allrisks Lloyd quote</t>
  </si>
  <si>
    <t>Approved risk, but at our VMGA premium. Can not beat quote</t>
  </si>
  <si>
    <t>Approved as quoted, with xliability and animal exclusion</t>
  </si>
  <si>
    <t>Open loss with reserve of $250,000 - The insured's dog (boxer/mastiff) got out of his fence and jumped on an elderly neighbor who fell and fractured her pelvis.  Still owns dog.</t>
  </si>
  <si>
    <t>Gillum</t>
  </si>
  <si>
    <t>Kelly/Lucas</t>
  </si>
  <si>
    <t>La Canada</t>
  </si>
  <si>
    <t>Boywe</t>
  </si>
  <si>
    <t>No brush, want to list their lighting company as Additional Interest, alarms in home, will be primary occupied</t>
  </si>
  <si>
    <t>Use, interest request, acceptable, no brush</t>
  </si>
  <si>
    <t>Alarms, no brush</t>
  </si>
  <si>
    <t>The app has alarms marked. The limits we are quoting are below. This is in Encino no brush &amp; PC1.</t>
  </si>
  <si>
    <t>Niloofar</t>
  </si>
  <si>
    <t>Javaherian</t>
  </si>
  <si>
    <t>not in brush, but 700+ feet away so applying 20% debit</t>
  </si>
  <si>
    <t>risk/premium acceptable</t>
  </si>
  <si>
    <t xml:space="preserve">For California, our current maximum TIV is $3M in brush. Additionally, for Malibu, we are not binding any risks in brush. </t>
  </si>
  <si>
    <t>secondary home in Malibu being non-renewed due to brush. It is up on the top of the hill but is within a mile of the fire station and within 500 feet of the fire hydrant. Built in 2008 with a full central station alarm system covering heat, smoke and burglary, tile roof.</t>
  </si>
  <si>
    <t>JG Family Trust</t>
  </si>
  <si>
    <t>nonrenewed form prior carrier due to open liab claim-friend in home during the night mis-took basement door as bathroom and fell down steps</t>
  </si>
  <si>
    <t>offer property terms on this risk, but must exclude liability. Once the claim is closed, and the liability decision is available, we could further review to determine if appropriate mitigators have been put in place to include liability. However, at this point, we cannot include liability.</t>
  </si>
  <si>
    <t>15% surcharge for response time</t>
  </si>
  <si>
    <t>PC 10 &amp; 16-24 min response time &amp; 8 miles to fire station, on 53 acres used for personal use only</t>
  </si>
  <si>
    <t>Klein</t>
  </si>
  <si>
    <t>comfortable going with the DP3 FRC, Roof Exclusion, Existing Damage Exclusion &amp; Water Damage Exclusion option. But only if they agree to have the necessary issues addressed within the first 30 days.</t>
  </si>
  <si>
    <t>Superior</t>
  </si>
  <si>
    <t>Kunpfner George D Estate</t>
  </si>
  <si>
    <t>Laurel</t>
  </si>
  <si>
    <t>Merle</t>
  </si>
  <si>
    <t>applicant not aware of lapse (almost a full year) until refinancing home</t>
  </si>
  <si>
    <t>Too long of a lapse</t>
  </si>
  <si>
    <t>premium acceptable for risk, no brush</t>
  </si>
  <si>
    <t>Hidalgo, LLC</t>
  </si>
  <si>
    <t>TIV too high for CA brush</t>
  </si>
  <si>
    <t>prior COC, about to be owner occupied, in brush zone</t>
  </si>
  <si>
    <t>Elisabeth</t>
  </si>
  <si>
    <t>Weinstock</t>
  </si>
  <si>
    <t>Horton</t>
  </si>
  <si>
    <t>PC 10 &amp; not accessible during winter, 14 min response time</t>
  </si>
  <si>
    <t>low TIV, insurance score A, premium appropriate</t>
  </si>
  <si>
    <t>subject water damage exclusion</t>
  </si>
  <si>
    <t xml:space="preserve">Partial cast iron plumbing (about 20%). </t>
  </si>
  <si>
    <t>Thomas &amp; Lisa</t>
  </si>
  <si>
    <t>Surman</t>
  </si>
  <si>
    <t>Schroeder</t>
  </si>
  <si>
    <t>Samantha</t>
  </si>
  <si>
    <t xml:space="preserve">Fire loss insured negligence, due to deep fryer left unattended. </t>
  </si>
  <si>
    <t>Approved with rush inspection, confirmed that platform removed or not a liability concern to rest of premises</t>
  </si>
  <si>
    <t>$100K claim-child fell at pool (off 8 in platform) in 2017. Quoted with pool exclusion and added surcharge</t>
  </si>
  <si>
    <t>Riverdale</t>
  </si>
  <si>
    <t>Twitchell</t>
  </si>
  <si>
    <t>Messina</t>
  </si>
  <si>
    <t>Paul &amp; Stephanie</t>
  </si>
  <si>
    <t>Risk is over 20 miles from wildfire (Ferguson) that is now 82% contained</t>
  </si>
  <si>
    <t xml:space="preserve">not aware of any internal restrictions that may have been put into place within your agency, but since it is over 20 miles away, you are able to move forward with this quote based on our guidelines. </t>
  </si>
  <si>
    <t xml:space="preserve">Approved subject to a new GC being in charge of project, </t>
  </si>
  <si>
    <t xml:space="preserve">50% into build (before GC had insurance on it), GC no longer involved. Now insured securing, and has subcontractors/architect in place to do work. </t>
  </si>
  <si>
    <t>Wasson</t>
  </si>
  <si>
    <t>Soldatos</t>
  </si>
  <si>
    <t>have approval to offer terms, subject to a rush interior/exterior inspection, no tours, and determination of rebuild requirements.</t>
  </si>
  <si>
    <t>Attached is a vacant  DP-3 located in WI. Home was built in 1926 will be fully updated in 2005 with the roof fully updated in 2016, PC 2, frequently checked on (vacant 10 years)</t>
  </si>
  <si>
    <t>Approved since primary occupied, ok to listed company as additional interest</t>
  </si>
  <si>
    <t>Company setting up LLC in USA, only managing members (2) will be in home, and their adult daughter. Want company listed as AI</t>
  </si>
  <si>
    <t>Crowder</t>
  </si>
  <si>
    <t>Goshen</t>
  </si>
  <si>
    <t>Water dmg exclusion</t>
  </si>
  <si>
    <t>offer terms on this risk, but please confirm that there aren’t any tours of the property. If there are, we will not be able to include liability. Also, please confirm whether or not there are specific requirements regarding rebuild in the event of a claim. If so, please be sure to include a surcharge to account for the possible increase in claim costs.</t>
  </si>
  <si>
    <t>Home on National Historical Registry, no tours</t>
  </si>
  <si>
    <t>Yenny</t>
  </si>
  <si>
    <t>Madrid</t>
  </si>
  <si>
    <t>Metzler</t>
  </si>
  <si>
    <t>open dog bite claim-dog bit cleaning lady</t>
  </si>
  <si>
    <t>subject to animal liab exclusion</t>
  </si>
  <si>
    <t>Approved with animal liab exclusion</t>
  </si>
  <si>
    <t>dog bit claim, 2 water claims (CAT losses-Water backup. Insured has installed new sump pumps to keep water out)</t>
  </si>
  <si>
    <t>Adam&amp; Rebecca</t>
  </si>
  <si>
    <t>Wolter</t>
  </si>
  <si>
    <t>Berry</t>
  </si>
  <si>
    <t>Scott &amp; Chrissie</t>
  </si>
  <si>
    <t>04/2016-theft (maids children stole jewelry - $48,928), 01/18/18-pipe burst, $27K, 01/19/18-los diamond- $18,660</t>
  </si>
  <si>
    <t>theft deductible $10K</t>
  </si>
  <si>
    <t>Costello</t>
  </si>
  <si>
    <t>Corinne</t>
  </si>
  <si>
    <t>Approved with appropriate claim surcharge</t>
  </si>
  <si>
    <t>to avoid risks that have an open claim--particularly an open water claim. Water claims can be quite extensive, and it is common for hidden damages and other issues to be revealed after repairs are well under-way. As such, we do need to wait until the claim is actually closed. Once the claim is closed, and the repairs are complete, we could consider as it sounds that they have put appropriate mitigation measures in place.</t>
  </si>
  <si>
    <t>Wilmette</t>
  </si>
  <si>
    <t>Sweitzer Properties LLC</t>
  </si>
  <si>
    <t>Chicago Title Land Trust</t>
  </si>
  <si>
    <t>If Les Golden was the occupant at the time of the loss, then I wouldn’t want to offer terms. However, if he is now in charge of the upkeep, and wasn’t in the home prior, I would be comfortable with you offering terms</t>
  </si>
  <si>
    <t>Huebert</t>
  </si>
  <si>
    <t>no brush, 1940 build, full updates to roof but partial to heat, wire, plumbing in 2017 so quoting Dp1 ACV, 22 acres leased out for orchards by Moonlight Company. Have own GL, quoted with TBE, other structures exclusions, farming</t>
  </si>
  <si>
    <t>appropriate exclusions/policy form in place</t>
  </si>
  <si>
    <t>quote appropriate</t>
  </si>
  <si>
    <t>3 weeks into interior reno, GC performing work</t>
  </si>
  <si>
    <t>San Marino</t>
  </si>
  <si>
    <t>Tse</t>
  </si>
  <si>
    <t>Vinny Inc</t>
  </si>
  <si>
    <t>multilocation rental, interested in scheduing on one policy</t>
  </si>
  <si>
    <t>advised can do schedules, as long as system can handle it</t>
  </si>
  <si>
    <t>NR due to losses, 10/2016 kitchen fire (electric issue), repairs made, 07/2017-water loss due to storms (no issues with home)</t>
  </si>
  <si>
    <t>Belton</t>
  </si>
  <si>
    <t>William &amp; Susan</t>
  </si>
  <si>
    <t>Schwerman</t>
  </si>
  <si>
    <t>offer terms on the risk, subject to a Cause &amp; Origin report confirming the fire loss was as described. If there was any insured negligence involved, we will not be able to bind this risk. Additionally, a 5% surcharge must be added to account for the large payout of the claim.</t>
  </si>
  <si>
    <t>Estate of Gerald Lind</t>
  </si>
  <si>
    <t>Ganado</t>
  </si>
  <si>
    <t>Reviewed-very few freezing days in this area, heater will not be needed nor used regularly. 5% surcharge for heat type</t>
  </si>
  <si>
    <t>Attached is MI home looking for HO3, RC, with a "C" insurance score. Home built in 2009, PC5, they run in-home fitness classes in their basement 5 days a week, by appointment only. We would be adding the total business exclusion, and the operation has their own GL policy.</t>
  </si>
  <si>
    <t>Mattawan</t>
  </si>
  <si>
    <t>Vale</t>
  </si>
  <si>
    <t>Goatam</t>
  </si>
  <si>
    <t>Herline</t>
  </si>
  <si>
    <t>Vacant , undergoing renovation, GC on project, info provided</t>
  </si>
  <si>
    <t>coverages/premium appropriate</t>
  </si>
  <si>
    <t>Salgado Living Trust</t>
  </si>
  <si>
    <t>not in fire zone, sustained smoke damage (over $100K) last year, repairs made., alarms in home, 2000 build</t>
  </si>
  <si>
    <t>requested additional 10% as claim $400K</t>
  </si>
  <si>
    <t>requested additional 5% due to size of claim</t>
  </si>
  <si>
    <t>Rodney &amp; Jana</t>
  </si>
  <si>
    <t>Newhall</t>
  </si>
  <si>
    <t>2017-Skunk died under home, smell permeated home. 2016-water; all repairs have been made, no brush</t>
  </si>
  <si>
    <t>5% surcharge, as long as home now monitored during absences</t>
  </si>
  <si>
    <t>Lapse since  04/2018 (was out of county and didn't realize policy cancelled). No loss letter was obtained.</t>
  </si>
  <si>
    <t>Havana</t>
  </si>
  <si>
    <t>Narendra</t>
  </si>
  <si>
    <t>Bhakta</t>
  </si>
  <si>
    <t>Caldwell</t>
  </si>
  <si>
    <t>Fountain Hill</t>
  </si>
  <si>
    <t>2001 dwelling with updates, metal roof. 20 minute drive time w/volunteer FD 10 miles from dwelling. New purchase. No online photos of dwelling.</t>
  </si>
  <si>
    <t>Adequate rate, lower value.</t>
  </si>
  <si>
    <t>$0.91 rate.</t>
  </si>
  <si>
    <t>1961 dwellingw/updates. App notes primary and also rental. Online photos look good. Notes composition roof, but possible flat roof per photos. Was with AIG, they nonrenewed.  Not in brush, under $3M TIV.</t>
  </si>
  <si>
    <t>This is within Hull's authority to approve - advised Luke.</t>
  </si>
  <si>
    <t>Muhlheim</t>
  </si>
  <si>
    <t>Eric &amp; Lauren</t>
  </si>
  <si>
    <t xml:space="preserve">1925 dwelling not in brush with full plumbing replacement and updates to wiring and roof.  3 prior losses - 1 sewer backup and 2 pipe losses.  .  </t>
  </si>
  <si>
    <t>Full plumbing replacement and agt applied addl 20% debit. Advised NO sewer backup covg.</t>
  </si>
  <si>
    <t>Make sure sewer backup was not added.</t>
  </si>
  <si>
    <t>Griese</t>
  </si>
  <si>
    <t xml:space="preserve">Newly rebuilt dwelling - prior $1.2M fire loss.  Fire dept report provided indicates cause is undetermined. Suspected it is electrical. </t>
  </si>
  <si>
    <t>10% surcharge due to size of loss.  Fire report acceptable.</t>
  </si>
  <si>
    <t xml:space="preserve">Kokomo </t>
  </si>
  <si>
    <t>score under 600</t>
  </si>
  <si>
    <t>Ran insurance score.  Tax liens, score in surcharge tier, some delinquent accounts. Not an account to write with &gt;$3M TIV.</t>
  </si>
  <si>
    <t>Mary J</t>
  </si>
  <si>
    <t>1940 dwelling updated on 2008. No losses. On pilings .2 miles from coast. Prior nrn. Lapsed 7/17/18. Agt to get no loss statement.</t>
  </si>
  <si>
    <t>We previously approved risk in 12/2017. Agent asking for review and approval to refresh terms.  Per prior app, covg lapsed in 1/2018. Agt to get no loss statement</t>
  </si>
  <si>
    <t>Ran insurance score - okay.</t>
  </si>
  <si>
    <t>Florian</t>
  </si>
  <si>
    <t>Michael J</t>
  </si>
  <si>
    <t>St Charles</t>
  </si>
  <si>
    <t>1963 dwelling updated. Open liability loss - insd lab dog bit neighbor. Insd keeping dog. Liability excluded.</t>
  </si>
  <si>
    <t>x-liab</t>
  </si>
  <si>
    <t xml:space="preserve">David </t>
  </si>
  <si>
    <t>Whitehead</t>
  </si>
  <si>
    <t>1979 dwelling w/roof update. Cosmetic renovation in addition to adding 14 pier rods to foundation. Nice home per online. Using contractor. Per form.</t>
  </si>
  <si>
    <t>Contractor liab in place</t>
  </si>
  <si>
    <t>Davidson</t>
  </si>
  <si>
    <t>1111 Pulali Point Rd.</t>
  </si>
  <si>
    <t xml:space="preserve">Brinnon </t>
  </si>
  <si>
    <t>Hultgren</t>
  </si>
  <si>
    <t>Scott &amp; Lynn Russ</t>
  </si>
  <si>
    <t>1963 dwelling with some updates. Plumb repl in 2008 per app. Roof in poor condition per app. $101,354 loss from toilet overflow still open. DOL 4/18/18. NRN from prior carrier.</t>
  </si>
  <si>
    <t xml:space="preserve">Asked for more detail - see email. Evaluate if all work is completed. </t>
  </si>
  <si>
    <t>Valle</t>
  </si>
  <si>
    <t>Philip &amp; Bree</t>
  </si>
  <si>
    <t>Atascadero</t>
  </si>
  <si>
    <t xml:space="preserve">2005 dwelling with 3 water losses (due to wind and faulty window installation). Agt quoted on HO8, wind/hail excl, exist dmg excl. New custom windows going in by 10/30/18. </t>
  </si>
  <si>
    <t>Also exclude mold. Address VMM loss on app $56K. Apply 25% s/c. Addl possible subjectivities on email if we proceed.</t>
  </si>
  <si>
    <t xml:space="preserve">McDougle </t>
  </si>
  <si>
    <t>Drskin</t>
  </si>
  <si>
    <t>1948 dwelling with asbestos roof. Allegedly updated in 2000 but that does not make sense. Detroit location. $70K purchase; $210 mkt value. No prior coverage, now insuring.</t>
  </si>
  <si>
    <t>Asbestos roof, no prior coverage - why now? Detroit address. Mkt val/RCE discrepancy.</t>
  </si>
  <si>
    <t>Taylor</t>
  </si>
  <si>
    <t>Leon &amp; Masha Levinson</t>
  </si>
  <si>
    <t>1956 dwelling with guest house.  Guest house had total fire loss from "unidentified" cause. But per subsequent report, could have been unattended candles. Primary home burned to ground by brush fire.</t>
  </si>
  <si>
    <t>Cause of loss indicates possible negligence. Ins scores ok.</t>
  </si>
  <si>
    <t>2005 dwelling nonrenewed by AIG due to 2 water losses. 11/17 $22K  7/18 $22K both were icemaker lines in 2 separate areas of house. Rated as masonry, but app states veneer. Rated as PC3, apps indicate 9.</t>
  </si>
  <si>
    <t>Adjust rating to wood, PC9 and resubmit.  $25,000 water damage deductible - high valued home and 2 similar losses.</t>
  </si>
  <si>
    <t>Marcia (Marsha)</t>
  </si>
  <si>
    <t>New Caney</t>
  </si>
  <si>
    <t>2007 dwelling. Insd owns a petting zoo which is taken off site. Has 65 acres with a barn where animals are kept.  CGL in place. Animal exclusion, Total Business Exclusion quoted.</t>
  </si>
  <si>
    <t>Research online showed visitors at the insured premises and their website offered visitors to come.  Concern of excessive defense costs should something happen. (Large animals, pony/camel rides.)</t>
  </si>
  <si>
    <t>Hal</t>
  </si>
  <si>
    <t>Marvin &amp; Gail</t>
  </si>
  <si>
    <t xml:space="preserve">2011 dwelling with adult day care at the property. 3-4 adults 5 days per week. Insured's are only employees. </t>
  </si>
  <si>
    <t>Confirmed acceptable activities and details online. Require CGL policy to be put in place and maintained.</t>
  </si>
  <si>
    <t>The Miller Family Trust</t>
  </si>
  <si>
    <t>New 2018 construction. Current carrier won't renew-reached their renewal max. Expect 3 months more $500K of work. Flooring countertops, updating electrical.Licensed/insured contractor but no name listed on the form.</t>
  </si>
  <si>
    <t>Asked numerous question to determine if we're willing to take on tail end construction that is 80% completed.  If we do it will be with a large premium surcharge.</t>
  </si>
  <si>
    <t xml:space="preserve">HO6 </t>
  </si>
  <si>
    <t xml:space="preserve">1989 condo located in brush. Good ins score. </t>
  </si>
  <si>
    <t>We have a project item to evaluate TIV for condos - need to increase the referral point.</t>
  </si>
  <si>
    <t>Lenzen</t>
  </si>
  <si>
    <t>Apply TBE, commercial policies, updated app.</t>
  </si>
  <si>
    <t>Boe</t>
  </si>
  <si>
    <t>Catherine &amp; Geir</t>
  </si>
  <si>
    <t>We wrote this risk previously - insd "forgot to renew" on 5/11 and just realized it. Agt proposing w/lapse charge + 5% charge.</t>
  </si>
  <si>
    <t>&gt;700 ins scores. Lapse reason acceptable.</t>
  </si>
  <si>
    <t>Warren F</t>
  </si>
  <si>
    <t>1982 condo w/updates. 3 water losses since 2004. Theft of watch and lost watch losses. PAF excluded.  Insd installed Water Leak Detection System w/shutoff and flowmeter. Repairs made.</t>
  </si>
  <si>
    <t>Excellent ins score, so less concern on any fraud aspect of PAF losses - although we won't cover PAF. Asked for $10K water damage ded for loss that could occur 'til shutoff kicks in. Asked for 10% s/c vs 5% credit.</t>
  </si>
  <si>
    <t>Mahler</t>
  </si>
  <si>
    <t>1942 dwelling with no updates purchased in 4/2018 and not insured since then. Has liab extended. Insured is renovating in 3/19, updating roof, plumbing and electrical then.</t>
  </si>
  <si>
    <t>Older, vacant, no updates. Has not been insured- so not seen as having value to the insured.</t>
  </si>
  <si>
    <t>Stone</t>
  </si>
  <si>
    <t>Joshua &amp; Amy</t>
  </si>
  <si>
    <t>1850 dwelling w/no update info. Borderline condition. Roof not in good shape.</t>
  </si>
  <si>
    <t>Condition, numerous exclusions need to apply.</t>
  </si>
  <si>
    <t>Fansher</t>
  </si>
  <si>
    <t>1963 dwelling FRC. Prior fire loss 9/10/17 $154,000. Electrical fire from piece of equip in office. App incomplete (uw questions).</t>
  </si>
  <si>
    <t>Need fire marshal report - first responder report was provided. Add 10% for loss size. Complete app. If fire is for the reason noted, Ins Score is A, we should be fine with this risk.</t>
  </si>
  <si>
    <t xml:space="preserve">1955 (maybe 1993?) dwelling used for adult home care/memory care. 2 employees, 4 patients, 2 owners live in the dwelling. Online website looks like a good facility. </t>
  </si>
  <si>
    <t>Womach</t>
  </si>
  <si>
    <t>Tyler &amp; Lori</t>
  </si>
  <si>
    <t>1962 dwelling with lab dog that bit friend. Open claim $50,000. Insd keeping dog. Animal liab exclusion applied.</t>
  </si>
  <si>
    <t>Ok with animal exclusion</t>
  </si>
  <si>
    <t>Ndei</t>
  </si>
  <si>
    <t>Adult day care submission. 4- 8 residents. GL policy in place.</t>
  </si>
  <si>
    <t>Weyerich</t>
  </si>
  <si>
    <t>Erin</t>
  </si>
  <si>
    <t>1900 dwelling that was a church, currently a library, being renovated to be a home. Agent says there are updates on systems. Roof is metal from 1968.</t>
  </si>
  <si>
    <t xml:space="preserve">Numerous questions about updates as there is galvanized plumbing. Roof exclusion. Covg A inadequate. </t>
  </si>
  <si>
    <t>Lazovik</t>
  </si>
  <si>
    <t>Did we get an actual fire marshal report here at Markel if this was issued?</t>
  </si>
  <si>
    <t>Kelner</t>
  </si>
  <si>
    <t xml:space="preserve">Coto De Caza </t>
  </si>
  <si>
    <t>One loss, prior owner. New owner taking strong action to mitigate any chance of future. Approved subj to contracting for work within 30 days of binding. Contemplated higher water damage ded, and decided against it. Not this insd loss. He is being pro-active.</t>
  </si>
  <si>
    <t>Plummer</t>
  </si>
  <si>
    <t xml:space="preserve">Cov B Limit &gt; Cov A. There is a cottage, dwelling, and 3 car detached garage on the premises.  $38K water damage with $0 paid by carrier. Insd paid out of pocket. </t>
  </si>
  <si>
    <t>McCawley</t>
  </si>
  <si>
    <t>Michael &amp; Julie</t>
  </si>
  <si>
    <t>1967 home with 1 closed small dogbite loss.</t>
  </si>
  <si>
    <t>Advised Cheryl this was within her authority.</t>
  </si>
  <si>
    <t>Riverhead</t>
  </si>
  <si>
    <t>Writing as vacant. Demolition 8/30/28 and leaving one wall. 2-3 months and will be enclosed.</t>
  </si>
  <si>
    <t>Moran</t>
  </si>
  <si>
    <t>Slidell</t>
  </si>
  <si>
    <t xml:space="preserve">Additional information shows business is more than first realized. Advised to take out an overall commercial policy and an HO4 thru another carrier.  Too much for us.  </t>
  </si>
  <si>
    <t>1989 home with "overflow" from insd auto sales on premises.  App says n/a to furnace update. Determined there is a furnace. Insd added a 3 bay garage to their house used for auto tinting. Used cars also on the property. Customers drop off and pick up cars for tinting. $300,000 GL policy.</t>
  </si>
  <si>
    <t>Travis</t>
  </si>
  <si>
    <t>1990 dwelling not in brush, but close to brush. Photos good, but some brush shows nearby. Nice online pics.</t>
  </si>
  <si>
    <t xml:space="preserve">This meets our criteria for approval. Apply 20% surcharge for proximity to brush. Ran FireLine - it is a 6, so I don't feel we have to decline the risk (since over $3M). </t>
  </si>
  <si>
    <t>Mullan</t>
  </si>
  <si>
    <t>No heat on seasonal home. Referred as HO-3 Secondary. No heat. Home updated in 2008.</t>
  </si>
  <si>
    <t>Approved subject to DP1, ACV and removal of mold and water backup.</t>
  </si>
  <si>
    <t>Appalachian</t>
  </si>
  <si>
    <t>Keenan</t>
  </si>
  <si>
    <t>Norwich</t>
  </si>
  <si>
    <t>home condition and fire loss unacceptable</t>
  </si>
  <si>
    <t>Dalrymple</t>
  </si>
  <si>
    <t>Ella</t>
  </si>
  <si>
    <t>Crooksville</t>
  </si>
  <si>
    <t xml:space="preserve">NR for losses. 2017 fire loss from a battery in garage. Home rebuilt. </t>
  </si>
  <si>
    <t>10% surcharge due to size of claim, and also C&amp;O confirming no insured negligence in loss</t>
  </si>
  <si>
    <t>Kemner</t>
  </si>
  <si>
    <t>Kimberly</t>
  </si>
  <si>
    <t>Premium appropriate for exposure, debris in pics so subj to debris removal</t>
  </si>
  <si>
    <t>Charley</t>
  </si>
  <si>
    <t>PC OK, no brush</t>
  </si>
  <si>
    <t>requirements met</t>
  </si>
  <si>
    <t>declined, no insurable interest at this stage and insured is the builder</t>
  </si>
  <si>
    <t>a gentleman who is a licensed contractor, well used to be licensed.  He is building his own home along with a pole shed.  However, he does not own the property he is building on and nothing will be in his name until the home is complete, approximately 1 year from now.  At that time, we will be getting a mortgage</t>
  </si>
  <si>
    <t>Katie</t>
  </si>
  <si>
    <t>Robinson</t>
  </si>
  <si>
    <t>Chartoff</t>
  </si>
  <si>
    <t>over $3M in brush</t>
  </si>
  <si>
    <t>Primary home, $10K ded, no losses, in brush</t>
  </si>
  <si>
    <t>Walton</t>
  </si>
  <si>
    <t>Ponte</t>
  </si>
  <si>
    <t>Dartmouth</t>
  </si>
  <si>
    <t>NR due to 01/2017 windstorm claim, 01/2018 CAT claim</t>
  </si>
  <si>
    <t>Confirmation of updates (1900 build) and all repairs made</t>
  </si>
  <si>
    <t xml:space="preserve">quote included 15% debit and $25k Water Damage Deductible. </t>
  </si>
  <si>
    <t>2016 water loss from pipe leak at dishwasher, 2 from 2017 as result of failing roof. Roof has been replaced, and plumbing updated</t>
  </si>
  <si>
    <t>Loretta</t>
  </si>
  <si>
    <t>Mitchell</t>
  </si>
  <si>
    <t>Abelhard</t>
  </si>
  <si>
    <t>Open claim: $75K payout so far, water back up, repairs underway</t>
  </si>
  <si>
    <t xml:space="preserve">You may quote this risk with no backup coverage, but we cannot bind until the repairs are completed. </t>
  </si>
  <si>
    <t>Large water damage loss, repairs still underway. Per agt, flooring, cabinets, etc still remaining</t>
  </si>
  <si>
    <t>Chad</t>
  </si>
  <si>
    <t>Oppenheim</t>
  </si>
  <si>
    <t>Collman</t>
  </si>
  <si>
    <t>Rodney</t>
  </si>
  <si>
    <t xml:space="preserve">Home is currently on one lot, and they plan to move to another lot. </t>
  </si>
  <si>
    <t>Advised can consider once reached final destination, if work done by a professional contractor</t>
  </si>
  <si>
    <t>2000 frame construction- Volusia county.  Local alarm. Maprisk attached- 12.52 miles distance to coast. Yankees baseball player, married, no adverse info found</t>
  </si>
  <si>
    <t>Online review no concerns, property in great condition</t>
  </si>
  <si>
    <t>Ratterman</t>
  </si>
  <si>
    <t>Richard &amp; Jean</t>
  </si>
  <si>
    <t>Glen Carbon</t>
  </si>
  <si>
    <t>1994 dwelling with 2 prior claims. 2/17 Hail $12K 4/17 Water dmg from leaky valve $24k. Both closed and repaired. Ins score H.</t>
  </si>
  <si>
    <t>This is within JMW authority but I didn't point that out - Lori is looking for support as they get used to our underwriting appetite.</t>
  </si>
  <si>
    <t>Farrelle</t>
  </si>
  <si>
    <t xml:space="preserve">Paul   </t>
  </si>
  <si>
    <t>1969 dwelling not in brush, no update info. Nice online pics. Extensive horse buildings and fencing. Boarding up to 8 horses with 2 addl horses owned by the insured. AirBnb of 2 units, and 1 full time rental in addn to seasonal use.</t>
  </si>
  <si>
    <t>PER ADDITIONAL CONVERSATION WITH JEFF MAY, WE SHOULD NOT BE WRITING THESE RISKS WHERE THE CLIENTS LIVE THERE. THIS IS TOO MUCH EXPOSURE. TOO MUCH LIABILITY THAT WE DON'T FEEL OUR EXCLUSIONS CAN CONTAIN.</t>
  </si>
  <si>
    <t>Further information provided was this had 3 permanent residents living on premises full time and no current daycare residents. There were 4 part time employees. As this was more of a nursing home, we suggested a commercial policy</t>
  </si>
  <si>
    <t>Gipson</t>
  </si>
  <si>
    <t>Reginal</t>
  </si>
  <si>
    <t>Primary home built in 1958, offering FRC. Frame, PC 1 with 4 losses. Will be primary home. Former renter damaged home (4 coverages from same incident)</t>
  </si>
  <si>
    <t>1972 dwelling gutted/rebuilt in 2008. Partially flat roof. $5K ded. Having a deck built that will take 4 months to complete. Builders risk? Okay to add primary home coverages?</t>
  </si>
  <si>
    <t>The insured is buying a Honomobo M1 container home.  It is considered a modular.  https://www.honomobo.com/pagem1/. This company manufactures prefab homes out of shipping containers and hooks them up on site.  It sounds like delivery and crane placement are separate.</t>
  </si>
  <si>
    <t>Asked numerous questions. Per UW Decision Doc, we can consider completed ones. Never had a new COC submitted.  Reviewed details with Jeff May and we approved (8/30/18). Crane exposure is typical in home building. May lose the risk after completion, but that happens in builders risk.</t>
  </si>
  <si>
    <t>Foran</t>
  </si>
  <si>
    <t>Michael P &amp; Kendle L</t>
  </si>
  <si>
    <t>Lapse since 2/2018, escrow was supposed to pay.</t>
  </si>
  <si>
    <t>Insurance score both under 500 w/numerous collections and more adverse info.</t>
  </si>
  <si>
    <t>Bristol</t>
  </si>
  <si>
    <t>Blazer</t>
  </si>
  <si>
    <t xml:space="preserve">2016 dwelling w/ prior garage and house fire due to careless smoking. Fire marshal report included. </t>
  </si>
  <si>
    <t>Careless smoking</t>
  </si>
  <si>
    <t>App says "no prior covg". Reason is because no rail on existing deck. Carrier nonrenewed.  Insd is replacing. Approve as builders risk, ok to add primary coverages since insd is living there subj to confirmation of temporary safety measures, or exclude liability.</t>
  </si>
  <si>
    <t>Von Normann</t>
  </si>
  <si>
    <t xml:space="preserve">PC 10 home quoted with another partner for half the premium. Frame, owner occupied, primary with stucco cladding. </t>
  </si>
  <si>
    <t>Unable to match premium between programs</t>
  </si>
  <si>
    <t>Hull is not scored and was the main difference between the two scores. We do not match program premiums.</t>
  </si>
  <si>
    <t>Lung</t>
  </si>
  <si>
    <t>Rodriguez</t>
  </si>
  <si>
    <t>Laura</t>
  </si>
  <si>
    <t>1907 dwelling updated fully in 2013. Inspection looks good. Insured operates law practice on the first floor of dwelling. Insured lives on 2nd floor. Kitchen on 1st floor personal use.  6 employees.  GL in place. Total Business Exclusion.</t>
  </si>
  <si>
    <t>Approve/subj</t>
  </si>
  <si>
    <t>Office exposure. Ask for workers comp confirmation as well as GL and TBE in place.</t>
  </si>
  <si>
    <t xml:space="preserve">Tiny House.  John is not aware this is ineligible per our guidelines. </t>
  </si>
  <si>
    <t>Provided research on tiny houses to give some other carriers that maybe could help.</t>
  </si>
  <si>
    <t>Schwarz</t>
  </si>
  <si>
    <t>Arkville</t>
  </si>
  <si>
    <t>1958 dwelling w/full updates in 03-05.  30 min response time. $1.25 rate</t>
  </si>
  <si>
    <t xml:space="preserve">Solid rate. </t>
  </si>
  <si>
    <t>Chandler</t>
  </si>
  <si>
    <t xml:space="preserve">DP1 </t>
  </si>
  <si>
    <t>1985 dwelling winterized. WBS primary heat. Roof and liab exclusion. Will be updated next year.</t>
  </si>
  <si>
    <t>Reichard</t>
  </si>
  <si>
    <t>1924 dwelling with all updates. 2017 $146K water loss. ($10K water ded added). 2016 fire loss from attic fan malfunction $528K.</t>
  </si>
  <si>
    <t xml:space="preserve">Small winterized cabin ok w/o heat. Agt to underwrite WBS. Ck occupancy. Verify lapse. No water, no collapse coverage. </t>
  </si>
  <si>
    <t>15% addl s/c for size of losses. (Mitigated some with $10K water ded).</t>
  </si>
  <si>
    <t>Dardis</t>
  </si>
  <si>
    <t>Pine Grove</t>
  </si>
  <si>
    <t>2016 home w/ detached storage structure. Building an attached garage - licensed contractor. Insd living there.</t>
  </si>
  <si>
    <t>OK for additional coverages since insd is living there.</t>
  </si>
  <si>
    <t>Ron-Doug-Robert Liebl Living Est</t>
  </si>
  <si>
    <t xml:space="preserve">Nashville </t>
  </si>
  <si>
    <t>1916 dwelling w/updates. 192 acres farmed and leased. Dwelling coverage only-x-liab. .64 rate quoted.</t>
  </si>
  <si>
    <t>.75 rate ($1,200). Confirm updates on OHQ (except water since DP1). Confirm condition w/inspection.</t>
  </si>
  <si>
    <t>Rosenquist</t>
  </si>
  <si>
    <t>Thor</t>
  </si>
  <si>
    <t xml:space="preserve">Leshara </t>
  </si>
  <si>
    <t>1920 dwelling w/WBS as heat. Updates to other systems. Prof installed WBS.  $1.06 rate</t>
  </si>
  <si>
    <t>Adequate rate, lower value. Requested proper clearance to flammables and proper floor protection for safety.</t>
  </si>
  <si>
    <t>Home is located on Indian Leased Land and the tribe wants to be an AI</t>
  </si>
  <si>
    <t xml:space="preserve">Generally tribal courts have jurisdiction over this land and individuals who reside on it. </t>
  </si>
  <si>
    <t>Remond</t>
  </si>
  <si>
    <t>Built in 1925, partial plumbing update in 2016, partial heating update in 2013, full wiring update in 2014 and full roof update in 1987 (roof exclusion will be added). 1 loss at another rental (fire due to tenant negligence); quoted on DP1</t>
  </si>
  <si>
    <t>loss on another premise, no insured negligence an DP1</t>
  </si>
  <si>
    <t>approved x-liability</t>
  </si>
  <si>
    <t>Built in 1999, full updates to everything in 2015. Frame,PC2, no losses, not in brush, applicant high profile current co-host of house flipping show on HGTV</t>
  </si>
  <si>
    <t>El Moussa</t>
  </si>
  <si>
    <t>The 2012 Jose Raul Cortes Trust</t>
  </si>
  <si>
    <t>Canoga Park</t>
  </si>
  <si>
    <t>debited 12% and appropriate exclusions in place</t>
  </si>
  <si>
    <t>Beverly Hills Risk, no brush, PC 1, TIV &lt;3M</t>
  </si>
  <si>
    <t>Sean &amp; Sharon</t>
  </si>
  <si>
    <t>Moghavem</t>
  </si>
  <si>
    <t>Changing the rental to a primary. Insured moves in two weeks. Currently daughter resides in home. There will be a lapse (and a charge) for the 2 days without coverage. One incident logged as four due to types of losses</t>
  </si>
  <si>
    <t>Marcous</t>
  </si>
  <si>
    <t>Bailey Island</t>
  </si>
  <si>
    <t>Secondary home in ME. Frame, 2012 roof and PC6. Home is winterized in the cold months but no heat source. Looking for ACV</t>
  </si>
  <si>
    <t>NFL rookie with Dallas cowboys, policy being cancelled by Nationwide due to noncompliance with inspection requirements (applicant's agent let fall through cracks while he is at spring training)</t>
  </si>
  <si>
    <t>Not in brush, lower PC, good home. Fireline shows high 11.  Since we are between $50M and $100M, comfortable writing the risk with the additional surcharge.  Med fuels, moderate slope, no historical wildfire activity.</t>
  </si>
  <si>
    <t xml:space="preserve">Insured has a felony assault conviction (no jail time) for fighting with ex-girlfriend and her boyfriend he caught in his family beachhouse. </t>
  </si>
  <si>
    <t>nr due to roof condition, agent quoted with roof exclusion and existing damage exclusion. Day care on premises owned by tenant</t>
  </si>
  <si>
    <t>No plans to update, advise if have plans to do so w/in 30 days can reconsider</t>
  </si>
  <si>
    <t>Subj to PC confirmation.  Does not appear to be the same Marty Weiss as in the news.</t>
  </si>
  <si>
    <t>Damage to fascia/soffit (needs paint), roof has t-lock shingles, agt is requiring interior/exterior inspection with EHP</t>
  </si>
  <si>
    <t>$10K ded, Malibu secondary, air bnb exposure, no brush, surcharge 15% any way</t>
  </si>
  <si>
    <t>Open liability claim-4 st. bernards in home,, one possibly bit Claimant (claimants friend and insureds dog got in fight). Quoted w/ animal exclusion</t>
  </si>
  <si>
    <t>built in 1940 with full updates to heating in 1999, wiring in 2007, roof in 2000 and plumbing in 2017 offering FRC dwelling settlement. Frame, PC2, one large fire loss</t>
  </si>
  <si>
    <t>history of water losses, including large back up claim earlier this year. Want back-up coverage</t>
  </si>
  <si>
    <t>Fire loss, originated in garage. Home was occupied by 91 year old woman, now in an apartment. Home completely rebuilt in 2013. Vacant/for sale</t>
  </si>
  <si>
    <t>1928 build, LLC for tax purposes, company cancellation due to claims. 08/27/2018 open water loss, home was vacant, not checked on, so damages extensive. Now, insured lives nearby and check home frequently. Current pay out is $501,000. Still open</t>
  </si>
  <si>
    <t>fire loss-creosote buildup in fireplace led to fire. Contained in fire place, but smoke damage throughout home</t>
  </si>
  <si>
    <t>Infrared heaters mounted to property</t>
  </si>
  <si>
    <t>non-renewed due to claims-07/2017-car drove into insured home, 04/2017-fire claim caused by occupant negligence (elderly woman,still lives in home), asbestos siding, 2 units rented through Section 8</t>
  </si>
  <si>
    <t>Frame, secondary, no losses, built in 1956/updated in 2006, located in MI, PC10, not accessible year round</t>
  </si>
  <si>
    <t>Advised could still be hidden damage based on stage of repairs. Agreed if they are in fact further along where hidden damage not a concern, may consider further</t>
  </si>
  <si>
    <t>1990 dwelling, new purchase for this insd. Prior owner had a $100,000 slab leak loss in 2017. Pipe was fixed, damage fixed. Insured to replace all plumbing and remove pipes from slab, moving them into the walls. Also will install water shutoff.</t>
  </si>
  <si>
    <t>Same risk submitted from a second retailer.  1990 dwelling, new purchase for this insd. Prior owner had a $100,000 slab leak loss in 2017. Pipe was fixed, damage fixed. Insured to replace all plumbing and remove pipes from slab, moving them into the walls. Also will install water shutoff.</t>
  </si>
  <si>
    <t>Freeze claim-prior carrier says heat not maintained. Asked for 60 degrees. Confirmed PC 9. Dwelling 4.2 miles from FD.  If ok, require completed app, verify rating for 4 fam, confirm all structures are part of this address, confirm occupancy.</t>
  </si>
  <si>
    <t xml:space="preserve">One wall is remaining, so not large demolition crew. Requiring confirmation on the demolition equipment. </t>
  </si>
  <si>
    <t>Soon to be vacant home with 3 claims (one liability claim 6/26/16 due to employee harassment case. PC code not given. Asking for $1M Liability. Large value home requesting $200k in contents.</t>
  </si>
  <si>
    <t>Must confirm date of home (2002 vs 1990) for correct rate. $200k approved if central station burglar alarm or must reduce to $50K. Vacant needs to be DF. Surcharge for 2 losses and no water back up.</t>
  </si>
  <si>
    <t>Original trustee passed, successor  trustee in home, rents out basement. Has music lessons in home, so added TBE and home rental endorsement</t>
  </si>
  <si>
    <t>Requested brush surcharge to be included (100-200 feet from brush)</t>
  </si>
  <si>
    <t>Estes</t>
  </si>
  <si>
    <t>Delores</t>
  </si>
  <si>
    <t>1986 dwelling w/no update info. Roof over 25 years old. UW quest re prior cancel/nrn blank on app. Fire dept first responder report included but not the full report; and no specific cause. Alludes to neighbors showing a/c seized up making noise. House already on fire then.</t>
  </si>
  <si>
    <t>Need C&amp;O or fire marshal report. Need uw quest answered. Possible roof exclusion</t>
  </si>
  <si>
    <t>Built in 1900, partial plumbing update in 2018, partial heating update in 2014, full wiring update in 2017 and full roof update in 2017. Frame construction ,PC6, one loss over $100,000. loss at this rental (fire due to tenant negligence); quoted on DP1</t>
  </si>
  <si>
    <t>Approved DP1, advised need to confirm loss cause since same location. Per applicant, it was caused by smoking of a prior tenant</t>
  </si>
  <si>
    <t>Schill</t>
  </si>
  <si>
    <t>Alberton</t>
  </si>
  <si>
    <t>Sent over as a PC9 but clearly a PC10. Awaiting suggested rate per guidelines for a PC10.</t>
  </si>
  <si>
    <t>Renewal that was coded as PC 5 but really a PC10. 2016 risk with central alarms and metal roof. This is in a more remote area that has brush exposure in montana. Home cleared to 300'.</t>
  </si>
  <si>
    <t>Requested it on a DP-1, complete the OHQ, confirm full roof replacement in 2012, no knob and tube or fuses. Surcharge 10% due to no heat and electrical and no water back up</t>
  </si>
  <si>
    <t>Ennis</t>
  </si>
  <si>
    <t>Julia</t>
  </si>
  <si>
    <t>Primary home in MD with  PC 10 and horse boarding business on premise. Markel has business liability and ergo is excluded on this policy. Animal excl and TBE have been added.</t>
  </si>
  <si>
    <t>Queenstown</t>
  </si>
  <si>
    <t>Baker</t>
  </si>
  <si>
    <t>Malibu risk (restricted zip) 1952 dwelling all updated recently. Ran fireline - high 8. Not in brush but surrounded by brush so agt applied 20% s/c.</t>
  </si>
  <si>
    <t xml:space="preserve"> We have been approving non-brush risks in this zip. Fireline is good.</t>
  </si>
  <si>
    <t>Trisha</t>
  </si>
  <si>
    <t>Updated home in Hidden Hills, escrow closing tomorrow. Not in brush. Other carrier app. No OHQ. Roof is 10 years old. Barns, fencing, screened sports enclosure in photos. App says diving board and slide.</t>
  </si>
  <si>
    <t>Asked for addl info on animals, screened enclosure, pool, wiring. Need Acord and OHQ after binding.</t>
  </si>
  <si>
    <t>San Diego risk, in high brush, being NR by current carrier due to brush score</t>
  </si>
  <si>
    <t>Pedro &amp; Mirella</t>
  </si>
  <si>
    <t>Navarrete</t>
  </si>
  <si>
    <t>Goosefish Invest LLC</t>
  </si>
  <si>
    <t>Contents seem fairly low for home &gt; 4000 sq ft. Asked for LLC form, confirmation on occupancy and reason for low contents.</t>
  </si>
  <si>
    <t>Quotes at $2500 and $5000 sent. Asking for only $50k for contents. 2007 home, PC 2 with central station fire and burglar alarms. State is primary residence, owned by an LLC. Listed for sale. Not sure if future purchase or currently vacant.</t>
  </si>
  <si>
    <t>Business covered by Markel Equestrian insurance. Must confirm the insurable interest of Kristina Ennis. With the sprinklers and alarms, seems like a solid PC 10 option.</t>
  </si>
  <si>
    <t xml:space="preserve">John </t>
  </si>
  <si>
    <t>Augys</t>
  </si>
  <si>
    <t>Beata</t>
  </si>
  <si>
    <t>Homer Glen</t>
  </si>
  <si>
    <t>1971  masonry veneer/frame home with cedar/wood/shingle siding.</t>
  </si>
  <si>
    <t>Open dog bite claim.</t>
  </si>
  <si>
    <t>Guntalilib</t>
  </si>
  <si>
    <t>Johnny</t>
  </si>
  <si>
    <t>Guadalupe</t>
  </si>
  <si>
    <t>Home built in 1994 frame. Updates in 2012 including roof. Roof is clay/tile. Large water loss of $186k in 2016. Annual roof and plumbing maintenance. Water damage deductible of $25k. Not in brush zone.</t>
  </si>
  <si>
    <t>Asked for roof age confirmation. 2012 tile roof with 2016 water leak does not seem likely. Applied 10% surcharge and agreed with the $25k water deductible</t>
  </si>
  <si>
    <t>Lashley</t>
  </si>
  <si>
    <t>Marilyn</t>
  </si>
  <si>
    <t>1909 Rowhouse in DC. Fully gutted and renovated in 2005. PC2. Rental</t>
  </si>
  <si>
    <t>Approved subject to water deductible. There is a flat roof. In addition, the row house needs to have a fire wall between the units</t>
  </si>
  <si>
    <t>Curtin</t>
  </si>
  <si>
    <t>Risk is closer than 2 miles to the coast which is currently ineligible. Risks with interior only renovation can be considered, but this one is far more extensive and involves both interior and exterior work.</t>
  </si>
  <si>
    <t xml:space="preserve">1955 Frame with $200k in renovations scheduled with licensed and insured general contractor. The risk is ~1 mile from the coast. They have debited it 23.5%. </t>
  </si>
  <si>
    <t>Ocean Gate</t>
  </si>
  <si>
    <t>Tuverson-Perkins</t>
  </si>
  <si>
    <t>2003 dwelling. Boat loss where drunk friend jumped off back of boat when son was backing up. Achilles injury. Policy paid limits and insured had to pay too. Insd still owns boat.</t>
  </si>
  <si>
    <t>X-liab if they still have boat.  If they sell, we can insure.</t>
  </si>
  <si>
    <t>Shockley</t>
  </si>
  <si>
    <t>Saint Louis</t>
  </si>
  <si>
    <t xml:space="preserve">Approved subject to repair confirmation. Roof, electrical and plumbing were all updated in full in 2017. </t>
  </si>
  <si>
    <t>1957 masonry veneer is primary home with large fire loss ($379k) due to dryer malfunction. IS of 'G'. Roof, electrical and plumbing were updated fully in 2017 (post-fire?)</t>
  </si>
  <si>
    <t>Malone</t>
  </si>
  <si>
    <t>Roy L</t>
  </si>
  <si>
    <t>Garden Valley</t>
  </si>
  <si>
    <t>Will verify no large barns and how dwelling is situated on the acreage. With no animal liab, risk is average. Brush s/c applied. FireLine is a zip match, but not above 9.</t>
  </si>
  <si>
    <t>This was submitted by another retail agent.  This quote has different coverages. New agt wanted matching rate, but coverages are higher.</t>
  </si>
  <si>
    <t>Same terms: Rate as 2 family. Definitely want fire marshal report to give us more info. Decline if we can't get comfortable with a cause. No adverse online info. Not agreeing to matching rate for diff coverages.</t>
  </si>
  <si>
    <t>Eckerman</t>
  </si>
  <si>
    <t xml:space="preserve">2018 newly built frame home in Malibu. Primary home near brush. Agent has 15% surcharge for the location. </t>
  </si>
  <si>
    <t>Great risk, all new. There are central alarms. Close to the fire department (PPC not given)</t>
  </si>
  <si>
    <t>Cauzza</t>
  </si>
  <si>
    <t>Jarod</t>
  </si>
  <si>
    <t>Primary frame home built in 1960. They have Also, the livestock they plan on keeping at this farm is a follow: 
Mini Horses (x2) - not for pony rides, Rabbits (x2), Goats (x2), Mini Pigs (x2), Alpacas (x2), Chickens (x12), Peafowl (x2). Allow for limited tours for families and children, using the home grown vegetables to allow visitors to feed.</t>
  </si>
  <si>
    <t>Curtiss</t>
  </si>
  <si>
    <t>Kriezel</t>
  </si>
  <si>
    <t>1957 home fully updated in the 70's-90s however it is unknown if there is lead plumbing. Agent applied $5,000 water damage deductible but wants to know if they can bind with water damage exclusion and remove if no lead.</t>
  </si>
  <si>
    <t>Wrightwood</t>
  </si>
  <si>
    <t>Uhlinger</t>
  </si>
  <si>
    <t>Insured wanted to add previous owner as additional insured as they will be financing the home through them.</t>
  </si>
  <si>
    <t>Since it is the insured asking for the additional insured and they are attesting to the financial interest, I’d be comfortable adding the previous owner as additional insured without any documentation. Additional insured gets their name on any claim checks which seems appropriate.  If it was the previous owner asking to be added, I’d make them prove their interest.</t>
  </si>
  <si>
    <t>Home looks to be in ok condition (listed online). The roof appears to be older and have asked for ACV settlement. There is also what appears to be a terraced area in the back. Have asked agent to review the area and take appropriate action if warranted.</t>
  </si>
  <si>
    <t>Cazorla</t>
  </si>
  <si>
    <t>Miguel</t>
  </si>
  <si>
    <t>Open claim and fire investigation not complete. Also note that no smoke detectors were not present in home. AC unit caught fire and spread to mattress and box spring on floor.  Search online mentions 6 units available in this building. Did not ask for clarification of fire wall between the two halves due to declination of fire investigation</t>
  </si>
  <si>
    <t>Shivpuri</t>
  </si>
  <si>
    <t>Sanjay</t>
  </si>
  <si>
    <t>South Barrington</t>
  </si>
  <si>
    <t>Brick home built in 1993. Repairs from fire getting wrapped up for effective November policy. Indoor pool.</t>
  </si>
  <si>
    <t>Provided the repairs are completed, the home looks good. Asked for roof exclusion if not completely replaced as roof would be 25 years old. TIV in app is much larger than the actual replacement value. Approve the replacement cost</t>
  </si>
  <si>
    <t>Dunbar</t>
  </si>
  <si>
    <t>Policy lapsed due to lack of funds. Referred to see if we would approve, with a signed no loss, without a lapse</t>
  </si>
  <si>
    <t>Within guidelines - referral not needed.</t>
  </si>
  <si>
    <t>Lacy</t>
  </si>
  <si>
    <t>Cornville</t>
  </si>
  <si>
    <t>1997 nice dwelling with large barn, fenced area, treehouse. Agt proposed to exclude 90x47 pond/waterfall.</t>
  </si>
  <si>
    <t xml:space="preserve">Treehouses are ineligible in most of our programs. To exclude pond and to ensure no issue w/treehouse liab, exclude liab overall. Also Building Excl for treehouse. Confirm no farm, no biz, no animals. </t>
  </si>
  <si>
    <t>Estate of Patrick J &amp; Carlotta Davis</t>
  </si>
  <si>
    <t>1964 dwelling. No update info. Prior water loss 7/17 $1000.  Also claim 2/17 - mentally ill adult son living in home murdered both parents. Claim was for cleanup. Agt asking for quote with roof exclusion.</t>
  </si>
  <si>
    <t>Discussed with Bethany who discussed with Audrey. Concern with moral hazard with house not selling.</t>
  </si>
  <si>
    <t>Not sure why it was referred. House looks great. Listed on line and in excellent condition.</t>
  </si>
  <si>
    <t>La</t>
  </si>
  <si>
    <t>Seat</t>
  </si>
  <si>
    <t>Cameron</t>
  </si>
  <si>
    <t>Too close to the coast. Nothing between the house and the water except some sand. Guideline is 1000'.</t>
  </si>
  <si>
    <t>Eyre</t>
  </si>
  <si>
    <t>Woodstock</t>
  </si>
  <si>
    <t>Numerous questions and subjectivities.  We can do this but there will be no liab and no covg for horse buildings. Feel this is not too much exposure.  Unless the PT therapy business I found via google pans out. BL: No business - prior owner. Homeowner cannot confirm updates, asked for roof exclusion, increased water deductible and AOP for lack of updates and age of home</t>
  </si>
  <si>
    <t>Dane</t>
  </si>
  <si>
    <t>Referred because they want to reduce the deductible from $20k for water</t>
  </si>
  <si>
    <t>Confirm full mitigation measures taken since the large loss.</t>
  </si>
  <si>
    <t>Herrera</t>
  </si>
  <si>
    <t>Leonel</t>
  </si>
  <si>
    <t>Vermillion</t>
  </si>
  <si>
    <t>1997 frame home vacant and for sale by son as estate of parents'. PC code not given. Large freezing claim on 1/19/2018. would like DP-3. Roof is original and 11 years old. Was USAA policy.</t>
  </si>
  <si>
    <t>Terrea</t>
  </si>
  <si>
    <t>1981 home in PC4 non-brush zone with central station fire and burglar alarms.</t>
  </si>
  <si>
    <t>Van</t>
  </si>
  <si>
    <t>Ontario</t>
  </si>
  <si>
    <t>Frame home build in 1958, with full wiring 2001, heating in 2007, roof in 2005 and partial plumbing in 2014. PC 2 with no losses. Business on the premises is a supply company and has a rental agreement. Total Business Exclusion will be applied</t>
  </si>
  <si>
    <t>The business appears to run over onto the property (picture on google from February 2018). Not sure the TBE would completely negate the exposure.</t>
  </si>
  <si>
    <t>Evergreen Property Consultants</t>
  </si>
  <si>
    <t>Cherry Hill</t>
  </si>
  <si>
    <t>BR has taken two years to complete. 1954 home  undergoing full renovations. Only kitchen remains and renews on 9/23/2018. Looking for renewal to the end of October. PC 5 frame home. Looking to increase coverage A value based on inspection in 2017 (should have been upped then).</t>
  </si>
  <si>
    <t>Barndt</t>
  </si>
  <si>
    <t>Brush exposed home. PC4. Has active claim that is newly reported due to wild fire. Inspection shows they are underinsured and want to increase coverage. After receiving new inspection, brush and dead trees have not been removed. Asking for them to be mitigated before increasing coverage. Also flagging for renewal pending confirmation this has been done.</t>
  </si>
  <si>
    <t>Subject to correct occupancy and brush removal they are approved for the increase.</t>
  </si>
  <si>
    <t>Marquis</t>
  </si>
  <si>
    <t>Jayson</t>
  </si>
  <si>
    <t>Poplar Bluff</t>
  </si>
  <si>
    <t>Primary home built in 2014. Runs boat business on the property (selling and customizing). Foot traffic from customers coming to get their boats.</t>
  </si>
  <si>
    <t>Not interested in this risk due to the exposure.</t>
  </si>
  <si>
    <r>
      <t xml:space="preserve">Discussed with Jeff. </t>
    </r>
    <r>
      <rPr>
        <strike/>
        <sz val="11"/>
        <color theme="1"/>
        <rFont val="Calibri"/>
        <family val="2"/>
        <scheme val="minor"/>
      </rPr>
      <t>Approved for 3 month fully earned BR. As soon as renovations are done, they need to write a vacant policy as the builders risk no longer applies.</t>
    </r>
    <r>
      <rPr>
        <sz val="11"/>
        <color theme="1"/>
        <rFont val="Calibri"/>
        <family val="2"/>
        <scheme val="minor"/>
      </rPr>
      <t xml:space="preserve"> Tammi called asking for clarification based on previous experience. The guidelines explain that the risk can be written as a vacant with a builders risk endorsement. They are approved providing they use the vacant occupancy for rating (per the guidelines).</t>
    </r>
  </si>
  <si>
    <t>Noel</t>
  </si>
  <si>
    <t>McQuillian</t>
  </si>
  <si>
    <t xml:space="preserve">Not given much information regarding the risk. The insured has one closed claim (no payment) for providing under aged minor with alcohol which lead to fatal accident. </t>
  </si>
  <si>
    <t>Approved but without liability.</t>
  </si>
  <si>
    <t>Poquette</t>
  </si>
  <si>
    <t>Aimee</t>
  </si>
  <si>
    <t>Home built in 1920 with full updates to wiring and roofing in 2018. Heating and plumbing updated in 2000. They are running a bookstore out of their attached pole barn. The barn is attached via a breezeway which is one concern. The photos included with the referral show a door frame out of line on the back patio, siding issues next to the side door and a porch with mildew and potential rot.</t>
  </si>
  <si>
    <t>The home is an open foundation built on wooden piers. Waiting for confirmation of prior policy expiration of 10/2014. Confirmed there has not been a lapse. Approved subject to occupancy. They are stating primary but it appears they are there seasonally.</t>
  </si>
  <si>
    <t>The business itself is only online. The pole barn just stores the books. Burns is rushing an inspection and providing an EHQ to confirm the condition of the home is good.</t>
  </si>
  <si>
    <t>Attached is a primary home in IL. Built in 1910, full updates to wiring and plumbing in 2001, heating in 2003 and roof in 2004. There is a professionally installed woodstove for secondary heat, . Frame,PC9, no losses. Business on the premises is a tree nursery. Some limited foot traffic. Separate coverage for business with commercial policy. TBE applied. Insurance score is an A.  There is a lapse since 11/2/2016. Insured says she did not receive any bills or cancel notices from Hartford. She just found out it had been non-renewed.</t>
  </si>
  <si>
    <t>Commercial policy will handle the business in addition to our TBE. Require an underlying GL policy to mitigate our exposure to the customers and exclude all outbuildings associated with the business.</t>
  </si>
  <si>
    <t>Asking for plumbing types to be confirmed. Home looks good. Attach absolute mold. If any questionable plumbing left then attach water exclusion.</t>
  </si>
  <si>
    <t>Dewitt</t>
  </si>
  <si>
    <t>Ervin</t>
  </si>
  <si>
    <t>TIV is over authority of $500k. Masonry home built in 1820. Not provided any other information</t>
  </si>
  <si>
    <t>Need more information about the risk due to the age of home.</t>
  </si>
  <si>
    <t>Kambur</t>
  </si>
  <si>
    <t xml:space="preserve">Two very high water losses 7/2017 (1.2M) and 8/2017 ($235k). Roll roofing has been installed, so Roof exclusion needed. Looking for high water deductible. Frame home built in 2011 with central smoke and burglar alarms. </t>
  </si>
  <si>
    <t>Water exclusion applied, roof exclusion applied as rolled roof life expectancy is 7-8 years,  no water backup and additional 25% surcharge for the water losses.</t>
  </si>
  <si>
    <t xml:space="preserve">Home had large fire loss. Contractor stopped working and needed a new one. Getting dropped due to length of repairs taking &gt; 2 years. 6600+ Sq feet home. </t>
  </si>
  <si>
    <t>Heinrich</t>
  </si>
  <si>
    <t>Racine</t>
  </si>
  <si>
    <t>Newly rebuilt dwelling. Large fire loss in 2016. Just completed renovations. Roof, electric, plumbing and heating all new in 2017.</t>
  </si>
  <si>
    <t>Reviewed fire report - due to lightning. Premium lower due to high insurance score. 1928 home has been completely updated due to the large fire loss</t>
  </si>
  <si>
    <t>Additional interest is ok for property manager. Additional insured is not. They are good.</t>
  </si>
  <si>
    <t>Trevino</t>
  </si>
  <si>
    <t>Requesting a backdate to avoid a lapse. Asked for more information</t>
  </si>
  <si>
    <t>Need more information about the lapse</t>
  </si>
  <si>
    <t>Brady</t>
  </si>
  <si>
    <t>Never had the home therefore it was never inforce</t>
  </si>
  <si>
    <t>Messenger</t>
  </si>
  <si>
    <t>Multiple water losses for this insured. Two on the primary home and one on their secondary home. Cheryl is asking to match a lower quote</t>
  </si>
  <si>
    <t>Asking for information about the quote.</t>
  </si>
  <si>
    <t>Sandberg</t>
  </si>
  <si>
    <t>Ruiz</t>
  </si>
  <si>
    <t>Asking for more information regarding contractor dispute and any other info (such as photos) to determine whether we will take this on. Lawsuit against original contractor filed in July. Photos of home show high quality, large home with finishing work needed.</t>
  </si>
  <si>
    <t>Como</t>
  </si>
  <si>
    <t xml:space="preserve">PC10 home built in 2016. Everything looks good (via zillow listing). </t>
  </si>
  <si>
    <t>Weddle Family Trust</t>
  </si>
  <si>
    <t>1992 home, 2 story frame. The request is to increase TIV based on the latest inspection. 19 miles from 90% contained fire</t>
  </si>
  <si>
    <t>Already insuring the property. Almost far enough away that we would insure a new property here</t>
  </si>
  <si>
    <t>Harrasser</t>
  </si>
  <si>
    <t>Granada Hills</t>
  </si>
  <si>
    <t>1961 vacant home built in 1961. Frame home without alarms. Home was rented and a tenant caused damages</t>
  </si>
  <si>
    <t>Looks like a good risk online (sale is listed as pending). Tenant was angry with the landlord. Way insurer listed the claims was by separate coverages. Asked for 1 claim and that is fine</t>
  </si>
  <si>
    <t>Haywood</t>
  </si>
  <si>
    <t>Requiring ACV Roof or exclusion. Michelle sent the quote out without approval after realizing the ACV was incorrect on her end. Risk looked fine (except the roof). I did request she let us know if we are on it.</t>
  </si>
  <si>
    <t>Frame home built in 2007. Tile roof looks like it has multiple broken tiles. Rest of the home looks very nice and well cared for - just the roof is an issue.</t>
  </si>
  <si>
    <t>Home referred due to fire within 20 miles. Fork fire is 98.8% contained and will not be considered 100% until fire lines replaced (per ranger contacted by agent)</t>
  </si>
  <si>
    <t>No active fire - just hot spots. Will not be considered out until lines replaced</t>
  </si>
  <si>
    <t>Piglitsin</t>
  </si>
  <si>
    <t>Vyacheslav</t>
  </si>
  <si>
    <t>Joswiak</t>
  </si>
  <si>
    <t>Half Moon Bay</t>
  </si>
  <si>
    <t>1980 frame home to be used as secondary. Joswiak is a higher profile insured as the VP for Product marketing at Apple. Roof needs replacing per the inspection. Balcony damage found, pre-existing damage endorsement. Trees must be trimmed back from home. All fascia, roof eaves must be fixed. Exposed electrical circuit breaker in the garage. Heat shield needed in the attic. light over a tub and GFCI in bathrooms</t>
  </si>
  <si>
    <t xml:space="preserve">Losses was in 2016 due to faulty fires in roof which was redone. App says home built in 2016 (seems off). </t>
  </si>
  <si>
    <t>Googled home shows a junk yard or something nearby. Gave approval subject to confirmation no business.</t>
  </si>
  <si>
    <t xml:space="preserve">Wanted to know if they could add the property manager as an additional interest. </t>
  </si>
  <si>
    <t>Allgood</t>
  </si>
  <si>
    <t>Debra</t>
  </si>
  <si>
    <t>Naperville</t>
  </si>
  <si>
    <t>De Silva</t>
  </si>
  <si>
    <t>Sunil</t>
  </si>
  <si>
    <t>Home located in PC2 brush. Stucco frame built in 1917 with all new updates in 2018.</t>
  </si>
  <si>
    <t>Due to condition of home, we will decline</t>
  </si>
  <si>
    <t>Home looks lovely but brush is right up against the home which isn't allowable with brush. Must confirm through inspection that the 150' defensible barrier is present or we cannot bind.</t>
  </si>
  <si>
    <t>Erdmann</t>
  </si>
  <si>
    <t>10w</t>
  </si>
  <si>
    <t xml:space="preserve">New home has central burglar and fire alarms. </t>
  </si>
  <si>
    <t>Watersmeet</t>
  </si>
  <si>
    <t>New home to be completed in October. In northern WI woods 5.7 miles from risk. FD says the estimated drive time is 10 minutes (also a volunteer department). Home is accessible year round. FD says 25-30 minutes volunteer and 20 min mutual aid with Land O Lakes. Referral came in as Land O Lakes, WI but the risk address is actually in Watersmeet MI.</t>
  </si>
  <si>
    <t>Stolzman</t>
  </si>
  <si>
    <t>Dana</t>
  </si>
  <si>
    <t>Redway</t>
  </si>
  <si>
    <t>Rental home built in 1976. 60 acres parcel of land in CA brush. There are no losses, no c/s alarms with a roof updated in 1998</t>
  </si>
  <si>
    <t>Declining any PC 9 and PC10s until we adjust the CA rates due to the market environment.</t>
  </si>
  <si>
    <t>Referred due to distance to coast</t>
  </si>
  <si>
    <t>On a barrier island which is ineligible</t>
  </si>
  <si>
    <t>Yerbey</t>
  </si>
  <si>
    <t>Chattanooga</t>
  </si>
  <si>
    <t>1930 home with plumbing, electrical and HVAC updates. The home has knob and tube wiring in the attic only. Would like to explore ability to write with renovation endorsement for 30 days to replace/remove the wiring.</t>
  </si>
  <si>
    <t>Looked back at prior knob and tube and this seems to be acceptable. Will need all of it removed and the attic must not be live until it is fixed</t>
  </si>
  <si>
    <t>Vogel</t>
  </si>
  <si>
    <t>Home built in 1969. 7 bedrooms. Composition shingles in 2016 inspection and now rolled roofing. On Airbnb, hotpads, etc. as a rental available for photoshoots. Now have a sound-proof nightclub available. Insured name also changed</t>
  </si>
  <si>
    <t>This is a business rental as they are hosting photoshoots. Concerned regarding the nightclub +</t>
  </si>
  <si>
    <t>Mingjing</t>
  </si>
  <si>
    <t xml:space="preserve">Pretty sure that this is a venue. Know that they can't "host" which is why they put "no parties" on their website despite building a "soundproof nightclub". </t>
  </si>
  <si>
    <t xml:space="preserve">No brush frame home built in 1995. 8030 square feet. In ground pool with complete updates for wiring, plumbing, heating and roofing in 2016. tile roof (2016 too). Central burglar alarm but no fire alarm. </t>
  </si>
  <si>
    <t>Need to confirm not running as an event venue. Not in a brush area. Do we have a rental form for this? Not central fire alarm and &gt;$2M therefore minimum AOP of$10k</t>
  </si>
  <si>
    <t xml:space="preserve">Need to exclude roof as it hasn't been replaced since home was built. </t>
  </si>
  <si>
    <t>No brush home. No central fire &amp; burglar. New home closing on 9/28. Asking for $10k deductible pending alarm confirmation. Built in 1983, partial updates on wiring and plumbing. Cedar/Wood shingle siding covers entire house.</t>
  </si>
  <si>
    <t>Melancon</t>
  </si>
  <si>
    <t>Logan</t>
  </si>
  <si>
    <t>Lockport</t>
  </si>
  <si>
    <t>Home built in 1998. Set on over 40 acres of land with 30+ heads of cattle. Metal home. Roof from 1998 with a partial update.</t>
  </si>
  <si>
    <t>Too many animals, large acreage and questionable whether we insure a metal home</t>
  </si>
  <si>
    <t>Peyton</t>
  </si>
  <si>
    <t>Brick veneer home built in 1998. Dog claim was closed for $1000. Cheryl was asking due to claim and increasing coverage C to 75%.</t>
  </si>
  <si>
    <t>Mitigating dog bite by excluding the animal. TIV increase is within JM Wilson authority.</t>
  </si>
  <si>
    <t>PRIOR REFERRAL. WANT ADDITIONAL COVERAGE A AMOUNT NOW. "1982 condo w/updates. 3 water losses since 2004. Theft of watch and lost watch losses. PAF excluded.  Insd installed Water Leak Detection System w/shutoff and flowmeter. Repairs made." mp</t>
  </si>
  <si>
    <t>Given Melissa already underwrote, felt comfortable coverage A increase was ok. MP: "Excellent ins score, so less concern on any fraud aspect of PAF losses - although we won't cover PAF. Asked for $10K water damage ded for loss that could occur 'til shutoff kicks in. Asked for 10% s/c vs 5% credit."</t>
  </si>
  <si>
    <t>Email/Phone</t>
  </si>
  <si>
    <t>Pace</t>
  </si>
  <si>
    <t>Mostly water damage at the back of the house.</t>
  </si>
  <si>
    <t>Stees</t>
  </si>
  <si>
    <t>Greenwood Village</t>
  </si>
  <si>
    <t>Large masonry veneer home built in 1996. Had large water loss in January 2018 while out of town causing &gt;$800k in damage. Home has a few more items (painting and trim work) before taking the home back in November. Have installed water turn off sensors in addition to the CS alarms.</t>
  </si>
  <si>
    <t>Moradzadeh</t>
  </si>
  <si>
    <t>Working on renewal and wondering about loss notice from January. Homeowner withdrew the claim in March. 1951 Frame home. Water deductible at $5k</t>
  </si>
  <si>
    <t>Already have bigger water deductible. OK with the risk.</t>
  </si>
  <si>
    <t>Neuerburg</t>
  </si>
  <si>
    <t xml:space="preserve">PC 10 with a response time of 37 minutes. May not be accessible in winter due to the snow. </t>
  </si>
  <si>
    <t>Would consider if the home was not so high in TIV. Without access year round, CSA, etc., this risk seems to high for future large loss.</t>
  </si>
  <si>
    <t>Orchard</t>
  </si>
  <si>
    <t>PC 10, no losses and a frame. Built in 1986 without any updates. Response time is 25-30 minutes. There has not been any coverage since the deceased owner's kids took over the property. They forgot to insure it. Rachel says she will get dated, no loss dletter form the date of lapse to present date.</t>
  </si>
  <si>
    <t>Will approve (Jeff took a look) with a 20% surcharge for  inaccessibility and the lapse. Need to exclude the roof and confirm the types of piping and exclude water if necessary.</t>
  </si>
  <si>
    <t>Stathis</t>
  </si>
  <si>
    <t>Primary home with large loss. Neighbor's house caught fire and caused large loss for exterior of house.</t>
  </si>
  <si>
    <t>Looks good. Will obtain a builder's risk supplemental prior to binding and a favorable COC inspection.</t>
  </si>
  <si>
    <t xml:space="preserve">Storage shed in rural setting with 17 minute response time on a PC 10. </t>
  </si>
  <si>
    <t>Muir</t>
  </si>
  <si>
    <t>La Pine</t>
  </si>
  <si>
    <t>Excellent risk. PC 5 means fire may be mitigate, but likely will lose it. No plumbing or electricity for perils. Shed seems to be in good condition based on limited pictures online.</t>
  </si>
  <si>
    <t>Dustin</t>
  </si>
  <si>
    <t>Hermosa Beach</t>
  </si>
  <si>
    <t>Home built in 1937. Unknown when updates to plumbing, roofing and electrical have been done. Home has had liability coverage but insured has been told to cover the property. Insured is well known hockey player for LA Kings.</t>
  </si>
  <si>
    <t>Katz</t>
  </si>
  <si>
    <t xml:space="preserve">Home built in 1974. Frame with stucco cladding. Complete updates were made to wiring (2012), plumbing (1985), heating (1985) and roofing (2012). </t>
  </si>
  <si>
    <t>Leung</t>
  </si>
  <si>
    <t>Kai</t>
  </si>
  <si>
    <t>Frame home built in 1970. Do not see updates listed. Will need confirmation on that. This is not in a brush zone but does have cedar siding.</t>
  </si>
  <si>
    <t>This zip code has been closed to new business but has now dropped to $44M in TIV so are asking for an exception. The home is not near any brush zones. Will accept the brush surcharge they suggested and ask for roof exception and $10 k water deductible if pipes are not completely updated</t>
  </si>
  <si>
    <t>Enrique</t>
  </si>
  <si>
    <t xml:space="preserve">Home located in Pasadena. Referral </t>
  </si>
  <si>
    <t xml:space="preserve">Did not put on coverage when purchasing the home in July. Confirm updates to the home's systems. </t>
  </si>
  <si>
    <t>Brumley</t>
  </si>
  <si>
    <t>Log home built in 2017. Aluminum wiring?EIFS siding along with logs. 40 acres of land. Reconstruction cost is $273,652. Confirm the amount.</t>
  </si>
  <si>
    <t>Shawn</t>
  </si>
  <si>
    <t>Home built in 2007. Vinyl siding, frame, Roof is original (11 years). Central Burglar and Smoke alarms?</t>
  </si>
  <si>
    <t>Trampoline exclusion,  no scheduled personal property, left theft deductible pending confirmation of CSA. Must charge for all three losses.</t>
  </si>
  <si>
    <t>Barretta</t>
  </si>
  <si>
    <t>Westbrook</t>
  </si>
  <si>
    <t xml:space="preserve">Loss of use listed as 450,000 (confirm). Built in 1999, frame and vinyl siding. In ground pool with approved fence. Large water loss of $144k. </t>
  </si>
  <si>
    <t>Remove 5% credit as they have a large water loss.  Agree with water exclusion.</t>
  </si>
  <si>
    <t>Alec</t>
  </si>
  <si>
    <t>Need more information on the guest house.</t>
  </si>
  <si>
    <t xml:space="preserve">Trampoline on premises. However, they note there is a guest house they will be using for rentals. Home built in 1941. Complete updates but year not noted. </t>
  </si>
  <si>
    <t>Baird</t>
  </si>
  <si>
    <t>Foresthill</t>
  </si>
  <si>
    <t>Frame, cedar sided primary home. Home built in 1970, full wiring and plumbing updates in 200, heating updated in 2008 and roofing updated in 2018. Two propane stoves and 1 back up wood burning stove.</t>
  </si>
  <si>
    <t>Value of the home (and TIV) is high for non-central heating in a brush zone. We are ok with alternative heat sources on low value seasonal cabin type risks</t>
  </si>
  <si>
    <t>1808 O.F., LLC</t>
  </si>
  <si>
    <t>Rental property right on the ocean in Del Mar. Melissa had been working with agent to get some interior inspection photos done. Today the pictures arrived and look fine. We are past any sort of inspection so we are on this home regardless.</t>
  </si>
  <si>
    <t>Must flag and get full inspection before next renewal date.</t>
  </si>
  <si>
    <t>Please check up on this during next audit and make sure inspection will be done.</t>
  </si>
  <si>
    <t>Belt</t>
  </si>
  <si>
    <t>Denise</t>
  </si>
  <si>
    <t>Busse</t>
  </si>
  <si>
    <t xml:space="preserve">Confirm condition of home, TBE due to kiln and pottery kept at the home. Little to no foot traffic involved. Subject to inspection. Attach supplemental heat form. </t>
  </si>
  <si>
    <t>Broken Arrow</t>
  </si>
  <si>
    <r>
      <rPr>
        <strike/>
        <sz val="11"/>
        <color theme="1"/>
        <rFont val="Calibri"/>
        <family val="2"/>
        <scheme val="minor"/>
      </rPr>
      <t>Home with built with aluminum wiring.</t>
    </r>
    <r>
      <rPr>
        <sz val="11"/>
        <color theme="1"/>
        <rFont val="Calibri"/>
        <family val="2"/>
        <scheme val="minor"/>
      </rPr>
      <t xml:space="preserve"> Agent noted that the wiring was incorrect. No knob and tube nor aluminum wiring. 10% surcharge for response time.</t>
    </r>
  </si>
  <si>
    <t>Taback</t>
  </si>
  <si>
    <t>Leona Valley</t>
  </si>
  <si>
    <t>8b</t>
  </si>
  <si>
    <t>Built in 1992, the home has csa for fire, temperature and burglary. Roof does not appear to have been updated since it was built. Frame home. 80361 sq feet.</t>
  </si>
  <si>
    <t>Review inspection thoroughly. Confirm address (looks like last two numbers transposed. Roof may need ACV</t>
  </si>
  <si>
    <t>Lannen</t>
  </si>
  <si>
    <t xml:space="preserve">Insured owns vacant lot next to property, no other structures or anything else on the vacant lot. Built in 1993, updates to systems 25 years ago, roof in 2001. PC says 2, but the home is 1000 ft from hydrant and 4 miles from station, seems to be PC 9. Fireplace and WB stove. </t>
  </si>
  <si>
    <t xml:space="preserve">Please check this during next audit to confirm PC was verified. </t>
  </si>
  <si>
    <t>Aarons</t>
  </si>
  <si>
    <t xml:space="preserve"> ACV roof due to roof age. PC change to 9 unless verified PC 2. Provide supplemental heat form. </t>
  </si>
  <si>
    <t>Lunco LLC</t>
  </si>
  <si>
    <t>2012 dwelling rated as brush as RiskMeter not producing a result. Prior NRN due to FireLine w/admitted carrier. Insd has 85 acres with chickens and 7 sheep used for weed abatement. No farming.  Agt applied animal exclusion.</t>
  </si>
  <si>
    <t xml:space="preserve">Confirm no animals on the farm, attach cosmetic damage for metal roof, TBE for the farm. </t>
  </si>
  <si>
    <t>Newman</t>
  </si>
  <si>
    <t>Home built in 2001. Frame home, CSA, with stucco siding. . Cinematographer and French closing retail store owner. Came in as primary but internet search shows numerous homes throughout the US.  Photos show pool with fencing around the perimeter.</t>
  </si>
  <si>
    <t>Home seems to be in excellent shape (new purchase and available on zillow). Confirm occupancy is primary as it appears it could be secondary/seasonal. Change the premium if that is the case.</t>
  </si>
  <si>
    <t>Ruecker</t>
  </si>
  <si>
    <t>Lukas</t>
  </si>
  <si>
    <t>Home will be remodeled over 6 months and insureds will reside there during the process. This is a frame home built in 1940 with CSA temp and burglary. The roof is tile. This is in a brush zone.</t>
  </si>
  <si>
    <t>Photos online show there are trees built into the decking and close to the home. I do not feel that 150' of defensible space will be possible without removing all of this.</t>
  </si>
  <si>
    <t>Schneider</t>
  </si>
  <si>
    <t xml:space="preserve">Close to brush zone (agent suggested brush s/c regardless. Built in 200 with a comp roof, CS alarms and interior sprinklers. </t>
  </si>
  <si>
    <t>Everything is in order. Sprinkler system is reassuring with the 3.3M TIV.</t>
  </si>
  <si>
    <t>Lynch</t>
  </si>
  <si>
    <t>Insured purchased the home. She will rent the home out as the "model home" to the builder to use as the show home. When the lease is up, she will take over the home as her primary. Home was built in 2017, frame with CSA.</t>
  </si>
  <si>
    <t>The home will be used as the business office for the builder. We do not insure commercial properties. Liability, foot traffic exposure are not appropriate for our program.</t>
  </si>
  <si>
    <t>Tanzman</t>
  </si>
  <si>
    <t>Home built in 1991. Complete updates to wiring, plumbing and roofing in 2014. Heating was updated in 2016. Frame home that will be used as rental home</t>
  </si>
  <si>
    <t>Must confirm the home will not be used as rental for/to commercial enterprises. Also confirm will not be used as event venue for weddings, corp events, etc.</t>
  </si>
  <si>
    <t>Nicotra</t>
  </si>
  <si>
    <t>Itasca</t>
  </si>
  <si>
    <t>Have mitigated what they can with new water sensors. Home is has copper piping throughout with both fire and burglar central alarm systems. 10/3/18 UPDATE: ALLISON SENT NOTE THAT A PRIOR LOSE WAS NOT REPORTED FOR HAIL IN 7/16 FOR $164K. ASKED FOR PERMISSION TO STAY ON. JEFF RESPONDED THAT NEED CLARIFICATION ON "FORGOT" THE LOSS DUE TO SIZE. GIVEN CONDITION OF HOME AND NON-DISCLOSED LOSS, AT LEAST 2% WIND/HAIL AND SURCHARGE FOR 2ND LOSS. ALLISON HEARD BACK FROM AGENT AND THEY SAID THEY DIDN'T HANDLE ORIGINAL TRAVELERS POLICY AND TOOK IT OVER WHEN IT NEEDED TO BE REWRITTEN. DISCUSSED WITH INSURED AND THE HAIL OCCURED WHILE REMODELING THE HOUSE THE FIRST TIME. CONFIRMATION FOR ROOF REPAIR WILL BE MADE.</t>
  </si>
  <si>
    <t>Wilks</t>
  </si>
  <si>
    <t>Levi</t>
  </si>
  <si>
    <t>Cisco</t>
  </si>
  <si>
    <t>Exclude the metal shop. Rest of the risk seems good.</t>
  </si>
  <si>
    <t>Home was built in 2010, Brick Veneer construction, with no updates. Central station burglar and fire alarm, no losses, PC10. It says the last policy expired in 11/17. Metal shop on premises only for personal use.</t>
  </si>
  <si>
    <t>Chaudoir</t>
  </si>
  <si>
    <t>Harold</t>
  </si>
  <si>
    <t xml:space="preserve">Renewal that was coded as PC5 but appears to be a PC10. Drive time is 16 minutes. </t>
  </si>
  <si>
    <t>Pagosa Springs</t>
  </si>
  <si>
    <t>Confirm the framing and siding is complete before renewal (shown in inspection) and railings on back steps were done. Smoke and CO detectors were also not present.</t>
  </si>
  <si>
    <t>Melvin</t>
  </si>
  <si>
    <t>Adrian</t>
  </si>
  <si>
    <t>Batavia</t>
  </si>
  <si>
    <t xml:space="preserve">Vacant home that is for sale built 1979, but insured has business on premises. Makes bagpiper canter reeds, no foot traffic, in area attached to home. Small tools total value $7,000. Covered by a separate GL. Roof updated 2007 full update. </t>
  </si>
  <si>
    <t xml:space="preserve">Apply TBE, rest of the risk seems to be in line with no other concerns. Vacant that will be check on due to insured having business still at property. </t>
  </si>
  <si>
    <t>Otto</t>
  </si>
  <si>
    <t>Playa Del Rey</t>
  </si>
  <si>
    <t xml:space="preserve">Primary home built 1999. Applicant is an accountant and runs a business out of his home. Has 1 employee, rarely any foot traffic and has a CGL. Loss of use was entered as "24 months." Sprinklers in home, burglar system. </t>
  </si>
  <si>
    <t xml:space="preserve">Apply TBE and update loss of use to dollar amount, not 24 months. </t>
  </si>
  <si>
    <t>Merrell</t>
  </si>
  <si>
    <t>Ashdown</t>
  </si>
  <si>
    <t xml:space="preserve">Referred due to fish market on premises. Primary home, with updates to roof and heating within last 5 years, and partial updates to plumbing and wiring. Fish market appeared to be ran out of front end of home from an attached structure. No CGL in place. Asking $100,000 liability. Stated 1-5 customers a day, 15 a week. </t>
  </si>
  <si>
    <t xml:space="preserve">Declined due to no CGL in place. Not a high limit of liability requested, but dealing with raw fish was a concern. The area where the business was conducted was in a structure attached to the home. Higher amount of foot traffic, based on info provided seemed to be more than 15 people a week. </t>
  </si>
  <si>
    <t>Carroll</t>
  </si>
  <si>
    <t xml:space="preserve">TBE due to practice done in home, seems to be responsible with other business coverages. Animal exclusion will also be applied, mentioned by agent. Confirm business questionnaire is completed and reviewed. </t>
  </si>
  <si>
    <t>Gamel</t>
  </si>
  <si>
    <t>Babcock</t>
  </si>
  <si>
    <t>Clint</t>
  </si>
  <si>
    <t>Muskegon</t>
  </si>
  <si>
    <t>Add water exclusion due to plumbing not being updated since year built and the three larger water claims. Also advised to get an updated cost estimator as the one they had was from 2016 and did not include debris removal in the value.</t>
  </si>
  <si>
    <t>Fishman</t>
  </si>
  <si>
    <t xml:space="preserve">Home built in 2007, appears to be a pretty good risk. Located on a golf course, no brush, good PC. </t>
  </si>
  <si>
    <t xml:space="preserve">Didn’t seem to be any concerns with this risk, overall seemed pretty good to approve without being subject to any terms. </t>
  </si>
  <si>
    <t xml:space="preserve">Two large losses - one was hail from 7/2018 in amount of $68,116, roof was replaced. Second loss was 2/2018 water damage in amount of $113,738 from toilet coupler break. Water detection system and auto water shut off system installed and damage repaired. Kerosene primary heat source. Requested Wind/Hail ded to be $10,000 due to new roof. *Update - follow up referral to add ERC. </t>
  </si>
  <si>
    <t>Due to prior hail loss, will require to leave wind/hail at 2%. Also, due to large water loss will require $10,000 water damage ded. Not excluding water since mentioned systems were installed. No further surcharge since we already surcharge enough through rating on losses, per convo with Jeff. *Update - approved subject to confirmation the home is insured at 100% replacement value</t>
  </si>
  <si>
    <t>Hageman</t>
  </si>
  <si>
    <t>Stodder</t>
  </si>
  <si>
    <t>Lynde</t>
  </si>
  <si>
    <t>Mirrashidi</t>
  </si>
  <si>
    <t>Payam</t>
  </si>
  <si>
    <t>Future History Music Group</t>
  </si>
  <si>
    <t>WWL Acquisition LLC</t>
  </si>
  <si>
    <t>2429 Vermijo LLC</t>
  </si>
  <si>
    <t>Posada</t>
  </si>
  <si>
    <t>Gonzalo</t>
  </si>
  <si>
    <t>Parseh</t>
  </si>
  <si>
    <t>Kinder</t>
  </si>
  <si>
    <t>Renewal policy - was rated as PC10 but agent supported a PC9 classification and asked that it be re-rated</t>
  </si>
  <si>
    <t>Verified PC</t>
  </si>
  <si>
    <t>PC10 single home in high brush zone</t>
  </si>
  <si>
    <t>Not interested in PC10 brush at this point if the home is by itself and not accessible by more than 1 road</t>
  </si>
  <si>
    <t>Glass</t>
  </si>
  <si>
    <t>Ridgeway</t>
  </si>
  <si>
    <t xml:space="preserve">Approved - 5 acres used for hunting on 68 acre property.  Limited exposure.  </t>
  </si>
  <si>
    <t>RCT provided was at 630K replacement cost - PC9 was not a concern given location but unclear why it was not insured to value</t>
  </si>
  <si>
    <t>Morales</t>
  </si>
  <si>
    <t>Menifee</t>
  </si>
  <si>
    <t xml:space="preserve">1994 year built. Insured had two prior water losses, 11/2015 and 2/2018. The 2018 claim is currently still open, but repairs have been made and they are just dealing with the settlement amount with prior carrier which is why still technically open. Affected areas were re-piped, but not entire home. </t>
  </si>
  <si>
    <t xml:space="preserve">Approved subject to confirmation that repairs have been made. $25,000 water deductible and also to confirm condition of roof, as no indication of update since year built in 1994 and to add ACV if necessary. </t>
  </si>
  <si>
    <t>Frame home built in 1999. No updates listed for wiring, plumbing, heaing or roof. Over the phone, Bobbi said they were dropped by admitted market for non-payment. UPDATE: Follow up from Bobbi indicating insured is filing claim with prior carrier for water damage in amount of $200,00. 2ND UPDATE: claim has not even been filed with prior carrier, appears damage is just sitting unrepaired</t>
  </si>
  <si>
    <t>Lazovik/Busse</t>
  </si>
  <si>
    <t>Inquired why property was not insured to value - response received and will be increased - PC9 approved</t>
  </si>
  <si>
    <t>Jacobs</t>
  </si>
  <si>
    <t>Nice oceanside property bought in foreclosure - going to be gutted and rehabbed</t>
  </si>
  <si>
    <t>Conditional on work starting in 45 days.</t>
  </si>
  <si>
    <t>Kingman</t>
  </si>
  <si>
    <t>1958 frame home updated heat in 2018, plumbing in 2008 and roof in 1998. 20 minute response time.</t>
  </si>
  <si>
    <t>This insured was non-renewed due to loss of appetite and brush concerns.  They have recently moved earth and built a pad in which to build a 2-car detached garage (1020 sq') and are just waiting for the permits to come through before their contractor starts. Partial wiring in 2017, plumbing (2008), heating (1988), roof (2008).</t>
  </si>
  <si>
    <t>Confirm fire department accessibility as the road is very narrow, make sure the contractor is covered and exclude the deck until it has been repaired.</t>
  </si>
  <si>
    <t>Home referred because it was built using RASTRA. Rated as masonry. Built in 2002. IS is A.</t>
  </si>
  <si>
    <t>Looks like a good risk online. RASTRA is insulated concrete forms. Rating as masonry makes sense. Ask to confirm the risk is not in brush. Surcharge if it is.</t>
  </si>
  <si>
    <t>There are multiple above ground tanks, PC 10 and in brush. The amount of risk coupled with the increased risk of multiple propane tanks is too high.</t>
  </si>
  <si>
    <t>Hesperia</t>
  </si>
  <si>
    <t>Home built in 1939. Wood shingle siding on frame home. Complete electrical, plumbing and roofing updates in 2003.</t>
  </si>
  <si>
    <t xml:space="preserve">Lapse occurred when owner was out of the country for five months. </t>
  </si>
  <si>
    <t>Home with lapse. Risk is in brush. Home built in 2017. CSA for fire and burglary. Stucco frame house.</t>
  </si>
  <si>
    <t xml:space="preserve">PC 10 with 14 min drive time. Property was not insurable for a little over a year after purchase. They have renovated the home and now want to insure it. Applicant grows vegetables for the farmers market on the land. 5 acres. Frame construction built in 1980 with full updates to wiring, roofing and plumbing. </t>
  </si>
  <si>
    <t>Due to distance to fire station and PC Code, Jeff opted to decline</t>
  </si>
  <si>
    <t>Davie</t>
  </si>
  <si>
    <t>2009 frame home in broward county FL. Owned by singer Jason Desrouleaux (Jason Derulo). Restricted liability due and no PI.</t>
  </si>
  <si>
    <t>Too famous. Desrouleaux is too high of a profile. Thought there is an LLC, you can easily google that the name is his record company.</t>
  </si>
  <si>
    <t>2005 frame home in broward county FL. Owned by singer Jason Desrouleaux (Jason Derulo). Restricted liability due and no PI.</t>
  </si>
  <si>
    <t>Home not in foreclosure as the Estate is purchasing it back. Tenant will be paying mortgage from now on.</t>
  </si>
  <si>
    <t>Home went into foreclosure due to mishandling after death of family member who was guarantor on the loan. LLC was set up by his trust. Tenant currently in home. Evicting tenant when home is purchase (and foreclosure gone). Frame home with vinyl siding built in 1973 with full updates in 2005</t>
  </si>
  <si>
    <t>Referred due to unusual limits. Coverage B is higher than A as large home is rental unit (newly renovated).</t>
  </si>
  <si>
    <t>Three buildings on the premises. Main smaller home and larger newly renovated rental. Homes built in 1900 and 1986 (rental).</t>
  </si>
  <si>
    <t>Balliet</t>
  </si>
  <si>
    <t>Glen</t>
  </si>
  <si>
    <t>Frame home built in 1900. Full roof in 2016 and partial for wiring (1990), heating (2006) and plumbing (1996). Two areas to the home. Second half is not accessible to the living area, including separate driveway. Post office is operated out of the other side.</t>
  </si>
  <si>
    <t>Mary D</t>
  </si>
  <si>
    <t>Must attach TBE for post office on other half. Feel comfortable there is good separation from the USPS on the other side. Also can only offer FRC/ACV settlement due to partial updates and age of home.</t>
  </si>
  <si>
    <t>Jon</t>
  </si>
  <si>
    <t>Hafer</t>
  </si>
  <si>
    <t>Burlington</t>
  </si>
  <si>
    <t xml:space="preserve">Home was non-renewed due to condition. Home has now been updated and they are looking to insure again. No explanation </t>
  </si>
  <si>
    <t>Reason for lapse is unclear.</t>
  </si>
  <si>
    <t>Elkins</t>
  </si>
  <si>
    <t xml:space="preserve">Home built in 1932, full updates in 2013. Two fires - one electrical event wiring in the attic (11/18/17) and another fire in the attic (4/10/18). RC is $112268.16. </t>
  </si>
  <si>
    <t xml:space="preserve">Two large fire events, both originating in the attic. Ongoing renovations have taken a long time due to DC regulations. </t>
  </si>
  <si>
    <t>Despite newer electrical (2013), two losses have occurred very close together. Not comfortable with the current wiring. Mr Elkins installed attic air handler near the origin of the fire.</t>
  </si>
  <si>
    <t>Hilary</t>
  </si>
  <si>
    <t xml:space="preserve">New roof in coastal area where we haven't had a lot of success selling. This risk is clean, looks </t>
  </si>
  <si>
    <t>Home built in 1990, 4478 square feet. Partial wiring and plumbing updated in 1997. Roof updated in 2018. Confirm no coverage B as garage is mentioned in the application. CSA for burglary and smoke.</t>
  </si>
  <si>
    <t>Grand Lake</t>
  </si>
  <si>
    <t>Falvey</t>
  </si>
  <si>
    <t>Cypress</t>
  </si>
  <si>
    <t>Does not appear to have the proper fire mat/surface surrounding fireplace. Subject to fixing the fireplace, they have approval with no animal liability, TBE and excluding all outbuildings and barns related to the business on property. Also ACV roof or exclusion.</t>
  </si>
  <si>
    <t>Asley</t>
  </si>
  <si>
    <t>Kanter</t>
  </si>
  <si>
    <t>1964 condo with CS temp and burglary alarms. No renovations listed. Primary owner occupied condo. Insured is well known producer. Has two  water losses of &gt;$500k and about $6k.</t>
  </si>
  <si>
    <t>What mitigation measures have been taken? Pending answer. Will remove water if none taken. At least a high water deductible is otherwise warranted. Asking for larger amounts of loss assessment, id theft and eq breakdown. Be sure to note we are not a market for the fine art and they should do stand alone policies for those.</t>
  </si>
  <si>
    <t>Migdaleck</t>
  </si>
  <si>
    <t>Lathrop</t>
  </si>
  <si>
    <t xml:space="preserve">Large fire loss via arson. Suspects not caught yet. Insured has installed additional cameras and 12' fence around property (with gate). Brick home built in 1927 with complete updates to all systems in 2010. </t>
  </si>
  <si>
    <t>Home is now well protected with large fence, cameras and lighting. Comfortable the a</t>
  </si>
  <si>
    <t>Primary heat is fireplace. Home was built in 1950. PC is listed as 4, but sent as a PC 9. Corrected. Jill said baseboard heaters are throughout. Home built in 1950 with full updates in '95 and roof in '07. Firewood is up against the home and agent has requested them remove it.</t>
  </si>
  <si>
    <t>Secondary home built in 2009. No losses. Located on 45 acres</t>
  </si>
  <si>
    <t>The response time is 18 minutes. In addition, it is a volunteer department which means response time is even longer.</t>
  </si>
  <si>
    <t>Freytag</t>
  </si>
  <si>
    <t>Kurt</t>
  </si>
  <si>
    <t>Lima</t>
  </si>
  <si>
    <t>Zip</t>
  </si>
  <si>
    <t xml:space="preserve">One open total fire loss on previous residence. Primary home built in 1993 with roof updated in 2004.  Above ground pool with approved fence. </t>
  </si>
  <si>
    <t>The prior fire was due to furnace connection on older furnace and was found to be accidental (due to corrosion). The current home is in good condition.</t>
  </si>
  <si>
    <t>Cavolt</t>
  </si>
  <si>
    <t>Lapse of over one year after non-renewed by Nationwide. In brush. Built in 1956 with partial updates to wiring (2000), plumbing (2003) and heating (2000). The roof was replaced in 2015. No alarm or sprinklers.</t>
  </si>
  <si>
    <t xml:space="preserve">Confirm that the brush and vegetation is within guidelines. Rush inspection. Signed notice of loss. Minimum AOP deductible of $5k and no discount applied for this. Apply surcharge of 15% for length of lapse and no reason. </t>
  </si>
  <si>
    <t>Two log cabinson the property. A woodstove is the primary heat source. One home was built in 1996 and the other in 2015. Soary power only, no plumbing except a 525 gallon cistern.  Cabins never insured but wants coverage now.</t>
  </si>
  <si>
    <t>Approved without liability</t>
  </si>
  <si>
    <t>Andreini</t>
  </si>
  <si>
    <t>Sunberry</t>
  </si>
  <si>
    <t>Frame home build in 2000. Roof has not been replaced yet. There was a garage fire in January 18 for $40k. Water loss in April 17 for $1200.</t>
  </si>
  <si>
    <t xml:space="preserve">Looks like there are baseboard heaters for all rooms except the main one, which is a fireplace.  </t>
  </si>
  <si>
    <t>Insured lives in home built in 1958. Frame construction. Do not see what renovations have been done, if any.</t>
  </si>
  <si>
    <t>Confirm age of roof, electrical and plumbing and handle according to the guidelines (given age of home). No liability allowed. Suggest minimum water deductible of $10k. Charge for the three losses</t>
  </si>
  <si>
    <t>Ballard</t>
  </si>
  <si>
    <t>Spring City</t>
  </si>
  <si>
    <t>Confirm the PPC. The water source 100 ft from their house is good, but they still have gravel roads. Adding surcharge of 10% for potential inaccessibility oif they do not confirm CS fire alarm monitored 24/7.  Lower TIV so a longer response time is more acceptable.</t>
  </si>
  <si>
    <t>Jonathon</t>
  </si>
  <si>
    <t>Marlin</t>
  </si>
  <si>
    <t>Decent IS. Lots of things going on here. Roof was just repaired after the water loss. Need more information in order to NOT exclude the roof. Remove tennis court. $25k deductible approved if plumbing replaced otherwise exclude.</t>
  </si>
  <si>
    <t>Two water losses in 2016 (5700) and 2017 (7556) on previous home.  Home built in 1994. Roof replaced in 2013.</t>
  </si>
  <si>
    <t>Surcharge for prior two losses. Water deductible is ok as this home has updated plumbing.</t>
  </si>
  <si>
    <t>Derouin</t>
  </si>
  <si>
    <t>Although well known, do not believe most in the general public are aware of Mr. Derouin. Has worked with many famous singers and artists.</t>
  </si>
  <si>
    <t>Approved x-liability</t>
  </si>
  <si>
    <t>Makuta</t>
  </si>
  <si>
    <t>Asking for 70% of value. Will only consider if full value.</t>
  </si>
  <si>
    <t>Large fire loss at a previous address due to lightening. Home was 25 miles from the home and was complete loss. About $78k loss. This is different home with water damage, wind and extended coverage Perils of $21,366. Insurance Score is an 'R'. Home has CSA for burglary and fire. Complete updates in 2000. Lapse as they moved in a month ago.</t>
  </si>
  <si>
    <t>With the large loss, PPC and lapse for two months, the risk as a whole does not look favorable.</t>
  </si>
  <si>
    <t>Ironton</t>
  </si>
  <si>
    <t>Rooney</t>
  </si>
  <si>
    <t>Confirm the CSA for burglary and fire station and sprinkler system. Confirm solar panels were installed by professional contractor. Recommending an extra 15% on top of the quote we supplied. Also asking if we are under on a lot of quotes right now.</t>
  </si>
  <si>
    <t>Ferry</t>
  </si>
  <si>
    <t>Maysville</t>
  </si>
  <si>
    <t xml:space="preserve">Frame home built in 2008. Original wiring, plumbing and roofing. Heat completely updated in 2018. Roof is metal. Had large fire loss in February 2018 over $300k. Insurance Score is an 'S'. </t>
  </si>
  <si>
    <t>Aguilar</t>
  </si>
  <si>
    <t>Ana</t>
  </si>
  <si>
    <t xml:space="preserve">Home built in 1958 with partial wiring and plumbing updates in 1995. Roof was replaced in 2007. No CSA. Not located in brush. </t>
  </si>
  <si>
    <t>Home over $2M requires deductible minimum of $10k. Theft ded also a minimum of $10k.</t>
  </si>
  <si>
    <t>Seger</t>
  </si>
  <si>
    <t>Baroda</t>
  </si>
  <si>
    <t>JS Properties</t>
  </si>
  <si>
    <t>Home built in 1946. Plumbing updated in 2016. Frame construction with stucco (per website). Roof is tile. Age unknown.</t>
  </si>
  <si>
    <t xml:space="preserve">Confirm Cast iron not in use for water supplies. Eyes need to be on the inspection and confirm condition of roof, plumbing and electrical. Attach water exclusion if cast iron used for carrying water. Confirm no business rentals on premises. Confirm roof condition at inspection. </t>
  </si>
  <si>
    <t>Schellinck</t>
  </si>
  <si>
    <t>Emigrant Gap</t>
  </si>
  <si>
    <t>PC 10 rating as brush as riskmeter is not finding the address. Added 10% surcharge for a lapse. Masonry home with Fire hydrant within 1001 ft and FD in 1 mi. Home was built in 1980. Not updates to heating, electrical, plumbing or roofing.</t>
  </si>
  <si>
    <t>There is a fire station within 1 mile of the home (via google maps - big bend fire department). It is a volunteer department but response time is more than adequate. Surcharge for brush exposure.</t>
  </si>
  <si>
    <t>Markley</t>
  </si>
  <si>
    <t>1945 frame home with full heating, wiring and plumbing updates in 1993. New roof in 2005. Looking for FRC terms. IS was a no hit. There is a 15 minute response time.</t>
  </si>
  <si>
    <t>Rye</t>
  </si>
  <si>
    <t>The CovA does not hit the minimum $100k but this is a cabin in CO which may have lower values. Fire wood pile must be moved and submit evidence that has been done.  Insurance score is a no hit.</t>
  </si>
  <si>
    <t>Kurzawski</t>
  </si>
  <si>
    <t>Bettye</t>
  </si>
  <si>
    <t>Copperopolis</t>
  </si>
  <si>
    <t>Large loss ($119,863). Lightning struck garage - total loss. Claim is closed and structure is rebuilt. Frame home covered with cedar/wood shingles.  There was a partial roof update in 2018. Partial plumbing update in 2018. Home built in 1992. Home located in brush.</t>
  </si>
  <si>
    <t xml:space="preserve">Surcharge for the brush. Roof must be either ACV or excluded based on the inspection. Removal of vegetation and trees per the guidelines as it is brush exposed. </t>
  </si>
  <si>
    <t>Crossett</t>
  </si>
  <si>
    <t>Home built in 1982 and is on stilts. Metal roof. Partial updates to wiring in 2018 and plumbing and heating in 2016. The roof was completely replaced by 2010. Primary heat is infrared gas heaters which are not rated for residential use</t>
  </si>
  <si>
    <t>Infrared heaters are not rated for residential use but mostly in commercial settings. Also a PC 10 with 20 minutes response time.</t>
  </si>
  <si>
    <t>Boseman</t>
  </si>
  <si>
    <t>Enz</t>
  </si>
  <si>
    <t>Gunter</t>
  </si>
  <si>
    <t xml:space="preserve">I am not seeing a fire station within .1 miles but about a 15 minute response time. Coupled with a volunteer fire department response, this would be ineligible for the program unless confirm the address was incorrect or the correct fire station address. </t>
  </si>
  <si>
    <t>Sheha</t>
  </si>
  <si>
    <t>As this BR is already mostly complete, thorough  review at inspection. Exposure is lower.</t>
  </si>
  <si>
    <t xml:space="preserve">CSA for smoke, temperature and burglary, Frame home, tile roof built in 1997. </t>
  </si>
  <si>
    <t>Confirm CSA.</t>
  </si>
  <si>
    <t>Hanson</t>
  </si>
  <si>
    <t>Home built in 1958. Open claim regarding insured dog (coonhound) bit neighbor after they fell down. Ongoing legal matter. Complete system work in 2012.</t>
  </si>
  <si>
    <t>I feel the ongoing legal matter with the neighbor could make this home a target.</t>
  </si>
  <si>
    <t>Donfeld</t>
  </si>
  <si>
    <t xml:space="preserve">Must be ACV or FRC. Confirm closed foundation - not open. Animal exclusion if they have another dog. Can exclude roof or use the fire and lightning only roof endorsement. Suspicious the roof is no longer viable. </t>
  </si>
  <si>
    <t>Madole</t>
  </si>
  <si>
    <t>Juanita</t>
  </si>
  <si>
    <t>Home is vacant as it is up for sale.  There is a 3 month lapse as it was non-renewed due to vacancy and they did not go and get insurance. Obtaining no loss statement and adding 10% lapse surcharge.</t>
  </si>
  <si>
    <t>O'Flanagan</t>
  </si>
  <si>
    <t>Sandra</t>
  </si>
  <si>
    <t>Grafton</t>
  </si>
  <si>
    <t>Reviewed pictures online. Nothing jumps out. Charging for the lapse.</t>
  </si>
  <si>
    <t>Slate</t>
  </si>
  <si>
    <t xml:space="preserve">Losses are odd. First one is 2016. Clue says Liability and they say water leak. Then next loss is water leak and say all copper was replaced with PEX. </t>
  </si>
  <si>
    <t>Insured left Amish church on October 1st. No insurance prior as the church covers everything as a community. Stove is a gas furnace/wood stove combo heating unit. Electrical needs are supplied by solar panels and a generator.</t>
  </si>
  <si>
    <t>The home getting heated by a wood burning furnace is a high exposure. Response time is about 15 minutes as the home is outside the nearest city. Since the response is long and the increase risk for fire is high, I passed on this one.</t>
  </si>
  <si>
    <t>Song</t>
  </si>
  <si>
    <t>Ki Chang</t>
  </si>
  <si>
    <t>2016 water and theft losses. Water was $173k. Home has since been re-piped and they now have monitored alarm. Also have CS Burglar alarm. Frame home with stucco built in 1989.</t>
  </si>
  <si>
    <t xml:space="preserve">Redid all of the piping and now have fully monitored alarms for both theft and water. Confirm fire alarms. </t>
  </si>
  <si>
    <t xml:space="preserve">Sensors and shut off not yet installed. Water exclusion until then. $10k deductible unless house gets re-piped and then can use AOP. </t>
  </si>
  <si>
    <t>McKarns</t>
  </si>
  <si>
    <t>Frame home built in 1963. Full remodel in 2006 with an addition. No CSFB alarm so $10k theft deductible. ACV Contents.</t>
  </si>
  <si>
    <t>Yomtobian</t>
  </si>
  <si>
    <t xml:space="preserve">No CSA so agree with theft deductible. </t>
  </si>
  <si>
    <t>Two large losses. Fire in 2017 for $664K. Fire investigation appears to be laptop which had recall for spontaneous battery fires. Repairs are complete. Tree fell on fence 2/18 ($2k). Home built in 2007 with frame construction.</t>
  </si>
  <si>
    <t>Fire was due to a laptop. Loss surcharge is 25% for 2 losses and feel that is adequate.</t>
  </si>
  <si>
    <t>Bristow</t>
  </si>
  <si>
    <t xml:space="preserve">Waiting for reason another 45 days on open claim. Referral guide cautions open physical damage claims. Will need to charge for 2 losses as there is another one listed on the app. Water loss from 2015. Pending contents settlement, losses are repaired. </t>
  </si>
  <si>
    <t>Open total fire loss ($249,929). Cause is undetermined. IS is a 'K'.  Home was re-built in 2018 after the fire.</t>
  </si>
  <si>
    <t>The Barn Cat Coon Creek Farm</t>
  </si>
  <si>
    <t>Fayetteville</t>
  </si>
  <si>
    <t>Attach TBE (volunteers so it wouldn't impact their quilting). Asking for coverage A only.  Asked for more information regarding where the building is located for fire response purposes. Added S/C of 10% for response time.</t>
  </si>
  <si>
    <t>Barksdale</t>
  </si>
  <si>
    <t>Norman</t>
  </si>
  <si>
    <t>Aurora</t>
  </si>
  <si>
    <t>Concerned insured's wife smokes out on the deck regularly but is "careful". Insured's nephew may have started the fire that day. Increased exposure due to ongoing smoking in the house.</t>
  </si>
  <si>
    <t>Bayless</t>
  </si>
  <si>
    <t>Frame home with stucco siding and brick built in 1989. Copper plumbing throughout.CSA for smoke, burglar and sprinklers.</t>
  </si>
  <si>
    <t>Full sprinkler protection with full CSA. Was not given brush information.</t>
  </si>
  <si>
    <t>Freiwald</t>
  </si>
  <si>
    <t>Wadmalaw lsland</t>
  </si>
  <si>
    <t>Batra</t>
  </si>
  <si>
    <t>Vikrant</t>
  </si>
  <si>
    <t>Full central station fire/burglar alarms. Out of brush. Frame home built in 2002. Tile roof. No prior losses.</t>
  </si>
  <si>
    <t>Mejia</t>
  </si>
  <si>
    <t xml:space="preserve">PC 10 with response time over 20 minutes. </t>
  </si>
  <si>
    <t>Welsh</t>
  </si>
  <si>
    <t>High TV in brush</t>
  </si>
  <si>
    <t>Frame home built in 1975. Wiring, plumbing and roof all replaced in 2010. Home is in brush.</t>
  </si>
  <si>
    <t>Attach TBE, exclude buildings, make sure pool excluded if not a proper fence</t>
  </si>
  <si>
    <t>Weidenweber</t>
  </si>
  <si>
    <t>Home built in 1997. frame with stucco and stone siding. Clay tile roof. Fire hydrant within 100 ft. CSA for burglary. In Brush.</t>
  </si>
  <si>
    <t>PC10 with high TIV and in brush.</t>
  </si>
  <si>
    <t>Pierpont</t>
  </si>
  <si>
    <t>06883</t>
  </si>
  <si>
    <t>One fire claim in 2018. CSBF combo alarm. Built in 1940. Frame home with complete updates to wiring, plumbing, heating and roofing in 2018 (after fire). Fire started while under renovation. The metal firebox was defective and touching the wood, igniting the interior wall. This was not under construction. Insured was burning construction material.</t>
  </si>
  <si>
    <t>Confirm the repairs are complete. Also confirm the remodeling is complete as we will not insure if insured is GC. Confirm CS alarms for both burglary and fire are installed.</t>
  </si>
  <si>
    <t>94920</t>
  </si>
  <si>
    <t xml:space="preserve">Not in brush. Central fire and burglar, along with full sprinklers. Composite shingle roof completed in 2000 along with wiring and plumbing. Home built in 1976. </t>
  </si>
  <si>
    <t>Confirm condition of roof and use ACV if warranted.</t>
  </si>
  <si>
    <t>80401</t>
  </si>
  <si>
    <t>Two prior losses. One Hail (CAT) claim of $35k (2017). Water claim in 1/2018 for failed toilet supply line. Kitchen remodeling in process. $161K in repairs. Home built in 1991 frame. Asphalt roof replaced in 2018. No CSA.</t>
  </si>
  <si>
    <t>Weaver</t>
  </si>
  <si>
    <t>93644</t>
  </si>
  <si>
    <t>63141</t>
  </si>
  <si>
    <t>Goad</t>
  </si>
  <si>
    <t>Gregory</t>
  </si>
  <si>
    <t>Do not want to insure home inhabited by minor (and $4M TIV).</t>
  </si>
  <si>
    <t>Losses were all for prior property and 2 were hail. Recommending 4 losses and surcharged 10% to us. Stand alone policy for the jewelry.</t>
  </si>
  <si>
    <t>Concessi</t>
  </si>
  <si>
    <t>Oscada</t>
  </si>
  <si>
    <t>48728</t>
  </si>
  <si>
    <t>Water loss was small. Waiting on garage fire investigation. Fire due to insured burning paper in a metal container, then she placed it in the garage on the cement floor next to the garbage can. They suspect the embers started the fire. Pending inspection, roof should be either ACV or excluded due to the age.</t>
  </si>
  <si>
    <t>Helen</t>
  </si>
  <si>
    <t>Kennebunkport</t>
  </si>
  <si>
    <t>04046</t>
  </si>
  <si>
    <t>Home built in 1890. Frame home. Wiring updated in 1980's. Plumbing updated. Roof updated in 2011. Heat is done with a monitor heater fueled by oil. There is no thermostat.</t>
  </si>
  <si>
    <t>Olesen</t>
  </si>
  <si>
    <t>91301</t>
  </si>
  <si>
    <t>We do not accept homes in brush with TIV over $3M.</t>
  </si>
  <si>
    <t>Welker</t>
  </si>
  <si>
    <t>Guest home is not rented out.  Monitored alarms. Cal fire is closer than FD listed and is present all winter (unlike most CalFire stations).</t>
  </si>
  <si>
    <t>Santa Paula</t>
  </si>
  <si>
    <t>93060</t>
  </si>
  <si>
    <t>Home built in 1998. Tile roof is original. Frame home with stucco siding. Interior and exterior sprinklers. 7 miles from FD. Insured installed 2 private hydrants as well as 3 wells and 5 water tanks.</t>
  </si>
  <si>
    <t>Not within our new pared down rules for Hull. This is a PC 10 in brush with TIV &gt; 1.5</t>
  </si>
  <si>
    <t>Weintraub</t>
  </si>
  <si>
    <t>90272</t>
  </si>
  <si>
    <t>Due to recent remodeling and everything is updated coupled with the CS alarms, the risk looks good. Confirm gut remodel or consider ACV or FRC.</t>
  </si>
  <si>
    <t>Valner</t>
  </si>
  <si>
    <t>Alberto</t>
  </si>
  <si>
    <t>Whitefish</t>
  </si>
  <si>
    <t>59937</t>
  </si>
  <si>
    <t xml:space="preserve">Home has 20 minute response time.  Frame home built in 1995. Central smoke and burglar alarm. </t>
  </si>
  <si>
    <r>
      <t>Pending whether generator, pump and dry hydrant will be complete by binding. NO DISCOUNT should be applied.  We will not schedule tractors or watercraft (on application) Mitchell, this is probably just the entire account so not necessarily looking for coverage. H</t>
    </r>
    <r>
      <rPr>
        <i/>
        <sz val="11"/>
        <color theme="1"/>
        <rFont val="Calibri"/>
        <family val="2"/>
        <scheme val="minor"/>
      </rPr>
      <t>omes over $2M TIV are required to have a CSA burglar and fire. If none exists then they must have $10k AOP and $10k theft deductibles per the guidelines.</t>
    </r>
  </si>
  <si>
    <t>CSA requirement must be highlighted if we approve this one (in subject to wording). No discounts should be applied. Subject to NO discounts. Actually, log homes get a 10% surcharge. Make sure they have input it as log. We could probably compromise at 5% if pressed. My guess is Cheryl said it was frame. See E&amp;S U/W document for log home discussion.</t>
  </si>
  <si>
    <t>Need to know where in the process repairs are. Decline if actual repairs not wrapped up due to concerns of other potential damage. UW document explains. We will insure as soon as confirmation of complete repairs. If they say they are painting, etc. then that will be fine. Everything needs to be cleaned up. Make sure existing damage and mold exclusion apply. Otherwise let them know that ring cannot be placed with us. Charge for losses. Have 1% wind/hail percentage. Increase to 2-3% due to frequency of losses.</t>
  </si>
  <si>
    <t xml:space="preserve">Home in brush and PC 10. Concrete tile roof. Built in 2002. No alarms or sprinklers. </t>
  </si>
  <si>
    <t>92562</t>
  </si>
  <si>
    <t>Home has high TIV, pc10 and is in brush. Also do not have alarms or sprinklers.</t>
  </si>
  <si>
    <t>McCollum</t>
  </si>
  <si>
    <t>95945</t>
  </si>
  <si>
    <t>Home on 72 acres of land. Frame home with WOOD siding built in 1946. Composite roof from 1988. Electric heat. Low brush score (out of brush). All systems updated in 1988 (complete).</t>
  </si>
  <si>
    <t>Kalioundji</t>
  </si>
  <si>
    <t>Antoun</t>
  </si>
  <si>
    <t>91311</t>
  </si>
  <si>
    <t>Very nice house being non-renewed by Chubb for water loss.  CDS zone was low but was very close to high brush zone and fireline was an 8 which is borderline.  It was in a renie zone as well.  Approved risk but only with a brush surcharge</t>
  </si>
  <si>
    <t>Within site of multiple neighbors and on the water.  Responding fire department had 3 pumpers and ample access to water.  Caretaker  lived in town and checked on property regularly.  Approved with 20% surcharge.</t>
  </si>
  <si>
    <t>Decent home in need of some updates - within brush zone</t>
  </si>
  <si>
    <t>No approvals over TIV authority limits in brush or PC9/10 in CA at the moment.  Communicated this to Allison.</t>
  </si>
  <si>
    <t>Koethe</t>
  </si>
  <si>
    <t>68022</t>
  </si>
  <si>
    <t>Insured has indoor basketball court and gym and is considering by appointment only training sessions.  GL is being obtained and will be in place</t>
  </si>
  <si>
    <t>80206</t>
  </si>
  <si>
    <t>Home built in 2005 with tile roof. Burglar alarms. Masonry veneer. Inspection notices vegetation on the home that needs to be removed. No CSA smoke alarm. Caretaker checks on home daily.</t>
  </si>
  <si>
    <t>Confirm vegetation removed on exterior. Please make sure local smoke alarms are installed. Debris needs to be cleaned up in backyard (per inspection).</t>
  </si>
  <si>
    <t>Beachwood Canyon Properties LLC</t>
  </si>
  <si>
    <t>90026</t>
  </si>
  <si>
    <t>LLC formed by singer Elizabeth Grant (and sister Caroline Grant). Frame home built in 1911. Wondering if liability is ok given it is an LLC.</t>
  </si>
  <si>
    <t>Offering premises liability only. Home was recently restored</t>
  </si>
  <si>
    <t>Carney</t>
  </si>
  <si>
    <t>Waterville Valley</t>
  </si>
  <si>
    <t>03215</t>
  </si>
  <si>
    <t>IS is B. Water loss (roof) due to ice dams ($53k) 2/17. No paid liability for contractor who fell 10/15, settled under WC. Liability for $167 bicycle accident (3/15). CSA for heat and burglar. Frame secondary home built in 1999. Do not see update to systems.</t>
  </si>
  <si>
    <t>Surcharge for 3 claims. Roof needs to be ACV due to age.</t>
  </si>
  <si>
    <t>94507</t>
  </si>
  <si>
    <t>Frame home with stucco built in 1990. No alarms or sprinklers. Concrete tile roof (1990)</t>
  </si>
  <si>
    <t>Karim</t>
  </si>
  <si>
    <t>Khondokar</t>
  </si>
  <si>
    <t>Frame home built in 2001. Large water loss in 12/2017. Home was completely re-piped. The faulty hose was replaced and scheduled for replacement every 2 years. Original Tile roof with no CSA or sprinklers.</t>
  </si>
  <si>
    <t>92679</t>
  </si>
  <si>
    <t>Home is not in brush and piping is all replaced. Do not see anything outstanding.</t>
  </si>
  <si>
    <t>Goldfarb</t>
  </si>
  <si>
    <t>91302</t>
  </si>
  <si>
    <t>Insured is executive producer/co-founder of Harvest Films. IS is an A. No losses. Home built in 1953. All systems replace in 2013. Roof in 2012. Frame home. No CSA.</t>
  </si>
  <si>
    <t>Waiting on whether insured is too high profile. Do not see any negative news items. Property looks good: no brush and updated systems.</t>
  </si>
  <si>
    <t>Verna</t>
  </si>
  <si>
    <t>91342</t>
  </si>
  <si>
    <t>As home repairs have begun but not complete, we will decline.  Repairs are now complete.</t>
  </si>
  <si>
    <t>Stumpf</t>
  </si>
  <si>
    <t>80439</t>
  </si>
  <si>
    <t xml:space="preserve">EIFS home built in 1996. Frame. Fire department actually within 1 mile (report says 4.5 Miles). </t>
  </si>
  <si>
    <t>Must confirm drainage for EIFS or we decline risk. Home is close to FD. No losses. Inspection shows no concerns.</t>
  </si>
  <si>
    <t>Maugans</t>
  </si>
  <si>
    <t>66206</t>
  </si>
  <si>
    <t xml:space="preserve">Small PC10 home in Kansas. Frame home built in 1998 for 1280 sq feet. Roof was replaced completely in 2016 </t>
  </si>
  <si>
    <t>80906</t>
  </si>
  <si>
    <t>Home going on the market. Built in 1984, frame with fiberboard and brick veneer. Roof is under construction (tile getting replaced due to storm) CSA fire and burglar alarms.</t>
  </si>
  <si>
    <t>Cathjoe LLC</t>
  </si>
  <si>
    <t>06114</t>
  </si>
  <si>
    <t>Confirm water loss at prior home was not due to maintenance or negligence on the insured's part.</t>
  </si>
  <si>
    <t>Northrop</t>
  </si>
  <si>
    <t>Jamestown</t>
  </si>
  <si>
    <t>95327</t>
  </si>
  <si>
    <t>Due to TIV, brush and response time, I passed on this one.</t>
  </si>
  <si>
    <t>Jarosz</t>
  </si>
  <si>
    <t>Ken</t>
  </si>
  <si>
    <t>68135</t>
  </si>
  <si>
    <t>Built in 1993. Full roof update in 2013. Frame home with 5 losses. 2 wind/hail, 1 jewelry theft, 1 water, 1 sump pump failure</t>
  </si>
  <si>
    <t>Will need separate policy for jewelry. No water backup. Water deductible of $5k.</t>
  </si>
  <si>
    <t>Irwin</t>
  </si>
  <si>
    <t>92081</t>
  </si>
  <si>
    <t xml:space="preserve">30 day lapse. Frame structure built in 1990. </t>
  </si>
  <si>
    <t>Surcharge 10% and sign no loss statement.</t>
  </si>
  <si>
    <t>Sellers</t>
  </si>
  <si>
    <t>90746</t>
  </si>
  <si>
    <t>Five losses since 2012. Frame home built in 1971. Frame home. Roof leak in 2012 but last complete renovation on roof was 1994.</t>
  </si>
  <si>
    <t>Believe we can mitigate future losses with increased deductibles. AOP, theft and water all must be $5k. Exclude roof if wasn't replaced in 1994 (confirm replacement), no water backup and surcharge for 4 losses (2x premium).</t>
  </si>
  <si>
    <t>James M &amp; Ofelia J</t>
  </si>
  <si>
    <t>White Plains</t>
  </si>
  <si>
    <t>20695</t>
  </si>
  <si>
    <t xml:space="preserve">4 prior losses - 2 hail. 2 sump pump failure. Sump replaced. </t>
  </si>
  <si>
    <t>Ok with no backup and $10K water damage ded. Surcharge for losses.</t>
  </si>
  <si>
    <t>Boyne City</t>
  </si>
  <si>
    <t>49712</t>
  </si>
  <si>
    <t>1997 dwelling. 5.5 miles 10-15 min per PC quest. Google shows 9.9 miles and 15 minutes drive time.</t>
  </si>
  <si>
    <t>Dill</t>
  </si>
  <si>
    <t xml:space="preserve">$3.6M TIV in brush. </t>
  </si>
  <si>
    <t>12/17 implemented rules not to write risks over $3M in brush. No exceptions.</t>
  </si>
  <si>
    <t>Joseph &amp; Shani</t>
  </si>
  <si>
    <t>90210</t>
  </si>
  <si>
    <t xml:space="preserve">$3.7 TIV in brush (71 score) 218 ft from high brush per RM.  </t>
  </si>
  <si>
    <t>Ineligible per guidelines.</t>
  </si>
  <si>
    <t xml:space="preserve">Idaho Springs </t>
  </si>
  <si>
    <t>80452</t>
  </si>
  <si>
    <t>Low value new purchase with limited utilities and higher response time. Roof condition questionable - exclusion applied. Agt quoting DP1 with 80% s/c.</t>
  </si>
  <si>
    <t>Bethany discussed w/ Jeff - approved since good agent and surcharge/low value.</t>
  </si>
  <si>
    <t>Westerman</t>
  </si>
  <si>
    <t>Sybil</t>
  </si>
  <si>
    <t>93405</t>
  </si>
  <si>
    <t>RM=100-150' from high brush. Roads not accessible year round. 8 miles away - PC10.  Office with assistant on premises.</t>
  </si>
  <si>
    <t>Too close to high brush and not accessible year round.</t>
  </si>
  <si>
    <t>Casper</t>
  </si>
  <si>
    <t>Kurt &amp; Tami</t>
  </si>
  <si>
    <t>95667</t>
  </si>
  <si>
    <t>Not sure why this was referred. Within their authority.</t>
  </si>
  <si>
    <t>Returned to agent asking why this was referred.</t>
  </si>
  <si>
    <t>Ciarmoli</t>
  </si>
  <si>
    <t>Dino &amp; Susan</t>
  </si>
  <si>
    <t>92008</t>
  </si>
  <si>
    <t>Construction started and will take more than 12 months - agt submitted to make sure we are okay.</t>
  </si>
  <si>
    <t>Bishop</t>
  </si>
  <si>
    <t>Redstone</t>
  </si>
  <si>
    <t>81623</t>
  </si>
  <si>
    <t>1996 log home. Secondary use on a regular/frequent basis. Not 100% accessible in winter. Agt quoted w/$5K water damage and 10% surcharge.</t>
  </si>
  <si>
    <t>Moderate value, not accessible, regular use with woodstove as only heat. Don't feel any rate would make this okay.</t>
  </si>
  <si>
    <t>Philip C &amp; Marguerite</t>
  </si>
  <si>
    <t>1996 dwelling with 2 prior pipe break losses. 5/17 $9706; 5/18 $34,194. Agt offering to quote with water damage exclusion and no mold. All online sources say this is a condo.</t>
  </si>
  <si>
    <t xml:space="preserve">We do not have a condo program set up for this partner. </t>
  </si>
  <si>
    <t>If it turns out this is actually a home, not a condo, all info looks okay. Can ok w/water damage exclusion, no mold, no backup.</t>
  </si>
  <si>
    <t>Blumberg</t>
  </si>
  <si>
    <t>Isaac</t>
  </si>
  <si>
    <t>2003 home not in brush but 500' from wall of high brush. FireLine=6. Lex quote $9,000. Markel quote $6,000.</t>
  </si>
  <si>
    <t>Discussed w/Bethany. Feel this is too close to the wall of high brush for this value.</t>
  </si>
  <si>
    <t>Walker</t>
  </si>
  <si>
    <t xml:space="preserve">James    </t>
  </si>
  <si>
    <t>Kamas</t>
  </si>
  <si>
    <t>84036</t>
  </si>
  <si>
    <t>2017 veneer home on golf course in UT owned by pro PGA golfer. Quoted at .27 rate. 15 miles from fire dept. 17 min drive time. Some blank UW questions on app.</t>
  </si>
  <si>
    <t>Since home is rented, concerned with high profile so offered x-liab. Also, due to higher response time, requested .45 rate = $12,916. Need UW ? Answered.</t>
  </si>
  <si>
    <t>Sebenius</t>
  </si>
  <si>
    <t>93602</t>
  </si>
  <si>
    <t>Quaker asking if we would consider a single one off risk in CA, PC10.</t>
  </si>
  <si>
    <t>Advised we are evaluating our position in CA, can't do a one off.</t>
  </si>
  <si>
    <t>Pemrick</t>
  </si>
  <si>
    <t>91367</t>
  </si>
  <si>
    <t>Insd is a casting director. No adverse information. 1912 dwelling fully updated in 2014. 22 miles from Woolsey per map tool. App notes a detached dwelling on same property $236,000. Cov B $149,000.</t>
  </si>
  <si>
    <t>Need adequate Cov B. Confirm use. Verify distance from fire before binding. Not in brush.</t>
  </si>
  <si>
    <t>Sykes</t>
  </si>
  <si>
    <t>James &amp; Mariann</t>
  </si>
  <si>
    <t>Hortonville</t>
  </si>
  <si>
    <t>54944</t>
  </si>
  <si>
    <t>Risley</t>
  </si>
  <si>
    <t>Dillard</t>
  </si>
  <si>
    <t>97432</t>
  </si>
  <si>
    <t>1947 home w/some updates. Repair garage in detached structure which is said to be 30 feet from the dwelling. Separate GL policy. Good ins score.</t>
  </si>
  <si>
    <t>Online shows garage very close to dwelling, maybe attached by a fence. Must prove distance. If ok, add TBE and exclude liability due to increased concern with garage. Higher concern for injury that TBE may not hold up.</t>
  </si>
  <si>
    <t>Gibbs</t>
  </si>
  <si>
    <t>Ronald &amp; Grace</t>
  </si>
  <si>
    <t>Eaton Rapids</t>
  </si>
  <si>
    <t>48827</t>
  </si>
  <si>
    <t>1995 dwelling w/marijuana grow operation on premises.  Also 3 prior water damage claims to dwelling.</t>
  </si>
  <si>
    <t>We are not a market for these risks.</t>
  </si>
  <si>
    <t>Figueroa</t>
  </si>
  <si>
    <t>60505</t>
  </si>
  <si>
    <t>2006 dwelling with 2 prior water losses. 6/17 $3K siding damage. 1/17 $180K pipe froze and broke when out of the country. 5/14 wind/hail $3K</t>
  </si>
  <si>
    <t xml:space="preserve">Okay with water damage excl, no mold, no backup. HO3 ok. Confirm all damage repaired, any mold prof remediated. </t>
  </si>
  <si>
    <t>Third Day Investments / Magglos</t>
  </si>
  <si>
    <t xml:space="preserve">Moorpark </t>
  </si>
  <si>
    <t>93021</t>
  </si>
  <si>
    <t>8 miles from Woolsey fire (per my search today). Fire is 98% contained. Not in brush. PC unknown. Property was an equestrian training facility.</t>
  </si>
  <si>
    <t xml:space="preserve">Altadena </t>
  </si>
  <si>
    <t>91001</t>
  </si>
  <si>
    <t>1928 home, part updates in 06.  Insured has filed 4 smoke damage claims from wildfires to have her ducts cleaned.  (It appears a company has been taking advantage of her with these offers.  Very high cost to clean and they take a 40% cut to set up the cleaning.)</t>
  </si>
  <si>
    <t xml:space="preserve">I'm sure the insured has learned her lesson.  However, that is a lot of smoke claims - 4 fires near her to cause smoke damage.  </t>
  </si>
  <si>
    <t>92651</t>
  </si>
  <si>
    <t xml:space="preserve">Unknown YOC and unknown updates. Unknown PC. Not in brush, but high brush is 500-600' away. Mold claim at prior residence. Home office - no info. </t>
  </si>
  <si>
    <t>Conservative approach right now until we nail down our direction.</t>
  </si>
  <si>
    <t>Meets criteria. Licensed builder.  Extensive remodel so it makes sense that it may take longer. A portion is being "demo'd" and replaced. Not concerned with this partial demo.  Need to figure out the rate. Note says "manual rate". Not sure what that means. $0.27 seems low for BR.  Jake Brown verified rate - it is correct.  Asked Luke to get some surcharge if he can.</t>
  </si>
  <si>
    <t>Humble</t>
  </si>
  <si>
    <t>Montara</t>
  </si>
  <si>
    <t>94037</t>
  </si>
  <si>
    <t>Exclude water damage, mold, backup. Eliminates exposure. No mention of what repairs were made.</t>
  </si>
  <si>
    <t>Gutierrez</t>
  </si>
  <si>
    <t>Alejandro</t>
  </si>
  <si>
    <t>93001</t>
  </si>
  <si>
    <t>2002 home w/ $16K smoke damage loss from Thomas fire.</t>
  </si>
  <si>
    <t>Changed referral criteria today for Markel max to match agent's authority.</t>
  </si>
  <si>
    <t>Ok with additional pricing for higher response time. $.50 total $16,000 vs quoted $10,880 // Addl info from branch and SRD proving fire department is appx 5 miles away. Approved with original premium quote</t>
  </si>
  <si>
    <t>Harakas</t>
  </si>
  <si>
    <t>Robert &amp; Haymara</t>
  </si>
  <si>
    <t>06013</t>
  </si>
  <si>
    <t>1995 home with 3 prior losses. Bathtub overflow - open. Unknown amount. $10K ded suggested. Also ice dam $37K in 2015. Theft-items stolen from car in garage $5304.</t>
  </si>
  <si>
    <t xml:space="preserve">Online shows lots of cows, "pick your own grapes", cooking classes, beehives and people in beekeeper gear. Seems there is more going on. Evaluate full exposure to determine if we have a defense cost concern. If ok, add TBE and greenhouse exclusion. // Very little info provided about these exposures so I declined the risk. </t>
  </si>
  <si>
    <t>2009 home on 80 acres. Per agent, grape vines personal use,  cattle boarded for a vet, hosts weddings/showers on property - GL in place. 1 loss - collapse of greenhouse from weight of snow. $27K 4/18. Excluding liab.</t>
  </si>
  <si>
    <t>Alfred</t>
  </si>
  <si>
    <t>92084</t>
  </si>
  <si>
    <t xml:space="preserve">1997 home on same property as wholesale plant nursery. Aerial shows separation. Has GL in place and work comp for 2 employees. TBE applied. 6-700' to brush. </t>
  </si>
  <si>
    <t>Ok w/TBE and rate as brush per new guidelines. Business has separation and has other insurance in place.</t>
  </si>
  <si>
    <t>Ethan &amp; Hua Ding</t>
  </si>
  <si>
    <t>Fountain Valley</t>
  </si>
  <si>
    <t>92708</t>
  </si>
  <si>
    <t>1966 home with 3 water losses: 1/14 $44K; 2/16 $41K; 2/18 $10K. Agt quoted w/$25K water ded.</t>
  </si>
  <si>
    <t>Water damage exclusion, no mold, no backup. Should take care of our concerns. Rest of risk ok. 1 mile from brush area.</t>
  </si>
  <si>
    <t>Need to know extent of bathtub claim and what is left to repair. Also what is expected payout to determine if $10k ded is enough. // $25K is appx loss, only floor tile left. Approved with $10K ded and no backup or mold coverage.</t>
  </si>
  <si>
    <t>95726</t>
  </si>
  <si>
    <t>1980 primary home w/ wall heaters, thermostat controlled. Woodstove. Nearby FD, but volunteer. Also a hydrant.  Still PC10. In brush. Pix show well cleaned lot.</t>
  </si>
  <si>
    <t>Ok subj to unprotected and WBS quest. Wall heaters w/therm control ok.</t>
  </si>
  <si>
    <t>Jennings</t>
  </si>
  <si>
    <t>Stephany</t>
  </si>
  <si>
    <t>46220</t>
  </si>
  <si>
    <t xml:space="preserve">1966 dwelling w/updates. In home daycare with 10 children, 4 employees. Mother (next door) carries the daycare policy. </t>
  </si>
  <si>
    <t>Mcfadden</t>
  </si>
  <si>
    <t>Robert &amp; Linh Mia</t>
  </si>
  <si>
    <t xml:space="preserve">Fishers </t>
  </si>
  <si>
    <t>46037</t>
  </si>
  <si>
    <t>2005 home with 2 wind losses and now new roof. 5/16 $784; 2/17 $8242. Also Backup into basement 9/18 $10,500. No backup, $5K wind, $2500 AOP J score. Increased cov C.</t>
  </si>
  <si>
    <t>New roof and higher wind ded will mitigate future loss.  Advised Cov A seems low, but can wait to adjust until after the inspection. Inc contents ok, not unreasonable.</t>
  </si>
  <si>
    <t>Mike &amp; Holly</t>
  </si>
  <si>
    <t>Ramah</t>
  </si>
  <si>
    <t>80832</t>
  </si>
  <si>
    <t xml:space="preserve">1999 log home w/ metal roof. 1% wind/hail and cosmetic roof applied. PCQ shows 15 min response, but other info on the app indicates 20 min drive time + time for volunteer deployment. </t>
  </si>
  <si>
    <t>High value &gt; 15 min response. Not comfortable.</t>
  </si>
  <si>
    <t>Monsef</t>
  </si>
  <si>
    <t>Kiyash</t>
  </si>
  <si>
    <t>94941</t>
  </si>
  <si>
    <t xml:space="preserve">1999 home not in brush. Criteria for TIV changed Monday. </t>
  </si>
  <si>
    <t>We are no longer writing over $3M. Shared copy of email with Lisa.</t>
  </si>
  <si>
    <t>Stroub</t>
  </si>
  <si>
    <t>Stephanie &amp; Stephen</t>
  </si>
  <si>
    <t>1928 dwelling within 2500' of brush. Updates in 08. 2017 large water loss $150,000. Open dogbite claim with $50K+ reserve. Agent not comfortable and declined. Wanted to advise as it appears retail agent is shopping this.</t>
  </si>
  <si>
    <t>Considering pending for answers, but know agent will investigate online discrepancies found. Need to make sure this addr and this insured are covered on the commercial policies for the daycare. Excl liab (+TBE) due to # of children, employees, and P ins score. // This addr on the policy. Insd isn't. Ok'd subject to them being added. Also TBE and Exclude Liab. Agt really wants liab. Feeling is this 2 location business on 1 policy could be looked at collectively. We have to look at the whole exposure. Offered if GL was w/Markel, we could consider offering liab.</t>
  </si>
  <si>
    <t>Mayer</t>
  </si>
  <si>
    <t>Ricki</t>
  </si>
  <si>
    <t>93036</t>
  </si>
  <si>
    <t>1989 home w/ 2 prior slab leak losses 9/14 $2K; 7/16 $75K. Also falling tree dmg 8/16 $12K. No riskmeter. Mold and backup not quoted.</t>
  </si>
  <si>
    <t>Agt advising us of declination.</t>
  </si>
  <si>
    <t>s/c for 2 losses. Water dmg excl as no info on mitigation. Confirm no addl tree threat. Reminded no water bu or mold. Asked for RiskMeter to be run and apply appro s/c.</t>
  </si>
  <si>
    <t>Chaz</t>
  </si>
  <si>
    <t>53027</t>
  </si>
  <si>
    <t>Bankruptcy closed yesterday.  1976 home with updates. Ins score K. Referring due to bankruptcy. Agt provided article stating sale of Harley dealership went bad because insd failed to disclose a $4M mortgage.</t>
  </si>
  <si>
    <t>Reviewed ins score report - many issues, and bankruptcy is personal.</t>
  </si>
  <si>
    <t>Judgement, personal bankruptcy, 21 bad debts.</t>
  </si>
  <si>
    <t>McCabe</t>
  </si>
  <si>
    <t xml:space="preserve">Larkspur </t>
  </si>
  <si>
    <t>94939</t>
  </si>
  <si>
    <t>1967 home w/updates. In brush. Agt wanted us to write $32K jewelry, but declined that portion. Asked for home only, will place jewelry elsewhere.</t>
  </si>
  <si>
    <t>Risk within guidelines. Ok with jewelry insured w/other carrier.</t>
  </si>
  <si>
    <t>SECOND SUBMISSION FROM BURNS FOR THIS INSURED.  SEE 11/20 FROM LINDSEY.  2017 veneer home on golf course in UT owned by pro PGA golfer. 15 miles from fire dept. 17 min drive time. Agt asking for 5% credit to VMGA rate</t>
  </si>
  <si>
    <t>Since home is rented, concerned with high profile so offered x-liab. Also, due to higher response time, requested .45 rate = $14,854. Need UW ? Answered.</t>
  </si>
  <si>
    <t>96142</t>
  </si>
  <si>
    <t>1961 home w/part updates. $10K snow/ice loss. $150K water damage from broken hot water line to dishwasher. Home filled w/steam - mold/mildew. Claim closed, repairs made. Out of brush but within 2500'.</t>
  </si>
  <si>
    <t>$25,000 water dmg ded, no mold covg, s/c for losses, rate in brush. Didn't verify mold remed since we won't be covering mold.</t>
  </si>
  <si>
    <t>Rose &amp; David</t>
  </si>
  <si>
    <t>28262</t>
  </si>
  <si>
    <t>2005 home with 4 losses. 2/17, 9/17, 6/18 water leaks, $10K, and 2 at $2500. 3/17 wind $7K. 6/18 water claim still in subro.</t>
  </si>
  <si>
    <t>Water damage exclusion, no backup, no mold. Make sure subro claim has all damage repair/all work done.</t>
  </si>
  <si>
    <t xml:space="preserve">Ronald    </t>
  </si>
  <si>
    <t>77068</t>
  </si>
  <si>
    <t>Nice online photo. A ins score. Would normally get full detail on lapse before offering terms, but with A score, made this a subjectivity. No backup. Verify avg condition.</t>
  </si>
  <si>
    <t>1961 dwelling w/updates. Writing as BR and will convert to rental when reno is done. Contractor updating septic and some minor interior starting in January. Was previously rented. Lengthy lapse - no explanation.</t>
  </si>
  <si>
    <t>Lupo</t>
  </si>
  <si>
    <t>Thomas &amp; Vincent</t>
  </si>
  <si>
    <t>West Palm Beach</t>
  </si>
  <si>
    <t>33415</t>
  </si>
  <si>
    <t>Ok with lapse surcharge. Reason makes sense.</t>
  </si>
  <si>
    <t>Jennifer &amp; Theresa</t>
  </si>
  <si>
    <t>Delray Beach</t>
  </si>
  <si>
    <t>33445</t>
  </si>
  <si>
    <t>1974 condo. Mtg co has now required an HO6 policy . Good ins score. No losses. Getting SNL</t>
  </si>
  <si>
    <t>2005 condo purchased new. Never had coverage. New condo assoc requires it now. Good ins score. Getting SNL</t>
  </si>
  <si>
    <t>Ok to ask for no losses in last 5 years - seems odd to ask back to 2005. Reason makes sense.</t>
  </si>
  <si>
    <t>Meridale Avenue Condominium</t>
  </si>
  <si>
    <t xml:space="preserve">Orlando </t>
  </si>
  <si>
    <t>32803</t>
  </si>
  <si>
    <t>Two individuals bought a duplex and created a Condo Assoc to insure the structure.  Dwelling coverage only. Retailer asking for this on an HO3 app. Jill asking if this should be commercial or personal</t>
  </si>
  <si>
    <t>Confirmed with Jill that this would typically be a commercial policy.  Two owner/occupants own the structure together in the name of a Condo Assoc.  This is a commercial situation "by the rules" but really a 2 family owner occupied home based on occupancy.  Approved as an exception on HO3 provided it stays structure only - no liability - no rental at all. HO6 for each individual. Don't list Assoc as AI - Assoc needs its own liab covg.</t>
  </si>
  <si>
    <t>Deitch</t>
  </si>
  <si>
    <t>1954 home and guest house updated.  New purchase. Guest house has a wood shake roof which will be replaced asap w/comp roof when sale closes.</t>
  </si>
  <si>
    <t>No exceptions at this time in CA. Guest house looks like a fire hazard anyway.</t>
  </si>
  <si>
    <t>90290</t>
  </si>
  <si>
    <t>2017 home, protected, but in brush zone. Insd is high profile producer/director. No adverse info.</t>
  </si>
  <si>
    <t xml:space="preserve">No app included - advised if all ok on app, ok to offer terms including liab. </t>
  </si>
  <si>
    <t xml:space="preserve">Two losses. Jan 2015, cold weather caused roof leak, and 12/2017 smoke damage from wildfire. Home built in 1948. Wood frame with wood siding. Not in brush zone and recent fires has burned off all brush within the area. </t>
  </si>
  <si>
    <t>Due to the nature of the business and the potential liability (even with our exclusions) we would have exorbitant defense costs that make this inadmissible to the program</t>
  </si>
  <si>
    <t>Open Claim for fire 8/20/2017. Frame home built in 1928. Two family owner occupied rental. Application states complete wiring, plumbing, heating and roofing updated in 2017.</t>
  </si>
  <si>
    <t>House built in 1947, completely updated in 2006. PC1 in the Hollywood hills. New purchase and low brush.</t>
  </si>
  <si>
    <t>Frame (stilts) home built in 2011. PC 6 with metal roof. Location is about 250' from coast which makes it ineligible for the program</t>
  </si>
  <si>
    <t>Will approve as a DP-1 with documentation water loss repair is complete. If DP-3 must apply water exclusion. Must attach absolute mold and existing damage endorsements. Also need to update PPC to 10, not 3. Fire department is over 8 miles away and no hydrants.</t>
  </si>
  <si>
    <t>1935 frame home with monitored burglar alarm. One large water loss on 12/26/2017 for $124k. While repairs begetting done, burglary occurred. Burns recommending $25k water damage deductible. Asking plumbing types remaining to be confirmed (no lead, galvanized or cast iron)</t>
  </si>
  <si>
    <t>Requesting flat cancellation as insured did not take possession of the house</t>
  </si>
  <si>
    <t>1939 frame home. Large loss on January 29th, 2018 for fire with open reserves of $105k. They are using a licensed and insured contractor (and all subs).</t>
  </si>
  <si>
    <t>Discussed with Jeff. This is a renewal that Rachel caught was marked as a PC 6 when in fact it is a PC10 with a 16 minute response time (on dirt road). Provided the TIV is not too high and the risk looks good, Jeff gave the OK. Based on real estate listing, it is in excellent condition built in 2016.</t>
  </si>
  <si>
    <t>Home looks good with burglar and fire CS alarms. Apply surcharge of 10% and signed statement of no loss.  ACV roof if not updated. Rush interior inspection. UPDATE: asked for details on the loss, added water exclusion and additional 10% surcharge. 2ND UPDATE: Declined risk, with $200,000 of water damage sitting unrepaired, not comfortable even with water exclusion.</t>
  </si>
  <si>
    <t>Even with a DP1, the response time and PC combined make the risk unpalatable.</t>
  </si>
  <si>
    <t>Framed, vacant shed on land in OR. Insured will be living in RV while looking for house (moving from TX to OR). Once they have a home, the RV will go into the shed and the coverage will be dropped as the homeowners coverage will cover the shed then.</t>
  </si>
  <si>
    <t xml:space="preserve">Built in 1986 with complete updates to roof and heating in 2018. Frame construction, PC2 with no alarms and no losses. Bankruptcy 6 years ago that was dismissed. Pottery business on premises. </t>
  </si>
  <si>
    <t xml:space="preserve">Property is rented out to film producers in the LA area and their equipment is kept at the home. Built in 1966, flat roof, no dates provided for system updates other than questionnaire saying within last 35 years. Indicated there is business on property, but that could've been in regards to them renting the property. </t>
  </si>
  <si>
    <t xml:space="preserve">Follow guidelines for flat roof and add roof and ensuing water form. Also follow inspection and guidelines regarding the major systems and last updated. Confirm there isn't any other business aside from them renting the property. </t>
  </si>
  <si>
    <t>Home built in 1998, frame construction, no updates, no alarms and no losses. 43 acres are leased to a farmer. There is a barn along with hay and storage shed with lawn mower, snow blower and some hay in winter. The shed is a garage and there are no animals or stalls.</t>
  </si>
  <si>
    <t>Asking for RC settlement type. Home is 1953 masonry veneer construction with full updates to the roof in 2017 and heating in 2015. Partial updates to plumbing and wiring in 2017 and 2016. CS Fire and burglar alarm</t>
  </si>
  <si>
    <t>Surcharge for all 3 claims. Explained valuation needs to be handled differently if they want full RC. If there are antique, obsolete or custom construction materials, the valuation must take into consideration the replacement of these at the correct amount, not the FRC we normally would require.</t>
  </si>
  <si>
    <t xml:space="preserve">Home built 1979, new roof 2014. Plumbing in 2005. Insured's husband, Cory, is an MD who practices from his home. Has been in practice since 1992. Up to 40 patients in home per week. Has GL, professional, and work comp coverage. </t>
  </si>
  <si>
    <t xml:space="preserve">Home built 1938, updates to electrical, heating, and roof all in 2014-2015. Plumbing has not been updated. Three water/plumbing losses within last year and a half, totaling about $45,000. </t>
  </si>
  <si>
    <t>Although the response time is high, the home has a lower value. IS is D.</t>
  </si>
  <si>
    <t>Referred due to some hunting occurring on property - by owner, no one else.</t>
  </si>
  <si>
    <t xml:space="preserve">Home referred for active horse stable on property. Barn is leased out for boarding and training horses. GL is required on lease and the insured is getting added as AI. Four acres of land and 10-15 horses in the stable. Actual home has privacy fence around it to separate it from the stables and shed. Woo burning stove occasionally used. Frame home built in 1992. </t>
  </si>
  <si>
    <t>IS is excellent. Never had a mortgage on either building - is a veterinarian that travels around quite a bit. Log cabins are "off the grid" with not a lot of exposure. Winterizes cabins when gone in the winter. Fully accessible (PC4) and relatively low value.</t>
  </si>
  <si>
    <t>Patterson is member of clean break band that just released song with Demi Lovato this year. Marina is releasing first album in 3 years. Home is in renie with CSA. Built in 1956 with complete updates to everything in 1995.</t>
  </si>
  <si>
    <t>Frame construction home built in 1959. Partial updates in 1990 and offering FRC. Original response time was 38 min and 26 min (per the attached). There is a volunteer FD 10 minutes away and some of it is gravel. There are CSA and family uses most weekends.</t>
  </si>
  <si>
    <t>Suggesting $25k water deductible. There have 3 water claims in 2 years. One slab leak (85k), pipe leak(2435) near tennis court and roof damage($181) with ensuing rain this year. All have been fixed. Adding additional 10% surcharge for losses. Built in 1976. Heating and roofing updated in 2008. Plumbing completely updated in 2017.</t>
  </si>
  <si>
    <t xml:space="preserve">Non-brush frame hjome built in 1960. Full updates done for electrical (2010), plumbing (2008), and roof (2006). Stucco siding.  NO CSA and no losses. Musician is a well known musician (violinist). </t>
  </si>
  <si>
    <t>Large frame home with stucco siding. Local smoke and burglar alarm. Solar panels for pool on property. All wiring, plumbing, heating and roofing were updated completely in 1985. Fire hydrant on the property.</t>
  </si>
  <si>
    <t xml:space="preserve">1971 home with wood frame and brick veneer and stucco siding. Centra station fire and burglar alarm monitored by Hillsborough Police department. Sprinkler system is installed. Exclude solar panels. One tree loss of just over $4k. Trying to move this from Lexington to us due to high renewal amount. </t>
  </si>
  <si>
    <t>Church will be converted into Bed &amp; Breakfast business in spring 2019. Working with architect and contract on the plans. Full updates will be done in 2019. Would like RC. Church built in 1900. Roof will need to be excluded. Frame construction and 'D' insurance score. Submitting as a builder's risk</t>
  </si>
  <si>
    <t>Must rate as a vacant as it will not be touched over the winter. Can write a builders risk when construction will begin. RC not available on the vacant policy.  Settlement type will need to remain ACV. They can refer again when it is ready to be written as a builders risk. Exclude the roof unless inspection shows better condition than the pictures appear to show. Also confirm condition of electrical and plumbing and apply guidelines if needed based on findings.</t>
  </si>
  <si>
    <t>Home is already under renovation. Insured paid cash for home and expect 6 monts to complete $100k in renovations. Licensed and insured contractor is handling all of the work. So far the foundation, framing, electrical wiring, rough plumbing, insulation, drywall and roof have been completed. The home will be for sale afterwards. Want $10 k deductible and 20% surcharge. Not in brush. Frame home. All systems updated already.</t>
  </si>
  <si>
    <t>CS Temperature and burglar alarms. Frame home with stucco siding.  Tile roof from 1990. Heating replaced in 2006. partial updates to wiring and plumbing in 2018. Home built in 1923. Tile roof leaded last year and open dog bite claim. Dog is no longer in household.</t>
  </si>
  <si>
    <t>Two losses. One is included as oil/fuel leak but insured says it was a water leak. Water/leak was $81k. Another leak in June 2018 in one of the rooms.</t>
  </si>
  <si>
    <t>Two water losses. First was $120 but contractor error and another $14k water loss. Prior carrier doing subro for damages from contractor. New contract handling current renovations. Water sensors and water shut off device will be installed. Branch proposing $5k ded and s/c 10% for loss history. Frame home built in 1998. Roofing last done in 2007.</t>
  </si>
  <si>
    <t>Barndominion frame construction on insureds property but has it's own address. Used as a quilting studio for donating. No income is generated.</t>
  </si>
  <si>
    <t xml:space="preserve">Fire claim on $262,013 due to discarded cigarette. Ash caught the home on fire and house burned quickly. Lapse since 10/19/18. Frame construction built in 1996. Roof replaced in 2018. </t>
  </si>
  <si>
    <t>Frame home built in 1982. Roof replaced in 2003. Partial plumbing and electrical 2017. CSA for burglar, smoke and fire. Swimming pool or trampoline on the premises.</t>
  </si>
  <si>
    <t>Water loss of $66k for water leak in 1/17. Frame home built in 1985. Stucco siding. Fire hydrant within 75 feet. CSA for burglary. Smoke detectors. Wiring updated in 1995. In ground pool. Clay tile roof installed in 1995.</t>
  </si>
  <si>
    <t>Monitored CS fire and burglar. Frame home built in 2014. No prior losses. Outbuilding is guest house.  FD is 3.5 miles away. Closer one staffed by CalFire they did not locate for unprotected questionnaire.</t>
  </si>
  <si>
    <t>Four losses in past 3 years on prior home. Hail damage 5/11/16 $0, Hail damage 2/28/17 hail damage ($12k), Burglary 1/21 due to water loss fix from January ($10k for jewelry_ and 1/16/16 pipe broke - $297k. Masonry construction built in 1966. Full updates in 2015 and c/s alarms. Condo built in 1966. Brick building with CSA for temp and burglary. Complete updates to wiring, plumbing and heating in 2015. EQ for MO?</t>
  </si>
  <si>
    <t xml:space="preserve">Insured will install a dry hydrant generator and pump. Frame/log home built in 2018. Want to offer 10% discount due to no losses and score (but IS is an 'N'). </t>
  </si>
  <si>
    <t>Home is not centrally heated and does not have a thermostat. As the home is in Kennebunkport ME, freezing is a concern. Also, the inspection looks more like the home is currently vacant and not rented.</t>
  </si>
  <si>
    <t>Home has 3 losses in 2 years. 2017 hail (roof replaced). Open water from July. Water supply line burst. Expect items back in November. Water leak detection system and shut off valve installed. Ring over $39k with loss when diamond had a big chip and stone replaced. Frame home built in 1992, roof in 2017. CSFB alarm.</t>
  </si>
  <si>
    <t>Insured was the voice of scooby doo. Were NOC from Lloyd's as they are not monitored alarms. Live in property manager and a gated property. Looking at increased theft deductible, theft exclusion, higher AOP or additional surcharge. Built in 1942. In a brush zone.</t>
  </si>
  <si>
    <t>Frame with stucco home built in 1946. Wiring, plumbing and roofing replaced in 2018. No losses. Just completed their remodeling (Zurich COC). CS burglar and smoke alarms. Everything has just been remodeled.</t>
  </si>
  <si>
    <t xml:space="preserve">Home is at the end of the road and accessible. Exclude roof if not updated since 1988.Confirm electric heat is thermostatically controlled. Consider FRC or ACV due to year home was built. </t>
  </si>
  <si>
    <t>Approved dependent on GL in place and liability excluded on business use in gym</t>
  </si>
  <si>
    <t>Agree with roof exclusion and water deductible of at least $5000 (pipe leak in 2015). Three CAT claims in last 4 years. 5% wind/hail puts roof replacement if needed (again) at a $40k deductible.</t>
  </si>
  <si>
    <t>Three prior losses on primary home. Frame home built in 1963 with vinyl and masonry veneer. Wiring and plumbing completely replaced in 2000.  Requesting 2500 AOP.</t>
  </si>
  <si>
    <t>Brush exposed home with 12 minute response time (minimum - volunteer). Frame home with stucco siding. Propane heat, built in 2009 with above ground pool.</t>
  </si>
  <si>
    <t>We are not allowing this limit for PC 10 with other partners. Haven't delivered news to Burns yet.</t>
  </si>
  <si>
    <t>If PC 8-10 decline. If protected, fire must be 100% contained. Need to make sure this is not an active equestrian operation. Make sure we have Cov B right or exclude fences and structures.  There is a LOT going on per online search.</t>
  </si>
  <si>
    <t>2008 home w/2 prior water damage losses in 2016. Leakage $3435 and under floor heating system pipes $55K.</t>
  </si>
  <si>
    <t>Stearns</t>
  </si>
  <si>
    <t>Chris &amp; Avalon</t>
  </si>
  <si>
    <t>Placentia</t>
  </si>
  <si>
    <t>92870</t>
  </si>
  <si>
    <t>1997 dwelling with 2 small water losses. One was CAT related. Questioned if agt should s/c for CAT loss.</t>
  </si>
  <si>
    <t>Only s/c if any negligence. Doesn't appear to be in this situation.</t>
  </si>
  <si>
    <t>Higgins</t>
  </si>
  <si>
    <t>William &amp; Vanessa</t>
  </si>
  <si>
    <t xml:space="preserve">Hull Stockton offered terms on new risk prior to our rule change.  TIV $4,419,951; was not in brush at the time.  In a zip with about $21M.  They should have referred for approval - they did not refer.  Now agent is requesting a bind.  Over their authority, also now in brush.  </t>
  </si>
  <si>
    <t>Conferred w/Jeff. Since over their authority, we are going with rules currently in place.  Risk is not eligible under current guidelines.</t>
  </si>
  <si>
    <t>Garcia</t>
  </si>
  <si>
    <t>Yolanda</t>
  </si>
  <si>
    <t>90631</t>
  </si>
  <si>
    <t>1999 home. $135K slab leak 8/16. Pipes have been re-routed. Also 3/18 $3711 broken roof tile claim. Prior cancel/nrn no details.</t>
  </si>
  <si>
    <t>If nrn for claims ok. Otherwise refer back. Since pipes re-routed, no slab leak concern.</t>
  </si>
  <si>
    <t>Rashnavadi</t>
  </si>
  <si>
    <t>Nooshin</t>
  </si>
  <si>
    <t>La Canada FLT</t>
  </si>
  <si>
    <t>91011</t>
  </si>
  <si>
    <t>1999 home. $140K bathroom toilet overflow loss 5/17. $5,000 slab leak 6/18. No mitigation. Asking if high ded or exclusion could apply.</t>
  </si>
  <si>
    <t>Exclude water damage, no mold, no backup.</t>
  </si>
  <si>
    <t>Meirson</t>
  </si>
  <si>
    <t>Efi &amp; Eva</t>
  </si>
  <si>
    <t>91356</t>
  </si>
  <si>
    <t>Agt submitting for approval due to TIV, not in brush.</t>
  </si>
  <si>
    <t>We changed guidelines to $3M max. Agt forgot about the change.</t>
  </si>
  <si>
    <t>Chang &amp; Pilar</t>
  </si>
  <si>
    <t>San Dimas</t>
  </si>
  <si>
    <t xml:space="preserve">CA </t>
  </si>
  <si>
    <t>91773</t>
  </si>
  <si>
    <t>2000 home with 4 prior water losses. 6/18 $0 slab leak, 6/18 $3K water heater leak, 10/16 $0 slab leak, 4/14 $12K pipe leak in wall</t>
  </si>
  <si>
    <t>Insurance score shows concern of cc bad debt, judgement $12K and low scores, 604, 646</t>
  </si>
  <si>
    <t>Declined for loss history. &gt;&gt;&gt;&gt;&gt;&gt;&gt;&gt;&gt;&gt;&gt;&gt;&gt;&gt;&gt;&gt;&gt;&gt;&gt;&gt;</t>
  </si>
  <si>
    <t>Schafer</t>
  </si>
  <si>
    <t xml:space="preserve">Valley Center </t>
  </si>
  <si>
    <t>92082</t>
  </si>
  <si>
    <t>Ok with covg for dwelling. Clarify occupancy - either way ok. Exclude Cov B and add TBE.</t>
  </si>
  <si>
    <t>Home is low value. No liability due to hunting on the premises. // 12/4 MP-Agent getting written confirmation that it is insd only personally hunting on prop. Ok'd liability.</t>
  </si>
  <si>
    <t>Bulla</t>
  </si>
  <si>
    <t>Mackinac Island</t>
  </si>
  <si>
    <t>49757</t>
  </si>
  <si>
    <t>2002 home on the island. Very nice online photos. No alarms. Island has police and fire depts. Is mostly seasonal occupancy.  Small community.</t>
  </si>
  <si>
    <t>5% s/c for no alarms. Feel police/fire will watch off season and neighbors are seasonal and look out for each other. If valuation tool doesn't account for island extra expense, need to surcharge.  May reconsider if s/c make us uncompetitive.  Nice home.</t>
  </si>
  <si>
    <t>Gonzales</t>
  </si>
  <si>
    <t>Augustin</t>
  </si>
  <si>
    <t>1991 home w/updates. Landscaping business equip stored in separate area of prop w/own entrance. CGL in place. Agt quoted w/TBE and Building Excl.</t>
  </si>
  <si>
    <t>Exposure reduced w/ measures taken.</t>
  </si>
  <si>
    <t>Kimberly Bukewihge Irrevocable Trust No 1</t>
  </si>
  <si>
    <t xml:space="preserve">Ladera Ranch </t>
  </si>
  <si>
    <t>92694</t>
  </si>
  <si>
    <t>2002 home w/ 10/15 $44K water loss. Insured since 2015. Requesting jewelry schedule with one item just over $25K and total schedule at $101,517. 3 employees (no WC). Items kept in home safe when not worn.</t>
  </si>
  <si>
    <t>Bleck</t>
  </si>
  <si>
    <t>Tina &amp; Dennis</t>
  </si>
  <si>
    <t>WV home coming in at $1.08 - total premium $2368. Can we do any better?</t>
  </si>
  <si>
    <t>Bethany reviewed - 10% discount okay.</t>
  </si>
  <si>
    <t>Made exception with addition of form MPLH0150/#9 Myst Disappearance Exclusion and #12 Residence Safe clause.  Agent checking on number of employees. If any are less than 10 hours, they don't count.</t>
  </si>
  <si>
    <t>O'Rear</t>
  </si>
  <si>
    <t>Justin</t>
  </si>
  <si>
    <t>95942</t>
  </si>
  <si>
    <t>1988 home w/complete roof update in 2018 in brush. Prior home in Paradise was a total loss from the Camp Fire. Letter in file from prior carrier. FD 3 miles away but no hydrant. WBS in home per photo.</t>
  </si>
  <si>
    <t>New location.  Subj to WBS quest.</t>
  </si>
  <si>
    <t>Stockbridge</t>
  </si>
  <si>
    <t>Magalia</t>
  </si>
  <si>
    <t>95954</t>
  </si>
  <si>
    <t>2005 home in brush. Prior home in Paradise was a total loss from the Camp Fire. Letter in file from prior carrier.</t>
  </si>
  <si>
    <t xml:space="preserve">New location.    </t>
  </si>
  <si>
    <t>Keller</t>
  </si>
  <si>
    <t>Richard &amp; Glenda</t>
  </si>
  <si>
    <t>Reddick</t>
  </si>
  <si>
    <t>32666</t>
  </si>
  <si>
    <t>Excluding fencing and any structures they wouldn't replace. Excluding mobile home. Exposure eliminated.</t>
  </si>
  <si>
    <t>2007 log home, very nice per online info. Has personal use mobile home on property, extensive horse barns and fencing.</t>
  </si>
  <si>
    <t>David &amp; Pamela</t>
  </si>
  <si>
    <t xml:space="preserve">Oroville </t>
  </si>
  <si>
    <t>95966</t>
  </si>
  <si>
    <t xml:space="preserve">1991 home w/prior CAT fire (Camp). A+ shows this was a CAT fire on the day the Camp fire started 11/8. </t>
  </si>
  <si>
    <t>New location.  Waiving other proof of loss due to A+.</t>
  </si>
  <si>
    <t>Stirling City</t>
  </si>
  <si>
    <t>95978</t>
  </si>
  <si>
    <t>Zalamal</t>
  </si>
  <si>
    <t>Sheree</t>
  </si>
  <si>
    <t>2005 home w/prior CAT fire (Camp). Agent getting proof it was from Camp fire and will forward asap. Signed app shows it.</t>
  </si>
  <si>
    <t>If proof ends up not showing this was a CAT fire, we have a signed app.</t>
  </si>
  <si>
    <t>Ober</t>
  </si>
  <si>
    <t>90265</t>
  </si>
  <si>
    <t>1974 home updated in 1999. Wildfire score of 80. Over $3M TIV.</t>
  </si>
  <si>
    <t>Reminded Leslie of new direction. Markel max is $3M PC1-7; $1.5M PC8-10.</t>
  </si>
  <si>
    <t>Caffray</t>
  </si>
  <si>
    <t xml:space="preserve">Evanston </t>
  </si>
  <si>
    <t>60202</t>
  </si>
  <si>
    <t>Ferdynus</t>
  </si>
  <si>
    <t>Halina &amp; Radoslaw</t>
  </si>
  <si>
    <t xml:space="preserve">Lemont </t>
  </si>
  <si>
    <t>60439</t>
  </si>
  <si>
    <t>"Adding heat" not mitigation. Per call from Lori, B score.  Ok with mold excl, $25K water damage ded (bsmt is now finished". Need app answers to uw questions.  If they prof install a water shut off device, they can reduce to $5K water damage ded.</t>
  </si>
  <si>
    <t>1994 home w/5 prior losses in 3 years. 4/15 storm damage to gutters $14K; 7/17 storm damage to windows $48K; 4/18 water damage to walls, ceilings, floors $11K; 6/18 foundation leak $0; 9/18 water damage to floor $4K.</t>
  </si>
  <si>
    <t>Gflats LLC</t>
  </si>
  <si>
    <t>94117</t>
  </si>
  <si>
    <t>1900 dwelling w/updates. 2 prior water losses. Quoted in February. Insd never accepted terms or took out a policy. 10% lapse s/c applied.</t>
  </si>
  <si>
    <t>Verified with Jeff this is within their authority.</t>
  </si>
  <si>
    <t>Mathis</t>
  </si>
  <si>
    <t>Richard &amp; Dorothy</t>
  </si>
  <si>
    <t>New location ok</t>
  </si>
  <si>
    <t>Secrist</t>
  </si>
  <si>
    <t>Marlon &amp; Van</t>
  </si>
  <si>
    <t>90031</t>
  </si>
  <si>
    <t>These CA hillside homes are typically okay. Advised agent not to make changes, get pics of the piers and we can review if any concern.</t>
  </si>
  <si>
    <t>Byrd</t>
  </si>
  <si>
    <t>Zachary</t>
  </si>
  <si>
    <t>2004 home not in brush. No RiskMeter included. Quoted as PC4, but risk is 6.6 miles from the FD.  Woodstove in home.  Zillow says this is a "horse property".</t>
  </si>
  <si>
    <t xml:space="preserve">Asked for new rater and PC Quest to be sent for review. If ok, addl subjectivities are WBS quest and info on horses. Prior home total loss in Camp fire - Paradise. RM says in brush, rater confirms that rating. Cover email said not in brush. </t>
  </si>
  <si>
    <t>Fitts</t>
  </si>
  <si>
    <t>Byhalia</t>
  </si>
  <si>
    <t>38611</t>
  </si>
  <si>
    <t>Alpha to Omega Properties LLC</t>
  </si>
  <si>
    <t>Ferndale</t>
  </si>
  <si>
    <t>48220</t>
  </si>
  <si>
    <t>AmWINS</t>
  </si>
  <si>
    <t>Tasha</t>
  </si>
  <si>
    <t>Turner</t>
  </si>
  <si>
    <t>Lester Prairie</t>
  </si>
  <si>
    <t>55354</t>
  </si>
  <si>
    <t xml:space="preserve">1950 dwelling with updates to wiring, plumbing, and heating in 2000, roof in 2003. Tenant owns online trailer sales business, possible foot traffic up to twice a month for pick up of trailer, tenant has GL and lists insured as an AI. Property is on 130 acres of land state for pasture. </t>
  </si>
  <si>
    <t xml:space="preserve">2018 dwelling built from a shipping container. Vacant home. Insured is an LLC - Alpha to Omega Properties LLC. </t>
  </si>
  <si>
    <t>1973 home with updates to systems in 2006 and roof in 2002. Insured runs daycare from home with 10 children, 4 of which are the insured's. Has a GL in place for the daycare $1M per occurrence/$2M aggregate. Two prior water losses ($17k 4/2016 and $2500 9/2018) and was non-renewed. Water exclusion, water back up exclusion added by agent.</t>
  </si>
  <si>
    <t xml:space="preserve">Will also want to include mold exclusion to coverage all aspects of a potential water loss. OK to proceed with daycare since GL in place and even though 10 children, 4 are the insured's. Liability can stay on the policy. </t>
  </si>
  <si>
    <t>Asked for confirmation of ownership and use of land. Also wanting to confirm if there is ever any transfer of livestock during trailer pick up or if it is exclusively trailer pick up only. UPDATE - no animals, no particular usage of land. Trailer pick up only. Approved with TBE</t>
  </si>
  <si>
    <t>Reese</t>
  </si>
  <si>
    <t>19122</t>
  </si>
  <si>
    <t xml:space="preserve">Update from approval that was given 2/2018. Prior closing fell through. Re-submitted for approval. Advised same terms still applied, and that new quote will need to be created for a new rate. Not to offer lesser rate, and if new quote is higher, higher rate should be used. </t>
  </si>
  <si>
    <t>Repenning</t>
  </si>
  <si>
    <t xml:space="preserve">Mid-term COC with lapse in coverage. Per agent, there was confusion between general contractor and insured. GC thought insured had property coverage, while insured thought GC was providing property coverage. PC5, no losses. GC has GL with $2M limits. </t>
  </si>
  <si>
    <t>Perkins</t>
  </si>
  <si>
    <t>Bala Cynwyd</t>
  </si>
  <si>
    <t>19004</t>
  </si>
  <si>
    <t xml:space="preserve">1956 home with complete updates to wiring and plumbing in 2006, heating in 2011, and complete roof update 2011. A loss letter was provided showing a 3/2018 loss sue to CAT storm, but app shows 3/2018 water loss, both with different amounts. </t>
  </si>
  <si>
    <t>Asked for reason for referral, as it wasn’t clear and appeared to be within their authority. Mentioned the conflicting info I saw in the losses, so asked for their insight and recommendation and we can then assist if need be.</t>
  </si>
  <si>
    <t xml:space="preserve">Asked for more info regarding risk - who built it, why is it vacant, plans for the dwelling, photos, coverage a. Will update when more info is received. UPDATE: insured is builder of home, first time building container home. Also, plans to leave as vacant to use as model home for business to show to potential future clients. Too much commercial exposure, not enough experience with home type. </t>
  </si>
  <si>
    <t xml:space="preserve">2004 home, recent victim of Camp Fire. Claim is for loss of use as they couldn’t get to their home during evacuation. Being cancelled from current carrier due to insolvency. Risk is PC4, appears to be in brush.  </t>
  </si>
  <si>
    <t>Sagat</t>
  </si>
  <si>
    <t>Izabele</t>
  </si>
  <si>
    <t xml:space="preserve">1980 home, updates to roof and wiring in 2013, no updates to plumbing or heating. Lapse from 9/2018. Confirmed no damages from recent CA fires. </t>
  </si>
  <si>
    <t>Ninfa LLC</t>
  </si>
  <si>
    <t>81611</t>
  </si>
  <si>
    <t>Approval - agent also applied surcharge for lapse</t>
  </si>
  <si>
    <t>Need ins score. If good, need loss details. Also need "self employment" info.//Score is a credit. Ok to bind with water damage, mold, and backup exclusions. 12/12/18</t>
  </si>
  <si>
    <t>Update from approval that was given 2/2018. Prior closing fell through. Re-submitted for approval. Advised same terms still applied, and that new quote will need to be created for a new rate. Not to offer lesser rate, and if new quote is higher, higher rate should be used. // 12/11 agent found out all 3 units will be rented - no owner on site. In borderline area. Asked addl questions about security and repairs made. (MP)</t>
  </si>
  <si>
    <t>Gardner</t>
  </si>
  <si>
    <t>June Lake</t>
  </si>
  <si>
    <t>93529</t>
  </si>
  <si>
    <t>Home has a fireplace insert. Agent was not familiar with underwriting them.</t>
  </si>
  <si>
    <t>Professionally installed ok. Advised we need annual cleaning.</t>
  </si>
  <si>
    <t>Rieder</t>
  </si>
  <si>
    <t>Carpinteria</t>
  </si>
  <si>
    <t>93013</t>
  </si>
  <si>
    <t>The insured’s run a discipleship out of their home for 8 continuous months of the year. Their organization is called Agents for Christ. Participants are usually all adults (over the age of 18) and although it does vary, they average about 4-6 participants per year. The participants live in the home with the insured’s during these 8 months and go through a serious of classes if you will on how to spread the word of God. There are no events so-to-speak. The insured’s do have CGL through Brotherhood Mutual which also includes Sexual Misconduct and Professional Liability.</t>
  </si>
  <si>
    <t>Possibly with TBE if description is accurate. Liability is a maybe. Sounds like low phys dmg exposure if it is as described. Has to be DP3 due to roomer/boarder limits in HO3</t>
  </si>
  <si>
    <t>Shelley</t>
  </si>
  <si>
    <t>Amanda Tate</t>
  </si>
  <si>
    <t>33616</t>
  </si>
  <si>
    <t>1963 home updated. Ins Score O. Insd has dog walking business w/occ dog sitting. Occasional that dogs come to insured home. No GL, but can get one. No large or dangerous breeds.</t>
  </si>
  <si>
    <t xml:space="preserve">GL is required.  TBE and Animal Liab Excl.  </t>
  </si>
  <si>
    <t>Even though low score, we have removed most of our exposure, and it was low to begin with.</t>
  </si>
  <si>
    <t>Feldhaus</t>
  </si>
  <si>
    <t>Torey</t>
  </si>
  <si>
    <t>Paradise</t>
  </si>
  <si>
    <t xml:space="preserve">Open claim due to recent Camp Fire. No apparent fire damage, but there is smoke damage. Prior carrier insolvent. Not sure of full extent of damage and repair needs at this time. </t>
  </si>
  <si>
    <t xml:space="preserve">Confirmed with Jeff, we are declining due to open claim. We are still reviewing our exposure in the area, not sure how comfortable we are with new business in Paradise. </t>
  </si>
  <si>
    <t>Hallberg</t>
  </si>
  <si>
    <t>North Haven</t>
  </si>
  <si>
    <t>06473</t>
  </si>
  <si>
    <t>Bowen</t>
  </si>
  <si>
    <t>Ed &amp; Brenda</t>
  </si>
  <si>
    <t xml:space="preserve">New bind request for a risk in Paradise that suffered smoke damage. Agent referred asking if CAT claim had to be surcharged.  </t>
  </si>
  <si>
    <t>Advised we are declining due to open loss and that we are reviewing our exposure in the area (per Jeff) may not write in Paradise.</t>
  </si>
  <si>
    <t>Delano</t>
  </si>
  <si>
    <t>Hugh &amp; Lisa</t>
  </si>
  <si>
    <t>92673</t>
  </si>
  <si>
    <t>1997 home nonrenewing w/prior carrier due to 2014 pipe burst $7100 and 7/18 fridge line leak $117K. All repairs made. Agent quoting w/ water damage exclusion, no mold, no water backup.</t>
  </si>
  <si>
    <t>Risk removed w/ exclusion.</t>
  </si>
  <si>
    <t>Heyes</t>
  </si>
  <si>
    <t>Philip &amp; Fiona</t>
  </si>
  <si>
    <t>90046</t>
  </si>
  <si>
    <t xml:space="preserve">1939 dwelling, with updates to systems and roof in 2004 (not confirmed if partial or complete). Applicant is a film director who worked with shows such as American Idol. Purchasing home with intent to rent it out next year after some minor renovation. Confirmed no filming, employees, etc. at the dwelling. Insured leases home within 500 yards of dwelling. </t>
  </si>
  <si>
    <t>Linson</t>
  </si>
  <si>
    <t>90402</t>
  </si>
  <si>
    <t xml:space="preserve">1925 home, with updates in 1984 (not confirmed if partial or complete). Applicant is producer, largest project Sons of Anarchy, with other tv shows and movies as well. Agent indicated losses that were with prior owner but added $25k water damage ded. Replied back for app to review. </t>
  </si>
  <si>
    <t>94114</t>
  </si>
  <si>
    <t>Mumm</t>
  </si>
  <si>
    <t>Jonathan &amp; Roberta</t>
  </si>
  <si>
    <t>Twin Peaks</t>
  </si>
  <si>
    <t>92391</t>
  </si>
  <si>
    <t>Phillips</t>
  </si>
  <si>
    <t>Debbie</t>
  </si>
  <si>
    <t>Wappapello</t>
  </si>
  <si>
    <t>63966</t>
  </si>
  <si>
    <t xml:space="preserve">Asked for cause and origin report, along with insurance score to better review fire loss. Advised that if we are to continue with review of this risk, a $10,000 water deductible is to be added and most likely an additional surcharge for the losses. </t>
  </si>
  <si>
    <t>Tasha Burnett</t>
  </si>
  <si>
    <t>Arrington</t>
  </si>
  <si>
    <t>William E &amp; Karen L</t>
  </si>
  <si>
    <t xml:space="preserve">Jacksonville </t>
  </si>
  <si>
    <t>32208</t>
  </si>
  <si>
    <t>1950 home with updates. Online pics look okay. 1200 SF ranch. Agt inquiring if airbnb is acceptable. Planning to quote x-wind.</t>
  </si>
  <si>
    <t>Gave parameters for quoting. Advised Cov A may be high. $200/SF.</t>
  </si>
  <si>
    <t xml:space="preserve">No concerns with profile of applicant, lower value risk. Subject to supplemental heating questionnaire. </t>
  </si>
  <si>
    <t>Erhart</t>
  </si>
  <si>
    <t>Hadlyme</t>
  </si>
  <si>
    <t>06439</t>
  </si>
  <si>
    <t>Sheldon</t>
  </si>
  <si>
    <t>Antioch</t>
  </si>
  <si>
    <t>98282</t>
  </si>
  <si>
    <t>Declined due to length of time without insurance. Seems to be a bit of a moral and morale hazard.</t>
  </si>
  <si>
    <t>Gessner Property Investment</t>
  </si>
  <si>
    <t>56484</t>
  </si>
  <si>
    <t>2004 home 10.9 mi from FD. Agt interviewed FD contact who confirms 15 min response. Did not adjust rate. Insd wants corp as named insd. $10K ded. Use by 4 members of corp as seasonal only, no rental.</t>
  </si>
  <si>
    <t>Per guidelines, corp name ok w/ prem liab only. Resp time confirmed by FD. Subj to confirming 4 members only (all are family), no rental, no reward/incentive.</t>
  </si>
  <si>
    <t>Oslander</t>
  </si>
  <si>
    <t xml:space="preserve">Betty  </t>
  </si>
  <si>
    <t>06443</t>
  </si>
  <si>
    <t>1999 log home used as rental on same premises as primary - unknown if insured w/Markel, assuming it is not. Nice pics. Prem liab.</t>
  </si>
  <si>
    <t xml:space="preserve">Adjust rating - rated in error as frame. Ck cov A. Exclude primary home. </t>
  </si>
  <si>
    <t>80138</t>
  </si>
  <si>
    <t>1976 home fully updated. Lapse for 1 year. Insd thought they paid. Agt applying 10% s/c and no loss letter.</t>
  </si>
  <si>
    <t>15% s/c more in line for 1 year lapse. Ins score over 750 indicates not a financial issue. Online photo ok, asked to confirm adequate Cov B or exclude buildings. Also to confirm no animals, indicated in online info.</t>
  </si>
  <si>
    <t>Rock</t>
  </si>
  <si>
    <t>Paul &amp; Sameera</t>
  </si>
  <si>
    <t>90077</t>
  </si>
  <si>
    <t>1881 (typo?) w/roof update in 2018. Insds are high profile film producer and actress. Water damage loss from leaking refrigerator line 5/18 $81K, fire retardant dmg $25K 12/18.</t>
  </si>
  <si>
    <t>Verify YOC. Verify condition / updates for  plumbing - apply higher water damage deductible. Sect II okay, not too famous.</t>
  </si>
  <si>
    <t>48371</t>
  </si>
  <si>
    <t xml:space="preserve">Previously told Jill and Delta that we would pass on any future risks for this applicant. Stance remains the same, risk is being declined. </t>
  </si>
  <si>
    <t xml:space="preserve">                                                                                                                                                                                                                                                                                                                                                            </t>
  </si>
  <si>
    <t xml:space="preserve">                                                       </t>
  </si>
  <si>
    <t xml:space="preserve">                            </t>
  </si>
  <si>
    <t xml:space="preserve">Placer  </t>
  </si>
  <si>
    <t>95722</t>
  </si>
  <si>
    <t>Exclude mold. Backup ok since newer home and only one loss. Not too high profile. A ins score.</t>
  </si>
  <si>
    <t>Elwood</t>
  </si>
  <si>
    <t>Culver</t>
  </si>
  <si>
    <t>46511</t>
  </si>
  <si>
    <t>2018 home, will be secondary. Appears to be mid-term, as it was noted that the home was knocked down and re-built. PC9, no fencing/lighting around the property.</t>
  </si>
  <si>
    <t xml:space="preserve">Declining due to no fencing/lighting at this COC. It is a larger home, PC9, and open to others to access the property. We are mid-term, prefer to be first in line. </t>
  </si>
  <si>
    <t>Kao</t>
  </si>
  <si>
    <t>Wei Wei</t>
  </si>
  <si>
    <t>Aliso Viejo</t>
  </si>
  <si>
    <t>92656</t>
  </si>
  <si>
    <t xml:space="preserve">1992 home, being non renewed by Lexington due to not being on dual street (their guidelines have changed to no longer insure these risks). Two previous water loss in 2016 due to a slab leak. </t>
  </si>
  <si>
    <t>Mackey</t>
  </si>
  <si>
    <t>Martin Haig</t>
  </si>
  <si>
    <t>Sonoma</t>
  </si>
  <si>
    <t>95476</t>
  </si>
  <si>
    <t xml:space="preserve">2006 dwelling not in brush, protected.  Max Markel TIV is $3M. </t>
  </si>
  <si>
    <t>Reminded agt of max TIV</t>
  </si>
  <si>
    <t>Kohn</t>
  </si>
  <si>
    <t>Judd</t>
  </si>
  <si>
    <t>Glencoe</t>
  </si>
  <si>
    <t>60022</t>
  </si>
  <si>
    <t>1958 home w/updates to all systems. $25K water ded quoted. Good ins score. 4 losses: 7/18 shower leak $13,365; 6/18 sump pump failure $13,405; 2/18 water heater leak $43,040; 4/17 hot water pipe leak $4,034.</t>
  </si>
  <si>
    <t>Ortiz</t>
  </si>
  <si>
    <t>Anaheim</t>
  </si>
  <si>
    <t>92805</t>
  </si>
  <si>
    <t xml:space="preserve">Walters </t>
  </si>
  <si>
    <t>92067</t>
  </si>
  <si>
    <t xml:space="preserve">1961 home w/updates in 2000 per app. Original per inspection. Insd is prior actress. Agt will ck on updates, length of vacancy, etc. </t>
  </si>
  <si>
    <t>Subj to roof update as insp indicates original 1961 tile roof. Excl should apply if this is the case. Insd not "too famous". Some current roles. No adverse info. Liab on DP3 ok.</t>
  </si>
  <si>
    <t>Clevenger</t>
  </si>
  <si>
    <t>Tiffany &amp; Josh</t>
  </si>
  <si>
    <t>64157</t>
  </si>
  <si>
    <t>2007 home w/6 wind losses in 8 years. NRN by Amer Family. Insd complained to Ins Dept. Also complained about their auto glass covg. No info provided by JMWilson about score, ded, rates.</t>
  </si>
  <si>
    <t>Concern with the Ins Dept complaint and what might be to come for us. Insd has policy currently w/Lloyds.</t>
  </si>
  <si>
    <t>Norman E</t>
  </si>
  <si>
    <t>Enterprise</t>
  </si>
  <si>
    <t>67441</t>
  </si>
  <si>
    <t>1940 building w/updates. No alarms, no losses. Coml building not used for business in 20 years. Relatives stay here when visiting. Shares wall w/small business. Zoned coml, but residency okay with zoning.</t>
  </si>
  <si>
    <t xml:space="preserve">Make sure seasonal use and not a vacant coml building. Need uw ? Answered on app. </t>
  </si>
  <si>
    <t>Pinto</t>
  </si>
  <si>
    <t>Pauline</t>
  </si>
  <si>
    <t>94904</t>
  </si>
  <si>
    <t xml:space="preserve">1956 home with minimal cast iron plumbing in for waste lines and connectors(?). Old home questionnaire confirms other systems are in good shape, but did not indicate last year updates. Quoted with $7,500 AOP ded. </t>
  </si>
  <si>
    <t xml:space="preserve">Asked for clarification on what the connectors are. If they are just connectors for the waste line and no other portions of the plumbing, it seems to be OK to allow without needing to exclude water damage or mold coverage. </t>
  </si>
  <si>
    <t>91423</t>
  </si>
  <si>
    <t xml:space="preserve">1949 home with updates to all systems and roofing within last 15 years. No losses. Being non-renewed by Lex due to not being on dual street. In brush and rated accordingly. </t>
  </si>
  <si>
    <t>No concerns with previous non-renewal. Home is located just off a main road, in a low PC. Approved</t>
  </si>
  <si>
    <t>Canales</t>
  </si>
  <si>
    <t>92397</t>
  </si>
  <si>
    <t xml:space="preserve">Home as asbestos roofing. Agent advised they were aware of concerns with asbestos siding, but was not sure on roofing. </t>
  </si>
  <si>
    <t>Same concerns are present with asbestos roofing as with asbestos siding. Too may concerns - liability, partial losses, valuations, etc. Declined</t>
  </si>
  <si>
    <t>Tyler &amp; Samantha</t>
  </si>
  <si>
    <t>1984 dwelling w/ prior $100K+ fire loss to Paradise home. Moved to new location. Photos show barn, fence, garden, grapevines. No RM. No OHQ. No updates listed.</t>
  </si>
  <si>
    <t xml:space="preserve">Did not apply loss s/c since CAT loss. Asked for confirmation about animals, crops. Roof exclusion due to no updates. OHQ needed. No RM provided, but eligible either way. </t>
  </si>
  <si>
    <t>Vasquez</t>
  </si>
  <si>
    <t>Tuleta</t>
  </si>
  <si>
    <t>78162</t>
  </si>
  <si>
    <t>2 year lapse and Insd has 6 pleasure use horses.2008 home w/ cs burglar alarm. No Cov B, No Liab. App also shows 37 cattle.</t>
  </si>
  <si>
    <t>No liab coverage. Add TBE, ensure fencing is ok, require coml policy in place. Even though no liab, could incur large defense costs. 20% surcharge for lapse.</t>
  </si>
  <si>
    <t>Diorio</t>
  </si>
  <si>
    <t xml:space="preserve">Thomas   </t>
  </si>
  <si>
    <t>Malvern</t>
  </si>
  <si>
    <t>44644</t>
  </si>
  <si>
    <t>5Y/9</t>
  </si>
  <si>
    <t xml:space="preserve">Agent needed second opinion on the risk due to being fairly new quoting with us. $1M+ TIV, used as secondary while insured sells PA home. </t>
  </si>
  <si>
    <t>All within agents authority. 2 issues found: Not PC8. I ran PPC - it is a 5Y which is 10% higher rate. Also, agt says secondary, but she added rental forms. Advised to remove, or ensure it is rated sec w/rental.</t>
  </si>
  <si>
    <t>1976 dwelling used seasonally by insured. May also be tenant, need to confirm. Contracted picker for avocado, citrus, persimmon, fig, possibly grapes. Groundskeeper there daily. No other employees.  In brush. Outbuilding used for business. Cov B listed on app</t>
  </si>
  <si>
    <t>1914 home w/full updates. Nice online pics. 3 water losses in 5 years. $5K, $14K, $15K. All caused by basement water pipe freezing and bursting. Most recent was 12/17. Also myst dis loss 2018.  No backup quoted. 20% surcharge. Unknown ins score.</t>
  </si>
  <si>
    <t xml:space="preserve">Overall, risk looks to be good. 60% completion on construction. Agent already adding 10% lapse surcharge and no loss prior to bind. Advised to add additional 10% surcharge for mid-term construction. </t>
  </si>
  <si>
    <t xml:space="preserve">Approved subject to confirmation that the open claim is loss of use only, and no damage to the property is present. If any damage, will want to re-refer for review. </t>
  </si>
  <si>
    <t>Approval subject to 10% surcharge for lapse</t>
  </si>
  <si>
    <t xml:space="preserve">High value condo, slight lapse since 11/21/2018. 1994 year built, updates have been completed. </t>
  </si>
  <si>
    <t>1947 home with partial updates to everything in 2005. inspection was provided and there didn’t appear to be any immediate concerns. Agent proposed questions about animals, employees and weeks of rental. Being non-renewed due to not being on dual street?</t>
  </si>
  <si>
    <t>Asked for clarification on what a dual street is, so that we can better review. If acceptable, would approve subject to adding TBE for reason of animals, employees, and that an outside company comes to harvest avocados. Advised to let us know if they had any further concerns with animals, employees, weeks of rental. Also advised to gather older home questionnaire. // 12/19 agt advised $100K+ Thomas fire loss. Not in brush zone. $10K aop for no alarms. Quoted as primary w/15% s/c for rental 25 weeks. Advised to add TBE for avocados. They need to get an acceptable OHQ. (MP)</t>
  </si>
  <si>
    <t>TBD Agents for Christ Residential Program</t>
  </si>
  <si>
    <t xml:space="preserve">1964 home with partial updates to systems and roof 2016-2017. Central smoke and fire alarms. Applicant is family of UW at agency, looking to see what they can do about losses. 5/2018 tornado, 1/2018 frozen pipe, 10/2017 wind, 8/2017 VMM. Home has oil heat, frozen pipe was from oil co not being able to reach home during bad winter, heat then shut off. Concern still present for future winter months. </t>
  </si>
  <si>
    <t>Advised that the CAT loss did not need to be surcharged, but would still want to account for the other three. Confirm VMM details to ensure they do not indicate any ongoing concern. $5,000 AOP as noted by agent. Advised they can use discretionary credit if they feel is good risk.</t>
  </si>
  <si>
    <t xml:space="preserve">No concerns with profile of applicant. Renovations are minor. If leased home is not on the same premises as dwelling, therefore not extending liability coverage, approval subject to old home questionnaire and confirmation of roof update (partial/complete). Need to add roof exclusion of only partial roof update. </t>
  </si>
  <si>
    <t>1904 dwelling with no info on updates. 3 listed owners/applicants, will be full time-rental units when completed (triplex). Quoted as HO3, but will need to be changed to DP3 Vacant rates. Builders Risk quest indicates electrical services will be updated from knob &amp; tube to circuits, but no mention of other systems. COC started 11/29/2018, planning to end 2/15/2019</t>
  </si>
  <si>
    <t xml:space="preserve">1950 home with updates to all systems and roof. Applicant was in a few smaller films and now is a tv journalist in the Sacramento area. WBS in property. </t>
  </si>
  <si>
    <t xml:space="preserve">2014 log home. 9/2018 fire loss, current details from agent indicate could have been from electrical problems with vehicle. $50,000 damage to detached garage. 2015 water loss $50,000 caused by an ice maker line. Insurance score not provided yet. </t>
  </si>
  <si>
    <t xml:space="preserve">1997 home, referred due to flat roof with "vegetation" on part of the roof. Addition to home was built, and part with flat roof has installed grass type layer on part of roof, other part has stone brick layer. Per agent, waterproof barrier is placed under to prevent leaking. Roof will be a "hang out" spot. App says PC 8b, but says 8+ miles to fire station on app. </t>
  </si>
  <si>
    <t xml:space="preserve">Sent to agent to ask for PC questionnaire. App says misleading info regarding PC, and looking online the fire station distance could actually be different. After review of questionnaire, will apply $10,000 water damage ded due to roof along with a supp heating quest. </t>
  </si>
  <si>
    <t xml:space="preserve">1928 dwelling that insured has owned since 2008 with no insurance. Purchased and just now wants to get coverage since it is going to be for sale. Also, no listing of updates to home. </t>
  </si>
  <si>
    <t xml:space="preserve">1958 home with updates to systems. Applicant is Nicole Curtis, most known for Rehab Addict on HGTV. Have received previous referrals in 2016 and 2017 from Burns for this applicant. There were previous underlying concerns with building practices and locations and her celebrity. </t>
  </si>
  <si>
    <t>2004 home in brush 87 score. $24K pipe break in 8/18. Claim closed. Agent providing proof as loss run says still open. Applying $25K water damage ded. Mold and backup requested. Insd is high profile former Indy Car racer, now ESPN broadcaster. Has home office but no exposure.</t>
  </si>
  <si>
    <t xml:space="preserve">Not much of a concern with the no dual street issue. Response time is still low and protection class is still good. Water loss, will want to apply $10,000 water deductible. However, if aggressive repairs were not made to the slab leak, water damage should be excluded. Also, a fully completed app, current one is old and missing some questions. </t>
  </si>
  <si>
    <t xml:space="preserve">1914 home that has had updates to plumbing and heating in 2018, roof replaced in 2003, and electrical was "checked" in 2018. There are 4 owners, all siblings. Had let coverage lapse and communication is "poor" between them on obtaining coverage. Applicant, John Ortiz, is living in full time, performing basic remodel work like painting, floors, cleaning, etc. </t>
  </si>
  <si>
    <t xml:space="preserve">Approved since owner occupied and updates to systems. Subject to confirmation electrical status since it was only "checked". Liability exclusion due to number of owners, all must be listed. Older home questionnaire and 40% debit due to lapse. Advised if anything more than minor cosmetic updates are being done this needs to be builders risk with debit to still apply. </t>
  </si>
  <si>
    <t>Need app to review</t>
  </si>
  <si>
    <t>Referral Decisions Year to Date                                                                       December 28, 2018</t>
  </si>
  <si>
    <t>Mead</t>
  </si>
  <si>
    <t>82604</t>
  </si>
  <si>
    <t>2001 building that was a 60x120 shop w/ office and garage space for drilling business.  Business is sold.  Building now used as a residence and storage. No business on premises.</t>
  </si>
  <si>
    <t>Online photos okay. No concerns w/occupancy.</t>
  </si>
  <si>
    <t>Cantu</t>
  </si>
  <si>
    <t>Sara</t>
  </si>
  <si>
    <t>Rio Grande</t>
  </si>
  <si>
    <t>78582</t>
  </si>
  <si>
    <t xml:space="preserve">2013 home, no losses, lapsed for non pay 9/16/18. Client lost track of it during a very busy period. Insured's are professionals. J score. </t>
  </si>
  <si>
    <t>Apply 5% surcharge for lapse. Ok to add ERC and PI.</t>
  </si>
  <si>
    <t>Handle 12/28, but I already closed the 2018 log.</t>
  </si>
  <si>
    <t>Insana</t>
  </si>
  <si>
    <t>Carmen</t>
  </si>
  <si>
    <t>08028</t>
  </si>
  <si>
    <t xml:space="preserve">Prior fire loss, total loss - $238,000. Per agent, fire started in a bush by a passerby with a can of gasoline. Multiple fires were started in the area that night. Home is in process of being constructed. </t>
  </si>
  <si>
    <t>Zachem Family Trust</t>
  </si>
  <si>
    <t>Ledyard</t>
  </si>
  <si>
    <t>06339</t>
  </si>
  <si>
    <t>5Y</t>
  </si>
  <si>
    <t xml:space="preserve">1891 dwelling with updates to roof and systems from 1990-2003, no mention if gutted. Three other structures that are in poor condition, which is reason for non-renewal with other carrier. Structures will be demoed or burned by control burn. Asked if RCV or ACV should be used. </t>
  </si>
  <si>
    <t xml:space="preserve">Approval subject to full exclusion of the outbuildings will be needed. Will require ACV since no mention of completely gutted, older updates, and not above average condition. </t>
  </si>
  <si>
    <t>Fairfield</t>
  </si>
  <si>
    <t>06824</t>
  </si>
  <si>
    <t xml:space="preserve">1960 home with updates in 2000 to systems and roof. Insured runs a dentistry out of home. No poor reviews online. Sending business questionnaire to get full details. Insured has BOP policy with $2M/$4M limits. 1 prior water loss 10/2018, $1,229 paid. Fully repaired, no concerns regarding loss. </t>
  </si>
  <si>
    <t>Betta</t>
  </si>
  <si>
    <t>Giancarlo</t>
  </si>
  <si>
    <t>65591</t>
  </si>
  <si>
    <t xml:space="preserve">Will approve as long as it is confirmed there are no tours or any other related ventures with the cave. If confirmed, approval to release subject to an acceptable unprotected questionnaire and active central station fire alarms. </t>
  </si>
  <si>
    <t>Appears to be OK to approve with TBE, but will wait to confirm after reviewing business questionnaire. UPDATE: Rec'd further info regarding business - expected about 5 appointments per day. Seems a bit high, but CGL limits seem adequate to allow for this. Approved subject to TBE and maintain CGL policy</t>
  </si>
  <si>
    <t>Montgomery</t>
  </si>
  <si>
    <t>77316</t>
  </si>
  <si>
    <t>Approve subject to TBE and CGL is in place and maintained for salon business</t>
  </si>
  <si>
    <t>Parrish</t>
  </si>
  <si>
    <t>Spring</t>
  </si>
  <si>
    <t>77379</t>
  </si>
  <si>
    <t xml:space="preserve">1983 home with updates to all systems and roof in 2018. 2 prior large losses, neither of which appeared to be fault of insured. 2016 loss was due to drunk driver that crashed into the home $172k, 2017 loss was a water loss about $200k - They purchased new home and were doing reno, water was off, pool guy came and turned water on (was not supposed to), plumber came to do work and when started working water came out and flooded home in mater of minutes. Claim is still open due to fact that prior carrier is trying to subrogate. All repairs have been made 100%. </t>
  </si>
  <si>
    <t>Approved - losses are not fault of insured and pose no moral/morale hazard concern. Damages have been repaired.</t>
  </si>
  <si>
    <t>Choumas</t>
  </si>
  <si>
    <t>92660</t>
  </si>
  <si>
    <t>Approved subject to a $25,000 Special Water deductible. AOP is already at $10,000</t>
  </si>
  <si>
    <t>Eliason</t>
  </si>
  <si>
    <t>03244</t>
  </si>
  <si>
    <t>9?</t>
  </si>
  <si>
    <t>Groom</t>
  </si>
  <si>
    <t>95969</t>
  </si>
  <si>
    <t>Collierville</t>
  </si>
  <si>
    <t>38017</t>
  </si>
  <si>
    <t xml:space="preserve">1998 home no losses. High TIV and is PC 10. The insurance score is also O. Fire department is a little over 5 miles away. </t>
  </si>
  <si>
    <t xml:space="preserve">Declined due to the combination of the high TIV and being PC 10. Insurance score helped confirm reason for decline. Being a PC 10, the rest of the risk has to be close to perfect, and especially being close to our own TIV max, we will not move forward. </t>
  </si>
  <si>
    <t>Hawkins Marital Trust</t>
  </si>
  <si>
    <t>67052</t>
  </si>
  <si>
    <t>Duren</t>
  </si>
  <si>
    <t>Bart</t>
  </si>
  <si>
    <t>93722</t>
  </si>
  <si>
    <t>Gheen</t>
  </si>
  <si>
    <t>Brendan &amp; Toni</t>
  </si>
  <si>
    <t>08260</t>
  </si>
  <si>
    <t>1930 dwelling undergoing "cosmetic" updates. Agt asking if it should be builders risk. Insured is the GC per app. 3 fam per online info; single family per submission. Agt also asked if this barrier island is eligible.</t>
  </si>
  <si>
    <t>Mendez</t>
  </si>
  <si>
    <t>Minaya &amp; Narahin Nova</t>
  </si>
  <si>
    <t>Waterbury</t>
  </si>
  <si>
    <t>06704</t>
  </si>
  <si>
    <t>1995 dwelling listed online and on app as a condo, but HO3 app submitted. 4 prior losses, 1 closed w/no pmt. 10/18 water dmg plumbing closed no pmt; 3/18 wind $749. 4/16 water dmg other $687. 3/16 weight of ice/snow $12K.</t>
  </si>
  <si>
    <t>Need more loss detail to determine if agts quoted $5K water ded/$2500 AOP is adequate. Charged for 3 losses. Make sure no pmt expected for 10/18 loss. New roof in 2018.</t>
  </si>
  <si>
    <t>Stokes</t>
  </si>
  <si>
    <t>Albert L Sr &amp; Nellie</t>
  </si>
  <si>
    <t>Valdosta</t>
  </si>
  <si>
    <t>31601</t>
  </si>
  <si>
    <t xml:space="preserve">1999 home. Insd is farmer. Has corn and hay and appx. 48 head of cattle. Rated as PC8. </t>
  </si>
  <si>
    <t>Animal and business exclusion will take care of our biggest concerns. Also need farm policy to be maintained. Verify PC. Probably an 8B.</t>
  </si>
  <si>
    <t>Nolan</t>
  </si>
  <si>
    <t>02360</t>
  </si>
  <si>
    <t>2016 home rebuilt after 2015 non-suspicious total fire. Subsequent hose break under sink 7/18 $104K paid.</t>
  </si>
  <si>
    <t>Need to review C&amp;O report. Advised agt if ok, we would exclude mold. Need conf of loss repaired and claim closed. Only s/c for 3 years. Fire loss 7/2015.</t>
  </si>
  <si>
    <t>Gia &amp; Joan Chase</t>
  </si>
  <si>
    <t>Need confirmation as to why insured is changing carriers after construction has started. Quoted incorrectly, so that will need to be updated, as HO3 builders risk is only if dwelling will be owner occupied upon completion. Confirmation of insurable interest and connection between the three individuals will be needed. Also want to know current status of dwelling - systems and condition and last updates? anything ineligible? Interior and exterior condition of structure? and existing damage or hazards? MFRC most likely to be added and roof exclusion if it hasn't been updated. UPDATE: Owners are fiances and mother of one of the individual, all owners of the location. 1904 dwelling they advised is in good condition, but has knob and tube wiring, will be updated at some point during COC, but still presence is concerning and reason for decline. There are other concerns with little plumbing and heating updates, which would warrant water exclusion if we were to re-evaluate in the future. Also would apply surcharge for mid-term COC.  UPDATE MP 1/7/19 Confirmed no knob &amp; tube. City of San Fran inspected plumbing &amp; elec before Christmas and all was approved. Knob &amp; tube prev removed and replaced. Panel upgraded to 200 amps. Asking agent for rate so we can apply a surcharge for midterm.</t>
  </si>
  <si>
    <t>Lacombe</t>
  </si>
  <si>
    <t>Only info provided is that risk is in Lacombe LA and has 6 beehives.</t>
  </si>
  <si>
    <t>Shaolian</t>
  </si>
  <si>
    <t>Mansour</t>
  </si>
  <si>
    <t>1964 home updated. Not in brush. 2 prior losses &gt;4 years ago. Water/roof and backup. No backup quoted. Mold was quoted.</t>
  </si>
  <si>
    <t>No s/c needed. Advised to use discretionary credit. No backup, no mold. Get new app. Roof replaced.</t>
  </si>
  <si>
    <t>Asked additional info about species of bees and whether this is a business. May apply Total Biz Excl or liab surcharge.// Honey bees only. Personal use only - no business. 10% surcharge applied.</t>
  </si>
  <si>
    <t>VanHoeck</t>
  </si>
  <si>
    <t>Jim &amp; Joann &amp; Marie Trojanowski</t>
  </si>
  <si>
    <t xml:space="preserve">1940 home w/plumbing and roof updates. Currently vacant, will be rented. 3 applicants. Another farmer leases 80 acres for farming. Will have farm policy in place. </t>
  </si>
  <si>
    <t>Add Total Business Excl. With that and farm policy in place, exposure should be minimal. Don't feel addl s/c needed. Check on updates to wire/heat. Need info on insurable interest. Write as DP3 vacant until occupancy changes.</t>
  </si>
  <si>
    <t>OK w/water dmg exclusion, no mold, no water backup. // Update 1/8/19 Insd had water alarm and dual sump pumps installed. They want to change the water damage excl to a $25K ded. Advised ok if the water alarm also includes automatic shut off.  Otherwise, stick with the exclusion.</t>
  </si>
  <si>
    <t>Susana</t>
  </si>
  <si>
    <t>81657</t>
  </si>
  <si>
    <t>2007 condo in vail with alarms. Used as secondary w/2 night or more short term rental. Prem liab. Agt confirmed PC w/online mapping check.</t>
  </si>
  <si>
    <t>Clean risk. Common to have these high values in Vail.</t>
  </si>
  <si>
    <t>Brendon</t>
  </si>
  <si>
    <t>Wiggins</t>
  </si>
  <si>
    <t>George</t>
  </si>
  <si>
    <t>Emerson</t>
  </si>
  <si>
    <t>71740</t>
  </si>
  <si>
    <t>1950 home updated. Insured has 100 acres, not used for farming or livestock. Personal hunting only. No membership or leasing.</t>
  </si>
  <si>
    <t>Occ=Agriculture?  No online info. As long as it is confirmed there is no farming, okay. Personal hunting can happen on any acreage.</t>
  </si>
  <si>
    <t>Rieben</t>
  </si>
  <si>
    <t>Tanaya</t>
  </si>
  <si>
    <t>Leesburg</t>
  </si>
  <si>
    <t>20875</t>
  </si>
  <si>
    <t>2008 home w/ 3 prior water losses. 2 were frozen pipes from same storm but in diff locations. $28K and $8K paid in 3/14.  7/16 loss - heat pump installation issue $45K paid. Agt quoting w/$10K water ded. They provided inspection copy. Nice looking home.</t>
  </si>
  <si>
    <t>Advised we could consider $10K water ded if no mold covg. 2 losses were from same occurrence and heat pump was an install issue. However…the inspection has considerable issues that we may not be able to overcome. Listed them for the agt. PC, animals, dog, diving rock, underground tank, business on premises.</t>
  </si>
  <si>
    <t>Extremely high ins score.</t>
  </si>
  <si>
    <t>Assi</t>
  </si>
  <si>
    <t>Kaream</t>
  </si>
  <si>
    <t>92014</t>
  </si>
  <si>
    <t>1973 home w/ 3 losses. 2 are window leaks during storms, shown to be an installation issue. 1/16 $23K paid. 1/17 $3K paid. 10/18 $115K paid for fire around the fireplace fire box. Box was defective. Not in brush.</t>
  </si>
  <si>
    <t>High value, 3 installation issues, 1973 home. What comes next?</t>
  </si>
  <si>
    <t>Haber</t>
  </si>
  <si>
    <t>Sherry</t>
  </si>
  <si>
    <t>1989 home w/ 3 losses.  3/17 $25K water heater broke. 3/18 toilet leak $7K 7/18 house sitter left hose on, damaged neighbor's prop. Possible original wood shake roof.</t>
  </si>
  <si>
    <t xml:space="preserve">$25K water damage ded. 7/18 loss is liab. Should mitigate any future issues. Home is 30 years old. </t>
  </si>
  <si>
    <t>Good ins score.</t>
  </si>
  <si>
    <t>Westlake</t>
  </si>
  <si>
    <t>David &amp; Irma</t>
  </si>
  <si>
    <t>Orient</t>
  </si>
  <si>
    <t>43146</t>
  </si>
  <si>
    <t xml:space="preserve">1966 home with updates to heating in 2017 and roof 2016. 4 losses within lasts 3 years, 3 paid. 4/2016 wind loss causing roof damage and further water leaking $20k, 12/2017 heat pump froze $9k, 12/2017 Wind damage, damage to chimney $1100. High insurance score. </t>
  </si>
  <si>
    <t xml:space="preserve">The number of wind claims seemed odd for the area. As such, approved subject to a $5k AOP, then a $10k water ded and surcharge for the 3 losses. </t>
  </si>
  <si>
    <t>Very good insurance score</t>
  </si>
  <si>
    <t>84055</t>
  </si>
  <si>
    <t>1995 log home, not hand hewn. No updates noted. No alarms, no losses, wood stove as primary heat source. PC10 with FD 10.3 miles, response time 20-25 minutes, not accessible year-round</t>
  </si>
  <si>
    <t xml:space="preserve">Had this been a lower TIV we may have been able to consider. However, given TIV, wood stove as primary heat source and not accessible year-round, we feel we would not be able to get an adequate rate. </t>
  </si>
  <si>
    <t>Khalaf</t>
  </si>
  <si>
    <t>Azzam</t>
  </si>
  <si>
    <t>68504</t>
  </si>
  <si>
    <t xml:space="preserve">1920 home, new purchase, partial updates to systems 2011-2013 and full roof in 2011. No Losses, wanting to offer FRC. On property is the home, private garage, and a commercial building. Insured runs an auto sales business out of comm building. Has a CGL for business. </t>
  </si>
  <si>
    <t>It looked as if the insured had lived at the property for over a year now, so gave approval subject to confirmation there is no lapse in coverage. Further more, TBE, exclude commercial building, and completed and acceptable OHQ.</t>
  </si>
  <si>
    <t>1958 home w/ updates. Plumbing completely updated in 2008 per app. 4 water losses. 7/18 shower leak $13K, 6/18 sump pump $13K, 2/18 water heater $43K, 4/17 pipe leak $4K. No water backup. Insd had pro come out. They installed a water alarm with automatic shutoff.</t>
  </si>
  <si>
    <t>McCarrick</t>
  </si>
  <si>
    <t>Jack &amp; Laura</t>
  </si>
  <si>
    <t>Mystic</t>
  </si>
  <si>
    <t>06355</t>
  </si>
  <si>
    <t xml:space="preserve">1844 Historic home, no tours confirmed by agent. Mentioned no updates were given, however agent provided photos and systems in basement appear to be "newer" and the interior of the homes seems as if it was redone at some point. </t>
  </si>
  <si>
    <t xml:space="preserve">Approved subject to $5,000 AOP, $25,000 water ded, exclude mold, and surcharge for the 4 paid losses. </t>
  </si>
  <si>
    <t>S insurance score, very low. Has a recent history of frequent  smaller claims both water and non-water related.</t>
  </si>
  <si>
    <t>Stonehocker</t>
  </si>
  <si>
    <t>Robin &amp; Michael</t>
  </si>
  <si>
    <t>80403</t>
  </si>
  <si>
    <t>New build which has been under constr for 10 months. Agt did inspection and Cov A increased greatly. PC9-Volunteer FD is .7 miles from home.Sprinklers being installed. 60% complete. Nice home.</t>
  </si>
  <si>
    <t>Cosmetic roof, completed app to be submitted (not included). Add rail, per inspection needs temp rail. 15% s/c to make up for not getting this day 1.</t>
  </si>
  <si>
    <t>19143</t>
  </si>
  <si>
    <t>Not comfortable with the loss.</t>
  </si>
  <si>
    <t>1925 dwelling w/updates. 4 family rental unit in Philly. Google pics average.  All similar 4 family dwellings. Across street from large park. Insd purchased in 1/2018. Shortly after, someone threw a fire bomb into the apt during the night. No injuries. Burn and smoke damage. Insd lives in New York.</t>
  </si>
  <si>
    <t>2012 O'Connor Family Trust</t>
  </si>
  <si>
    <t>94127</t>
  </si>
  <si>
    <t>1951 renovation started in 7/2017. Delay due to issue with permits. All professional construction. Not in brush. Final TIV should be below $3M. Currently 60^ complete w/only interior left. Expect 6 months to finish.</t>
  </si>
  <si>
    <t>25% surcharge for mid-term construction. Asked agt to verify rate. Advised of requirement to use WildFireRiskScore. This one is a 6 (I ran).</t>
  </si>
  <si>
    <t>1900 dwelling w/updates. 2 prior water losses. Quoted in February 2018 and again December 2018 (see log). Insd never accepted terms or took out a policy. 10% lapse s/c applied.</t>
  </si>
  <si>
    <t>3rd submission from this insured. They've had a lapse since 2/2018. Seems like a morale hazard. This is a $3.8M home, tenant occupied and they've had prev losses.  Concern with this situation being left uninsured all this time and us handling multiple submissions.</t>
  </si>
  <si>
    <t>Kaplan</t>
  </si>
  <si>
    <t>Squaw Valley</t>
  </si>
  <si>
    <t>96146</t>
  </si>
  <si>
    <t>1977 home w/updates. However roof is 2002 woodshake. WRS is 82.</t>
  </si>
  <si>
    <t>Woodshake in higher brush zone.</t>
  </si>
  <si>
    <t>Delonge</t>
  </si>
  <si>
    <t>92024</t>
  </si>
  <si>
    <t>1946 home updated. Nice online photos. Insd new purchase. May eventually demo or reno. Agt reviewed these options w/the retailer and they have options if the insd decides to demo (since we don't cover). One loss at another location. Special water ded due to year built. Agt will inspect.</t>
  </si>
  <si>
    <t>Reviewed online for any concerns. No issues. Agt issuing x-liab.</t>
  </si>
  <si>
    <t>Valva</t>
  </si>
  <si>
    <t>2005 home w/$17K loss 11/18 from the camp fire. However, loss run does not confirm that this is loss of use or CAT, which is what the insd is reporting.. Loss shows still open.</t>
  </si>
  <si>
    <t>Get fire marshal or c&amp;o. Need to confirm cause.</t>
  </si>
  <si>
    <t>Sawicki</t>
  </si>
  <si>
    <t>48072</t>
  </si>
  <si>
    <t>1943 home undergoing extensive renovation. Licensed GC. No light/fence per BR app. Online pics show average or better condition. Insured currently residing in home.</t>
  </si>
  <si>
    <t>Beshore</t>
  </si>
  <si>
    <t>Eric &amp; Ann</t>
  </si>
  <si>
    <t>Berkley</t>
  </si>
  <si>
    <t>CO2</t>
  </si>
  <si>
    <t xml:space="preserve">1996 home PC2. Had for 1 year. Water leak detection system installed. Agt looking to apply total of 12% credit. Has central station alarms and water leak detection and shutoff.  </t>
  </si>
  <si>
    <t>Newer home. No losses. Nice online pics. We'll win this over Lex for going 2% more.  Excellent mitigation system.</t>
  </si>
  <si>
    <t>72223</t>
  </si>
  <si>
    <t>1961 home w/roof update only. Business on prem - screen printing and sales. Lapse for 18 mos. Due to non pay. T score. Wind/hail $1,000 prior loss.</t>
  </si>
  <si>
    <t>Concern with older home, lapse, loss, low score, along with our AR results.</t>
  </si>
  <si>
    <t>Cam</t>
  </si>
  <si>
    <t>Rushville</t>
  </si>
  <si>
    <t>69361</t>
  </si>
  <si>
    <t>Vardapetyan</t>
  </si>
  <si>
    <t>Levon</t>
  </si>
  <si>
    <t>Sun Valley</t>
  </si>
  <si>
    <t>91352</t>
  </si>
  <si>
    <t>1963 home updated with 78 WRS. 4 prior losses, 3 due to smoke damage/cleanup from wildfire.</t>
  </si>
  <si>
    <t>Concern with High Value, prior losses, and high risk score.</t>
  </si>
  <si>
    <t>C&amp;M Ventures LLC</t>
  </si>
  <si>
    <t>92201</t>
  </si>
  <si>
    <t>2015 home owned by an LLC but the applicant is Chris Comstock - DJ Marshmellow.</t>
  </si>
  <si>
    <t>Young EDM DJ. Concern of parties, etc. Phys dmg and liab concerns.</t>
  </si>
  <si>
    <t>Ponticelli</t>
  </si>
  <si>
    <t>Dana &amp; Sharon</t>
  </si>
  <si>
    <t>1996 home w/synthetic stucco. 79 WRS, quoted before our guidelines changed. Eff 11/27/19. Has alarms and tile roof.</t>
  </si>
  <si>
    <t>Advised need to find out if there is a drainage/weep system. Castle may not - not included in their inspection. Nice looking higher value home.</t>
  </si>
  <si>
    <t>Rich</t>
  </si>
  <si>
    <t>95635</t>
  </si>
  <si>
    <t xml:space="preserve">Declined due to updated guidelines around WRS. </t>
  </si>
  <si>
    <t>Hooper Family Trust</t>
  </si>
  <si>
    <t>94937</t>
  </si>
  <si>
    <t xml:space="preserve">2000 year built, secondary home. WRS is </t>
  </si>
  <si>
    <t>Bauta</t>
  </si>
  <si>
    <t>Pilar</t>
  </si>
  <si>
    <t>Lyme</t>
  </si>
  <si>
    <t>03768</t>
  </si>
  <si>
    <t>1820 year built with updates to all systems and roof in 2008. Protection class 9 listed on app. Over our max TIV</t>
  </si>
  <si>
    <t>Declined due to TIV being over our maximum</t>
  </si>
  <si>
    <t>Goode</t>
  </si>
  <si>
    <t>Tuscon</t>
  </si>
  <si>
    <t>85749</t>
  </si>
  <si>
    <t>Trujillo</t>
  </si>
  <si>
    <t>Robert &amp; Chloe</t>
  </si>
  <si>
    <t>1960 home with no initial mention of updates. Referred due to high profile. Robert is bassist for heavy metal band Metallica. 2 previous work comp claims in 2012 from when the home was under construction. There was also a complaint made against the applicant and his wife back in 2012 between them and a possible new assistant, it was a business dispute. Liability is insured elsewhere. WRS is 82</t>
  </si>
  <si>
    <t>Lackey</t>
  </si>
  <si>
    <t>North Wildwood</t>
  </si>
  <si>
    <t>1930 dwelling with updates to roof 1998 and wiring and plumbing in 2000. This is a seasonal risk. No heat source and the dwelling is professionally winterized. There is also a lapse in coverage due to non-pay 9/2014, no insurance since then. H insurance score</t>
  </si>
  <si>
    <t xml:space="preserve">Since the home is professionally winterized, we can consider given there is no heat source. Most likely used as a summer vacation home. If we consider, will require $5,000 special water deductible. Pended to ask for clarification as to why coverage is just now being looked at since the 2014 lapse. </t>
  </si>
  <si>
    <t>Trube</t>
  </si>
  <si>
    <t>Comfort</t>
  </si>
  <si>
    <t>78013</t>
  </si>
  <si>
    <t xml:space="preserve">2014 home, appears to be a good risk. Referred due to TIV. On app, PPC was listed as 4/8B. From the information provided (hydrant distance) it looks to be 8B. There is a pool that is not fenced, however, an inspection was provided and it mentions that the entire property was fenced and gated. </t>
  </si>
  <si>
    <t>WRS is not in the range of an automatic decline (85+) but is pretty close. Very popular band that tends to more of a "rowdy" scene. Possible concerns with previous complaints. All of that in combination of the high WRS caused reason for decline. Also a declined zip code.</t>
  </si>
  <si>
    <t>Gill</t>
  </si>
  <si>
    <t>Joseph &amp; Nancy</t>
  </si>
  <si>
    <t>29576</t>
  </si>
  <si>
    <t>Secondary home located in SC, not authorized to write in SC</t>
  </si>
  <si>
    <t>Minassian</t>
  </si>
  <si>
    <t>Pembroke</t>
  </si>
  <si>
    <t>03275</t>
  </si>
  <si>
    <t xml:space="preserve">1968 home with no listing of updates. Condition of property is below average/poor, as there is a list of damages that need to be fixed. About half of the roof has moss growing on it. Inspection indicates more than just cosmetic repairs are needed. It is a two family property, insured's family lives on other side. Agent said that all there was is cosmetic work. </t>
  </si>
  <si>
    <t>Advised unable to write BR if insured is acting as GC. Due to inspection noting repairs are more than cosmetic, insured would need to get a licensed GC to manage the work and licensed subcontractors in order to consider. Existing damage, roof exclusion and water exclusion would all be required until repairs are completed. Suggest to write as HO3 w/ rental and have parents obtain own HO4. Would also need to review OHQ to judge condition of systems. Inspection was only exterior.</t>
  </si>
  <si>
    <t>AAMD LLC</t>
  </si>
  <si>
    <t>Kenansville</t>
  </si>
  <si>
    <t>34739</t>
  </si>
  <si>
    <t>Agent already advised they would apply a TBE, liability exclusion and building exclusion for farm structures. Approved with those subjectivities along with an animal exclusion and including the mobile home on the building exclusion. Does not appear to be much concern with the business.</t>
  </si>
  <si>
    <t>Asked numerous questions re condition, work being done. If more than minor and insd is GC, risk is ineligible. May have asbestos siding. Location ok per 2/18 email updated guidelines. Provided copy. // 1/16 Barbara confirmed asbestos siding - ineligible. Borderline on whether this should have a GC.  Rear cottage would have needed to be excluded.</t>
  </si>
  <si>
    <t>Mikesh</t>
  </si>
  <si>
    <t>Lamote</t>
  </si>
  <si>
    <t>Bismarck</t>
  </si>
  <si>
    <t>58504</t>
  </si>
  <si>
    <t>2013 home 7 mi/11 minutes from paid FD. Straight shot. 2000' from hydrant. No alarms. Agt recommending CS fire/burglar (not required). Insd is Exec.</t>
  </si>
  <si>
    <t xml:space="preserve">Acceptable PC quest needed.  Appears this will be within 15 min. </t>
  </si>
  <si>
    <t>Meyer</t>
  </si>
  <si>
    <t>Louise &amp; Thomas</t>
  </si>
  <si>
    <t>90068</t>
  </si>
  <si>
    <t xml:space="preserve">1927 home with complete updates in 2005. Insured is a film producer, most famously known for the Hinger Games. </t>
  </si>
  <si>
    <t xml:space="preserve">Overall, the risk seems acceptable, no concerns with profile. However, it appears that the incorrect rates were used (brush) since WRS is 78, and that our UW guidelines had been missed as they quoted 50% ERC. Gave approval highlighting our recent changes, approved subject to removing 50% ERC (25% is OK) and applying updated surcharge for brush. </t>
  </si>
  <si>
    <t>Tripathi</t>
  </si>
  <si>
    <t>Burton &amp; Daniel</t>
  </si>
  <si>
    <t>91387</t>
  </si>
  <si>
    <t>2/2Y</t>
  </si>
  <si>
    <t>This risk is being non-renewed by Lex due to their recent dual access requirement. PPC is a split, agent was asking if that is OK with our new guidelines</t>
  </si>
  <si>
    <t>Declined per updated guidelines, split PCs no longer eligible.</t>
  </si>
  <si>
    <t>Applegate</t>
  </si>
  <si>
    <t>Granite Bay</t>
  </si>
  <si>
    <t>95746</t>
  </si>
  <si>
    <t xml:space="preserve">1982 fully updated. PC 9 that is not in brush, WRS 15. </t>
  </si>
  <si>
    <t xml:space="preserve">Relayed our previous communication that was sent in Dec 2018 regarding updates to unprotected PCs and that we assumed all of those were in brush. Also relayed our communication from 1/10/19 regarding our new guidelines for CA and that unprotected PCs, in brush or not, and split PCs are ineligible. </t>
  </si>
  <si>
    <t>London</t>
  </si>
  <si>
    <t>95665</t>
  </si>
  <si>
    <t>This is another one that appears they were not using the updated brush surcharge. Rate seemed far too low to be appropriate. Remainder of risk seemed acceptable, agent already advised TBE and building exclusion for business structures, and liability is also completely excluded. Approved subject to updating rate using correct brush surcharge.</t>
  </si>
  <si>
    <t>This one, and the previous two referrals from Burns appear that the recently updated guidelines for CA did not make it to the SRD office. Brush rates were not applied correctly, and risks that are now ineligible were sent to us. Discussed with Melissa, who sent communication to Danielle about this matter. We are having a follow up discussion with Bill and Danielle on 1/18/19 to confirm/discuss the updated guidelines.</t>
  </si>
  <si>
    <t>Durer</t>
  </si>
  <si>
    <t>Laramie</t>
  </si>
  <si>
    <t>82070</t>
  </si>
  <si>
    <t>Malik</t>
  </si>
  <si>
    <t>Rahul</t>
  </si>
  <si>
    <t>02067</t>
  </si>
  <si>
    <t xml:space="preserve">Referred to us due to the flat roof. 2017 year built, very nice home. Two sections of the roof are flat, where it is finished almost like a deck where people can walk on it. There are doors that open up to these areas, so it appears to be built for the purpose of being able to walk on there. Appears to be sufficient water drainage. Remainder of risk looks very nice. </t>
  </si>
  <si>
    <t>Approved with no further restrictions in place. Flat roofs can sometimes require further subjectivities, but since this was built 2017 and has no other visual concerns, no further requirements needed.</t>
  </si>
  <si>
    <t>Browne</t>
  </si>
  <si>
    <t>Jill &amp; James</t>
  </si>
  <si>
    <t>Hellertown</t>
  </si>
  <si>
    <t>18055</t>
  </si>
  <si>
    <t>Other than the fact that this is a PC 9, this looks to be a great risk. As mentioned about the pool, no concerns that would require any pool/liability exclusions or water damage exclusions. As such, approved terms</t>
  </si>
  <si>
    <t>Zetzer</t>
  </si>
  <si>
    <t>George A</t>
  </si>
  <si>
    <t>Richmond Heights</t>
  </si>
  <si>
    <t>44143</t>
  </si>
  <si>
    <t>2018 home rebuilt after total fire loss. $459,566 fire claim on 12/09/17. Cause listed as spark from fireplace.  Fireplace completely torn down and the rest of the house torn down to the studs.</t>
  </si>
  <si>
    <t>Need origin and loss report. Surcharge + 10% for large loss.</t>
  </si>
  <si>
    <t>Jodi</t>
  </si>
  <si>
    <t>Home under construction. Has been insured w/Zurich for 2 years as a builders risk. They pulled the plug. There was a 4 month delay in starting.  They expect 6 months more. Most of interior left to do. Final RC will be $2.8M.</t>
  </si>
  <si>
    <t xml:space="preserve">Too far into construction. High value. CA. </t>
  </si>
  <si>
    <t>Tramel</t>
  </si>
  <si>
    <t>Alan &amp; Connie</t>
  </si>
  <si>
    <t>Wofford Heights</t>
  </si>
  <si>
    <t>93285</t>
  </si>
  <si>
    <t>Renew now, set up for NRN in 2020. Did not add any addl prem for 20 min response time. Expiring was around $4K.</t>
  </si>
  <si>
    <t>Hale</t>
  </si>
  <si>
    <t>91604</t>
  </si>
  <si>
    <t xml:space="preserve">Looks to be a really nice home. No adverse information found about applicant. Asked for 50% ERC, approved subject to lowering ERC to 25%. </t>
  </si>
  <si>
    <t>1948 home with all updates done in 2015. Applicant is an actress, most known for role on Pretty Little Liars. CS alarms, gated and fenced property. WRS 31</t>
  </si>
  <si>
    <t>Stewart</t>
  </si>
  <si>
    <t>Judea</t>
  </si>
  <si>
    <t>72655</t>
  </si>
  <si>
    <t>2012 hand hewn log home. PC 10 with primary heat source is woodstove. Secondary home. It is winterized. H insurance score. Address wasn’t clear on app, but listed in email.</t>
  </si>
  <si>
    <t xml:space="preserve">Approved subject to confirmation of legal/911 address. App didn’t have it and PC questionnaire wasn’t clear, but email had it. It appears to be correct in the email but confirmation before binding is required. Also, woodstove floor clearance in front of the stove needs to be extended to 18", currently only at 12". Since winterized, not large coverage amounts, approved with subjectivities. </t>
  </si>
  <si>
    <t>Chris &amp; Nancy</t>
  </si>
  <si>
    <t>Oak View</t>
  </si>
  <si>
    <t>93002</t>
  </si>
  <si>
    <t xml:space="preserve">Applicant had recent total fire loss in Ventura/Thomas fires. This property is a new purchase. New home year built 1984. C/S alarms. Only loss was prior CAT total loss. </t>
  </si>
  <si>
    <t xml:space="preserve">Approved with no subjectivities. App said 50% ERC, but rating sheet agent provided showed factor of 1.13 which is the factor for 25% ERC. </t>
  </si>
  <si>
    <t>94901</t>
  </si>
  <si>
    <t>Kumbier</t>
  </si>
  <si>
    <t>Timothy &amp; Margaret</t>
  </si>
  <si>
    <t xml:space="preserve">WI </t>
  </si>
  <si>
    <t>53105</t>
  </si>
  <si>
    <t xml:space="preserve">They were honest about the PC, which is always nice to see. Looks like a really nice home. Approval subject to TBE, GL is obtained (agent noted this), confirmation of what the remaining land (60 acres) is used for, and moreso an FYI but no scheduled jewelry due to prior theft loss. </t>
  </si>
  <si>
    <t>1051 W Mariposa Way</t>
  </si>
  <si>
    <t>93458</t>
  </si>
  <si>
    <t>Crawfordsville</t>
  </si>
  <si>
    <t>72327</t>
  </si>
  <si>
    <t>Green</t>
  </si>
  <si>
    <t>85203</t>
  </si>
  <si>
    <t>Photos provided by agent show only two other structures on property - shed for business and other larger shed in poor condition. Advised that Cov B should be revised since TBE will exclude business shed and a building exclusion will be applied to poor condition shed. Approved subject to TBE, building exclusion for poor shed, pool exclusion and maintain GL</t>
  </si>
  <si>
    <t>Gore</t>
  </si>
  <si>
    <t>74137</t>
  </si>
  <si>
    <t>Agent already included water damage exclusion and they also added a pool exclusion. No other concerns and approved as quoted.</t>
  </si>
  <si>
    <t>Vian</t>
  </si>
  <si>
    <t>74962</t>
  </si>
  <si>
    <t xml:space="preserve">2009 year built. Losses listed are the same as the above quote, no specification as to which property the water loss took place at. </t>
  </si>
  <si>
    <t>Advised that we do not need to surcharge and exclude water on both properties and to confirm which the water loss took place at and only surcharge/exclude for that quote. If there was negligence, however, the surcharge and exclusion can apply for both.</t>
  </si>
  <si>
    <t>Pugh</t>
  </si>
  <si>
    <t>Joann</t>
  </si>
  <si>
    <t>49525</t>
  </si>
  <si>
    <t>1998 home 3 mi to FD. Tankers only, no hydrant. Prior dog bite loss. Still has the dog.  Animal Exclusion applied.</t>
  </si>
  <si>
    <t xml:space="preserve">PC quest is acceptable. </t>
  </si>
  <si>
    <t>Handa</t>
  </si>
  <si>
    <t>Anant &amp; Ashley</t>
  </si>
  <si>
    <t>60642</t>
  </si>
  <si>
    <t>2015 home. 2 prior losses. 1/18 wind dmg to roof w/water damage $5600. 7/18 water pipe broke. $3267</t>
  </si>
  <si>
    <t>Subj to $5000 deductible. Both losses this year. 2015 home, pipe breaks not common. Flat roof. No covg/ded required for 2015, but with a loss, $5K ded will help mitigate future loss.</t>
  </si>
  <si>
    <t>Rodell</t>
  </si>
  <si>
    <t xml:space="preserve">Timothy C &amp; Marjorie </t>
  </si>
  <si>
    <t>1965 home w/ updates. Rented short term for 1 month increments when insd goes to their GA seasonal. Metal roof-cosmetic roof applied.</t>
  </si>
  <si>
    <t>Advised to correct rate to s/c for the STR (will add appx 12%). Need OHQ. 1 month rentals w/prop mgt co indicates stable situation. Beautiful A-frame property per pics online.</t>
  </si>
  <si>
    <t>Daniel &amp; Liz</t>
  </si>
  <si>
    <t>2009 year built.  Not accessible year round (winter time due to snow). Insured is at property in winter for 2-3 weeks and haul water from creek for utilities. It is winterized. Neighbor checks on property when they are gone. We wrote a risk about 3/4 mile from this property, at a rate of $.72</t>
  </si>
  <si>
    <t>Advised we typically want a rate between $.80 and $.90 for risks that are not accessible year round. Since we approved one before at $.72, will allow this one to be rated the same. Currently was at $.55 so approved subject to updated rate. Premium is then closer to $3,290</t>
  </si>
  <si>
    <t>Ker</t>
  </si>
  <si>
    <t>Jonathon &amp; Cynthia</t>
  </si>
  <si>
    <t xml:space="preserve">2007 year built. Insured is a film producer, not too high profile. Was within agent's authority but due to high profile it was referred to us. </t>
  </si>
  <si>
    <t>Donahoe</t>
  </si>
  <si>
    <t>Lawrence &amp; AnnaMarie</t>
  </si>
  <si>
    <t>Garnet Valley</t>
  </si>
  <si>
    <t xml:space="preserve">PA </t>
  </si>
  <si>
    <t>19060</t>
  </si>
  <si>
    <t xml:space="preserve">1901 year built, no mention of updates. 4 losses - 2 from 2014 that were hail in total about $23k. 2017 and 2018 water losses $4k and $6k. No further details about the losses. </t>
  </si>
  <si>
    <t xml:space="preserve">Due to combination of age of the dwelling and loss history. </t>
  </si>
  <si>
    <t xml:space="preserve">Very low insurance score. Basically in the "do not write" category. </t>
  </si>
  <si>
    <t>Little info on the home itself.  Issue is the LLC, ownership, and occupancy.  This is an investment property being handled under a 1031 Exchange with triple net lease insd can buy another investment property. LLC is the lender and sale is expected to take 3 weeks. LLC would be AI.</t>
  </si>
  <si>
    <t>Similar to a land contract where owner is the LLC. Comfortable with the situation.</t>
  </si>
  <si>
    <t>Clint &amp; Bethany</t>
  </si>
  <si>
    <t>8X</t>
  </si>
  <si>
    <t>1959 home with elec updates only. R ins score. Non pay cancel, Hunt/trap on premises, 4 farm buildings which include 2 large 1959 barns per prior carrier app. Insd has 2 goats and some chickens.</t>
  </si>
  <si>
    <t>Goats and chickens okay. Concerned with the rest with an R ins score. Too many issues.</t>
  </si>
  <si>
    <t>Amendt</t>
  </si>
  <si>
    <t>Sedgwick</t>
  </si>
  <si>
    <t>80749</t>
  </si>
  <si>
    <t>2013 home in PC10 with 10-15 min response per agt. Volunteer FD per UPQ. Drive time is 12 minutes/7.9 miles, fairly straight shot.  CSFB. Insd is contractor.</t>
  </si>
  <si>
    <t>Need to resolve possible business on premises.  If it is acceptable, we are okay with the risk. Within 15 min, primary residence, has alarms, off major highway, should be open and clear response path for FD. Newer home. Online pics look good. No adverse online info for insd name. // MP 1/28/19 One employee, material/equip stored on site. Coml policies in place. Ok subj to coml policies maintained and add Total Business Exclusion.</t>
  </si>
  <si>
    <t>Bethany</t>
  </si>
  <si>
    <t>26032</t>
  </si>
  <si>
    <t>1850 historical landmark in WV currently vacant and retained for historic purposes. On college campus. Will soon be owned by the original Fraternity. Not occupied. Online application for historic status say it has been used as a museum.</t>
  </si>
  <si>
    <t>Directed this to a commercial policy.</t>
  </si>
  <si>
    <t>The Shell Family Trust</t>
  </si>
  <si>
    <t>93023</t>
  </si>
  <si>
    <t>1992 risk not in brush (RMS 46). Insd is Chairman of NBC Universal. Prior damage from the Thomas Fire. Repairs completed.</t>
  </si>
  <si>
    <t>Okay excluding liability due to high profile. Prior loss okay. Risk is not in brush.</t>
  </si>
  <si>
    <t>2100-2112 Sansom St</t>
  </si>
  <si>
    <t>We won't list multiple individuals as addl insureds. Also concern about the phys dmg exposure of multiple cars driving through.  Could possibly rate for that, but other issues we can't do.</t>
  </si>
  <si>
    <t>Milobsky</t>
  </si>
  <si>
    <t>80111</t>
  </si>
  <si>
    <t>1970 home updated. Possible lapse. 4 prior losses going back to 2013. 12/13 Water 9K. 9/14 hail $34K, 7/16 hail $2K 2/17 liab $305K ski injury. Front range Arapahoe 1% wind/hail deductible.</t>
  </si>
  <si>
    <t>Terwelp</t>
  </si>
  <si>
    <t>65201</t>
  </si>
  <si>
    <t>Case</t>
  </si>
  <si>
    <t>Richard &amp; Christine</t>
  </si>
  <si>
    <t>80302</t>
  </si>
  <si>
    <t xml:space="preserve">Advised a rate indication can be provided with surcharge for 1 loss. Need C&amp;O report. Asked where the hover board was and what brand it was. Online articles note fires as far back as 2015, but majority of recalls were late 2017. Will review C&amp;O for any indication of negligence. </t>
  </si>
  <si>
    <t>34481</t>
  </si>
  <si>
    <t xml:space="preserve">2016 home. PC10-5.6 mi/7min drive time. Letter from FD provided. Wedding/party venue on premises separated by a fence. Insd also has 18 cows for "personal use". Liab excluded. GL in place. </t>
  </si>
  <si>
    <t>Overall it looks to be a very nice home. Advised that 8B should be used as the PPC. Approved subject to verification that the property is fully fenced and gated. If it is not, a swimming pool exclusion should be applied.</t>
  </si>
  <si>
    <t>Ivory</t>
  </si>
  <si>
    <t>Joette</t>
  </si>
  <si>
    <t>Sidman</t>
  </si>
  <si>
    <t>15955</t>
  </si>
  <si>
    <t>1985 home. Good insurance score. Insd has small dog grooming/boarding business in a separate building on the premises. Some separation. Family run. 4-5 customers/week in busiest season. Online info okay.</t>
  </si>
  <si>
    <t>Can't tell if pool is secure from drive. Added as subjectivity. Add Total Business Excl. GL maintained. Need confirmation alpacas are secure and no buy/sell/breed. Okay with personal liab as there is separation.</t>
  </si>
  <si>
    <t>Hinduja</t>
  </si>
  <si>
    <t>Deepak</t>
  </si>
  <si>
    <t>Simi Valley</t>
  </si>
  <si>
    <t>93063</t>
  </si>
  <si>
    <t>1950 home updated in 06, roof in 16. No PPC. 31 WRD. 2 prior losses: 1/4/17 $55K fridge line leak; line replaced.  7/31/16 roof leak; roof replaced.  Has been w/Lloyds but that Lloyds market has pulled out.</t>
  </si>
  <si>
    <t>Fuchs</t>
  </si>
  <si>
    <t>Gary &amp; Michelle</t>
  </si>
  <si>
    <t>04408</t>
  </si>
  <si>
    <t>1860 home w/partial updates. Roof issues with barn and dwelling. Insd just purchased in 12/18. Prior carrier canc due to condition of roof and a barn broken window. Otherwise nice condition per submission.</t>
  </si>
  <si>
    <t>Ins scores are below 650. 10% s/c range.</t>
  </si>
  <si>
    <t>Pre 1900 homes require full updates and avg/above avg condition.  Roof condition is a concern.  Pics and notes say major roof work and addition of dormer for the dwelling.</t>
  </si>
  <si>
    <t>Mysliwiec</t>
  </si>
  <si>
    <t>William &amp; Diane</t>
  </si>
  <si>
    <t>Marne</t>
  </si>
  <si>
    <t>49435</t>
  </si>
  <si>
    <t>Bussell</t>
  </si>
  <si>
    <t>This is the first stand alone other structure risk that JM Wilson is quoting after we advised we are allowing them. Structure is 250 miles from insured's home. PC 9, pole barn. Insured's occupation is "construction"</t>
  </si>
  <si>
    <t>49709</t>
  </si>
  <si>
    <t>Derek Ross</t>
  </si>
  <si>
    <t>Franks</t>
  </si>
  <si>
    <t>48167</t>
  </si>
  <si>
    <t>Shelar</t>
  </si>
  <si>
    <t xml:space="preserve">Jeff &amp; Rachel </t>
  </si>
  <si>
    <t>Marathon</t>
  </si>
  <si>
    <t>33050</t>
  </si>
  <si>
    <t>1979 year built with no updates. Tile roof, but agent added roof exclusion. No losses. Insured lives in home as primary but renting the downstairs out (long term rental). Referred because it is in Monroe County, wanting to make sure they can offer terms with excluding wind</t>
  </si>
  <si>
    <t>Jamie's School of Fish</t>
  </si>
  <si>
    <t>93619</t>
  </si>
  <si>
    <t xml:space="preserve">1977 year built with some updates - heating and roofing 2005-2006. Business is a swimming school, no further info provided regarding business. There also was a loss in 2017 with no further details. Agent advised there are CGL policies for the swim school. </t>
  </si>
  <si>
    <t>Saligman</t>
  </si>
  <si>
    <t>20007</t>
  </si>
  <si>
    <t>1900 home undergoing renovation to 2nd and 3rd floors to update bathrooms, replace plumbing, replace heating. Paint, insulation. GC in place. Expect 6 month renovation. Insd living in basement apartment during the renovation. Has $50K scheduled item/total $78,686. Rated as primary.</t>
  </si>
  <si>
    <t>Rate as builders risk. Online photos look good. Vintage home. Updated in 2008 per online.  $50K individual item is ineligible.</t>
  </si>
  <si>
    <t>Lehtinen</t>
  </si>
  <si>
    <t>Kathy &amp; Richard</t>
  </si>
  <si>
    <t xml:space="preserve">Mesa </t>
  </si>
  <si>
    <t>85213</t>
  </si>
  <si>
    <t>1989 home w/ a small massage business on premises.  Total Business Exclusion applies. Insd making payments to the IRS - tax lien.</t>
  </si>
  <si>
    <t>Concern with IRS liens, financial situation, and self-employed business.</t>
  </si>
  <si>
    <t>Ins score report shows additional concerns.</t>
  </si>
  <si>
    <t>Gertner</t>
  </si>
  <si>
    <t>92676</t>
  </si>
  <si>
    <t>1983 home w/$10K AOP. Prior water loss 8/14/17 $115K water damage in basement, painting damaged. Nonrenew w/Lex due to no dual access.</t>
  </si>
  <si>
    <t>Recently added "no dual access" declines or nrn's to our list of ineligible.</t>
  </si>
  <si>
    <t>Cruz</t>
  </si>
  <si>
    <t>Antonio &amp; Esperanza</t>
  </si>
  <si>
    <t>20132</t>
  </si>
  <si>
    <t>2004 home. Insured has daycare with 6 children. GL of $1M in place.  Little Barnyard Daycare. Insd and one assistant per website. Playground equipment outside per pics.</t>
  </si>
  <si>
    <t>Jack Jr &amp; Karon</t>
  </si>
  <si>
    <t xml:space="preserve">Vestavia </t>
  </si>
  <si>
    <t>35216</t>
  </si>
  <si>
    <t xml:space="preserve">1987 home w/roof update in 2017. EIFS per quote from Scottsdale w/competing wholesaler. </t>
  </si>
  <si>
    <t>Hoelterhoff</t>
  </si>
  <si>
    <t>Bartlett</t>
  </si>
  <si>
    <t>50133</t>
  </si>
  <si>
    <t>1958 home w/updates. Insd leases her land to her son for his nursery business. GL in place. Quoted w/TBE.</t>
  </si>
  <si>
    <t>Maintain TBE and GL. Online pics show separation. App lists separate drive. Copies of GL provided.</t>
  </si>
  <si>
    <t>Originally approved (Licensed for 6 children. Online info looks good.  TBE and GL required.) But then they sent the OHQ. 9.1 miles and 16 minute drive time. Volunteer FD makes this about 20 min response. Not eligible.</t>
  </si>
  <si>
    <t xml:space="preserve">Online reports confirm this was arson. Online search shows that this dwelling was previously a 10 room rental for a fraternity next to a university. Online shows rent available July 2019, if fraternity or 10 family dwelling, both of which are ineligible. </t>
  </si>
  <si>
    <t xml:space="preserve">2008 log home, in a PC10. ISO comes back with this as PC 10W. Response times are less than 10 minutes. The home is on 40 acres, and there is a cave on the property that has been fully explored. No losses. Being non-renewed due to exposure (log and unprotected). </t>
  </si>
  <si>
    <t xml:space="preserve">1977 home with updates to heating and roof in 2017. Business on premises is wife runs a hair salon at the home. No other locations, no employees. About 5 customers a week. Insured seems to have reputable experience and no negative info found online. </t>
  </si>
  <si>
    <t>1965 home with updates to systems in 2015, roof 2011. No brush exposure. Large water loss in 2016 - $196k paid. Only details given were "water damage due to appliance."</t>
  </si>
  <si>
    <t xml:space="preserve">1790 home, no mention of previous updates. High value, and there appears to be discrepancies as to what the value actually is. PC was currently rated as 9 but could possibly be 10, as app says FD is over 6 miles. </t>
  </si>
  <si>
    <t xml:space="preserve">Declined due to combination of high value and age of the home. Also, being a PC 9 or 10, not near comfortable enough to consider. Confusion with value, which is understood due to age, but not something we want to pursue. </t>
  </si>
  <si>
    <t>Open claim from Camp Fire. The only damages that have been noticed so far are smoke damages. Insured was having company come out to confirm if there are any other damages. No repair has yet been started. UPDATE 1/9/19: hull came back indicating the repairs have now been made and are complete, no damage to insulation or interior of property. Asking if we can reconsider</t>
  </si>
  <si>
    <t xml:space="preserve">Declined due to open claim. Extent of damages has not even been confirmed yet, repairs have not been started. UPDATE 1/9/19: Discussed with Jeff 1/9/2019 - Had this risk been in any other area, we would be able to consider. However, given that it is in Paradise there are many other ongoing concerns - market value of homes, building moratoriums, etc. As such, we will not be accepting risks in Paradise. </t>
  </si>
  <si>
    <t xml:space="preserve">2007 dwelling that is connected by a breezeway to an office building, which has separate parcel. The office is an insurance company with about 20 employees that services policies in other states, so little to no outside foot traffic. The office and its employees do not have access to the home, as it is separated via a locked door. Trust beneficiaries stop in at home almost daily, and occasionally let a guest stay there. Agent advised they would already have TBE, and also exclude liability and med pay. </t>
  </si>
  <si>
    <t xml:space="preserve">Approval subject to a TBE and liability/med pay exclusion as noted by the agent. Advised this also needs to be rated as a DP3 vacant, as it was currently listed as HO3 secondary. Agent pushed back saying the beneficiaries stay at the dwelling at least 6 nights out of the year, confirmed with Jeff that is not enough time to consider secondary and we will still need it rated as DP3 vacant. </t>
  </si>
  <si>
    <t>2004 home, 5 losses - 8/2015 water damage - pipe under slab in kitchen burst $52k, 12/2017 water damage cement roof flashing leaked $753, 2/2018 water damage cement roof flashing leaked $952, 8/2018 theft car broke into $846, 10/2018 water damage sink leaked no payout, fixed by installation company. Insurance score S.</t>
  </si>
  <si>
    <t xml:space="preserve">Google search shows a daycare at this property, no mention of such in referral. First need to confirm this information. Regarding losses, they are roof or appliance related, so water backup is not an issue. Will most likely want $5k AOP with $25k water deductible as requested by agent. Then, an additional 15% surcharge to account for all 5 losses. </t>
  </si>
  <si>
    <t>Agreed to $25K water dmg ded, 10% s/c. no mold, no backup. Losses mitigated with alarm and shutoff. Asked for plumbing inspection w/regular insp and referral back to Markel if any concerns.</t>
  </si>
  <si>
    <t xml:space="preserve">Given that that home looks as if it was updated, we feel more comfortable. Home is in good condition. Approved subject to OHQ, interior inspection and EHP. Barbara asked for coverage on refrigerated foods, advised there is a section on "refrigerated property" in the Equip Breakdown endmt. </t>
  </si>
  <si>
    <t>2004 home. Referred for 5 losses, 4 paid. 8/17 water pipe under slab burst $52k, 12/17 cement roof flashing leaked $753, 2/18 same as 2017 claim $952, 80/2018 car broke into $846, 10/2018 sink leaked no payout installation co fixed it. S insurance score.</t>
  </si>
  <si>
    <t>Confirm avg or better. Need to have light/fence per guidelines.</t>
  </si>
  <si>
    <t>Built 1987, being non-renewed by Lexington due to their new dual street requirement. Updates to plumbing 2015, heating 2010 and roofing 2016. WRS is 92</t>
  </si>
  <si>
    <t xml:space="preserve">1954 home with updates to all systems and roof in 2008.  insured has horse shoeing business on premises in other structure, with a GL for the business. School is held every 2 weeks with no more than 10 students at a time. 1 horse on property for personal use and 1 horse for the class. Drained swimming pool on premises. Mobile home on premises that is currently insured with another carrier and insured's relatives live in it. </t>
  </si>
  <si>
    <t xml:space="preserve">Agent advised they already applied TBE, Animal exclusion, pool exclusion and building exclusion due to mobile home. Approving with those subjectivities in addition to a complete liability exclusion and a 10% surcharge due to the high risk of business that could cause high defense costs in the event of a claim, even though we are excluding liability. </t>
  </si>
  <si>
    <t>1900 masonry coml building converted to single family home. 3500 SF. Appears larger. Insd telecommutes for his media prod job from small outbuilding separate from home. Low ins score. Coml zoned building. Clean exterior. Lapse - 15% added.</t>
  </si>
  <si>
    <t>Need app and more info. Bldg looks larger than 3500. What is occupancy?// 1/14 MP Size checks out. Occupancy is primary only, no rental. All info appears okay.</t>
  </si>
  <si>
    <t xml:space="preserve">Advised we are not able to accept a quote in a state they are not authorized. Advised if they have more that they see come through for the state and are interested in adding it to let us know. </t>
  </si>
  <si>
    <t xml:space="preserve">2015 home, looks to be a very nice home. Sits on 440 acre farm/ranch with 150 cattle. Insured is a doctor and uses the property to raise cattle, plant crops and hunt dove. There is a rented mobile home on the property. A caretaker checks on the property every couple of days when insured is not there. There is a GL in place for the farm/ranch exposure. </t>
  </si>
  <si>
    <t xml:space="preserve">1995 home with updates to all between 2015-2017. WRS 82, so technically not ineligible. Insured has a plumbing business on premises. No clients come to property and employees only come to property to get a work truck/supplies. One employee may work in the office at the property. Has GL, work comp, and business umbrella policies. </t>
  </si>
  <si>
    <t>1900 dwelling with updates listed on app within past two years. However, referral noted knob and tube is still used and amps are only 75 amps. Plumbing is not fully updated and OHQ indicates cast iron and galvanized is still present. 3 family rental. Asking if we will allow DP-1 subject to electrical being updated within 30 days.</t>
  </si>
  <si>
    <t xml:space="preserve">Not willing to make an exception to issue policy with k&amp;t present. As such, approved subject to k&amp;t replaced/updated to 100 amp circuits prior to binding. Was also going to apply water exclusion due to plumbing condition, but since this is DP1 there is no need as water damage is not covered. </t>
  </si>
  <si>
    <t xml:space="preserve">1994 year built. C/S alarm, no losses. There is an indoor pool and hot tub. Entire home is very nice, so no concern with installation/construction of the indoor pool. Home is on 22 acres. </t>
  </si>
  <si>
    <t>Historic home built in 1891 (Robert Dollar House). There was a complete remodel of the home in 2013. Insured is living in home while work is being done, and acting as GC/ Putting about $100,000 into kitchen and bathroom reno. Hiring subcontractors to do work.</t>
  </si>
  <si>
    <t>Photos provided show a lot of work still needs to be done. BR questionnaire also says that time left is 1-2 years. Seems like quite some time. Also, in photos provided there appears to be further damage in some areas of the home, maybe water damage, unsure of which rooms it was in. Insured also acting as GC. With all of that in consideration, passing on the risk.</t>
  </si>
  <si>
    <t>2004 year built. FD is 3.6 miles away, but responding FD is volunteer so rated as a 10. Property is on 190 acres, where 130 of that is leased to farming crops. Two prior losses, 5/2016 theft loss of jewelry $2986 and 3/2017 wind $2282</t>
  </si>
  <si>
    <t>1951 home w/ full updates in 2016 (1995 per app). 20 minute response time. No time to nonrenew. Will NRN in 2020. Prem $17,111 w/ new brush s/c and PC10.</t>
  </si>
  <si>
    <t>1964 year built, listed updates 2008-2011 for all systems and roof. Replacing siding, windows, and a porch. Completion date is September 2019? Replacement cost of property is $153k, but market value and desired Cov A is $77k. Agent advised home is in "fairly rough shape".</t>
  </si>
  <si>
    <t xml:space="preserve">Too many red flags - far completion date for what seems to be little work, market value vs replacement cost, agent advised in rough shape. Insured is also on disability and asking for monthly installments. Due to all factors we are declining. </t>
  </si>
  <si>
    <t>1957 year built with updates heating 2008, wiring 1983, plumbing 1983, and roof 2012. Organ repair business runs out of shed on property behind home, repairs some electronic keyboards. Also goes to clients home to repair larger organs/pianos. Larger shed on property in poor condition which is being torn down. Empty pool in back yard. Being non-renewed for business and pool. Has GL for business</t>
  </si>
  <si>
    <t xml:space="preserve">2013 year built. Two losses - 7/2017 theft $6665 and 11/2017 water damage $131000. Water loss was hot water heater that burst upstairs. Water heater has been replaced and all damage has been repaired. Also, installed burglar/fire alarm system to try to mitigate future theft losses. App indicates pool that is fenced and gated. </t>
  </si>
  <si>
    <t xml:space="preserve">1952 year built. There was not a full app, seems as if they were just asking if we would consider. 4/2018 wind loss with water damage to home $10k, 5/2017 fire to detached garage, caught fire by tenant who was smoking, since been evicted $29k. C insurance score. No notes regarding updates or anything since no full app. </t>
  </si>
  <si>
    <t xml:space="preserve">Seemed odd that the structure was so far away from the insured's home. Asked for clarification as to why it is so far away and what type of security measures are in place. How often it is checked on and by whom. Regarding the insured's occupation, want to know what is stored in the building, if any employees come to the premises and if there is any construction work done there or any other connection with the insured's work. </t>
  </si>
  <si>
    <t>Received response from JM Wilson advising that they are placing the risk elsewhere because they "didn’t ask as many questions"</t>
  </si>
  <si>
    <t xml:space="preserve">1990 year built, no losses. It is located in brush, rated appropriately. Applicant is a television and radio presenter and actor. </t>
  </si>
  <si>
    <t xml:space="preserve">No concerns with profile of applicant. Approved to release terms as quoted. </t>
  </si>
  <si>
    <t xml:space="preserve">1937 year built. Will be fully updated in 2019, home is being completely redone/gutted. There is a lapse since July, insured just started reno and thought contractor was purchasing COC policy. House is being lifted and poured foundation. Now has 4 walls, roof is being redone. Insured is owner of Livenation (ticket website). </t>
  </si>
  <si>
    <t xml:space="preserve">Per Burns' guidelines, Monroe county is eligible as long as wind is excluded. There was no other reason for referral. Approved as is since wind was excluded. </t>
  </si>
  <si>
    <t xml:space="preserve">Townhouse in Philly.  The 2112 portion of the townhouse has an archway at ground level that permits cars to pass through to the rear of the property. Besides access for the 2110-2112 Sansom St. home, the archway permits access to parking for several other adjacent homes. The right of access for the other homes is preserved via a Declaration of Easement.  Contained in the easement, there is a stated requirement that the owner of  2110-2112 Sansom St. home endorses as Additional Insureds those property owners onto their Homeowners Liability section. </t>
  </si>
  <si>
    <t>1990 home. Good ins score. PC10. Per PC quest, responding FD is 12.9 miles/16 min drive. Volunteer FD, 1/4 mile gravel. Has GL. Apply TBE. Upholstery business in basement by appointment, 3 employees. 1 small 2019 water loss $1K</t>
  </si>
  <si>
    <t>1972 home updated. Very nice online pictures. Insd has own business, confirmed off premises. Loss 11/7/17 son's hover board caught fire. $203,437. No detail, no C&amp;O provided. Agent did not surcharge for the loss.</t>
  </si>
  <si>
    <t>Confirmed separation w/Arial view. Require TBE, GL, No liab. Asked to confirm no biz use oth str are in Cov B. Asked to confirm no business use of home (mention of bridal dressing area - make sure this is part of the business str.)</t>
  </si>
  <si>
    <t>Asked for DOB to run ins score. Also need to run PPC. Questioning if insd may have used insurance as home maintenance.// 2/5/19 Acceptable score 1.00 factor. PC4 confirmed. $25K water damage ded. No indication this is maintenance policy. Issues repaired. Will ask to confirm plumbing updates at inspection.</t>
  </si>
  <si>
    <t>Buttitta</t>
  </si>
  <si>
    <t>Dominic</t>
  </si>
  <si>
    <t>60010</t>
  </si>
  <si>
    <t>TIV over $5M.</t>
  </si>
  <si>
    <t>Advised agent we don’t write over $5M. Cc'd Missy and Bethany.</t>
  </si>
  <si>
    <t>RI</t>
  </si>
  <si>
    <t>02840</t>
  </si>
  <si>
    <t>Advised agent we don't write over $5M.</t>
  </si>
  <si>
    <t>Jody</t>
  </si>
  <si>
    <t>91316</t>
  </si>
  <si>
    <t xml:space="preserve">1959 home w/full updates in 2010, roof full update in 2002. 5/12/18 $680K water damage claim - pipe burst caused extensive damage. Still open. 3 German Shepherds. </t>
  </si>
  <si>
    <t>Windy &amp; Armando</t>
  </si>
  <si>
    <t>Sutter</t>
  </si>
  <si>
    <t>95953</t>
  </si>
  <si>
    <t>1962 home w/no wiring or plumbing updates. FRC quoted. Cabinet making business on premises. Fire loss 1/27/17 $35K. Diesel shop heater caught fire - damaged work area and tools. Quoting w/building exclusion and TBE.  Ins score R.</t>
  </si>
  <si>
    <t>Combination of age of home, no wire/plumb updates, ins score, prior loss indicates possible negligence.</t>
  </si>
  <si>
    <t>Shaw</t>
  </si>
  <si>
    <t>Daniel &amp; Deborah</t>
  </si>
  <si>
    <t>Geneva</t>
  </si>
  <si>
    <t>32732</t>
  </si>
  <si>
    <t>Busse/Patterson</t>
  </si>
  <si>
    <t>Liz</t>
  </si>
  <si>
    <t xml:space="preserve">Carlos &amp; Golnaz Movafaghi-Abboud </t>
  </si>
  <si>
    <t>Abboud</t>
  </si>
  <si>
    <t>02549</t>
  </si>
  <si>
    <t xml:space="preserve">2000 home with no losses 15-17 with XSB. Had 2 larger losses. Copper gutters. High TIV, no alarm.  After detailed review of losses, found app which was over $5M TIV. 3/18 tree fell and water dmg in various places (?) $87,513. Also same date shower tile failure $16K. Other info in description sounds like they've had several gutter damage claims from ice and snow on their expensive copper gutters. Snow stops installed (?). </t>
  </si>
  <si>
    <t>If by some chance they come back, sounds like there are more losses than described. Water damage exclusion probably appropriate. Need alarms or $10K AOP deductible.  Ask for more description of losses and prior gutter damage.</t>
  </si>
  <si>
    <t>Over $5M TIV Not eligible.  Sent message to Barbara to remind the staff.</t>
  </si>
  <si>
    <t>Coors</t>
  </si>
  <si>
    <t xml:space="preserve">1985 home. Owner passed away a few months ago. Owned by son who will be selling the home. Furnished. Caretaker checks daily on the home. Alarms in place but no CSFB connected. </t>
  </si>
  <si>
    <t>$50K ded until CSFB are activated. Reduce to $10K ded when confirmed. Flat roof excl if no service in past year. Rate of $.45 (rater quoted .33). No incr or decr when ded is changed.</t>
  </si>
  <si>
    <t>Need info on water loss (to make sure not business related). Once this clears, ok w/TBE, GL, Exclude liability due to customers carrying furniture downstairs and 3 employees. 20-25 min response time + business = $.90 rate = $4,940. // MP 2/6/19 $915 water backup 2018 dmg to downstairs bath. Approved w/no backup, no mold, and other prev listed subjectivities.</t>
  </si>
  <si>
    <t>Provided EIFS info. Need to know year updated if any. Prof contractor can confirm if barrier or water managed type. Need OHQ and answer to blank question on app about knob &amp; tube, fuses, lead pipe. // MP 2/6/19 it is barrier EIFS, has not been replaced.</t>
  </si>
  <si>
    <t>David &amp; Harriette</t>
  </si>
  <si>
    <t>29928</t>
  </si>
  <si>
    <t>2000 home with no fence around pool. Hilton Head.  Has heavy shrubs. Photos provided.</t>
  </si>
  <si>
    <t>Get answers to missing questions on app. Advised of a form in error. We allow exceptions to pool excl on Hilton Head w/heavy shrubs. Some HOA's do not allow fences (aesthetics).</t>
  </si>
  <si>
    <t>Gerhardt</t>
  </si>
  <si>
    <t>80242</t>
  </si>
  <si>
    <t>2004 log home. Nice online pics, no hazards. Home will be titled in name of LLC. Agt added prem liab and will get corp quest.</t>
  </si>
  <si>
    <t>Offered option of writing in individual name with LLC as AI, then could give personal liab vs. prem.  Verify Cov A-seems low for log.</t>
  </si>
  <si>
    <t>29401</t>
  </si>
  <si>
    <t xml:space="preserve">Condo with $500K limit. Maximum is stopping them at $150K.  </t>
  </si>
  <si>
    <t>Current guidelines allow $150K</t>
  </si>
  <si>
    <t>Korey &amp; Emily</t>
  </si>
  <si>
    <t>Helper</t>
  </si>
  <si>
    <t>84526</t>
  </si>
  <si>
    <t>2018 log home $265/SF. 25 min straight drive time by volunteer FD. Insd is installing water canons to protect property. They sit next to a large lake. CSFB. 150,000 acre cattle ranch. K score</t>
  </si>
  <si>
    <t>.75 = $21,000 premium // .80=$22,400 prem.</t>
  </si>
  <si>
    <t>Bearcat, LLC</t>
  </si>
  <si>
    <t>80421</t>
  </si>
  <si>
    <t>1875 log home. No info on gut/rehab. Okay condition. 14 min drive time, volunteer FD. WBS. Utility shed w/roof in poor condition per insp photos. Rated as PC9 - over 7 miles to FD.</t>
  </si>
  <si>
    <t>Agent quoting home and contents only. No other str, no liab. Prem $9617 w/20% s/c = $.38.  Good attributes to risk, but high value and response time will be at least 30-35 minutes + longer if it sits back on acreage.  Need that info to determine final price. // 2/8 approved subj to $22,400 premium.  Insd sits 4 miles off the road, fully accessible to emergency veh. Also advised to make sure there is a 911 verifiable address.  Drive time map is within a mile or less of the property.</t>
  </si>
  <si>
    <t xml:space="preserve">Asked if there is a lapse - no prior carrier listed. 1% ded ok.  Roof was replaced 1 year ago. Need info on the ski injury liab loss. Any negligence? // MP 2/8/19 No lapse, currently with Lex. Ski loss was accidental injury, son collided w/skier. They filed med claims even tho patrol said accidental. Son now lives in another state.  Considered higher wind/hail ded, but most recent was 2K which would be below the 1% ded. </t>
  </si>
  <si>
    <t>Janine &amp; Richard</t>
  </si>
  <si>
    <t>Oceanside</t>
  </si>
  <si>
    <t>92057</t>
  </si>
  <si>
    <t>Referred from Hull, email advised that this was insured through Burns on previous term. 4 losses, all water related - 4/2017 $4201, 2/2017 $16685, 12/2016 $3625, 8/2015 $11461. App was not completed and no other information provided</t>
  </si>
  <si>
    <t xml:space="preserve">Declined due to the water losses. Agents emailed advised it did not look like prior policy had any notes of mitigation or any water deductible/exclusion. </t>
  </si>
  <si>
    <t>Will follow up with Danielle at Burns to ask what steps were taken with this policy given the 4 water losses</t>
  </si>
  <si>
    <t>Daniels</t>
  </si>
  <si>
    <t>Virginia</t>
  </si>
  <si>
    <t>46036</t>
  </si>
  <si>
    <t xml:space="preserve">Approved subject to k&amp;t and fuses are updated within 10 days of binding, along with an OHQ. </t>
  </si>
  <si>
    <t>Barry</t>
  </si>
  <si>
    <t xml:space="preserve">Encinitas </t>
  </si>
  <si>
    <t>Applicant has horse business on premises. Home is in the name of an LLC. No other information was given about the business, so I had to follow up. Found on follow up email that there are 12 horses, breeding and riding, separate shop with merchandise.</t>
  </si>
  <si>
    <t>Agent already mentioned they would apply TBE and animal exclusion, however, their guidelines also mention more than 5 horses and any riding warrants full liability exclusion. Even with that added and an exclusion of business related structures, not comfortable with the risk.</t>
  </si>
  <si>
    <t>Stahlhuth</t>
  </si>
  <si>
    <t>Gayle</t>
  </si>
  <si>
    <t>West Cape May</t>
  </si>
  <si>
    <t>08204</t>
  </si>
  <si>
    <t>Bachant</t>
  </si>
  <si>
    <t>Wareham</t>
  </si>
  <si>
    <t>02538</t>
  </si>
  <si>
    <t xml:space="preserve">Approved subject to confirmation that the water loss was not at the current property. If it was, need to obtain further details of the loss and confirmation of mitigation. </t>
  </si>
  <si>
    <t xml:space="preserve">2006 year built home. 3 losses. 4/2014 pipe burst. 6/2014 liability loss at a rental property that the insured no longer owns. Older woman slipped and fell. 3/2015 ice dams caused damage. Insured is contractor and did everything as should be, stated it was a rough year and everyone had claims due to this and the bad weather. </t>
  </si>
  <si>
    <t>Kornfeld</t>
  </si>
  <si>
    <t>91360</t>
  </si>
  <si>
    <t xml:space="preserve">Was a COC that is no longer under construction. The Cov A limit seems to have increased a significant amount. There was a lot done to the home, but still seems high. </t>
  </si>
  <si>
    <t xml:space="preserve">Approved subject to confirmation of Cov A with an updated RCE. </t>
  </si>
  <si>
    <t>McNeilly</t>
  </si>
  <si>
    <t>1933 year built with full updates in 2017 to all systems and roof. WRS 78. Applicant is an artist who had some legal battles with the city of LA about 7 years ago. He had done larger mural wall art displays on buildings and the city tried making a law to ban those and go after those who had already put them up. Nothing further found after 2013.</t>
  </si>
  <si>
    <t xml:space="preserve">Approved as there wasn’t anything lasting from the disputes. No other liability concern was posed. </t>
  </si>
  <si>
    <t>Litvak</t>
  </si>
  <si>
    <t>Saioni</t>
  </si>
  <si>
    <t>Cape May Bourt House</t>
  </si>
  <si>
    <t>08210</t>
  </si>
  <si>
    <t>2006 year built. Applicant owns landscaping business and parks two trucks at his home. No business done at home, employees come only to pick up the trucks. There is a Gl for the business. Prior carrier is non-renewing due to business trucks at the property.</t>
  </si>
  <si>
    <t xml:space="preserve">Approval to release terms subject to a TBE, which was noted by the agent. </t>
  </si>
  <si>
    <t>Garold</t>
  </si>
  <si>
    <t>VT</t>
  </si>
  <si>
    <t>05363</t>
  </si>
  <si>
    <t>2016 year built. Looks as if it is quoted as HO3, but agent said it’s a rental, which would need to be DP3. Also, they list as PC 9, but fire station is 5.7 miles, making it PC 10. The applicant had a $500k+ water loss that they have applied mitigation steps towards to not happen again.</t>
  </si>
  <si>
    <t xml:space="preserve">With combination of unprotected, high value, and prior loss I declined the risk. </t>
  </si>
  <si>
    <t>How much repair left? We will decline if there is work left. 3 Shepherds ok. Not excluded. How did 2010 plumbing break? If we go forward, no water backup, no mold, water dmg exclusion. // 2.13.09 MP Repairs in progress.  There was mold. Declined.</t>
  </si>
  <si>
    <t xml:space="preserve">Taylor </t>
  </si>
  <si>
    <t>Thomas Jr</t>
  </si>
  <si>
    <t xml:space="preserve">Prior dog bite loss. $300K. Claim is closed, insd no longer has dog. This is changing from owner occupied to tenant. </t>
  </si>
  <si>
    <t>Insd no longer has the dog.</t>
  </si>
  <si>
    <t>B</t>
  </si>
  <si>
    <t>West Haven</t>
  </si>
  <si>
    <t>06516</t>
  </si>
  <si>
    <t>Collen</t>
  </si>
  <si>
    <t>Troup</t>
  </si>
  <si>
    <t>75789</t>
  </si>
  <si>
    <t>$5M TIV prevents future inflation increases.  Asked for confirmation of Cov A. Where situated on 200 acres, condition of drive.</t>
  </si>
  <si>
    <t>1972 home fully updated in 2018. CSFB. No concerns. No info on placement of home on 200 acres. Totally personal, no farm, business, etc.</t>
  </si>
  <si>
    <t>Westville Realty Management LLC</t>
  </si>
  <si>
    <t>3 family rental dwelling 1 mi from coast in New Haven. Agt asking to waive deductible. (2% wind)</t>
  </si>
  <si>
    <t>All programs have this required ded.</t>
  </si>
  <si>
    <t>Babbs</t>
  </si>
  <si>
    <t>Carlton &amp; Maia</t>
  </si>
  <si>
    <t>New build. We currently wrote the outbuilding on this property as a stand alone since 2017. Secondary home. Agent quoted rater +10%.</t>
  </si>
  <si>
    <t>.50 rate. Typical range .60-.90 but this was an existing customer and this is a new range for Allison.</t>
  </si>
  <si>
    <t>Some chaos this week with a RUSH Stockton audit that backed up referrals.  Turnaround may have been impacted.</t>
  </si>
  <si>
    <t>Insured had 2 prior fire losses in 4 years.  Both were totals. $350K chimney; $600K+ garage. Score is "P".</t>
  </si>
  <si>
    <t>Low score, 2 fire losses.</t>
  </si>
  <si>
    <t>Bychinski</t>
  </si>
  <si>
    <t>Allene &amp; Steven Hogoboon</t>
  </si>
  <si>
    <t xml:space="preserve">Greendale </t>
  </si>
  <si>
    <t>53129</t>
  </si>
  <si>
    <t>Open dog bite loss 11/17. Agent applying animal exclusion. Also, recently closed bankruptcy. Steven had health issue, couldn't work, Ch 13. 1969 home no plumbing update. NRN by USAA, no detail.</t>
  </si>
  <si>
    <t>I ran Steven's ins score and it is 751. Bankruptcy was in 2015 and now closed. All else ok.</t>
  </si>
  <si>
    <t>Need OHQ. (This situation is ok per Burns guidelines, OHQ is the requirement.)  Dog will be excluded. Verified bankruptcy. Need reason for NRN - if dog or bankruptcy ok, otherwise Burns will re-refer.</t>
  </si>
  <si>
    <t xml:space="preserve">Colchester </t>
  </si>
  <si>
    <t>06415</t>
  </si>
  <si>
    <t>1965 home with partial elec, no plumbing update. 1/20/19 $90K dog bite loss. Insd has a mastiff dog. Animal exclusion applied.</t>
  </si>
  <si>
    <t>Jillson</t>
  </si>
  <si>
    <t>John&amp; Marianne</t>
  </si>
  <si>
    <t>Guilford</t>
  </si>
  <si>
    <t>06437</t>
  </si>
  <si>
    <t>3Y</t>
  </si>
  <si>
    <t xml:space="preserve">1870 home gutted/remodeled in 1980's. Unfenced pool with natural landscape barrier on 4.5 acre parcel.  Agt quoted w/FRC, applied 10% credit. </t>
  </si>
  <si>
    <t>Age ok w/full gut. Recommend ERC inspection. FRC okay. RC would have been okay, so agreed w/10% credit. (Agt has 20% discretionary). Pool excl applies unless inspection shows otherwise (must resubmit to Markel). I saw business owners on app, googled address and found possible biz on prem. Agt to verify and advise.</t>
  </si>
  <si>
    <t>Pineapple Ridge LLC</t>
  </si>
  <si>
    <t>McHenry</t>
  </si>
  <si>
    <t>60051</t>
  </si>
  <si>
    <t xml:space="preserve">1930 home updated, but there is 20% galvanized pipes remaining visible in basement per inspection. Nice home. Agt quoted w/$25K water damage ded and wants to keep RC. $1000 AOP ded. </t>
  </si>
  <si>
    <t>$25K ded mitigates most of our concern esp w/pipes in basement.</t>
  </si>
  <si>
    <t>This is a higher ded than we require in other programs.</t>
  </si>
  <si>
    <t>James &amp; Donna</t>
  </si>
  <si>
    <t xml:space="preserve">Winnebago </t>
  </si>
  <si>
    <t>61115</t>
  </si>
  <si>
    <t>1940 home updated in 2015. $8K hail loss. 4/18 fire loss due to water heater malfunction $159K.</t>
  </si>
  <si>
    <t>Donavand</t>
  </si>
  <si>
    <t>Ok to release rate indication.  Need to review details of dog bite to ensure no negligence by insd. Exclusion is applied.  If we proceed, subj to acceptable OHQ.  Suggest EHP. (Guidelines do not require deductible UW until PRE-65.) //OHQ looks ok. Verify if any galvanized. Animal exclusion. Details of dog bite show no negligence. MP 2/15/19</t>
  </si>
  <si>
    <t>Audet</t>
  </si>
  <si>
    <t>Adele</t>
  </si>
  <si>
    <t>29455</t>
  </si>
  <si>
    <t>Asked for app to get home info and clarified CSFB requirements. Cc'd Missy.//App received. All looks good. Googled address and name. All ok.</t>
  </si>
  <si>
    <t>2015 home. Agt thinks we require sprinkler. Home has CSFB.</t>
  </si>
  <si>
    <t xml:space="preserve">Mooresville </t>
  </si>
  <si>
    <t>46158</t>
  </si>
  <si>
    <t>1950 home that is currently a church. Insd will live in it. No renovations at this time. Updated. Modular building on property that will be a game room. 4/18 fire $542K careless smoking by wife who is now in assisted living and they are getting a divorce. 7/17 wind $30K. Both at prior location.</t>
  </si>
  <si>
    <t xml:space="preserve">Need C&amp;O or Fire Marshal report. Ok'd rate indication only. If we go forward, need to confirm this is modular. Also let us know if renovations happen. </t>
  </si>
  <si>
    <t>Not asking for proof of the address of Mrs or that they are going through a divorce.</t>
  </si>
  <si>
    <t xml:space="preserve">Eric   </t>
  </si>
  <si>
    <t>Loma</t>
  </si>
  <si>
    <t>81524</t>
  </si>
  <si>
    <t>2018 pole barn that insd uses to live and store his camper/trailer.  Small living area, kitchen, bath.  Accessible year round. $.87 rate. No business use, no hunting. Insd travels for work in his camper but parks it and lives here as his primary home when not traveling.</t>
  </si>
  <si>
    <t>Strong rate.  Deadbolts and cameras with an alarm system.</t>
  </si>
  <si>
    <t>Brenn</t>
  </si>
  <si>
    <t>Eric &amp; Celeste, Brenn Family Trust</t>
  </si>
  <si>
    <t xml:space="preserve">633. 1.20 surcharge category. Probably good considering there was a major lawsuit. </t>
  </si>
  <si>
    <t>1995 home not in brush. WRS 26. Liab loss 6/23/16. 17 y/o son involved in the plaintiff taking a substance that later led to his death. $601,000 settlement. Quoted without liability. Son is now 19, in college, and does not live with the parents. He lives with grandparents. Possible business on premises</t>
  </si>
  <si>
    <t>Bown</t>
  </si>
  <si>
    <t>Dustin &amp; Nicole</t>
  </si>
  <si>
    <t>90254</t>
  </si>
  <si>
    <t>Ground up new construction will take 2 years. Insd is an NHL hockey player. Liability excluded.</t>
  </si>
  <si>
    <t>No liability. Ground up professional contractor construction. $4M is the est finished value.</t>
  </si>
  <si>
    <t>Avon</t>
  </si>
  <si>
    <t>44011</t>
  </si>
  <si>
    <t xml:space="preserve">Vacant dwelling owned by "shock jock” in the Cleveland OH radio market. Some online antics. Dwelling has been vacant 2 years. Prem liab requested. </t>
  </si>
  <si>
    <t>Tasha is trying to quote with us - we've received several. Ex liab if we do it.  JB had addl questions about why moving ins now and why vacant 1.5 years and now selling.// 2.19.19 Lloyds cancelled subagt. Insd got married, bought bigger house, finally decided to sell old house. Ok'd with no liab and $.35 rate (vs quoted .25). Discussed/approved with John.</t>
  </si>
  <si>
    <t>Need C&amp;O or Fire Marshal report. Ok'd rate indication only.  // Got a report but it is the first responder report.  Indicates lots of clothing in laundry room and water heater malfunction possibly caught clothes on fire. Consider this some negligence, so declined. Advised if a fire marshal report "clears" the insured, send it over.</t>
  </si>
  <si>
    <t>Barsotti</t>
  </si>
  <si>
    <t>90034</t>
  </si>
  <si>
    <t>1948 home replumbed in 2016, heat in 2017, elec 2015. Slate roof 2012. Agt quoted with $50K water damage ded. 3 losses 1/17 water bathroom leak $97K. 3/17 water wash machine line break $292K. 7/17 water toilet line flooded downstairs $45K.</t>
  </si>
  <si>
    <t>Advised that they could release the rate indication, but that we would need to review a cause and origin report before a final decision is made. If approved, it would also be subject to a completed app, system updates info, and a completed and acceptable OHQ.  // 2/5/19 MP Cheryl sent a first responder report, not a C&amp;O. OHQ okay. Terms would be ok subject to a submitted app IF we get the C&amp;O report (fire marshal). // 2/25/19 Cheryl called the fire marshal and they did not conduct an investigation. This seems to support that the fire was not suspicious.  Agreed to go forward with terms since the tenant was no longer renting this home.</t>
  </si>
  <si>
    <t xml:space="preserve">I found online that there are three different locations for this business. No information was given to us in the referral about how many students, what types of classes and how often. Also, it wasn’t clear if the home is in the name of the business. Also need details of the loss that was listed.  UPDATE: Swim lessons taught in backyard pool. Baby &amp; me, private, semi-private, autism, beginning group, intermediate, and advanced group classes. Classes are April-Sept. Policy would be in the name of Jon and Jamie Collard, not the business name. Max number of students at any one time would be 5. </t>
  </si>
  <si>
    <t xml:space="preserve">After further information was provided and reviewed, approved subject to TBE, Liability exclusion, pool exclusion, Older home questionnaire, and GL is maintained for the business. </t>
  </si>
  <si>
    <t>Curran</t>
  </si>
  <si>
    <t xml:space="preserve">Was previously referred back in October 2018 and risk was declined due to TIV, PC, and response time. After follow up from agent, Bethany advised we could consider if alarms, pump, generator and dry hydrant were installed. Alarms are now in along with generator. Home is in the process of being built, will be ready in March. Agent advised that dry hydrant and pump will be started as soon as ground thaws. </t>
  </si>
  <si>
    <t>Voss</t>
  </si>
  <si>
    <t>Noah</t>
  </si>
  <si>
    <t>Steuben</t>
  </si>
  <si>
    <t>54657</t>
  </si>
  <si>
    <t xml:space="preserve">2018 year built. Woodstove is primary heat source, installed by insured who is a senior lead life safety/fire alarm inspector. Measurements and installation of stove appear to be done well. PC is 10 with 12 minute response time. </t>
  </si>
  <si>
    <t>My initial response was to decline, since the risk was PC 10 and the stove was not installed by a professional/contractor. The insured, however, does have knowledge of fire safety per occupation. Agent came back asking if we would approve with a 10% surcharge and subject to woodstove being inspected by a licensed contractor within 30 days. Given Burns, relatively low TIV, approved subject to items listed by agent</t>
  </si>
  <si>
    <t>Craven Family Irrevocable Trust</t>
  </si>
  <si>
    <t>Chatham</t>
  </si>
  <si>
    <t>02633</t>
  </si>
  <si>
    <t xml:space="preserve">Year built 1800, however it was fully gutted in 2018. Seasonal risk with rental (8 weeks). YOC was entered as 2018, which is correct. Also asked about including 25% ordinance or law coverage. </t>
  </si>
  <si>
    <t xml:space="preserve">Advised that 2018 is correct for YOC since it was gutted/rebuilt in that year. Online photos of home look really nice. ERC would be available. Advised subject to confirmation as to why increased ord/law is desired. If it was gutted and reno'd in 2018 everything should have been brought up to code. Also subject to EHP being completed confirming updated systems. </t>
  </si>
  <si>
    <t>Seiflow</t>
  </si>
  <si>
    <t>Lake Villa</t>
  </si>
  <si>
    <t>60046</t>
  </si>
  <si>
    <t xml:space="preserve">Advised that we could get comfortable with the risk, however, would need correct and complete apps for both properties, along with premium for each. Advised we may consider either a higher deductible or increased surcharge due to losses. </t>
  </si>
  <si>
    <t>Surfside Beach</t>
  </si>
  <si>
    <t>29575</t>
  </si>
  <si>
    <t xml:space="preserve">Approved subject to surcharging for the losses and confirmation that the losses originated in the neighboring townhome. </t>
  </si>
  <si>
    <t>Whitehill</t>
  </si>
  <si>
    <t>Richard &amp; Dawn</t>
  </si>
  <si>
    <t>06786</t>
  </si>
  <si>
    <t xml:space="preserve">Talked with Melissa on this one, feels comfortable that our animal exclusion is strong enough to allow policy to issue with exclusion applied. Subject to animal exclusion and completed app. </t>
  </si>
  <si>
    <t>Stentz</t>
  </si>
  <si>
    <t>1910 year built home, updates to heating 2019, roof 2005 and plumbing 2000. Wiring still has knob and tube wiring. Insured is just purchasing home and having contractor replace wiring "very soon after closing." Risk is also not 100% on circuit breakers</t>
  </si>
  <si>
    <t xml:space="preserve">Asked agent to confirm how much and where throughout the home the knob and tube is present and also if any was active. We were advised that it is throughout the home and still active. Since it is active and not minimal presence, declining risk. </t>
  </si>
  <si>
    <t>Philo</t>
  </si>
  <si>
    <t>Cedar Springs</t>
  </si>
  <si>
    <t>49319</t>
  </si>
  <si>
    <t xml:space="preserve">2005 year built. Daycare on premises, with 6 children. Quoted with TBE in place, they will have GL in place. Application and questionnaire shows above ground pool and trampoline are at the risk. </t>
  </si>
  <si>
    <t xml:space="preserve">Need to know more info on pool and trampoline. Pended to ask: are either the pool or trampoline used by the daycare children? If so, for how long and what type of supervision. If not, are both fenced off from where the children are allowed to go and with no way for them to access. Advised if we do approve terms, a pool exclusion, trampoline exclusion and TBE will all apply. Advised we would also want to see photos of the pool and trampoline. </t>
  </si>
  <si>
    <t>Flad</t>
  </si>
  <si>
    <t>Cross Plains</t>
  </si>
  <si>
    <t>53528</t>
  </si>
  <si>
    <t>2002 year built with daycare on premises. 8 children, licensed, no staff. Two losses 9/2016 hail paid $32k, 8/2018 water back up paid $10k</t>
  </si>
  <si>
    <t xml:space="preserve">Approved subject to TBE, surcharge for the losses, and no water back up coverage due to the water claim. </t>
  </si>
  <si>
    <t>Manpreet</t>
  </si>
  <si>
    <t>Ruby Mann</t>
  </si>
  <si>
    <t>Saint Cloud</t>
  </si>
  <si>
    <t>34771</t>
  </si>
  <si>
    <t xml:space="preserve">2004 year built rental dwelling. Two water losses, 6/2018 paid $45k and 7/2018 paid $8500. The larger water loss was a pipe leak on the toilet. Tenant did not notify property management company for several weeks, causing damage to several rooms. The tenant is still occupying the dwelling. </t>
  </si>
  <si>
    <t xml:space="preserve">Declined risk due to tenant still occupying dwelling. Still not comfortable even if we apply higher water deductible or water exclusion, as there is concern for any other portion of the dwelling that the tenant could find damage and just not report. Moral hazard. </t>
  </si>
  <si>
    <t>McCutcheon</t>
  </si>
  <si>
    <t>Redwood City</t>
  </si>
  <si>
    <t>94062</t>
  </si>
  <si>
    <t xml:space="preserve">1998 year built, WRS 6. Per agent, applicant has not had claims for 30 years until 2018. Automatic fire sprinkler pipe was ruptured during installation of a ceiling fan $226k. Then, while applicant was our of the home for damage to be repaired, someone broke in to the vacant home and stole personal property $27k. CSA alarms have been installed. Agent already included a water exclusion. </t>
  </si>
  <si>
    <t>Krushnic</t>
  </si>
  <si>
    <t>Dmitri</t>
  </si>
  <si>
    <t>90027</t>
  </si>
  <si>
    <t xml:space="preserve">Approved risk. Advised that even though everything else besides high profile is within authority and they are excluding liability, we still want to see them. They could be a high enough profile that could raise concern for not only liability, but physical damage to the property as well. </t>
  </si>
  <si>
    <t>Zach</t>
  </si>
  <si>
    <t>Murphy</t>
  </si>
  <si>
    <t xml:space="preserve">2001 year built. Looks to be a very nice home. In gated community with CSA alarms. </t>
  </si>
  <si>
    <t xml:space="preserve">Approved risk, no concerns. </t>
  </si>
  <si>
    <t>Lucero</t>
  </si>
  <si>
    <t>Johnny &amp; Kay</t>
  </si>
  <si>
    <t>88101</t>
  </si>
  <si>
    <t>1961 year built with updates to everything in 2000, 2012, and 2014. Applicant designs t-shirts, signs, and banners. Is in an attached structure of the home, but has a locking door that separates it from the home. At most there might be 1-2 people that visit per week. Applicant recent had a knee surgery and will not being doing much business for the next 6 months. They do not have a GL for the business.</t>
  </si>
  <si>
    <t xml:space="preserve">Agent already advised TBE, so approved as is. Not so much concerned that they do not have a GL due to the type of business and very limited foot traffic. </t>
  </si>
  <si>
    <t>Lawson</t>
  </si>
  <si>
    <t>Kristian &amp; Tami</t>
  </si>
  <si>
    <t>90403</t>
  </si>
  <si>
    <t xml:space="preserve">They have this applicants other rental property already insured and are looking to add this second rental dwelling. Other policy has been since 2016 with no losses. This property was purchased a few months ago, did full gut/remodel, and now ready to rent it. Was not insured before then. Unprotected quest says "unknown" for response time and "no" for all roads paved and accessible year round. App, however, says response time is 5 minutes. Per quest, FD is volunteer. Currently with 10% surcharge for lapse and at a rate of $.58 per 100. </t>
  </si>
  <si>
    <t>Matthew &amp; Jessica</t>
  </si>
  <si>
    <t>29582</t>
  </si>
  <si>
    <t xml:space="preserve">Agent sent it over because the prior owner had a fire loss in 2016 for $14k. Applicant is just purchasing this property. </t>
  </si>
  <si>
    <t xml:space="preserve">Advised that we are not worried about losses that occurred under prior owner, unless for some reason it was brought to their attention that the damages were not yet repaired. </t>
  </si>
  <si>
    <t>Wu</t>
  </si>
  <si>
    <t>Kelvin</t>
  </si>
  <si>
    <t>83014</t>
  </si>
  <si>
    <t>Declined risk due to response times. Tasha figured that would be the response but just wanted to check. She knew response time had to be under 15 minutes but didn’t know if a paid FD would help, even though it is further than the volunteer.</t>
  </si>
  <si>
    <t>Helms</t>
  </si>
  <si>
    <t>67216</t>
  </si>
  <si>
    <t>1952 year built with no indication of any system updates to the dwelling. Primary heat source is a wall furnace that is not thermostatically controlled.</t>
  </si>
  <si>
    <t xml:space="preserve">Declined risk given no known updates of systems and a heat source that is not thermostatically controlled. </t>
  </si>
  <si>
    <t>Bolivia</t>
  </si>
  <si>
    <t>28422</t>
  </si>
  <si>
    <t xml:space="preserve">2016 year built in NC near the coast. It is in a VE zone, crawlspace and deck under elevated. Risk is 1.2 miles from coast, so technically qualifies for 2% wind/hail deductible. However, it sits right on a lake/river that comes off the ocean. </t>
  </si>
  <si>
    <t xml:space="preserve">Approved subject to excluding wind due to proximity of surrounding waters. Flood is excluded, agent would also confirm what is stored in crawlspace and deck area. </t>
  </si>
  <si>
    <t>Feehan</t>
  </si>
  <si>
    <t>Karen &amp; Timothy</t>
  </si>
  <si>
    <t>Augora Hills</t>
  </si>
  <si>
    <t xml:space="preserve">1985 dwelling, with complete updates in 2001 and roof in 2009. WRS 33. Applicant is a singer/song-writer/producer. </t>
  </si>
  <si>
    <t xml:space="preserve">Approved terms as quoted. No concern with profile of applicant. Dwelling is updated and in line. </t>
  </si>
  <si>
    <t>Aguora Hills</t>
  </si>
  <si>
    <t xml:space="preserve">Same applicant as previous referral, but this is for their primary home. 1985 year built with partial updates, roof is tile. App notes swimming pool, no marking of fenced or not. WRS is 48. </t>
  </si>
  <si>
    <t xml:space="preserve">Approved subject to confirmation that pool/property is fenced. If not, swimming pool exclusion is to be applied. App says ERC up to 200%, will only allow 25% ERC. </t>
  </si>
  <si>
    <t>Lyden</t>
  </si>
  <si>
    <t>Bunnell</t>
  </si>
  <si>
    <t>32110</t>
  </si>
  <si>
    <t>Manes</t>
  </si>
  <si>
    <t>80228</t>
  </si>
  <si>
    <t xml:space="preserve">I agree this should be BR since there is the garage add on listed. Otherwise just cosmetics does not require BR. I am fine with insured handling the cosmetic (majority) of the project with no GC. However, approved subject to confirmation that the garage add on would be done by a licensed contractor, not the applicant. </t>
  </si>
  <si>
    <t>Langermann</t>
  </si>
  <si>
    <t>Northridge</t>
  </si>
  <si>
    <t>91325</t>
  </si>
  <si>
    <t xml:space="preserve">Sent over as an initial request to see if we would consider. 1963 year built, two losses - 5/2017 theft/vandalism $3200, 7/2019 water flex line burst $19k. No app, just a quote sheet. They applied $5k water ded. </t>
  </si>
  <si>
    <t>Cerami</t>
  </si>
  <si>
    <t>Salvatore &amp; Stefanie</t>
  </si>
  <si>
    <t>Medinah</t>
  </si>
  <si>
    <t xml:space="preserve">IL </t>
  </si>
  <si>
    <t>60157</t>
  </si>
  <si>
    <t>Alanna</t>
  </si>
  <si>
    <t>80113</t>
  </si>
  <si>
    <t xml:space="preserve">1988 year built. No mention of updates. High TIV, right at max. Three losses, all water losses. 6/17/2017 leak in pipe $6,695, 6/27/2017 leak from old irrigation line $6,696, 11/2017 pipe burst in basement $21k. </t>
  </si>
  <si>
    <t xml:space="preserve">Agent advised they quoted with $15k water deductible. Given TIV and that all three losses were water with no mention of updates, approving subject to water and mold exclusion. Agent already applied roof exclusion. They mentioned Lloyds renewal is at $29k, insured wants closer to $20k. Our rater was coming in at $15k, so also applied 20% surcharge. </t>
  </si>
  <si>
    <t>Peck</t>
  </si>
  <si>
    <t>Dale &amp; Mary</t>
  </si>
  <si>
    <t>Vulcan</t>
  </si>
  <si>
    <t>49892</t>
  </si>
  <si>
    <t xml:space="preserve">Cement home with a flat roof, built 2005. There is a woodburning stove as secondary, floor radiant heat as primary. There is also an unfinished greenhouse on the roof. Does not look like all of roof has railings, which would be needed for liability. </t>
  </si>
  <si>
    <t>App also said FD was 6 miles. Woodstove is in a wooden shed, not very comfortable with that. Also, lots of work being done to home from what it looks like. Due to all of that, we are going to decline.</t>
  </si>
  <si>
    <t>1996 home, masonry. Ins Score K. Insd has business on the premises. Danville Inn. Wedding venue, bed &amp; breakfast with unique "rooms" including tree house, airplane room, yurts. Airplane hangar and planes for personal use. Online photo shows 2 planes which app says are insured's. Appears may be used in connection w/the business. No fuels in the hangar. Danville inn has commercial policy. TBE quoted. Confirmed PC9 w/PC quest.</t>
  </si>
  <si>
    <t>Asked if any activity related to business takes place in home (check-ins or rooms for guest use).  Online shows separate areas to stay, veh rentals, use of hangar, space for biz events. May possibly consider w/TBE &amp; full lia excl, also building exclusions. // MP 2/6/19 Found airbnb listing segues and kayaks for use and they have a pistol/rifle live fire shooting range.  Staff will assist.  Too much exposure for us. Concern of defense costs.</t>
  </si>
  <si>
    <t>Need gut/rehab info. Confirm PC. I get 7.4 miles which is PC10. Submission says PC9. Exclude shed roof. WBS app needed. Reminded premises only liab with LLC. // 2.13.19 confirmed age of home and updates. Requoted and rate is acceptable with 14 min response. Exclude shed due to roof condition. WBS coming. MP</t>
  </si>
  <si>
    <t xml:space="preserve">1697 year built with updates to heating 1998, roof 1999 and plumbing 1995. Wiring/electric is being updated this year. Very small amount of knob and tube wiring is present. Agent advised that closing is 2/12/2019 and insured has already hired contractor to come update electrical within 10 days of closing. </t>
  </si>
  <si>
    <t>Previous home was a secondary. There was a fire that caused extensive damage, so applicant tore it down and they are building new. Quoted term is only three months, that is expected time of COC. Modular home being placed. Fire marshal report listed cause as undetermined. The area where the fire was thought to have started had a lot of electrical cords and extension cords plugged in. In the fire report, it stated the insured said the home was used for his actors that work for his production company.</t>
  </si>
  <si>
    <t>Approved for builders risk, but advised we would not allow a policy once the COC is completed. Given the note about the home being used for the insured's actors who work at their production company.</t>
  </si>
  <si>
    <t xml:space="preserve">2008 year built. Applicant is a screenwriter, wrote Predators, The Three Musketeers, and The Hunting Party. WRS 80. App stated that there is a part time employee at the property. Before a decision is made, sent back for clarification on the number of employees and what work is done. </t>
  </si>
  <si>
    <t>Agent came back advising that the employees are a house keeper and the other is a jacuzzi/spa cleaner. Approved to release terms.</t>
  </si>
  <si>
    <t xml:space="preserve">Since approval was granted before by Bethany on the subjectivity that the other 4 items were completed, I approved. Still subject to hydrant and pump installation prior to binding. Also subject to confirmation of completion of property prior to issuance. </t>
  </si>
  <si>
    <t xml:space="preserve">Agent provided two applications, one for primary home and one for secondary. They also advised that they may want to quote the applicants condo as well. Applications had the same info across both. 3 losses, 49k hail in 2015, 19k hail/wind 2018 and 6k pipe break 2018. </t>
  </si>
  <si>
    <t xml:space="preserve">Risk is a townhome built in 1984, full updates in 2018. 3 losses, 1) neighbor unit caught fire caused smoke damage to insured $97k. 2) neighbor had water leak that created standing water in insureds home $14k. 3) wind loss over 2 years old $1747. Applicant also has in home business, sells 31 products. no foot traffic. </t>
  </si>
  <si>
    <t xml:space="preserve">1988 year built with updates to elec 2010, heating 2010, and roof 2013. 8/2015 claim was a dog bite $145k. Friend was visiting and teasing dog, applicant asked friend to stop, dog got nervous and bit the person. Insured still owns the dog (beagle). </t>
  </si>
  <si>
    <t xml:space="preserve">Applicant is an actor, not in any major films. 1922 year built with complete updates to everything in 2000. Alison called me and asked if they had to refer this if everything else is within their authority and they are excluding liability on this risk. </t>
  </si>
  <si>
    <t xml:space="preserve">Not certain who completed unprotected quest, but if correct we will want a higher rate per 100. I am thinking closer to $.80. Advised I saw app said something different, but the answers across app/quest are quite off. Updated rate would be closer to $1,270 premium. Advised if an updated quest is completed by RFD and shows response time of under 15 minutes, I would be OK with rate of $.58. Approved subject to using $.80 rate per 100 unless updated quest is completed by RFD confirming response time less than 15 minutes. </t>
  </si>
  <si>
    <t xml:space="preserve">Tasha sent this over thinking that we wouldn’t be able to accept but just wanted to check. Was also declined by Lex and Lloyds. Responding FD is volunteer with a response time of 20 minutes. There then is a paid FD that has a response time of 25 minutes. No dry hydrant at property either. </t>
  </si>
  <si>
    <t xml:space="preserve">Referred because it is a metal building. Built in 2019. Living area is 2400 sq ft, total area of building is 8000 sq ft. Per agent email, other area is used to store ATV, boats, and toys. </t>
  </si>
  <si>
    <t xml:space="preserve">Approving risk subject to confirmation that the other storage area is for the applicants personal use only and that there is no renting to others for storage or living purposes, and also no business use. </t>
  </si>
  <si>
    <t>This is a borderline builders risk. 1961 dwelling that already has updates to systems ranging 1996-2009. Roof done in 2016. Applicant is purchasing and remodeling to flip the home to sell. New tile, cabinets, counters, paint, etc., majority cosmetic. However, one other portion is adding on to the garage. Since the structural add on is there, categorized as BR. No GC, insured doing all the work, may hire some tradesmen to help with some work. 6 month policy</t>
  </si>
  <si>
    <t xml:space="preserve">Advised we could consider, however, would need all required info for a referral (such as app) in order to make a final decision. Things to question, like age and updates, whether or not water deductible is enough. </t>
  </si>
  <si>
    <t xml:space="preserve">DP3 vacant risk, year built 1970. Term is only for 3 months, as applicant is planning to move it to a builders risk after that time. Agent said they had an error when quoting and wanted to confirm they could release terms. App indicates updates, but no specific year. </t>
  </si>
  <si>
    <t>Approved subject to completed app and confirmation of updates year(s). Want to confirm hey have been updated and are not just marked that way because they will be updated in the near future BR.</t>
  </si>
  <si>
    <t>Lampson</t>
  </si>
  <si>
    <t>Red Bluff</t>
  </si>
  <si>
    <t>96080</t>
  </si>
  <si>
    <t>1988 year built. Two fire losses, one for $518,785 and one for $25,022. No details of either of the losses were provided</t>
  </si>
  <si>
    <t>Declined due to fire losses. Advised for future reference, that we would need to see C&amp;O or fire marshal report for large fire losses in order to consider.</t>
  </si>
  <si>
    <t>Gialil</t>
  </si>
  <si>
    <t>Josef &amp; Janet</t>
  </si>
  <si>
    <t>Greenfield Center</t>
  </si>
  <si>
    <t>12833</t>
  </si>
  <si>
    <t>Thibodeau</t>
  </si>
  <si>
    <t>E Hartford</t>
  </si>
  <si>
    <t>06118</t>
  </si>
  <si>
    <t xml:space="preserve">Year built 1910. Partial updates to wiring in 2000 and plumbing in 2000. Complete updates to roof and heating in 2000. Current lapse in coverage since 6/2018. They were cancelled from prior carrier due to broken back window and yard debris. Asked if 25% ERC was available. </t>
  </si>
  <si>
    <t>Joyce &amp; Wendell</t>
  </si>
  <si>
    <t xml:space="preserve">Since loss was at a different location, approved as quoted. </t>
  </si>
  <si>
    <t>Referred because they had a prior CAT flood loss that was $126k at a different location. No other issues found in referral</t>
  </si>
  <si>
    <t>Jacoby</t>
  </si>
  <si>
    <t>Fort Calhoun</t>
  </si>
  <si>
    <t>68023</t>
  </si>
  <si>
    <t xml:space="preserve">Since the time that they are open has decreased significantly, willing to approve subject to a full liability exclusion, TBE, and GL in place and maintained for the business. Not as big as a concern as it would be if it were horses or other larger animals that could cause serious injury. </t>
  </si>
  <si>
    <t>Everhart</t>
  </si>
  <si>
    <t>Carl Pry &amp; Cher</t>
  </si>
  <si>
    <t>Cottonwood</t>
  </si>
  <si>
    <t>86326</t>
  </si>
  <si>
    <t xml:space="preserve">2002 year built, lapse in coverage since purchase of property 7/2018. Has been vacant, and applicant is now going to occupy as primary home. There is a pool in the back that is not fenced. Small backyard with infinity pool. Want to know if they can offer without pool exclusion. </t>
  </si>
  <si>
    <t>Patty</t>
  </si>
  <si>
    <t>Masiello</t>
  </si>
  <si>
    <t>Michael &amp; Renee</t>
  </si>
  <si>
    <t>East Haven</t>
  </si>
  <si>
    <t>06512</t>
  </si>
  <si>
    <t>1991 home w/updated roof. Insd operates day care on premises. Licensed for 8 children. No pool/dog/trampoline/playground. Full time, no overnights. Facebook page ok. Commercial policy in place - will be moved to be controlled and maintained by retail agent. Total Business Excl applies.</t>
  </si>
  <si>
    <t>Insurance scores 770+</t>
  </si>
  <si>
    <t>TBE, Coml policies in place.  Typical of in home day care business. Advised of limitations of TBE for in home businesses and that coml policies must cover the gap.</t>
  </si>
  <si>
    <t>1940 updated home in IL owned by President of the presenting retail agency.  Partial fire loss 1/29/18 due to electrical. $128K claims closed. Still under construction - no info on extent of repairs left. NRN by prior carrier. Lapsed about 6 months ago, no insurance.</t>
  </si>
  <si>
    <t>Discussed addl info needed. Concerning situation, but entertaining since it is President of agency.  Tasha later advised that this is a low insurance score so she declined without even getting into additional questions.</t>
  </si>
  <si>
    <t>2400 Spurgeon Ave</t>
  </si>
  <si>
    <t>Redondo Beach</t>
  </si>
  <si>
    <t>90278</t>
  </si>
  <si>
    <t xml:space="preserve">1990 year built. WRS 6. 4 water losses, all similar 2016-2018. Pin hole leak in pipe, ranges from $3,720-$13,313. Insured had all supply lines redone in 2018 after last loss occurred, replacing all copper piping with PEX. C insurance score, agent applied $25,000 water deductible. </t>
  </si>
  <si>
    <t>Hinkson</t>
  </si>
  <si>
    <t>C Paige</t>
  </si>
  <si>
    <t>01238</t>
  </si>
  <si>
    <t>Even though nothing was paid, the type of claim that occurred is one that would cause costly defense costs, even with no liability. We are going to pass on this risk.</t>
  </si>
  <si>
    <t>Kehoe</t>
  </si>
  <si>
    <t>1970 year built with updates only to heating in 2015. Roof is tile, exclusion already applied per agent. Two losses, first was CAT from Thomas fire, mandatory evacuation. Second was 3 months later the property was ransacked while vacant. WRS 20. ISO PPC report provided shows split PC 4/9, no documentation confirming it as 4.</t>
  </si>
  <si>
    <t xml:space="preserve">Approving subject to FRC since only update to heating, need OHQ, EHP w/ standard inspection, and also confirmation as to how PC was determined as per guidelines split PCs are ineligible. Also advised that the second loss should be surcharged. </t>
  </si>
  <si>
    <t>Ruppert</t>
  </si>
  <si>
    <t>McCook</t>
  </si>
  <si>
    <t>69001</t>
  </si>
  <si>
    <t xml:space="preserve">1994 year built with complete updates to everything in 2016. PC 10 with response time listed of 40 minutes. Unprotected quest shows volunteer FD that is 25 miles away. 7 miles of the road is gravel. No hydrant/dry hydrant. Currently rated at $.75 per $100. </t>
  </si>
  <si>
    <t>The rest of the risk was acceptable. Allowing exception given low TIV. Confirmed through ISO and google search that response time is right around 40 minutes. Given time, partial gravel road, and volunteer FD a higher rate will be needed in order to approve. Approved terms subject to using a rate of $.85/$100 which is a premium of $1,637.</t>
  </si>
  <si>
    <t>Gordon</t>
  </si>
  <si>
    <t>90066</t>
  </si>
  <si>
    <t xml:space="preserve">The water losses listed are not really related to poor plumbing, so the subjectivity mentioned of $10k water deductible seems acceptable. Also, agree with the 10% surcharge of the losses. New roof in 2014 so no concerns there. Approving as quoted. </t>
  </si>
  <si>
    <t>Dedmon</t>
  </si>
  <si>
    <t>Dewayne</t>
  </si>
  <si>
    <t>Baldwin Hills</t>
  </si>
  <si>
    <t>90008</t>
  </si>
  <si>
    <t xml:space="preserve">Applicant is an NBA player for the Atlanta Hawks. No adverse information found. Dwelling is 1957 year built, photos online show it was recently redone and looks like it was done well. No mention of updates, but it appears there have been updates completed due to condition of home online. </t>
  </si>
  <si>
    <t xml:space="preserve">No concerns with profile of applicant. Approved subject to completed and acceptable app (missing updates, PPC), acceptable OHQ, and confirmation of system updates per guideline requirements. </t>
  </si>
  <si>
    <t>Kathryn</t>
  </si>
  <si>
    <t>Bourne</t>
  </si>
  <si>
    <t>Susan &amp; Burness</t>
  </si>
  <si>
    <t>1912 historic home, gutted and redone in 1992, with additional updates to heating and roof in 2012. No tours</t>
  </si>
  <si>
    <t>Schiller</t>
  </si>
  <si>
    <t>77019</t>
  </si>
  <si>
    <t>1952 year built with complete updates in 2017. Insured was CEO of oil and gas company and fined for "pay-for-play". Had to pay $180,000 fine and cant serve on any boards for 5 years. He is now retired. Agent advised they would exclude liability.</t>
  </si>
  <si>
    <t>Giraldo</t>
  </si>
  <si>
    <t>Carlos</t>
  </si>
  <si>
    <t>08401</t>
  </si>
  <si>
    <t xml:space="preserve">Pended asking for c&amp;o report for fire. </t>
  </si>
  <si>
    <t>1962 year built with complete updates in 2009 and roof in 2013. WRS 83. Applicant is an actor, no adverse information  found.</t>
  </si>
  <si>
    <t xml:space="preserve">No concerns with profile of applicant. Approved terms. </t>
  </si>
  <si>
    <t>Doshi</t>
  </si>
  <si>
    <t>Shailesh &amp; Rekha</t>
  </si>
  <si>
    <t>48302</t>
  </si>
  <si>
    <t xml:space="preserve">1997 year built, high value dwelling. Will be vacant as insured is trying to sell property, they bought new home in the area. Two losses - 4/2017 mirror fell and shattered crystal chandelier $49k, and 1/2019 frozen pipe $100,000 that is still open but that is because they are just trying to finalize payment, per agent. </t>
  </si>
  <si>
    <t>Crystal</t>
  </si>
  <si>
    <t>Bryan &amp; Leslie</t>
  </si>
  <si>
    <t>Covington</t>
  </si>
  <si>
    <t>70433</t>
  </si>
  <si>
    <t xml:space="preserve"> Pics from inspection look fine, update dates fine, type of plumbing fine. Advised Crystal of addl concerns.</t>
  </si>
  <si>
    <t>1964 home w/PE and PEX plumbing. Prior demotech carrier rejected risk due to plumbing.  Plumbing was updated twice, most recently in 2008. Found addl questions - need OHQ, incorrect Animal Excl form. Crystal confirmed PC5.</t>
  </si>
  <si>
    <t>Stout</t>
  </si>
  <si>
    <t>59752</t>
  </si>
  <si>
    <t>Three Forks</t>
  </si>
  <si>
    <t>1990 home in MT. FD 19.1 miles, 31 min drive time. Volunteer.  Estimate up to 40 min response. Local alarms. Hobby farm on property.</t>
  </si>
  <si>
    <t>Approved a rate indication of .85 = $3,410 subj to full info on hobby farm to determine eligibility. Response time falls within our exception guidelines.  Local alarms do not reduce response time.</t>
  </si>
  <si>
    <t>Pelley</t>
  </si>
  <si>
    <t>Herb</t>
  </si>
  <si>
    <t>Hamden</t>
  </si>
  <si>
    <t>06518</t>
  </si>
  <si>
    <t xml:space="preserve">1967 home w/no update to plumbing. Frozen pipe break loss still open. $36K 3/7/18.  Also 2016 ice dam. Agt quoted w/ $10K water damage, exist dmg excl. </t>
  </si>
  <si>
    <t>Need more info on the open water loss and type of plumbing pipes that are not updated. If ineligible pipes, risk should be declined. Also need OHQ.</t>
  </si>
  <si>
    <t>Niki</t>
  </si>
  <si>
    <t>Del Rey</t>
  </si>
  <si>
    <t>St Augustine</t>
  </si>
  <si>
    <t xml:space="preserve">FL </t>
  </si>
  <si>
    <t>32080</t>
  </si>
  <si>
    <t>1952 year built with partial updates to wiring 2016 and plumbing 2016, complete updates to roof 2013 and heating 2010. App states galvanized/cast iron is still in place. Applicant was arrested for felony sale/distribution of marijuana in 2016. Current carrier is non-renewing due to "material change in the risk due to undisclosed exposure." Agent tried asking for more details and only came back with that is had to do something with a drug arrest.</t>
  </si>
  <si>
    <t>Due to prior non-renewal, and condition of plumbing, deciding to decline this risk.</t>
  </si>
  <si>
    <t>Pikesville</t>
  </si>
  <si>
    <t>21208</t>
  </si>
  <si>
    <t xml:space="preserve">Approving subject to ACV for the roof. It is a wood roof that is 17 years old. Guidelines indicate roofs 15-25 years should consider ACV, and that wood/shake roofs should have ACV. As such, only allowing ACV. </t>
  </si>
  <si>
    <t>Everything checks out with the builders risk. Since there was mention of roof being replaced, approved subject to roof exclusion and water damage exclusion until it is completely replaced. They had 10% surcharge for lapse, advised that should be increased to 20%. There wasn't any mention of updates but I am assuming with gut job those are all done/being done. Advised no ineligible wiring if electricity is still active. UPDATE 3/11/19: Burns came back asking to remove water exclusion since foundation is now completed. Advised part of water exclusion was due to roof being replaced. Once that is compelte we can remove roof and water exclusions.</t>
  </si>
  <si>
    <t>Kuhnke</t>
  </si>
  <si>
    <t>Mark &amp; Marguerit</t>
  </si>
  <si>
    <t>Fort Atkinson</t>
  </si>
  <si>
    <t>53538</t>
  </si>
  <si>
    <t>Approved subject to a standard inspection with EHP, which is in their guidelines. Also subject to TBE.</t>
  </si>
  <si>
    <t>Mahoney</t>
  </si>
  <si>
    <t>Merrimac</t>
  </si>
  <si>
    <t>53561</t>
  </si>
  <si>
    <t>Caur</t>
  </si>
  <si>
    <t>Balwinder</t>
  </si>
  <si>
    <t>North Little Rock</t>
  </si>
  <si>
    <t>72117</t>
  </si>
  <si>
    <t xml:space="preserve">Approving subject to TBE, liability exclusion, GL in place for the store prior to binding, and other structure exclusion. Standard inspection with EHP per guidelines. </t>
  </si>
  <si>
    <t xml:space="preserve">Approving subject to TBE UPDATE: approval still stands, PC10 is not of large concern since 5.5 miles and 7 minute response time. </t>
  </si>
  <si>
    <t>Nick</t>
  </si>
  <si>
    <t>80108</t>
  </si>
  <si>
    <t>No liability. Son no longer in home. Ran score. Need info on business. UPDATE 3/13/2019: agent confirmed no business on premises. As such, approved subject to liability exclusion. MB</t>
  </si>
  <si>
    <t>Enloe</t>
  </si>
  <si>
    <t>Lake Ozark</t>
  </si>
  <si>
    <t>65049</t>
  </si>
  <si>
    <t>2 fire losses - 2/2015 $57,301 and 11/2016 $484,248. On CLUE report provided there is also a hail loss from 4/2014 for $66,225.</t>
  </si>
  <si>
    <t>Declined due to loss history. Two larger fires, only FD reports were provided, but even with C&amp;O or fire marshal report I don’t think the decline would be overturned.</t>
  </si>
  <si>
    <t>Milligan</t>
  </si>
  <si>
    <t>34102</t>
  </si>
  <si>
    <t xml:space="preserve">1997 year built, complete update to roof in 2015 after a $49k hail loss. Second wind/hail loss 5/2018 to siding, garage, pool for $20k, and 9/2018 broken pipe water loss $5717. </t>
  </si>
  <si>
    <t>60050</t>
  </si>
  <si>
    <t xml:space="preserve">1940 year built with updates to wiring and roof in 2003, heating 2008, and plumbing 1995. </t>
  </si>
  <si>
    <t>Mikolas</t>
  </si>
  <si>
    <t>Miles</t>
  </si>
  <si>
    <t>Creve Coeur</t>
  </si>
  <si>
    <t xml:space="preserve">2018 year built. Applicant is a pitcher in the MLB for ST Louis Cardinals. This is their secondary home. </t>
  </si>
  <si>
    <t xml:space="preserve">Approved terms as quoted. No concern with profile of applicant. </t>
  </si>
  <si>
    <t>84060</t>
  </si>
  <si>
    <t>2019 year built. Just got finished with COC. Property is vacant and for sale, offering 6 month term - agent added 10% surcharge and 100% min earned premium. Gated community with CSFB alarms</t>
  </si>
  <si>
    <t>No concerns with risk, approved terms</t>
  </si>
  <si>
    <t>Faria</t>
  </si>
  <si>
    <t>Jeanine</t>
  </si>
  <si>
    <t xml:space="preserve">WRS 28. Year built is 1992. 9/2015 water leak in bathroom $190.95, 10/2016 shattered skylight $5850, and 12/2017 Thomas fire ash and soot damage $38k. </t>
  </si>
  <si>
    <t xml:space="preserve">Approved subject to increasing deductible to $2,500. They had just $500 listed on the app. No other concerns with file. </t>
  </si>
  <si>
    <t>Oak 120 Estate LLC</t>
  </si>
  <si>
    <t>Michigan City</t>
  </si>
  <si>
    <t>46360</t>
  </si>
  <si>
    <t xml:space="preserve">1920 year built with complete gut rehab in 2010. Vacation rental that sleeps up to 25 people and is marketed as a venue for reunions, large family vacations, retreats and weddings. There is a tree house that sleeps up to 10. Large pool with diving board, tennis courts, basketball courts. </t>
  </si>
  <si>
    <t>Usually we can consider risks that have wedding/retreat venue space as long as there is proper separation. With this situation, the home, along with the rest of the property, is used for these purposes along with the regular type vacation rental. As such, we are going to decline this this. This sounds more like a commercial exposure.</t>
  </si>
  <si>
    <t>Darrah</t>
  </si>
  <si>
    <t>Jeanne</t>
  </si>
  <si>
    <t>Saint Catalina Island</t>
  </si>
  <si>
    <t>Seasonal home on island considered in LA County. The island mainly consists of a marina for yachts. Full city fire department fire coverage. Issue is that WRS report noted that this risk is not in a wildfire zone. Reviewed report and location and told them to proceed. The island is surrounded by water and not considered a wildfire area.</t>
  </si>
  <si>
    <t>After research, comfortable this is not considered a wildfire zone. Small island surrounded by deep pacific water.</t>
  </si>
  <si>
    <t>We cannot insure any risk for greater than $5M. Noted they had to move this policy immediately. Melissa set pend to make sure.</t>
  </si>
  <si>
    <t>Ronald &amp; Arons, Gina</t>
  </si>
  <si>
    <t>01773</t>
  </si>
  <si>
    <t>Advised ACV or FRC only. Need OHQ/confirm no inelig plumb/elec. Apply TBE. Professional exclusion in policy + TBE excludes covg. Insd as GL.  Require coml policies be controlled by retail agent.</t>
  </si>
  <si>
    <t>Judelson</t>
  </si>
  <si>
    <t>1935 home w/little info. Referred for loss history.  This home 10/29/12 Flood $209K, 8/28/11 Hurr Irene Flood $116K.  Primary home 3/5/15 water damage $477K, 10/29/12 wind blew tree onto roof $60K.</t>
  </si>
  <si>
    <t>Alevizos</t>
  </si>
  <si>
    <t>John &amp; Georgia</t>
  </si>
  <si>
    <t>Anaheim Hills</t>
  </si>
  <si>
    <t>92807</t>
  </si>
  <si>
    <t>WRS 34, TIV almost $5M. Outside of guidelines.</t>
  </si>
  <si>
    <t xml:space="preserve">Declined. New guidelines were sent out 3/8, this risk is no longer within guidelines. </t>
  </si>
  <si>
    <t>LaCroix</t>
  </si>
  <si>
    <t>Martha</t>
  </si>
  <si>
    <t>Harbor City</t>
  </si>
  <si>
    <t>90710</t>
  </si>
  <si>
    <t>1965 year built, no mention of updates on the application. 2016 water loss $47,762, 2017 weather loss that damaged important papers, nothing paid at this time, 2018 water loss $26,259. WRS 6</t>
  </si>
  <si>
    <t>Subramanian</t>
  </si>
  <si>
    <t>63124</t>
  </si>
  <si>
    <t xml:space="preserve">Approved subject to a completed application, completed and acceptable OHQ and pool exclusion. </t>
  </si>
  <si>
    <t>Van De Bovenkamp</t>
  </si>
  <si>
    <t xml:space="preserve">Wellington </t>
  </si>
  <si>
    <t>33414</t>
  </si>
  <si>
    <t xml:space="preserve">2001 year built. Agent wanted to check if this was acceptable because it is in Palm Beach county, 12 miles from coast. Didn’t receive any referral messages but wanted to check since they received declinations for wind due to value in the past. </t>
  </si>
  <si>
    <t xml:space="preserve">Approved terms as quoted. w/h deductible is within guidelines. </t>
  </si>
  <si>
    <t>Mark &amp; Sandra</t>
  </si>
  <si>
    <t>16101</t>
  </si>
  <si>
    <t>Walters</t>
  </si>
  <si>
    <t>Ronald D &amp; Margaret</t>
  </si>
  <si>
    <t>James Creek</t>
  </si>
  <si>
    <t>16657</t>
  </si>
  <si>
    <t>2016 log home. Response time 19-24 minutes. .43 rate quoted. No alarms. Volunteer FD. 14 min drive time. 2017 insp shows home under constr.</t>
  </si>
  <si>
    <t>Verify construction is complete.</t>
  </si>
  <si>
    <t>Johns Island</t>
  </si>
  <si>
    <t xml:space="preserve">Location - 1985 home in PC5. Island has their own FD. </t>
  </si>
  <si>
    <t>Guidelines say no risks on barrier islands. Verified on google this is a barrier island.</t>
  </si>
  <si>
    <t>Reassigned to me at 3:50pm</t>
  </si>
  <si>
    <t>Leticia &amp; Raul</t>
  </si>
  <si>
    <t xml:space="preserve">This is PC10 and TIV is $2,573,390.  Ins scores are in the mid 600's (5-10% surcharge).  2010 masonry risk with tile roof located in Naples FL (surprised it is PC10).  Primary home, CSFB alarms.  Both insured's work.  Responding paid FD is 8.2 miles away with a 13 minute drive time.  Response time is probably just at 15 minutes.  There is another FD 2.5 miles away (5 min) but this is not the primary FD.
</t>
  </si>
  <si>
    <t>Reassigned to me at 4:10pm</t>
  </si>
  <si>
    <t>Yuma</t>
  </si>
  <si>
    <t>85365</t>
  </si>
  <si>
    <t xml:space="preserve">2005 year built. Looks like a nice home per the inspection provided. App indicates a liability loss from 2014 in amount of $425,000 and that it was "dropped/closed." No other info provided. App indicates PC5, but inspection indicates no hydrant/water source within 1000 ft. App also says no pool but inspection shows pool. </t>
  </si>
  <si>
    <t>Shoemaker</t>
  </si>
  <si>
    <t>Dale</t>
  </si>
  <si>
    <t>81211</t>
  </si>
  <si>
    <t>Photos of home showed that there were no doors, windows, etc. and entire structure was open in those areas to the outside. Asked if that is still the case. Also asked the status of the electrical, plumbing, and heating systems, and if in place are they on or off. If on, any winterization plans?</t>
  </si>
  <si>
    <t>Schrader</t>
  </si>
  <si>
    <t>Jean</t>
  </si>
  <si>
    <t>Saint Ann</t>
  </si>
  <si>
    <t>63074</t>
  </si>
  <si>
    <t>Agent already applied TBE and also excluded liability and med pay. Approved subject to completed and acceptable OHQ, TBE, Liability exclusion, other structure exclusion for business related structures and no coverage for golf cart(s)</t>
  </si>
  <si>
    <t>Daddy Buck FLP</t>
  </si>
  <si>
    <t>Canton</t>
  </si>
  <si>
    <t>75103</t>
  </si>
  <si>
    <t xml:space="preserve">1972 year built fully updated in 2009. Applicant is Deion Sanders, pretty high profile retired football player. Has home in FLP with mother and sister to protect his name. Couldn’t find any information on property online. Liability is excluded on the referral from agent. </t>
  </si>
  <si>
    <t xml:space="preserve">Overall, the profile of applicant is pretty significant. When searching online, at least 4 different lawsuits/cases were found that involved this applicant and other businesses/organizations that he runs. Also, not necessarily an immediate concern, but questions as to why such a low value and small property for someone with as much wealth as applicant. All of this considered, we are declining. </t>
  </si>
  <si>
    <t xml:space="preserve">Approved as quoted since water exclusion was already applied. No other concerns, CSA alarms will help mitigate any future theft losses. UPDATE 3/20/2019: Alison came back asking if we can consider removing the water damage exclusion and moving forward with an increased deductible instead. Loss was not one that indicates plumbing system issues, and was fault when insured hit a pipe when installing a ceiling fan. No other losses other than this loss. Advised we will approve with the removal of the exclusion and applying a $25,000 water damage deductible. </t>
  </si>
  <si>
    <t xml:space="preserve">The initial request came from the agent advising they would put a water exclusion in place, so I approved terms as such, even though just an incrased deductible would have been acceptable. </t>
  </si>
  <si>
    <t>Jorge</t>
  </si>
  <si>
    <t>60636</t>
  </si>
  <si>
    <t xml:space="preserve">Length of lapse is pretty significant and the reason of "not able to locate other coverage" does not seem justifiable. As such, declining due to lapse. </t>
  </si>
  <si>
    <t>Gross</t>
  </si>
  <si>
    <t>Lois A</t>
  </si>
  <si>
    <t>47304</t>
  </si>
  <si>
    <t xml:space="preserve">1965 home updated with open water loss.  Agent has authority to handle open claims. They approved w/ roof exclusion, existing damage exclusion and contents excl ($100K requested).  Now the insd is asking for $50K and agency wants our approval.  </t>
  </si>
  <si>
    <t>Bahl</t>
  </si>
  <si>
    <t>Panka</t>
  </si>
  <si>
    <t>Danville</t>
  </si>
  <si>
    <t>94506</t>
  </si>
  <si>
    <t>1986 primary home not in brush. 4 roof leak/water dmg losses all closed. (4/17 $3299K, 4/17 $471, 11/18 $5867, 2/19 $5000).  They only did partial replacement of the roof, but 2 of the losses were in the same spot, and it is a big house.  Ins score is L which is 1.0 factor.  Insd is a doctor.</t>
  </si>
  <si>
    <t xml:space="preserve">Approve with the quoted roof exclusion and add a water damage exclusion.   Additionally we would require mold and water backup exclusions.  There is a pool with diving board so the pool exclusion applies.  </t>
  </si>
  <si>
    <t>Partial repair seems a bit of an under-reaction.  If it was worse insurance score, I'd be concerned of a morale hazard.  I'm concerned with additional roof leaks which aren't detected as roof leaks, and neglect of plumbing. They didn't describe the 4/17 $471 but it was one day apart from the other one, so I'm not going to ask.   // Referred for John's opinion 3/21/19 4:22PM.  John agreed.</t>
  </si>
  <si>
    <t>Traci</t>
  </si>
  <si>
    <t>Asked for claim detail for file. Review pricing for possible surcharge. Asked for other structure info - review condition and limited hay.</t>
  </si>
  <si>
    <t>Home on 70 acres. One small 2016 water damage claim. Insd has 4 donkeys and 10 goats. All personal, no business, no breeding, hobby only. Unfenced pond okay.</t>
  </si>
  <si>
    <t>Middleburg</t>
  </si>
  <si>
    <t>32068</t>
  </si>
  <si>
    <t>2007 home w/ 12/2/18 fire. Grease left unattended. $150,624. closed, repairs made.</t>
  </si>
  <si>
    <t>AmWINS is a new partner and we are working to build their business. Niki is writing a lot of FL business.  I "soft-declined" this one purposely since it was AmWINS. I said usually grease indicates negligence, but if there is more to the story that we should consider, send with Fire Marshal or C&amp;O report, insurance score, conf of repairs completed.</t>
  </si>
  <si>
    <t xml:space="preserve">2005 year built. Two losses listed on app, both water from 2017 and 2016, each $10,000. One was also a water backup loss. The clue report provided form agent showed a few more water losses, but no mentioning of those if they are the insured's or the locations. </t>
  </si>
  <si>
    <t xml:space="preserve">Asked for more information regarding the other water losses. Advised at least water backup will not be able to be offered due to the water backup loss, however, more subjectivities may be needed depending on details and facts of the other water losses. UPDATED 3/11/19: Received follow up that 2013 water loss was hot water heater leak, water heater was replaced. The two losses listed were actually one in the same, confirmed by agent. It was lightning damage that caused sewer backup. Approved terms as quoted, as AOP was already at $10,000 and water heater was replaced and mitigation systems installed for water back up. </t>
  </si>
  <si>
    <t xml:space="preserve">Advised due to the age and only partial updates completed, only FRC is available. Approved subject to 10% surcharge for lapse, confirmation previous recs from cancellation are fixed before issuance, completed and acceptable OHQ, and EHP inspection with regular inspection. </t>
  </si>
  <si>
    <t>1955 year built with complete updates to heating and roof 2002 and 1998. partial updates to wiring 2018 and plumbing 2000. Non-renewed from prior carrier due to losses. Fire damage and water damage loss on same day. Water damage loss was flood. They said fire damage was mentioned to be due to the water damage? Also, lapse from 2/28/2019</t>
  </si>
  <si>
    <t xml:space="preserve">2005 year built, updates to roof in 2016 and heating 2018. Insured owns Alpacas of the Heartland LLC, an alpaca farm at the location. Previously used to be open year round, people could come and feed the alpacas, had a gift shop in the home. In 2018 the shop closed and now they only have the farm portion open to public Sept-Nov, and only at certain times on certain days. Website says they may still do some educational events and classes. Was not able to find anything online adverse about the business, all good reviews, no injury reports, no complaints. </t>
  </si>
  <si>
    <t xml:space="preserve">Location of home is not in a suburban neighborhood that would have a close proximity to neighbors. There are no properties behind the home, and within a few hundred feet of the front of the home is 1-2 other properties only. Access to the back of the home does not appear to be easily accessible, either. As such, approved with no pool exclusion subject to confirmation of no or limited access to pool from the front. Also, a completed and acceptable PC quest will be needed since they mentioned they had some questions on the first one that they needed to clarify. </t>
  </si>
  <si>
    <t>Approved as quoted since they confirmed plumbing was replaced after the losses occurred, and a higher water deductible was applied. No other concerns with the risk.</t>
  </si>
  <si>
    <t xml:space="preserve">Applicant had harassment claim filed against him. It was closed with no payment, but prior carrier is still non-renewing. </t>
  </si>
  <si>
    <t>1939 year built that has not been gutted and rebuilt, so FRC only available, confirmed by agent. Three smaller water losses in 2017 - 5/2017 sparkletts bottled delivered had leaked $5000, 6/2017 newer garbage disposal rusted out $10000, 7/2017 drain clogged $10000. No real concerns with the losses, agent applied $10,000 water damage deductible and additional 10% surcharge.</t>
  </si>
  <si>
    <t>W/H deductible is correct per location, approving subject to confirmation that it was gutted and rebuilt with new materials, not repurposed and antique materials. Will also need to change year built to rebuild date.</t>
  </si>
  <si>
    <t xml:space="preserve">Approving subject to completed app (PPC and updates missing), OHQ, and no liability as mentioned by Burns. I do not think there is a large enough concern that would cause to decline even with excluding liability. </t>
  </si>
  <si>
    <t>Bloomfield Hills</t>
  </si>
  <si>
    <t xml:space="preserve">1989 year built with complete updates in 2002. Two losses, 5/2018 septic system inundated with torrential rains and failed $42,570 (CAT?), and 12/2018 pipe on second floor burst and leaked $16,272. Agent already applied $10,000 water deductible. Wood roof and agent would like replacement cost subject to a favorable inspection showing roof in good condition. </t>
  </si>
  <si>
    <t>Year built 1911 with complete updates in 2014-2015 for systems and roof. Business on premises is insured makes chocolate in basement of home. No foot traffic or employees, all chocolates are sold online/phone orders and mailed out. Business has been around since 1940.</t>
  </si>
  <si>
    <t>1993 year built with complete update to roof in 2006. Applicant is a machinist, works on nozzles used on engines for tractors. He receives parts and fixes them then returns them. Work is done in attached four car garage, has a space dedicated for this. No foot traffic and no employees. UPDATE 3/13/2019: PC is actually 10, 7 minute response time.</t>
  </si>
  <si>
    <t xml:space="preserve">1953 year built with complete updates in 2004 and roof in 2012. Property address is also shared with a liquor store, which the applicant is purchasing and will be operating. </t>
  </si>
  <si>
    <t xml:space="preserve">2002 year built with a 2012 hail claim that was $24k and a 2017 hail claim for $5,000. Home is for sale but is still primary. Have not had to replace roof due to it being resistant tile. Agent applied 1% w/h deductible, added ACV roof. Prefers not to exclude roof, but rather surcharge and apply ACV. </t>
  </si>
  <si>
    <t xml:space="preserve">Dwelling is in receivership. Used to be owned by Kevin Merrill, who was indicted for a $364 million Ponzi scheme. Gregory Milligan is the court appointed person to serve as the receiver managing the dwelling. Milligan will take care of utilities, landscaping, and helping to sell. Wanting to write in Gregory Milligan's name since Kevin Merrill no longer has ownership/insurable interest. </t>
  </si>
  <si>
    <t xml:space="preserve">While there is no moral hazard concern of Gregory Milligan, concern that the dwelling could be a target for those that were in the Ponzi scheme. </t>
  </si>
  <si>
    <t>They have $5k AOP and w/h deductibles quoted, think that is acceptable especially given the larger hail loss had a complete roof replacement afterwards. Approved subject to noting file if another considerably large wind/hail loss is sustained to consider increased deductible.</t>
  </si>
  <si>
    <t>Approved subject to completed OHQ and FRC due to year built and not fully gutted/redone</t>
  </si>
  <si>
    <t>December effective policy approved previously. Michelle discovered cov B is about $400k now which makes this ineligible</t>
  </si>
  <si>
    <t xml:space="preserve">1965 home w/partial updates. Updated roof.  Insd is a psychologist. Sees 15 clients/week in home office. Has GL in place. TBE quoted. Wife is psy.d. also but travels. </t>
  </si>
  <si>
    <t>Approved rate indication - no mold covg. Need more info to approve formal terms. More detail on losses, OHQ.  Ok'd rate ind since losses are old and flood would not be covered.  // 3/19 addl info from Barbara: Home has full updates. Flood claims were flood only, no wind. Still need info on 3/5/2015 loss to ensure no negligence/lack of maintenance. Agent changing to $5K AOP and we agreed to a water damage exclusion. I provided copy of the form.  Terms can be approved once we are comfortable with the 3/2015 loss details. // 3/15 loss was ice dams in all areas of home. Approved subj to AOP 5K, water dmg excl, OHQ</t>
  </si>
  <si>
    <t>Approved subject to water exclusion, mold exclusion, water backup exclusion and roof exclusion due to no mention of updates. Also subject to confirmation there is no galvanized or cast iron plumbing.</t>
  </si>
  <si>
    <t xml:space="preserve">1936 year built. App does not indicate updates anywhere, however, inspection provided by agent mentions updates to all of the systems in recent years, also the roof. App says no swimming pool, but inspection shows pool with diving board. Home looks nice in the inspection. </t>
  </si>
  <si>
    <t>1998 year built, applicants own greenhouse/nursery business. Separated from home by a fence. Full business coverage under a GL policy. Business questionnaire provided didn’t have exposure, employee, foot traffic questions answered</t>
  </si>
  <si>
    <t xml:space="preserve">2019 year built log home. Just finishing building, maybe another 1-2 months for exterior to be finished. Will sit vacant for at least 3 years until daughter returns from China. When daughter returns she will complete inside of property. </t>
  </si>
  <si>
    <t xml:space="preserve">Business on premises and a prior loss. 1952 year built with updates 1992 wiring, 2002 heating, 2018 plumbing and roof 2008. 5/2017 liability loss grandsons wife was taking an intoxicated employees wife back on the property in a golf cart. The person fell out of the cart which was on the applicants property. $0 paid $5,000 med pay reserve. Applicants grandson has 2 businesses on premises from commercial structure, Brians Automotive Inc and Pavement maintenance and Construction LLC. Grandson has commercial policy for businesses. </t>
  </si>
  <si>
    <t xml:space="preserve">1908 year built with gut/rebuild 2016 and all systems updated. Lapse in coverage since 8/2018. Applicant thought prior insurance was too expensive and decided not to renew. Agent advised insured was unable to location any other coverage. No losses, applicant signed no loss statement as well. </t>
  </si>
  <si>
    <t>Looked at property online. Photos were from 2014 but property had broken windows, doors boarded, etc. Neighboring property and other properties across street and on same street had same condition. I know this property mentions it was updated, but with as many other properties in short distance to this with same issues, there is concern.</t>
  </si>
  <si>
    <t xml:space="preserve">Asked for more info on the repair. Advised our stance on open water claims. Asked for mold exclusion. Declined contents covg - not comfortable with recent roof and water claim. Asked to verify PC. PCQ says 20 min response for PC9??// Received info back. Not comfortable with open claim and repairs not started. </t>
  </si>
  <si>
    <t xml:space="preserve">We allow Burns to approve 20 min response time before referring.  With their exception criteria, I am comfortable using rate to approve this risk.  I used .65.  Has close neighbors. Moderate value.  Newer risk.  </t>
  </si>
  <si>
    <t>Reassigned to me at 3:18pm</t>
  </si>
  <si>
    <t>Reassignment notes - MP</t>
  </si>
  <si>
    <t>Bowers</t>
  </si>
  <si>
    <t>Bennington</t>
  </si>
  <si>
    <t>68007</t>
  </si>
  <si>
    <t>Approved subj to Total Business Excl. Maintain GL, confirm no large chem storage, no unattended wax warmers, no  tanning.</t>
  </si>
  <si>
    <t>At 2:53, Mitchell asked me to handle this one. Note in my CYB file regarding the times. This is just over 6 hours.</t>
  </si>
  <si>
    <t xml:space="preserve">Policy excludes professional services and business.. TBE and GL provide 2 addl layers of protection. No adverse online info for address or business. </t>
  </si>
  <si>
    <t xml:space="preserve">Approving subject to an additional surcharge. I think ACV roof is fine given 2002 age, unless roof is in very poor condition. SCU stated they have room to go up about $600 on the premium, which would be about an 8% surcharge. UPDATE 3/19/2019: Allison came back with an updated CLUE and there is a water loss from 10/2018 for $125,000 water line leak in upstairs bathroom. Claim is technically still open, waiting for final payouts, but all damages have been 100% repaired. Allison also asked if she could remove the ACV roof since it is tile. Approved with $25k water deductible and removing the ACV roof.  UPDATE 3/21/2019: revised info from agent advising that there are actually two water losses 10/2018 and 1/2019. Damage was found in other areas during repair of the 10/2018 claim. Looked to be poor installation of shower pans. Moving forward with water exclusion, mold and water backup. </t>
  </si>
  <si>
    <t>Cabell</t>
  </si>
  <si>
    <t>80911</t>
  </si>
  <si>
    <t>Declined risk due to loss history. Even with 5% w/h deductible, not comfortable with loss history.</t>
  </si>
  <si>
    <t>Mark &amp; Mary</t>
  </si>
  <si>
    <t>Nashotah</t>
  </si>
  <si>
    <t>53058</t>
  </si>
  <si>
    <t xml:space="preserve">2001 year built. Applicant is co-contractor, agent wants to provide liability. Provided prior carrier inspection, builders risk supp, and app. Inspection doesn’t show much of what is being done. Supp doesn’t mention what qualifications insured has to be co-contractor. </t>
  </si>
  <si>
    <t>Suzanne E Duffy Revocable Trust</t>
  </si>
  <si>
    <t>06510</t>
  </si>
  <si>
    <t>1908 year built. Partial updates to wiring, plumbing, heating in 2003 and 2008. Complete roof update in 2003. 3 family rental. 3 water losses - 1/4/2018 radiator cracked, water and steam damage $31k, 1/19/2018 pipe under kitchen sink let go causing water damage $7k, 8/2018 line to hot water heater burst $11k. Agent asked if $10k water deductible or exclusion should be applied. Also asked what to do with roof since it appears portion of it is flat.</t>
  </si>
  <si>
    <t xml:space="preserve">Since there are only partial updates, especially plumbing, approving subject to water damage exclusion. With the roof, it does appear sections are flat, and on RCE it says built-up tar and gravel is part of the roof covering which is used typically only for flat roofs. As such, applying the $5,000 roof and ensuing water deductible should apply also, and a completed OHQ. </t>
  </si>
  <si>
    <t>Piatt</t>
  </si>
  <si>
    <t>Caryn</t>
  </si>
  <si>
    <t>Overgaard</t>
  </si>
  <si>
    <t>85933</t>
  </si>
  <si>
    <t xml:space="preserve">1987 year built with only update to heating in 2000. Agent would apply roof exclusion. Lapse in coverage since 2016, applicant is getting home loan to do some remodeling/updating and needs insurance to get a loan. Primary heat source is a wall heater that blows air. Home is about 800 sq ft.  </t>
  </si>
  <si>
    <t xml:space="preserve">Applicant is only getting insurance because they have to, a bit of a concern. Due to combination of lapse and heat source we are going to decline. </t>
  </si>
  <si>
    <t>Little Compton</t>
  </si>
  <si>
    <t>02837</t>
  </si>
  <si>
    <t>Approved subject to OHQ, FRC, and rating as follows - 2 options: 1) rate as owner occupied with 10% surcharge to match rate of secondary rented 10-20 weeks, or 2) rate as secondary rented 10-20 weeks and override the description to read primary instead of secondary. Advised to still rate as two family, and to use HO rental form MPLH0179.</t>
  </si>
  <si>
    <t>County Home Cabin LLC</t>
  </si>
  <si>
    <t>46714</t>
  </si>
  <si>
    <t xml:space="preserve">2009 year built with complete updates to systems and roof in 2018. PC 10 with response time around 10 minutes. There is a pond near the property, support for FD. Season rental, with minimum of only 1 night rental. No public listing for the cabin, word of mouth primarily for family, friends, and sometimes clients. Total rental time of 6 weeks throughout the year. </t>
  </si>
  <si>
    <r>
      <t xml:space="preserve">Pending for current rate from VMGA. Emailed Partner. //  Referred to John for review of my rec to approve.  Appalachian is writing a lot with us, it's just at 15 min response time, roads are clear to the home, newer home, masonry with tile roof, csfb alarms.  I would ask the agent to give me the quoted premium and make sure we are getting at least .40 rate since this is pushing the limit of our response time. </t>
    </r>
    <r>
      <rPr>
        <b/>
        <sz val="11"/>
        <color theme="1"/>
        <rFont val="Calibri"/>
        <family val="2"/>
        <scheme val="minor"/>
      </rPr>
      <t>John approved. We should try to get .50. // I emailed agent 3/21 at 4:31 for the rate and confirmation of PC10. Haven't heard back// 3/22/19 advised agt of approval at .36 (agreed to by John).  // 3/27/19 John is out of the office this pm and tomorrow am. Agt advises they must get under $9,000 prem to sell.  Overall we are okay with this risk. I made an executive decision w/John out and agreed to go with .348 rate for total of $8,955. Only .012 less than we agreed on.  I emailed John to advise.</t>
    </r>
  </si>
  <si>
    <t>Just Douglas, LLC</t>
  </si>
  <si>
    <t>Kingwood</t>
  </si>
  <si>
    <t>77339</t>
  </si>
  <si>
    <t>Agent received no referral messages when quoting and just wanted to make sure everything was fine to offer since it was in Harris Co in TX.</t>
  </si>
  <si>
    <t xml:space="preserve">The risk was all within their guidelines and quoted correctly. Advised to consider ACV roof since roof was 22 years of age. </t>
  </si>
  <si>
    <t>Neal W O'Connor FLP</t>
  </si>
  <si>
    <t>Osterville</t>
  </si>
  <si>
    <t>02655</t>
  </si>
  <si>
    <t xml:space="preserve">2006 year built. No mention of alarms. PC info wasn’t provided so I ran the PC report. App has a few things missing. Pool answered as yes, and when looking online appears there is no fence. Also, no LLC quest was provided. Risk appears to be OK minus the missing info. </t>
  </si>
  <si>
    <t>Coplan</t>
  </si>
  <si>
    <t>Carole</t>
  </si>
  <si>
    <t>1979 year built with complete updates in 2013. Farm on premises, 5 acres, applicant has farm policy. They harvest grapes for wine. No employees or foot traffic. Outside contractor takes grapes and does all other processes at separate location. They have a commercial policy. Quoted with liability and TBE. WRS is 10</t>
  </si>
  <si>
    <t xml:space="preserve">Given that the only "work" that is done at the location is the growing of the grapes, and that all other handling/procedures are done at a separate location, I am comfortable with offering terms with liability and a TBE. Approved risk. </t>
  </si>
  <si>
    <t>Sigue</t>
  </si>
  <si>
    <t>Lynette &amp; Gabriel</t>
  </si>
  <si>
    <t>New Iberia</t>
  </si>
  <si>
    <t>70560</t>
  </si>
  <si>
    <t>1940 home completely gutted/updated in 2016. Foundation is pier &amp; beam, no enclosed in brick. Insd purchased in 2017. Has clear inspection.</t>
  </si>
  <si>
    <t xml:space="preserve">General question, but this does relate to a specific risk.  Advised Ryan of pier &amp; beam issues. We discussed on the phone and he is going to closely review the 2017 inspection and order a 3rd party inspection to make sure no issues. </t>
  </si>
  <si>
    <t>Previously submitted by Burns and declined for them.  AmWINS submitted and I didn’t realize until I logged this (before I replied) that this was the same risk! AmWINS did not have the level of info that Burns had.</t>
  </si>
  <si>
    <t>Yore</t>
  </si>
  <si>
    <t>Riverton</t>
  </si>
  <si>
    <t>84096</t>
  </si>
  <si>
    <t>2001 home on same property as insured's business.  Sawtooth Rifles LLC.  Insd assembles and gunsmiths riles and guns. Small parts manufacturing.  Detached building 15' from the home.  TBE and there will be a GL.</t>
  </si>
  <si>
    <t>Ryder</t>
  </si>
  <si>
    <t>Brighton</t>
  </si>
  <si>
    <t>80601</t>
  </si>
  <si>
    <t>1960 home updated. 2 prior losses. Insured is 18 years old, not employed. He has a trust fun managed by a business manager. Prior coverage expired 3/11/19. No hit ins score. Burns quoted w/5% s/c for lapse.</t>
  </si>
  <si>
    <t>Concern with lapse.</t>
  </si>
  <si>
    <t>Jakana</t>
  </si>
  <si>
    <t>Sam &amp; Tilda</t>
  </si>
  <si>
    <t>Coto de Caza</t>
  </si>
  <si>
    <t>1960 home w/updates. Insd has 4 water losses in 2017-2018. $1860-$8581. They purchased a leak detection/automatic shut off system; high deductible?</t>
  </si>
  <si>
    <t>Numerous questions re the plumbing, PC, pricing, Cov A. Will scrutinize due to value at almost $3M. Online realtor.com shows immaculate updated home.</t>
  </si>
  <si>
    <t>Zentz</t>
  </si>
  <si>
    <t>Jaime</t>
  </si>
  <si>
    <t>46202</t>
  </si>
  <si>
    <t>1920 home w/updates. 2 story dwelling. Insured lives on 2nd floor. 1st floor has 4 salon booths that are rented to the stylists. Considering a GL. Separate entrance.</t>
  </si>
  <si>
    <t xml:space="preserve">Recommended coml policy, lease 2nd floor back, HO4. Also ok'd HO policy w/TBE and GL. Exposure ok, 2nd entrance. Confirm no tanning, no large amt of chemicals. </t>
  </si>
  <si>
    <t>Rivera</t>
  </si>
  <si>
    <t>Jaime &amp; Beatriz</t>
  </si>
  <si>
    <t>Primary home and guest house w/separate addresses.  4 prior smoke/fire losses that are actually 2 losses.  WRS 31. PC1. Question about writing as 1 risk or 2 separate.</t>
  </si>
  <si>
    <t>Not comfortable with the loss history.</t>
  </si>
  <si>
    <t>48838</t>
  </si>
  <si>
    <t>2005 year built. Home has a daycare, licensed for 12 children. Additionally, there are 4H animals on premises (3 horses, 2 goats, 8 pigs, 9 rabbits, and 13 chickens. No farming, the animals are "for the kids". They do have a CGL for the daycare, would apply TBE.</t>
  </si>
  <si>
    <t>Berg</t>
  </si>
  <si>
    <t>Albuquerque</t>
  </si>
  <si>
    <t>67110</t>
  </si>
  <si>
    <t>Bello</t>
  </si>
  <si>
    <t>Linwood</t>
  </si>
  <si>
    <t>08221</t>
  </si>
  <si>
    <t xml:space="preserve">1960 year built that was DNOC due to condition of exterior siding. Around entire dwelling, there is missing paint and some rotted wood, agent provided photos. Appears to be in decent shape except for siding. Updates done 2000 plumbing, 2006 wiring, 2007 heating, and 2017 roof. Asked if they should do $10k water ded or do a water exclusion. </t>
  </si>
  <si>
    <t>Approved subject to full water exclusion, mold and water backup exclusion, also. Also made it a subjectivity that the exterior be repaired by the end of the first term.</t>
  </si>
  <si>
    <t>Tricia</t>
  </si>
  <si>
    <t>Anthea &amp; Robert</t>
  </si>
  <si>
    <t>1900? Year built. App says 1920 but inspection says 1900. Per inspection, systems have been updated within last 10 years. Agent is asking if they can quote with removing FRC, as they typically do for this specific agent.</t>
  </si>
  <si>
    <t>Advised what the guidelines are (pre 1945 not gutted and rebuilt, but have had updates, only FRC). Advised we may be able to make exceptions for risks that are much closer to the 1945 cutoff, but with this being 19001 and no mention of gut/rebuild, we will stay on the requirement of FRC.</t>
  </si>
  <si>
    <t>Giefer</t>
  </si>
  <si>
    <t>Steven &amp; Autumn</t>
  </si>
  <si>
    <t>Franktown</t>
  </si>
  <si>
    <t>80116</t>
  </si>
  <si>
    <t>Estate of Guner Blok</t>
  </si>
  <si>
    <t>Skokie</t>
  </si>
  <si>
    <t>60076</t>
  </si>
  <si>
    <t>Guner Blok recently passed away and home is now vacant. Lapse in coverage since 3/14/2019. The son believes entire property might have galvanized plumbing. They plan to remove soon because they want to rent it out. Bind request was for 3/27 but they were waiting for info on galvanized, want to know if they can use that date or today's date. Partial updates to systems and full roof update in 2017</t>
  </si>
  <si>
    <t>1967 year built with roof update in 2016 and heating in 1999, no other updates. 5 hail losses, 6/2014 $2k, 7/2016 $13k, 6/2018 $15k, 8/2018 $14k. SRD quoted with 5% w/h deductible. Hail damage score is 10 for past 7 years, Hail score came back as 5.</t>
  </si>
  <si>
    <t xml:space="preserve">Advised we would need to know what qualifications applicant has to be co-contractor. Also asked what is being done since photos in inspection didn’t show anything. Also advised that if we do move forward with an approval it would be with excluding liability due to insured being co-contractor. UPDATE 3/26/2019: Agent came back advising applicant used to do this as a business with Cresthaven homes, has done about 150 homes. Stated they were able to extend liability through homeowners. New flooring, cabinets, paint, railings, and a kitchen and master bath remodel. Approved terms subject to excluding liability. </t>
  </si>
  <si>
    <t>2017 home w/addition. Private entrance for one chair hair salon. Cut/color/wax. Business supplemental attached. Has GL. Agt quoted in Incidental Business program. Feel it is more exposure than that program contemplates.</t>
  </si>
  <si>
    <t xml:space="preserve">1865 year built with complete updates in 2003 to everything. Primary home that has two units. One is for the applicant full time owner occupied, the other unit is rented during summer months June-Sept. Agent wasn’t sure how to properly rate. </t>
  </si>
  <si>
    <t xml:space="preserve">They applied a 5% surcharge per the guidelines of rentals with minimum 2 nights or less. Since the risk isn't a publicly advertised location I am comfortable with the 1 night rental. Approving terms as quoted. </t>
  </si>
  <si>
    <t>Approved subject to completed and acceptable app, pool liab excl, confirmation of alarms and following appropriate guidelines, 3 star or better IS, and completed and acceptable LLC quest.</t>
  </si>
  <si>
    <t xml:space="preserve">Due to the combination of 12 children daycare and a larger number of animals that are for the children, we are passing on this risk. We feel, even with exclusions, that defense costs could be exorbitant if a loss occurs. </t>
  </si>
  <si>
    <t xml:space="preserve">1965 year built with full updates in 1995. Branch quoted subject to OHQ and it came back 90% copper with 2 aluminum circuit breakers. It was declined unless they were willing to replace prior to requested 4/14/2019 effective date. Agent came back with electrician invoice/comments that there is only one breaker tied to 30 amp 240 volt circuit for the clothes dryer and as such meets code. </t>
  </si>
  <si>
    <t xml:space="preserve">Lower value property, home is vacant for sale - don’t foresee clothes dryer being used at any point while vacant. Reassuring knowing an electrician looked a the system and confirmed it meets code. Approved terms as quoted and advised the invoice/comments from the electrician should be kept on file. </t>
  </si>
  <si>
    <t>Reviewed website. This is a class of business that represents an exposure we are not comfortable writing. Possible exorbitant defense costs.</t>
  </si>
  <si>
    <t>Business manager is clearly not doing their job; or if insd is responsible for paying the bills, he's not doing a good job. 18 y/o unemployed with a trust fund living in his own house.  Risk is in same town as a community college. Sounds like a bad situation.  It would take a lot to prove this is a stable situation; and considering age, it could take a turn at any time.</t>
  </si>
  <si>
    <t xml:space="preserve">Approved terms subject to a full water exclusion, mold exclusion, and water backup exclusion. Also subject to a favorable interior/exterior inspection. Advised that we will not use the 3/27 effective date and that a new signed no loss should be received with today's date as effective date. </t>
  </si>
  <si>
    <t xml:space="preserve">1999 risk w/update to entire HVAC system and a few shingles replaced. NRN by Farm Bureau due to losses. 4/16 $609 - insd trenching yard, hit a gas line. 8/18 $7600 a/c unit "fried" 7/18 - wind dmg to a few shingles $0. Has a pool slide w/fence. Pool exclusion applied. 60x40 bldg no heat, no plumbing, no woodstove, good condition. </t>
  </si>
  <si>
    <t>Pool excl required. s/c for losses,  info on metal building ok. No business use. Aerial photo shows trucks - no biz conducted on prem. Insd stores trucks there for dirt/sand/limestone business. Employees may come on and drive them off.  Ok to proceed subject to total business exclusion, pool exclusion (or remove slide). Insd also has a piping business, but I confirmed online it is not at this premise.</t>
  </si>
  <si>
    <t>Clauch</t>
  </si>
  <si>
    <t>Abby</t>
  </si>
  <si>
    <t>Glennville</t>
  </si>
  <si>
    <t>93226</t>
  </si>
  <si>
    <t>1978 year built with complete updates to heating and roof in 2019, partial updates to wiring and plumbing 2009. WRS 40. Primary heat source is a wood burning stove. Rated with correct surcharge for WRS.  IS is an R.</t>
  </si>
  <si>
    <t>OK with continuing with heat source as WBS since it is in a protected area. Approved subject to additional 10% surcharge due to heat source, completed and acceptable WBS quest and OHQ.</t>
  </si>
  <si>
    <t>Approved terms subject to rating as builders risk, which they had done but wanted to confirm. Subject to additional 5% surcharge due to mid-term COC on guest home, 5% surcharge due to number of animals and will only allow lowest limit of animal liability at $10,000</t>
  </si>
  <si>
    <t xml:space="preserve">This same risk was referred to us by SCU last week. Approved these terms the same that were approved for SCU. </t>
  </si>
  <si>
    <t>Chong</t>
  </si>
  <si>
    <t>Won Sook</t>
  </si>
  <si>
    <t>Marina Del Rey</t>
  </si>
  <si>
    <t>90292</t>
  </si>
  <si>
    <t>This is a $3.9M TIV risk located in CA that has a WRS of 6.</t>
  </si>
  <si>
    <t xml:space="preserve">Since our guidelines have been updated since last fall, we do not allow risks with over $3M TIV regardless of WRS. That guideline still applies and as such is ineligible. </t>
  </si>
  <si>
    <t xml:space="preserve">This was  a builders risk since 2017, main home just got finished. Detached guest home is being built now and should be done in a couple months. No change in exposure, will endorse off COC once done and will be primary. 3 dogs, all acceptable breeds, and 13 goats and a mule - all personal use and to keep grass low. Excluded animal liability but asked if they request to remove the exclusion would it be OK. Hail loss from 2016, caused full replacement of roof on the main home. UPDATE 4/3/2019: Allison came back asking if we can just insure the guest house, as applicant is able to insure main house through Chubb but they wont write the guest home. She applied 10% surcharge for tail end COC of guest home. </t>
  </si>
  <si>
    <t>Roubal</t>
  </si>
  <si>
    <t>Bellmar</t>
  </si>
  <si>
    <t>Tracy</t>
  </si>
  <si>
    <t>92028</t>
  </si>
  <si>
    <t>897 insurance score</t>
  </si>
  <si>
    <t>1988 home w/roof update in 2005. 3 prior water losses at prior condo. 12/15 $16,684 bathroom water line burst. 1/17 and 2/17 - liability paid to neighbors for water leak. $475 and $2,908.  Agt applying 40% surcharge based on new direction from 3/7/19.</t>
  </si>
  <si>
    <t>Excellent score.  Losses were all at prior condo.  Agreed not to s/c for any of the 3 losses due to score and due to it being a condo.  No damage to the insured's unit in 2 of the losses.</t>
  </si>
  <si>
    <t>Story</t>
  </si>
  <si>
    <t>Buhl</t>
  </si>
  <si>
    <t>83316</t>
  </si>
  <si>
    <t>Concern with score, losses, bankruptcy.</t>
  </si>
  <si>
    <t>Next to lowest tier score. Report shows broader info than what was provided. Home entered foreclosure and was part of bankruptcy.</t>
  </si>
  <si>
    <t>Jane</t>
  </si>
  <si>
    <t>40324</t>
  </si>
  <si>
    <t>2019 home, new purchase. Insd moving 2 businesses into the home. Personal training and art which includes classes, sales, and quarterly wine/paint or wine/yoga. $1M liab quoted.$5K AOP</t>
  </si>
  <si>
    <t>Concern with larger exposure in the home which we will likely end up defending - difficult to separate some of these classes from personal liability. Approved terms excluding liability, TBE, GL required for all business exposures including personal training, holistic oil sales, art classes, art sales, wine/paint and wine/yoga, and any other ventures.</t>
  </si>
  <si>
    <t>This was in the in box when I jumped in at 4pm (MJ leave early day today)</t>
  </si>
  <si>
    <t>Approved by John 4/4/19 via email.</t>
  </si>
  <si>
    <t>Zenizo</t>
  </si>
  <si>
    <t>Amy</t>
  </si>
  <si>
    <t>85712</t>
  </si>
  <si>
    <t>1955 home with full updates on all but plumbing. 90% partial 2015. Quoted w/water backup. 3/18 broken pipe by contractor - subrogated. 9/18 $10K theft from home. Insd is a midwife and sees 40 patients a month in 1 room in her home. Restroom also used. $10K business equip. No empl, but may have 1-2 students/assistants per year. Has prof liab policy. Quoted w/$300K liab.</t>
  </si>
  <si>
    <t>Referred to John for review 4/4/19.  Declined</t>
  </si>
  <si>
    <t xml:space="preserve">Despite possibly excluding liability, TBE, Prof Liab.  4 layers of exclusion - policy excludes prof services, excludes liab, TBE excludes everything, plus prof liab policy, defense costs could be monumental if there was a loss involving patient and/or a child.  </t>
  </si>
  <si>
    <t>Lewis</t>
  </si>
  <si>
    <t>Reed</t>
  </si>
  <si>
    <t>Soudan</t>
  </si>
  <si>
    <t>55781</t>
  </si>
  <si>
    <t xml:space="preserve">Declined risk due to the combination of the location and value. Unsure about the response time accuracy, and no alarms. </t>
  </si>
  <si>
    <t xml:space="preserve">Similar island risks like this we have approved at a rate around .60 per 100. Those risks, however, had actual FD on the island as well. </t>
  </si>
  <si>
    <t>Busler</t>
  </si>
  <si>
    <t>Adam &amp; Jennifer</t>
  </si>
  <si>
    <t>Margate</t>
  </si>
  <si>
    <t>08402</t>
  </si>
  <si>
    <t>1948 dwelling fully gutted and updated, new HVAC, new roof. $121K 1/14/18. Agt says loss is still open but all repairs are made. Carrier will automatically close 180 days after payments/repairs.</t>
  </si>
  <si>
    <t>Confirming that plumb/elec were replaced as part of the gut. If fully replaced, plumbing issue should be taken care of. Agt still quoted with $10K ded for water damage. Not a woodstove in shed. Utility pole behind shed per agt, confirmed in photos. Need to confirm rate - is there owner occupancy?</t>
  </si>
  <si>
    <t xml:space="preserve">Advised that the animal exclusion should apply, but if they ask to remove then it would be ok with an additional 5% surcharge due to # of animals and only allow lowest limit of $10,000. COC seems fine since main home is complete. Applied another 5% surcharge for being mid-term with the guest house. UPDATE 4/3/2019: Advised we will allow to just insure the guest home. She has it rated as HO3 builders risk still, and is including "guest home" in the location address. Asked if Chubb would extend liability for the guests home, and if so we would exclude liability. If not, we would want to apply a building exclusion for the main house and any other structures that would be covered under the policy for the main house. Asdvised that the animal liability subjectivities would still apply if they wanted to remove exclusion. UPDATE 4/8/2019: Chubb will offer laibility for entire premises, which would include gust home and barn. As such, approving terms to cover guest home on Cov A and barn on Cov B while excluding liability. </t>
  </si>
  <si>
    <t>Marx-Good</t>
  </si>
  <si>
    <t>Gretchen</t>
  </si>
  <si>
    <t>Elsberry</t>
  </si>
  <si>
    <t>63343</t>
  </si>
  <si>
    <t xml:space="preserve">1959 year built with updates to roof and electric mentioned in 2000. The applicant inherited this home, and there is an event venue on the premises for weddings. App indicated farming and animals, but confirmation from Burns there is no farming and there are some goats for personal use only. The venue is set away from the home, there are separate driveways to the home and the venue. Applicant also said that they will be putting up a fence around the home to further separate the property. There is a GL in place for the venue and they are working on separating the zoning so that the venue would be on a different address. </t>
  </si>
  <si>
    <t xml:space="preserve">1999 condo, referred due to 6 losses, 4 paid. SCU advised insured was not advised to not file small claims with prior agent, and advised with new agent they will make sure they do not do so. Claims are smaller. Applicant said he would have gladly paid for them himself had he known they would go against him in the future. 3/2017 $255 window leak, 10/2017 $7k smoke damage, 1/2018 $2700 water damage, 2/2018 $2700 water damage. </t>
  </si>
  <si>
    <t>SCU quoted with $10k AOP. Claims do not appear to be a concern and agent advised they would work with them on when to file claims. Approved terms as quoted.</t>
  </si>
  <si>
    <t>Walter</t>
  </si>
  <si>
    <t>39564</t>
  </si>
  <si>
    <t>Referred due to vacant dwelling with no alarms and unscheduled personal property limit of over $50k ($140,400). 1993 year built with roof update in 2015. No other concerns, however, there wasn’t mention of vacancy reason.</t>
  </si>
  <si>
    <t>Pended to confirm vacancy reason and length, and if there is anyone who monitors the property. The risk seems acceptable, but will most likely consider increasing the quoted theft and water deductibles of $2500 up to at least $5000</t>
  </si>
  <si>
    <t>DeRaimo</t>
  </si>
  <si>
    <t>Anthony &amp; Brenda Foreman</t>
  </si>
  <si>
    <t>Mount Pleasant</t>
  </si>
  <si>
    <t>38474</t>
  </si>
  <si>
    <t xml:space="preserve">The risk itself seems acceptable. Updated and online looks to be in good condition. They quoted with $1000 AOP, and per guidelines lapse with greater than 90 days requires at least $2500 AOP. Approved subject to increasing AOP to $2500, acceptable signed no loss, and additional 20% surcharge due to the lapse. </t>
  </si>
  <si>
    <t>Golden Valley</t>
  </si>
  <si>
    <t>55422</t>
  </si>
  <si>
    <t>1964 home w/little info on app. Insd is minor league hockey player. No adverse info per Google search by agent and me. Agt placing monoline liability policy.</t>
  </si>
  <si>
    <t xml:space="preserve">1945 year built with complete updates to systems and roof in 2015. Lapse in coverage for 2 years. Prior agent sent documentation to incorrect address and they didn’t realize there was a lapse until yesterday. </t>
  </si>
  <si>
    <t>No adverse info. No liab exposure.  Approved subj to acceptable completed app and OHQ. Need to clarify occupancy - app states both primary and tenant.</t>
  </si>
  <si>
    <t>Bobrow</t>
  </si>
  <si>
    <t>Fred &amp; Anjanette</t>
  </si>
  <si>
    <t>06517</t>
  </si>
  <si>
    <t>1925 home with major reno in 2005. CS alarms. 3 prior losses 1/19 wind blew neighbor's dead tree on insd home $3353, 6/18 sewer backup $9256, 1/18 frozen pipe $37315.</t>
  </si>
  <si>
    <t>Feel comfortable since the venue space is away from the home, separate driveway, and that they will be putting up a fence. Approved subject to TBE, GL in place and maintained for venue, and completed and acceptable OHQ. // MP Addl info from agent 4/10/19 This is a PC10, not a PC9 as MB originally approved. 12 minute drive time. Volunteer department.  Appears this will be close to our 15 and definitely within Burns 20 minute allowed response time.  Approved w/re-rate to PC10. This is a .67 rate.</t>
  </si>
  <si>
    <t>Seeing that water alarms have been installed makes this easier to review. They are all lower amounts, and Burns has AOP at $2500 with a water deductible at $5000. As such, approved terms. // MP 4/10/19 Burns added s/c for a hail loss originally believed to be covered by the condo assoc. It was actually paid under loss assessment. Also, they added EQ. Confirmed w/Bethany.</t>
  </si>
  <si>
    <t>This risk was also quoted and referred by Burns. Burns advised water leak alarm system was installed and quoted with $2500 AOP and $5000 water damage deductible. I approved those terms, but since no mention of water alarms in this referral I approved with the overall $10k AOP. // MP on 4/10 Burns advised that one of the hail losses was not $0 paid, it was $4400 paid under Loss Assessment.  I emailed Allison generically and let her know it came to our attention.</t>
  </si>
  <si>
    <t>Crowley</t>
  </si>
  <si>
    <t>Peter &amp; Patricia</t>
  </si>
  <si>
    <t>Bald Head Island</t>
  </si>
  <si>
    <t>28461</t>
  </si>
  <si>
    <t>2001 home on Bald Head Island. Not an outer banks island. Agt quoted w/2% wind ded. Prior loss. $400K 9/14/18 Hurricane. Roof and water damage. Attempting to have all repairs done by mid-May so they can rent for June 1.</t>
  </si>
  <si>
    <t xml:space="preserve">White  </t>
  </si>
  <si>
    <t>46702</t>
  </si>
  <si>
    <t>1949 dwelling w/updates. Response time under 15 min w/ 11 min drive plus volunteer FD. 60 acres of rented farming use-farm liab policy. No Cov B-barn excluded and covered elsewhere.</t>
  </si>
  <si>
    <t>Confirmed rental and future endorse to vacant when son moves out. Confirm 60 acres farmed for crops- no other use or animals. Require farm liab. There is no Cov B, so no barn coverage. Barn is insured elsewhere.</t>
  </si>
  <si>
    <t>Tabor</t>
  </si>
  <si>
    <t>53147</t>
  </si>
  <si>
    <t>Wendy</t>
  </si>
  <si>
    <t>Mangas</t>
  </si>
  <si>
    <t>Marcela</t>
  </si>
  <si>
    <t>Hollywood</t>
  </si>
  <si>
    <t>33029</t>
  </si>
  <si>
    <t xml:space="preserve">2019 year built (being reconstructed after total fire loss). Not clear as to whether COC has started or yet to start. AmWINS stated COC will be with another carrier but want to place HO3 with us afterwards. $200k+ fire loss, did not receive C&amp;O or fire marshal report. </t>
  </si>
  <si>
    <t xml:space="preserve">Pended asking for completed business questionnaire answering the missing questions. Advised at the least we will most likely exclude the other structures related to business, and further eligibility/subjectivities will depend on completed quest. UPDATE 4/11/2019: Updated supp indicated business is open april-october, busiest time being may with up to 25 people per day, other months are very minimal (0-5 per day, 0-10 per month). 1-3 seasonal part-time employees. Approved terms with building exclusion for business structures, GL in place and maintained and confirmation that employees do not perform work at the home. </t>
  </si>
  <si>
    <t xml:space="preserve">Advised that the home itself appears to be a very good risk, in great condition. No concern with the pool, property is fenced. However, need more info on liability loss in order to review further. Also asked to clarify protection class since inspection shows no hydrant within 1,000 feet. Mentioned updated app will be needed to confirm everything is accurate, such as pool question. UPDATE 4/11/2019: liability loss was applicant arrested for 1st degree murder, 4 grand jurys and 1 prelim hearing before everything was dropped. Used insurance to cover legal ccosts. Declined due to loss history. </t>
  </si>
  <si>
    <t>Baltes</t>
  </si>
  <si>
    <t>Israel</t>
  </si>
  <si>
    <t>Homestead</t>
  </si>
  <si>
    <t>33030</t>
  </si>
  <si>
    <t xml:space="preserve">2008 home. Insured has horses. Taken to exhibits and competitions and they sell them.  Fence separating horses from home. No animal liability. </t>
  </si>
  <si>
    <t xml:space="preserve">Dostal </t>
  </si>
  <si>
    <t>Susan &amp; Ralph F Jr</t>
  </si>
  <si>
    <t>02568</t>
  </si>
  <si>
    <t>2005 home w/ prior $100K water damage loss from burst pipe in 2018. No mold quoted. Water backup quoted. Claim closed. All Damage repaired. Agt looking to stay with the quoted rate to beat competition.</t>
  </si>
  <si>
    <t>Potosi</t>
  </si>
  <si>
    <t>53820</t>
  </si>
  <si>
    <t>2006 home currently with no alarms. Confirmed PC9. 9 minute drive time confirmed by volunteer PD. Some gravel but accessible year round.  Quoted $5428 = .26 rate. Lapse since Feb 19. No ins score provided. Log cabin w/wood shake roof - 13 years old.</t>
  </si>
  <si>
    <t>469 ins score</t>
  </si>
  <si>
    <t>Goolsby</t>
  </si>
  <si>
    <t>34465</t>
  </si>
  <si>
    <t xml:space="preserve">1999 home w/updates. Had prior total fire loss on TN home 1/1/17 $305K. Fire Marshal report provided. </t>
  </si>
  <si>
    <t>FM report indicates some suspicious cause. Poor score. Insd was 2 mtg payments behind, had lost TN business, was living in GA, and was getting ready to put the TN house on the market.</t>
  </si>
  <si>
    <t>Trying not to pend if we don't have to.  Felt ok offering terms subject to:  Response time estimated 15-20 min. I doubled the rate to .50. Didn't feel ok going all the way to .60. For CSFB, 10% credit per excel rater. Insd said they are probably installing CSFB. 13 year old cabin w/wood roof ok. Need acceptable reason for lapse of 2 months. // 4/12/19 per Jill, J score (OK) and lapse was non pay. 2 month lapse is OK.</t>
  </si>
  <si>
    <t>Approved subj to, but told Barbara we should probably resolve questions before offering terms (although rate only is okay).  Ensure repairs completed. Agt addressed w/$10K water damage ded, no sewer backup, no mold. Need conf that reno included plumb/elec to feel comfortable with RC/ERC. That would indicate probably gut. (This work was prior to their purchase.)  Need to clarify roof situation. May need to be excluded due to age. // 4/12 Barbara advised they got terms without ACV roof.</t>
  </si>
  <si>
    <t>Webb City</t>
  </si>
  <si>
    <t xml:space="preserve">MO </t>
  </si>
  <si>
    <t>64870</t>
  </si>
  <si>
    <t>1906 commercial building now being used as primary residence. Agt to order insp, EHP, confirm no losses, confirm no coml use, confirm coml neighbor.</t>
  </si>
  <si>
    <t xml:space="preserve">Burns consistently states that they do not want to change Cov A until they get the inspection back so they don't have to make changes twice.  </t>
  </si>
  <si>
    <t>Asked for confirmation of condition and reno completed. Also need to verify size, covg, Cov A.  Need 100% ITV of ACV or RC.</t>
  </si>
  <si>
    <t xml:space="preserve">Verified a horse sale is very rare. Insd has 6 horses. No other coverage. Our cutoff is 5. Offered to give minimum animal liab ($10K) with 10% surcharge due to # of animals. Apply TBE to be sure. </t>
  </si>
  <si>
    <t xml:space="preserve">Need 3% wind ded. Asked questions about interior repair still pending. Concern of taking on water damage/mold that hasn't been completely remediated/repaired. Rated via CQ. Bald head island has FD 4 mins from insd property. Volunteer. Response time &lt;15 min.   $0.58 rate per CQ. Increase to .60 rate. // Beadboard left to install. Not Builders Risk. Increased rate. </t>
  </si>
  <si>
    <t>Reviewed with John. Approval in file.</t>
  </si>
  <si>
    <t>Good risk, one loss. Newer. Ok'd with $10K water ded and require inspection for proper insulation. Allowed water backup since newer home and loss unrelated. Agt was competing w/prior carrier and wanted to help them win.</t>
  </si>
  <si>
    <t>Randy</t>
  </si>
  <si>
    <t>Oberlin</t>
  </si>
  <si>
    <t>67749</t>
  </si>
  <si>
    <t>1900 commercial building being used as a primary residence (2nd floor) and storage (1st floor).  Between beauty shop and hardware store. Applying FRC. Fully updated in 05. No losses. Ins score B.</t>
  </si>
  <si>
    <t>Submitted risk sounds fine. Asked for confirmation of possible issues. Mailing CA/Dwelling KS. No business. Use. Any constr/reno. Confirm size/Cov A. (Ok at inspection.) Completed app and OHQ. Liab ok with risk as it is. Roof is likely flat, but was updated in 2005, so there are no issues to follow up on.</t>
  </si>
  <si>
    <t>Ronald &amp; Tammi</t>
  </si>
  <si>
    <t xml:space="preserve">Gibralter </t>
  </si>
  <si>
    <t>48173</t>
  </si>
  <si>
    <t>R=10% surcharge</t>
  </si>
  <si>
    <t>1942 home on Detroit River. Ins score R. Had covg with Progressive. Allowed it to lapse. Had significant wind loss that was not covered. Replaced roof out of their own pocket. Hasn't had insurance in 2 years because they could not afford it.</t>
  </si>
  <si>
    <t>2 year lapse, low ins score. Couldn't afford insurance, why now? $3,227 premium.</t>
  </si>
  <si>
    <t>Weidman</t>
  </si>
  <si>
    <t>Scott &amp; Robin</t>
  </si>
  <si>
    <t>Dayton Beach</t>
  </si>
  <si>
    <t>32114</t>
  </si>
  <si>
    <t>Mobley</t>
  </si>
  <si>
    <t>Live Oak</t>
  </si>
  <si>
    <t>32060</t>
  </si>
  <si>
    <t>Quote only provided. Need app.</t>
  </si>
  <si>
    <t>Lutz</t>
  </si>
  <si>
    <t>William Alexander</t>
  </si>
  <si>
    <t>30528</t>
  </si>
  <si>
    <t>2019 home 13 miles from coast. Ins Score C. Applicant is NFL kicker for New Orleans Saints. Quoted with $50K liab.  New purchase.  Blank uw questions.</t>
  </si>
  <si>
    <t>No adverse info on google. Due to high profile, approve x-liab. New home. Location okay.</t>
  </si>
  <si>
    <t>1947 home w/updates. Has prior wind coverage and force placed fire coverage since 8/30/17.  Prior leak 9/16 and hurricane loss $22K 10/16. Still some ceiling spots to be repaired. Insds going thru divorce. Mr now in home. Wants own policy vs. force placed.</t>
  </si>
  <si>
    <t>Wind only is not prior coverage.  Need to know how long without fire/liab. Why now? Needs to be a good ins score. Insd let the interior damage sit unrepaired. Need to gain a comfort level with this and make sure not a morale hazard.//MP 4/17/19 Divorce situation. Mr now in home - wants own policy vs. force placed. Addl 15% on top of system 10% for lapse. Charge for 2 losses. No mold, no water bu, existing damage excl. Water damage to ceilings must be repaired before coverage can be bound. Flat roof appears to be 2016.</t>
  </si>
  <si>
    <t xml:space="preserve">Baroda </t>
  </si>
  <si>
    <t>49101</t>
  </si>
  <si>
    <t>5X</t>
  </si>
  <si>
    <t>80220</t>
  </si>
  <si>
    <t xml:space="preserve">1925 home with full updates. 4 losses. Utility pump 6/26/17 $7K, Tub drain 10/17 $0, 10/18 Shower pipe leak $8245. Sewer line 1/19 $513. Quoted w/$10K water damage ded. Ins score K. </t>
  </si>
  <si>
    <t>Got submission from RPS Cov on 4/18/19.</t>
  </si>
  <si>
    <t>Got submission from Burns on 4/16/19.</t>
  </si>
  <si>
    <t>James &amp; Nancy</t>
  </si>
  <si>
    <t xml:space="preserve">Link to drive time - 15 min:  https://www.google.com/maps/dir/2645+E+Timpanogos+Ct,+Kamas,+UT+84036/wasatch+fire+department+heber+city/@40.6544688,-111.4523667,13z/data=!3m1!4b1!4m13!4m12!1m5!1m1!1s0x87520e9b98c290ed:0x35fc727f8dd5b5c!2m2!1d-111.3723055!2d40.629248!1m5!1m1!1s0x87520d1913b69f2b:0xbd761669369d3fc8!2m2!1d-111.4471639!2d40.6335892                                             Paid &amp; Volunteer FD. Should be close to the drive time. When complete, home will have hydrants and gated community. Licensed/insured contractor responsible for some losses during building phase. Getting prem for $3.65M structure which will be in progress.  Dwelling only, so rate per $100 is strong.  I feel comfortable with going with the system quoted prem for this PC10 risk even though response time may be a couple of minutes higher.  </t>
  </si>
  <si>
    <t>Aldrich</t>
  </si>
  <si>
    <t>Roger &amp; Judy</t>
  </si>
  <si>
    <t>Sitka</t>
  </si>
  <si>
    <t xml:space="preserve">AK </t>
  </si>
  <si>
    <t>99515</t>
  </si>
  <si>
    <t>2017 secondary used by 2 families. (No prior coverage listed. No indication of new purchase.)  Home is on an island. Response time by paid &amp; volunteer FD varies based on tide and weather conditions. Serviced by 1 boat w/pumper. Agt quoted with .38 rate.</t>
  </si>
  <si>
    <t>Due to having to take a boat and response time affected by tide/weather, assume this may be inaccessible at times. Higher value is a concern. We have used .60-.90 rate for some PC10, but don't feel comfortable with this at any price.</t>
  </si>
  <si>
    <t>Keener</t>
  </si>
  <si>
    <t>Aleatha</t>
  </si>
  <si>
    <t>New Smyrna Beach</t>
  </si>
  <si>
    <t>32168</t>
  </si>
  <si>
    <t>1967 home updated. Insd has dog boarding business on premises run out of a separate structure. Has GL and Prop on the business.</t>
  </si>
  <si>
    <t>Confirm updates - app doesn't list. Viewed aerial view of home property which shows adequate separation of home and business. Barn behind home accounts for $25K Cov B. With separation and GL/Prop in place and TBE, concerns are minimal.</t>
  </si>
  <si>
    <t>1900 church being renovated to B&amp;B. Orig approved by Bethany. Construction now starting. No vandalism-photo in insp shows start of tearout. Mechanicals will be upgraded. Insp shows no issues. $1M is 100% of completed value. Okay to apply TBE. 5X PC confirmed.</t>
  </si>
  <si>
    <t xml:space="preserve">Inspection shows acceptable risk. No excl needed. Verify one room in photos. Need 100% ITV. Apply TBE in case conversion doesn't happen promptly. Need PCQ. // MP 4/19/19 All concerns satisfied. Verified response time/drive time on google. </t>
  </si>
  <si>
    <t>Gurzynski</t>
  </si>
  <si>
    <t>Tomasz</t>
  </si>
  <si>
    <t>Orlando</t>
  </si>
  <si>
    <t>32832</t>
  </si>
  <si>
    <t>Kassebaum</t>
  </si>
  <si>
    <t>68521</t>
  </si>
  <si>
    <t>1998 home. Insured does personal training in home. 5 clients per week trained in living room. Has Markel CGL for the business. 6/22/18 loss filed 9/7/18 under Markel CGL FTG4268. Dog is an Akita. Insd is keeping the dog and will continue training clients in the home.</t>
  </si>
  <si>
    <t>Akita = dangerous/excluded. Keeping dog. Continuing business. Any future bite could be absolute liability and we could be called to defend regardless of coverages on policy.  Could be exorbitant defense costs.</t>
  </si>
  <si>
    <t>Hemingford</t>
  </si>
  <si>
    <t>69348</t>
  </si>
  <si>
    <t>Lengthy lapse was purposeful and now wants coverage because losses are increasing in area. Longer response time due to volunteer and 12 mile drive time.  Flat/metal roof. Inadequate water supply per PC. Large structure.</t>
  </si>
  <si>
    <t>1962 converted school bought in 2010. Insured renovated. No insurance since. Now wants because of increase of tornado and hail incidents in the area. School has part metal/part flat roof. Great Pyrenes animal. 12 mi to volunteer FD. Connected shop per diagram. B ins score. Agt will add 20% s/c.</t>
  </si>
  <si>
    <t>Pasley</t>
  </si>
  <si>
    <t>Miami Gardens</t>
  </si>
  <si>
    <t>33055</t>
  </si>
  <si>
    <t>1958 home with prior losses. 11/1/17 Pipe leak, 12/15/17 mildew, 12/15/17 pipe leak under kitchen floor. Current claim is open. Curr carrier nonrenewed.</t>
  </si>
  <si>
    <t>We don't like to come in the middle of a water damage claim where repairs have barely started. If more damage is found, it could come back on us.</t>
  </si>
  <si>
    <t>Alperowitz</t>
  </si>
  <si>
    <t>Manachen</t>
  </si>
  <si>
    <t>Sioux Falls</t>
  </si>
  <si>
    <t>57108</t>
  </si>
  <si>
    <t xml:space="preserve">Confirm no water backup due to loss. Repairs/closed. Exclude liab due to classes and activities on premises.  </t>
  </si>
  <si>
    <t>Britton</t>
  </si>
  <si>
    <t>Kirbyville</t>
  </si>
  <si>
    <t>65679</t>
  </si>
  <si>
    <t>Independence</t>
  </si>
  <si>
    <t>64058</t>
  </si>
  <si>
    <t xml:space="preserve">Approved last year by Kirsten-quoted as in home business-x-mass tree family November-dec, $70K per year income. </t>
  </si>
  <si>
    <t>O insurance score</t>
  </si>
  <si>
    <t>Steve &amp; Jackie</t>
  </si>
  <si>
    <t>Crawfordville</t>
  </si>
  <si>
    <t>32327</t>
  </si>
  <si>
    <t>2019 new build. Dwelling with carport on either side. Metal siding similar to a barn roofline. 44 acres, no farming.</t>
  </si>
  <si>
    <t>Okay with metal siding. Asked questions to confirm prof constr and no WBS.</t>
  </si>
  <si>
    <t>Winkler</t>
  </si>
  <si>
    <t>Vennor City</t>
  </si>
  <si>
    <t>08406</t>
  </si>
  <si>
    <t>1900 duplex. Insured owns and lives in one half. Other half is owned/occupied by someone else. Updates all in 2013. Will add new HVAC and roof with this reno. One contractor is adding a 2nd story to both sides of the duplex. Other owner has builders risk ins.  Prior losses 11/15 tree fell on neighbors roof $3938.  7/14 Theft. $2297.</t>
  </si>
  <si>
    <t>Prior losses 11/15 tree fell on neighbors roof $3938. Over 3 years. No follow up. 7/14 Theft. $2297. Over 4 years. Low amt. No follow up. BR app shows 100% ITV.</t>
  </si>
  <si>
    <t>Gaubert</t>
  </si>
  <si>
    <t>Elizabeth &amp; Steve</t>
  </si>
  <si>
    <t>New Albany</t>
  </si>
  <si>
    <t>43054</t>
  </si>
  <si>
    <t xml:space="preserve">1998 home w/updates. Insd paid cash for home on 4/17/2019 and they didn't think about getting insurance. They realized they needed it an now have a lapse while checking around. No alarms </t>
  </si>
  <si>
    <t xml:space="preserve">I ran reports - very good ins scores </t>
  </si>
  <si>
    <t>Need $10K ded for no alarms. Need signed statement. Existing damage excl. Complete uw questions on app. Just a few day lapse. Have seen this happen for cash purchases.</t>
  </si>
  <si>
    <t>Grayless</t>
  </si>
  <si>
    <t>80538</t>
  </si>
  <si>
    <t>1998 home w/roof update. 3/13/19 sump pump failure.  Daycare w/4 children - will be more. Bible studies and mom&amp; me classes. Has CGL for daycare and religious activities.</t>
  </si>
  <si>
    <t>Bit client on the back of the neck. Per insd, client wanted dog to be in house during training session. (not an excuse)  Akita is excluded breed=dangerous. Forwarded info to Dawn Denzler-Trace (contact per Corporate Pol Prefix List) that insured is keeping the dog per the PL submission, and that we declined. // Markel commercial advised they will be non-renewing the risk.  They do not take in home business risks in this class.</t>
  </si>
  <si>
    <t>1997 log home on 64 acres. Gated community 16.3 mi from FD with 33 min drive time on partially paved and unpaved roads. May not be accessible year round. Inadequate water supply.</t>
  </si>
  <si>
    <t>Likely to be a total loss $838K TIV. This is outside the guidelines we set for longer response times.</t>
  </si>
  <si>
    <t>Erie</t>
  </si>
  <si>
    <t>80516</t>
  </si>
  <si>
    <t xml:space="preserve">1980 geodesic home w/full roof update in 1990. They "replace damaged shingles every year." No losses at this loc. In flood zone. Has a floating foundation. </t>
  </si>
  <si>
    <t>Ins score B</t>
  </si>
  <si>
    <t>We don't do geodesic homes due to valuation concern. On this one, concerned w/roof and floating foundation/flood zone.</t>
  </si>
  <si>
    <t>Asked for app and lapse info.  Insd has several properties. Came in to review to find this one was not covered. Lapse since 2017. 4 star ins score. Had a septic loss at another tenant occupied dwelling. Asking for update info, clarif of claim. (Agt says pipes replaced, offered no mold, higher water ded.) // 4/23/19 received addl details. Loss was at diff rental loc. Home updated fully 12 years ago. No galvanized.</t>
  </si>
  <si>
    <t>Salter</t>
  </si>
  <si>
    <t>William J</t>
  </si>
  <si>
    <t>Dick</t>
  </si>
  <si>
    <t>Reno</t>
  </si>
  <si>
    <t>89510</t>
  </si>
  <si>
    <t xml:space="preserve">1979 home w/updates. No alarms. "Horse property" quoted excluding liability. 27 miles to FD. 30 min response time per app. </t>
  </si>
  <si>
    <t xml:space="preserve">Possibly up to 50 min response time. Outside our comfort for $600K TIV. </t>
  </si>
  <si>
    <t>Ins score H.  Did not list further issues: Need full detail of horse, farm, Cov B, hay storage, WBS per app, uw questions not complete.</t>
  </si>
  <si>
    <t>Georgina</t>
  </si>
  <si>
    <t>Refined Custom Builders LLc</t>
  </si>
  <si>
    <t xml:space="preserve">Houston </t>
  </si>
  <si>
    <t>77056</t>
  </si>
  <si>
    <t xml:space="preserve">2018 new build. Vacant and up for sale.  LLC app ok. Elevator and eligible pool. </t>
  </si>
  <si>
    <t>Reviewed online sources as well as inspection. No liab hazards. Add 10% s/c for incr hazard of pool at a vacant/for sale dwelling.</t>
  </si>
  <si>
    <t>Vacant line of business is very profitable for Markel.</t>
  </si>
  <si>
    <t>Neitzel</t>
  </si>
  <si>
    <t>49423</t>
  </si>
  <si>
    <t>2008 home owned by 3 siblings used seasonally w/rental.  Rental quest and LLC okay.  Alarm info left blank.</t>
  </si>
  <si>
    <t>Ins score F</t>
  </si>
  <si>
    <t>New build after total fire loss caused by stuffed animal leaning against furnace. Insureds rebuilding, divorcing, and selling the home. 6 month vacant policy quoted. 4/27/19 nonrenewal date.</t>
  </si>
  <si>
    <t>Pool may be too much liability with other issues. Asked for photos of pool &amp; slide. Verify horse exposure. Verify use/storage of man cave. Condition of other str. Hay? Verify PC. Has 3 mortgages, need info. // 4/25 Agt came back with full details and I approved. Liab is excluded. Pool is ineligible. Cov B structures are in good condition. No interior hay storage. Advised 100% ITV. Appears to only be 2 mortgages. Home is up for sale.</t>
  </si>
  <si>
    <t>H insurance score</t>
  </si>
  <si>
    <t>Creager</t>
  </si>
  <si>
    <t>46807</t>
  </si>
  <si>
    <t>1900 frame home w/updates. Looks nice per pics. Numerous issues from prior insp 1 year ago. No Cov B quoted. Per insp, no hydrant. Per insp, Cov A is $665,000. Business coverage w/Cincinnati Ins.  TBE quoted.</t>
  </si>
  <si>
    <t>J ins score</t>
  </si>
  <si>
    <t>Per aerial online photo, good separation of business and dwelling. PC s/b 10. Drive time still within 15 min.  Cov A s/b $665. With TBE and GL, exposure reduced.</t>
  </si>
  <si>
    <t xml:space="preserve">Kass  </t>
  </si>
  <si>
    <t>83002</t>
  </si>
  <si>
    <t xml:space="preserve">1994 home with CSFB. URQ says not accessible year round. Says 2.7 mile FD w/10 min response. </t>
  </si>
  <si>
    <t>A ins score</t>
  </si>
  <si>
    <t>Not accessible year round, high value. Probably 17 min response time. Not comfortable with exposure.  Also, this is PC10 per address check online. Horse property per pics.</t>
  </si>
  <si>
    <t>Nolen</t>
  </si>
  <si>
    <t>Scott &amp; Patricia</t>
  </si>
  <si>
    <t>Benson</t>
  </si>
  <si>
    <t>85602</t>
  </si>
  <si>
    <t>1952 updated home. FRC. 40 min response time. Quoted w/20% s/c.</t>
  </si>
  <si>
    <t>C ins score.  Verified drive time to be 28 min, 15.7 mi.</t>
  </si>
  <si>
    <t>No backup or mold. Good ins score.  Losses all caused water damage, but are all various issues.  All under $10K.  EHP required per guidelines.// 4/25/19 req to incr cov A to $275,000 approved.</t>
  </si>
  <si>
    <t>Kevin &amp; Darcie Patrick</t>
  </si>
  <si>
    <t>29926</t>
  </si>
  <si>
    <t>Home with prior fire loss. 6/28/18 $223K gutted and repaired. Closed and repairs complete. Lloyds is nonrenewing. Fire Marshal report shows accidental. Agt will require CSFB and fire extinguisher.</t>
  </si>
  <si>
    <t xml:space="preserve">John reviewed the fire marshal report and we agree, cause is accidental. Called/emailed Zach agt 4/25/19 for Ins score. It is 5 star B. </t>
  </si>
  <si>
    <t>Gut and rebuilt home like new. Accidental fire. Excellent ins score.</t>
  </si>
  <si>
    <t xml:space="preserve">Ins score O.   </t>
  </si>
  <si>
    <t>Declined on 4/24 - Cause of loss indicates carelessness. // 4/25 Burns requested reconsideration. They already approved it with the branch. // John and Danielle discussed and we are sticking with the decline.</t>
  </si>
  <si>
    <t>O'Neil</t>
  </si>
  <si>
    <t>Kevin &amp; Lisa</t>
  </si>
  <si>
    <t>Parma</t>
  </si>
  <si>
    <t>83660</t>
  </si>
  <si>
    <t>Advised we would be willing to approve only with excluding liability, due to BMX track, unfenced pool and driving range. Also, there was a note about responding FD being over 5 miles, and if that was the case they need to rate as PC 10.</t>
  </si>
  <si>
    <t>Longino</t>
  </si>
  <si>
    <t>Fred</t>
  </si>
  <si>
    <t>Lonsdale</t>
  </si>
  <si>
    <t>72087</t>
  </si>
  <si>
    <t xml:space="preserve">2019 year built metal building that has a living residence for the applicant and a personal shop that is used to store ATVs, personal projects, etc. There are 6-10 cattle on the property for personal use. </t>
  </si>
  <si>
    <t>Giombetti Family Irrevocable Trust</t>
  </si>
  <si>
    <t>Mashpee</t>
  </si>
  <si>
    <t>02649</t>
  </si>
  <si>
    <t xml:space="preserve">1984 year built, earth home that is built into the land on three sides and one side open. Roof is covered by stone and has vegetation, being non-renewed due to type of home. Partial updates to wiring 2007, plumbing 2010, and roof 2012. </t>
  </si>
  <si>
    <t xml:space="preserve">Approved subject to a roof inspection due to flat roof to confirm age and condition, completed and supplemental heat questionnaire as noted by Barbara, and reminded that the HO3 policy has landslide, mudslide or mudflow exclusion and cant be removed. </t>
  </si>
  <si>
    <t>Tomasvewski</t>
  </si>
  <si>
    <t>Laura &amp; Todney Dunlap</t>
  </si>
  <si>
    <t>80440</t>
  </si>
  <si>
    <t>2001 year built, log home. Was submitted last year to us but went with Chubb, who is non non-renewing due to no installed CFSB alarms. Rated with $10,000 AOP due to this. Rated as secondary but applicant's son lives there full time. Full roof update in 2017.</t>
  </si>
  <si>
    <t xml:space="preserve">Everything was rated property, and did not see any other concerns. As such, approved terms as quoted. </t>
  </si>
  <si>
    <t>Arvada</t>
  </si>
  <si>
    <t>80003</t>
  </si>
  <si>
    <t>Holder</t>
  </si>
  <si>
    <t>Don C &amp; Jana D</t>
  </si>
  <si>
    <t xml:space="preserve">WRS 6. Not eligible due to TIV guidelines. TIV over $3M in CA is not eligible. </t>
  </si>
  <si>
    <t>Risk not eligible per TIV guidelines</t>
  </si>
  <si>
    <t>Dorsett</t>
  </si>
  <si>
    <t>33330</t>
  </si>
  <si>
    <t xml:space="preserve">2000 year built with full plumbing update in 2017. C/S alarms. Applicant plays in the NFL for the New England Patriots. Was quoted with liability and personal injury coverage. </t>
  </si>
  <si>
    <t xml:space="preserve">Approved subject to a liability exclusion, which would also include personal injury. There were no concerns found with profile of applicant, however, since they are still a fairly high profile we want to exclude liability. </t>
  </si>
  <si>
    <t>William &amp; Svea</t>
  </si>
  <si>
    <t xml:space="preserve">1933 year built with complete updates to systems in 2007 and partial roof in 2015. Applicant purchased dwelling 10/2018 with cash and did not seek insurance until now. Will be doing large remodel but will be 6 months to a year before that starts. Estimated roughly an additional $2,000,000 will be added to coverage A when completed, will not live in home during remodel. </t>
  </si>
  <si>
    <t>2019 new build. 350' away from insureds Aviation Mechanics training center. Scrutinized # of students, accommodations, storage, etc.  All sounds within reason.  Has a coml policy on building and liab.</t>
  </si>
  <si>
    <t>Tramontano</t>
  </si>
  <si>
    <t>Greenwich</t>
  </si>
  <si>
    <t>06830</t>
  </si>
  <si>
    <t xml:space="preserve">New build. Agt verified PC 3/3. Agt requiring alarms asap. </t>
  </si>
  <si>
    <t>Ok subj to Builders Risk Supp, complete and acceptable. Alarm installed asap. New construction at this TIV meets our criteria.  Insured lives in the area.</t>
  </si>
  <si>
    <t>Grau</t>
  </si>
  <si>
    <t>Laurl</t>
  </si>
  <si>
    <t>19128</t>
  </si>
  <si>
    <t xml:space="preserve">1930 home updated except electric is partial and has knob &amp; tube in attic. Aft says insd is closing, moving in, and will update in 30 days. Rush inspection. </t>
  </si>
  <si>
    <t>If knob &amp; tube is inactive, okay to bind and have electrician remove inactive wiring in 30 days. If active, risk is ineligible per guidelines. 30 days is too long for active k&amp;t.</t>
  </si>
  <si>
    <t>We have made exceptions before for new closings.  The electrician must be the first one in the house the day of or after closing. Circuits cannot start being used until the k&amp;t wiring is removed.  We will wait to see if they ask for it.  I don't want to promote approvals for this situation.</t>
  </si>
  <si>
    <t>Richard &amp; Ileana</t>
  </si>
  <si>
    <t>Tetonia</t>
  </si>
  <si>
    <t>83452</t>
  </si>
  <si>
    <t>No app, info to follow. Referred due to TIV/PC and $10K ded due to no central station alarm.  Is NEST ok?</t>
  </si>
  <si>
    <t>Need app to consider. PC App available (if not this can be subj). Confirmed NEST self-monitor does not qualify as CSFB. Must have direct call to fire/police. Ok'd providing $5K ded for info purposes.</t>
  </si>
  <si>
    <t>Bruce &amp; Myrna</t>
  </si>
  <si>
    <t>Edgartown</t>
  </si>
  <si>
    <t>02539</t>
  </si>
  <si>
    <t xml:space="preserve">2007 home w/ 6/1/18 water damage claim $300K. Mice chewed through the central line to the dishwasher. Home is now winterized and there is a water sensor. Caretaker also. </t>
  </si>
  <si>
    <t>Water sensor (not shutoff). They winterize home. Need PC App. Has CSFB per Kyle. Confirmed in subj that it is both CSF and CSB. Newer home, sensor, and caretaker, good situation. Not a pipe break - rodent issue.</t>
  </si>
  <si>
    <t>Castelluccio</t>
  </si>
  <si>
    <t>Stratford</t>
  </si>
  <si>
    <t>06615</t>
  </si>
  <si>
    <t>1923 home fully updated will be lifted/raised/elevated to meet FEMA requirements. Can we write a policy while the lifting is being done?</t>
  </si>
  <si>
    <t xml:space="preserve">Not comfortable while the lift/raise/elevate is in process, but we can write when it is done if done professionally (follows past approvals) </t>
  </si>
  <si>
    <t>Afton</t>
  </si>
  <si>
    <t>Terry</t>
  </si>
  <si>
    <t>Kent City</t>
  </si>
  <si>
    <t>49330</t>
  </si>
  <si>
    <t>1963 home w/updates. FD is 5.6 miles away/9 min drive time. No PCQ. Excavation on premises. Employees are his children. No clients on premises. Shared driveway. Commercial policy in place.</t>
  </si>
  <si>
    <t>Total business excl., maintain coml policies, PCQ to confirm responding FD is Solon Twp FD 5.6 miles away. No client or empl exposure, pole barn and business liab excluded by TBE. No concerning online info about business operations.</t>
  </si>
  <si>
    <t>Lojka</t>
  </si>
  <si>
    <t>81438</t>
  </si>
  <si>
    <t xml:space="preserve">High value w/longer response time. </t>
  </si>
  <si>
    <t>1996 log home w/metal roof on 59 acres. FD 11 miles away. Paid/Vol. 25-27 response time. Part dirt road. Accessible year round. Quoted at $.33</t>
  </si>
  <si>
    <t>Stanford</t>
  </si>
  <si>
    <t>Hayward</t>
  </si>
  <si>
    <t>54843</t>
  </si>
  <si>
    <t>Considered that log has better chance to survive than frame. PC app says sprinklers. App does not mention. Photos online do not show any sign. Brush area per RiskMeter, even though we don't use RM. Considered higher rate. Still don't feel comfortable.  This is also CO, response time longer in winter.</t>
  </si>
  <si>
    <t>1008 log home. FD 6.9 miles away. 16 min drive time in good weather by volunteer FD. Response time is at least 20 min. There are 12 mutual aid departments. Had a prior lightning loss $203K. Claim almost closed - just some contents to replace. Installed full home surge protecting system.  Quoted at $.30.</t>
  </si>
  <si>
    <t>Huelsing</t>
  </si>
  <si>
    <t>63128</t>
  </si>
  <si>
    <t xml:space="preserve">2017 primary home w/ large liab loss. 75/17. $300K paid. Insd was marking off yard for fencing just after buying home. Had items on sidewalk including a string line. Claimant tripped and fell. </t>
  </si>
  <si>
    <t>Clue provided is blank. I re-ran A+ and it confirms claimant name and amount paid. Insd is not high profile and this is not a high value home. Not a target risk. Insured is an accountant.</t>
  </si>
  <si>
    <t>875 Chelsea Plantation</t>
  </si>
  <si>
    <t>Ridgeland</t>
  </si>
  <si>
    <t>29936</t>
  </si>
  <si>
    <t>No docs provided. PC9, 7 min response time, 2.5 miles away.</t>
  </si>
  <si>
    <t>Asked for ACORD app, PC app, LLC/trust app. Any other docs. Can't make a decision without that info.</t>
  </si>
  <si>
    <t>Echo Arch, LLC</t>
  </si>
  <si>
    <t xml:space="preserve">2019 new build with 2 week lapse since construction completed. 10% surcharge applied by agt. Prem liab. In name of insd business LLC. Architectural firm in Steamboat. No business on premises, but applied TBE. Prem liab and no pers injury will be provided. $10K ded ok in lieu of alarms - has CSB, checking on CSF. 2 small prior losses at other locations. </t>
  </si>
  <si>
    <t xml:space="preserve">738 ins score - lessens concern about small prior losses. </t>
  </si>
  <si>
    <t xml:space="preserve">Builders risk where the main home has been completed but guest house is still being worked on. All exterior is completed they are finishing up inside, paint, fixtures, flooring, bathrooms, etc. 4 horses, chickens, and goats for personal use. Work is to be completed by fall and is being done by a contractor. </t>
  </si>
  <si>
    <t xml:space="preserve">1999 year built condo. Prior carrier was USAA and they do not have agents and each time you call to inquire about coverage a claim is opened. The new agent is educating the applicant on filing claims. Technically there are 6 losses since 2016, 4 paid. 3/2017 water $255, slow leak that was present before insured purchased but noticed when damage became more apparent. 10/2017 $7037 smoke damage in kitchen due to incident with microwave. 1/2018 water $2740 sudden leak from plumbing fixture, 2/2018 water $2695 sudden leak from plumbing fixture, has installed water alarms on all plumbing fixtures. Two hail storms 2016 and 2018 that caused to open a claim even though coverage didn't apply, both closed with $0, HOA did repairs. </t>
  </si>
  <si>
    <t>2001 frame home. WBS secondary heat. Bankruptcy started in 2015; closed 2/13/17. Info indicates it was due to taxes which are now paid.  4 losses since 2014. 3/14 wind damage to roof $11K. 3/15 toilet overflow $9K. 6/17 toilet overflow $7K. 7/18 contents stolen from truck $760.</t>
  </si>
  <si>
    <t xml:space="preserve">2016 year built. Risk is on its own island about 500 ft from the shore of the mainland at its closest point. UP quest says that response time is 10 min, during summer FD has fire boat, winter a truck with 750 gallons can drive on ice, and time where ice isn't thick enough the backup FD has airboat that can access and break through ice to get water. Responding FD is volunteer. No alarms in property. Insurance score N. rated at about .23 per 100. </t>
  </si>
  <si>
    <t xml:space="preserve">1980 year built condo. Condo is a caboose. It is part of a line of condos all built from a train. This is a seasonal condo for the applicant. Roof is membrane with sealant. Referral states caboose is stationary, and looking online it confirms that they are all permanently parked at the location. </t>
  </si>
  <si>
    <t xml:space="preserve">Approved terms. Comfortable with risk since it is a condo, otherwise roof would've been a concern. Condition appears to be good on this risk and all the others that are there. </t>
  </si>
  <si>
    <t>Pended to ask for clarification on status of COC. Not sure as to whether that has started, is completed, or yet to begin. Also, will need to review C&amp;O or fire marshal report as that information was not included with claim docs that were submitted, only payout amounts. // MP 4/16/19 Received C&amp;O-cause of fire was lightning strike. Approved HO3 primary w/June date; or HO3 builders risk now. Submit pricing so I can add surcharge and give final rate.</t>
  </si>
  <si>
    <t xml:space="preserve">Referred due to PC 9 over $1.5M and BMX track on property. Lloyds is mo longer offering liability after 3 years of loss free, due to BMX track. There also is a go-cart track, golf driving range and pool on premises. Detached garage has about 10-15 dirt bikes lined up in it along with a handful of go-carts. In a remote area, so they said there shouldn't be concern of trespassers coming to the property.  2001 year built, inspection provided shows property to be in good condition. </t>
  </si>
  <si>
    <t>They excluded liability from the quote, and a commercial app was provided. There didn’t seem to be any concern of commercial use. Approved subject to confirmation there is no business use or renting of the shop/land, confirmation heating, plumbing, and electric were done by a professional, and confirmation there is no WBS or other supp heat, as those are common in risks like this.</t>
  </si>
  <si>
    <t>New build. Home will ultimately be part of a gated community w/hydrants. Ins score G. Dwelling coverage only.</t>
  </si>
  <si>
    <t xml:space="preserve">Fire loss from 12/2017. It did not burn down entire home, but due to asbestos the company considered it a total loss. Tore home down and rebuilt. Currently on commercial BR through Markel, expires 4/29/2019 and need to replace to HO3. Expected completion at beginning of May, which would be within first 60 days of policy. </t>
  </si>
  <si>
    <t>Only received quote so little info on dwelling. Referred due to prior $101,000 liability claim from personal use of a fire pit. No detail. No DOL</t>
  </si>
  <si>
    <t>Asked for FD report, ins score, app, details on loss, etc. Probably a decline, but appropriate to ask for full details before deciding. Explained this is a concern and leans toward a decline but offered to consider. // Insd poured alcohol on fire, bottle exploded, serious burns to his friend. No longer has the fire pit. // 4/22/19 discussed w/John. We agreed to approve excluding liability.</t>
  </si>
  <si>
    <t>Good ins score.  https://www.ganearlylearningcenter.com/.  Insd affiliated w/the Chabad Jewish Center of SD and there is indication that some of the ceremonies and classes will take place in the insured's home.  Do not see issues where we would be looking at exorbitant defense costs. Just not comfortable with the level of activity.</t>
  </si>
  <si>
    <t xml:space="preserve">1999 home w/basement gutted. Lex NRN because they thought it was under construction. Insd selling w/unfinished basement. No farming but has 7 horses personal use. 2 German Shepherds. Possibly $500K other structures. Unfenced pool with slide.  Quoting X-liab/pool liab excluded. </t>
  </si>
  <si>
    <t>Need info on event venue and what else goes on  the property.  Also, farm website says business provides the saws to cut trees. May not be able to add liab.//4/23/19 approved x-liab, with TBE, CGL.</t>
  </si>
  <si>
    <t>Reviewed FB site, found on site accommodations.  No planes, no runway, no pilot training.   and possibly flying of planes? Approved subj to TBE and continued coml policies in place. Need to clarify what is under Cov B. Suggested using Bldg Exclusion to avoid any confusion.</t>
  </si>
  <si>
    <t>Confirmed drive time is 11 minutes. Paid FD, some on call.  Response will be under 15 minutes. Adequate tankers.  Newer structure. Popular Lake MI location. Alarms required to bind. Verified rental URL's.  No concerns found.</t>
  </si>
  <si>
    <t>Considered that this is log.  It is also WI and response time is longer in winter. This will be at least 20 minutes. Additional mutual aid departments don't help if they are  equally far away, which from map, it appears they are. Considered higher rate. Still don't feel comfortable.</t>
  </si>
  <si>
    <t>Short lapse. 10% surcharge. Need Corp/LLC/Trust app. New build. One prior loss involves insd dog damaging friends purse. Animal liability will be excluded.  Approved rate indication and asked for reason for lapse to approve formal terms. // 5/2/19 MP Per Alison, lapse due to:  insd advised prior agt constr was done and they wouldn't respond - insd switched agts.</t>
  </si>
  <si>
    <t>Troop</t>
  </si>
  <si>
    <t>Meredith</t>
  </si>
  <si>
    <t>03253</t>
  </si>
  <si>
    <t>2019 new build under construction for a few years with 6 months left to go. Curr carrier getting off. Will be primary - insd lives next door currently. Agt increasing prem by $6K for $14,325 total. $10K ded.</t>
  </si>
  <si>
    <t>Asked numerous questions about the mid-term construction and the PC/high value.  Also pointed out our max TIV is $5K.</t>
  </si>
  <si>
    <t>847 ins score</t>
  </si>
  <si>
    <t>Calley</t>
  </si>
  <si>
    <t>Rio Linda</t>
  </si>
  <si>
    <t>95673</t>
  </si>
  <si>
    <t>O insurance score (surcharge)</t>
  </si>
  <si>
    <t>CA tenant risk. Not comfortable with this exception.</t>
  </si>
  <si>
    <t>1960 rental dwelling w/some updates. WRS6. Woodstove is only heat source.</t>
  </si>
  <si>
    <t>Medley</t>
  </si>
  <si>
    <t>Saint Albans</t>
  </si>
  <si>
    <t>25177</t>
  </si>
  <si>
    <t>1945 home updated in 2009. No OH App$2500 ded. Insd had fire 12/13/18 at prior residence $113K. Only first responder report provided - no info on cause. No ins score provided. CSFB. Clue shows prior fire at this location 9/13/16 $39K.</t>
  </si>
  <si>
    <t xml:space="preserve">Asked for ins score, OH App, FM or O&amp;C report to see cause, detail on fire loss at this location in 2016. Also asked why WV insd would have a TN agt (Farmers 9.5 hours away). </t>
  </si>
  <si>
    <t xml:space="preserve">There is an online Go Fund Me from the fire with positive remarks, created day after the fire by a family member.  First responder report provided tells nothing. </t>
  </si>
  <si>
    <t>Conte</t>
  </si>
  <si>
    <t>Karin M &amp; Diedra A Finney</t>
  </si>
  <si>
    <t>01604</t>
  </si>
  <si>
    <t>1890 home rehabbed in 2012. 4 family. Mary remarketing due to losses. 2/15/17 tenant fell on icy steps $82K, 2/19 wind dmg fascia $5717. 4/19 wind dmg fascia &amp; drip edge $2,215. Square D breakers per inspection.</t>
  </si>
  <si>
    <t>Square D breakers are ineligible. (Advised Mary otherwise we would want to verify maintenance issue rectified. Would be okay with $5K wind ded after confirmation that there was no interior damage with the 2 wind losses - exterior material damaged only.)</t>
  </si>
  <si>
    <t>Manful</t>
  </si>
  <si>
    <t>Gregory &amp; Heather</t>
  </si>
  <si>
    <t>94596</t>
  </si>
  <si>
    <t>1958 home w/full update in 09-12. Had $454K loss 5/2/17. Defective water circulation pump caused large water loss. Prior carrier subrogated and insured is involved in trial against the pump manufacturer. Pump is replaced w/another brand-all repairs completed. Agent surcharged for loss. WRS is 8. No mold, no animal liab quoted.</t>
  </si>
  <si>
    <t xml:space="preserve">Loss was due to defective pump which is in process of subrogation. Low brush meets guidelines for TIV. </t>
  </si>
  <si>
    <t>Vaccaro</t>
  </si>
  <si>
    <t>Winfield</t>
  </si>
  <si>
    <t>63389</t>
  </si>
  <si>
    <t>Trampoline exclusion mandatory on all policies.</t>
  </si>
  <si>
    <t>2015 home with landscaping business on premises. Employees, no customers. Storage only on property. Has trampoline, dog, chickens. Has coml policies. Business is in detached outbuilding w/fuel tank on side of it.</t>
  </si>
  <si>
    <t>Chickens for personal egg consumption. Aerial photo shows separation between home and other structure.  Subj to: Verify condition of all other structures. Advised clearances for fuel tanks to be eligible. Decline if clearances are not met. Require TBE, Coml policies in place.</t>
  </si>
  <si>
    <t>94559</t>
  </si>
  <si>
    <t xml:space="preserve">1961 home w/2000 roof update. Prior claim for pool damage - closed - $671. WRS 6. Beauty salon in front of house. Separate entrance per sketch. 4 contractors rent chairs. 15 customers/day. No tanning, waxing, nails. </t>
  </si>
  <si>
    <t xml:space="preserve">Asked for all the business info we need. Also for app, risk meter, older home app. // 5/3/19 MP received info on risk. Separate entrance, 15 customers/day by appointment. Has GL in place-agt confirming liab and phys dmg.  Approved as policy has business excl, prof services excl, adding TBE. There is a separate entrance. </t>
  </si>
  <si>
    <t>El Paso</t>
  </si>
  <si>
    <t xml:space="preserve">2000 primary home w/6 mo short term rental. 5% surcharge to primary rate. (Remarketing because Lloyds raised rates 40%).  Had one prior hail loss to railings, doors &amp; decks in 2015. </t>
  </si>
  <si>
    <t>Bain</t>
  </si>
  <si>
    <t>Kelly &amp; Gary</t>
  </si>
  <si>
    <t>Acceptable location, newer home, CSFB. A/p for 20+ week rental is 12%-asked for this update to rates IF we have room to charge more.  This looks like a clean high valued risk, would be willing to apply some credit. Acceptable STR form and LLC. No adverse online info with address or name search. Insured is owns Loopnet which has a separate business address.</t>
  </si>
  <si>
    <t>Fortuna Nominee Trust</t>
  </si>
  <si>
    <t>First, confirm if "Ms. Sullivan" is "Regina Sullivan" and is affiliated w/trust. If so, risk is ineligible as proj mgr/gc has to be licensed/insured general contractor. If we get past this, need BR app, Trust app. 2% named storm ok, rc ok since this will be a gut/reno. BR forms apply ACV to area under construction until completed. No credit. No surcharge for loss. Agt correctly used vacant rates and insured for 100% ITV.</t>
  </si>
  <si>
    <t>1884 home going thru gut/reno. Water loss at different location - pipe burst. Agt wants 2% named storm but it isn't available. Wants RC and 10% credit. Dwelling will be sold upon completion.</t>
  </si>
  <si>
    <t>Follow up email to Bethany to create named storm for DP for XSB and all partners.</t>
  </si>
  <si>
    <t>Rando</t>
  </si>
  <si>
    <t>Marie Claire</t>
  </si>
  <si>
    <t>Harvey</t>
  </si>
  <si>
    <t>70058</t>
  </si>
  <si>
    <t xml:space="preserve">1937 home with full updates. Referred for "EIFS/Stucco" exterior. </t>
  </si>
  <si>
    <t>EIFS not in production until later 50's. This is probably stucco. Approved subj to confirmation of stucco and condition at inspection. Also confirm updates.</t>
  </si>
  <si>
    <t>Lockwood</t>
  </si>
  <si>
    <t>Marshfield</t>
  </si>
  <si>
    <t>65706</t>
  </si>
  <si>
    <t>1996 home with business on premises.  Business questionnaire answers ok. Earthberm home - prof constructed. 4 animals - 3 Golden Retrievers and Great Pyranese. Total business excl.</t>
  </si>
  <si>
    <t>Business is empl only, no customers. Confirm no farming. TBE and Coml pol required. Berm home photos look good. Confirm no business str under Cov B.</t>
  </si>
  <si>
    <t>Benante</t>
  </si>
  <si>
    <t>60047</t>
  </si>
  <si>
    <t>2004 home owned by the drummer of Anthrax. 2 prior losses 1/10/17 Burst pipe $17K, 3/1/19 water backup $5K. Both repaired and mitigated. $2500 ded quoted. Mold and backup quoted.</t>
  </si>
  <si>
    <t>Drabant</t>
  </si>
  <si>
    <t xml:space="preserve">Richmond   </t>
  </si>
  <si>
    <t>60071</t>
  </si>
  <si>
    <t>1907 historic home. No tours. On Natl Registry. Quoted FRC and $10K ded due to no alarms. Lifting wood shingles. Other structure barn has peeling paint and lifting clapboards.  Per inspections, several areas of missing railings/balusters.</t>
  </si>
  <si>
    <t xml:space="preserve">Okay if roof is excluded, barn is excluded. We have no tour exclusion, but several online sources do not show tours. Liab must also be excluded due to 4 deck rail/baluster sections missing and 2 sets of stairs with no rail/balusters. </t>
  </si>
  <si>
    <t>No mold, no backup due to prior losses.  No liability due to high profile.  Discussed with JB.</t>
  </si>
  <si>
    <t>Dale &amp; Nancy</t>
  </si>
  <si>
    <t>Lawtey</t>
  </si>
  <si>
    <t>32058</t>
  </si>
  <si>
    <t>2018 new build, insured is a contractor and built the house constr completed in Nov and they did not consider the need for ins at the time. 3 star ins score = credit.  PC10 volunteer FD.</t>
  </si>
  <si>
    <t>Okay with 15% surcharge for lapse (total) and signed no loss. Also existing dmg excl. Mapped FD to residence - 7.4 miles/10 min. Should be less than 15 min response.</t>
  </si>
  <si>
    <t xml:space="preserve">Approved subject to increasing AOP to $10,000 and confirmation that all repairs have been made 100% from the recent water loss. Agent already applied $10,000 water damage deductible. UPDATE: received email back from JM Wilson indicating that repairs are just starting. Advised due to size and type of loss, we are not willing to approve while claim is still open and repairs are not 100% complete. UPDATE MP 5/6/19 Repairs now complete. Approved w/10K ded. Pool excl if vacant. (Indoor pool) </t>
  </si>
  <si>
    <t>53704</t>
  </si>
  <si>
    <t>Approved last year, but since we got direction from Jeff (in ES Direction Doc) day care only, no assisted living. Sent info on direction and questions to partner.</t>
  </si>
  <si>
    <t>Monument</t>
  </si>
  <si>
    <t>80132</t>
  </si>
  <si>
    <t>Ins score E.  Discussed with JB and if lightning and no carelessness, okay with ded and exclusions.</t>
  </si>
  <si>
    <t>Jacques &amp; Rena</t>
  </si>
  <si>
    <t>Surf City</t>
  </si>
  <si>
    <t>08008</t>
  </si>
  <si>
    <t xml:space="preserve">1950 home with updates undergoing renovation. Will be insured's seasonal home when completed. Rated as builders risk. </t>
  </si>
  <si>
    <t>Confirmed this rating is correct based on our guidelines.</t>
  </si>
  <si>
    <t>Aronstein</t>
  </si>
  <si>
    <t>Okatie</t>
  </si>
  <si>
    <t>29909</t>
  </si>
  <si>
    <t>2005 seasonal home w/1 prior loss. 8/22/17 water line on back of fridge broke. $167,694 in damage.  Agt applied additional $1,000 to $5,508 technical prem in addition to charging for the loss.</t>
  </si>
  <si>
    <t>Newer home, only loss. Not an indication of plumbing issues. Loss will be surcharged approximately 30% with a/p.</t>
  </si>
  <si>
    <t>Wetmore</t>
  </si>
  <si>
    <t>81253</t>
  </si>
  <si>
    <t>New ground up construction. Pc10 with 30 minute response time. Prior total fire loss at another location due to Spring Fire in 7/2018. Insured is GC subbing out all the work.</t>
  </si>
  <si>
    <t>Ins score K</t>
  </si>
  <si>
    <t>Lengthy response time and insured is GC. No subro if something goes wrong.</t>
  </si>
  <si>
    <t>Twenty Two LLC</t>
  </si>
  <si>
    <t>28203</t>
  </si>
  <si>
    <t>2013 masonry condo. Applicant plays for Carolina Panthers. Subj to LLC quest. $5K AOP</t>
  </si>
  <si>
    <t xml:space="preserve">No liability due to high profile. LLC quest. </t>
  </si>
  <si>
    <t xml:space="preserve">Rolled roof likely flat. 6 years old. No addl guidelines. </t>
  </si>
  <si>
    <t xml:space="preserve">Le </t>
  </si>
  <si>
    <t>Correa</t>
  </si>
  <si>
    <t xml:space="preserve">1920 home in Maine with 19 year old flat roof. Agt making sure the $5K Roof And Ensuing Water Dmg form is okay. </t>
  </si>
  <si>
    <t>Advised partner of UW guidelines for 19 year old roof. Also advised there are other age criteria. Feel free to send app and rater and we can discuss. Felt comfortable addressing the basic question about the roof without requiring a full submission.</t>
  </si>
  <si>
    <t>Pended to ask what caused the decision to want to get insurance now after not having any since purchase date. Also asked what the plans are when it comes time for it to be written as BR, as it appears that it will no longer be eligible for our program due to TIV. Additionally, they quoted without marking lapse greater than 30 days, so advised if we move forward they will need to mark that as yes, and that we may apply an additional surcharge due to the length of the lapse.  **Updated JBach 5/6/19-agent resp no insurance since purchased Oct 2018 as not a priority for them as remodel was not going to happen until spring 2019.  Comp value is TIV at $4.4 mil.  Prior approved by Mitchell.  Comp TIV is ok for CO.**</t>
  </si>
  <si>
    <t>Alison confirmed very little left to complete before restruction done.  All work to be comp week to 5/6/19.  This includes HVAC, appliances, &amp; final inspection.  Only Sara &amp; her daughter will be living in home.  C&amp;O report verified fire as accidental.  Due to prior roommate leaving a pot unattended on stove.  **Declined by Mitchell via prior Email due to loss being due to carelessness &amp; ins allowing others to stay in home.  JBach 5/8/19.**</t>
  </si>
  <si>
    <t>Koontz</t>
  </si>
  <si>
    <t>David &amp; Sherry</t>
  </si>
  <si>
    <t>Westfield</t>
  </si>
  <si>
    <t>46074</t>
  </si>
  <si>
    <t>1993 home. One prior wind loss 2/24/19 $3K repaired/closed. Mrs. Trains dogs for clients either at their home or hers. If at hers, training includes a 2-3 week boarding/training/time. They have a GL. Partner quoted with TBE and Animal Liab Excl.</t>
  </si>
  <si>
    <t>We have approved many dog boarding operations with 10-15 dogs.</t>
  </si>
  <si>
    <t>Terms subj to finding out how many dogs at one time.  If 10 or less, partner can proceed. GL, TBE, Animal Exclusion. Prior loss ok. Insd has 2 dogs of her own.</t>
  </si>
  <si>
    <t>Carol B</t>
  </si>
  <si>
    <t>Prior fire loss 2018 $266K insured using propane to char some wood slats for her fence (to prevent rot). Leaned on cardboard, caught fire, burned down the house.</t>
  </si>
  <si>
    <t>Careless loss.</t>
  </si>
  <si>
    <t>Cheraw</t>
  </si>
  <si>
    <t>29520</t>
  </si>
  <si>
    <t xml:space="preserve">1966 home with updates to all systems and roof. Referred due to 82 acres w/2 ponds. No coml, farm, or hunting. </t>
  </si>
  <si>
    <t>Confirm that home is accessible and location on prop does not impact response time.</t>
  </si>
  <si>
    <t>Hockett</t>
  </si>
  <si>
    <t>Fort Bragg</t>
  </si>
  <si>
    <t>95437</t>
  </si>
  <si>
    <t>1953 dwelling under construction w/WBS as primary heat. WRS 40 w/60% surcharge. Will be installing central heat.</t>
  </si>
  <si>
    <t xml:space="preserve">Need at least avg condition even for builders risk.  Photos show below average condition.  Pool structure is dilapidated. Home shows addition with trees growing through the roof. </t>
  </si>
  <si>
    <t>Brockie</t>
  </si>
  <si>
    <t>Gayle &amp; Sherrie Eden</t>
  </si>
  <si>
    <t>49201</t>
  </si>
  <si>
    <t>1996 home with multiple prior losses 8/18/18 box fan fire which was being used to air out house from 8/10/18 cooking fire. Also 2 mys disappearance losses  $4K &amp; $7K. Also food spoilage.</t>
  </si>
  <si>
    <t>Concern with nature of prior losses. Indicates morale/moral hazard.</t>
  </si>
  <si>
    <t>Risk question about whether we can insure a massage therapist who does business out of a room in the home.</t>
  </si>
  <si>
    <t>Saint Charles</t>
  </si>
  <si>
    <t>63301</t>
  </si>
  <si>
    <t>1968 home w/ part updates. One prior lightning loss 7/17 $9K. Has power washing co which operates out of trailers on the property. Business structures will be specifically excluded. No customers. Has employees. GL in place.  Also wants liab extended</t>
  </si>
  <si>
    <t>Byars</t>
  </si>
  <si>
    <t>Marrero</t>
  </si>
  <si>
    <t>70072</t>
  </si>
  <si>
    <t xml:space="preserve">Need to look at report to see if acceptable and confirm bankruptcy closed. </t>
  </si>
  <si>
    <t>1961 home. Insd had bankruptcy 2 years ago due to husband being laid off. No ins score provided. Mr now employed by Jefferson Parish.</t>
  </si>
  <si>
    <t>Gooing</t>
  </si>
  <si>
    <t>Catalina Island</t>
  </si>
  <si>
    <t>90704</t>
  </si>
  <si>
    <t xml:space="preserve">1988 condo on Catalina Island. RiskMeter won't run. Says out of area. </t>
  </si>
  <si>
    <t>Per PM, rate with additional 60%.  Rest of risk okay.</t>
  </si>
  <si>
    <t>We are not a market for these risks</t>
  </si>
  <si>
    <t>Tomazevic</t>
  </si>
  <si>
    <t>Menomonee Falls</t>
  </si>
  <si>
    <t>53051</t>
  </si>
  <si>
    <t>1959 home w/updates. Greenhouse business on premises with hemp growing operation. CDB Hemp, LLC is business name.</t>
  </si>
  <si>
    <t>Did not review entire risk. Declined based on description of operations.</t>
  </si>
  <si>
    <t>Bankruptcy confirmed 10/20/12 Chapter 13 for Husband and Wife/Discharged. Also bankruptcy found for mother who owns the home too. 11/19/12 - personal bankruptcy.  Did not review entire risk.</t>
  </si>
  <si>
    <t>Did not review entire risk. Declined based on losses.</t>
  </si>
  <si>
    <t xml:space="preserve">Not eligible per guidelines. Advised the CA guidelines are not flexible. </t>
  </si>
  <si>
    <t>Hedgelock</t>
  </si>
  <si>
    <t>Roger &amp; Cynthia</t>
  </si>
  <si>
    <t>92036</t>
  </si>
  <si>
    <t>Agent asking for exception to our $1M limit for WRS 30-49.</t>
  </si>
  <si>
    <t>Need to get full fire report and clarif of cooking cause noted in initial call. // 5/10/19 MP received report from fire marshal confirming 1 page. States cause is act of nature. Proceeded w/offering terms subj to $10K water dmg ded, 2% wind/hail, no sewer backup, exclude mold.</t>
  </si>
  <si>
    <t>Tonya</t>
  </si>
  <si>
    <t>1996 log home w/ CSFB, no losses. $10K AOP. 25-30 min response from volunteer fire department.</t>
  </si>
  <si>
    <t xml:space="preserve">Due to higher TIV and higher response time. </t>
  </si>
  <si>
    <t>Proposed TIV guidelines to John so Burns doesn't continue referring these.</t>
  </si>
  <si>
    <t>Scalzi</t>
  </si>
  <si>
    <t>West Bloomfield</t>
  </si>
  <si>
    <t>48322</t>
  </si>
  <si>
    <t>Ins Score B</t>
  </si>
  <si>
    <t>1992 dwelling with 09 roof update. Good insurance score. 3 prior losses. 1/7/17 $20k fire, no details. 2 wind losses 17,18. $5K AOP. UW questions on app incomplete.</t>
  </si>
  <si>
    <t>I was out Friday afternoon - PTO. Started work at 7:00 CST and found this one still out there. Received at 1pm on Friday and not worked.</t>
  </si>
  <si>
    <t>Campanella</t>
  </si>
  <si>
    <t>Phyllis &amp; Fred</t>
  </si>
  <si>
    <t>06037</t>
  </si>
  <si>
    <t>2002 home. Dog bite loss 11/13/18 still open. Dog bit UPS driver. Insured still has dog chained up in yard. No animal liability covg quoted.</t>
  </si>
  <si>
    <t>No animal liability</t>
  </si>
  <si>
    <t>Gueke</t>
  </si>
  <si>
    <t>Waylon</t>
  </si>
  <si>
    <t>Fremont</t>
  </si>
  <si>
    <t>82513</t>
  </si>
  <si>
    <t>1988 secondary use log home, no alarms. Quoted at $.53. FD is 98 miles from home. 30 min response summer/45 winter.</t>
  </si>
  <si>
    <t>This is within the exception guidelines we gave Burns. Lower TIV, newer home. Used highest rate per the exception - .90.</t>
  </si>
  <si>
    <t>33182</t>
  </si>
  <si>
    <t xml:space="preserve">1989 home w/updates. No losses. Has alarms. Prior lapse and bankruptcy due to husband passing away. </t>
  </si>
  <si>
    <t>Ins score E.  Discussed with JB and we agree with lapse and bankruptcy, just decline.</t>
  </si>
  <si>
    <t>Due to lapse and bankruptcy.</t>
  </si>
  <si>
    <t>Business structure w/hazardous stairs will be excluded. With TBE and Coml policies in place, exposure is eliminated. TBE, Coml pol, need OHQ. Confirm Cov B okay. Offered possibility of Stand Alone Other Structure for the prop w/pavilion. // 5/13/19 agent asked to release ACV terms. Approved w/same subj.</t>
  </si>
  <si>
    <t>Martinet</t>
  </si>
  <si>
    <t>Mark &amp; Amy</t>
  </si>
  <si>
    <t>80218</t>
  </si>
  <si>
    <t>Mark 818 ins score. Amy 722 ins score.</t>
  </si>
  <si>
    <t>1906 home w/full updates. Quoted with FRC. Roof replaced in 2016. Part flat roof. $10K AOP quoted. Insp shows vey nice condition. Prior losses - 4/12 wind $0. 1/15 hot water boiler exploded - replaced with furnace. 6/15 CAT hail dmg to roof - roof fully replaced.  Yes answer to office/business on premises - no info.</t>
  </si>
  <si>
    <t>Okay with new app and insp. 10% discretionary credit within authority. Losses 4+ years old - replacements completed. $10K AOP covers flat roof. No adverse info on insd per Google. Good ins scores. Subj to business info - if more than home office for insd only, refer back.</t>
  </si>
  <si>
    <t>Dann</t>
  </si>
  <si>
    <t>Harriet B</t>
  </si>
  <si>
    <t>Needham</t>
  </si>
  <si>
    <t>02494</t>
  </si>
  <si>
    <t>1991 primary home w/3 prior losses. $2500 AOP w/$10K water damage. 2/14 ice dam $1975. 3/15 iced dam $11K. 11/28/18 frozen pipe $163,488.</t>
  </si>
  <si>
    <t>Replaced roof, but that doesn't solve ice dams. Accuweather shows 36 degree low the few days before the loss.  How did the pipe freeze and have that much damage?  No DOB to run ins score. Declined due to multiple claims and concern of how the dwelling manages winter weather.</t>
  </si>
  <si>
    <t>I was out Friday afternoon - PTO. Started work at 7:00 CST and found this one still out there. Received at 2:30pm on Friday and not worked. I referred to John and responded asap.</t>
  </si>
  <si>
    <t>Ditlow</t>
  </si>
  <si>
    <t>1993 home w/2010 updates. Roof yet to be updated. 4 prior wind/hail losses 8/18 $1743 hail; 6/18 $20K hail; 1/17 $7K wind; 7/17 $24K hail. Quoted w/roof excl and existing dmg excl until reroofed, then 3% wind/hail</t>
  </si>
  <si>
    <t>Concern with location - multiple wind/hail losses.  3% will only partly mitigate future losses.</t>
  </si>
  <si>
    <t xml:space="preserve">Reviewed w/JB and we agree. Looks like a bad location. B score. </t>
  </si>
  <si>
    <t>1980 home updated. 5 prior losses. 5/16 wind $0; 8/16 fire $310K; 12/16 freeze $41K contractors fault; 5/17 wind $33K roof replaced; 10/18 sewer backup $3K. Some indication of cooking cause of fire but email says lighting. Missing page 2. $10K water ded; 2% wind/hail.  // 5/14/19 MP partner req incr Cov A $453,000; incr med pay $5K; add EQ. Approved w/same terms.</t>
  </si>
  <si>
    <t>Ridenour</t>
  </si>
  <si>
    <t>92646</t>
  </si>
  <si>
    <t>Concern w/1967 home, 2 water losses, part update, no info on mitigation. Asked about repairs and proposed ded. Likely water dmg excl will be required. Need RM, OHQ. Advised no backup or mold due to water losses. Good ins score.</t>
  </si>
  <si>
    <t>McBride</t>
  </si>
  <si>
    <t>Carl</t>
  </si>
  <si>
    <t>90712</t>
  </si>
  <si>
    <t>1967 home w/ part update to plumbing. Full update to flat roof in 2012. Wire 87, roof 12. Prior losses: 3/18 liability -insd hit veh w/bike $1,946. 4/17 water heater leak $13K, 3/16 water slab leak $30K. Asked to waive liab loss since it was paid and is being s/c on primary home.  WRS 6.</t>
  </si>
  <si>
    <t>1971 home w/unknown updates.  Roof in 96.  Not in brush. 3 prior losses:  1/27/17 roof leak $620. 5/4/18 slab leak $15,681. 3/13/19 slab leak - withdrew. (May be subro from first claim)</t>
  </si>
  <si>
    <t>I ran Ins score 793</t>
  </si>
  <si>
    <t>I ran ins score 780</t>
  </si>
  <si>
    <t>WRS must be below 30 to consider. Slab leak mitigation required such as rerouting of pipes. $20K water damage ded should apply. Roof damage fully repaired. (The water damage ded will apply to the roof, and ACV roof would be required.)  Good ins score.</t>
  </si>
  <si>
    <t>Majerus</t>
  </si>
  <si>
    <t>Robert &amp; Susan</t>
  </si>
  <si>
    <t>85085</t>
  </si>
  <si>
    <t>2015 home w/CSFB. Most homes in area are primary, visible to neighbors. FD is just over 5 miles. Subdiv may have hydrants, but partner quoted as PC10 to be conservative. Quoting $5K and $10K ded. Some flat roof sections.</t>
  </si>
  <si>
    <t>I confirmed 10 min drive time.  Website shows paid and volunteer. Roof only 4 years old-flat roof okay.  Very nice photos of home.</t>
  </si>
  <si>
    <t>Sloss</t>
  </si>
  <si>
    <t>Chaska</t>
  </si>
  <si>
    <t>55318</t>
  </si>
  <si>
    <t>1956 dwelling updated. Insured owns the dwelling, rents it to a group home "Acute Home Health Care".</t>
  </si>
  <si>
    <t>Little info provided. Website appears to be 24/7 on site care. We are not a market for that type of risk.</t>
  </si>
  <si>
    <t>Kourakos</t>
  </si>
  <si>
    <t>29910</t>
  </si>
  <si>
    <t>2003 home w/ 2 prior losses 3/20/18 hail $29K. 12/16/17 fire $150K. Tammi will go up $3K and still be within range of competition. First responder report provided.</t>
  </si>
  <si>
    <t xml:space="preserve">Hawkins   </t>
  </si>
  <si>
    <t>2003 seasonal home rented out to large groups for events. Dwelling sleeps 50. Insured has force placed policy now, only wants to insure for ACV.</t>
  </si>
  <si>
    <t>Too large an exposure.</t>
  </si>
  <si>
    <t>Rula</t>
  </si>
  <si>
    <t>Macomb</t>
  </si>
  <si>
    <t>48044</t>
  </si>
  <si>
    <t>2000 home w/ daycare in home - licensed for 12 children. GL in place. Quoted w/Total Business Exclusion.</t>
  </si>
  <si>
    <t>In line w/our guidelines for daycare business.</t>
  </si>
  <si>
    <t>Adler</t>
  </si>
  <si>
    <t xml:space="preserve">Susan   </t>
  </si>
  <si>
    <t xml:space="preserve">Evergreen </t>
  </si>
  <si>
    <t>1875 home w/partial updates. Historic landmark w/no rebuilding restrictions, no tours. Currently w/Lloyds on DP1.</t>
  </si>
  <si>
    <t>Not sure we are a market, but asked additional questions. Allison has been working on growing w/us in spite of the CA restrictions.</t>
  </si>
  <si>
    <t>BRJ Property Investments LLC</t>
  </si>
  <si>
    <t>80205</t>
  </si>
  <si>
    <t>We are not a market for risks where the insured is the GC. Explained our position.</t>
  </si>
  <si>
    <t>Razaghi</t>
  </si>
  <si>
    <t>Farahnaz</t>
  </si>
  <si>
    <t>1988 home w/updates. Partial plumbing in 2004. Has 3 losses: 7/8/18 water dmg from broken toilet $11K; 10/9/17 Holy fire dmg to other structure $47K; 3/26/17 water damage from sewer/drain backup $30K. Quoting with $30K water damage ded and AOP $7,500.</t>
  </si>
  <si>
    <t>Garrison</t>
  </si>
  <si>
    <t>Barry &amp; Dean</t>
  </si>
  <si>
    <t>I ran ins score 683</t>
  </si>
  <si>
    <t>I ran ins score 847</t>
  </si>
  <si>
    <t>Need first responder report, DOB to run ins score, fully completed app, was roof replaced?  //  5/15/19 MP Tammi says no FM report. Advised we can approve rate indication, but no terms approved w/o another authority confirming cause of fire.  App provided-ok. Ins score good.</t>
  </si>
  <si>
    <t>I ran ins score 797</t>
  </si>
  <si>
    <t>Mueller</t>
  </si>
  <si>
    <t>1920 home w/full updates. Used as B&amp;B with offering for groups of 25 or more for parties, events, tours. 3 rooms. 1 night rental.</t>
  </si>
  <si>
    <t>Burns has no restriction on historic with tours like other partners.  This would be covered under their GL.</t>
  </si>
  <si>
    <t>Aaron &amp; Jaimie</t>
  </si>
  <si>
    <t>Bardfordwoods</t>
  </si>
  <si>
    <t>15015</t>
  </si>
  <si>
    <t>2007 dwelling for sale and vacant. Applicant is retired Pittsburgh Steelers player. On the market 10 months. Fenced covered pool.</t>
  </si>
  <si>
    <t>Asked JB opinion on liab</t>
  </si>
  <si>
    <t>93422</t>
  </si>
  <si>
    <t xml:space="preserve">1920 home w/full updates.  WRS8. Insd is psychiatrist. Clients screened at her primary location before coming to the home for appts. Once a year group held here. Separate wing with locked door from the residence area. Has business and malpractice policies in place. </t>
  </si>
  <si>
    <t>Okay with TBE and continued maintenance of coml policies. Separated from home, pre-screened.</t>
  </si>
  <si>
    <t>Excluding liability due to high profile.</t>
  </si>
  <si>
    <t>Rovetti</t>
  </si>
  <si>
    <t>Santa Rosa</t>
  </si>
  <si>
    <t>95403</t>
  </si>
  <si>
    <t xml:space="preserve">New build after total fire loss from Santa Rosa fire 10/7/17. Lapse since 2/17. Rebuild 60% complete. Loss open until rebuild done. WRS 6. </t>
  </si>
  <si>
    <t>Asked JB opinion on rewriting at same loc as total. Not comfortable rewriting risk at same location as a total loss.</t>
  </si>
  <si>
    <t>Declined due to prior loss, lapse, and already 60% built.</t>
  </si>
  <si>
    <t>Waneka</t>
  </si>
  <si>
    <t>Minden</t>
  </si>
  <si>
    <t>68959</t>
  </si>
  <si>
    <t>1909 church structure with updates almost complete. Liab currently extended from AO homeowners ins.  No current plans for the structure. Lapse since purchase.</t>
  </si>
  <si>
    <t>Ins score M. Gigantic church building.</t>
  </si>
  <si>
    <t>Lapse, no plans, unique structure.</t>
  </si>
  <si>
    <t>34425 Six Mile Road</t>
  </si>
  <si>
    <t>Livonia</t>
  </si>
  <si>
    <t>48152</t>
  </si>
  <si>
    <t>1968 home w/updates. Owned by brother and sister LLC. Sister is special needs and has nurses coming in 24/7. Is liability okay?  Requiring HO4 for daughter and friend also living in home.</t>
  </si>
  <si>
    <t>Nurses are to care for basic needs. Liability is okay.</t>
  </si>
  <si>
    <t>Lana</t>
  </si>
  <si>
    <t>1969 condo updated in 2015, roof in 2000. 3 prior losses. 4/5/18 fountain on balcony overflowed $1200. 5/22/18 water off in building, insd left sink on didn't know it, overflow to her kitchen and downstairs unit $24K 8/15/18 - theft from auto $0. Quoted w/5K AOP. Flat roof. Quoted w/backup.</t>
  </si>
  <si>
    <t>Okay with $10K water damage deductible (could change AOP to $2500 with that)</t>
  </si>
  <si>
    <t>I ran ins score 664 - 5% s/c</t>
  </si>
  <si>
    <t>Meinhardt</t>
  </si>
  <si>
    <t>Rebecca &amp; Mark</t>
  </si>
  <si>
    <t>1999 home w/original wood shake roof. Partner excluding the roof. PC10=5.3 mi to responding FD part paid.</t>
  </si>
  <si>
    <t>Confirmed 11 min drive time-part paid FD=response time &lt;15.</t>
  </si>
  <si>
    <t>Ins score I</t>
  </si>
  <si>
    <t>Acbercrombie</t>
  </si>
  <si>
    <t>Orland Park</t>
  </si>
  <si>
    <t>60473</t>
  </si>
  <si>
    <t>Application mentions an adverse possession or cloud on the title of the home. We need clarification before moving forward.</t>
  </si>
  <si>
    <t>Blaha</t>
  </si>
  <si>
    <t>Insurance score is A</t>
  </si>
  <si>
    <t>80921</t>
  </si>
  <si>
    <t>Stucco home built in 1994 with partial plumbing updates in 2016 and a full roof in 2014. There are CS fire and burglar alarms. Two water losses ($10k in 2016 and $1641 in 2018). Insured ran for office in 2016 and did not win. Not a hugely popular name. Ran Trump campaign for state in 2016.</t>
  </si>
  <si>
    <t>The home is very high value with a PC 9. After reviewing the satellite image it appears the home is set back and dirt roads lead to the home. I am not concerned about the public nature of his political aspirations.</t>
  </si>
  <si>
    <t>.</t>
  </si>
  <si>
    <t>Brunson</t>
  </si>
  <si>
    <t>34471</t>
  </si>
  <si>
    <r>
      <t xml:space="preserve">Asked about plans for the dwelling. How long vacant. Advised our guidelines require gut/reno for older than 1900. Still have fire hazard on a DP1. Asked for photos. </t>
    </r>
    <r>
      <rPr>
        <b/>
        <sz val="11"/>
        <color theme="4"/>
        <rFont val="Calibri"/>
        <family val="2"/>
        <scheme val="minor"/>
      </rPr>
      <t>After reviewing photos and noting potential aluminum wiring, I decline. I did ask her to send others if she has them. (BL)</t>
    </r>
  </si>
  <si>
    <t xml:space="preserve">Phone call from John wondering if we would consider a primary homeowner with a gun claim where bags were dropped on a bed on top  of the gun and it went off and hit someone. </t>
  </si>
  <si>
    <t>Insurance Score is 636. We are increasing business in Miami at a rapid pace. There isn't a need to stretch our premium by accepting questionable risks. I went back and forth but in the end decided we didn't need to actually spend a lot of time in an area we don't want extra growth.</t>
  </si>
  <si>
    <t xml:space="preserve">High frequency of losses with many different claim types. Jewelry, water, hurricane, etc. </t>
  </si>
  <si>
    <t>They wanted liability and I noted we would be more comfortable without liability. It is a sign of careless storage of a loaded weapon on top of the bed.</t>
  </si>
  <si>
    <t>Hollinger</t>
  </si>
  <si>
    <t xml:space="preserve">Home built in 2001 with full roof update in 2016. CS alarms and 2 rated prior losses. Hail (14K 2016), Hail ($124k 2016) and Lightening ($40k) in 2016. We will not extend liability to another location. </t>
  </si>
  <si>
    <t>68059</t>
  </si>
  <si>
    <t>Insured has significant loss history.  Both frequency and severity.  1% W/H ded was not enough on $2,000,000 RCE home.</t>
  </si>
  <si>
    <t>Lazovik/Bach</t>
  </si>
  <si>
    <t>Daylor</t>
  </si>
  <si>
    <t>Oswego</t>
  </si>
  <si>
    <t>60543</t>
  </si>
  <si>
    <t>1999 dwelling seasonal and short term rental. Pole barn can be used for weddings and parties. Pond on premises.</t>
  </si>
  <si>
    <t>Appears entire property can be rented out including the home. Large slide, boats, rope swing, swimming on pond.  Concern with injury and inability to separate the business from the home policy..</t>
  </si>
  <si>
    <t xml:space="preserve">Primary home with seven reported claims since 2016. Brick home built in 2003 with 3600 square feet.  Losses have been due to falling objects (glass stovetop broke), two water damage claims, lightening, mysterious disappearance, dog who ate the flooring and Hurricane damage. </t>
  </si>
  <si>
    <t>Erik</t>
  </si>
  <si>
    <t>Canyon Lake</t>
  </si>
  <si>
    <t>92587</t>
  </si>
  <si>
    <t xml:space="preserve">1969 home quoted w/full water damage exclusion. WRS 26. 7/15 roof leak $1326, 4/18 HVAC pipe break $32K, 6/18 hwt burst $9K. </t>
  </si>
  <si>
    <t>Ok w/ full water damage exclusion. Also, no backup, no mold.</t>
  </si>
  <si>
    <t>I was out of the office PTO on Friday 5/17. I got back in 5/20 and this was still in the in box from 1:45 in the afternoon.  I handled asap.</t>
  </si>
  <si>
    <t>Brisker</t>
  </si>
  <si>
    <t>Paul Michael</t>
  </si>
  <si>
    <t>22554</t>
  </si>
  <si>
    <t>2017 home w/alarms. Insd runs private pilates studio in home. Usually 1 customer at a time, but website offers semi-private and group appts.  GL in place. Quoted w/TBE.</t>
  </si>
  <si>
    <t>Lower exposure. No addl hazards. GL and TBE.</t>
  </si>
  <si>
    <t>Gamble</t>
  </si>
  <si>
    <t>Richard Lee</t>
  </si>
  <si>
    <t>Mayo</t>
  </si>
  <si>
    <t>32066</t>
  </si>
  <si>
    <t>2 star ins score per Niki = surcharge</t>
  </si>
  <si>
    <t>New purchase in 2017. No insurance since. Renovations just completed and insured now wants insurance. Insured is Chairman of County Commissioners. Volunteer FD 15 miles from home, dirt road, response time over 15 minutes.</t>
  </si>
  <si>
    <t>Response time over 15 min (and ins score low with 2 year lapse)</t>
  </si>
  <si>
    <t>Sedona</t>
  </si>
  <si>
    <t>83663</t>
  </si>
  <si>
    <t>Ins score J</t>
  </si>
  <si>
    <t>1990 home. PC10-response time 25 minutes. Insd is CEO of Onnit-holistic healing-high profile. Home on 20 acres.</t>
  </si>
  <si>
    <t>Pestilli</t>
  </si>
  <si>
    <t>Michael &amp; Heidi</t>
  </si>
  <si>
    <t>Voluntown</t>
  </si>
  <si>
    <t>06384</t>
  </si>
  <si>
    <t>2000 home. Quoted by partner as PC8, looks like PC 10. PC app coming. Volunteer, 5.7 mi to resp FD, ?? hydrant per app. Insd placing 10 horse stalls in 2 barns at rear of home to be used for coml boarding. They are working on placing a CGL for horse boarding.</t>
  </si>
  <si>
    <t>Need to see PC app. If &lt;15 min response, would consider subj to Coml policies for horse liab and structures. TBE. Exclude liability.</t>
  </si>
  <si>
    <t>(Exclude liab because we use business exclusion - not 100% comfortable with how courts would view how this applies to animals/farm.)</t>
  </si>
  <si>
    <t>.80 rate and 40 min within range of our exception agreement. Lower value with longer response time okay. // MP 5/21/19 Agt changed quote to apply water damage exclusion because there is galvanized plumbing in bathroom.</t>
  </si>
  <si>
    <t>Semmler</t>
  </si>
  <si>
    <t>Ins score A</t>
  </si>
  <si>
    <t>Fulton</t>
  </si>
  <si>
    <t>78358</t>
  </si>
  <si>
    <t>1926 home w/ full updates except partial on plumbing. OHQ agt obtained shows 100% galvanized. Seeking approval for total water damage exclusion.</t>
  </si>
  <si>
    <t>Ok w/water damage excl. Pol already has mold excl. Has water/sewer backup-asked that to be removed due to plumbing concerns. No exposure with water damage exclusion.</t>
  </si>
  <si>
    <t>Meskin</t>
  </si>
  <si>
    <t>90211</t>
  </si>
  <si>
    <t>1987 home /w updates, roof in 2002. 3 prior losses: wind $21K 11/16, theft from car $17K 12/16, water dmg $37K 4/18.  Agent applying water damage exclusion. Zip is open for business.  WRS 6.</t>
  </si>
  <si>
    <t>I ran insurance scores on both - 870, 775</t>
  </si>
  <si>
    <t>Applying exclusion eliminates exposure from water. $5K ded minimizes other possible losses.  Will s/c for 3 losses. Ins scores are good.</t>
  </si>
  <si>
    <t>Fehrenbacher</t>
  </si>
  <si>
    <t>63376</t>
  </si>
  <si>
    <t>1959 home w/ part updates. Insd has scrap metal business in fenced back yard.</t>
  </si>
  <si>
    <t>Scrap metal business is high theft and high liability exposure. Even with TBE and GL in place, this is a concerning exposure.</t>
  </si>
  <si>
    <t>Ins score L = surcharge</t>
  </si>
  <si>
    <t>Lingard</t>
  </si>
  <si>
    <t>Swakenna &amp; Michael</t>
  </si>
  <si>
    <t>29412</t>
  </si>
  <si>
    <t xml:space="preserve">1996 home. Insured has auto repair business on premises.  </t>
  </si>
  <si>
    <t xml:space="preserve">Talked to John at JMW briefly on the topic of auto repair and told him these can sometimes be acceptable depending on extent of activities and separation.  I did not find any formal referral in file for this one.  </t>
  </si>
  <si>
    <t>Asked many questions regarding the exposure. We have approved these occasionally in the past.</t>
  </si>
  <si>
    <t>Walden</t>
  </si>
  <si>
    <t>47374</t>
  </si>
  <si>
    <t>1900 home w/updated. High RC but partner says they are insuring for ACV. Printing business in basement. No employees, no foot traffic, prints real estate booklet for realtor's monthly listings. Has a GL.</t>
  </si>
  <si>
    <t>High TIV with high response time - not comfortable.  (Would not have offered liability for this high profile individual.) // 5/22/19 MP Partner checked back for reconsideration - any s/c or excl? Advised no, the decline stands.</t>
  </si>
  <si>
    <t>Ahearn</t>
  </si>
  <si>
    <t xml:space="preserve">Hampton Falls </t>
  </si>
  <si>
    <t>03844</t>
  </si>
  <si>
    <t>1800 home full gut reno in 2009. PC8X per agt. No info on app. Cancelled 5/6. Can confirm no losses. CSFB. Indoor pool. Shed/barn completely used for storage only.</t>
  </si>
  <si>
    <t>Gentile</t>
  </si>
  <si>
    <t>Mary &amp; Erin Rodgers</t>
  </si>
  <si>
    <t>Yellow Springs</t>
  </si>
  <si>
    <t>45387</t>
  </si>
  <si>
    <t>Ins score no hit per partner.</t>
  </si>
  <si>
    <t>Advised to submit an app, quote, ins score, business questions. Good chance we can include liab w/ TBE and GL. // 5/23/19 received full submission. Meets our business guidelines. Would have been ok w/ TBE and GL. Liab okay because policy excludes prof services, TBE excludes business, and GL covers business. HOWEVER, per app, 1880-no info if gut reno. Aluminum wiring - ineligible. Ended up declining.</t>
  </si>
  <si>
    <t>Lawhorn</t>
  </si>
  <si>
    <t>46060</t>
  </si>
  <si>
    <t>New construction. In order to close on loan and get a house # assigned, the insured has to have an indication quote.  They plan on building on 216th St.</t>
  </si>
  <si>
    <t>Approved rate indication only.  All aspects of risk meet our guidelines except there is no house #. Since ground is not breaking until after we have all that reviewed and approved, there is basically no exposure now. Also, this is an indication only. Verified furthest point on 216th st to fire station is appx 6 miles.</t>
  </si>
  <si>
    <t>Papamichael</t>
  </si>
  <si>
    <t xml:space="preserve">Chris   </t>
  </si>
  <si>
    <t>70130</t>
  </si>
  <si>
    <t>2008 rental home. No pets allowed but insd wants $50K animal liability. Insured's Jack Russel bit an uninvited person who reached over the fence. $17,500 paid and the claim is closed. Loss occurred almost 3 years ago. Insured still has the dog.  This loss was at the insured's residence, not this location.</t>
  </si>
  <si>
    <t>Ins score = 5 star</t>
  </si>
  <si>
    <t>Reviewing w/Bethany. Outstanding concern is if the insured brings the dog with him to this rental property and this dog bites someone. We do have an exclusion for a dog that bit before. However, at this rental property, higher duty is owed to tenant and guests. Advised I could approve now for property only. I can also approve liab w/animal exclusion at this point.</t>
  </si>
  <si>
    <t>Ins score = 4 star</t>
  </si>
  <si>
    <t>Asked for ins score, explanation of lapse, and unprotected quest. No info at all on app about distance to FD and response time. // MP follow up from agent. Risk was with AIG, insured missed payment. AIG won't reinstate (preferred).  Unusual for $4.5M TIV to let coverage lapse, but we do see it in E&amp;S. Lapse is just over 2 weeks. Good insurance score shows this shouldn't be an ongoing issue. PC8X ok. 4 min drive time verified 2.1 miles. No hydrant. Ran ISO PPC confirmed 8X.</t>
  </si>
  <si>
    <t>McCullers</t>
  </si>
  <si>
    <t>32064</t>
  </si>
  <si>
    <t>75 acres.  1998 home on 75 wooded acres. Personal use only. Insured is a widow. App=PC9. Less than 15 min response time.</t>
  </si>
  <si>
    <t>No farming, personal use of acreage. Ask to confirm no hunting. Approved subj to confirmation that location on the 75 acres does not increase response time and home is accessible by emergency vehicles. I verified distance to FD is 2.7. No hydrant per app. PC App required.</t>
  </si>
  <si>
    <t>Mauser</t>
  </si>
  <si>
    <t>1968 home w/new roof in 2016 after $10K hail loss. Also had $3k water back up in 2/16. No backup will be offered. No mold. Also had 9/17/18 $1,835 fire loss from neighbors children playing w/matches.</t>
  </si>
  <si>
    <t>Karley</t>
  </si>
  <si>
    <t>66216</t>
  </si>
  <si>
    <t>1994 home w/full roof update in 2000. No losses. Insured has licensed daycare in home. Lic for 6. Usually has 5. Agt quoting in B&amp;W In home daycare program w/max of 5. App is incomplete.</t>
  </si>
  <si>
    <t>Lic for 6. Online check shows Karley daycare licensed for 10. Either way is okay, but not in the in home daycare program. Approved in HO w/ TBE and require commercial policies to be maintained. Need completed app-all uw questions blank.</t>
  </si>
  <si>
    <t>Hohulin</t>
  </si>
  <si>
    <t>Martin Jr &amp; Marilyn</t>
  </si>
  <si>
    <t>Fort Scott</t>
  </si>
  <si>
    <t>66701</t>
  </si>
  <si>
    <t>1920 home w/full updates. Insd has 80 acres w/cattle operations. Silo and other barns per pics. Home looks in decent condition.  This is "seasonal" inherited home, but insured is retired. It is about 45 miles from primary home.</t>
  </si>
  <si>
    <t>Asked questions about most concerning liability issues (# cattle, meat processing, check fencing). If those check out, this risk is in line w/others we approved w/ liability exclusion, no cov B, Total Business Excl, Farm policy. Also need older home app and protection class app.</t>
  </si>
  <si>
    <t>Kotara</t>
  </si>
  <si>
    <t>John H &amp; Linda L</t>
  </si>
  <si>
    <t>The Villages</t>
  </si>
  <si>
    <t>32163</t>
  </si>
  <si>
    <t>2007 masonry home w/tile roof.  Fenced pool.  Agent verifying she entered things correctly as she doesn't quote FL that often. Verified attached docs and verified deductible in guidelines. Location is inland FL.</t>
  </si>
  <si>
    <t>Meets criteria</t>
  </si>
  <si>
    <t>Stoner</t>
  </si>
  <si>
    <t>Westport</t>
  </si>
  <si>
    <t>06880</t>
  </si>
  <si>
    <t>1932 home w/updates. 8/17/18 windstorm $174K still under repair. Roof replacement and interior work. Insd living in home.</t>
  </si>
  <si>
    <t>Not comfortable coming in the middle of repair when it involves wind/water.</t>
  </si>
  <si>
    <t>Osborn</t>
  </si>
  <si>
    <t>Jeffery</t>
  </si>
  <si>
    <t>Three Rivers</t>
  </si>
  <si>
    <t>78071</t>
  </si>
  <si>
    <t>2007 log home on 242 acres. No farm/animals. Pipe gates are always locked. FD has to call insured's cell phone to get the combination. Also, 2 wood bridges.</t>
  </si>
  <si>
    <t>If they rectify this, need more info on bridges, drive time, 242 acres, use of property, complete app.</t>
  </si>
  <si>
    <t xml:space="preserve">Peter   </t>
  </si>
  <si>
    <t xml:space="preserve">1950 home fully updated. Risk is in MI (where fiancee lives). Named insured is in CA. Home has been purchased on land contract. It will be vacant for now and primary later.  </t>
  </si>
  <si>
    <t>Not enough info to evaluate. Asked numerous questions.</t>
  </si>
  <si>
    <t>Goosen</t>
  </si>
  <si>
    <t>Jacksonville</t>
  </si>
  <si>
    <t>32216</t>
  </si>
  <si>
    <t>Need fire report to approve fire loss. Roof replaced-helps for future. Excluding backup and mold., so no future backup issues. Require OHQ to make sure systems are acceptable. We have no requirements for updates w/this age of home, but our OHQ will draw out ineligible issues. Agt usually obtains at time of binding. Agt added 10% debit. // 5/28/19 MP Police report confirms original reported cause. OK. Older Home Quest ok, agent to obtain Markel form.</t>
  </si>
  <si>
    <t>Pohl</t>
  </si>
  <si>
    <t>Sharon R North</t>
  </si>
  <si>
    <t>Soquel</t>
  </si>
  <si>
    <t>95073</t>
  </si>
  <si>
    <t>Does not qualify for the B&amp;B program because of the parties/events/tours. Agreed to terms w/STR rates, Total Business Excl, Coml policy in place. // 5/28/19 MP Partner said the website was changed, the insd didn't do all those events. I checked website and it was the same. Sent copy/paste to agt. Advised terms stand if they are interested.</t>
  </si>
  <si>
    <t xml:space="preserve">Subj to TBE, exclude liab, exclude Cov B, require Coml policies. Asked John's opinion if this is enough and it is not. Possible excessive defense costs.   </t>
  </si>
  <si>
    <t>No hit ins score per partner.  If this were primary home, we could probably consider per discussion w/John.</t>
  </si>
  <si>
    <t>1978 home w/ full roof updt. Partial other updates. Insd at premises 4 nights/week. Boarding ranch horse operation w/American Reliable. Renters not allowed near stable/ranch. WRS 17.</t>
  </si>
  <si>
    <t xml:space="preserve">Location.  1960 home backs up to Jacksonville VA hospital.  Appx 150' away per aerial view. Many trees in the photo.  It backs up to the back of the building. Had prior plumbing leak.  Pipes re-routed and all fixtures replaced. Supply and drain lines replaced. (2016) </t>
  </si>
  <si>
    <t xml:space="preserve">Discussed w/JB and we agreed the distance to the coml bldgs were okay.  Will need OHQ. At first advised no water backup due to prior slab leak loss.  Loss was not related to backup.  The loss was over 3 years ago, plus the plumbing docs say the drain lines were replaced.  I felt comfortable offering water backup.  </t>
  </si>
  <si>
    <t>Tammy &amp; Marc</t>
  </si>
  <si>
    <t>Edmond</t>
  </si>
  <si>
    <t>73025</t>
  </si>
  <si>
    <t xml:space="preserve">2013 home w/ no losses. Insd is a massage therapist. Business is in the home. 10-15 clients per week. GL in place. Separate room in home. "Just Relax with Tammy". </t>
  </si>
  <si>
    <t xml:space="preserve">Ins score L </t>
  </si>
  <si>
    <t>Clarkin</t>
  </si>
  <si>
    <t>Thomas &amp; Cheryl</t>
  </si>
  <si>
    <t>Lacey</t>
  </si>
  <si>
    <t>Insured's business has federal lawsuits and charges of human trafficking and money laundering. Numerous articles over the past couple of years. Case still pending.</t>
  </si>
  <si>
    <t xml:space="preserve">SCU was checking with a very general inquiry with no attachments. </t>
  </si>
  <si>
    <t>Saunderstown</t>
  </si>
  <si>
    <t>02874</t>
  </si>
  <si>
    <t>33331</t>
  </si>
  <si>
    <t>2005 home w/prior 2017 Irma loss - roof replacement just completed but prior carrier nonrenewed so there is a 30 day lapse.</t>
  </si>
  <si>
    <t>Discussed with Bethany. Due to agg going quickly we are being selective in tri-county area. Declined for prior loss, length of time to make repair, and lapse.</t>
  </si>
  <si>
    <t>Patterson/Busse</t>
  </si>
  <si>
    <t>Faith Family Community Church</t>
  </si>
  <si>
    <t>Winter Garden</t>
  </si>
  <si>
    <t>34787</t>
  </si>
  <si>
    <t xml:space="preserve">OK as quoted w/GL, TBE. This is in line with other similar risks we've approved in the past. Pol excludes professional services. With GL &amp; TBE, there are several layers of exclusion. UPDATE 5/31/2019: Burns asked if they could add special contents coverage form, approved to add. </t>
  </si>
  <si>
    <t>Naidu Family Vineyards, LLC</t>
  </si>
  <si>
    <t>95472</t>
  </si>
  <si>
    <t>Sabastopol</t>
  </si>
  <si>
    <t>Ins score is No Hit</t>
  </si>
  <si>
    <t>Bach</t>
  </si>
  <si>
    <t xml:space="preserve">Since no business takes place at the dwelling, I am OK with risk and comfortable that TBE and building exclusion would apply in church related situations. Approved terms as quoted - TBE, building exclusion for church, and confirmation CGL is maintained. </t>
  </si>
  <si>
    <t>Based on mapping location provided by the agency, home has a lengthy and fairly narrow road leading to it from the road address provided.  This combined with short term vacation rental status and proximity to vineyard ops are reasons for decline.</t>
  </si>
  <si>
    <t>Cauley</t>
  </si>
  <si>
    <t>Ohio City</t>
  </si>
  <si>
    <t>81237</t>
  </si>
  <si>
    <t>Declined due to remote location, lack of proven updates, and distance to responding FD.</t>
  </si>
  <si>
    <t>Ins score is G</t>
  </si>
  <si>
    <t>Vinagre</t>
  </si>
  <si>
    <t>Jose &amp; Ana</t>
  </si>
  <si>
    <t>New Bedford</t>
  </si>
  <si>
    <t>02740</t>
  </si>
  <si>
    <t>1892 home w/updates in 2005. Open liab loss $20K. Tenant tripped on damaged floor. Housing Authority required flooring repairs.</t>
  </si>
  <si>
    <t>Older homes require good maintenance and condition along with full updates. The loss is an indication this is a concern.</t>
  </si>
  <si>
    <t>I was out of the office Thurs &amp; Fri 5/30 &amp; 31. This was in the in box when I got in along with several other emails left over from Friday. New ones came in over the weekend too. Sent email to John advising.</t>
  </si>
  <si>
    <t>Sommario</t>
  </si>
  <si>
    <t>Elmhurst</t>
  </si>
  <si>
    <t>60126</t>
  </si>
  <si>
    <t xml:space="preserve">2013 home w/ 1 sewer backup and 3 other pipe losses. 2 were builder error per app. All under $3,500. </t>
  </si>
  <si>
    <t>4 losses on newer home is a concern and also wonder if there are other hidden issues that may cause loss and it's too late to attribute to builder error.</t>
  </si>
  <si>
    <t>Spivak</t>
  </si>
  <si>
    <t xml:space="preserve">Adam   </t>
  </si>
  <si>
    <t>83340</t>
  </si>
  <si>
    <t>Sawtooth City</t>
  </si>
  <si>
    <t>Ins score = A</t>
  </si>
  <si>
    <t>Lower TIV, drive time confirmation in file. Need to get rate to our higher end of our agreement to consider .60-.90 for higher response times. Went with .85.</t>
  </si>
  <si>
    <t>1970 w/ updates. PC10, 37 min drive time. Response time from volunteer department will be 40-45.  Agent adjusted rate to .63.</t>
  </si>
  <si>
    <t>Addison</t>
  </si>
  <si>
    <t>Janice</t>
  </si>
  <si>
    <t>Renton</t>
  </si>
  <si>
    <t>98058</t>
  </si>
  <si>
    <t>1925 home w/multiple business on premises.  Insd owns 9 horses. Up to 6 more can be boarded. Separate individual uses their arena for training and riding lessons. Also has cheese making business.  All activities are insured separately. Quoted with TBE and Animal Excl.</t>
  </si>
  <si>
    <t>Very large exposure with the multiple businesses.</t>
  </si>
  <si>
    <t>Bethany says consider this in the 40-49 WRS and surcharge 60%.</t>
  </si>
  <si>
    <t>Advised to use WRS40-49 with 60% manual surcharge.</t>
  </si>
  <si>
    <t>Okayed this to be the direction without referral, provided we don't change other guidelines.</t>
  </si>
  <si>
    <t>Hammond</t>
  </si>
  <si>
    <t>Stephen &amp; Mary Tilt</t>
  </si>
  <si>
    <t>1895 risk w/updates. Agt referring as rater won't give rate, risk has a flat roof.</t>
  </si>
  <si>
    <t>Advised $5M TIV is over our max. Also, yoc is a submit and must be 100% gut/reno.</t>
  </si>
  <si>
    <t>Pasko</t>
  </si>
  <si>
    <t>Debbie &amp; Michard Mancuso</t>
  </si>
  <si>
    <t>1999 home w/ prior fire loss. Boiler malfunctioned and caught on fire. $17K 3/25/17. C&amp;O report in file confirms. Insp says EIFS, but we allow EIFS/Stucco after 1997 per guidelines and it is only 15%. RCE=$744K. Cov A= $850K.</t>
  </si>
  <si>
    <t>I ran ins scores = 825 &amp; 834.</t>
  </si>
  <si>
    <t>Fire loss okay base on age of home and cause confirmed. EIFS/Stucco okay due to age of home and guidelines allow. Ins score confirms good risk. Need to confirm Cov A. Insp is from 8/17. Agt can confirm w/new insp.</t>
  </si>
  <si>
    <t>2001 home w/open liability claim. 5/17/19 handyman found deceased on insured's property. No details on what happened. We previously approved this risk w/no liability but it was never written with us. (Insd has BMX and go cart track on property.)  Insp indicates not just that exposure, but unfenced pool and in ground trampoline.</t>
  </si>
  <si>
    <t xml:space="preserve">Can't take on a risk with an open liab and we don't know cause of death. Also advised there are more exposures than we knew and we are concerned w/exorbitant defense costs. </t>
  </si>
  <si>
    <t>Ginn</t>
  </si>
  <si>
    <t>Darrin &amp; Monica</t>
  </si>
  <si>
    <t xml:space="preserve">OH </t>
  </si>
  <si>
    <t>43055</t>
  </si>
  <si>
    <t xml:space="preserve">1896 historic home w/no tours. Nice online photos. Full updates at different times per app. However OHQ states there is still 20% knob and tube and 10% cast iron or lead still in use.  </t>
  </si>
  <si>
    <t>Guidelines require gut/reno for pre 1900 homes. This has not been fully updated if there is still knob &amp; tube and cast iron/lead.  All of these are ineligible.</t>
  </si>
  <si>
    <t>Staples</t>
  </si>
  <si>
    <t>Guy &amp; Laura</t>
  </si>
  <si>
    <t>49506</t>
  </si>
  <si>
    <t>New construction. Referred for high value and COC approval.</t>
  </si>
  <si>
    <t>This is within agent's authority.  I don't see anything of concern.</t>
  </si>
  <si>
    <t>Foltz</t>
  </si>
  <si>
    <t>34109</t>
  </si>
  <si>
    <t>1999 condo over 3 miles from the beach. 3% wind hail $10K AOP.</t>
  </si>
  <si>
    <t>Verified with Bethany that condo's for AmWINS are okay. Verified w/h deductible is correct.</t>
  </si>
  <si>
    <t>Crozet</t>
  </si>
  <si>
    <t>22932</t>
  </si>
  <si>
    <t>Approved terms as quoted</t>
  </si>
  <si>
    <t>Wren</t>
  </si>
  <si>
    <t>John &amp; Angela</t>
  </si>
  <si>
    <t>70441</t>
  </si>
  <si>
    <t>New construction, insured states he is there 3-4 times per week. FD is 5.9 miles with 12 min response time. Everything appears to be in line</t>
  </si>
  <si>
    <t xml:space="preserve">Approved terms as quoted. </t>
  </si>
  <si>
    <t>Sifuentes</t>
  </si>
  <si>
    <t>Sandra &amp; Rolando Pichardo Ramirez</t>
  </si>
  <si>
    <t>80504</t>
  </si>
  <si>
    <t>1973 year built with following complete updates: roof 2012, wiring and plumbing 1995, and heating 2005. There is t-lock roof, so roof exclusion is being applied. Larger fire loss $43,989 - caused by inadequate flue pipe clearance between flue and frame wall. The insured built the woodstove last year in the detached garage. Other structures have been excluded as no confirmation of garage being rebuilt has been confirmed. Asked if rebuilt can the other structures limit be added at $50,000.</t>
  </si>
  <si>
    <t>Aulsebrook</t>
  </si>
  <si>
    <t>Jennifer &amp; John</t>
  </si>
  <si>
    <t>Lake George</t>
  </si>
  <si>
    <t>80827</t>
  </si>
  <si>
    <t xml:space="preserve">Burns sent this over to just ask a question. Vacant risk with a WBS. Requesting the wood stove not be used in lieu of the WBS quest. Insured advised the do not have any info on the installation as it was present before they purchased the property. </t>
  </si>
  <si>
    <t>North Loup</t>
  </si>
  <si>
    <t>68859</t>
  </si>
  <si>
    <t xml:space="preserve">1950 year built with updates to systems in 1980 and roof in 2014. Insured owns small auto sales business. There is a building for the auto dealership, a garage for the business and some carports. There is a GL in place. 20 people per month listed on bus quest. No other employees. </t>
  </si>
  <si>
    <t>Landon</t>
  </si>
  <si>
    <t>HL &amp; C Magnolia Manor LLC</t>
  </si>
  <si>
    <t>Carriere</t>
  </si>
  <si>
    <t>39426</t>
  </si>
  <si>
    <t>2001 home w/3 large barns and 5 car detached garage. 20miles to coast. LLC form ok. Cov A req is $2.3M. Cov B is $168K RCE=$3,984,930. Cattle and bison on property per app. No info.</t>
  </si>
  <si>
    <t>Verify PPC. Per insp, hyd is &gt;1000 feet.  Verify Coverages. A&amp; B must be insured to 100% of RC. Need animal info.</t>
  </si>
  <si>
    <t>This looks like a no-go, but I wanted to give this new AmWINS contact an opportunity to review our questions and concerns.</t>
  </si>
  <si>
    <t>Fluke loss. Insd now has a fence and should have no similar issues. // 6/4/19 MP agent asked to refresh the terms. Approved.</t>
  </si>
  <si>
    <t>Need fire marshal or O&amp;C report to confirm reason for fire. Wind losses are minor - $5K aop covers. Need to confirm occupancy as app contradicts. Get updated signed app w/all uw questions answered. // 5/14/19 MP 2017 $20K Fire loss was a smoke loss caused by careless use of candle by prior tenant who is no longer in the home.  Home is tenant occupied. All repairs completed. Subj to conf of reason for lapse (agt can approve) and completed app.</t>
  </si>
  <si>
    <t>Increased rate of .90 = $4,770 due to longer response time, no alarms, sec use.</t>
  </si>
  <si>
    <t xml:space="preserve">1926 with roof exclusion. No other known updates.  Insured is a LLC and does their own house flipping. This one involves kitchens/baths. </t>
  </si>
  <si>
    <r>
      <t xml:space="preserve">Need Fire Marshal report as dates of loss do not coincide with 2018 date of the Holy Fire. Allowing to offer rate indication but must send to us to review report for formal terms. No backup, no mold. WRS is 8. Ins score is flat. </t>
    </r>
    <r>
      <rPr>
        <b/>
        <sz val="11"/>
        <color theme="4"/>
        <rFont val="Calibri"/>
        <family val="2"/>
        <scheme val="minor"/>
      </rPr>
      <t>Fire marshal report confirmed it was the "Canyon Fire". (BL)</t>
    </r>
  </si>
  <si>
    <t>New build with about a 90 day lapse. When construction completed in Feb 2019, they moved from a coml loan to a personal loan and there were delays with closing date and appraisal. This delayed the acquisition of insurance.  Partner will get Cert of Occ and no loss letter. $1,000 ded quoted.</t>
  </si>
  <si>
    <t>Masonry home built in 2001. Square footage of the two story home is 8763. Pastor had home on the church policy. When the carrier discovered it was on the commercial policy it was removed without pastor knowing. When the insurer asked for proof of insurance, the lapse was discovered. Lapse started 3/13/19.</t>
  </si>
  <si>
    <t>SF on app doesn't match online, yoc on app doesn't match online. Value does not reflect ACV-too low. Concern of condition. Concern w/chemicals used in printing business - can be hazardous, flammable. Asked numerous questions re use/storage/fire rating.</t>
  </si>
  <si>
    <t xml:space="preserve">Concern with locked gates all the time. Possible year round issue where FD can't get to the house. UPDATE 5/30/2019: Burns came back indicating code was given to fire department. No confirmation as to how FD keeps the information and who has access to it. FD is also volunteer. Given that and all other info regarding risk and accessibility I am still declining risk. </t>
  </si>
  <si>
    <t>2018 rebuild due to total loss. 12/17 teenage son sneaking cigarettes flicked onto leaves near house and house burned to the ground.</t>
  </si>
  <si>
    <t xml:space="preserve">1969 year built with complete updates in 2019. Dwelling is owned by the church and is located on the church's premises. The dwelling is used for housing the pastor. They currently have a commercial coverage in place. No meetings, no parishioners are allowed, only the pastor is allowed to use the dwelling. 47 miles to coast. </t>
  </si>
  <si>
    <t>Frame home built in 1993.  Dwelling sits on 10 acres of vineyards.  3 acres is rented to the Naidu family for commercial production.  Vineyard is fenced off from dwelling and short-term rental tenants are not allowed access to the vineyard.  No alarm and no prior losses.  Agent requested to include liability and a TBE.</t>
  </si>
  <si>
    <t>Home built in 1905 w/ comp updates noted on app.  Location is 21 miles or 30 mins from responding FD in Gunnison, CO.  Agent has is listed as a PC=9 but based on distance to FD, it is a PC=10.  Not visible to neighbors and located north of small town of Ohio City on dirt road.  No CSA.  $1K AOP and $1K W/H deds.</t>
  </si>
  <si>
    <t>1988 year built with full roof updated in 2015. CS fire and burglar alarms. PC 10. Business hours responding FD is paid, after hours responding FD is volunteer. Mailing address showed a WY address, but Burns confirm this is new purchase and they are moving to VA.</t>
  </si>
  <si>
    <t xml:space="preserve">Advised confirmation should be received if garage has been rebuilt, and if not, should be excluded. Advised we will only want to provide  coverage once completely repaired. Approved subject to: roof exclusion as noted, confirmation of repaired damage, confirmation if a WBS is still being sued and if so an inspection should be received confirming all clearances and installation is adequate. </t>
  </si>
  <si>
    <t xml:space="preserve">Advised that we will not allow that exception. The WBS must either be removed, or a WBS quest must be completed. Advised that the insured doesn't have to be the one to complete it, and that a licensed professional can also complete the form. </t>
  </si>
  <si>
    <t>Referral Decisions Year to Date                                                                       May 31, 2019</t>
  </si>
  <si>
    <t>(blank)</t>
  </si>
  <si>
    <t>37209</t>
  </si>
  <si>
    <t>2016 home w/burglar alarm. Has been vacant 10 days and is for sale. Insd is high profile NFL player. Quoted with liability. App says property is checked daily.</t>
  </si>
  <si>
    <t>Protected-PC3, excluding liability. No adverse news info on this individual. Has burglar alarm. Newer home.</t>
  </si>
  <si>
    <t>Julka</t>
  </si>
  <si>
    <t>Surjit &amp; Savinder</t>
  </si>
  <si>
    <t>Timonium</t>
  </si>
  <si>
    <t>21093</t>
  </si>
  <si>
    <t>2008 condo purchased in 2009. Insd is a doctor. Never understood that insurance was needed. All other exposures insured with AIG. New agent uncovered the uninsured property.</t>
  </si>
  <si>
    <t>Agreed to write with a total of 30% surcharge due to prior lapse.</t>
  </si>
  <si>
    <t xml:space="preserve">I ran ins score - 887. Very good. I can understand how this could happen with a condo. The facts make sense and the insurance score supports a good risk.  No losses since 2009. </t>
  </si>
  <si>
    <t>Porsha</t>
  </si>
  <si>
    <t>Duluth</t>
  </si>
  <si>
    <t>30097</t>
  </si>
  <si>
    <t xml:space="preserve">Insured is TV personality - Real Housewives. Also a model. </t>
  </si>
  <si>
    <t>Adverse news articles about financial situation among others.</t>
  </si>
  <si>
    <t xml:space="preserve">Ins score R  </t>
  </si>
  <si>
    <t>TBE already applied. Approved terms subject to adding a building exclusion for all structures related to the business.// 6/5/19 MP received a 2nd submission that gives different info, but from the same retailer. Burns advises this is from 2 different branches.  Biz and dwelling connect. Asking about auto detailing, auto repair, storage of chemicals, paint, gas. WITHDREW terms on 1st subm and declined 2nd subm. Advised Mitchell and John Bach.</t>
  </si>
  <si>
    <t>Amrussi</t>
  </si>
  <si>
    <t xml:space="preserve">Oceanside </t>
  </si>
  <si>
    <t>11572</t>
  </si>
  <si>
    <t>Insured in process of acquiring license for home daycare. Either 12 or 16 children (response is unclear).   Applying Total Business Exclusion.</t>
  </si>
  <si>
    <t>Provided list of questions to evaluate the exposure.  Depending on answers, may not be able to do at all.  12 or 16 children is a high number for us.</t>
  </si>
  <si>
    <t>Monson</t>
  </si>
  <si>
    <t xml:space="preserve">LA </t>
  </si>
  <si>
    <t>70124</t>
  </si>
  <si>
    <t xml:space="preserve">Home is "over water".  1 picture provided which does not show the water.  Agent notes this is outside the levee protection system. </t>
  </si>
  <si>
    <t xml:space="preserve">Very little info, but not sounding like a risk we would like to consider.  </t>
  </si>
  <si>
    <t>Watts</t>
  </si>
  <si>
    <t>Dennis Keith</t>
  </si>
  <si>
    <t>Calabash</t>
  </si>
  <si>
    <t>28467</t>
  </si>
  <si>
    <t xml:space="preserve">2019 modular home 4.76 miles to coast, PC9. </t>
  </si>
  <si>
    <t>Referred for modular since direction in past was conflicting. Approved and advised okay on HO3. Make sure modular and not manufactured. Cov A will run lower.</t>
  </si>
  <si>
    <t>Rook Enterprise LLC</t>
  </si>
  <si>
    <t xml:space="preserve">Theriot </t>
  </si>
  <si>
    <t>70397</t>
  </si>
  <si>
    <t xml:space="preserve">1990 home w/updated roof. Home on pilings. </t>
  </si>
  <si>
    <t>Confirmed online this is a frame home. Advised this is below intracoastal, so no wind/hail. Need completed/acceptable PC quest, can't be over 15 min response time.</t>
  </si>
  <si>
    <t>Schultz</t>
  </si>
  <si>
    <t>Tijeras</t>
  </si>
  <si>
    <t>87059</t>
  </si>
  <si>
    <t xml:space="preserve">1982 home w/flat roof. 3 reported hail claims 2017, 2018 $0 paid. 6/19 $5K reserve open loss. 10 dogs on premises. "Light breeding" </t>
  </si>
  <si>
    <t>Ins score S</t>
  </si>
  <si>
    <t>There have been 3 reported claims and the insured has a tar &amp; gravel flat roof.  It seems that is going to be an issue.  Between the number of losses, open loss, PC9, dog breeding, # of dogs, and score, we don't have a good comfort level with this risk.</t>
  </si>
  <si>
    <t>Saunders</t>
  </si>
  <si>
    <t>2019 home, no rental, insured is a pro baseball player, now a free agent.</t>
  </si>
  <si>
    <t>Okay excluding liability due to high profile. No adverse info on insd per google. Advised agt how to read a PC report w/zip code level match.</t>
  </si>
  <si>
    <t>80442</t>
  </si>
  <si>
    <t xml:space="preserve">Anthony   </t>
  </si>
  <si>
    <t>11216</t>
  </si>
  <si>
    <t>1940 condo with full updates.3 prior losses 1/2014 water leak from unit above $7,077. 2/20/18 water pipe burst $381,072. 12/28/18 water pipe burst $0 paid. Insured is completely replacing pipes. Repairs not complete-60% repaired.  Insured is high profile movie actor.  AOP $5K ded; Water dmg $10K ded.</t>
  </si>
  <si>
    <t xml:space="preserve">Declining due to open water claim. </t>
  </si>
  <si>
    <t>Considered whether we might consider when repairs are done. Several strikes here. L ins score, high profile would be x-liab. We'd need conf ALL pipes were repaired. Still the issue of neighboring units (which DID happen) in this old building. Eve though dmg was from another unit, this insured's insurance responded.</t>
  </si>
  <si>
    <t>Pending for current rate from VMGA. Emailed Partner. //  Referred to John for review of my rec to approve.  Appalachian is writing a lot with us, it's just at 15 min response time, roads are clear to the home, newer home, masonry with tile roof, csfb alarms.  I would ask the agent to give me the quoted premium and make sure we are getting at least .40 rate since this is pushing the limit of our response time. John approved. We should try to get .50. // I emailed agent 3/21 at 4:31 for the rate and confirmation of PC10. Haven't heard back// 3/22/19 advised agt of approval at .36 (agreed to by John).  // 3/27/19 John is out of the office this pm and tomorrow am. Agt advises they must get under $9,000 prem to sell.  Overall we are okay with this risk. I made an executive decision w/John out and agreed to go with .348 rate for total of $8,955. Only .012 less than we agreed on.  I emailed John to advise.</t>
  </si>
  <si>
    <t>Asked about plans for the dwelling. How long vacant. Advised our guidelines require gut/reno for older than 1900. Still have fire hazard on a DP1. Asked for photos. After reviewing photos and noting potential aluminum wiring, I decline. I did ask her to send others if she has them. (BL)</t>
  </si>
  <si>
    <t>Need Fire Marshal report as dates of loss do not coincide with 2018 date of the Holy Fire. Allowing to offer rate indication but must send to us to review report for formal terms. No backup, no mold. WRS is 8. Ins score is flat. Fire marshal report confirmed it was the "Canyon Fire". (BL)</t>
  </si>
  <si>
    <t>Discussed with Jeff. Approved for 3 month fully earned BR. As soon as renovations are done, they need to write a vacant policy as the builders risk no longer applies. Tammi called asking for clarification based on previous experience. The guidelines explain that the risk can be written as a vacant with a builders risk endorsement. They are approved providing they use the vacant occupancy for rating (per the guidelines).</t>
  </si>
  <si>
    <t>Home with built with aluminum wiring. Agent noted that the wiring was incorrect. No knob and tube nor aluminum wiring. 10% surcharge for response time.</t>
  </si>
  <si>
    <t>Pending whether generator, pump and dry hydrant will be complete by binding. NO DISCOUNT should be applied.  We will not schedule tractors or watercraft (on application) Mitchell, this is probably just the entire account so not necessarily looking for coverage. Homes over $2M TIV are required to have a CSA burglar and fire. If none exists then they must have $10k AOP and $10k theft deductibles per the guidelines.</t>
  </si>
  <si>
    <t>Matt advised All Risks quoted this as an HO-3 with $770,000 covg or HO-8 with $330,000. Check to see if this was with Markel.</t>
  </si>
  <si>
    <t>Agency was aware of response time last year, but policy did not get referred. Ran FireLine - 18 fire score - Extreme brush. 25 min response,accessible, but not paved. 
4/17/17 follow up from Fire Department - email in file that response time is 10 minutes. (From CAL FIRE fire chief)</t>
  </si>
  <si>
    <t xml:space="preserve">Do we want to reinstate or renew this existing policy?  HUCAH150000389  No claims history.  </t>
  </si>
  <si>
    <t>Trembush, Peter BWH103298</t>
  </si>
  <si>
    <t>Discussed security required - need camera and water flow sensors added to central station. Need info on sister's state of mind and how the eviction will play out. Require inspection prior to effective date to confirm no damage. Surcharge 20%. Add existing damage exclusion. Require attorney to inspect bi-weekly for 1 month, then weekly. Consider requiring insured realtor to be present at all house showings. (to ensure sister doesn't come in, and house is secured after showings.)  Main concern is whether sister will damage the house. How can we protect as much as possible.  //  6/19/17 Mother lives in Taiwan. Niece currently occupies home but has found place to live and is leaving voluntarily. Sounds like little/no worry about anyone damaging the home. Struck out requirements above that we will no longer ask for based on new info. // Attorneys can't get into home until after 6/27. Agreed they can inspect and take photos then (post tenant move out).</t>
  </si>
  <si>
    <t xml:space="preserve">07/11/17 update from Danielle: Jon has used his home address and landline for his business correspondence for 40 years.  He is a home builder specializing in Victorian restoration and his work takes place elsewhere
Roof is galvanized steel.  I have had the panels replaced as needed on an ongoing basis
any exposed water pipes in the crawl space under the house are wrapped in foam insulation.  the house is insulated.  Rest of subjectivities will be confirmed later. Burdine gave approval to continue with quote, and advised that need to be sure to take other winterization measures as well, not just pipe wrapping
</t>
  </si>
  <si>
    <t>• Is this a new purchase, or how long has the insured owned the home?
• Am I understanding that there is a lapse in coverage on this home as well as on another location that is a full time rental?  Could you tell me the reason for lapse of coverage?  Has it been lapsed since 2/2017?
• Tell me about the lapse on the other rental home.  Reason, how long, what is the TIV of that risk.
• Notes on app say that SF cancelled over a bike theft claim?  That seems unusual.  Was there more than one claim?  Could we get the SF loss runs?
• What is the distance of this home to any current wildfires?
Between you and me, there are some red flags on this risk:
• It’s usually a bad sign when someone has multiple policies lapse, and on top of it a theft loss.  
• Info provided shows the home is up for sale for a price lower than what was paid 10 years ago. (A concern if this is not a new purchase.)
If we do go forward an additional surcharge may apply.
A+ shows no losses. // 8/30/17 Add 10% surcharge to to lapse mindset. Insured is buying this home - new purchase. Existing home lapsed 2/17 - they are living there now. Will turn into rental.</t>
  </si>
  <si>
    <t>1976 home w/updates. Aspen has this rated as PC4. PPC is 10W/4/9. Alex wants us to beat $9K prem. Our PC4 is 6676. PC10 is 12,270.  RM shows high. FireLine shows extreme. Copy of report in Temporary file. Due to FireLine report, I felt comfortable declining a request for an exception.</t>
  </si>
  <si>
    <t>1964 home w/ partial updates. Prior water loss to home. New purchase for insured. Still a concern. Per RM, low brush; per FireLine Score 9 High brush. Ran hail - Score 1 - no exposure.  No alarms or sprinklers. $2500 ded.</t>
  </si>
  <si>
    <t xml:space="preserve">1963 home updated in 2015 with gut/remodel. Not in brush, confirmed with FireLine which showed negligible. Trampoline w/exclusion. </t>
  </si>
  <si>
    <t>1988 home, beautiful condition. Has a full motocross track in backyard. Backs up to area that looks like open cross country land. Has a separate driveway for the track. Brush is negligible per FireLine and low per RM</t>
  </si>
  <si>
    <t>1991 home w/ heat and roof update in 2010.  1200 SF shop - no business exposure. In brush - medium per RM. High per FireLine.</t>
  </si>
  <si>
    <t>1978 home updates unknown at this time.  Alex said full updates when he called. Insd inherited from parents. Immediately across street from home. She is a homemaker. She parks cars there and uses it for visiting family overflow sleeping. There are central station alarms. We felt the vacant rate was harsh, but it's not owner occupied. Extremely low brush per RM. High per Fireline.</t>
  </si>
  <si>
    <t>2007 primary condo. Insured had 2 prior water losses in 2015 and was nrn'd by State Farm. He is a cinematographer. No adverse information online and "not too famous".  Extremely low per RM. Negligible per FireLine.</t>
  </si>
  <si>
    <t>2016 frame and straw bale/stucco. No liability requested (seasonal). Medium per RM. Moderate per FireLine.</t>
  </si>
  <si>
    <t>2016 seasonal home w/vineyard. No info on the business provided.  Extremely low per RM. Low per FireLine.</t>
  </si>
  <si>
    <t>1973 partially updated home. Roof fully updated in 2005.  Medium brush per RM. High per FireLine.</t>
  </si>
  <si>
    <t>1986 frame home w/ alarms. New purchase. Ran PPC which shows 3, Burns says 9, Retail Agt says 10W. Verified w/ISO. Medium per RM. High per FireLine.  Woodstoves in online photos. No roof updates noted.</t>
  </si>
  <si>
    <t>2001 frame home. Insured is a roofer. Tile roof. Has alarms. $10K deductible.  Response time 7 minutes. Road accessible.  Adequate brush clearance.  Online photos show a fairly cleared area up on a bluff.  High brush per RM, high per FireLine.</t>
  </si>
  <si>
    <t>in 20yrs insured has never had a client come to her home. Everything is done electronically- mailing home address is only used for correspondence, catalogs, and purchase orders. Accordingly to some contracts, she must have a physical address-not a PO. Based on this info, I'm ok with issuing terms. LKT 4/25/16</t>
  </si>
  <si>
    <t>5/27/16- insured now wants a $100k ded, worked with Jeff and determined that was ok. Max credit is -35% ($3,500) lkt</t>
  </si>
  <si>
    <t>Ran AAL and came up with $9741. Asked agent for current premium.  If we offer terms it needs to be subject to apples/apples competitor coverages.</t>
  </si>
  <si>
    <t>Matthew came back and said our base premium was $16,149. Advised we need to be in the $11-12k range. Trying not to leave $ on the table. LT 5/23/16
Jill was able to get the premium to $12k. Will allow them to release terms.  LT 5/26/16</t>
  </si>
  <si>
    <t>Jill came back on 5/26/16 advising that the shop is detached from the home and that there are alarms installed at both. Google maps does show about 50% of the driveway is shared. Advised there are still too many variables I'm not comfortable with. 5/26/16 ltrott</t>
  </si>
  <si>
    <t>Danielle provided acceptable answers to questions asked. The indoor range will eventually be converted into guest quarters on the property since it already has plumbing and air. Will allow them to release terms. LKT 5-27-16</t>
  </si>
  <si>
    <t>1989 frame home .25 miles from coast. 4th row home. Seasonal and rented 5-8 weeks. Mostly weekly rental. Roof not updated. Alarms. Public record shows RD GENERALLY MISD. This is a Reckless Driving violation. Not good, but don't see this as an issue with a home.  Verified insurance score is good.</t>
  </si>
  <si>
    <t>• Need Unprotected Questionnaire?  
•Address of the primary responding fire department?  I checked some of the stations online and I’m getting a 1 hour response time.
• Where does home sit on the 65 acres?  Are driveways accessible by fire trucks? Please make sure response time takes into account the 65 acres.
• Does the insured use public utilities?  This website sounds like they may not.  http://www.vailrealestate.com/property/51792361/14000-gypsum-creek-road-gypsum-co-81637
References - “…commercial grade hydroelectric plant backed up with solar and a generator…” 
• That website also states that the home is 15 miles from airport county maintained road.  Could you provide more info on what that means?
• One of the online photos show a Yurt.  We would not be covering that as part of the other structures.  Please make sure it is insured under the farm policy, or it should be excluded.
•If we proceed, okay to use new brush form</t>
  </si>
  <si>
    <t>Tamika is seeking approval for a home for one of her best agents. Risk had a water claim with Hartford in Feb 2016-pipe froze and burst. Insd has not repaired - loss is still open. They were paid $25K ACV. Unknown if cashed. Receipts not submitted for RC. Online photos look good per Tamika. She would like to write as a builders risk with high ded and hefty premium to help her agent.</t>
  </si>
  <si>
    <t xml:space="preserve">• Please verify the condition of dwelling and the Cov A.  Value seems very low for RC on a 1200 SF home
• Please provide sketch of where the dwelling is located in relation to the business buildings, also the driveways
• Does anything separate the dwelling and business (e.g. fence, wall, etc.)
• Is the commercial policy for buildings, business contents, and liability maintained by the retail agent
• Would you have another source for liability if we cannot provide premises liability?
</t>
  </si>
  <si>
    <t>Row Labels</t>
  </si>
  <si>
    <t>Column Labels</t>
  </si>
  <si>
    <t>Count of Agency Name</t>
  </si>
  <si>
    <t>(Multiple Items)</t>
  </si>
  <si>
    <t>Declined?</t>
  </si>
</sst>
</file>

<file path=xl/styles.xml><?xml version="1.0" encoding="utf-8"?>
<styleSheet xmlns="http://schemas.openxmlformats.org/spreadsheetml/2006/main" xmlns:mc="http://schemas.openxmlformats.org/markup-compatibility/2006" xmlns:x14ac="http://schemas.microsoft.com/office/spreadsheetml/2009/9/ac" mc:Ignorable="x14ac">
  <numFmts count="9">
    <numFmt numFmtId="6" formatCode="&quot;$&quot;#,##0_);[Red]\(&quot;$&quot;#,##0\)"/>
    <numFmt numFmtId="8" formatCode="&quot;$&quot;#,##0.00_);[Red]\(&quot;$&quot;#,##0.00\)"/>
    <numFmt numFmtId="44" formatCode="_(&quot;$&quot;* #,##0.00_);_(&quot;$&quot;* \(#,##0.00\);_(&quot;$&quot;* &quot;-&quot;??_);_(@_)"/>
    <numFmt numFmtId="164" formatCode="[$-409]d\-mmm;@"/>
    <numFmt numFmtId="165" formatCode="mm/dd/yy;@"/>
    <numFmt numFmtId="166" formatCode="&quot;$&quot;#,##0"/>
    <numFmt numFmtId="167" formatCode="m/d/yy;@"/>
    <numFmt numFmtId="168" formatCode="#,##0.000"/>
    <numFmt numFmtId="169" formatCode="0.0%"/>
  </numFmts>
  <fonts count="33" x14ac:knownFonts="1">
    <font>
      <sz val="11"/>
      <color theme="1"/>
      <name val="Calibri"/>
      <family val="2"/>
      <scheme val="minor"/>
    </font>
    <font>
      <sz val="9"/>
      <color theme="1"/>
      <name val="Calibri"/>
      <family val="2"/>
      <scheme val="minor"/>
    </font>
    <font>
      <b/>
      <sz val="10"/>
      <color theme="1"/>
      <name val="Calibri"/>
      <family val="2"/>
      <scheme val="minor"/>
    </font>
    <font>
      <b/>
      <sz val="9"/>
      <color theme="1"/>
      <name val="Calibri"/>
      <family val="2"/>
      <scheme val="minor"/>
    </font>
    <font>
      <sz val="10"/>
      <color theme="1"/>
      <name val="Calibri"/>
      <family val="2"/>
      <scheme val="minor"/>
    </font>
    <font>
      <b/>
      <sz val="11"/>
      <color theme="1"/>
      <name val="Calibri"/>
      <family val="2"/>
      <scheme val="minor"/>
    </font>
    <font>
      <b/>
      <sz val="12"/>
      <color theme="1"/>
      <name val="Calibri"/>
      <family val="2"/>
      <scheme val="minor"/>
    </font>
    <font>
      <sz val="8"/>
      <color indexed="81"/>
      <name val="Tahoma"/>
      <family val="2"/>
    </font>
    <font>
      <b/>
      <sz val="8"/>
      <color indexed="81"/>
      <name val="Tahoma"/>
      <family val="2"/>
    </font>
    <font>
      <sz val="11"/>
      <color rgb="FFFF0000"/>
      <name val="Calibri"/>
      <family val="2"/>
      <scheme val="minor"/>
    </font>
    <font>
      <sz val="11"/>
      <name val="Calibri"/>
      <family val="2"/>
      <scheme val="minor"/>
    </font>
    <font>
      <sz val="11"/>
      <color theme="1"/>
      <name val="Calibri"/>
      <family val="2"/>
      <scheme val="minor"/>
    </font>
    <font>
      <sz val="10"/>
      <color theme="1"/>
      <name val="Tahoma"/>
      <family val="2"/>
    </font>
    <font>
      <sz val="12"/>
      <color theme="1"/>
      <name val="Calibri"/>
      <family val="2"/>
      <scheme val="minor"/>
    </font>
    <font>
      <sz val="8"/>
      <color theme="1"/>
      <name val="Calibri"/>
      <family val="2"/>
      <scheme val="minor"/>
    </font>
    <font>
      <sz val="7"/>
      <color theme="1"/>
      <name val="Calibri"/>
      <family val="2"/>
      <scheme val="minor"/>
    </font>
    <font>
      <sz val="9"/>
      <color indexed="81"/>
      <name val="Tahoma"/>
      <family val="2"/>
    </font>
    <font>
      <b/>
      <sz val="9"/>
      <color indexed="81"/>
      <name val="Tahoma"/>
      <family val="2"/>
    </font>
    <font>
      <u/>
      <sz val="11"/>
      <color theme="1"/>
      <name val="Calibri"/>
      <family val="2"/>
      <scheme val="minor"/>
    </font>
    <font>
      <sz val="11"/>
      <color theme="1"/>
      <name val="Tahoma"/>
      <family val="2"/>
    </font>
    <font>
      <sz val="11"/>
      <color theme="1"/>
      <name val="Corbel"/>
      <family val="2"/>
    </font>
    <font>
      <sz val="11"/>
      <color rgb="FF000000"/>
      <name val="Calibri"/>
      <family val="2"/>
      <scheme val="minor"/>
    </font>
    <font>
      <strike/>
      <sz val="10"/>
      <color theme="1"/>
      <name val="Calibri"/>
      <family val="2"/>
      <scheme val="minor"/>
    </font>
    <font>
      <sz val="11"/>
      <color theme="1"/>
      <name val="Calibri"/>
      <family val="2"/>
    </font>
    <font>
      <sz val="9"/>
      <color theme="1"/>
      <name val="Tahoma"/>
      <family val="2"/>
    </font>
    <font>
      <b/>
      <sz val="8"/>
      <color rgb="FFFF0000"/>
      <name val="Calibri"/>
      <family val="2"/>
      <scheme val="minor"/>
    </font>
    <font>
      <u/>
      <sz val="11"/>
      <color theme="10"/>
      <name val="Calibri"/>
      <family val="2"/>
      <scheme val="minor"/>
    </font>
    <font>
      <u/>
      <sz val="11"/>
      <name val="Calibri"/>
      <family val="2"/>
      <scheme val="minor"/>
    </font>
    <font>
      <sz val="11"/>
      <color rgb="FF1F497D"/>
      <name val="Calibri"/>
      <family val="2"/>
      <scheme val="minor"/>
    </font>
    <font>
      <strike/>
      <sz val="11"/>
      <color theme="1"/>
      <name val="Calibri"/>
      <family val="2"/>
      <scheme val="minor"/>
    </font>
    <font>
      <sz val="12"/>
      <name val="Calibri"/>
      <family val="2"/>
      <scheme val="minor"/>
    </font>
    <font>
      <i/>
      <sz val="11"/>
      <color theme="1"/>
      <name val="Calibri"/>
      <family val="2"/>
      <scheme val="minor"/>
    </font>
    <font>
      <b/>
      <sz val="11"/>
      <color theme="4"/>
      <name val="Calibri"/>
      <family val="2"/>
      <scheme val="minor"/>
    </font>
  </fonts>
  <fills count="6">
    <fill>
      <patternFill patternType="none"/>
    </fill>
    <fill>
      <patternFill patternType="gray125"/>
    </fill>
    <fill>
      <patternFill patternType="solid">
        <fgColor theme="0" tint="-0.249977111117893"/>
        <bgColor indexed="64"/>
      </patternFill>
    </fill>
    <fill>
      <patternFill patternType="solid">
        <fgColor theme="0" tint="-0.14999847407452621"/>
        <bgColor indexed="64"/>
      </patternFill>
    </fill>
    <fill>
      <patternFill patternType="solid">
        <fgColor rgb="FFFFFF00"/>
        <bgColor indexed="64"/>
      </patternFill>
    </fill>
    <fill>
      <patternFill patternType="solid">
        <fgColor theme="0"/>
        <bgColor indexed="64"/>
      </patternFill>
    </fill>
  </fills>
  <borders count="12">
    <border>
      <left/>
      <right/>
      <top/>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medium">
        <color indexed="64"/>
      </left>
      <right/>
      <top/>
      <bottom style="thin">
        <color indexed="64"/>
      </bottom>
      <diagonal/>
    </border>
    <border>
      <left/>
      <right/>
      <top/>
      <bottom style="thin">
        <color indexed="64"/>
      </bottom>
      <diagonal/>
    </border>
    <border>
      <left style="medium">
        <color indexed="64"/>
      </left>
      <right/>
      <top/>
      <bottom/>
      <diagonal/>
    </border>
    <border>
      <left style="thin">
        <color indexed="64"/>
      </left>
      <right style="thin">
        <color indexed="64"/>
      </right>
      <top style="thin">
        <color indexed="64"/>
      </top>
      <bottom/>
      <diagonal/>
    </border>
  </borders>
  <cellStyleXfs count="4">
    <xf numFmtId="0" fontId="0" fillId="0" borderId="0"/>
    <xf numFmtId="44" fontId="11" fillId="0" borderId="0" applyFont="0" applyFill="0" applyBorder="0" applyAlignment="0" applyProtection="0"/>
    <xf numFmtId="0" fontId="26" fillId="0" borderId="0" applyNumberFormat="0" applyFill="0" applyBorder="0" applyAlignment="0" applyProtection="0"/>
    <xf numFmtId="9" fontId="11" fillId="0" borderId="0" applyFont="0" applyFill="0" applyBorder="0" applyAlignment="0" applyProtection="0"/>
  </cellStyleXfs>
  <cellXfs count="262">
    <xf numFmtId="0" fontId="0" fillId="0" borderId="0" xfId="0"/>
    <xf numFmtId="0" fontId="1" fillId="0" borderId="0" xfId="0" applyFont="1"/>
    <xf numFmtId="0" fontId="1" fillId="0" borderId="0" xfId="0" applyFont="1" applyAlignment="1">
      <alignment wrapText="1"/>
    </xf>
    <xf numFmtId="0" fontId="2" fillId="0" borderId="0" xfId="0" applyFont="1"/>
    <xf numFmtId="17" fontId="1" fillId="0" borderId="0" xfId="0" applyNumberFormat="1" applyFont="1"/>
    <xf numFmtId="16" fontId="1" fillId="0" borderId="0" xfId="0" applyNumberFormat="1" applyFont="1"/>
    <xf numFmtId="164" fontId="1" fillId="0" borderId="0" xfId="0" applyNumberFormat="1" applyFont="1"/>
    <xf numFmtId="0" fontId="1" fillId="0" borderId="0" xfId="0" applyFont="1" applyAlignment="1">
      <alignment horizontal="left" vertical="center" wrapText="1"/>
    </xf>
    <xf numFmtId="0" fontId="1" fillId="0" borderId="0" xfId="0" applyFont="1" applyAlignment="1">
      <alignment horizontal="center" vertical="center"/>
    </xf>
    <xf numFmtId="17" fontId="1" fillId="0" borderId="0" xfId="0" applyNumberFormat="1" applyFont="1" applyAlignment="1">
      <alignment horizontal="center" vertical="center"/>
    </xf>
    <xf numFmtId="16" fontId="1" fillId="0" borderId="0" xfId="0" applyNumberFormat="1" applyFont="1" applyAlignment="1">
      <alignment horizontal="center" vertical="center"/>
    </xf>
    <xf numFmtId="164" fontId="1" fillId="0" borderId="0" xfId="0" applyNumberFormat="1" applyFont="1" applyAlignment="1">
      <alignment horizontal="center" vertical="center"/>
    </xf>
    <xf numFmtId="0" fontId="3" fillId="2" borderId="1" xfId="0" applyFont="1" applyFill="1" applyBorder="1" applyAlignment="1">
      <alignment horizontal="center" vertical="center" wrapText="1"/>
    </xf>
    <xf numFmtId="0" fontId="2" fillId="2" borderId="1" xfId="0" applyFont="1" applyFill="1" applyBorder="1" applyAlignment="1">
      <alignment horizontal="center" vertical="center" wrapText="1"/>
    </xf>
    <xf numFmtId="14" fontId="2" fillId="2" borderId="1" xfId="0" applyNumberFormat="1" applyFont="1" applyFill="1" applyBorder="1" applyAlignment="1">
      <alignment horizontal="center" vertical="center" wrapText="1"/>
    </xf>
    <xf numFmtId="0" fontId="4" fillId="0" borderId="0" xfId="0" applyFont="1"/>
    <xf numFmtId="0" fontId="4" fillId="0" borderId="0" xfId="0" applyFont="1" applyAlignment="1">
      <alignment horizontal="center" vertical="center"/>
    </xf>
    <xf numFmtId="14" fontId="4" fillId="0" borderId="0" xfId="0" applyNumberFormat="1" applyFont="1" applyAlignment="1">
      <alignment horizontal="center" vertical="center"/>
    </xf>
    <xf numFmtId="0" fontId="4" fillId="0" borderId="0" xfId="0" applyFont="1" applyAlignment="1">
      <alignment horizontal="left" vertical="center" wrapText="1"/>
    </xf>
    <xf numFmtId="16" fontId="4" fillId="0" borderId="0" xfId="0" applyNumberFormat="1" applyFont="1" applyAlignment="1">
      <alignment horizontal="center" vertical="center"/>
    </xf>
    <xf numFmtId="14" fontId="4" fillId="0" borderId="0" xfId="0" quotePrefix="1" applyNumberFormat="1" applyFont="1"/>
    <xf numFmtId="0" fontId="4" fillId="0" borderId="0" xfId="0" quotePrefix="1" applyFont="1"/>
    <xf numFmtId="14" fontId="4" fillId="0" borderId="0" xfId="0" applyNumberFormat="1" applyFont="1"/>
    <xf numFmtId="8" fontId="4" fillId="0" borderId="0" xfId="0" applyNumberFormat="1" applyFont="1"/>
    <xf numFmtId="6" fontId="4" fillId="0" borderId="0" xfId="0" applyNumberFormat="1" applyFont="1"/>
    <xf numFmtId="0" fontId="4" fillId="3" borderId="0" xfId="0" applyFont="1" applyFill="1"/>
    <xf numFmtId="14" fontId="4" fillId="3" borderId="0" xfId="0" applyNumberFormat="1" applyFont="1" applyFill="1"/>
    <xf numFmtId="0" fontId="4" fillId="2" borderId="0" xfId="0" applyFont="1" applyFill="1"/>
    <xf numFmtId="14" fontId="4" fillId="2" borderId="0" xfId="0" applyNumberFormat="1" applyFont="1" applyFill="1"/>
    <xf numFmtId="0" fontId="0" fillId="0" borderId="2" xfId="0" applyBorder="1"/>
    <xf numFmtId="166" fontId="0" fillId="0" borderId="2" xfId="0" applyNumberFormat="1" applyBorder="1" applyAlignment="1">
      <alignment horizontal="right"/>
    </xf>
    <xf numFmtId="166" fontId="0" fillId="0" borderId="2" xfId="0" applyNumberFormat="1" applyBorder="1" applyAlignment="1">
      <alignment horizontal="left" wrapText="1"/>
    </xf>
    <xf numFmtId="0" fontId="0" fillId="0" borderId="0" xfId="0" applyAlignment="1">
      <alignment horizontal="left"/>
    </xf>
    <xf numFmtId="0" fontId="0" fillId="0" borderId="2" xfId="0" applyBorder="1" applyAlignment="1">
      <alignment horizontal="left" wrapText="1"/>
    </xf>
    <xf numFmtId="9" fontId="0" fillId="0" borderId="0" xfId="0" applyNumberFormat="1"/>
    <xf numFmtId="0" fontId="0" fillId="0" borderId="2" xfId="0" applyBorder="1" applyAlignment="1">
      <alignment horizontal="left"/>
    </xf>
    <xf numFmtId="0" fontId="0" fillId="0" borderId="2" xfId="0" applyNumberFormat="1" applyBorder="1"/>
    <xf numFmtId="0" fontId="0" fillId="0" borderId="2" xfId="0" applyBorder="1" applyAlignment="1">
      <alignment horizontal="left" indent="1"/>
    </xf>
    <xf numFmtId="0" fontId="0" fillId="0" borderId="0" xfId="0" applyAlignment="1">
      <alignment horizontal="center"/>
    </xf>
    <xf numFmtId="165" fontId="0" fillId="0" borderId="2" xfId="0" applyNumberFormat="1" applyBorder="1" applyAlignment="1">
      <alignment horizontal="center"/>
    </xf>
    <xf numFmtId="0" fontId="0" fillId="0" borderId="2" xfId="0" applyBorder="1" applyAlignment="1"/>
    <xf numFmtId="0" fontId="1" fillId="0" borderId="2" xfId="0" applyFont="1" applyBorder="1" applyAlignment="1">
      <alignment wrapText="1"/>
    </xf>
    <xf numFmtId="0" fontId="14" fillId="0" borderId="2" xfId="0" applyFont="1" applyBorder="1" applyAlignment="1">
      <alignment wrapText="1"/>
    </xf>
    <xf numFmtId="0" fontId="0" fillId="0" borderId="2" xfId="0" applyBorder="1" applyAlignment="1">
      <alignment horizontal="center"/>
    </xf>
    <xf numFmtId="1" fontId="0" fillId="0" borderId="2" xfId="0" applyNumberFormat="1" applyBorder="1" applyAlignment="1">
      <alignment horizontal="center"/>
    </xf>
    <xf numFmtId="165" fontId="0" fillId="0" borderId="2" xfId="0" applyNumberFormat="1" applyFill="1" applyBorder="1"/>
    <xf numFmtId="0" fontId="0" fillId="0" borderId="2" xfId="0" applyFill="1" applyBorder="1"/>
    <xf numFmtId="0" fontId="0" fillId="0" borderId="2" xfId="0" applyFill="1" applyBorder="1" applyAlignment="1">
      <alignment wrapText="1"/>
    </xf>
    <xf numFmtId="0" fontId="0" fillId="0" borderId="2" xfId="0" applyFill="1" applyBorder="1" applyAlignment="1"/>
    <xf numFmtId="0" fontId="0" fillId="0" borderId="2" xfId="0" applyFill="1" applyBorder="1" applyAlignment="1">
      <alignment horizontal="center"/>
    </xf>
    <xf numFmtId="166" fontId="0" fillId="0" borderId="2" xfId="0" applyNumberFormat="1" applyFill="1" applyBorder="1" applyAlignment="1">
      <alignment horizontal="left" wrapText="1"/>
    </xf>
    <xf numFmtId="166" fontId="0" fillId="0" borderId="2" xfId="0" applyNumberFormat="1" applyFill="1" applyBorder="1" applyAlignment="1">
      <alignment horizontal="right"/>
    </xf>
    <xf numFmtId="165" fontId="0" fillId="0" borderId="2" xfId="0" applyNumberFormat="1" applyBorder="1"/>
    <xf numFmtId="0" fontId="0" fillId="0" borderId="2" xfId="0" applyBorder="1" applyAlignment="1">
      <alignment wrapText="1"/>
    </xf>
    <xf numFmtId="0" fontId="0" fillId="0" borderId="6" xfId="0" applyBorder="1"/>
    <xf numFmtId="0" fontId="0" fillId="0" borderId="2" xfId="0" applyFont="1" applyBorder="1" applyAlignment="1">
      <alignment horizontal="left" wrapText="1"/>
    </xf>
    <xf numFmtId="167" fontId="0" fillId="0" borderId="2" xfId="0" applyNumberFormat="1" applyBorder="1"/>
    <xf numFmtId="166" fontId="0" fillId="0" borderId="2" xfId="0" applyNumberFormat="1" applyBorder="1"/>
    <xf numFmtId="0" fontId="0" fillId="0" borderId="7" xfId="0" applyFill="1" applyBorder="1"/>
    <xf numFmtId="0" fontId="6" fillId="0" borderId="0" xfId="0" applyFont="1" applyBorder="1" applyAlignment="1">
      <alignment wrapText="1"/>
    </xf>
    <xf numFmtId="0" fontId="5" fillId="0" borderId="0" xfId="0" applyFont="1" applyBorder="1" applyAlignment="1"/>
    <xf numFmtId="167" fontId="0" fillId="0" borderId="2" xfId="0" applyNumberFormat="1" applyFill="1" applyBorder="1"/>
    <xf numFmtId="0" fontId="0" fillId="0" borderId="2" xfId="0" applyFont="1" applyFill="1" applyBorder="1" applyAlignment="1">
      <alignment horizontal="left" wrapText="1"/>
    </xf>
    <xf numFmtId="1" fontId="0" fillId="0" borderId="2" xfId="0" applyNumberFormat="1" applyFill="1" applyBorder="1" applyAlignment="1">
      <alignment horizontal="center"/>
    </xf>
    <xf numFmtId="166" fontId="0" fillId="0" borderId="2" xfId="0" applyNumberFormat="1" applyFill="1" applyBorder="1"/>
    <xf numFmtId="0" fontId="0" fillId="0" borderId="2" xfId="0" applyFill="1" applyBorder="1" applyAlignment="1">
      <alignment horizontal="left" wrapText="1"/>
    </xf>
    <xf numFmtId="0" fontId="15" fillId="0" borderId="2" xfId="0" applyFont="1" applyFill="1" applyBorder="1" applyAlignment="1">
      <alignment wrapText="1"/>
    </xf>
    <xf numFmtId="165" fontId="5" fillId="0" borderId="2" xfId="0" applyNumberFormat="1" applyFont="1" applyFill="1" applyBorder="1" applyAlignment="1">
      <alignment horizontal="center"/>
    </xf>
    <xf numFmtId="0" fontId="5" fillId="0" borderId="2" xfId="0" applyFont="1" applyFill="1" applyBorder="1" applyAlignment="1">
      <alignment horizontal="center" wrapText="1"/>
    </xf>
    <xf numFmtId="165" fontId="5" fillId="0" borderId="2" xfId="0" applyNumberFormat="1" applyFont="1" applyFill="1" applyBorder="1" applyAlignment="1">
      <alignment horizontal="center" wrapText="1"/>
    </xf>
    <xf numFmtId="0" fontId="5" fillId="0" borderId="2" xfId="0" applyFont="1" applyFill="1" applyBorder="1" applyAlignment="1">
      <alignment horizontal="center"/>
    </xf>
    <xf numFmtId="166" fontId="5" fillId="0" borderId="2" xfId="0" applyNumberFormat="1" applyFont="1" applyFill="1" applyBorder="1" applyAlignment="1">
      <alignment horizontal="center" wrapText="1"/>
    </xf>
    <xf numFmtId="0" fontId="0" fillId="0" borderId="2" xfId="0" applyFill="1" applyBorder="1" applyAlignment="1">
      <alignment horizontal="center" wrapText="1"/>
    </xf>
    <xf numFmtId="0" fontId="0" fillId="0" borderId="0" xfId="0" applyFill="1" applyBorder="1" applyAlignment="1">
      <alignment horizontal="center"/>
    </xf>
    <xf numFmtId="166" fontId="0" fillId="0" borderId="0" xfId="0" applyNumberFormat="1" applyFill="1" applyBorder="1" applyAlignment="1">
      <alignment horizontal="left" wrapText="1"/>
    </xf>
    <xf numFmtId="3" fontId="0" fillId="0" borderId="2" xfId="0" applyNumberFormat="1" applyFill="1" applyBorder="1" applyAlignment="1">
      <alignment horizontal="left" wrapText="1"/>
    </xf>
    <xf numFmtId="6" fontId="12" fillId="0" borderId="2" xfId="0" applyNumberFormat="1" applyFont="1" applyFill="1" applyBorder="1" applyAlignment="1"/>
    <xf numFmtId="44" fontId="0" fillId="0" borderId="2" xfId="1" applyFont="1" applyFill="1" applyBorder="1"/>
    <xf numFmtId="0" fontId="0" fillId="0" borderId="2" xfId="0" applyFill="1" applyBorder="1" applyAlignment="1">
      <alignment horizontal="left" vertical="center" wrapText="1"/>
    </xf>
    <xf numFmtId="6" fontId="0" fillId="0" borderId="0" xfId="0" applyNumberFormat="1" applyFill="1" applyBorder="1"/>
    <xf numFmtId="0" fontId="5" fillId="0" borderId="2" xfId="0" applyFont="1" applyFill="1" applyBorder="1" applyAlignment="1">
      <alignment wrapText="1"/>
    </xf>
    <xf numFmtId="166" fontId="0" fillId="0" borderId="0" xfId="0" applyNumberFormat="1" applyFill="1" applyBorder="1" applyAlignment="1">
      <alignment horizontal="right"/>
    </xf>
    <xf numFmtId="6" fontId="12" fillId="0" borderId="2" xfId="0" applyNumberFormat="1" applyFont="1" applyFill="1" applyBorder="1" applyAlignment="1">
      <alignment horizontal="left" vertical="center" wrapText="1"/>
    </xf>
    <xf numFmtId="6" fontId="12" fillId="0" borderId="2" xfId="0" applyNumberFormat="1" applyFont="1" applyFill="1" applyBorder="1" applyAlignment="1">
      <alignment vertical="center"/>
    </xf>
    <xf numFmtId="0" fontId="13" fillId="0" borderId="2" xfId="0" applyFont="1" applyFill="1" applyBorder="1" applyAlignment="1">
      <alignment vertical="center" wrapText="1"/>
    </xf>
    <xf numFmtId="0" fontId="0" fillId="0" borderId="0" xfId="0" applyFill="1" applyBorder="1" applyAlignment="1">
      <alignment wrapText="1"/>
    </xf>
    <xf numFmtId="0" fontId="1" fillId="0" borderId="2" xfId="0" applyFont="1" applyFill="1" applyBorder="1" applyAlignment="1">
      <alignment wrapText="1"/>
    </xf>
    <xf numFmtId="6" fontId="0" fillId="0" borderId="2" xfId="0" applyNumberFormat="1" applyFill="1" applyBorder="1"/>
    <xf numFmtId="0" fontId="4" fillId="0" borderId="2" xfId="0" applyFont="1" applyFill="1" applyBorder="1" applyAlignment="1">
      <alignment wrapText="1"/>
    </xf>
    <xf numFmtId="0" fontId="14" fillId="0" borderId="2" xfId="0" applyFont="1" applyFill="1" applyBorder="1" applyAlignment="1">
      <alignment wrapText="1"/>
    </xf>
    <xf numFmtId="0" fontId="0" fillId="0" borderId="2" xfId="0" applyFont="1" applyFill="1" applyBorder="1" applyAlignment="1">
      <alignment vertical="center" wrapText="1"/>
    </xf>
    <xf numFmtId="3" fontId="0" fillId="0" borderId="2" xfId="0" applyNumberFormat="1" applyFill="1" applyBorder="1"/>
    <xf numFmtId="0" fontId="18" fillId="0" borderId="2" xfId="0" applyFont="1" applyFill="1" applyBorder="1" applyAlignment="1">
      <alignment wrapText="1"/>
    </xf>
    <xf numFmtId="0" fontId="19" fillId="0" borderId="2" xfId="0" applyFont="1" applyFill="1" applyBorder="1" applyAlignment="1">
      <alignment vertical="center" wrapText="1"/>
    </xf>
    <xf numFmtId="0" fontId="0" fillId="0" borderId="0" xfId="0" applyFill="1" applyAlignment="1">
      <alignment wrapText="1"/>
    </xf>
    <xf numFmtId="0" fontId="0" fillId="0" borderId="2" xfId="0" applyFont="1" applyFill="1" applyBorder="1" applyAlignment="1">
      <alignment horizontal="left" wrapText="1" indent="5"/>
    </xf>
    <xf numFmtId="0" fontId="0" fillId="0" borderId="2" xfId="0" applyNumberFormat="1" applyFill="1" applyBorder="1" applyAlignment="1">
      <alignment horizontal="center"/>
    </xf>
    <xf numFmtId="0" fontId="0" fillId="0" borderId="2" xfId="0" applyFont="1" applyFill="1" applyBorder="1" applyAlignment="1">
      <alignment horizontal="left" vertical="center" wrapText="1" indent="5"/>
    </xf>
    <xf numFmtId="0" fontId="0" fillId="0" borderId="0" xfId="0" applyFont="1" applyFill="1" applyBorder="1" applyAlignment="1">
      <alignment vertical="center" wrapText="1"/>
    </xf>
    <xf numFmtId="0" fontId="0" fillId="0" borderId="0" xfId="0" applyFill="1" applyBorder="1" applyAlignment="1">
      <alignment horizontal="left" wrapText="1"/>
    </xf>
    <xf numFmtId="0" fontId="20" fillId="0" borderId="0" xfId="0" applyFont="1" applyFill="1"/>
    <xf numFmtId="0" fontId="0" fillId="0" borderId="0" xfId="0" applyFill="1" applyAlignment="1">
      <alignment horizontal="left" vertical="center" wrapText="1" indent="5"/>
    </xf>
    <xf numFmtId="165" fontId="6" fillId="0" borderId="2" xfId="0" applyNumberFormat="1" applyFont="1" applyFill="1" applyBorder="1" applyAlignment="1">
      <alignment horizontal="center"/>
    </xf>
    <xf numFmtId="0" fontId="6" fillId="0" borderId="2" xfId="0" applyFont="1" applyFill="1" applyBorder="1" applyAlignment="1">
      <alignment horizontal="center" wrapText="1"/>
    </xf>
    <xf numFmtId="165" fontId="6" fillId="0" borderId="2" xfId="0" applyNumberFormat="1" applyFont="1" applyFill="1" applyBorder="1" applyAlignment="1">
      <alignment horizontal="center" wrapText="1"/>
    </xf>
    <xf numFmtId="0" fontId="6" fillId="0" borderId="2" xfId="0" applyFont="1" applyFill="1" applyBorder="1" applyAlignment="1">
      <alignment horizontal="center"/>
    </xf>
    <xf numFmtId="1" fontId="6" fillId="0" borderId="2" xfId="0" applyNumberFormat="1" applyFont="1" applyFill="1" applyBorder="1" applyAlignment="1">
      <alignment horizontal="center" wrapText="1"/>
    </xf>
    <xf numFmtId="166" fontId="6" fillId="0" borderId="2" xfId="0" applyNumberFormat="1" applyFont="1" applyFill="1" applyBorder="1" applyAlignment="1">
      <alignment horizontal="center" wrapText="1"/>
    </xf>
    <xf numFmtId="0" fontId="13" fillId="0" borderId="2" xfId="0" applyFont="1" applyFill="1" applyBorder="1"/>
    <xf numFmtId="0" fontId="0" fillId="4" borderId="2" xfId="0" applyFill="1" applyBorder="1" applyAlignment="1">
      <alignment horizontal="center"/>
    </xf>
    <xf numFmtId="166" fontId="0" fillId="0" borderId="6" xfId="0" applyNumberFormat="1" applyFill="1" applyBorder="1"/>
    <xf numFmtId="6" fontId="13" fillId="0" borderId="2" xfId="0" applyNumberFormat="1" applyFont="1" applyBorder="1"/>
    <xf numFmtId="6" fontId="19" fillId="0" borderId="2" xfId="0" applyNumberFormat="1" applyFont="1" applyBorder="1" applyAlignment="1">
      <alignment vertical="center"/>
    </xf>
    <xf numFmtId="3" fontId="0" fillId="0" borderId="2" xfId="0" applyNumberFormat="1" applyBorder="1"/>
    <xf numFmtId="0" fontId="0" fillId="4" borderId="2" xfId="0" applyFill="1" applyBorder="1" applyAlignment="1">
      <alignment horizontal="center" wrapText="1"/>
    </xf>
    <xf numFmtId="0" fontId="0" fillId="0" borderId="2" xfId="0" applyFont="1" applyFill="1" applyBorder="1" applyAlignment="1">
      <alignment wrapText="1"/>
    </xf>
    <xf numFmtId="0" fontId="0" fillId="0" borderId="2" xfId="0" pivotButton="1" applyBorder="1"/>
    <xf numFmtId="0" fontId="0" fillId="0" borderId="2" xfId="0" applyFont="1" applyBorder="1" applyAlignment="1">
      <alignment vertical="center" wrapText="1"/>
    </xf>
    <xf numFmtId="6" fontId="0" fillId="0" borderId="2" xfId="0" applyNumberFormat="1" applyBorder="1"/>
    <xf numFmtId="166" fontId="0" fillId="0" borderId="0" xfId="0" applyNumberFormat="1" applyFill="1" applyBorder="1"/>
    <xf numFmtId="6" fontId="21" fillId="0" borderId="2" xfId="0" applyNumberFormat="1" applyFont="1" applyBorder="1"/>
    <xf numFmtId="0" fontId="0" fillId="0" borderId="2" xfId="0" applyBorder="1" applyAlignment="1">
      <alignment vertical="center" wrapText="1"/>
    </xf>
    <xf numFmtId="0" fontId="0" fillId="0" borderId="0" xfId="0" applyBorder="1" applyAlignment="1">
      <alignment wrapText="1"/>
    </xf>
    <xf numFmtId="0" fontId="0" fillId="0" borderId="2" xfId="0" applyBorder="1" applyAlignment="1">
      <alignment wrapText="1" shrinkToFit="1"/>
    </xf>
    <xf numFmtId="0" fontId="19" fillId="0" borderId="2" xfId="0" applyFont="1" applyBorder="1" applyAlignment="1">
      <alignment vertical="center" wrapText="1"/>
    </xf>
    <xf numFmtId="0" fontId="12" fillId="0" borderId="2" xfId="0" applyFont="1" applyBorder="1" applyAlignment="1">
      <alignment wrapText="1"/>
    </xf>
    <xf numFmtId="3" fontId="0" fillId="0" borderId="0" xfId="0" applyNumberFormat="1" applyBorder="1"/>
    <xf numFmtId="6" fontId="0" fillId="0" borderId="0" xfId="0" applyNumberFormat="1" applyBorder="1"/>
    <xf numFmtId="0" fontId="0" fillId="0" borderId="0" xfId="0" applyFill="1" applyBorder="1"/>
    <xf numFmtId="0" fontId="0" fillId="0" borderId="0" xfId="0" applyFont="1" applyBorder="1" applyAlignment="1">
      <alignment vertical="center" wrapText="1"/>
    </xf>
    <xf numFmtId="0" fontId="0" fillId="0" borderId="0" xfId="0" applyBorder="1" applyAlignment="1">
      <alignment vertical="center" wrapText="1"/>
    </xf>
    <xf numFmtId="0" fontId="12" fillId="0" borderId="0" xfId="0" applyFont="1" applyBorder="1" applyAlignment="1">
      <alignment vertical="center" wrapText="1"/>
    </xf>
    <xf numFmtId="6" fontId="0" fillId="0" borderId="0" xfId="0" applyNumberFormat="1"/>
    <xf numFmtId="0" fontId="0" fillId="0" borderId="0" xfId="0" applyFont="1" applyAlignment="1">
      <alignment vertical="center" wrapText="1"/>
    </xf>
    <xf numFmtId="3" fontId="0" fillId="0" borderId="0" xfId="0" applyNumberFormat="1"/>
    <xf numFmtId="0" fontId="0" fillId="0" borderId="0" xfId="0" applyAlignment="1">
      <alignment wrapText="1"/>
    </xf>
    <xf numFmtId="167" fontId="0" fillId="5" borderId="2" xfId="0" applyNumberFormat="1" applyFill="1" applyBorder="1"/>
    <xf numFmtId="0" fontId="0" fillId="5" borderId="2" xfId="0" applyFont="1" applyFill="1" applyBorder="1" applyAlignment="1">
      <alignment horizontal="left" wrapText="1"/>
    </xf>
    <xf numFmtId="0" fontId="0" fillId="5" borderId="2" xfId="0" applyFill="1" applyBorder="1"/>
    <xf numFmtId="0" fontId="0" fillId="5" borderId="2" xfId="0" applyFill="1" applyBorder="1" applyAlignment="1">
      <alignment horizontal="center"/>
    </xf>
    <xf numFmtId="1" fontId="0" fillId="5" borderId="2" xfId="0" applyNumberFormat="1" applyFill="1" applyBorder="1" applyAlignment="1">
      <alignment horizontal="center"/>
    </xf>
    <xf numFmtId="166" fontId="0" fillId="5" borderId="2" xfId="0" applyNumberFormat="1" applyFill="1" applyBorder="1"/>
    <xf numFmtId="0" fontId="0" fillId="5" borderId="2" xfId="0" applyFill="1" applyBorder="1" applyAlignment="1">
      <alignment wrapText="1"/>
    </xf>
    <xf numFmtId="0" fontId="0" fillId="0" borderId="2" xfId="0" quotePrefix="1" applyFill="1" applyBorder="1" applyAlignment="1">
      <alignment wrapText="1"/>
    </xf>
    <xf numFmtId="167" fontId="0" fillId="4" borderId="2" xfId="0" applyNumberFormat="1" applyFill="1" applyBorder="1"/>
    <xf numFmtId="0" fontId="0" fillId="4" borderId="2" xfId="0" applyFont="1" applyFill="1" applyBorder="1" applyAlignment="1">
      <alignment horizontal="left" wrapText="1"/>
    </xf>
    <xf numFmtId="0" fontId="0" fillId="4" borderId="2" xfId="0" applyFill="1" applyBorder="1"/>
    <xf numFmtId="1" fontId="0" fillId="4" borderId="2" xfId="0" applyNumberFormat="1" applyFill="1" applyBorder="1" applyAlignment="1">
      <alignment horizontal="center"/>
    </xf>
    <xf numFmtId="166" fontId="0" fillId="4" borderId="2" xfId="0" applyNumberFormat="1" applyFill="1" applyBorder="1"/>
    <xf numFmtId="0" fontId="0" fillId="4" borderId="2" xfId="0" applyFill="1" applyBorder="1" applyAlignment="1">
      <alignment wrapText="1"/>
    </xf>
    <xf numFmtId="0" fontId="19" fillId="0" borderId="0" xfId="0" applyFont="1" applyAlignment="1">
      <alignment vertical="center" wrapText="1"/>
    </xf>
    <xf numFmtId="6" fontId="13" fillId="0" borderId="0" xfId="0" applyNumberFormat="1" applyFont="1"/>
    <xf numFmtId="6" fontId="19" fillId="0" borderId="2" xfId="0" applyNumberFormat="1" applyFont="1" applyBorder="1" applyAlignment="1">
      <alignment horizontal="center"/>
    </xf>
    <xf numFmtId="3" fontId="0" fillId="0" borderId="2" xfId="0" applyNumberFormat="1" applyFill="1" applyBorder="1" applyAlignment="1">
      <alignment wrapText="1"/>
    </xf>
    <xf numFmtId="166" fontId="0" fillId="0" borderId="2" xfId="0" applyNumberFormat="1" applyFill="1" applyBorder="1" applyAlignment="1">
      <alignment wrapText="1"/>
    </xf>
    <xf numFmtId="6" fontId="19" fillId="0" borderId="0" xfId="0" applyNumberFormat="1" applyFont="1" applyAlignment="1">
      <alignment vertical="center"/>
    </xf>
    <xf numFmtId="1" fontId="0" fillId="0" borderId="2" xfId="0" applyNumberFormat="1" applyFill="1" applyBorder="1"/>
    <xf numFmtId="0" fontId="4" fillId="4" borderId="2" xfId="0" applyFont="1" applyFill="1" applyBorder="1" applyAlignment="1">
      <alignment wrapText="1"/>
    </xf>
    <xf numFmtId="16" fontId="0" fillId="0" borderId="2" xfId="0" applyNumberFormat="1" applyFill="1" applyBorder="1" applyAlignment="1">
      <alignment wrapText="1"/>
    </xf>
    <xf numFmtId="0" fontId="0" fillId="0" borderId="2" xfId="0" applyFont="1" applyFill="1" applyBorder="1"/>
    <xf numFmtId="0" fontId="23" fillId="0" borderId="0" xfId="0" applyFont="1" applyAlignment="1">
      <alignment vertical="center" wrapText="1"/>
    </xf>
    <xf numFmtId="0" fontId="0" fillId="0" borderId="0" xfId="0" applyAlignment="1">
      <alignment vertical="center" wrapText="1"/>
    </xf>
    <xf numFmtId="0" fontId="24" fillId="0" borderId="0" xfId="0" applyFont="1" applyAlignment="1">
      <alignment vertical="center" wrapText="1"/>
    </xf>
    <xf numFmtId="166" fontId="0" fillId="0" borderId="11" xfId="0" applyNumberFormat="1" applyFill="1" applyBorder="1"/>
    <xf numFmtId="3" fontId="0" fillId="0" borderId="2" xfId="0" applyNumberFormat="1" applyFont="1" applyBorder="1" applyAlignment="1"/>
    <xf numFmtId="167" fontId="0" fillId="0" borderId="2" xfId="0" applyNumberFormat="1" applyFill="1" applyBorder="1" applyAlignment="1">
      <alignment horizontal="right"/>
    </xf>
    <xf numFmtId="0" fontId="0" fillId="4" borderId="2" xfId="0" applyFont="1" applyFill="1" applyBorder="1" applyAlignment="1">
      <alignment horizontal="center"/>
    </xf>
    <xf numFmtId="167" fontId="0" fillId="4" borderId="2" xfId="0" applyNumberFormat="1" applyFill="1" applyBorder="1" applyAlignment="1">
      <alignment horizontal="right"/>
    </xf>
    <xf numFmtId="0" fontId="12" fillId="0" borderId="0" xfId="0" applyFont="1"/>
    <xf numFmtId="0" fontId="12" fillId="0" borderId="2" xfId="0" applyFont="1" applyBorder="1"/>
    <xf numFmtId="0" fontId="0" fillId="0" borderId="2" xfId="0" applyFill="1" applyBorder="1" applyAlignment="1">
      <alignment horizontal="left"/>
    </xf>
    <xf numFmtId="166" fontId="0" fillId="0" borderId="2" xfId="0" applyNumberFormat="1" applyFill="1" applyBorder="1" applyAlignment="1">
      <alignment horizontal="right" wrapText="1" indent="1"/>
    </xf>
    <xf numFmtId="14" fontId="0" fillId="0" borderId="2" xfId="0" applyNumberFormat="1" applyFill="1" applyBorder="1"/>
    <xf numFmtId="0" fontId="27" fillId="0" borderId="2" xfId="2" applyFont="1" applyFill="1" applyBorder="1" applyAlignment="1">
      <alignment wrapText="1"/>
    </xf>
    <xf numFmtId="6" fontId="19" fillId="0" borderId="0" xfId="0" applyNumberFormat="1" applyFont="1" applyAlignment="1"/>
    <xf numFmtId="6" fontId="0" fillId="0" borderId="2" xfId="0" applyNumberFormat="1" applyBorder="1" applyAlignment="1">
      <alignment wrapText="1"/>
    </xf>
    <xf numFmtId="167" fontId="6" fillId="0" borderId="2" xfId="0" applyNumberFormat="1" applyFont="1" applyFill="1" applyBorder="1" applyAlignment="1">
      <alignment horizontal="center"/>
    </xf>
    <xf numFmtId="1" fontId="6" fillId="0" borderId="0" xfId="0" applyNumberFormat="1" applyFont="1" applyBorder="1" applyAlignment="1">
      <alignment wrapText="1"/>
    </xf>
    <xf numFmtId="1" fontId="5" fillId="0" borderId="0" xfId="0" applyNumberFormat="1" applyFont="1" applyBorder="1" applyAlignment="1"/>
    <xf numFmtId="1" fontId="0" fillId="0" borderId="0" xfId="0" applyNumberFormat="1"/>
    <xf numFmtId="0" fontId="2" fillId="0" borderId="0" xfId="0" applyFont="1" applyBorder="1" applyAlignment="1">
      <alignment horizontal="center" wrapText="1"/>
    </xf>
    <xf numFmtId="0" fontId="2" fillId="0" borderId="0" xfId="0" applyFont="1" applyBorder="1" applyAlignment="1">
      <alignment horizontal="center"/>
    </xf>
    <xf numFmtId="1" fontId="0" fillId="0" borderId="2" xfId="0" applyNumberFormat="1" applyBorder="1" applyAlignment="1">
      <alignment horizontal="right"/>
    </xf>
    <xf numFmtId="1" fontId="0" fillId="4" borderId="2" xfId="0" applyNumberFormat="1" applyFill="1" applyBorder="1" applyAlignment="1">
      <alignment horizontal="right"/>
    </xf>
    <xf numFmtId="0" fontId="0" fillId="0" borderId="2" xfId="0" applyFont="1" applyBorder="1" applyAlignment="1">
      <alignment wrapText="1"/>
    </xf>
    <xf numFmtId="1" fontId="0" fillId="0" borderId="2" xfId="0" applyNumberFormat="1" applyFill="1" applyBorder="1" applyAlignment="1">
      <alignment horizontal="right"/>
    </xf>
    <xf numFmtId="0" fontId="0" fillId="0" borderId="7" xfId="0" applyFill="1" applyBorder="1" applyAlignment="1">
      <alignment wrapText="1"/>
    </xf>
    <xf numFmtId="3" fontId="0" fillId="4" borderId="2" xfId="0" applyNumberFormat="1" applyFill="1" applyBorder="1"/>
    <xf numFmtId="3" fontId="6" fillId="0" borderId="2" xfId="0" applyNumberFormat="1" applyFont="1" applyFill="1" applyBorder="1" applyAlignment="1">
      <alignment horizontal="center" wrapText="1"/>
    </xf>
    <xf numFmtId="166" fontId="13" fillId="0" borderId="2" xfId="0" applyNumberFormat="1" applyFont="1" applyFill="1" applyBorder="1" applyAlignment="1">
      <alignment horizontal="left" wrapText="1"/>
    </xf>
    <xf numFmtId="0" fontId="0" fillId="0" borderId="2" xfId="0" applyFont="1" applyBorder="1" applyAlignment="1">
      <alignment horizontal="left"/>
    </xf>
    <xf numFmtId="166" fontId="13" fillId="4" borderId="2" xfId="0" applyNumberFormat="1" applyFont="1" applyFill="1" applyBorder="1" applyAlignment="1">
      <alignment horizontal="left" wrapText="1"/>
    </xf>
    <xf numFmtId="0" fontId="0" fillId="0" borderId="2" xfId="0" applyBorder="1" applyAlignment="1">
      <alignment vertical="center"/>
    </xf>
    <xf numFmtId="167" fontId="0" fillId="0" borderId="2" xfId="0" applyNumberFormat="1" applyBorder="1" applyAlignment="1">
      <alignment wrapText="1"/>
    </xf>
    <xf numFmtId="1" fontId="0" fillId="0" borderId="2" xfId="0" applyNumberFormat="1" applyBorder="1" applyAlignment="1">
      <alignment horizontal="right" wrapText="1"/>
    </xf>
    <xf numFmtId="3" fontId="0" fillId="0" borderId="2" xfId="0" applyNumberFormat="1" applyBorder="1" applyAlignment="1">
      <alignment wrapText="1"/>
    </xf>
    <xf numFmtId="9" fontId="0" fillId="0" borderId="2" xfId="0" applyNumberFormat="1" applyBorder="1" applyAlignment="1">
      <alignment wrapText="1"/>
    </xf>
    <xf numFmtId="167" fontId="0" fillId="4" borderId="2" xfId="0" applyNumberFormat="1" applyFill="1" applyBorder="1" applyAlignment="1">
      <alignment wrapText="1"/>
    </xf>
    <xf numFmtId="1" fontId="0" fillId="4" borderId="2" xfId="0" applyNumberFormat="1" applyFill="1" applyBorder="1" applyAlignment="1">
      <alignment horizontal="right" wrapText="1"/>
    </xf>
    <xf numFmtId="3" fontId="0" fillId="4" borderId="2" xfId="0" applyNumberFormat="1" applyFill="1" applyBorder="1" applyAlignment="1">
      <alignment wrapText="1"/>
    </xf>
    <xf numFmtId="3" fontId="0" fillId="0" borderId="0" xfId="0" applyNumberFormat="1" applyBorder="1" applyAlignment="1">
      <alignment wrapText="1"/>
    </xf>
    <xf numFmtId="6" fontId="0" fillId="0" borderId="2" xfId="0" applyNumberFormat="1" applyBorder="1" applyAlignment="1"/>
    <xf numFmtId="3" fontId="19" fillId="0" borderId="0" xfId="0" applyNumberFormat="1" applyFont="1" applyBorder="1" applyAlignment="1">
      <alignment vertical="center"/>
    </xf>
    <xf numFmtId="6" fontId="19" fillId="0" borderId="0" xfId="0" applyNumberFormat="1" applyFont="1" applyBorder="1" applyAlignment="1">
      <alignment vertical="center"/>
    </xf>
    <xf numFmtId="0" fontId="28" fillId="0" borderId="0" xfId="0" applyFont="1" applyBorder="1" applyAlignment="1">
      <alignment wrapText="1"/>
    </xf>
    <xf numFmtId="167" fontId="0" fillId="0" borderId="2" xfId="0" applyNumberFormat="1" applyFill="1" applyBorder="1" applyAlignment="1">
      <alignment wrapText="1"/>
    </xf>
    <xf numFmtId="1" fontId="0" fillId="0" borderId="2" xfId="0" applyNumberFormat="1" applyFill="1" applyBorder="1" applyAlignment="1">
      <alignment horizontal="right" wrapText="1"/>
    </xf>
    <xf numFmtId="14" fontId="0" fillId="0" borderId="2" xfId="0" applyNumberFormat="1" applyBorder="1"/>
    <xf numFmtId="0" fontId="0" fillId="0" borderId="0" xfId="0" applyBorder="1"/>
    <xf numFmtId="167" fontId="10" fillId="0" borderId="2" xfId="0" applyNumberFormat="1" applyFont="1" applyBorder="1"/>
    <xf numFmtId="0" fontId="10" fillId="0" borderId="2" xfId="0" applyFont="1" applyBorder="1" applyAlignment="1">
      <alignment wrapText="1"/>
    </xf>
    <xf numFmtId="0" fontId="10" fillId="0" borderId="2" xfId="0" applyFont="1" applyBorder="1"/>
    <xf numFmtId="1" fontId="10" fillId="0" borderId="2" xfId="0" applyNumberFormat="1" applyFont="1" applyBorder="1" applyAlignment="1">
      <alignment horizontal="right"/>
    </xf>
    <xf numFmtId="3" fontId="10" fillId="0" borderId="2" xfId="0" applyNumberFormat="1" applyFont="1" applyBorder="1"/>
    <xf numFmtId="166" fontId="30" fillId="0" borderId="2" xfId="0" applyNumberFormat="1" applyFont="1" applyFill="1" applyBorder="1" applyAlignment="1">
      <alignment horizontal="left" wrapText="1"/>
    </xf>
    <xf numFmtId="49" fontId="6" fillId="0" borderId="2" xfId="0" applyNumberFormat="1" applyFont="1" applyFill="1" applyBorder="1" applyAlignment="1">
      <alignment horizontal="center" wrapText="1"/>
    </xf>
    <xf numFmtId="49" fontId="0" fillId="0" borderId="2" xfId="0" applyNumberFormat="1" applyBorder="1"/>
    <xf numFmtId="49" fontId="0" fillId="4" borderId="2" xfId="0" applyNumberFormat="1" applyFill="1" applyBorder="1"/>
    <xf numFmtId="49" fontId="0" fillId="0" borderId="2" xfId="0" applyNumberFormat="1" applyFill="1" applyBorder="1"/>
    <xf numFmtId="49" fontId="0" fillId="0" borderId="2" xfId="0" applyNumberFormat="1" applyBorder="1" applyAlignment="1">
      <alignment wrapText="1"/>
    </xf>
    <xf numFmtId="49" fontId="0" fillId="4" borderId="2" xfId="0" applyNumberFormat="1" applyFill="1" applyBorder="1" applyAlignment="1">
      <alignment wrapText="1"/>
    </xf>
    <xf numFmtId="49" fontId="0" fillId="0" borderId="2" xfId="0" applyNumberFormat="1" applyFill="1" applyBorder="1" applyAlignment="1">
      <alignment wrapText="1"/>
    </xf>
    <xf numFmtId="49" fontId="10" fillId="0" borderId="2" xfId="0" applyNumberFormat="1" applyFont="1" applyBorder="1"/>
    <xf numFmtId="0" fontId="6" fillId="0" borderId="0" xfId="0" applyFont="1" applyBorder="1" applyAlignment="1">
      <alignment vertical="center" wrapText="1"/>
    </xf>
    <xf numFmtId="0" fontId="0" fillId="0" borderId="2" xfId="0" applyBorder="1" applyAlignment="1">
      <alignment horizontal="left" indent="2"/>
    </xf>
    <xf numFmtId="168" fontId="0" fillId="0" borderId="2" xfId="0" applyNumberFormat="1" applyFill="1" applyBorder="1"/>
    <xf numFmtId="0" fontId="0" fillId="0" borderId="0" xfId="0" applyFill="1" applyAlignment="1">
      <alignment vertical="center" wrapText="1"/>
    </xf>
    <xf numFmtId="0" fontId="5" fillId="0" borderId="2" xfId="0" applyFont="1" applyFill="1" applyBorder="1"/>
    <xf numFmtId="0" fontId="0" fillId="0" borderId="2" xfId="0" applyFont="1" applyFill="1" applyBorder="1" applyAlignment="1">
      <alignment horizontal="left"/>
    </xf>
    <xf numFmtId="49" fontId="0" fillId="5" borderId="2" xfId="0" applyNumberFormat="1" applyFill="1" applyBorder="1"/>
    <xf numFmtId="1" fontId="0" fillId="5" borderId="2" xfId="0" applyNumberFormat="1" applyFill="1" applyBorder="1" applyAlignment="1">
      <alignment horizontal="right"/>
    </xf>
    <xf numFmtId="3" fontId="0" fillId="5" borderId="2" xfId="0" applyNumberFormat="1" applyFill="1" applyBorder="1"/>
    <xf numFmtId="166" fontId="13" fillId="5" borderId="2" xfId="0" applyNumberFormat="1" applyFont="1" applyFill="1" applyBorder="1" applyAlignment="1">
      <alignment horizontal="left" wrapText="1"/>
    </xf>
    <xf numFmtId="14" fontId="6" fillId="0" borderId="2" xfId="0" applyNumberFormat="1" applyFont="1" applyFill="1" applyBorder="1" applyAlignment="1">
      <alignment horizontal="center"/>
    </xf>
    <xf numFmtId="14" fontId="0" fillId="0" borderId="0" xfId="0" applyNumberFormat="1"/>
    <xf numFmtId="0" fontId="0" fillId="0" borderId="0" xfId="0" pivotButton="1"/>
    <xf numFmtId="0" fontId="0" fillId="0" borderId="0" xfId="0" applyNumberFormat="1"/>
    <xf numFmtId="9" fontId="0" fillId="0" borderId="0" xfId="3" applyFont="1"/>
    <xf numFmtId="169" fontId="0" fillId="0" borderId="0" xfId="3" applyNumberFormat="1" applyFont="1"/>
    <xf numFmtId="14" fontId="6" fillId="0" borderId="0" xfId="0" applyNumberFormat="1" applyFont="1" applyFill="1" applyBorder="1" applyAlignment="1">
      <alignment horizontal="center"/>
    </xf>
    <xf numFmtId="0" fontId="6" fillId="0" borderId="0" xfId="0" applyFont="1" applyFill="1" applyBorder="1" applyAlignment="1">
      <alignment horizontal="center" wrapText="1"/>
    </xf>
    <xf numFmtId="165" fontId="6" fillId="0" borderId="0" xfId="0" applyNumberFormat="1" applyFont="1" applyFill="1" applyBorder="1" applyAlignment="1">
      <alignment horizontal="center" wrapText="1"/>
    </xf>
    <xf numFmtId="0" fontId="6" fillId="0" borderId="0" xfId="0" applyFont="1" applyFill="1" applyBorder="1" applyAlignment="1">
      <alignment horizontal="center"/>
    </xf>
    <xf numFmtId="49" fontId="6" fillId="0" borderId="0" xfId="0" applyNumberFormat="1" applyFont="1" applyFill="1" applyBorder="1" applyAlignment="1">
      <alignment horizontal="center" wrapText="1"/>
    </xf>
    <xf numFmtId="1" fontId="6" fillId="0" borderId="0" xfId="0" applyNumberFormat="1" applyFont="1" applyFill="1" applyBorder="1" applyAlignment="1">
      <alignment horizontal="center" wrapText="1"/>
    </xf>
    <xf numFmtId="3" fontId="6" fillId="0" borderId="0" xfId="0" applyNumberFormat="1" applyFont="1" applyFill="1" applyBorder="1" applyAlignment="1">
      <alignment horizontal="center" wrapText="1"/>
    </xf>
    <xf numFmtId="166" fontId="6" fillId="0" borderId="0" xfId="0" applyNumberFormat="1" applyFont="1" applyFill="1" applyBorder="1" applyAlignment="1">
      <alignment horizontal="center" wrapText="1"/>
    </xf>
    <xf numFmtId="14" fontId="0" fillId="0" borderId="0" xfId="0" applyNumberFormat="1" applyBorder="1"/>
    <xf numFmtId="0" fontId="5" fillId="0" borderId="10" xfId="0" applyFont="1" applyBorder="1" applyAlignment="1">
      <alignment horizontal="center"/>
    </xf>
    <xf numFmtId="0" fontId="5" fillId="0" borderId="0" xfId="0" applyFont="1" applyBorder="1" applyAlignment="1">
      <alignment horizontal="center"/>
    </xf>
    <xf numFmtId="0" fontId="6" fillId="0" borderId="10" xfId="0" applyFont="1" applyBorder="1" applyAlignment="1">
      <alignment horizontal="center" vertical="center" wrapText="1"/>
    </xf>
    <xf numFmtId="0" fontId="6" fillId="0" borderId="0" xfId="0" applyFont="1" applyBorder="1" applyAlignment="1">
      <alignment horizontal="center" vertical="center" wrapText="1"/>
    </xf>
    <xf numFmtId="0" fontId="6" fillId="0" borderId="10" xfId="0" applyFont="1" applyBorder="1" applyAlignment="1">
      <alignment horizontal="center" wrapText="1"/>
    </xf>
    <xf numFmtId="0" fontId="6" fillId="0" borderId="0" xfId="0" applyFont="1" applyBorder="1" applyAlignment="1">
      <alignment horizontal="center" wrapText="1"/>
    </xf>
    <xf numFmtId="0" fontId="5" fillId="0" borderId="8" xfId="0" applyFont="1" applyBorder="1" applyAlignment="1">
      <alignment horizontal="center"/>
    </xf>
    <xf numFmtId="0" fontId="5" fillId="0" borderId="9" xfId="0" applyFont="1" applyBorder="1" applyAlignment="1">
      <alignment horizontal="center"/>
    </xf>
    <xf numFmtId="0" fontId="6" fillId="0" borderId="5" xfId="0" applyFont="1" applyBorder="1" applyAlignment="1">
      <alignment horizontal="center" wrapText="1"/>
    </xf>
    <xf numFmtId="0" fontId="6" fillId="0" borderId="3" xfId="0" applyFont="1" applyBorder="1" applyAlignment="1">
      <alignment horizontal="center" wrapText="1"/>
    </xf>
    <xf numFmtId="0" fontId="6" fillId="0" borderId="4" xfId="0" applyFont="1" applyBorder="1" applyAlignment="1">
      <alignment horizontal="center" wrapText="1"/>
    </xf>
    <xf numFmtId="0" fontId="5" fillId="0" borderId="5" xfId="0" applyFont="1" applyBorder="1" applyAlignment="1">
      <alignment horizontal="center"/>
    </xf>
    <xf numFmtId="0" fontId="5" fillId="0" borderId="3" xfId="0" applyFont="1" applyBorder="1" applyAlignment="1">
      <alignment horizontal="center"/>
    </xf>
    <xf numFmtId="0" fontId="5" fillId="0" borderId="4" xfId="0" applyFont="1" applyBorder="1" applyAlignment="1">
      <alignment horizontal="center"/>
    </xf>
  </cellXfs>
  <cellStyles count="4">
    <cellStyle name="Currency" xfId="1" builtinId="4"/>
    <cellStyle name="Hyperlink" xfId="2" builtinId="8"/>
    <cellStyle name="Normal" xfId="0" builtinId="0"/>
    <cellStyle name="Percent" xfId="3" builtinId="5"/>
  </cellStyles>
  <dxfs count="16">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left" readingOrder="0"/>
    </dxf>
    <dxf>
      <fill>
        <patternFill>
          <bgColor theme="4" tint="0.79998168889431442"/>
        </patternFill>
      </fill>
    </dxf>
    <dxf>
      <fill>
        <patternFill>
          <bgColor theme="4" tint="0.79998168889431442"/>
        </patternFill>
      </fill>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left" readingOrder="0"/>
    </dxf>
    <dxf>
      <fill>
        <patternFill>
          <bgColor theme="4" tint="0.79998168889431442"/>
        </patternFill>
      </fill>
    </dxf>
    <dxf>
      <fill>
        <patternFill>
          <bgColor theme="4" tint="0.79998168889431442"/>
        </patternFill>
      </fill>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left" readingOrder="0"/>
    </dxf>
    <dxf>
      <fill>
        <patternFill>
          <bgColor theme="4" tint="0.79998168889431442"/>
        </patternFill>
      </fill>
    </dxf>
    <dxf>
      <fill>
        <patternFill>
          <bgColor theme="4" tint="0.7999816888943144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4.xml"/><Relationship Id="rId2" Type="http://schemas.openxmlformats.org/officeDocument/2006/relationships/worksheet" Target="worksheets/sheet2.xml"/><Relationship Id="rId16" Type="http://schemas.openxmlformats.org/officeDocument/2006/relationships/pivotCacheDefinition" Target="pivotCache/pivotCacheDefinition3.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pivotCacheDefinition" Target="pivotCache/pivotCacheDefinition2.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r:id="rId1" refreshedBy="Patterson, Melissa" refreshedDate="43462.633243055556" createdVersion="5" refreshedVersion="5" minRefreshableVersion="3" recordCount="1012">
  <cacheSource type="worksheet">
    <worksheetSource ref="A1:U1013" sheet="2018"/>
  </cacheSource>
  <cacheFields count="21">
    <cacheField name="Date" numFmtId="0">
      <sharedItems containsSemiMixedTypes="0" containsNonDate="0" containsDate="1" containsString="0" minDate="2018-01-02T00:00:00" maxDate="2018-12-29T00:00:00" count="241">
        <d v="2018-01-02T00:00:00"/>
        <d v="2018-01-03T00:00:00"/>
        <d v="2018-01-04T00:00:00"/>
        <d v="2018-01-05T00:00:00"/>
        <d v="2018-01-09T00:00:00"/>
        <d v="2018-01-10T00:00:00"/>
        <d v="2018-01-11T00:00:00"/>
        <d v="2018-01-12T00:00:00"/>
        <d v="2018-01-15T00:00:00"/>
        <d v="2018-01-16T00:00:00"/>
        <d v="2018-01-17T00:00:00"/>
        <d v="2018-01-18T00:00:00"/>
        <d v="2018-01-19T00:00:00"/>
        <d v="2018-01-22T00:00:00"/>
        <d v="2018-01-23T00:00:00"/>
        <d v="2018-01-24T00:00:00"/>
        <d v="2018-01-25T00:00:00"/>
        <d v="2018-01-26T00:00:00"/>
        <d v="2018-01-30T00:00:00"/>
        <d v="2018-01-31T00:00:00"/>
        <d v="2018-02-01T00:00:00"/>
        <d v="2018-02-02T00:00:00"/>
        <d v="2018-02-05T00:00:00"/>
        <d v="2018-02-06T00:00:00"/>
        <d v="2018-02-07T00:00:00"/>
        <d v="2018-02-08T00:00:00"/>
        <d v="2018-02-09T00:00:00"/>
        <d v="2018-02-12T00:00:00"/>
        <d v="2018-02-14T00:00:00"/>
        <d v="2018-02-15T00:00:00"/>
        <d v="2018-02-16T00:00:00"/>
        <d v="2018-02-19T00:00:00"/>
        <d v="2018-02-20T00:00:00"/>
        <d v="2018-02-21T00:00:00"/>
        <d v="2018-02-22T00:00:00"/>
        <d v="2018-02-26T00:00:00"/>
        <d v="2018-02-27T00:00:00"/>
        <d v="2018-02-28T00:00:00"/>
        <d v="2018-03-01T00:00:00"/>
        <d v="2018-03-02T00:00:00"/>
        <d v="2018-03-05T00:00:00"/>
        <d v="2018-03-06T00:00:00"/>
        <d v="2018-03-07T00:00:00"/>
        <d v="2018-03-08T00:00:00"/>
        <d v="2018-03-09T00:00:00"/>
        <d v="2018-03-12T00:00:00"/>
        <d v="2018-03-13T00:00:00"/>
        <d v="2018-03-14T00:00:00"/>
        <d v="2018-03-15T00:00:00"/>
        <d v="2018-03-16T00:00:00"/>
        <d v="2018-03-19T00:00:00"/>
        <d v="2018-03-20T00:00:00"/>
        <d v="2018-03-21T00:00:00"/>
        <d v="2018-03-22T00:00:00"/>
        <d v="2018-03-23T00:00:00"/>
        <d v="2018-03-26T00:00:00"/>
        <d v="2018-03-27T00:00:00"/>
        <d v="2018-03-28T00:00:00"/>
        <d v="2018-03-29T00:00:00"/>
        <d v="2018-04-02T00:00:00"/>
        <d v="2018-04-03T00:00:00"/>
        <d v="2018-04-04T00:00:00"/>
        <d v="2018-04-05T00:00:00"/>
        <d v="2018-04-06T00:00:00"/>
        <d v="2018-04-09T00:00:00"/>
        <d v="2018-04-10T00:00:00"/>
        <d v="2018-04-11T00:00:00"/>
        <d v="2018-04-12T00:00:00"/>
        <d v="2018-04-13T00:00:00"/>
        <d v="2018-04-16T00:00:00"/>
        <d v="2018-04-17T00:00:00"/>
        <d v="2018-04-18T00:00:00"/>
        <d v="2018-04-19T00:00:00"/>
        <d v="2018-04-20T00:00:00"/>
        <d v="2018-04-23T00:00:00"/>
        <d v="2018-04-24T00:00:00"/>
        <d v="2018-04-25T00:00:00"/>
        <d v="2018-04-26T00:00:00"/>
        <d v="2018-04-27T00:00:00"/>
        <d v="2018-04-30T00:00:00"/>
        <d v="2018-05-01T00:00:00"/>
        <d v="2018-05-02T00:00:00"/>
        <d v="2018-05-03T00:00:00"/>
        <d v="2018-05-04T00:00:00"/>
        <d v="2018-05-07T00:00:00"/>
        <d v="2018-05-08T00:00:00"/>
        <d v="2018-05-09T00:00:00"/>
        <d v="2018-05-10T00:00:00"/>
        <d v="2018-05-11T00:00:00"/>
        <d v="2018-05-14T00:00:00"/>
        <d v="2018-05-15T00:00:00"/>
        <d v="2018-05-16T00:00:00"/>
        <d v="2018-05-17T00:00:00"/>
        <d v="2018-05-18T00:00:00"/>
        <d v="2018-05-21T00:00:00"/>
        <d v="2018-05-23T00:00:00"/>
        <d v="2018-05-24T00:00:00"/>
        <d v="2018-05-25T00:00:00"/>
        <d v="2018-05-29T00:00:00"/>
        <d v="2018-05-30T00:00:00"/>
        <d v="2018-05-31T00:00:00"/>
        <d v="2018-06-01T00:00:00"/>
        <d v="2018-06-04T00:00:00"/>
        <d v="2018-06-05T00:00:00"/>
        <d v="2018-06-06T00:00:00"/>
        <d v="2018-06-07T00:00:00"/>
        <d v="2018-06-08T00:00:00"/>
        <d v="2018-06-11T00:00:00"/>
        <d v="2018-06-12T00:00:00"/>
        <d v="2018-06-13T00:00:00"/>
        <d v="2018-06-14T00:00:00"/>
        <d v="2018-06-15T00:00:00"/>
        <d v="2018-06-18T00:00:00"/>
        <d v="2018-06-19T00:00:00"/>
        <d v="2018-06-20T00:00:00"/>
        <d v="2018-06-21T00:00:00"/>
        <d v="2018-06-22T00:00:00"/>
        <d v="2018-06-25T00:00:00"/>
        <d v="2018-06-26T00:00:00"/>
        <d v="2018-06-27T00:00:00"/>
        <d v="2018-06-28T00:00:00"/>
        <d v="2018-06-29T00:00:00"/>
        <d v="2018-07-02T00:00:00"/>
        <d v="2018-07-03T00:00:00"/>
        <d v="2018-07-05T00:00:00"/>
        <d v="2018-07-06T00:00:00"/>
        <d v="2018-07-09T00:00:00"/>
        <d v="2018-07-10T00:00:00"/>
        <d v="2018-07-11T00:00:00"/>
        <d v="2018-07-12T00:00:00"/>
        <d v="2018-07-13T00:00:00"/>
        <d v="2018-07-16T00:00:00"/>
        <d v="2018-07-17T00:00:00"/>
        <d v="2018-07-18T00:00:00"/>
        <d v="2018-07-19T00:00:00"/>
        <d v="2018-07-20T00:00:00"/>
        <d v="2018-07-23T00:00:00"/>
        <d v="2018-07-24T00:00:00"/>
        <d v="2018-07-25T00:00:00"/>
        <d v="2018-07-26T00:00:00"/>
        <d v="2018-07-27T00:00:00"/>
        <d v="2018-07-30T00:00:00"/>
        <d v="2018-07-31T00:00:00"/>
        <d v="2018-08-01T00:00:00"/>
        <d v="2018-08-02T00:00:00"/>
        <d v="2018-08-03T00:00:00"/>
        <d v="2018-08-06T00:00:00"/>
        <d v="2018-08-07T00:00:00"/>
        <d v="2018-08-08T00:00:00"/>
        <d v="2018-08-09T00:00:00"/>
        <d v="2018-08-10T00:00:00"/>
        <d v="2018-08-13T00:00:00"/>
        <d v="2018-08-14T00:00:00"/>
        <d v="2018-08-15T00:00:00"/>
        <d v="2018-08-16T00:00:00"/>
        <d v="2018-08-17T00:00:00"/>
        <d v="2018-08-20T00:00:00"/>
        <d v="2018-08-21T00:00:00"/>
        <d v="2018-08-22T00:00:00"/>
        <d v="2018-08-23T00:00:00"/>
        <d v="2018-08-24T00:00:00"/>
        <d v="2018-08-27T00:00:00"/>
        <d v="2018-08-28T00:00:00"/>
        <d v="2018-08-29T00:00:00"/>
        <d v="2018-08-30T00:00:00"/>
        <d v="2018-08-31T00:00:00"/>
        <d v="2018-09-04T00:00:00"/>
        <d v="2018-09-05T00:00:00"/>
        <d v="2018-09-06T00:00:00"/>
        <d v="2018-09-07T00:00:00"/>
        <d v="2018-09-08T00:00:00"/>
        <d v="2018-09-10T00:00:00"/>
        <d v="2018-09-11T00:00:00"/>
        <d v="2018-09-12T00:00:00"/>
        <d v="2018-09-13T00:00:00"/>
        <d v="2018-09-14T00:00:00"/>
        <d v="2018-09-17T00:00:00"/>
        <d v="2018-09-18T00:00:00"/>
        <d v="2018-09-19T00:00:00"/>
        <d v="2018-09-20T00:00:00"/>
        <d v="2018-09-21T00:00:00"/>
        <d v="2018-09-24T00:00:00"/>
        <d v="2018-09-25T00:00:00"/>
        <d v="2018-09-26T00:00:00"/>
        <d v="2018-09-27T00:00:00"/>
        <d v="2018-09-28T00:00:00"/>
        <d v="2018-10-01T00:00:00"/>
        <d v="2018-10-02T00:00:00"/>
        <d v="2018-10-03T00:00:00"/>
        <d v="2018-10-04T00:00:00"/>
        <d v="2018-10-05T00:00:00"/>
        <d v="2018-10-08T00:00:00"/>
        <d v="2018-10-09T00:00:00"/>
        <d v="2018-10-10T00:00:00"/>
        <d v="2018-10-11T00:00:00"/>
        <d v="2018-10-12T00:00:00"/>
        <d v="2018-10-15T00:00:00"/>
        <d v="2018-10-16T00:00:00"/>
        <d v="2018-10-17T00:00:00"/>
        <d v="2018-10-18T00:00:00"/>
        <d v="2018-10-19T00:00:00"/>
        <d v="2018-10-22T00:00:00"/>
        <d v="2018-10-23T00:00:00"/>
        <d v="2018-10-24T00:00:00"/>
        <d v="2018-10-25T00:00:00"/>
        <d v="2018-10-26T00:00:00"/>
        <d v="2018-10-29T00:00:00"/>
        <d v="2018-10-30T00:00:00"/>
        <d v="2018-10-31T00:00:00"/>
        <d v="2018-11-02T00:00:00"/>
        <d v="2018-11-06T00:00:00"/>
        <d v="2018-11-07T00:00:00"/>
        <d v="2018-11-08T00:00:00"/>
        <d v="2018-11-09T00:00:00"/>
        <d v="2018-11-13T00:00:00"/>
        <d v="2018-11-14T00:00:00"/>
        <d v="2018-11-15T00:00:00"/>
        <d v="2018-11-19T00:00:00"/>
        <d v="2018-11-20T00:00:00"/>
        <d v="2018-11-21T00:00:00"/>
        <d v="2018-11-26T00:00:00"/>
        <d v="2018-11-27T00:00:00"/>
        <d v="2018-11-28T00:00:00"/>
        <d v="2018-11-29T00:00:00"/>
        <d v="2018-11-30T00:00:00"/>
        <d v="2018-12-03T00:00:00"/>
        <d v="2018-12-04T00:00:00"/>
        <d v="2018-12-05T00:00:00"/>
        <d v="2018-12-06T00:00:00"/>
        <d v="2018-12-07T00:00:00"/>
        <d v="2018-12-10T00:00:00"/>
        <d v="2018-12-11T00:00:00"/>
        <d v="2018-12-12T00:00:00"/>
        <d v="2018-12-13T00:00:00"/>
        <d v="2018-12-14T00:00:00"/>
        <d v="2018-12-17T00:00:00"/>
        <d v="2018-12-18T00:00:00"/>
        <d v="2018-12-20T00:00:00"/>
        <d v="2018-12-26T00:00:00"/>
        <d v="2018-12-27T00:00:00"/>
        <d v="2018-12-28T00:00:00"/>
      </sharedItems>
      <fieldGroup base="0">
        <rangePr groupBy="months" startDate="2018-01-02T00:00:00" endDate="2018-12-29T00:00:00"/>
        <groupItems count="14">
          <s v="&lt;1/2/2018"/>
          <s v="Jan"/>
          <s v="Feb"/>
          <s v="Mar"/>
          <s v="Apr"/>
          <s v="May"/>
          <s v="Jun"/>
          <s v="Jul"/>
          <s v="Aug"/>
          <s v="Sep"/>
          <s v="Oct"/>
          <s v="Nov"/>
          <s v="Dec"/>
          <s v="&gt;12/29/2018"/>
        </groupItems>
      </fieldGroup>
    </cacheField>
    <cacheField name="Agency Name" numFmtId="0">
      <sharedItems count="15">
        <s v="Burns"/>
        <s v="ASL"/>
        <s v="Hull Irvine"/>
        <s v="XS Brokers"/>
        <s v="Quaker"/>
        <s v="Hull Horsham"/>
        <s v="SCU"/>
        <s v="JM Wilson"/>
        <s v="Hull Charlotte"/>
        <s v="Hull Stockton"/>
        <s v="Burns NC"/>
        <s v="RPS Covington"/>
        <s v="TPI"/>
        <s v="Appalachian"/>
        <s v="AmWINS"/>
      </sharedItems>
    </cacheField>
    <cacheField name="Office Location" numFmtId="0">
      <sharedItems containsBlank="1"/>
    </cacheField>
    <cacheField name="Contact Name" numFmtId="0">
      <sharedItems containsBlank="1"/>
    </cacheField>
    <cacheField name="Source (Call/Email)" numFmtId="0">
      <sharedItems containsBlank="1"/>
    </cacheField>
    <cacheField name="Insured Last Name" numFmtId="0">
      <sharedItems containsBlank="1"/>
    </cacheField>
    <cacheField name="Insured First Name" numFmtId="0">
      <sharedItems containsBlank="1"/>
    </cacheField>
    <cacheField name="Product/Occupancy" numFmtId="0">
      <sharedItems containsBlank="1"/>
    </cacheField>
    <cacheField name="City" numFmtId="0">
      <sharedItems containsBlank="1"/>
    </cacheField>
    <cacheField name="State" numFmtId="0">
      <sharedItems containsBlank="1"/>
    </cacheField>
    <cacheField name="Zip" numFmtId="0">
      <sharedItems containsBlank="1" containsMixedTypes="1" containsNumber="1" containsInteger="1" minValue="20136" maxValue="96146"/>
    </cacheField>
    <cacheField name="Protection Class" numFmtId="0">
      <sharedItems containsBlank="1" containsMixedTypes="1" containsNumber="1" containsInteger="1" minValue="1" maxValue="43229"/>
    </cacheField>
    <cacheField name="Covg A" numFmtId="0">
      <sharedItems containsBlank="1" containsMixedTypes="1" containsNumber="1" containsInteger="1" minValue="6000" maxValue="141478410"/>
    </cacheField>
    <cacheField name="TIV" numFmtId="0">
      <sharedItems containsBlank="1" containsMixedTypes="1" containsNumber="1" containsInteger="1" minValue="9500" maxValue="29000000"/>
    </cacheField>
    <cacheField name="NEW FIELD W/DROP DOWN             System Reason(s) for Referral" numFmtId="0">
      <sharedItems containsBlank="1" count="14">
        <s v="TIV"/>
        <s v="Losses"/>
        <s v="Occupancy/Use"/>
        <s v="High Profile"/>
        <s v="Age of Home"/>
        <s v="Business on Premises"/>
        <s v="Prior Lapse/NRN"/>
        <s v="Other UW Reason"/>
        <s v="PC"/>
        <s v="Rate"/>
        <s v="Heat Source"/>
        <s v="Builders Risk"/>
        <s v="Condition"/>
        <m/>
      </sharedItems>
    </cacheField>
    <cacheField name="Risk Details" numFmtId="0">
      <sharedItems containsBlank="1" longText="1"/>
    </cacheField>
    <cacheField name="Approve/Subj" numFmtId="0">
      <sharedItems count="6">
        <s v="Approve/Subj"/>
        <s v="Approve"/>
        <s v="Decline"/>
        <s v="Converted"/>
        <s v="Pend"/>
        <s v=" " u="1"/>
      </sharedItems>
    </cacheField>
    <cacheField name="Reason(s) for Decision" numFmtId="0">
      <sharedItems containsBlank="1" longText="1"/>
    </cacheField>
    <cacheField name="MARKEL CONFIDENTIAL     Follow up &amp; FYI Notes" numFmtId="0">
      <sharedItems containsBlank="1" containsMixedTypes="1" containsNumber="1" minValue="473035.2" maxValue="473035.2" longText="1"/>
    </cacheField>
    <cacheField name="Time Study - Minutes Spent" numFmtId="0">
      <sharedItems containsBlank="1"/>
    </cacheField>
    <cacheField name="Underwriter" numFmtId="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Patterson, Melissa" refreshedDate="43462.633243171294" createdVersion="4" refreshedVersion="5" minRefreshableVersion="3" recordCount="1207">
  <cacheSource type="worksheet">
    <worksheetSource ref="A1:U1208" sheet="2017"/>
  </cacheSource>
  <cacheFields count="20">
    <cacheField name="Date" numFmtId="0">
      <sharedItems containsSemiMixedTypes="0" containsNonDate="0" containsDate="1" containsString="0" minDate="2017-01-03T00:00:00" maxDate="2017-12-30T00:00:00" count="246">
        <d v="2017-01-03T00:00:00"/>
        <d v="2017-01-04T00:00:00"/>
        <d v="2017-01-05T00:00:00"/>
        <d v="2017-01-06T00:00:00"/>
        <d v="2017-01-09T00:00:00"/>
        <d v="2017-01-10T00:00:00"/>
        <d v="2017-01-11T00:00:00"/>
        <d v="2017-01-12T00:00:00"/>
        <d v="2017-01-13T00:00:00"/>
        <d v="2017-01-16T00:00:00"/>
        <d v="2017-01-17T00:00:00"/>
        <d v="2017-01-18T00:00:00"/>
        <d v="2017-01-19T00:00:00"/>
        <d v="2017-01-20T00:00:00"/>
        <d v="2017-01-21T00:00:00"/>
        <d v="2017-01-23T00:00:00"/>
        <d v="2017-01-24T00:00:00"/>
        <d v="2017-01-25T00:00:00"/>
        <d v="2017-01-26T00:00:00"/>
        <d v="2017-01-27T00:00:00"/>
        <d v="2017-01-30T00:00:00"/>
        <d v="2017-01-31T00:00:00"/>
        <d v="2017-02-01T00:00:00"/>
        <d v="2017-02-02T00:00:00"/>
        <d v="2017-02-03T00:00:00"/>
        <d v="2017-02-06T00:00:00"/>
        <d v="2017-02-07T00:00:00"/>
        <d v="2017-02-08T00:00:00"/>
        <d v="2017-02-09T00:00:00"/>
        <d v="2017-02-10T00:00:00"/>
        <d v="2017-02-13T00:00:00"/>
        <d v="2017-02-14T00:00:00"/>
        <d v="2017-02-15T00:00:00"/>
        <d v="2017-02-16T00:00:00"/>
        <d v="2017-02-17T00:00:00"/>
        <d v="2017-02-20T00:00:00"/>
        <d v="2017-02-21T00:00:00"/>
        <d v="2017-02-22T00:00:00"/>
        <d v="2017-02-23T00:00:00"/>
        <d v="2017-02-24T00:00:00"/>
        <d v="2017-02-27T00:00:00"/>
        <d v="2017-02-28T00:00:00"/>
        <d v="2017-03-01T00:00:00"/>
        <d v="2017-03-02T00:00:00"/>
        <d v="2017-03-03T00:00:00"/>
        <d v="2017-03-07T00:00:00"/>
        <d v="2017-03-08T00:00:00"/>
        <d v="2017-03-09T00:00:00"/>
        <d v="2017-03-10T00:00:00"/>
        <d v="2017-03-13T00:00:00"/>
        <d v="2017-03-14T00:00:00"/>
        <d v="2017-03-15T00:00:00"/>
        <d v="2017-03-16T00:00:00"/>
        <d v="2017-03-17T00:00:00"/>
        <d v="2017-03-21T00:00:00"/>
        <d v="2017-03-22T00:00:00"/>
        <d v="2017-03-23T00:00:00"/>
        <d v="2017-03-24T00:00:00"/>
        <d v="2017-03-25T00:00:00"/>
        <d v="2017-03-27T00:00:00"/>
        <d v="2017-03-28T00:00:00"/>
        <d v="2017-03-29T00:00:00"/>
        <d v="2017-03-30T00:00:00"/>
        <d v="2017-03-31T00:00:00"/>
        <d v="2017-04-03T00:00:00"/>
        <d v="2017-04-04T00:00:00"/>
        <d v="2017-04-05T00:00:00"/>
        <d v="2017-04-06T00:00:00"/>
        <d v="2017-04-07T00:00:00"/>
        <d v="2017-04-10T00:00:00"/>
        <d v="2017-04-11T00:00:00"/>
        <d v="2017-04-12T00:00:00"/>
        <d v="2017-04-13T00:00:00"/>
        <d v="2017-04-14T00:00:00"/>
        <d v="2017-04-17T00:00:00"/>
        <d v="2017-04-18T00:00:00"/>
        <d v="2017-04-19T00:00:00"/>
        <d v="2017-04-20T00:00:00"/>
        <d v="2017-04-21T00:00:00"/>
        <d v="2017-04-24T00:00:00"/>
        <d v="2017-04-25T00:00:00"/>
        <d v="2017-04-26T00:00:00"/>
        <d v="2017-04-27T00:00:00"/>
        <d v="2017-04-28T00:00:00"/>
        <d v="2017-05-01T00:00:00"/>
        <d v="2017-05-02T00:00:00"/>
        <d v="2017-05-03T00:00:00"/>
        <d v="2017-05-04T00:00:00"/>
        <d v="2017-05-05T00:00:00"/>
        <d v="2017-05-08T00:00:00"/>
        <d v="2017-05-09T00:00:00"/>
        <d v="2017-05-10T00:00:00"/>
        <d v="2017-05-11T00:00:00"/>
        <d v="2017-05-12T00:00:00"/>
        <d v="2017-05-15T00:00:00"/>
        <d v="2017-05-16T00:00:00"/>
        <d v="2017-05-17T00:00:00"/>
        <d v="2017-05-18T00:00:00"/>
        <d v="2017-05-19T00:00:00"/>
        <d v="2017-05-22T00:00:00"/>
        <d v="2017-05-23T00:00:00"/>
        <d v="2017-05-24T00:00:00"/>
        <d v="2017-05-25T00:00:00"/>
        <d v="2017-05-26T00:00:00"/>
        <d v="2017-05-30T00:00:00"/>
        <d v="2017-05-31T00:00:00"/>
        <d v="2017-06-01T00:00:00"/>
        <d v="2017-06-02T00:00:00"/>
        <d v="2017-06-05T00:00:00"/>
        <d v="2017-06-06T00:00:00"/>
        <d v="2017-06-07T00:00:00"/>
        <d v="2017-06-08T00:00:00"/>
        <d v="2017-06-09T00:00:00"/>
        <d v="2017-06-12T00:00:00"/>
        <d v="2017-06-13T00:00:00"/>
        <d v="2017-06-14T00:00:00"/>
        <d v="2017-06-16T00:00:00"/>
        <d v="2017-06-19T00:00:00"/>
        <d v="2017-06-20T00:00:00"/>
        <d v="2017-06-21T00:00:00"/>
        <d v="2017-06-22T00:00:00"/>
        <d v="2017-06-23T00:00:00"/>
        <d v="2017-06-26T00:00:00"/>
        <d v="2017-06-27T00:00:00"/>
        <d v="2017-06-28T00:00:00"/>
        <d v="2017-06-29T00:00:00"/>
        <d v="2017-06-30T00:00:00"/>
        <d v="2017-07-05T00:00:00"/>
        <d v="2017-07-06T00:00:00"/>
        <d v="2017-07-07T00:00:00"/>
        <d v="2017-07-10T00:00:00"/>
        <d v="2017-07-11T00:00:00"/>
        <d v="2017-07-12T00:00:00"/>
        <d v="2017-07-13T00:00:00"/>
        <d v="2017-07-14T00:00:00"/>
        <d v="2017-07-17T00:00:00"/>
        <d v="2017-07-18T00:00:00"/>
        <d v="2017-07-19T00:00:00"/>
        <d v="2017-07-20T00:00:00"/>
        <d v="2017-07-21T00:00:00"/>
        <d v="2017-07-24T00:00:00"/>
        <d v="2017-07-25T00:00:00"/>
        <d v="2017-07-26T00:00:00"/>
        <d v="2017-07-27T00:00:00"/>
        <d v="2017-07-28T00:00:00"/>
        <d v="2017-07-31T00:00:00"/>
        <d v="2017-08-01T00:00:00"/>
        <d v="2017-08-02T00:00:00"/>
        <d v="2017-08-03T00:00:00"/>
        <d v="2017-08-04T00:00:00"/>
        <d v="2017-08-07T00:00:00"/>
        <d v="2017-08-08T00:00:00"/>
        <d v="2017-08-09T00:00:00"/>
        <d v="2017-08-10T00:00:00"/>
        <d v="2017-08-11T00:00:00"/>
        <d v="2017-08-15T00:00:00"/>
        <d v="2017-08-16T00:00:00"/>
        <d v="2017-08-17T00:00:00"/>
        <d v="2017-08-18T00:00:00"/>
        <d v="2017-08-21T00:00:00"/>
        <d v="2017-08-22T00:00:00"/>
        <d v="2017-08-23T00:00:00"/>
        <d v="2017-08-24T00:00:00"/>
        <d v="2017-08-25T00:00:00"/>
        <d v="2017-08-29T00:00:00"/>
        <d v="2017-08-30T00:00:00"/>
        <d v="2017-08-31T00:00:00"/>
        <d v="2017-09-01T00:00:00"/>
        <d v="2017-09-05T00:00:00"/>
        <d v="2017-09-06T00:00:00"/>
        <d v="2017-09-07T00:00:00"/>
        <d v="2017-09-08T00:00:00"/>
        <d v="2017-09-11T00:00:00"/>
        <d v="2017-09-12T00:00:00"/>
        <d v="2017-09-13T00:00:00"/>
        <d v="2017-09-14T00:00:00"/>
        <d v="2017-09-15T00:00:00"/>
        <d v="2017-09-18T00:00:00"/>
        <d v="2017-09-19T00:00:00"/>
        <d v="2017-09-20T00:00:00"/>
        <d v="2017-09-21T00:00:00"/>
        <d v="2017-09-22T00:00:00"/>
        <d v="2017-09-25T00:00:00"/>
        <d v="2017-09-26T00:00:00"/>
        <d v="2017-09-27T00:00:00"/>
        <d v="2017-09-28T00:00:00"/>
        <d v="2017-09-29T00:00:00"/>
        <d v="2017-10-02T00:00:00"/>
        <d v="2017-10-03T00:00:00"/>
        <d v="2017-10-04T00:00:00"/>
        <d v="2017-10-05T00:00:00"/>
        <d v="2017-10-06T00:00:00"/>
        <d v="2017-10-09T00:00:00"/>
        <d v="2017-10-10T00:00:00"/>
        <d v="2017-10-11T00:00:00"/>
        <d v="2017-10-12T00:00:00"/>
        <d v="2017-10-13T00:00:00"/>
        <d v="2017-10-16T00:00:00"/>
        <d v="2017-10-17T00:00:00"/>
        <d v="2017-10-18T00:00:00"/>
        <d v="2017-10-19T00:00:00"/>
        <d v="2017-10-20T00:00:00"/>
        <d v="2017-10-23T00:00:00"/>
        <d v="2017-10-24T00:00:00"/>
        <d v="2017-10-25T00:00:00"/>
        <d v="2017-10-26T00:00:00"/>
        <d v="2017-10-27T00:00:00"/>
        <d v="2017-10-30T00:00:00"/>
        <d v="2017-10-31T00:00:00"/>
        <d v="2017-11-01T00:00:00"/>
        <d v="2017-11-02T00:00:00"/>
        <d v="2017-11-03T00:00:00"/>
        <d v="2017-11-06T00:00:00"/>
        <d v="2017-11-07T00:00:00"/>
        <d v="2017-11-08T00:00:00"/>
        <d v="2017-11-09T00:00:00"/>
        <d v="2017-11-10T00:00:00"/>
        <d v="2017-11-13T00:00:00"/>
        <d v="2017-11-14T00:00:00"/>
        <d v="2017-11-15T00:00:00"/>
        <d v="2017-11-16T00:00:00"/>
        <d v="2017-11-17T00:00:00"/>
        <d v="2017-11-20T00:00:00"/>
        <d v="2017-11-21T00:00:00"/>
        <d v="2017-11-22T00:00:00"/>
        <d v="2017-11-28T00:00:00"/>
        <d v="2017-11-29T00:00:00"/>
        <d v="2017-11-30T00:00:00"/>
        <d v="2017-12-01T00:00:00"/>
        <d v="2017-12-04T00:00:00"/>
        <d v="2017-12-05T00:00:00"/>
        <d v="2017-12-06T00:00:00"/>
        <d v="2017-12-07T00:00:00"/>
        <d v="2017-12-08T00:00:00"/>
        <d v="2017-12-11T00:00:00"/>
        <d v="2017-12-13T00:00:00"/>
        <d v="2017-12-14T00:00:00"/>
        <d v="2017-12-12T00:00:00"/>
        <d v="2017-12-15T00:00:00"/>
        <d v="2017-12-20T00:00:00"/>
        <d v="2017-12-21T00:00:00"/>
        <d v="2017-12-22T00:00:00"/>
        <d v="2017-12-19T00:00:00"/>
        <d v="2017-12-27T00:00:00"/>
        <d v="2017-12-28T00:00:00"/>
        <d v="2017-12-29T00:00:00"/>
      </sharedItems>
      <fieldGroup base="0">
        <rangePr autoStart="0" groupBy="months" startDate="2016-01-04T00:00:00" endDate="2017-12-30T00:00:00"/>
        <groupItems count="14">
          <s v="&lt;1/4/2016"/>
          <s v="Jan"/>
          <s v="Feb"/>
          <s v="Mar"/>
          <s v="Apr"/>
          <s v="May"/>
          <s v="Jun"/>
          <s v="Jul"/>
          <s v="Aug"/>
          <s v="Sep"/>
          <s v="Oct"/>
          <s v="Nov"/>
          <s v="Dec"/>
          <s v="&gt;12/30/2017"/>
        </groupItems>
      </fieldGroup>
    </cacheField>
    <cacheField name="Agency Name" numFmtId="0">
      <sharedItems count="14">
        <s v="Burns"/>
        <s v="Hull Horsham"/>
        <s v="Hull Irvine"/>
        <s v="Bolton"/>
        <s v="SCU"/>
        <s v="Burns NC"/>
        <s v="Hull Stockton"/>
        <s v="ASL"/>
        <s v="Hull Charlotte"/>
        <s v="XS Brokers"/>
        <s v="RPS Covington"/>
        <s v="Quaker"/>
        <s v="JM Wilson"/>
        <s v="Burns   " u="1"/>
      </sharedItems>
    </cacheField>
    <cacheField name="Office Location" numFmtId="0">
      <sharedItems containsBlank="1"/>
    </cacheField>
    <cacheField name="Contact Name" numFmtId="0">
      <sharedItems/>
    </cacheField>
    <cacheField name="Source (Call/Email)" numFmtId="0">
      <sharedItems/>
    </cacheField>
    <cacheField name="Insured Last Name" numFmtId="0">
      <sharedItems containsBlank="1"/>
    </cacheField>
    <cacheField name="Insured First Name" numFmtId="0">
      <sharedItems containsBlank="1"/>
    </cacheField>
    <cacheField name="Product/Occupancy" numFmtId="0">
      <sharedItems containsBlank="1"/>
    </cacheField>
    <cacheField name="City" numFmtId="0">
      <sharedItems containsBlank="1"/>
    </cacheField>
    <cacheField name="State" numFmtId="0">
      <sharedItems containsBlank="1"/>
    </cacheField>
    <cacheField name="Protection Class" numFmtId="0">
      <sharedItems containsBlank="1" containsMixedTypes="1" containsNumber="1" minValue="0.9" maxValue="92887"/>
    </cacheField>
    <cacheField name="Covg A" numFmtId="0">
      <sharedItems containsString="0" containsBlank="1" containsNumber="1" containsInteger="1" minValue="10000" maxValue="20000000"/>
    </cacheField>
    <cacheField name="TIV" numFmtId="0">
      <sharedItems containsBlank="1" containsMixedTypes="1" containsNumber="1" containsInteger="1" minValue="20000" maxValue="9000000"/>
    </cacheField>
    <cacheField name="System Reason(s) for Referral" numFmtId="0">
      <sharedItems containsMixedTypes="1" containsNumber="1" containsInteger="1" minValue="4" maxValue="4"/>
    </cacheField>
    <cacheField name="Risk Details" numFmtId="0">
      <sharedItems containsBlank="1" longText="1"/>
    </cacheField>
    <cacheField name="Approve/Subj" numFmtId="0">
      <sharedItems count="5">
        <s v="Approve/Subj"/>
        <s v="Approve"/>
        <s v="Converted"/>
        <s v="Decline"/>
        <s v="Pend"/>
      </sharedItems>
    </cacheField>
    <cacheField name="Reason(s) for Decision" numFmtId="0">
      <sharedItems containsBlank="1" longText="1"/>
    </cacheField>
    <cacheField name="MARKEL CONFIDENTIAL     Follow up &amp; FYI Notes" numFmtId="0">
      <sharedItems containsBlank="1" longText="1"/>
    </cacheField>
    <cacheField name="Time Study - Minutes Spent" numFmtId="0">
      <sharedItems containsString="0" containsBlank="1" containsNumber="1" containsInteger="1" minValue="5" maxValue="95"/>
    </cacheField>
    <cacheField name="Underwriter" numFmtId="0">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r:id="rId1" refreshedBy="Patterson, Melissa" refreshedDate="43620.634131365739" createdVersion="5" refreshedVersion="5" minRefreshableVersion="3" recordCount="430">
  <cacheSource type="worksheet">
    <worksheetSource ref="A1:U431" sheet="2019"/>
  </cacheSource>
  <cacheFields count="21">
    <cacheField name="Date" numFmtId="167">
      <sharedItems containsSemiMixedTypes="0" containsNonDate="0" containsDate="1" containsString="0" minDate="2010-05-02T00:00:00" maxDate="2019-06-01T00:00:00" count="109">
        <d v="2019-01-03T00:00:00"/>
        <d v="2019-01-02T00:00:00"/>
        <d v="2019-01-04T00:00:00"/>
        <d v="2019-01-07T00:00:00"/>
        <d v="2019-01-08T00:00:00"/>
        <d v="2019-01-09T00:00:00"/>
        <d v="2019-01-10T00:00:00"/>
        <d v="2018-01-10T00:00:00"/>
        <d v="2019-01-11T00:00:00"/>
        <d v="2019-01-14T00:00:00"/>
        <d v="2019-01-15T00:00:00"/>
        <d v="2019-01-16T00:00:00"/>
        <d v="2019-01-17T00:00:00"/>
        <d v="2019-01-18T00:00:00"/>
        <d v="2019-01-21T00:00:00"/>
        <d v="2019-01-22T00:00:00"/>
        <d v="2019-01-23T00:00:00"/>
        <d v="2019-01-24T00:00:00"/>
        <d v="2019-01-25T00:00:00"/>
        <d v="2019-01-28T00:00:00"/>
        <d v="2018-01-28T00:00:00"/>
        <d v="2019-01-29T00:00:00"/>
        <d v="2019-01-30T00:00:00"/>
        <d v="2019-01-31T00:00:00"/>
        <d v="2019-02-01T00:00:00"/>
        <d v="2019-02-04T00:00:00"/>
        <d v="2019-02-05T00:00:00"/>
        <d v="2019-02-06T00:00:00"/>
        <d v="2019-02-07T00:00:00"/>
        <d v="2019-02-08T00:00:00"/>
        <d v="2019-02-11T00:00:00"/>
        <d v="2019-02-12T00:00:00"/>
        <d v="2019-02-13T00:00:00"/>
        <d v="2019-02-14T00:00:00"/>
        <d v="2019-02-15T00:00:00"/>
        <d v="2019-02-18T00:00:00"/>
        <d v="2019-02-20T00:00:00"/>
        <d v="2019-02-21T00:00:00"/>
        <d v="2019-02-22T00:00:00"/>
        <d v="2019-02-25T00:00:00"/>
        <d v="2019-02-26T00:00:00"/>
        <d v="2019-02-27T00:00:00"/>
        <d v="2019-02-28T00:00:00"/>
        <d v="2019-03-01T00:00:00"/>
        <d v="2019-03-04T00:00:00"/>
        <d v="2019-03-05T00:00:00"/>
        <d v="2019-03-06T00:00:00"/>
        <d v="2019-03-07T00:00:00"/>
        <d v="2019-03-08T00:00:00"/>
        <d v="2019-03-11T00:00:00"/>
        <d v="2019-03-12T00:00:00"/>
        <d v="2019-03-13T00:00:00"/>
        <d v="2019-03-14T00:00:00"/>
        <d v="2019-03-15T00:00:00"/>
        <d v="2019-03-18T00:00:00"/>
        <d v="2019-03-19T00:00:00"/>
        <d v="2019-03-20T00:00:00"/>
        <d v="2019-03-21T00:00:00"/>
        <d v="2019-03-22T00:00:00"/>
        <d v="2019-03-25T00:00:00"/>
        <d v="2019-03-26T00:00:00"/>
        <d v="2019-03-27T00:00:00"/>
        <d v="2019-03-28T00:00:00"/>
        <d v="2019-03-29T00:00:00"/>
        <d v="2019-04-01T00:00:00"/>
        <d v="2019-04-02T00:00:00"/>
        <d v="2019-04-03T00:00:00"/>
        <d v="2019-04-04T00:00:00"/>
        <d v="2019-04-05T00:00:00"/>
        <d v="2019-04-08T00:00:00"/>
        <d v="2019-04-09T00:00:00"/>
        <d v="2019-04-10T00:00:00"/>
        <d v="2019-04-11T00:00:00"/>
        <d v="2019-04-12T00:00:00"/>
        <d v="2019-04-15T00:00:00"/>
        <d v="2019-04-16T00:00:00"/>
        <d v="2019-04-17T00:00:00"/>
        <d v="2019-04-18T00:00:00"/>
        <d v="2019-04-19T00:00:00"/>
        <d v="2019-04-22T00:00:00"/>
        <d v="2019-04-23T00:00:00"/>
        <d v="2019-04-24T00:00:00"/>
        <d v="2019-04-25T00:00:00"/>
        <d v="2019-04-26T00:00:00"/>
        <d v="2019-04-29T00:00:00"/>
        <d v="2019-04-30T00:00:00"/>
        <d v="2019-05-01T00:00:00"/>
        <d v="2010-05-02T00:00:00"/>
        <d v="2019-05-02T00:00:00"/>
        <d v="2019-05-03T00:00:00"/>
        <d v="2019-05-06T00:00:00"/>
        <d v="2019-05-07T00:00:00"/>
        <d v="2019-05-08T00:00:00"/>
        <d v="2019-05-09T00:00:00"/>
        <d v="2019-05-10T00:00:00"/>
        <d v="2019-05-13T00:00:00"/>
        <d v="2019-05-14T00:00:00"/>
        <d v="2019-05-15T00:00:00"/>
        <d v="2019-05-16T00:00:00"/>
        <d v="2019-05-17T00:00:00"/>
        <d v="2019-05-20T00:00:00"/>
        <d v="2019-05-21T00:00:00"/>
        <d v="2019-05-22T00:00:00"/>
        <d v="2019-05-23T00:00:00"/>
        <d v="2019-05-24T00:00:00"/>
        <d v="2019-05-28T00:00:00"/>
        <d v="2019-05-29T00:00:00"/>
        <d v="2019-05-30T00:00:00"/>
        <d v="2019-05-31T00:00:00"/>
      </sharedItems>
      <fieldGroup base="0">
        <rangePr groupBy="months" startDate="2010-05-02T00:00:00" endDate="2019-06-01T00:00:00"/>
        <groupItems count="14">
          <s v="&lt;5/2/2010"/>
          <s v="Jan"/>
          <s v="Feb"/>
          <s v="Mar"/>
          <s v="Apr"/>
          <s v="May"/>
          <s v="Jun"/>
          <s v="Jul"/>
          <s v="Aug"/>
          <s v="Sep"/>
          <s v="Oct"/>
          <s v="Nov"/>
          <s v="Dec"/>
          <s v="&gt;6/1/2019"/>
        </groupItems>
      </fieldGroup>
    </cacheField>
    <cacheField name="Agency Name" numFmtId="0">
      <sharedItems count="14">
        <s v="Burns"/>
        <s v="Hull Horsham"/>
        <s v="XS Brokers"/>
        <s v="AmWINS"/>
        <s v="Hull Irvine"/>
        <s v="Hull Stockton"/>
        <s v="JM Wilson"/>
        <s v="RPS Covington"/>
        <s v="SCU"/>
        <s v="Appalachian"/>
        <s v="Quaker"/>
        <s v="TPI"/>
        <s v="ASL"/>
        <s v="Hull Charlotte"/>
      </sharedItems>
    </cacheField>
    <cacheField name="Office Location" numFmtId="0">
      <sharedItems/>
    </cacheField>
    <cacheField name="Contact Name" numFmtId="0">
      <sharedItems/>
    </cacheField>
    <cacheField name="Source (Call/Email)" numFmtId="0">
      <sharedItems containsBlank="1"/>
    </cacheField>
    <cacheField name="Insured Last Name" numFmtId="0">
      <sharedItems containsBlank="1"/>
    </cacheField>
    <cacheField name="Insured First Name" numFmtId="0">
      <sharedItems containsBlank="1"/>
    </cacheField>
    <cacheField name="Product/Occupancy" numFmtId="0">
      <sharedItems containsBlank="1"/>
    </cacheField>
    <cacheField name="City" numFmtId="0">
      <sharedItems containsBlank="1"/>
    </cacheField>
    <cacheField name="State" numFmtId="0">
      <sharedItems containsBlank="1"/>
    </cacheField>
    <cacheField name="Zip" numFmtId="49">
      <sharedItems containsBlank="1"/>
    </cacheField>
    <cacheField name="Protection Class" numFmtId="1">
      <sharedItems containsBlank="1" containsMixedTypes="1" containsNumber="1" containsInteger="1" minValue="1" maxValue="10"/>
    </cacheField>
    <cacheField name="Covg A" numFmtId="0">
      <sharedItems containsString="0" containsBlank="1" containsNumber="1" containsInteger="1" minValue="37700" maxValue="5500500"/>
    </cacheField>
    <cacheField name="TIV" numFmtId="0">
      <sharedItems containsString="0" containsBlank="1" containsNumber="1" containsInteger="1" minValue="58000" maxValue="6390000"/>
    </cacheField>
    <cacheField name="System Reason(s) for Referral" numFmtId="166">
      <sharedItems count="13">
        <s v="Occupancy/Use"/>
        <s v="Prior Lapse/NRN"/>
        <s v="Losses"/>
        <s v="Condition"/>
        <s v="Business on Premises"/>
        <s v="PC"/>
        <s v="TIV"/>
        <s v="Builders Risk"/>
        <s v="Age of Home"/>
        <s v="High Profile"/>
        <s v="Rate"/>
        <s v="Other UW Reason"/>
        <s v="Heat Source"/>
      </sharedItems>
    </cacheField>
    <cacheField name="Risk Details" numFmtId="0">
      <sharedItems longText="1"/>
    </cacheField>
    <cacheField name="Approve/Subj" numFmtId="0">
      <sharedItems count="5">
        <s v="Approve"/>
        <s v="Approve/Subj"/>
        <s v="Decline"/>
        <s v="Pend"/>
        <s v="Converted"/>
      </sharedItems>
    </cacheField>
    <cacheField name="Reason(s) for Decision" numFmtId="0">
      <sharedItems containsBlank="1" longText="1"/>
    </cacheField>
    <cacheField name="MARKEL CONFIDENTIAL     Follow up &amp; FYI Notes" numFmtId="0">
      <sharedItems containsBlank="1" longText="1"/>
    </cacheField>
    <cacheField name="Time Study - Minutes Spent" numFmtId="0">
      <sharedItems containsNonDate="0" containsString="0" containsBlank="1"/>
    </cacheField>
    <cacheField name="Underwriter" numFmtId="0">
      <sharedItems containsBlank="1"/>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r:id="rId1" refreshedBy="Colson, William" refreshedDate="43627.701557638888" createdVersion="5" refreshedVersion="5" minRefreshableVersion="3" recordCount="3755">
  <cacheSource type="worksheet">
    <worksheetSource ref="A1:X3756" sheet="Combined"/>
  </cacheSource>
  <cacheFields count="24">
    <cacheField name="Date" numFmtId="14">
      <sharedItems containsSemiMixedTypes="0" containsNonDate="0" containsDate="1" containsString="0" minDate="2010-05-02T00:00:00" maxDate="2019-06-08T00:00:00" count="841">
        <d v="2019-01-08T00:00:00"/>
        <d v="2019-01-15T00:00:00"/>
        <d v="2019-01-30T00:00:00"/>
        <d v="2019-02-14T00:00:00"/>
        <d v="2019-02-20T00:00:00"/>
        <d v="2019-03-28T00:00:00"/>
        <d v="2019-05-01T00:00:00"/>
        <d v="2019-05-07T00:00:00"/>
        <d v="2019-05-17T00:00:00"/>
        <d v="2019-05-29T00:00:00"/>
        <d v="2018-01-04T00:00:00"/>
        <d v="2018-01-18T00:00:00"/>
        <d v="2018-01-24T00:00:00"/>
        <d v="2018-01-26T00:00:00"/>
        <d v="2018-01-31T00:00:00"/>
        <d v="2018-02-01T00:00:00"/>
        <d v="2018-02-02T00:00:00"/>
        <d v="2018-02-05T00:00:00"/>
        <d v="2018-02-15T00:00:00"/>
        <d v="2018-02-21T00:00:00"/>
        <d v="2018-03-02T00:00:00"/>
        <d v="2018-03-05T00:00:00"/>
        <d v="2018-03-06T00:00:00"/>
        <d v="2018-03-13T00:00:00"/>
        <d v="2018-03-14T00:00:00"/>
        <d v="2018-03-15T00:00:00"/>
        <d v="2018-03-28T00:00:00"/>
        <d v="2018-04-05T00:00:00"/>
        <d v="2018-04-09T00:00:00"/>
        <d v="2018-04-17T00:00:00"/>
        <d v="2018-04-26T00:00:00"/>
        <d v="2018-05-03T00:00:00"/>
        <d v="2018-05-11T00:00:00"/>
        <d v="2018-05-21T00:00:00"/>
        <d v="2018-06-07T00:00:00"/>
        <d v="2018-06-21T00:00:00"/>
        <d v="2018-06-26T00:00:00"/>
        <d v="2018-07-18T00:00:00"/>
        <d v="2018-08-02T00:00:00"/>
        <d v="2018-08-15T00:00:00"/>
        <d v="2018-08-16T00:00:00"/>
        <d v="2018-08-17T00:00:00"/>
        <d v="2018-08-23T00:00:00"/>
        <d v="2018-09-04T00:00:00"/>
        <d v="2018-09-12T00:00:00"/>
        <d v="2018-09-13T00:00:00"/>
        <d v="2018-09-17T00:00:00"/>
        <d v="2018-09-19T00:00:00"/>
        <d v="2018-09-20T00:00:00"/>
        <d v="2018-09-25T00:00:00"/>
        <d v="2018-10-01T00:00:00"/>
        <d v="2018-10-09T00:00:00"/>
        <d v="2018-10-29T00:00:00"/>
        <d v="2018-12-07T00:00:00"/>
        <d v="2018-12-11T00:00:00"/>
        <d v="2018-12-12T00:00:00"/>
        <d v="2017-01-03T00:00:00"/>
        <d v="2017-01-05T00:00:00"/>
        <d v="2017-01-06T00:00:00"/>
        <d v="2017-01-09T00:00:00"/>
        <d v="2017-01-11T00:00:00"/>
        <d v="2017-01-12T00:00:00"/>
        <d v="2017-01-13T00:00:00"/>
        <d v="2017-01-17T00:00:00"/>
        <d v="2017-01-18T00:00:00"/>
        <d v="2017-01-20T00:00:00"/>
        <d v="2017-01-24T00:00:00"/>
        <d v="2017-01-26T00:00:00"/>
        <d v="2017-01-30T00:00:00"/>
        <d v="2017-02-02T00:00:00"/>
        <d v="2017-02-07T00:00:00"/>
        <d v="2017-02-10T00:00:00"/>
        <d v="2017-02-15T00:00:00"/>
        <d v="2017-02-20T00:00:00"/>
        <d v="2017-02-21T00:00:00"/>
        <d v="2017-02-23T00:00:00"/>
        <d v="2017-02-28T00:00:00"/>
        <d v="2017-03-03T00:00:00"/>
        <d v="2017-03-07T00:00:00"/>
        <d v="2017-03-08T00:00:00"/>
        <d v="2017-03-09T00:00:00"/>
        <d v="2017-03-13T00:00:00"/>
        <d v="2017-03-14T00:00:00"/>
        <d v="2017-03-16T00:00:00"/>
        <d v="2017-03-21T00:00:00"/>
        <d v="2017-03-22T00:00:00"/>
        <d v="2017-03-24T00:00:00"/>
        <d v="2017-03-25T00:00:00"/>
        <d v="2017-03-27T00:00:00"/>
        <d v="2017-03-28T00:00:00"/>
        <d v="2017-04-03T00:00:00"/>
        <d v="2017-04-05T00:00:00"/>
        <d v="2017-04-07T00:00:00"/>
        <d v="2017-04-10T00:00:00"/>
        <d v="2017-04-12T00:00:00"/>
        <d v="2017-04-13T00:00:00"/>
        <d v="2017-04-19T00:00:00"/>
        <d v="2017-04-24T00:00:00"/>
        <d v="2017-04-25T00:00:00"/>
        <d v="2017-04-26T00:00:00"/>
        <d v="2017-04-27T00:00:00"/>
        <d v="2017-04-28T00:00:00"/>
        <d v="2017-05-02T00:00:00"/>
        <d v="2017-05-03T00:00:00"/>
        <d v="2017-05-04T00:00:00"/>
        <d v="2017-05-05T00:00:00"/>
        <d v="2017-05-08T00:00:00"/>
        <d v="2017-05-11T00:00:00"/>
        <d v="2017-05-12T00:00:00"/>
        <d v="2017-05-15T00:00:00"/>
        <d v="2017-05-17T00:00:00"/>
        <d v="2017-05-25T00:00:00"/>
        <d v="2017-05-26T00:00:00"/>
        <d v="2017-05-30T00:00:00"/>
        <d v="2017-05-31T00:00:00"/>
        <d v="2017-06-05T00:00:00"/>
        <d v="2017-06-06T00:00:00"/>
        <d v="2017-06-07T00:00:00"/>
        <d v="2017-06-09T00:00:00"/>
        <d v="2017-06-14T00:00:00"/>
        <d v="2017-06-16T00:00:00"/>
        <d v="2017-06-19T00:00:00"/>
        <d v="2017-06-20T00:00:00"/>
        <d v="2017-06-21T00:00:00"/>
        <d v="2017-06-22T00:00:00"/>
        <d v="2017-06-23T00:00:00"/>
        <d v="2017-06-26T00:00:00"/>
        <d v="2017-06-28T00:00:00"/>
        <d v="2017-06-29T00:00:00"/>
        <d v="2017-06-30T00:00:00"/>
        <d v="2017-07-06T00:00:00"/>
        <d v="2017-07-10T00:00:00"/>
        <d v="2017-07-17T00:00:00"/>
        <d v="2017-07-18T00:00:00"/>
        <d v="2017-07-19T00:00:00"/>
        <d v="2017-07-20T00:00:00"/>
        <d v="2017-07-25T00:00:00"/>
        <d v="2017-07-26T00:00:00"/>
        <d v="2017-07-27T00:00:00"/>
        <d v="2017-07-31T00:00:00"/>
        <d v="2017-08-01T00:00:00"/>
        <d v="2017-08-03T00:00:00"/>
        <d v="2017-08-07T00:00:00"/>
        <d v="2017-08-08T00:00:00"/>
        <d v="2017-08-11T00:00:00"/>
        <d v="2017-08-15T00:00:00"/>
        <d v="2017-08-16T00:00:00"/>
        <d v="2017-08-21T00:00:00"/>
        <d v="2017-08-24T00:00:00"/>
        <d v="2017-08-25T00:00:00"/>
        <d v="2017-08-29T00:00:00"/>
        <d v="2017-08-31T00:00:00"/>
        <d v="2017-09-05T00:00:00"/>
        <d v="2017-09-08T00:00:00"/>
        <d v="2017-09-12T00:00:00"/>
        <d v="2017-09-14T00:00:00"/>
        <d v="2017-09-15T00:00:00"/>
        <d v="2017-09-18T00:00:00"/>
        <d v="2017-09-21T00:00:00"/>
        <d v="2017-09-22T00:00:00"/>
        <d v="2017-09-25T00:00:00"/>
        <d v="2017-09-27T00:00:00"/>
        <d v="2017-10-02T00:00:00"/>
        <d v="2017-10-03T00:00:00"/>
        <d v="2017-10-05T00:00:00"/>
        <d v="2017-10-11T00:00:00"/>
        <d v="2017-10-16T00:00:00"/>
        <d v="2017-10-17T00:00:00"/>
        <d v="2017-10-19T00:00:00"/>
        <d v="2017-10-23T00:00:00"/>
        <d v="2017-10-24T00:00:00"/>
        <d v="2017-10-25T00:00:00"/>
        <d v="2017-10-26T00:00:00"/>
        <d v="2017-10-27T00:00:00"/>
        <d v="2017-10-30T00:00:00"/>
        <d v="2017-10-31T00:00:00"/>
        <d v="2017-11-01T00:00:00"/>
        <d v="2017-11-03T00:00:00"/>
        <d v="2017-11-08T00:00:00"/>
        <d v="2017-11-09T00:00:00"/>
        <d v="2017-11-10T00:00:00"/>
        <d v="2017-11-15T00:00:00"/>
        <d v="2017-11-16T00:00:00"/>
        <d v="2017-11-21T00:00:00"/>
        <d v="2017-11-28T00:00:00"/>
        <d v="2017-12-01T00:00:00"/>
        <d v="2017-12-04T00:00:00"/>
        <d v="2017-12-08T00:00:00"/>
        <d v="2017-12-13T00:00:00"/>
        <d v="2017-12-20T00:00:00"/>
        <d v="2017-12-21T00:00:00"/>
        <d v="2017-12-27T00:00:00"/>
        <d v="2016-07-29T00:00:00"/>
        <d v="2016-01-05T00:00:00"/>
        <d v="2016-01-07T00:00:00"/>
        <d v="2016-01-11T00:00:00"/>
        <d v="2016-01-14T00:00:00"/>
        <d v="2016-01-15T00:00:00"/>
        <d v="2016-01-26T00:00:00"/>
        <d v="2016-02-04T00:00:00"/>
        <d v="2016-02-10T00:00:00"/>
        <d v="2016-02-24T00:00:00"/>
        <d v="2016-03-30T00:00:00"/>
        <d v="2016-04-04T00:00:00"/>
        <d v="2016-04-05T00:00:00"/>
        <d v="2016-04-07T00:00:00"/>
        <d v="2016-04-08T00:00:00"/>
        <d v="2016-04-11T00:00:00"/>
        <d v="2016-04-12T00:00:00"/>
        <d v="2016-04-13T00:00:00"/>
        <d v="2016-04-14T00:00:00"/>
        <d v="2016-04-15T00:00:00"/>
        <d v="2016-04-18T00:00:00"/>
        <d v="2016-04-20T00:00:00"/>
        <d v="2016-04-21T00:00:00"/>
        <d v="2016-04-22T00:00:00"/>
        <d v="2016-04-25T00:00:00"/>
        <d v="2016-04-26T00:00:00"/>
        <d v="2016-04-28T00:00:00"/>
        <d v="2016-04-29T00:00:00"/>
        <d v="2016-05-05T00:00:00"/>
        <d v="2016-05-09T00:00:00"/>
        <d v="2016-05-10T00:00:00"/>
        <d v="2016-05-11T00:00:00"/>
        <d v="2016-05-13T00:00:00"/>
        <d v="2016-05-19T00:00:00"/>
        <d v="2016-05-20T00:00:00"/>
        <d v="2016-05-26T00:00:00"/>
        <d v="2016-06-06T00:00:00"/>
        <d v="2016-06-08T00:00:00"/>
        <d v="2016-06-09T00:00:00"/>
        <d v="2016-06-10T00:00:00"/>
        <d v="2016-06-14T00:00:00"/>
        <d v="2016-06-16T00:00:00"/>
        <d v="2016-06-20T00:00:00"/>
        <d v="2016-06-21T00:00:00"/>
        <d v="2016-06-22T00:00:00"/>
        <d v="2016-06-23T00:00:00"/>
        <d v="2016-06-28T00:00:00"/>
        <d v="2016-06-29T00:00:00"/>
        <d v="2016-06-30T00:00:00"/>
        <d v="2016-07-07T00:00:00"/>
        <d v="2016-07-08T00:00:00"/>
        <d v="2016-07-11T00:00:00"/>
        <d v="2016-07-13T00:00:00"/>
        <d v="2016-07-18T00:00:00"/>
        <d v="2016-07-19T00:00:00"/>
        <d v="2016-07-25T00:00:00"/>
        <d v="2016-07-27T00:00:00"/>
        <d v="2016-07-28T00:00:00"/>
        <d v="2016-08-01T00:00:00"/>
        <d v="2016-08-02T00:00:00"/>
        <d v="2016-08-03T00:00:00"/>
        <d v="2016-08-04T00:00:00"/>
        <d v="2016-08-08T00:00:00"/>
        <d v="2016-08-09T00:00:00"/>
        <d v="2016-08-11T00:00:00"/>
        <d v="2016-08-15T00:00:00"/>
        <d v="2016-08-17T00:00:00"/>
        <d v="2016-08-18T00:00:00"/>
        <d v="2016-08-19T00:00:00"/>
        <d v="2016-08-22T00:00:00"/>
        <d v="2016-08-24T00:00:00"/>
        <d v="2016-08-25T00:00:00"/>
        <d v="2016-08-29T00:00:00"/>
        <d v="2016-08-31T00:00:00"/>
        <d v="2016-09-01T00:00:00"/>
        <d v="2016-09-07T00:00:00"/>
        <d v="2016-09-08T00:00:00"/>
        <d v="2016-09-09T00:00:00"/>
        <d v="2016-09-12T00:00:00"/>
        <d v="2016-09-15T00:00:00"/>
        <d v="2016-09-19T00:00:00"/>
        <d v="2016-09-20T00:00:00"/>
        <d v="2016-09-22T00:00:00"/>
        <d v="2016-09-30T00:00:00"/>
        <d v="2016-10-03T00:00:00"/>
        <d v="2016-10-04T00:00:00"/>
        <d v="2016-10-05T00:00:00"/>
        <d v="2016-10-06T00:00:00"/>
        <d v="2016-10-11T00:00:00"/>
        <d v="2016-10-12T00:00:00"/>
        <d v="2016-10-17T00:00:00"/>
        <d v="2016-10-20T00:00:00"/>
        <d v="2016-10-21T00:00:00"/>
        <d v="2016-10-24T00:00:00"/>
        <d v="2016-10-26T00:00:00"/>
        <d v="2016-10-27T00:00:00"/>
        <d v="2016-11-02T00:00:00"/>
        <d v="2016-11-03T00:00:00"/>
        <d v="2016-11-07T00:00:00"/>
        <d v="2016-11-10T00:00:00"/>
        <d v="2016-11-11T00:00:00"/>
        <d v="2016-11-14T00:00:00"/>
        <d v="2016-11-15T00:00:00"/>
        <d v="2016-11-17T00:00:00"/>
        <d v="2016-11-21T00:00:00"/>
        <d v="2016-11-28T00:00:00"/>
        <d v="2016-12-02T00:00:00"/>
        <d v="2016-12-05T00:00:00"/>
        <d v="2016-12-06T00:00:00"/>
        <d v="2016-12-12T00:00:00"/>
        <d v="2016-12-13T00:00:00"/>
        <d v="2016-12-14T00:00:00"/>
        <d v="2016-12-15T00:00:00"/>
        <d v="2016-12-19T00:00:00"/>
        <d v="2016-12-22T00:00:00"/>
        <d v="2016-12-27T00:00:00"/>
        <d v="2016-12-28T00:00:00"/>
        <d v="2016-12-29T00:00:00"/>
        <d v="2016-09-23T00:00:00"/>
        <d v="2016-06-01T00:00:00"/>
        <d v="2017-11-30T00:00:00"/>
        <d v="2017-01-25T00:00:00"/>
        <d v="2017-03-29T00:00:00"/>
        <d v="2018-01-11T00:00:00"/>
        <d v="2019-05-10T00:00:00"/>
        <d v="2018-06-29T00:00:00"/>
        <d v="2018-07-17T00:00:00"/>
        <d v="2018-03-07T00:00:00"/>
        <d v="2018-05-09T00:00:00"/>
        <d v="2018-11-21T00:00:00"/>
        <d v="2017-05-10T00:00:00"/>
        <d v="2018-05-04T00:00:00"/>
        <d v="2018-08-01T00:00:00"/>
        <d v="2018-05-25T00:00:00"/>
        <d v="2018-11-19T00:00:00"/>
        <d v="2018-07-12T00:00:00"/>
        <d v="2018-08-13T00:00:00"/>
        <d v="2018-05-29T00:00:00"/>
        <d v="2018-05-10T00:00:00"/>
        <d v="2016-05-12T00:00:00"/>
        <d v="2018-12-04T00:00:00"/>
        <d v="2017-07-11T00:00:00"/>
        <d v="2018-01-05T00:00:00"/>
        <d v="2018-09-18T00:00:00"/>
        <d v="2018-08-31T00:00:00"/>
        <d v="2017-11-02T00:00:00"/>
        <d v="2018-08-08T00:00:00"/>
        <d v="2017-09-06T00:00:00"/>
        <d v="2018-08-24T00:00:00"/>
        <d v="2018-09-26T00:00:00"/>
        <d v="2017-11-07T00:00:00"/>
        <d v="2016-10-28T00:00:00"/>
        <d v="2018-11-30T00:00:00"/>
        <d v="2016-02-05T00:00:00"/>
        <d v="2019-04-11T00:00:00"/>
        <d v="2019-02-25T00:00:00"/>
        <d v="2018-02-06T00:00:00"/>
        <d v="2018-09-28T00:00:00"/>
        <d v="2018-04-19T00:00:00"/>
        <d v="2018-10-18T00:00:00"/>
        <d v="2016-04-06T00:00:00"/>
        <d v="2018-09-27T00:00:00"/>
        <d v="2016-05-16T00:00:00"/>
        <d v="2018-03-22T00:00:00"/>
        <d v="2016-01-25T00:00:00"/>
        <d v="2018-10-23T00:00:00"/>
        <d v="2017-03-17T00:00:00"/>
        <d v="2019-01-22T00:00:00"/>
        <d v="2016-07-26T00:00:00"/>
        <d v="2016-07-22T00:00:00"/>
        <d v="2019-01-25T00:00:00"/>
        <d v="2016-10-10T00:00:00"/>
        <d v="2017-02-22T00:00:00"/>
        <d v="2019-04-12T00:00:00"/>
        <d v="2016-08-26T00:00:00"/>
        <d v="2016-02-18T00:00:00"/>
        <d v="2019-03-20T00:00:00"/>
        <d v="2018-08-27T00:00:00"/>
        <d v="2018-03-01T00:00:00"/>
        <d v="2018-07-19T00:00:00"/>
        <d v="2018-03-12T00:00:00"/>
        <d v="2019-06-06T00:00:00"/>
        <d v="2019-05-08T00:00:00"/>
        <d v="2017-03-31T00:00:00"/>
        <d v="2018-02-14T00:00:00"/>
        <d v="2019-05-09T00:00:00"/>
        <d v="2019-06-03T00:00:00"/>
        <d v="2018-02-27T00:00:00"/>
        <d v="2017-04-04T00:00:00"/>
        <d v="2019-05-20T00:00:00"/>
        <d v="2017-04-14T00:00:00"/>
        <d v="2018-01-12T00:00:00"/>
        <d v="2019-03-05T00:00:00"/>
        <d v="2018-12-27T00:00:00"/>
        <d v="2019-01-14T00:00:00"/>
        <d v="2017-02-01T00:00:00"/>
        <d v="2018-10-22T00:00:00"/>
        <d v="2016-01-29T00:00:00"/>
        <d v="2018-07-26T00:00:00"/>
        <d v="2018-08-09T00:00:00"/>
        <d v="2017-06-01T00:00:00"/>
        <d v="2019-05-22T00:00:00"/>
        <d v="2019-02-08T00:00:00"/>
        <d v="2017-07-07T00:00:00"/>
        <d v="2016-03-16T00:00:00"/>
        <d v="2018-08-10T00:00:00"/>
        <d v="2019-03-25T00:00:00"/>
        <d v="2017-08-10T00:00:00"/>
        <d v="2019-03-13T00:00:00"/>
        <d v="2018-06-28T00:00:00"/>
        <d v="2016-08-23T00:00:00"/>
        <d v="2017-04-06T00:00:00"/>
        <d v="2018-06-25T00:00:00"/>
        <d v="2019-02-18T00:00:00"/>
        <d v="2018-08-28T00:00:00"/>
        <d v="2016-03-01T00:00:00"/>
        <d v="2018-08-20T00:00:00"/>
        <d v="2018-10-19T00:00:00"/>
        <d v="2016-05-27T00:00:00"/>
        <d v="2018-10-16T00:00:00"/>
        <d v="2016-08-10T00:00:00"/>
        <d v="2018-04-30T00:00:00"/>
        <d v="2016-07-15T00:00:00"/>
        <d v="2016-08-12T00:00:00"/>
        <d v="2019-04-09T00:00:00"/>
        <d v="2016-06-03T00:00:00"/>
        <d v="2018-11-13T00:00:00"/>
        <d v="2016-02-08T00:00:00"/>
        <d v="2019-01-09T00:00:00"/>
        <d v="2016-01-04T00:00:00"/>
        <d v="2019-01-18T00:00:00"/>
        <d v="2018-07-24T00:00:00"/>
        <d v="2019-02-12T00:00:00"/>
        <d v="2019-03-26T00:00:00"/>
        <d v="2018-08-21T00:00:00"/>
        <d v="2018-04-16T00:00:00"/>
        <d v="2018-01-16T00:00:00"/>
        <d v="2016-02-23T00:00:00"/>
        <d v="2018-11-28T00:00:00"/>
        <d v="2019-02-22T00:00:00"/>
        <d v="2018-12-05T00:00:00"/>
        <d v="2018-10-04T00:00:00"/>
        <d v="2018-04-20T00:00:00"/>
        <d v="2017-02-17T00:00:00"/>
        <d v="2016-09-13T00:00:00"/>
        <d v="2018-02-28T00:00:00"/>
        <d v="2018-07-06T00:00:00"/>
        <d v="2017-03-02T00:00:00"/>
        <d v="2017-08-22T00:00:00"/>
        <d v="2016-03-11T00:00:00"/>
        <d v="2016-12-21T00:00:00"/>
        <d v="2016-11-08T00:00:00"/>
        <d v="2017-01-19T00:00:00"/>
        <d v="2016-01-27T00:00:00"/>
        <d v="2016-01-28T00:00:00"/>
        <d v="2019-04-16T00:00:00"/>
        <d v="2018-10-12T00:00:00"/>
        <d v="2018-10-25T00:00:00"/>
        <d v="2016-11-29T00:00:00"/>
        <d v="2019-01-11T00:00:00"/>
        <d v="2019-05-28T00:00:00"/>
        <d v="2017-05-16T00:00:00"/>
        <d v="2018-05-30T00:00:00"/>
        <d v="2018-06-13T00:00:00"/>
        <d v="2017-09-13T00:00:00"/>
        <d v="2017-06-27T00:00:00"/>
        <d v="2016-04-01T00:00:00"/>
        <d v="2018-12-14T00:00:00"/>
        <d v="2017-12-06T00:00:00"/>
        <d v="2019-04-04T00:00:00"/>
        <d v="2019-05-23T00:00:00"/>
        <d v="2016-05-23T00:00:00"/>
        <d v="2017-04-18T00:00:00"/>
        <d v="2019-05-30T00:00:00"/>
        <d v="2018-08-06T00:00:00"/>
        <d v="2016-05-02T00:00:00"/>
        <d v="2016-09-02T00:00:00"/>
        <d v="2018-01-10T00:00:00"/>
        <d v="2019-04-25T00:00:00"/>
        <d v="2016-12-08T00:00:00"/>
        <d v="2019-04-22T00:00:00"/>
        <d v="2018-08-22T00:00:00"/>
        <d v="2017-04-20T00:00:00"/>
        <d v="2016-01-18T00:00:00"/>
        <d v="2018-05-01T00:00:00"/>
        <d v="2018-11-15T00:00:00"/>
        <d v="2018-10-10T00:00:00"/>
        <d v="2017-10-06T00:00:00"/>
        <d v="2019-02-15T00:00:00"/>
        <d v="2016-10-18T00:00:00"/>
        <d v="2016-05-17T00:00:00"/>
        <d v="2016-08-05T00:00:00"/>
        <d v="2016-02-26T00:00:00"/>
        <d v="2018-12-06T00:00:00"/>
        <d v="2018-07-02T00:00:00"/>
        <d v="2019-01-23T00:00:00"/>
        <d v="2019-01-24T00:00:00"/>
        <d v="2018-10-24T00:00:00"/>
        <d v="2019-05-06T00:00:00"/>
        <d v="2019-03-21T00:00:00"/>
        <d v="2018-04-12T00:00:00"/>
        <d v="2016-03-09T00:00:00"/>
        <d v="2018-06-05T00:00:00"/>
        <d v="2017-07-13T00:00:00"/>
        <d v="2019-03-22T00:00:00"/>
        <d v="2018-03-09T00:00:00"/>
        <d v="2016-03-07T00:00:00"/>
        <d v="2018-10-02T00:00:00"/>
        <d v="2016-02-22T00:00:00"/>
        <d v="2019-05-21T00:00:00"/>
        <d v="2018-07-03T00:00:00"/>
        <d v="2016-01-08T00:00:00"/>
        <d v="2019-05-31T00:00:00"/>
        <d v="2017-08-09T00:00:00"/>
        <d v="2016-03-08T00:00:00"/>
        <d v="2017-11-20T00:00:00"/>
        <d v="2017-03-10T00:00:00"/>
        <d v="2018-09-05T00:00:00"/>
        <d v="2018-07-23T00:00:00"/>
        <d v="2017-08-02T00:00:00"/>
        <d v="2018-04-25T00:00:00"/>
        <d v="2016-03-28T00:00:00"/>
        <d v="2019-02-21T00:00:00"/>
        <d v="2016-06-24T00:00:00"/>
        <d v="2016-01-21T00:00:00"/>
        <d v="2018-05-18T00:00:00"/>
        <d v="2017-09-28T00:00:00"/>
        <d v="2018-01-25T00:00:00"/>
        <d v="2017-12-29T00:00:00"/>
        <d v="2018-07-13T00:00:00"/>
        <d v="2019-05-02T00:00:00"/>
        <d v="2016-03-17T00:00:00"/>
        <d v="2019-03-08T00:00:00"/>
        <d v="2018-12-10T00:00:00"/>
        <d v="2019-04-26T00:00:00"/>
        <d v="2016-06-15T00:00:00"/>
        <d v="2019-03-14T00:00:00"/>
        <d v="2019-05-15T00:00:00"/>
        <d v="2017-06-13T00:00:00"/>
        <d v="2016-05-24T00:00:00"/>
        <d v="2016-11-30T00:00:00"/>
        <d v="2017-11-17T00:00:00"/>
        <d v="2018-04-06T00:00:00"/>
        <d v="2016-05-03T00:00:00"/>
        <d v="2017-04-11T00:00:00"/>
        <d v="2016-02-15T00:00:00"/>
        <d v="2018-07-25T00:00:00"/>
        <d v="2018-08-30T00:00:00"/>
        <d v="2017-10-10T00:00:00"/>
        <d v="2016-06-13T00:00:00"/>
        <d v="2017-08-04T00:00:00"/>
        <d v="2017-03-15T00:00:00"/>
        <d v="2019-01-07T00:00:00"/>
        <d v="2017-02-27T00:00:00"/>
        <d v="2018-03-26T00:00:00"/>
        <d v="2018-05-16T00:00:00"/>
        <d v="2019-04-19T00:00:00"/>
        <d v="2018-11-14T00:00:00"/>
        <d v="2018-02-19T00:00:00"/>
        <d v="2018-09-14T00:00:00"/>
        <d v="2019-05-24T00:00:00"/>
        <d v="2017-10-13T00:00:00"/>
        <d v="2017-10-12T00:00:00"/>
        <d v="2017-01-16T00:00:00"/>
        <d v="2016-09-16T00:00:00"/>
        <d v="2018-12-13T00:00:00"/>
        <d v="2017-04-21T00:00:00"/>
        <d v="2016-02-16T00:00:00"/>
        <d v="2016-02-17T00:00:00"/>
        <d v="2016-07-12T00:00:00"/>
        <d v="2019-04-30T00:00:00"/>
        <d v="2019-02-13T00:00:00"/>
        <d v="2018-09-24T00:00:00"/>
        <d v="2017-11-13T00:00:00"/>
        <d v="2016-02-29T00:00:00"/>
        <d v="2016-06-17T00:00:00"/>
        <d v="2018-05-23T00:00:00"/>
        <d v="2016-04-19T00:00:00"/>
        <d v="2019-04-15T00:00:00"/>
        <d v="2016-04-27T00:00:00"/>
        <d v="2019-01-17T00:00:00"/>
        <d v="2016-09-27T00:00:00"/>
        <d v="2019-05-13T00:00:00"/>
        <d v="2019-04-18T00:00:00"/>
        <d v="2018-03-19T00:00:00"/>
        <d v="2019-02-26T00:00:00"/>
        <d v="2018-07-10T00:00:00"/>
        <d v="2019-01-21T00:00:00"/>
        <d v="2019-05-16T00:00:00"/>
        <d v="2018-05-31T00:00:00"/>
        <d v="2018-05-08T00:00:00"/>
        <d v="2018-04-13T00:00:00"/>
        <d v="2017-11-06T00:00:00"/>
        <d v="2019-06-05T00:00:00"/>
        <d v="2018-10-15T00:00:00"/>
        <d v="2016-10-19T00:00:00"/>
        <d v="2018-04-18T00:00:00"/>
        <d v="2018-04-04T00:00:00"/>
        <d v="2017-05-24T00:00:00"/>
        <d v="2016-03-21T00:00:00"/>
        <d v="2018-01-30T00:00:00"/>
        <d v="2018-07-30T00:00:00"/>
        <d v="2016-03-29T00:00:00"/>
        <d v="2017-01-31T00:00:00"/>
        <d v="2018-09-11T00:00:00"/>
        <d v="2016-03-31T00:00:00"/>
        <d v="2018-02-09T00:00:00"/>
        <d v="2019-02-06T00:00:00"/>
        <d v="2018-06-18T00:00:00"/>
        <d v="2019-04-05T00:00:00"/>
        <d v="2016-03-02T00:00:00"/>
        <d v="2018-12-03T00:00:00"/>
        <d v="2018-01-17T00:00:00"/>
        <d v="2019-04-01T00:00:00"/>
        <d v="2019-02-04T00:00:00"/>
        <d v="2018-01-23T00:00:00"/>
        <d v="2016-02-25T00:00:00"/>
        <d v="2018-07-31T00:00:00"/>
        <d v="2017-09-26T00:00:00"/>
        <d v="2019-01-31T00:00:00"/>
        <d v="2018-11-29T00:00:00"/>
        <d v="2019-04-23T00:00:00"/>
        <d v="2018-06-01T00:00:00"/>
        <d v="2016-09-26T00:00:00"/>
        <d v="2018-06-19T00:00:00"/>
        <d v="2018-02-12T00:00:00"/>
        <d v="2016-06-02T00:00:00"/>
        <d v="2017-01-21T00:00:00"/>
        <d v="2018-03-08T00:00:00"/>
        <d v="2019-05-03T00:00:00"/>
        <d v="2018-07-20T00:00:00"/>
        <d v="2018-04-10T00:00:00"/>
        <d v="2016-05-06T00:00:00"/>
        <d v="2018-05-15T00:00:00"/>
        <d v="2016-08-16T00:00:00"/>
        <d v="2018-04-23T00:00:00"/>
        <d v="2019-04-29T00:00:00"/>
        <d v="2018-09-21T00:00:00"/>
        <d v="2016-11-04T00:00:00"/>
        <d v="2016-06-27T00:00:00"/>
        <d v="2019-04-08T00:00:00"/>
        <d v="2016-09-29T00:00:00"/>
        <d v="2018-10-31T00:00:00"/>
        <d v="2016-06-07T00:00:00"/>
        <d v="2018-11-09T00:00:00"/>
        <d v="2017-02-16T00:00:00"/>
        <d v="2016-11-18T00:00:00"/>
        <d v="2017-12-15T00:00:00"/>
        <d v="2018-09-10T00:00:00"/>
        <d v="2018-09-08T00:00:00"/>
        <d v="2019-03-29T00:00:00"/>
        <d v="2018-06-22T00:00:00"/>
        <d v="2018-11-27T00:00:00"/>
        <d v="2018-07-11T00:00:00"/>
        <d v="2016-02-02T00:00:00"/>
        <d v="2018-06-15T00:00:00"/>
        <d v="2018-07-05T00:00:00"/>
        <d v="2018-12-17T00:00:00"/>
        <d v="2019-02-27T00:00:00"/>
        <d v="2017-01-04T00:00:00"/>
        <d v="2019-03-27T00:00:00"/>
        <d v="2019-03-18T00:00:00"/>
        <d v="2017-06-12T00:00:00"/>
        <d v="2019-03-12T00:00:00"/>
        <d v="2017-07-28T00:00:00"/>
        <d v="2017-09-19T00:00:00"/>
        <d v="2017-07-24T00:00:00"/>
        <d v="2018-06-06T00:00:00"/>
        <d v="2016-10-13T00:00:00"/>
        <d v="2016-03-04T00:00:00"/>
        <d v="2018-05-24T00:00:00"/>
        <d v="2018-10-03T00:00:00"/>
        <d v="2019-03-04T00:00:00"/>
        <d v="2018-10-17T00:00:00"/>
        <d v="2017-12-05T00:00:00"/>
        <d v="2019-04-17T00:00:00"/>
        <d v="2018-09-07T00:00:00"/>
        <d v="2017-12-28T00:00:00"/>
        <d v="2018-05-07T00:00:00"/>
        <d v="2018-06-08T00:00:00"/>
        <d v="2018-07-09T00:00:00"/>
        <d v="2017-05-22T00:00:00"/>
        <d v="2019-01-02T00:00:00"/>
        <d v="2019-04-03T00:00:00"/>
        <d v="2016-01-13T00:00:00"/>
        <d v="2018-07-27T00:00:00"/>
        <d v="2018-01-19T00:00:00"/>
        <d v="2019-05-14T00:00:00"/>
        <d v="2018-02-20T00:00:00"/>
        <d v="2019-04-24T00:00:00"/>
        <d v="2018-05-14T00:00:00"/>
        <d v="2017-03-23T00:00:00"/>
        <d v="2017-12-11T00:00:00"/>
        <d v="2018-08-29T00:00:00"/>
        <d v="2016-07-21T00:00:00"/>
        <d v="2018-04-24T00:00:00"/>
        <d v="2016-03-24T00:00:00"/>
        <d v="2018-02-22T00:00:00"/>
        <d v="2018-06-27T00:00:00"/>
        <d v="2019-03-19T00:00:00"/>
        <d v="2018-08-07T00:00:00"/>
        <d v="2017-01-23T00:00:00"/>
        <d v="2016-01-20T00:00:00"/>
        <d v="2016-12-09T00:00:00"/>
        <d v="2019-01-03T00:00:00"/>
        <d v="2017-12-12T00:00:00"/>
        <d v="2016-09-06T00:00:00"/>
        <d v="2018-11-20T00:00:00"/>
        <d v="2018-08-14T00:00:00"/>
        <d v="2017-05-09T00:00:00"/>
        <d v="2019-04-10T00:00:00"/>
        <d v="2017-12-22T00:00:00"/>
        <d v="2018-02-07T00:00:00"/>
        <d v="2018-12-26T00:00:00"/>
        <d v="2017-05-19T00:00:00"/>
        <d v="2018-12-20T00:00:00"/>
        <d v="2016-11-23T00:00:00"/>
        <d v="2019-03-01T00:00:00"/>
        <d v="2017-01-27T00:00:00"/>
        <d v="2017-02-03T00:00:00"/>
        <d v="2016-07-06T00:00:00"/>
        <d v="2016-12-07T00:00:00"/>
        <d v="2017-02-06T00:00:00"/>
        <d v="2016-10-31T00:00:00"/>
        <d v="2019-01-16T00:00:00"/>
        <d v="2017-06-08T00:00:00"/>
        <d v="2018-06-20T00:00:00"/>
        <d v="2016-03-14T00:00:00"/>
        <d v="2017-10-04T00:00:00"/>
        <d v="2018-01-03T00:00:00"/>
        <d v="2019-02-11T00:00:00"/>
        <d v="2019-06-04T00:00:00"/>
        <d v="2016-08-30T00:00:00"/>
        <d v="2016-09-14T00:00:00"/>
        <d v="2017-11-29T00:00:00"/>
        <d v="2017-01-10T00:00:00"/>
        <d v="2019-02-07T00:00:00"/>
        <d v="2018-10-11T00:00:00"/>
        <d v="2018-04-03T00:00:00"/>
        <d v="2019-02-01T00:00:00"/>
        <d v="2019-03-07T00:00:00"/>
        <d v="2018-01-02T00:00:00"/>
        <d v="2019-01-29T00:00:00"/>
        <d v="2018-12-18T00:00:00"/>
        <d v="2016-07-14T00:00:00"/>
        <d v="2017-03-30T00:00:00"/>
        <d v="2018-03-27T00:00:00"/>
        <d v="2017-07-12T00:00:00"/>
        <d v="2016-11-09T00:00:00"/>
        <d v="2017-12-14T00:00:00"/>
        <d v="2019-03-06T00:00:00"/>
        <d v="2016-07-20T00:00:00"/>
        <d v="2017-09-29T00:00:00"/>
        <d v="2018-01-09T00:00:00"/>
        <d v="2017-05-01T00:00:00"/>
        <d v="2016-10-14T00:00:00"/>
        <d v="2018-06-11T00:00:00"/>
        <d v="2016-02-03T00:00:00"/>
        <d v="2016-10-07T00:00:00"/>
        <d v="2018-03-21T00:00:00"/>
        <d v="2017-05-23T00:00:00"/>
        <d v="2018-10-05T00:00:00"/>
        <d v="2018-01-22T00:00:00"/>
        <d v="2018-01-15T00:00:00"/>
        <d v="2016-09-21T00:00:00"/>
        <d v="2019-06-07T00:00:00"/>
        <d v="2018-12-28T00:00:00"/>
        <d v="2018-11-26T00:00:00"/>
        <d v="2019-01-04T00:00:00"/>
        <d v="2019-01-10T00:00:00"/>
        <d v="2018-10-26T00:00:00"/>
        <d v="2017-11-22T00:00:00"/>
        <d v="2018-04-27T00:00:00"/>
        <d v="2018-10-08T00:00:00"/>
        <d v="2017-09-01T00:00:00"/>
        <d v="2018-03-20T00:00:00"/>
        <d v="2017-02-09T00:00:00"/>
        <d v="2017-07-14T00:00:00"/>
        <d v="2018-01-28T00:00:00"/>
        <d v="2018-02-26T00:00:00"/>
        <d v="2017-03-01T00:00:00"/>
        <d v="2018-08-03T00:00:00"/>
        <d v="2018-03-16T00:00:00"/>
        <d v="2019-03-15T00:00:00"/>
        <d v="2016-10-25T00:00:00"/>
        <d v="2016-05-18T00:00:00"/>
        <d v="2017-08-30T00:00:00"/>
        <d v="2018-11-02T00:00:00"/>
        <d v="2016-12-01T00:00:00"/>
        <d v="2018-11-06T00:00:00"/>
        <d v="2019-03-11T00:00:00"/>
        <d v="2016-11-16T00:00:00"/>
        <d v="2016-01-12T00:00:00"/>
        <d v="2017-09-11T00:00:00"/>
        <d v="2017-02-08T00:00:00"/>
        <d v="2017-08-18T00:00:00"/>
        <d v="2018-03-29T00:00:00"/>
        <d v="2018-04-02T00:00:00"/>
        <d v="2017-11-14T00:00:00"/>
        <d v="2019-01-28T00:00:00"/>
        <d v="2018-05-17T00:00:00"/>
        <d v="2017-08-23T00:00:00"/>
        <d v="2017-02-13T00:00:00"/>
        <d v="2016-03-25T00:00:00"/>
        <d v="2018-06-12T00:00:00"/>
        <d v="2018-05-02T00:00:00"/>
        <d v="2017-10-20T00:00:00"/>
        <d v="2018-10-30T00:00:00"/>
        <d v="2016-11-22T00:00:00"/>
        <d v="2016-09-28T00:00:00"/>
        <d v="2019-02-28T00:00:00"/>
        <d v="2016-12-20T00:00:00"/>
        <d v="2018-11-08T00:00:00"/>
        <d v="2017-10-18T00:00:00"/>
        <d v="2016-02-11T00:00:00"/>
        <d v="2017-08-17T00:00:00"/>
        <d v="2017-05-18T00:00:00"/>
        <d v="2017-02-24T00:00:00"/>
        <d v="2017-10-09T00:00:00"/>
        <d v="2018-02-08T00:00:00"/>
        <d v="2018-03-23T00:00:00"/>
        <d v="2017-12-07T00:00:00"/>
        <d v="2018-07-16T00:00:00"/>
        <d v="2016-02-01T00:00:00"/>
        <d v="2018-04-11T00:00:00"/>
        <d v="2016-03-10T00:00:00"/>
        <d v="2018-06-14T00:00:00"/>
        <d v="2019-04-02T00:00:00"/>
        <d v="2018-02-16T00:00:00"/>
        <d v="2016-05-25T00:00:00"/>
        <d v="2017-04-17T00:00:00"/>
        <d v="2016-03-18T00:00:00"/>
        <d v="2017-07-05T00:00:00"/>
        <d v="2018-11-07T00:00:00"/>
        <d v="2016-02-19T00:00:00"/>
        <d v="2016-03-15T00:00:00"/>
        <d v="2016-03-03T00:00:00"/>
        <d v="2018-09-06T00:00:00"/>
        <d v="2017-09-07T00:00:00"/>
        <d v="2017-07-21T00:00:00"/>
        <d v="2016-01-06T00:00:00"/>
        <d v="2018-06-04T00:00:00"/>
        <d v="2017-02-14T00:00:00"/>
        <d v="2016-01-19T00:00:00"/>
        <d v="2017-09-20T00:00:00"/>
        <d v="2017-12-19T00:00:00"/>
        <d v="2010-05-02T00:00:00"/>
        <d v="2017-06-02T00:00:00"/>
        <d v="2019-02-05T00:00:00"/>
      </sharedItems>
      <fieldGroup base="0">
        <rangePr groupBy="years" startDate="2010-05-02T00:00:00" endDate="2019-06-08T00:00:00"/>
        <groupItems count="12">
          <s v="&lt;5/2/2010"/>
          <s v="2010"/>
          <s v="2011"/>
          <s v="2012"/>
          <s v="2013"/>
          <s v="2014"/>
          <s v="2015"/>
          <s v="2016"/>
          <s v="2017"/>
          <s v="2018"/>
          <s v="2019"/>
          <s v="&gt;6/8/2019"/>
        </groupItems>
      </fieldGroup>
    </cacheField>
    <cacheField name="Agency Name" numFmtId="0">
      <sharedItems/>
    </cacheField>
    <cacheField name="Office Location" numFmtId="0">
      <sharedItems containsBlank="1"/>
    </cacheField>
    <cacheField name="Contact Name" numFmtId="0">
      <sharedItems containsBlank="1"/>
    </cacheField>
    <cacheField name="Source (Call/Email)" numFmtId="0">
      <sharedItems containsBlank="1"/>
    </cacheField>
    <cacheField name="Insured Last Name" numFmtId="0">
      <sharedItems containsBlank="1"/>
    </cacheField>
    <cacheField name="Insured First Name" numFmtId="0">
      <sharedItems containsBlank="1"/>
    </cacheField>
    <cacheField name="Product/Occupancy" numFmtId="0">
      <sharedItems containsBlank="1" count="169">
        <s v="HO3 Primary"/>
        <s v="HO3 Builders Risk"/>
        <s v="DP3 Rental"/>
        <s v="HO3 Seas/Sec w/Rental"/>
        <s v="HO3 Seas/Sec"/>
        <s v="DP3 Vacant"/>
        <s v="DP3 Builders Risk"/>
        <s v="HO3 Primary w/Rental"/>
        <m/>
        <s v="DP3 COC"/>
        <s v="HO3 COC"/>
        <s v="DP1 Rental"/>
        <s v=" "/>
        <s v="HO3 Tenant"/>
        <s v="HO3/Secondary"/>
        <s v="HO3 Seasonal w/Rental"/>
        <s v="HO3 Secondary"/>
        <s v="DP3 Vacant Builders Risk"/>
        <s v="DP3 Rental   RUA015566 "/>
        <s v="DP3?/Condo"/>
        <s v="DP3"/>
        <s v="HO3 Seasonal"/>
        <s v="HO4 Primary"/>
        <s v="HO3 Secondary/Rental"/>
        <s v="HO3 EVN2160000283"/>
        <s v="HO3 Secondary w/Rental"/>
        <s v="Builders Risk"/>
        <s v="HO6 Primary/Bldrs Risk"/>
        <s v="DP1 Stand Alone Other Str"/>
        <s v="HO3 w/rental"/>
        <s v="DP3 Vacant/Builders Risk"/>
        <s v="HO3 Primary w/rental   "/>
        <s v="DP3 Annual Rental"/>
        <s v="HO3 Seas/Rent"/>
        <s v="DP1 Vacant"/>
        <s v="HO4 Short Term"/>
        <s v="HO3"/>
        <s v="HO6 Primary"/>
        <s v="H03 Primary"/>
        <s v="DP3 Tenant"/>
        <s v="HO3 Primary &amp; DP3 Rental"/>
        <s v="HO3 Primary w/rental structure"/>
        <s v="HO6"/>
        <s v="DP3 Rentals"/>
        <s v="HO3 Primary/Rental"/>
        <s v="DP3 Seasonal/Rental"/>
        <s v="HO3 Seasonal/Builders Risk"/>
        <s v="DP3 Stand Alone Structure"/>
        <s v="rental"/>
        <s v="Vacant"/>
        <s v="Vacant/Builders Risk"/>
        <s v="HO3-Secondary"/>
        <s v="HO6 Condo"/>
        <s v="HO6 "/>
        <s v="DP1 Other Structure"/>
        <s v="DP1-Stand Alone"/>
        <s v="HO6 Seasonal"/>
        <s v="HO6 Secondary w/Rental"/>
        <s v="HO6 Seas/Rent"/>
        <s v="HO6 Rental"/>
        <s v="DP3 Rental Condo"/>
        <s v="DP-Vacant"/>
        <s v="DP1"/>
        <s v="DP3 Other Structure"/>
        <s v="Secondary"/>
        <s v="DP3 Vacant Condo"/>
        <s v="HO3  Primary"/>
        <s v="DP1 Seasonal"/>
        <s v="DP3 Stand Alone Oth Str"/>
        <s v="DP1 Primary"/>
        <s v="DP1 Secondary"/>
        <s v="DP1 Annual Rental"/>
        <s v="DP3 Seasonal"/>
        <s v="DP1 Stand Alone Oth Str"/>
        <s v="HO3 Sec/Bldrs Risk"/>
        <s v="HO3/Primary"/>
        <s v="DP1 "/>
        <s v="HO3 Seasonal  "/>
        <s v="Manufactured Home COC"/>
        <s v="HO8 Primary"/>
        <s v="DP3 Primary"/>
        <s v="Primary HO3"/>
        <s v="DP1-Rental"/>
        <s v="HO3 "/>
        <s v="HO3/DP3"/>
        <s v="DP-3 Vacant"/>
        <s v="HO6 Seasonal w/rental"/>
        <s v="DP3 Secondary/Rental"/>
        <s v="HO3 Primary "/>
        <s v="Primary, HO3"/>
        <s v="DP3 Vacant/Short Sale"/>
        <s v="HO3-Primary"/>
        <s v="HO8 Primary w/Rental"/>
        <s v="HO6 Seasona/No rental"/>
        <s v="Secondary HO3"/>
        <s v="H03"/>
        <s v="HO3Primary"/>
        <s v="HO3 Primary/&lt;9 weeks Rental"/>
        <s v="HO3 Seasonal/Rental"/>
        <s v="HO3 Rental"/>
        <s v="HO6 Secondary"/>
        <s v="DP1 Vacant Builders Risk"/>
        <s v="HO3 Renewal "/>
        <s v="DP3/Renter"/>
        <s v="HO3 Primary  "/>
        <s v="Primary"/>
        <s v="DP3 Builders Risk/Rental"/>
        <s v="HO3 Seasonal "/>
        <s v="HO3 Secondary "/>
        <s v="DP3 Vacant/For Sale"/>
        <s v="HO3 Primary/B&amp;B"/>
        <s v="HO3 Vacant"/>
        <s v="DP3 Vacation Rental"/>
        <s v="DP3 Rental/Business"/>
        <s v="HO3 Primary  BWH102415"/>
        <s v="HO3 Seasonal w/Rental and Builders Risk"/>
        <s v="HO3 Primary/Com'l"/>
        <s v="DP3-Rental"/>
        <s v="DP1 Primary "/>
        <s v="HO3 w/ Rental"/>
        <s v="DP"/>
        <s v="Commercial/Rental"/>
        <s v="DP3 Rental/Synagogue"/>
        <s v="DP1 Vacant   "/>
        <s v="DP3/Tenant"/>
        <s v="HO8"/>
        <s v="Secondary, HO2"/>
        <s v="DP3 Prim w/3 Rentals"/>
        <s v="HO3 Season"/>
        <s v="DP3 Vacant Reno"/>
        <s v="Seasonal/Primary(?)"/>
        <s v="DP3 Secondary"/>
        <s v="DP3 Seasonal w/Rental"/>
        <s v="H03 Secondary"/>
        <s v="HO3-rental/BR"/>
        <s v="HO3 2 family"/>
        <s v="DP3 Full Time Rental"/>
        <s v="DP3 Vacant /Reno"/>
        <s v="HO6 Secondary    "/>
        <s v="HO3 Primary w/B&amp;B"/>
        <s v="HO3/COC"/>
        <s v="DP3 Short Term Rent"/>
        <s v="DP3/Rental"/>
        <s v="DP3/Vacant"/>
        <s v="Commercial Builders Risk"/>
        <s v="DP3 Seasonal Rental"/>
        <s v="HO3/Secondary/Rental"/>
        <s v="HO3 Secondary Builders Risk"/>
        <s v="DP3 Rental COC"/>
        <s v="HO3 Seasonal   MAXH13100004637 "/>
        <s v="DP3Tenant"/>
        <s v="DP3 Short Term Rental"/>
        <s v="DP3 Rental/Bldrs Risk"/>
        <s v="DP3/Owner Occ"/>
        <s v="Dp3-Vacant"/>
        <s v="DP3 Rental/Reno"/>
        <s v="HO3 Seasonal/VRBO"/>
        <s v="HO3 Rental/COC"/>
        <s v="HO6/Primary"/>
        <s v="HO3 Seasonl/Rental"/>
        <s v="HO3 Primary/For Sale"/>
        <s v="HO3 Seas w/vaca rental"/>
        <s v="DP3 Renovation"/>
        <s v="DP3 COC/Rental"/>
        <s v="DP3 Rental PC2"/>
        <s v="DP3 Vacant or Rental"/>
        <s v="DP1 Builders Risk"/>
        <s v="DP3 Rental Schedule"/>
        <s v="HO6 Primary/Rental"/>
      </sharedItems>
    </cacheField>
    <cacheField name="City" numFmtId="0">
      <sharedItems containsBlank="1"/>
    </cacheField>
    <cacheField name="State" numFmtId="0">
      <sharedItems containsBlank="1" count="66">
        <s v="LA"/>
        <s v="CA"/>
        <s v="PA"/>
        <m/>
        <s v="IL"/>
        <s v="TN"/>
        <s v="ME"/>
        <s v="AZ"/>
        <s v="MI"/>
        <s v="NJ"/>
        <s v="VA"/>
        <s v="NC"/>
        <s v="WI"/>
        <s v="WA"/>
        <s v="AL"/>
        <s v="NM"/>
        <s v="MS"/>
        <s v="IN"/>
        <s v="GA"/>
        <s v="CO"/>
        <s v="SC"/>
        <s v="MA"/>
        <s v="UT"/>
        <s v="TX"/>
        <s v="DE"/>
        <s v="CT"/>
        <s v="WV"/>
        <s v="KY"/>
        <s v="KS"/>
        <s v="MD"/>
        <s v="OK"/>
        <s v="MN"/>
        <s v="FL"/>
        <s v="WI "/>
        <s v="IA"/>
        <s v="OR"/>
        <s v="MO"/>
        <s v="AR"/>
        <s v="NE"/>
        <s v="NV"/>
        <s v="OH"/>
        <s v="MO "/>
        <s v="CO "/>
        <s v="ND"/>
        <s v="NY"/>
        <s v="ID"/>
        <s v="CA "/>
        <s v="PA "/>
        <s v="SD"/>
        <s v="MI "/>
        <s v="MT"/>
        <s v="WY"/>
        <s v="NH"/>
        <s v="AK"/>
        <s v="IL "/>
        <s v="LA "/>
        <s v="DC"/>
        <s v="HI"/>
        <s v="RI"/>
        <s v="FL "/>
        <s v="OH "/>
        <s v="CO2"/>
        <s v="MA "/>
        <s v="AK "/>
        <s v="VT"/>
        <s v=" CA"/>
      </sharedItems>
    </cacheField>
    <cacheField name="Zip" numFmtId="0">
      <sharedItems containsBlank="1" containsMixedTypes="1" containsNumber="1" containsInteger="1" minValue="20136" maxValue="96146"/>
    </cacheField>
    <cacheField name="Protection Class" numFmtId="0">
      <sharedItems containsBlank="1" containsMixedTypes="1" containsNumber="1" minValue="0.9" maxValue="92887" count="39">
        <m/>
        <s v="2/2Y"/>
        <n v="5"/>
        <n v="6"/>
        <n v="10"/>
        <n v="4"/>
        <n v="9"/>
        <n v="0.9"/>
        <n v="2"/>
        <n v="3"/>
        <s v=" "/>
        <n v="1"/>
        <s v="4"/>
        <s v="8B"/>
        <n v="8"/>
        <s v="10W"/>
        <s v="Unknown"/>
        <s v="2"/>
        <n v="7"/>
        <s v="10"/>
        <s v="7"/>
        <n v="11"/>
        <s v="8X"/>
        <s v="9"/>
        <s v="1-6"/>
        <s v="3"/>
        <s v="5X"/>
        <s v="6"/>
        <s v="8B?"/>
        <s v="5Y"/>
        <s v="8Y"/>
        <s v="3Y"/>
        <s v="5"/>
        <s v="5Y/9"/>
        <s v="9?"/>
        <n v="42740"/>
        <n v="43229"/>
        <n v="92887"/>
        <s v="1"/>
      </sharedItems>
    </cacheField>
    <cacheField name="Covg A" numFmtId="3">
      <sharedItems containsSemiMixedTypes="0" containsString="0" containsNumber="1" containsInteger="1" minValue="0" maxValue="141478410" count="1384">
        <n v="0"/>
        <n v="6000"/>
        <n v="10000"/>
        <n v="11000"/>
        <n v="20000"/>
        <n v="25000"/>
        <n v="26000"/>
        <n v="29000"/>
        <n v="30000"/>
        <n v="37700"/>
        <n v="40000"/>
        <n v="40400"/>
        <n v="41000"/>
        <n v="45000"/>
        <n v="50000"/>
        <n v="51000"/>
        <n v="55000"/>
        <n v="60000"/>
        <n v="61000"/>
        <n v="65000"/>
        <n v="75000"/>
        <n v="76000"/>
        <n v="77000"/>
        <n v="80000"/>
        <n v="83000"/>
        <n v="84000"/>
        <n v="85000"/>
        <n v="87000"/>
        <n v="87300"/>
        <n v="89000"/>
        <n v="90000"/>
        <n v="91000"/>
        <n v="95000"/>
        <n v="97000"/>
        <n v="98000"/>
        <n v="100000"/>
        <n v="100307"/>
        <n v="102000"/>
        <n v="103000"/>
        <n v="104000"/>
        <n v="105000"/>
        <n v="105100"/>
        <n v="106000"/>
        <n v="109700"/>
        <n v="110000"/>
        <n v="113000"/>
        <n v="113600"/>
        <n v="115000"/>
        <n v="116000"/>
        <n v="116083"/>
        <n v="117000"/>
        <n v="118000"/>
        <n v="120000"/>
        <n v="124000"/>
        <n v="125000"/>
        <n v="126000"/>
        <n v="127000"/>
        <n v="128000"/>
        <n v="130000"/>
        <n v="131000"/>
        <n v="132000"/>
        <n v="132500"/>
        <n v="133000"/>
        <n v="134418"/>
        <n v="135000"/>
        <n v="135900"/>
        <n v="136000"/>
        <n v="138000"/>
        <n v="138567"/>
        <n v="139000"/>
        <n v="139400"/>
        <n v="140000"/>
        <n v="140034"/>
        <n v="140900"/>
        <n v="141000"/>
        <n v="142000"/>
        <n v="143000"/>
        <n v="144000"/>
        <n v="144200"/>
        <n v="145000"/>
        <n v="147000"/>
        <n v="148000"/>
        <n v="149000"/>
        <n v="149900"/>
        <n v="150000"/>
        <n v="150838"/>
        <n v="151000"/>
        <n v="152000"/>
        <n v="153000"/>
        <n v="153500"/>
        <n v="154000"/>
        <n v="155000"/>
        <n v="156000"/>
        <n v="156213"/>
        <n v="158000"/>
        <n v="158300"/>
        <n v="160000"/>
        <n v="161000"/>
        <n v="161415"/>
        <n v="163200"/>
        <n v="165000"/>
        <n v="166967"/>
        <n v="170000"/>
        <n v="171910"/>
        <n v="172000"/>
        <n v="172514"/>
        <n v="173000"/>
        <n v="173403"/>
        <n v="173492"/>
        <n v="174000"/>
        <n v="175000"/>
        <n v="175900"/>
        <n v="176107"/>
        <n v="176600"/>
        <n v="177000"/>
        <n v="178000"/>
        <n v="178324"/>
        <n v="179000"/>
        <n v="180000"/>
        <n v="180450"/>
        <n v="181000"/>
        <n v="182000"/>
        <n v="184000"/>
        <n v="185000"/>
        <n v="185600"/>
        <n v="187000"/>
        <n v="188000"/>
        <n v="189000"/>
        <n v="189175"/>
        <n v="190000"/>
        <n v="191000"/>
        <n v="191900"/>
        <n v="192000"/>
        <n v="192446"/>
        <n v="193000"/>
        <n v="193800"/>
        <n v="194000"/>
        <n v="194800"/>
        <n v="195000"/>
        <n v="195500"/>
        <n v="195700"/>
        <n v="196000"/>
        <n v="197000"/>
        <n v="198000"/>
        <n v="198283"/>
        <n v="199000"/>
        <n v="200000"/>
        <n v="201000"/>
        <n v="202000"/>
        <n v="203000"/>
        <n v="203100"/>
        <n v="204000"/>
        <n v="205000"/>
        <n v="205800"/>
        <n v="206000"/>
        <n v="206215"/>
        <n v="207000"/>
        <n v="208000"/>
        <n v="209682"/>
        <n v="210000"/>
        <n v="211000"/>
        <n v="211200"/>
        <n v="212000"/>
        <n v="212800"/>
        <n v="214000"/>
        <n v="215000"/>
        <n v="216000"/>
        <n v="216700"/>
        <n v="216800"/>
        <n v="217000"/>
        <n v="218000"/>
        <n v="218900"/>
        <n v="219000"/>
        <n v="219561"/>
        <n v="220000"/>
        <n v="220800"/>
        <n v="221000"/>
        <n v="221300"/>
        <n v="221600"/>
        <n v="222000"/>
        <n v="223400"/>
        <n v="225000"/>
        <n v="226728"/>
        <n v="227000"/>
        <n v="227600"/>
        <n v="227614"/>
        <n v="228000"/>
        <n v="228900"/>
        <n v="229000"/>
        <n v="229130"/>
        <n v="230000"/>
        <n v="230500"/>
        <n v="231764"/>
        <n v="231800"/>
        <n v="232000"/>
        <n v="232560"/>
        <n v="233166"/>
        <n v="233467"/>
        <n v="233700"/>
        <n v="234000"/>
        <n v="234600"/>
        <n v="234674"/>
        <n v="235000"/>
        <n v="235489"/>
        <n v="236000"/>
        <n v="236664"/>
        <n v="237000"/>
        <n v="239757"/>
        <n v="240000"/>
        <n v="240898"/>
        <n v="240993"/>
        <n v="241000"/>
        <n v="241400"/>
        <n v="242000"/>
        <n v="242700"/>
        <n v="243000"/>
        <n v="244000"/>
        <n v="244300"/>
        <n v="244644"/>
        <n v="245000"/>
        <n v="246000"/>
        <n v="247000"/>
        <n v="247700"/>
        <n v="250000"/>
        <n v="250100"/>
        <n v="251000"/>
        <n v="252000"/>
        <n v="252290"/>
        <n v="252500"/>
        <n v="252816"/>
        <n v="253000"/>
        <n v="254826"/>
        <n v="255000"/>
        <n v="256000"/>
        <n v="257000"/>
        <n v="258000"/>
        <n v="258500"/>
        <n v="259875"/>
        <n v="260000"/>
        <n v="260034"/>
        <n v="261000"/>
        <n v="261100"/>
        <n v="261999"/>
        <n v="262000"/>
        <n v="262500"/>
        <n v="263000"/>
        <n v="264000"/>
        <n v="265000"/>
        <n v="265500"/>
        <n v="266000"/>
        <n v="266305"/>
        <n v="267000"/>
        <n v="267100"/>
        <n v="268000"/>
        <n v="269900"/>
        <n v="270000"/>
        <n v="270500"/>
        <n v="271446"/>
        <n v="272000"/>
        <n v="273000"/>
        <n v="273360"/>
        <n v="273700"/>
        <n v="274000"/>
        <n v="274500"/>
        <n v="275000"/>
        <n v="276000"/>
        <n v="277208"/>
        <n v="277500"/>
        <n v="278000"/>
        <n v="278900"/>
        <n v="279000"/>
        <n v="280000"/>
        <n v="280500"/>
        <n v="281000"/>
        <n v="281300"/>
        <n v="283400"/>
        <n v="284000"/>
        <n v="284660"/>
        <n v="285000"/>
        <n v="285500"/>
        <n v="286000"/>
        <n v="287000"/>
        <n v="288000"/>
        <n v="288100"/>
        <n v="289000"/>
        <n v="289794"/>
        <n v="290000"/>
        <n v="291000"/>
        <n v="292000"/>
        <n v="293000"/>
        <n v="293600"/>
        <n v="294000"/>
        <n v="295000"/>
        <n v="295120"/>
        <n v="296000"/>
        <n v="297000"/>
        <n v="297490"/>
        <n v="298000"/>
        <n v="300000"/>
        <n v="301000"/>
        <n v="302000"/>
        <n v="302100"/>
        <n v="302300"/>
        <n v="302414"/>
        <n v="303081"/>
        <n v="304000"/>
        <n v="304164"/>
        <n v="305000"/>
        <n v="305400"/>
        <n v="305622"/>
        <n v="306000"/>
        <n v="307000"/>
        <n v="308800"/>
        <n v="309000"/>
        <n v="309600"/>
        <n v="310000"/>
        <n v="310564"/>
        <n v="310852"/>
        <n v="311000"/>
        <n v="312000"/>
        <n v="313000"/>
        <n v="314000"/>
        <n v="315000"/>
        <n v="316000"/>
        <n v="316500"/>
        <n v="320000"/>
        <n v="320800"/>
        <n v="321000"/>
        <n v="322000"/>
        <n v="322888"/>
        <n v="323000"/>
        <n v="324000"/>
        <n v="325000"/>
        <n v="325904"/>
        <n v="326000"/>
        <n v="328500"/>
        <n v="330000"/>
        <n v="331000"/>
        <n v="332000"/>
        <n v="332100"/>
        <n v="332126"/>
        <n v="332900"/>
        <n v="333200"/>
        <n v="333500"/>
        <n v="334000"/>
        <n v="335000"/>
        <n v="335500"/>
        <n v="336000"/>
        <n v="336600"/>
        <n v="338000"/>
        <n v="340000"/>
        <n v="340800"/>
        <n v="341500"/>
        <n v="342000"/>
        <n v="342800"/>
        <n v="343000"/>
        <n v="344304"/>
        <n v="345000"/>
        <n v="345145"/>
        <n v="348000"/>
        <n v="350000"/>
        <n v="351000"/>
        <n v="352000"/>
        <n v="353000"/>
        <n v="353500"/>
        <n v="354000"/>
        <n v="354700"/>
        <n v="355000"/>
        <n v="356000"/>
        <n v="356100"/>
        <n v="356200"/>
        <n v="357000"/>
        <n v="359000"/>
        <n v="360000"/>
        <n v="362000"/>
        <n v="362267"/>
        <n v="362500"/>
        <n v="363000"/>
        <n v="364000"/>
        <n v="365000"/>
        <n v="366133"/>
        <n v="367000"/>
        <n v="369000"/>
        <n v="370000"/>
        <n v="371200"/>
        <n v="372000"/>
        <n v="372400"/>
        <n v="375000"/>
        <n v="376000"/>
        <n v="377000"/>
        <n v="378000"/>
        <n v="379000"/>
        <n v="380000"/>
        <n v="381000"/>
        <n v="381900"/>
        <n v="382768"/>
        <n v="384000"/>
        <n v="385000"/>
        <n v="386000"/>
        <n v="386600"/>
        <n v="387000"/>
        <n v="388000"/>
        <n v="388150"/>
        <n v="389004"/>
        <n v="389200"/>
        <n v="390000"/>
        <n v="390600"/>
        <n v="391400"/>
        <n v="392284"/>
        <n v="392442"/>
        <n v="393000"/>
        <n v="394000"/>
        <n v="396000"/>
        <n v="396400"/>
        <n v="398000"/>
        <n v="399000"/>
        <n v="400000"/>
        <n v="401000"/>
        <n v="403000"/>
        <n v="403291"/>
        <n v="405000"/>
        <n v="406000"/>
        <n v="407300"/>
        <n v="408000"/>
        <n v="408770"/>
        <n v="410000"/>
        <n v="412000"/>
        <n v="413000"/>
        <n v="413900"/>
        <n v="414000"/>
        <n v="416000"/>
        <n v="416500"/>
        <n v="418567"/>
        <n v="420000"/>
        <n v="421000"/>
        <n v="422000"/>
        <n v="422100"/>
        <n v="422500"/>
        <n v="423300"/>
        <n v="425000"/>
        <n v="425340"/>
        <n v="426000"/>
        <n v="427500"/>
        <n v="429867"/>
        <n v="430000"/>
        <n v="431000"/>
        <n v="432064"/>
        <n v="433000"/>
        <n v="433290"/>
        <n v="434000"/>
        <n v="435000"/>
        <n v="440000"/>
        <n v="441500"/>
        <n v="444000"/>
        <n v="448000"/>
        <n v="449000"/>
        <n v="450000"/>
        <n v="450090"/>
        <n v="451000"/>
        <n v="452000"/>
        <n v="453000"/>
        <n v="453934"/>
        <n v="454472"/>
        <n v="455000"/>
        <n v="455328"/>
        <n v="459000"/>
        <n v="459500"/>
        <n v="460000"/>
        <n v="462000"/>
        <n v="462239"/>
        <n v="463000"/>
        <n v="463139"/>
        <n v="463740"/>
        <n v="463760"/>
        <n v="464000"/>
        <n v="465000"/>
        <n v="466000"/>
        <n v="468000"/>
        <n v="469000"/>
        <n v="470000"/>
        <n v="472000"/>
        <n v="473000"/>
        <n v="473013"/>
        <n v="474000"/>
        <n v="475000"/>
        <n v="477000"/>
        <n v="477200"/>
        <n v="480000"/>
        <n v="480200"/>
        <n v="481000"/>
        <n v="484025"/>
        <n v="484600"/>
        <n v="485000"/>
        <n v="486000"/>
        <n v="486090"/>
        <n v="486948"/>
        <n v="487868"/>
        <n v="488000"/>
        <n v="490000"/>
        <n v="490600"/>
        <n v="491000"/>
        <n v="492000"/>
        <n v="494000"/>
        <n v="495000"/>
        <n v="496000"/>
        <n v="498000"/>
        <n v="500000"/>
        <n v="500225"/>
        <n v="501000"/>
        <n v="502000"/>
        <n v="504000"/>
        <n v="505000"/>
        <n v="506000"/>
        <n v="509000"/>
        <n v="510000"/>
        <n v="511100"/>
        <n v="511200"/>
        <n v="511877"/>
        <n v="512000"/>
        <n v="515000"/>
        <n v="515300"/>
        <n v="516000"/>
        <n v="517000"/>
        <n v="520000"/>
        <n v="520050"/>
        <n v="520470"/>
        <n v="521000"/>
        <n v="521029"/>
        <n v="522000"/>
        <n v="525000"/>
        <n v="526000"/>
        <n v="528000"/>
        <n v="530000"/>
        <n v="531000"/>
        <n v="532000"/>
        <n v="534000"/>
        <n v="537000"/>
        <n v="539000"/>
        <n v="539016"/>
        <n v="540000"/>
        <n v="541000"/>
        <n v="542000"/>
        <n v="544577"/>
        <n v="545000"/>
        <n v="546000"/>
        <n v="547000"/>
        <n v="548000"/>
        <n v="548100"/>
        <n v="550000"/>
        <n v="551000"/>
        <n v="553669"/>
        <n v="554000"/>
        <n v="556200"/>
        <n v="557000"/>
        <n v="558000"/>
        <n v="560000"/>
        <n v="562500"/>
        <n v="563000"/>
        <n v="564000"/>
        <n v="565000"/>
        <n v="565300"/>
        <n v="565488"/>
        <n v="566000"/>
        <n v="566800"/>
        <n v="567000"/>
        <n v="570000"/>
        <n v="573000"/>
        <n v="575000"/>
        <n v="576300"/>
        <n v="578000"/>
        <n v="579825"/>
        <n v="580000"/>
        <n v="581000"/>
        <n v="583000"/>
        <n v="584608"/>
        <n v="585000"/>
        <n v="587000"/>
        <n v="589000"/>
        <n v="590000"/>
        <n v="592577"/>
        <n v="593000"/>
        <n v="594150"/>
        <n v="595000"/>
        <n v="596000"/>
        <n v="599760"/>
        <n v="600000"/>
        <n v="602000"/>
        <n v="604000"/>
        <n v="607000"/>
        <n v="608000"/>
        <n v="609000"/>
        <n v="610000"/>
        <n v="611000"/>
        <n v="612000"/>
        <n v="613000"/>
        <n v="615000"/>
        <n v="616000"/>
        <n v="620000"/>
        <n v="624000"/>
        <n v="624781"/>
        <n v="625000"/>
        <n v="626000"/>
        <n v="628000"/>
        <n v="629000"/>
        <n v="630000"/>
        <n v="630990"/>
        <n v="631000"/>
        <n v="632000"/>
        <n v="633000"/>
        <n v="635646"/>
        <n v="637000"/>
        <n v="638000"/>
        <n v="640000"/>
        <n v="640563"/>
        <n v="643000"/>
        <n v="644000"/>
        <n v="645000"/>
        <n v="646000"/>
        <n v="646200"/>
        <n v="646610"/>
        <n v="650000"/>
        <n v="651000"/>
        <n v="653999"/>
        <n v="655000"/>
        <n v="656000"/>
        <n v="660000"/>
        <n v="662194"/>
        <n v="664000"/>
        <n v="669451"/>
        <n v="670000"/>
        <n v="672000"/>
        <n v="675000"/>
        <n v="675240"/>
        <n v="677300"/>
        <n v="680000"/>
        <n v="682000"/>
        <n v="684000"/>
        <n v="686300"/>
        <n v="687000"/>
        <n v="688000"/>
        <n v="690000"/>
        <n v="691000"/>
        <n v="692000"/>
        <n v="692200"/>
        <n v="693000"/>
        <n v="694000"/>
        <n v="695000"/>
        <n v="695500"/>
        <n v="696000"/>
        <n v="699000"/>
        <n v="700000"/>
        <n v="701000"/>
        <n v="702000"/>
        <n v="708000"/>
        <n v="710000"/>
        <n v="712000"/>
        <n v="713200"/>
        <n v="719000"/>
        <n v="719610"/>
        <n v="720000"/>
        <n v="722000"/>
        <n v="723000"/>
        <n v="725000"/>
        <n v="726000"/>
        <n v="728000"/>
        <n v="728380"/>
        <n v="730000"/>
        <n v="731000"/>
        <n v="731530"/>
        <n v="732000"/>
        <n v="735000"/>
        <n v="736200"/>
        <n v="738000"/>
        <n v="743000"/>
        <n v="745000"/>
        <n v="745782"/>
        <n v="746000"/>
        <n v="747000"/>
        <n v="750000"/>
        <n v="753505"/>
        <n v="754000"/>
        <n v="758000"/>
        <n v="760000"/>
        <n v="761000"/>
        <n v="768000"/>
        <n v="770000"/>
        <n v="771200"/>
        <n v="772589"/>
        <n v="775000"/>
        <n v="776000"/>
        <n v="777500"/>
        <n v="778000"/>
        <n v="780000"/>
        <n v="781000"/>
        <n v="782212"/>
        <n v="783000"/>
        <n v="785200"/>
        <n v="785900"/>
        <n v="786000"/>
        <n v="787000"/>
        <n v="790000"/>
        <n v="793013"/>
        <n v="794000"/>
        <n v="797428"/>
        <n v="799000"/>
        <n v="800000"/>
        <n v="804000"/>
        <n v="809000"/>
        <n v="810000"/>
        <n v="812000"/>
        <n v="813000"/>
        <n v="814468"/>
        <n v="815000"/>
        <n v="816000"/>
        <n v="816036"/>
        <n v="817000"/>
        <n v="820000"/>
        <n v="823000"/>
        <n v="825000"/>
        <n v="828300"/>
        <n v="835000"/>
        <n v="837000"/>
        <n v="838440"/>
        <n v="840895"/>
        <n v="841000"/>
        <n v="842000"/>
        <n v="845000"/>
        <n v="846300"/>
        <n v="848000"/>
        <n v="849589"/>
        <n v="850000"/>
        <n v="856000"/>
        <n v="857000"/>
        <n v="859000"/>
        <n v="860000"/>
        <n v="861000"/>
        <n v="864000"/>
        <n v="865000"/>
        <n v="870000"/>
        <n v="873000"/>
        <n v="875000"/>
        <n v="876433"/>
        <n v="877000"/>
        <n v="879458"/>
        <n v="884345"/>
        <n v="885000"/>
        <n v="890000"/>
        <n v="891378"/>
        <n v="893000"/>
        <n v="894000"/>
        <n v="895000"/>
        <n v="895423"/>
        <n v="899000"/>
        <n v="900000"/>
        <n v="900500"/>
        <n v="902000"/>
        <n v="903000"/>
        <n v="906000"/>
        <n v="907000"/>
        <n v="910000"/>
        <n v="911000"/>
        <n v="912000"/>
        <n v="912816"/>
        <n v="917000"/>
        <n v="920000"/>
        <n v="921903"/>
        <n v="925000"/>
        <n v="929000"/>
        <n v="932000"/>
        <n v="934000"/>
        <n v="934800"/>
        <n v="935000"/>
        <n v="936000"/>
        <n v="940000"/>
        <n v="940976"/>
        <n v="943500"/>
        <n v="950000"/>
        <n v="951000"/>
        <n v="951800"/>
        <n v="953000"/>
        <n v="953500"/>
        <n v="954580"/>
        <n v="955000"/>
        <n v="956000"/>
        <n v="958000"/>
        <n v="960000"/>
        <n v="964000"/>
        <n v="964600"/>
        <n v="966300"/>
        <n v="968000"/>
        <n v="971000"/>
        <n v="975000"/>
        <n v="976100"/>
        <n v="981202"/>
        <n v="983000"/>
        <n v="983301"/>
        <n v="984000"/>
        <n v="985000"/>
        <n v="986000"/>
        <n v="990000"/>
        <n v="993000"/>
        <n v="998884"/>
        <n v="999574"/>
        <n v="1000000"/>
        <n v="1000016"/>
        <n v="1002439"/>
        <n v="1005200"/>
        <n v="1007000"/>
        <n v="1011000"/>
        <n v="1012500"/>
        <n v="1014000"/>
        <n v="1015000"/>
        <n v="1019000"/>
        <n v="1022400"/>
        <n v="1025000"/>
        <n v="1025108"/>
        <n v="1026000"/>
        <n v="1029996"/>
        <n v="1036000"/>
        <n v="1038000"/>
        <n v="1039500"/>
        <n v="1040400"/>
        <n v="1043000"/>
        <n v="1047000"/>
        <n v="1050000"/>
        <n v="1051000"/>
        <n v="1052000"/>
        <n v="1054760"/>
        <n v="1055000"/>
        <n v="1055250"/>
        <n v="1056000"/>
        <n v="1056364"/>
        <n v="1059406"/>
        <n v="1060000"/>
        <n v="1060631"/>
        <n v="1061000"/>
        <n v="1065000"/>
        <n v="1066000"/>
        <n v="1071000"/>
        <n v="1072700"/>
        <n v="1073000"/>
        <n v="1075000"/>
        <n v="1078000"/>
        <n v="1084000"/>
        <n v="1085000"/>
        <n v="1089000"/>
        <n v="1091800"/>
        <n v="1093982"/>
        <n v="1094000"/>
        <n v="1095771"/>
        <n v="1100000"/>
        <n v="1105000"/>
        <n v="1107000"/>
        <n v="1112196"/>
        <n v="1112900"/>
        <n v="1113000"/>
        <n v="1113611"/>
        <n v="1113840"/>
        <n v="1114700"/>
        <n v="1116000"/>
        <n v="1117600"/>
        <n v="1118000"/>
        <n v="1120000"/>
        <n v="1121000"/>
        <n v="1122500"/>
        <n v="1124000"/>
        <n v="1125000"/>
        <n v="1128000"/>
        <n v="1139000"/>
        <n v="1140000"/>
        <n v="1142000"/>
        <n v="1150000"/>
        <n v="1151258"/>
        <n v="1153000"/>
        <n v="1155000"/>
        <n v="1157000"/>
        <n v="1162000"/>
        <n v="1162304"/>
        <n v="1170000"/>
        <n v="1175000"/>
        <n v="1177000"/>
        <n v="1179105"/>
        <n v="1181000"/>
        <n v="1181302"/>
        <n v="1182000"/>
        <n v="1184000"/>
        <n v="1184691"/>
        <n v="1187000"/>
        <n v="1188000"/>
        <n v="1192500"/>
        <n v="1200000"/>
        <n v="1202600"/>
        <n v="1204000"/>
        <n v="1205400"/>
        <n v="1206000"/>
        <n v="1210000"/>
        <n v="1212000"/>
        <n v="1216000"/>
        <n v="1217000"/>
        <n v="1218000"/>
        <n v="1227000"/>
        <n v="1229823"/>
        <n v="1233000"/>
        <n v="1237500"/>
        <n v="1238000"/>
        <n v="1240000"/>
        <n v="1245454"/>
        <n v="1249301"/>
        <n v="1250000"/>
        <n v="1250800"/>
        <n v="1259850"/>
        <n v="1260000"/>
        <n v="1265000"/>
        <n v="1267000"/>
        <n v="1270698"/>
        <n v="1286000"/>
        <n v="1287000"/>
        <n v="1295000"/>
        <n v="1298000"/>
        <n v="1300000"/>
        <n v="1300500"/>
        <n v="1302000"/>
        <n v="1305673"/>
        <n v="1308000"/>
        <n v="1309000"/>
        <n v="1319000"/>
        <n v="1323000"/>
        <n v="1333000"/>
        <n v="1341000"/>
        <n v="1350000"/>
        <n v="1364000"/>
        <n v="1364560"/>
        <n v="1366000"/>
        <n v="1370000"/>
        <n v="1375000"/>
        <n v="1378000"/>
        <n v="1384200"/>
        <n v="1390000"/>
        <n v="1394000"/>
        <n v="1397000"/>
        <n v="1400000"/>
        <n v="1404000"/>
        <n v="1406000"/>
        <n v="1407000"/>
        <n v="1411000"/>
        <n v="1417000"/>
        <n v="1423000"/>
        <n v="1425500"/>
        <n v="1430000"/>
        <n v="1431000"/>
        <n v="1433000"/>
        <n v="1438910"/>
        <n v="1443000"/>
        <n v="1445000"/>
        <n v="1446000"/>
        <n v="1449000"/>
        <n v="1449200"/>
        <n v="1450000"/>
        <n v="1455000"/>
        <n v="1457000"/>
        <n v="1460000"/>
        <n v="1461000"/>
        <n v="1465000"/>
        <n v="1468000"/>
        <n v="1470000"/>
        <n v="1474000"/>
        <n v="1477000"/>
        <n v="1479000"/>
        <n v="1487130"/>
        <n v="1487498"/>
        <n v="1489300"/>
        <n v="1490000"/>
        <n v="1500000"/>
        <n v="1510000"/>
        <n v="1516500"/>
        <n v="1520000"/>
        <n v="1523500"/>
        <n v="1525250"/>
        <n v="1526000"/>
        <n v="1531000"/>
        <n v="1533000"/>
        <n v="1535659"/>
        <n v="1536000"/>
        <n v="1537000"/>
        <n v="1539000"/>
        <n v="1543000"/>
        <n v="1545125"/>
        <n v="1546650"/>
        <n v="1549159"/>
        <n v="1550000"/>
        <n v="1555900"/>
        <n v="1559000"/>
        <n v="1560600"/>
        <n v="1564000"/>
        <n v="1566000"/>
        <n v="1567730"/>
        <n v="1570000"/>
        <n v="1570400"/>
        <n v="1572000"/>
        <n v="1575900"/>
        <n v="1578000"/>
        <n v="1580000"/>
        <n v="1587000"/>
        <n v="1589000"/>
        <n v="1600000"/>
        <n v="1606000"/>
        <n v="1615696"/>
        <n v="1617000"/>
        <n v="1621750"/>
        <n v="1622000"/>
        <n v="1628000"/>
        <n v="1630000"/>
        <n v="1632000"/>
        <n v="1633000"/>
        <n v="1637500"/>
        <n v="1639000"/>
        <n v="1643893"/>
        <n v="1645000"/>
        <n v="1647814"/>
        <n v="1648072"/>
        <n v="1650000"/>
        <n v="1651000"/>
        <n v="1657000"/>
        <n v="1661919"/>
        <n v="1662600"/>
        <n v="1664400"/>
        <n v="1667500"/>
        <n v="1670000"/>
        <n v="1674000"/>
        <n v="1675000"/>
        <n v="1680000"/>
        <n v="1681000"/>
        <n v="1689243"/>
        <n v="1690000"/>
        <n v="1695000"/>
        <n v="1700000"/>
        <n v="1706600"/>
        <n v="1710500"/>
        <n v="1711000"/>
        <n v="1715000"/>
        <n v="1719000"/>
        <n v="1720000"/>
        <n v="1723000"/>
        <n v="1727310"/>
        <n v="1728000"/>
        <n v="1731425"/>
        <n v="1734720"/>
        <n v="1735770"/>
        <n v="1739000"/>
        <n v="1750000"/>
        <n v="1752800"/>
        <n v="1754000"/>
        <n v="1755000"/>
        <n v="1759000"/>
        <n v="1759633"/>
        <n v="1760000"/>
        <n v="1765517"/>
        <n v="1766000"/>
        <n v="1770300"/>
        <n v="1771000"/>
        <n v="1775000"/>
        <n v="1775400"/>
        <n v="1780000"/>
        <n v="1781000"/>
        <n v="1785380"/>
        <n v="1786000"/>
        <n v="1792000"/>
        <n v="1795000"/>
        <n v="1800000"/>
        <n v="1800300"/>
        <n v="1804000"/>
        <n v="1824000"/>
        <n v="1833960"/>
        <n v="1836000"/>
        <n v="1837000"/>
        <n v="1840000"/>
        <n v="1844000"/>
        <n v="1850000"/>
        <n v="1850160"/>
        <n v="1851000"/>
        <n v="1852000"/>
        <n v="1855250"/>
        <n v="1856000"/>
        <n v="1857000"/>
        <n v="1859000"/>
        <n v="1863000"/>
        <n v="1865124"/>
        <n v="1866614"/>
        <n v="1869900"/>
        <n v="1875000"/>
        <n v="1880400"/>
        <n v="1885000"/>
        <n v="1888000"/>
        <n v="1890000"/>
        <n v="1891000"/>
        <n v="1891080"/>
        <n v="1894568"/>
        <n v="1895000"/>
        <n v="1899500"/>
        <n v="1900000"/>
        <n v="1902000"/>
        <n v="1904000"/>
        <n v="1905700"/>
        <n v="1907000"/>
        <n v="1910174"/>
        <n v="1914000"/>
        <n v="1916000"/>
        <n v="1917300"/>
        <n v="1922000"/>
        <n v="1925000"/>
        <n v="1930000"/>
        <n v="1933200"/>
        <n v="1935246"/>
        <n v="1935900"/>
        <n v="1943000"/>
        <n v="1948000"/>
        <n v="1950000"/>
        <n v="1954000"/>
        <n v="1956830"/>
        <n v="1959469"/>
        <n v="1960000"/>
        <n v="1968000"/>
        <n v="1972000"/>
        <n v="1975000"/>
        <n v="1980000"/>
        <n v="1985000"/>
        <n v="1990000"/>
        <n v="1991000"/>
        <n v="1996800"/>
        <n v="2000000"/>
        <n v="2003000"/>
        <n v="2004000"/>
        <n v="2007000"/>
        <n v="2009000"/>
        <n v="2013000"/>
        <n v="2014000"/>
        <n v="2017000"/>
        <n v="2021000"/>
        <n v="2022000"/>
        <n v="2025000"/>
        <n v="2028000"/>
        <n v="2029000"/>
        <n v="2031000"/>
        <n v="2037000"/>
        <n v="2038000"/>
        <n v="2038200"/>
        <n v="2040000"/>
        <n v="2050200"/>
        <n v="2050940"/>
        <n v="2056000"/>
        <n v="2058584"/>
        <n v="2060000"/>
        <n v="2065000"/>
        <n v="2068000"/>
        <n v="2081000"/>
        <n v="2083100"/>
        <n v="2093000"/>
        <n v="2100000"/>
        <n v="2100600"/>
        <n v="2101200"/>
        <n v="2107280"/>
        <n v="2110745"/>
        <n v="2111804"/>
        <n v="2115000"/>
        <n v="2117200"/>
        <n v="2118214"/>
        <n v="2120000"/>
        <n v="2121000"/>
        <n v="2124000"/>
        <n v="2137000"/>
        <n v="2141000"/>
        <n v="2142000"/>
        <n v="2150000"/>
        <n v="2154040"/>
        <n v="2160000"/>
        <n v="2166986"/>
        <n v="2168024"/>
        <n v="2171000"/>
        <n v="2176000"/>
        <n v="2177000"/>
        <n v="2181000"/>
        <n v="2186895"/>
        <n v="2198500"/>
        <n v="2200000"/>
        <n v="2206000"/>
        <n v="2214420"/>
        <n v="2224500"/>
        <n v="2226500"/>
        <n v="2244000"/>
        <n v="2250000"/>
        <n v="2250600"/>
        <n v="2255000"/>
        <n v="2256700"/>
        <n v="2257000"/>
        <n v="2264951"/>
        <n v="2266000"/>
        <n v="2273000"/>
        <n v="2276000"/>
        <n v="2280000"/>
        <n v="2285555"/>
        <n v="2297370"/>
        <n v="2300000"/>
        <n v="2300300"/>
        <n v="2304000"/>
        <n v="2319000"/>
        <n v="2325000"/>
        <n v="2329000"/>
        <n v="2331000"/>
        <n v="2335000"/>
        <n v="2336000"/>
        <n v="2345000"/>
        <n v="2349301"/>
        <n v="2350000"/>
        <n v="2362320"/>
        <n v="2368000"/>
        <n v="2372691"/>
        <n v="2383940"/>
        <n v="2389596"/>
        <n v="2393000"/>
        <n v="2397000"/>
        <n v="2399000"/>
        <n v="2400000"/>
        <n v="2406080"/>
        <n v="2410000"/>
        <n v="2411000"/>
        <n v="2416000"/>
        <n v="2420000"/>
        <n v="2422262"/>
        <n v="2427000"/>
        <n v="2433000"/>
        <n v="2439983"/>
        <n v="2443390"/>
        <n v="2447000"/>
        <n v="2454000"/>
        <n v="2454448"/>
        <n v="2455000"/>
        <n v="2467000"/>
        <n v="2474000"/>
        <n v="2478000"/>
        <n v="2485000"/>
        <n v="2487000"/>
        <n v="2488459"/>
        <n v="2500000"/>
        <n v="2511000"/>
        <n v="2518000"/>
        <n v="2520000"/>
        <n v="2526000"/>
        <n v="2526400"/>
        <n v="2527200"/>
        <n v="2550000"/>
        <n v="2553000"/>
        <n v="2563000"/>
        <n v="2565000"/>
        <n v="2580500"/>
        <n v="2582235"/>
        <n v="2589936"/>
        <n v="2600000"/>
        <n v="2601000"/>
        <n v="2608164"/>
        <n v="2641400"/>
        <n v="2645000"/>
        <n v="2647200"/>
        <n v="2650000"/>
        <n v="2651000"/>
        <n v="2655000"/>
        <n v="2658000"/>
        <n v="2661999"/>
        <n v="2664600"/>
        <n v="2682000"/>
        <n v="2690000"/>
        <n v="2700000"/>
        <n v="2703585"/>
        <n v="2706000"/>
        <n v="2707000"/>
        <n v="2707800"/>
        <n v="2709000"/>
        <n v="2710000"/>
        <n v="2722000"/>
        <n v="2750000"/>
        <n v="2753700"/>
        <n v="2754726"/>
        <n v="2760120"/>
        <n v="2763902"/>
        <n v="2764000"/>
        <n v="2784000"/>
        <n v="2799000"/>
        <n v="2800000"/>
        <n v="2810500"/>
        <n v="2815000"/>
        <n v="2831000"/>
        <n v="2890000"/>
        <n v="2900000"/>
        <n v="2924000"/>
        <n v="2925000"/>
        <n v="2940000"/>
        <n v="2950000"/>
        <n v="2960000"/>
        <n v="2994000"/>
        <n v="2997000"/>
        <n v="3000000"/>
        <n v="3011000"/>
        <n v="3018432"/>
        <n v="3044210"/>
        <n v="3072364"/>
        <n v="3078000"/>
        <n v="3078360"/>
        <n v="3091000"/>
        <n v="3095400"/>
        <n v="3100000"/>
        <n v="3101330"/>
        <n v="3105000"/>
        <n v="3113000"/>
        <n v="3136000"/>
        <n v="3138540"/>
        <n v="3150000"/>
        <n v="3159469"/>
        <n v="3176000"/>
        <n v="3200000"/>
        <n v="3237480"/>
        <n v="3240000"/>
        <n v="3243600"/>
        <n v="3250000"/>
        <n v="3267000"/>
        <n v="3286000"/>
        <n v="3300000"/>
        <n v="3333900"/>
        <n v="3359452"/>
        <n v="3365000"/>
        <n v="3400000"/>
        <n v="3440000"/>
        <n v="3466000"/>
        <n v="3500000"/>
        <n v="3515000"/>
        <n v="3570000"/>
        <n v="3572025"/>
        <n v="3580538"/>
        <n v="3600000"/>
        <n v="3601000"/>
        <n v="3640000"/>
        <n v="3641000"/>
        <n v="3650000"/>
        <n v="3676000"/>
        <n v="3700000"/>
        <n v="3724000"/>
        <n v="3750000"/>
        <n v="3780000"/>
        <n v="3800000"/>
        <n v="3825000"/>
        <n v="3829622"/>
        <n v="3848000"/>
        <n v="3850000"/>
        <n v="3900000"/>
        <n v="3911000"/>
        <n v="3984930"/>
        <n v="4000000"/>
        <n v="4050000"/>
        <n v="4080000"/>
        <n v="4100000"/>
        <n v="4133000"/>
        <n v="4269600"/>
        <n v="4299171"/>
        <n v="4300000"/>
        <n v="4397092"/>
        <n v="4400000"/>
        <n v="4500000"/>
        <n v="4527000"/>
        <n v="4541000"/>
        <n v="4600000"/>
        <n v="4750000"/>
        <n v="4800000"/>
        <n v="4900000"/>
        <n v="5000000"/>
        <n v="5134550"/>
        <n v="5362000"/>
        <n v="5420000"/>
        <n v="5500500"/>
        <n v="6000000"/>
        <n v="6066960"/>
        <n v="13368000"/>
        <n v="16040000"/>
        <n v="20000000"/>
        <n v="141478410"/>
        <n v="2473000"/>
        <n v="1109500"/>
      </sharedItems>
      <fieldGroup base="12">
        <rangePr autoStart="0" startNum="1" endNum="141478410" groupInterval="100000"/>
        <groupItems count="1417">
          <s v="&lt;1"/>
          <s v="1-100000"/>
          <s v="100001-200000"/>
          <s v="200001-300000"/>
          <s v="300001-400000"/>
          <s v="400001-500000"/>
          <s v="500001-600000"/>
          <s v="600001-700000"/>
          <s v="700001-800000"/>
          <s v="800001-900000"/>
          <s v="900001-1000000"/>
          <s v="1000001-1100000"/>
          <s v="1100001-1200000"/>
          <s v="1200001-1300000"/>
          <s v="1300001-1400000"/>
          <s v="1400001-1500000"/>
          <s v="1500001-1600000"/>
          <s v="1600001-1700000"/>
          <s v="1700001-1800000"/>
          <s v="1800001-1900000"/>
          <s v="1900001-2000000"/>
          <s v="2000001-2100000"/>
          <s v="2100001-2200000"/>
          <s v="2200001-2300000"/>
          <s v="2300001-2400000"/>
          <s v="2400001-2500000"/>
          <s v="2500001-2600000"/>
          <s v="2600001-2700000"/>
          <s v="2700001-2800000"/>
          <s v="2800001-2900000"/>
          <s v="2900001-3000000"/>
          <s v="3000001-3100000"/>
          <s v="3100001-3200000"/>
          <s v="3200001-3300000"/>
          <s v="3300001-3400000"/>
          <s v="3400001-3500000"/>
          <s v="3500001-3600000"/>
          <s v="3600001-3700000"/>
          <s v="3700001-3800000"/>
          <s v="3800001-3900000"/>
          <s v="3900001-4000000"/>
          <s v="4000001-4100000"/>
          <s v="4100001-4200000"/>
          <s v="4200001-4300000"/>
          <s v="4300001-4400000"/>
          <s v="4400001-4500000"/>
          <s v="4500001-4600000"/>
          <s v="4600001-4700000"/>
          <s v="4700001-4800000"/>
          <s v="4800001-4900000"/>
          <s v="4900001-5000000"/>
          <s v="5000001-5100000"/>
          <s v="5100001-5200000"/>
          <s v="5200001-5300000"/>
          <s v="5300001-5400000"/>
          <s v="5400001-5500000"/>
          <s v="5500001-5600000"/>
          <s v="5600001-5700000"/>
          <s v="5700001-5800000"/>
          <s v="5800001-5900000"/>
          <s v="5900001-6000000"/>
          <s v="6000001-6100000"/>
          <s v="6100001-6200000"/>
          <s v="6200001-6300000"/>
          <s v="6300001-6400000"/>
          <s v="6400001-6500000"/>
          <s v="6500001-6600000"/>
          <s v="6600001-6700000"/>
          <s v="6700001-6800000"/>
          <s v="6800001-6900000"/>
          <s v="6900001-7000000"/>
          <s v="7000001-7100000"/>
          <s v="7100001-7200000"/>
          <s v="7200001-7300000"/>
          <s v="7300001-7400000"/>
          <s v="7400001-7500000"/>
          <s v="7500001-7600000"/>
          <s v="7600001-7700000"/>
          <s v="7700001-7800000"/>
          <s v="7800001-7900000"/>
          <s v="7900001-8000000"/>
          <s v="8000001-8100000"/>
          <s v="8100001-8200000"/>
          <s v="8200001-8300000"/>
          <s v="8300001-8400000"/>
          <s v="8400001-8500000"/>
          <s v="8500001-8600000"/>
          <s v="8600001-8700000"/>
          <s v="8700001-8800000"/>
          <s v="8800001-8900000"/>
          <s v="8900001-9000000"/>
          <s v="9000001-9100000"/>
          <s v="9100001-9200000"/>
          <s v="9200001-9300000"/>
          <s v="9300001-9400000"/>
          <s v="9400001-9500000"/>
          <s v="9500001-9600000"/>
          <s v="9600001-9700000"/>
          <s v="9700001-9800000"/>
          <s v="9800001-9900000"/>
          <s v="9900001-10000000"/>
          <s v="10000001-10100000"/>
          <s v="10100001-10200000"/>
          <s v="10200001-10300000"/>
          <s v="10300001-10400000"/>
          <s v="10400001-10500000"/>
          <s v="10500001-10600000"/>
          <s v="10600001-10700000"/>
          <s v="10700001-10800000"/>
          <s v="10800001-10900000"/>
          <s v="10900001-11000000"/>
          <s v="11000001-11100000"/>
          <s v="11100001-11200000"/>
          <s v="11200001-11300000"/>
          <s v="11300001-11400000"/>
          <s v="11400001-11500000"/>
          <s v="11500001-11600000"/>
          <s v="11600001-11700000"/>
          <s v="11700001-11800000"/>
          <s v="11800001-11900000"/>
          <s v="11900001-12000000"/>
          <s v="12000001-12100000"/>
          <s v="12100001-12200000"/>
          <s v="12200001-12300000"/>
          <s v="12300001-12400000"/>
          <s v="12400001-12500000"/>
          <s v="12500001-12600000"/>
          <s v="12600001-12700000"/>
          <s v="12700001-12800000"/>
          <s v="12800001-12900000"/>
          <s v="12900001-13000000"/>
          <s v="13000001-13100000"/>
          <s v="13100001-13200000"/>
          <s v="13200001-13300000"/>
          <s v="13300001-13400000"/>
          <s v="13400001-13500000"/>
          <s v="13500001-13600000"/>
          <s v="13600001-13700000"/>
          <s v="13700001-13800000"/>
          <s v="13800001-13900000"/>
          <s v="13900001-14000000"/>
          <s v="14000001-14100000"/>
          <s v="14100001-14200000"/>
          <s v="14200001-14300000"/>
          <s v="14300001-14400000"/>
          <s v="14400001-14500000"/>
          <s v="14500001-14600000"/>
          <s v="14600001-14700000"/>
          <s v="14700001-14800000"/>
          <s v="14800001-14900000"/>
          <s v="14900001-15000000"/>
          <s v="15000001-15100000"/>
          <s v="15100001-15200000"/>
          <s v="15200001-15300000"/>
          <s v="15300001-15400000"/>
          <s v="15400001-15500000"/>
          <s v="15500001-15600000"/>
          <s v="15600001-15700000"/>
          <s v="15700001-15800000"/>
          <s v="15800001-15900000"/>
          <s v="15900001-16000000"/>
          <s v="16000001-16100000"/>
          <s v="16100001-16200000"/>
          <s v="16200001-16300000"/>
          <s v="16300001-16400000"/>
          <s v="16400001-16500000"/>
          <s v="16500001-16600000"/>
          <s v="16600001-16700000"/>
          <s v="16700001-16800000"/>
          <s v="16800001-16900000"/>
          <s v="16900001-17000000"/>
          <s v="17000001-17100000"/>
          <s v="17100001-17200000"/>
          <s v="17200001-17300000"/>
          <s v="17300001-17400000"/>
          <s v="17400001-17500000"/>
          <s v="17500001-17600000"/>
          <s v="17600001-17700000"/>
          <s v="17700001-17800000"/>
          <s v="17800001-17900000"/>
          <s v="17900001-18000000"/>
          <s v="18000001-18100000"/>
          <s v="18100001-18200000"/>
          <s v="18200001-18300000"/>
          <s v="18300001-18400000"/>
          <s v="18400001-18500000"/>
          <s v="18500001-18600000"/>
          <s v="18600001-18700000"/>
          <s v="18700001-18800000"/>
          <s v="18800001-18900000"/>
          <s v="18900001-19000000"/>
          <s v="19000001-19100000"/>
          <s v="19100001-19200000"/>
          <s v="19200001-19300000"/>
          <s v="19300001-19400000"/>
          <s v="19400001-19500000"/>
          <s v="19500001-19600000"/>
          <s v="19600001-19700000"/>
          <s v="19700001-19800000"/>
          <s v="19800001-19900000"/>
          <s v="19900001-20000000"/>
          <s v="20000001-20100000"/>
          <s v="20100001-20200000"/>
          <s v="20200001-20300000"/>
          <s v="20300001-20400000"/>
          <s v="20400001-20500000"/>
          <s v="20500001-20600000"/>
          <s v="20600001-20700000"/>
          <s v="20700001-20800000"/>
          <s v="20800001-20900000"/>
          <s v="20900001-21000000"/>
          <s v="21000001-21100000"/>
          <s v="21100001-21200000"/>
          <s v="21200001-21300000"/>
          <s v="21300001-21400000"/>
          <s v="21400001-21500000"/>
          <s v="21500001-21600000"/>
          <s v="21600001-21700000"/>
          <s v="21700001-21800000"/>
          <s v="21800001-21900000"/>
          <s v="21900001-22000000"/>
          <s v="22000001-22100000"/>
          <s v="22100001-22200000"/>
          <s v="22200001-22300000"/>
          <s v="22300001-22400000"/>
          <s v="22400001-22500000"/>
          <s v="22500001-22600000"/>
          <s v="22600001-22700000"/>
          <s v="22700001-22800000"/>
          <s v="22800001-22900000"/>
          <s v="22900001-23000000"/>
          <s v="23000001-23100000"/>
          <s v="23100001-23200000"/>
          <s v="23200001-23300000"/>
          <s v="23300001-23400000"/>
          <s v="23400001-23500000"/>
          <s v="23500001-23600000"/>
          <s v="23600001-23700000"/>
          <s v="23700001-23800000"/>
          <s v="23800001-23900000"/>
          <s v="23900001-24000000"/>
          <s v="24000001-24100000"/>
          <s v="24100001-24200000"/>
          <s v="24200001-24300000"/>
          <s v="24300001-24400000"/>
          <s v="24400001-24500000"/>
          <s v="24500001-24600000"/>
          <s v="24600001-24700000"/>
          <s v="24700001-24800000"/>
          <s v="24800001-24900000"/>
          <s v="24900001-25000000"/>
          <s v="25000001-25100000"/>
          <s v="25100001-25200000"/>
          <s v="25200001-25300000"/>
          <s v="25300001-25400000"/>
          <s v="25400001-25500000"/>
          <s v="25500001-25600000"/>
          <s v="25600001-25700000"/>
          <s v="25700001-25800000"/>
          <s v="25800001-25900000"/>
          <s v="25900001-26000000"/>
          <s v="26000001-26100000"/>
          <s v="26100001-26200000"/>
          <s v="26200001-26300000"/>
          <s v="26300001-26400000"/>
          <s v="26400001-26500000"/>
          <s v="26500001-26600000"/>
          <s v="26600001-26700000"/>
          <s v="26700001-26800000"/>
          <s v="26800001-26900000"/>
          <s v="26900001-27000000"/>
          <s v="27000001-27100000"/>
          <s v="27100001-27200000"/>
          <s v="27200001-27300000"/>
          <s v="27300001-27400000"/>
          <s v="27400001-27500000"/>
          <s v="27500001-27600000"/>
          <s v="27600001-27700000"/>
          <s v="27700001-27800000"/>
          <s v="27800001-27900000"/>
          <s v="27900001-28000000"/>
          <s v="28000001-28100000"/>
          <s v="28100001-28200000"/>
          <s v="28200001-28300000"/>
          <s v="28300001-28400000"/>
          <s v="28400001-28500000"/>
          <s v="28500001-28600000"/>
          <s v="28600001-28700000"/>
          <s v="28700001-28800000"/>
          <s v="28800001-28900000"/>
          <s v="28900001-29000000"/>
          <s v="29000001-29100000"/>
          <s v="29100001-29200000"/>
          <s v="29200001-29300000"/>
          <s v="29300001-29400000"/>
          <s v="29400001-29500000"/>
          <s v="29500001-29600000"/>
          <s v="29600001-29700000"/>
          <s v="29700001-29800000"/>
          <s v="29800001-29900000"/>
          <s v="29900001-30000000"/>
          <s v="30000001-30100000"/>
          <s v="30100001-30200000"/>
          <s v="30200001-30300000"/>
          <s v="30300001-30400000"/>
          <s v="30400001-30500000"/>
          <s v="30500001-30600000"/>
          <s v="30600001-30700000"/>
          <s v="30700001-30800000"/>
          <s v="30800001-30900000"/>
          <s v="30900001-31000000"/>
          <s v="31000001-31100000"/>
          <s v="31100001-31200000"/>
          <s v="31200001-31300000"/>
          <s v="31300001-31400000"/>
          <s v="31400001-31500000"/>
          <s v="31500001-31600000"/>
          <s v="31600001-31700000"/>
          <s v="31700001-31800000"/>
          <s v="31800001-31900000"/>
          <s v="31900001-32000000"/>
          <s v="32000001-32100000"/>
          <s v="32100001-32200000"/>
          <s v="32200001-32300000"/>
          <s v="32300001-32400000"/>
          <s v="32400001-32500000"/>
          <s v="32500001-32600000"/>
          <s v="32600001-32700000"/>
          <s v="32700001-32800000"/>
          <s v="32800001-32900000"/>
          <s v="32900001-33000000"/>
          <s v="33000001-33100000"/>
          <s v="33100001-33200000"/>
          <s v="33200001-33300000"/>
          <s v="33300001-33400000"/>
          <s v="33400001-33500000"/>
          <s v="33500001-33600000"/>
          <s v="33600001-33700000"/>
          <s v="33700001-33800000"/>
          <s v="33800001-33900000"/>
          <s v="33900001-34000000"/>
          <s v="34000001-34100000"/>
          <s v="34100001-34200000"/>
          <s v="34200001-34300000"/>
          <s v="34300001-34400000"/>
          <s v="34400001-34500000"/>
          <s v="34500001-34600000"/>
          <s v="34600001-34700000"/>
          <s v="34700001-34800000"/>
          <s v="34800001-34900000"/>
          <s v="34900001-35000000"/>
          <s v="35000001-35100000"/>
          <s v="35100001-35200000"/>
          <s v="35200001-35300000"/>
          <s v="35300001-35400000"/>
          <s v="35400001-35500000"/>
          <s v="35500001-35600000"/>
          <s v="35600001-35700000"/>
          <s v="35700001-35800000"/>
          <s v="35800001-35900000"/>
          <s v="35900001-36000000"/>
          <s v="36000001-36100000"/>
          <s v="36100001-36200000"/>
          <s v="36200001-36300000"/>
          <s v="36300001-36400000"/>
          <s v="36400001-36500000"/>
          <s v="36500001-36600000"/>
          <s v="36600001-36700000"/>
          <s v="36700001-36800000"/>
          <s v="36800001-36900000"/>
          <s v="36900001-37000000"/>
          <s v="37000001-37100000"/>
          <s v="37100001-37200000"/>
          <s v="37200001-37300000"/>
          <s v="37300001-37400000"/>
          <s v="37400001-37500000"/>
          <s v="37500001-37600000"/>
          <s v="37600001-37700000"/>
          <s v="37700001-37800000"/>
          <s v="37800001-37900000"/>
          <s v="37900001-38000000"/>
          <s v="38000001-38100000"/>
          <s v="38100001-38200000"/>
          <s v="38200001-38300000"/>
          <s v="38300001-38400000"/>
          <s v="38400001-38500000"/>
          <s v="38500001-38600000"/>
          <s v="38600001-38700000"/>
          <s v="38700001-38800000"/>
          <s v="38800001-38900000"/>
          <s v="38900001-39000000"/>
          <s v="39000001-39100000"/>
          <s v="39100001-39200000"/>
          <s v="39200001-39300000"/>
          <s v="39300001-39400000"/>
          <s v="39400001-39500000"/>
          <s v="39500001-39600000"/>
          <s v="39600001-39700000"/>
          <s v="39700001-39800000"/>
          <s v="39800001-39900000"/>
          <s v="39900001-40000000"/>
          <s v="40000001-40100000"/>
          <s v="40100001-40200000"/>
          <s v="40200001-40300000"/>
          <s v="40300001-40400000"/>
          <s v="40400001-40500000"/>
          <s v="40500001-40600000"/>
          <s v="40600001-40700000"/>
          <s v="40700001-40800000"/>
          <s v="40800001-40900000"/>
          <s v="40900001-41000000"/>
          <s v="41000001-41100000"/>
          <s v="41100001-41200000"/>
          <s v="41200001-41300000"/>
          <s v="41300001-41400000"/>
          <s v="41400001-41500000"/>
          <s v="41500001-41600000"/>
          <s v="41600001-41700000"/>
          <s v="41700001-41800000"/>
          <s v="41800001-41900000"/>
          <s v="41900001-42000000"/>
          <s v="42000001-42100000"/>
          <s v="42100001-42200000"/>
          <s v="42200001-42300000"/>
          <s v="42300001-42400000"/>
          <s v="42400001-42500000"/>
          <s v="42500001-42600000"/>
          <s v="42600001-42700000"/>
          <s v="42700001-42800000"/>
          <s v="42800001-42900000"/>
          <s v="42900001-43000000"/>
          <s v="43000001-43100000"/>
          <s v="43100001-43200000"/>
          <s v="43200001-43300000"/>
          <s v="43300001-43400000"/>
          <s v="43400001-43500000"/>
          <s v="43500001-43600000"/>
          <s v="43600001-43700000"/>
          <s v="43700001-43800000"/>
          <s v="43800001-43900000"/>
          <s v="43900001-44000000"/>
          <s v="44000001-44100000"/>
          <s v="44100001-44200000"/>
          <s v="44200001-44300000"/>
          <s v="44300001-44400000"/>
          <s v="44400001-44500000"/>
          <s v="44500001-44600000"/>
          <s v="44600001-44700000"/>
          <s v="44700001-44800000"/>
          <s v="44800001-44900000"/>
          <s v="44900001-45000000"/>
          <s v="45000001-45100000"/>
          <s v="45100001-45200000"/>
          <s v="45200001-45300000"/>
          <s v="45300001-45400000"/>
          <s v="45400001-45500000"/>
          <s v="45500001-45600000"/>
          <s v="45600001-45700000"/>
          <s v="45700001-45800000"/>
          <s v="45800001-45900000"/>
          <s v="45900001-46000000"/>
          <s v="46000001-46100000"/>
          <s v="46100001-46200000"/>
          <s v="46200001-46300000"/>
          <s v="46300001-46400000"/>
          <s v="46400001-46500000"/>
          <s v="46500001-46600000"/>
          <s v="46600001-46700000"/>
          <s v="46700001-46800000"/>
          <s v="46800001-46900000"/>
          <s v="46900001-47000000"/>
          <s v="47000001-47100000"/>
          <s v="47100001-47200000"/>
          <s v="47200001-47300000"/>
          <s v="47300001-47400000"/>
          <s v="47400001-47500000"/>
          <s v="47500001-47600000"/>
          <s v="47600001-47700000"/>
          <s v="47700001-47800000"/>
          <s v="47800001-47900000"/>
          <s v="47900001-48000000"/>
          <s v="48000001-48100000"/>
          <s v="48100001-48200000"/>
          <s v="48200001-48300000"/>
          <s v="48300001-48400000"/>
          <s v="48400001-48500000"/>
          <s v="48500001-48600000"/>
          <s v="48600001-48700000"/>
          <s v="48700001-48800000"/>
          <s v="48800001-48900000"/>
          <s v="48900001-49000000"/>
          <s v="49000001-49100000"/>
          <s v="49100001-49200000"/>
          <s v="49200001-49300000"/>
          <s v="49300001-49400000"/>
          <s v="49400001-49500000"/>
          <s v="49500001-49600000"/>
          <s v="49600001-49700000"/>
          <s v="49700001-49800000"/>
          <s v="49800001-49900000"/>
          <s v="49900001-50000000"/>
          <s v="50000001-50100000"/>
          <s v="50100001-50200000"/>
          <s v="50200001-50300000"/>
          <s v="50300001-50400000"/>
          <s v="50400001-50500000"/>
          <s v="50500001-50600000"/>
          <s v="50600001-50700000"/>
          <s v="50700001-50800000"/>
          <s v="50800001-50900000"/>
          <s v="50900001-51000000"/>
          <s v="51000001-51100000"/>
          <s v="51100001-51200000"/>
          <s v="51200001-51300000"/>
          <s v="51300001-51400000"/>
          <s v="51400001-51500000"/>
          <s v="51500001-51600000"/>
          <s v="51600001-51700000"/>
          <s v="51700001-51800000"/>
          <s v="51800001-51900000"/>
          <s v="51900001-52000000"/>
          <s v="52000001-52100000"/>
          <s v="52100001-52200000"/>
          <s v="52200001-52300000"/>
          <s v="52300001-52400000"/>
          <s v="52400001-52500000"/>
          <s v="52500001-52600000"/>
          <s v="52600001-52700000"/>
          <s v="52700001-52800000"/>
          <s v="52800001-52900000"/>
          <s v="52900001-53000000"/>
          <s v="53000001-53100000"/>
          <s v="53100001-53200000"/>
          <s v="53200001-53300000"/>
          <s v="53300001-53400000"/>
          <s v="53400001-53500000"/>
          <s v="53500001-53600000"/>
          <s v="53600001-53700000"/>
          <s v="53700001-53800000"/>
          <s v="53800001-53900000"/>
          <s v="53900001-54000000"/>
          <s v="54000001-54100000"/>
          <s v="54100001-54200000"/>
          <s v="54200001-54300000"/>
          <s v="54300001-54400000"/>
          <s v="54400001-54500000"/>
          <s v="54500001-54600000"/>
          <s v="54600001-54700000"/>
          <s v="54700001-54800000"/>
          <s v="54800001-54900000"/>
          <s v="54900001-55000000"/>
          <s v="55000001-55100000"/>
          <s v="55100001-55200000"/>
          <s v="55200001-55300000"/>
          <s v="55300001-55400000"/>
          <s v="55400001-55500000"/>
          <s v="55500001-55600000"/>
          <s v="55600001-55700000"/>
          <s v="55700001-55800000"/>
          <s v="55800001-55900000"/>
          <s v="55900001-56000000"/>
          <s v="56000001-56100000"/>
          <s v="56100001-56200000"/>
          <s v="56200001-56300000"/>
          <s v="56300001-56400000"/>
          <s v="56400001-56500000"/>
          <s v="56500001-56600000"/>
          <s v="56600001-56700000"/>
          <s v="56700001-56800000"/>
          <s v="56800001-56900000"/>
          <s v="56900001-57000000"/>
          <s v="57000001-57100000"/>
          <s v="57100001-57200000"/>
          <s v="57200001-57300000"/>
          <s v="57300001-57400000"/>
          <s v="57400001-57500000"/>
          <s v="57500001-57600000"/>
          <s v="57600001-57700000"/>
          <s v="57700001-57800000"/>
          <s v="57800001-57900000"/>
          <s v="57900001-58000000"/>
          <s v="58000001-58100000"/>
          <s v="58100001-58200000"/>
          <s v="58200001-58300000"/>
          <s v="58300001-58400000"/>
          <s v="58400001-58500000"/>
          <s v="58500001-58600000"/>
          <s v="58600001-58700000"/>
          <s v="58700001-58800000"/>
          <s v="58800001-58900000"/>
          <s v="58900001-59000000"/>
          <s v="59000001-59100000"/>
          <s v="59100001-59200000"/>
          <s v="59200001-59300000"/>
          <s v="59300001-59400000"/>
          <s v="59400001-59500000"/>
          <s v="59500001-59600000"/>
          <s v="59600001-59700000"/>
          <s v="59700001-59800000"/>
          <s v="59800001-59900000"/>
          <s v="59900001-60000000"/>
          <s v="60000001-60100000"/>
          <s v="60100001-60200000"/>
          <s v="60200001-60300000"/>
          <s v="60300001-60400000"/>
          <s v="60400001-60500000"/>
          <s v="60500001-60600000"/>
          <s v="60600001-60700000"/>
          <s v="60700001-60800000"/>
          <s v="60800001-60900000"/>
          <s v="60900001-61000000"/>
          <s v="61000001-61100000"/>
          <s v="61100001-61200000"/>
          <s v="61200001-61300000"/>
          <s v="61300001-61400000"/>
          <s v="61400001-61500000"/>
          <s v="61500001-61600000"/>
          <s v="61600001-61700000"/>
          <s v="61700001-61800000"/>
          <s v="61800001-61900000"/>
          <s v="61900001-62000000"/>
          <s v="62000001-62100000"/>
          <s v="62100001-62200000"/>
          <s v="62200001-62300000"/>
          <s v="62300001-62400000"/>
          <s v="62400001-62500000"/>
          <s v="62500001-62600000"/>
          <s v="62600001-62700000"/>
          <s v="62700001-62800000"/>
          <s v="62800001-62900000"/>
          <s v="62900001-63000000"/>
          <s v="63000001-63100000"/>
          <s v="63100001-63200000"/>
          <s v="63200001-63300000"/>
          <s v="63300001-63400000"/>
          <s v="63400001-63500000"/>
          <s v="63500001-63600000"/>
          <s v="63600001-63700000"/>
          <s v="63700001-63800000"/>
          <s v="63800001-63900000"/>
          <s v="63900001-64000000"/>
          <s v="64000001-64100000"/>
          <s v="64100001-64200000"/>
          <s v="64200001-64300000"/>
          <s v="64300001-64400000"/>
          <s v="64400001-64500000"/>
          <s v="64500001-64600000"/>
          <s v="64600001-64700000"/>
          <s v="64700001-64800000"/>
          <s v="64800001-64900000"/>
          <s v="64900001-65000000"/>
          <s v="65000001-65100000"/>
          <s v="65100001-65200000"/>
          <s v="65200001-65300000"/>
          <s v="65300001-65400000"/>
          <s v="65400001-65500000"/>
          <s v="65500001-65600000"/>
          <s v="65600001-65700000"/>
          <s v="65700001-65800000"/>
          <s v="65800001-65900000"/>
          <s v="65900001-66000000"/>
          <s v="66000001-66100000"/>
          <s v="66100001-66200000"/>
          <s v="66200001-66300000"/>
          <s v="66300001-66400000"/>
          <s v="66400001-66500000"/>
          <s v="66500001-66600000"/>
          <s v="66600001-66700000"/>
          <s v="66700001-66800000"/>
          <s v="66800001-66900000"/>
          <s v="66900001-67000000"/>
          <s v="67000001-67100000"/>
          <s v="67100001-67200000"/>
          <s v="67200001-67300000"/>
          <s v="67300001-67400000"/>
          <s v="67400001-67500000"/>
          <s v="67500001-67600000"/>
          <s v="67600001-67700000"/>
          <s v="67700001-67800000"/>
          <s v="67800001-67900000"/>
          <s v="67900001-68000000"/>
          <s v="68000001-68100000"/>
          <s v="68100001-68200000"/>
          <s v="68200001-68300000"/>
          <s v="68300001-68400000"/>
          <s v="68400001-68500000"/>
          <s v="68500001-68600000"/>
          <s v="68600001-68700000"/>
          <s v="68700001-68800000"/>
          <s v="68800001-68900000"/>
          <s v="68900001-69000000"/>
          <s v="69000001-69100000"/>
          <s v="69100001-69200000"/>
          <s v="69200001-69300000"/>
          <s v="69300001-69400000"/>
          <s v="69400001-69500000"/>
          <s v="69500001-69600000"/>
          <s v="69600001-69700000"/>
          <s v="69700001-69800000"/>
          <s v="69800001-69900000"/>
          <s v="69900001-70000000"/>
          <s v="70000001-70100000"/>
          <s v="70100001-70200000"/>
          <s v="70200001-70300000"/>
          <s v="70300001-70400000"/>
          <s v="70400001-70500000"/>
          <s v="70500001-70600000"/>
          <s v="70600001-70700000"/>
          <s v="70700001-70800000"/>
          <s v="70800001-70900000"/>
          <s v="70900001-71000000"/>
          <s v="71000001-71100000"/>
          <s v="71100001-71200000"/>
          <s v="71200001-71300000"/>
          <s v="71300001-71400000"/>
          <s v="71400001-71500000"/>
          <s v="71500001-71600000"/>
          <s v="71600001-71700000"/>
          <s v="71700001-71800000"/>
          <s v="71800001-71900000"/>
          <s v="71900001-72000000"/>
          <s v="72000001-72100000"/>
          <s v="72100001-72200000"/>
          <s v="72200001-72300000"/>
          <s v="72300001-72400000"/>
          <s v="72400001-72500000"/>
          <s v="72500001-72600000"/>
          <s v="72600001-72700000"/>
          <s v="72700001-72800000"/>
          <s v="72800001-72900000"/>
          <s v="72900001-73000000"/>
          <s v="73000001-73100000"/>
          <s v="73100001-73200000"/>
          <s v="73200001-73300000"/>
          <s v="73300001-73400000"/>
          <s v="73400001-73500000"/>
          <s v="73500001-73600000"/>
          <s v="73600001-73700000"/>
          <s v="73700001-73800000"/>
          <s v="73800001-73900000"/>
          <s v="73900001-74000000"/>
          <s v="74000001-74100000"/>
          <s v="74100001-74200000"/>
          <s v="74200001-74300000"/>
          <s v="74300001-74400000"/>
          <s v="74400001-74500000"/>
          <s v="74500001-74600000"/>
          <s v="74600001-74700000"/>
          <s v="74700001-74800000"/>
          <s v="74800001-74900000"/>
          <s v="74900001-75000000"/>
          <s v="75000001-75100000"/>
          <s v="75100001-75200000"/>
          <s v="75200001-75300000"/>
          <s v="75300001-75400000"/>
          <s v="75400001-75500000"/>
          <s v="75500001-75600000"/>
          <s v="75600001-75700000"/>
          <s v="75700001-75800000"/>
          <s v="75800001-75900000"/>
          <s v="75900001-76000000"/>
          <s v="76000001-76100000"/>
          <s v="76100001-76200000"/>
          <s v="76200001-76300000"/>
          <s v="76300001-76400000"/>
          <s v="76400001-76500000"/>
          <s v="76500001-76600000"/>
          <s v="76600001-76700000"/>
          <s v="76700001-76800000"/>
          <s v="76800001-76900000"/>
          <s v="76900001-77000000"/>
          <s v="77000001-77100000"/>
          <s v="77100001-77200000"/>
          <s v="77200001-77300000"/>
          <s v="77300001-77400000"/>
          <s v="77400001-77500000"/>
          <s v="77500001-77600000"/>
          <s v="77600001-77700000"/>
          <s v="77700001-77800000"/>
          <s v="77800001-77900000"/>
          <s v="77900001-78000000"/>
          <s v="78000001-78100000"/>
          <s v="78100001-78200000"/>
          <s v="78200001-78300000"/>
          <s v="78300001-78400000"/>
          <s v="78400001-78500000"/>
          <s v="78500001-78600000"/>
          <s v="78600001-78700000"/>
          <s v="78700001-78800000"/>
          <s v="78800001-78900000"/>
          <s v="78900001-79000000"/>
          <s v="79000001-79100000"/>
          <s v="79100001-79200000"/>
          <s v="79200001-79300000"/>
          <s v="79300001-79400000"/>
          <s v="79400001-79500000"/>
          <s v="79500001-79600000"/>
          <s v="79600001-79700000"/>
          <s v="79700001-79800000"/>
          <s v="79800001-79900000"/>
          <s v="79900001-80000000"/>
          <s v="80000001-80100000"/>
          <s v="80100001-80200000"/>
          <s v="80200001-80300000"/>
          <s v="80300001-80400000"/>
          <s v="80400001-80500000"/>
          <s v="80500001-80600000"/>
          <s v="80600001-80700000"/>
          <s v="80700001-80800000"/>
          <s v="80800001-80900000"/>
          <s v="80900001-81000000"/>
          <s v="81000001-81100000"/>
          <s v="81100001-81200000"/>
          <s v="81200001-81300000"/>
          <s v="81300001-81400000"/>
          <s v="81400001-81500000"/>
          <s v="81500001-81600000"/>
          <s v="81600001-81700000"/>
          <s v="81700001-81800000"/>
          <s v="81800001-81900000"/>
          <s v="81900001-82000000"/>
          <s v="82000001-82100000"/>
          <s v="82100001-82200000"/>
          <s v="82200001-82300000"/>
          <s v="82300001-82400000"/>
          <s v="82400001-82500000"/>
          <s v="82500001-82600000"/>
          <s v="82600001-82700000"/>
          <s v="82700001-82800000"/>
          <s v="82800001-82900000"/>
          <s v="82900001-83000000"/>
          <s v="83000001-83100000"/>
          <s v="83100001-83200000"/>
          <s v="83200001-83300000"/>
          <s v="83300001-83400000"/>
          <s v="83400001-83500000"/>
          <s v="83500001-83600000"/>
          <s v="83600001-83700000"/>
          <s v="83700001-83800000"/>
          <s v="83800001-83900000"/>
          <s v="83900001-84000000"/>
          <s v="84000001-84100000"/>
          <s v="84100001-84200000"/>
          <s v="84200001-84300000"/>
          <s v="84300001-84400000"/>
          <s v="84400001-84500000"/>
          <s v="84500001-84600000"/>
          <s v="84600001-84700000"/>
          <s v="84700001-84800000"/>
          <s v="84800001-84900000"/>
          <s v="84900001-85000000"/>
          <s v="85000001-85100000"/>
          <s v="85100001-85200000"/>
          <s v="85200001-85300000"/>
          <s v="85300001-85400000"/>
          <s v="85400001-85500000"/>
          <s v="85500001-85600000"/>
          <s v="85600001-85700000"/>
          <s v="85700001-85800000"/>
          <s v="85800001-85900000"/>
          <s v="85900001-86000000"/>
          <s v="86000001-86100000"/>
          <s v="86100001-86200000"/>
          <s v="86200001-86300000"/>
          <s v="86300001-86400000"/>
          <s v="86400001-86500000"/>
          <s v="86500001-86600000"/>
          <s v="86600001-86700000"/>
          <s v="86700001-86800000"/>
          <s v="86800001-86900000"/>
          <s v="86900001-87000000"/>
          <s v="87000001-87100000"/>
          <s v="87100001-87200000"/>
          <s v="87200001-87300000"/>
          <s v="87300001-87400000"/>
          <s v="87400001-87500000"/>
          <s v="87500001-87600000"/>
          <s v="87600001-87700000"/>
          <s v="87700001-87800000"/>
          <s v="87800001-87900000"/>
          <s v="87900001-88000000"/>
          <s v="88000001-88100000"/>
          <s v="88100001-88200000"/>
          <s v="88200001-88300000"/>
          <s v="88300001-88400000"/>
          <s v="88400001-88500000"/>
          <s v="88500001-88600000"/>
          <s v="88600001-88700000"/>
          <s v="88700001-88800000"/>
          <s v="88800001-88900000"/>
          <s v="88900001-89000000"/>
          <s v="89000001-89100000"/>
          <s v="89100001-89200000"/>
          <s v="89200001-89300000"/>
          <s v="89300001-89400000"/>
          <s v="89400001-89500000"/>
          <s v="89500001-89600000"/>
          <s v="89600001-89700000"/>
          <s v="89700001-89800000"/>
          <s v="89800001-89900000"/>
          <s v="89900001-90000000"/>
          <s v="90000001-90100000"/>
          <s v="90100001-90200000"/>
          <s v="90200001-90300000"/>
          <s v="90300001-90400000"/>
          <s v="90400001-90500000"/>
          <s v="90500001-90600000"/>
          <s v="90600001-90700000"/>
          <s v="90700001-90800000"/>
          <s v="90800001-90900000"/>
          <s v="90900001-91000000"/>
          <s v="91000001-91100000"/>
          <s v="91100001-91200000"/>
          <s v="91200001-91300000"/>
          <s v="91300001-91400000"/>
          <s v="91400001-91500000"/>
          <s v="91500001-91600000"/>
          <s v="91600001-91700000"/>
          <s v="91700001-91800000"/>
          <s v="91800001-91900000"/>
          <s v="91900001-92000000"/>
          <s v="92000001-92100000"/>
          <s v="92100001-92200000"/>
          <s v="92200001-92300000"/>
          <s v="92300001-92400000"/>
          <s v="92400001-92500000"/>
          <s v="92500001-92600000"/>
          <s v="92600001-92700000"/>
          <s v="92700001-92800000"/>
          <s v="92800001-92900000"/>
          <s v="92900001-93000000"/>
          <s v="93000001-93100000"/>
          <s v="93100001-93200000"/>
          <s v="93200001-93300000"/>
          <s v="93300001-93400000"/>
          <s v="93400001-93500000"/>
          <s v="93500001-93600000"/>
          <s v="93600001-93700000"/>
          <s v="93700001-93800000"/>
          <s v="93800001-93900000"/>
          <s v="93900001-94000000"/>
          <s v="94000001-94100000"/>
          <s v="94100001-94200000"/>
          <s v="94200001-94300000"/>
          <s v="94300001-94400000"/>
          <s v="94400001-94500000"/>
          <s v="94500001-94600000"/>
          <s v="94600001-94700000"/>
          <s v="94700001-94800000"/>
          <s v="94800001-94900000"/>
          <s v="94900001-95000000"/>
          <s v="95000001-95100000"/>
          <s v="95100001-95200000"/>
          <s v="95200001-95300000"/>
          <s v="95300001-95400000"/>
          <s v="95400001-95500000"/>
          <s v="95500001-95600000"/>
          <s v="95600001-95700000"/>
          <s v="95700001-95800000"/>
          <s v="95800001-95900000"/>
          <s v="95900001-96000000"/>
          <s v="96000001-96100000"/>
          <s v="96100001-96200000"/>
          <s v="96200001-96300000"/>
          <s v="96300001-96400000"/>
          <s v="96400001-96500000"/>
          <s v="96500001-96600000"/>
          <s v="96600001-96700000"/>
          <s v="96700001-96800000"/>
          <s v="96800001-96900000"/>
          <s v="96900001-97000000"/>
          <s v="97000001-97100000"/>
          <s v="97100001-97200000"/>
          <s v="97200001-97300000"/>
          <s v="97300001-97400000"/>
          <s v="97400001-97500000"/>
          <s v="97500001-97600000"/>
          <s v="97600001-97700000"/>
          <s v="97700001-97800000"/>
          <s v="97800001-97900000"/>
          <s v="97900001-98000000"/>
          <s v="98000001-98100000"/>
          <s v="98100001-98200000"/>
          <s v="98200001-98300000"/>
          <s v="98300001-98400000"/>
          <s v="98400001-98500000"/>
          <s v="98500001-98600000"/>
          <s v="98600001-98700000"/>
          <s v="98700001-98800000"/>
          <s v="98800001-98900000"/>
          <s v="98900001-99000000"/>
          <s v="99000001-99100000"/>
          <s v="99100001-99200000"/>
          <s v="99200001-99300000"/>
          <s v="99300001-99400000"/>
          <s v="99400001-99500000"/>
          <s v="99500001-99600000"/>
          <s v="99600001-99700000"/>
          <s v="99700001-99800000"/>
          <s v="99800001-99900000"/>
          <s v="99900001-100000000"/>
          <s v="100000001-100100000"/>
          <s v="100100001-100200000"/>
          <s v="100200001-100300000"/>
          <s v="100300001-100400000"/>
          <s v="100400001-100500000"/>
          <s v="100500001-100600000"/>
          <s v="100600001-100700000"/>
          <s v="100700001-100800000"/>
          <s v="100800001-100900000"/>
          <s v="100900001-101000000"/>
          <s v="101000001-101100000"/>
          <s v="101100001-101200000"/>
          <s v="101200001-101300000"/>
          <s v="101300001-101400000"/>
          <s v="101400001-101500000"/>
          <s v="101500001-101600000"/>
          <s v="101600001-101700000"/>
          <s v="101700001-101800000"/>
          <s v="101800001-101900000"/>
          <s v="101900001-102000000"/>
          <s v="102000001-102100000"/>
          <s v="102100001-102200000"/>
          <s v="102200001-102300000"/>
          <s v="102300001-102400000"/>
          <s v="102400001-102500000"/>
          <s v="102500001-102600000"/>
          <s v="102600001-102700000"/>
          <s v="102700001-102800000"/>
          <s v="102800001-102900000"/>
          <s v="102900001-103000000"/>
          <s v="103000001-103100000"/>
          <s v="103100001-103200000"/>
          <s v="103200001-103300000"/>
          <s v="103300001-103400000"/>
          <s v="103400001-103500000"/>
          <s v="103500001-103600000"/>
          <s v="103600001-103700000"/>
          <s v="103700001-103800000"/>
          <s v="103800001-103900000"/>
          <s v="103900001-104000000"/>
          <s v="104000001-104100000"/>
          <s v="104100001-104200000"/>
          <s v="104200001-104300000"/>
          <s v="104300001-104400000"/>
          <s v="104400001-104500000"/>
          <s v="104500001-104600000"/>
          <s v="104600001-104700000"/>
          <s v="104700001-104800000"/>
          <s v="104800001-104900000"/>
          <s v="104900001-105000000"/>
          <s v="105000001-105100000"/>
          <s v="105100001-105200000"/>
          <s v="105200001-105300000"/>
          <s v="105300001-105400000"/>
          <s v="105400001-105500000"/>
          <s v="105500001-105600000"/>
          <s v="105600001-105700000"/>
          <s v="105700001-105800000"/>
          <s v="105800001-105900000"/>
          <s v="105900001-106000000"/>
          <s v="106000001-106100000"/>
          <s v="106100001-106200000"/>
          <s v="106200001-106300000"/>
          <s v="106300001-106400000"/>
          <s v="106400001-106500000"/>
          <s v="106500001-106600000"/>
          <s v="106600001-106700000"/>
          <s v="106700001-106800000"/>
          <s v="106800001-106900000"/>
          <s v="106900001-107000000"/>
          <s v="107000001-107100000"/>
          <s v="107100001-107200000"/>
          <s v="107200001-107300000"/>
          <s v="107300001-107400000"/>
          <s v="107400001-107500000"/>
          <s v="107500001-107600000"/>
          <s v="107600001-107700000"/>
          <s v="107700001-107800000"/>
          <s v="107800001-107900000"/>
          <s v="107900001-108000000"/>
          <s v="108000001-108100000"/>
          <s v="108100001-108200000"/>
          <s v="108200001-108300000"/>
          <s v="108300001-108400000"/>
          <s v="108400001-108500000"/>
          <s v="108500001-108600000"/>
          <s v="108600001-108700000"/>
          <s v="108700001-108800000"/>
          <s v="108800001-108900000"/>
          <s v="108900001-109000000"/>
          <s v="109000001-109100000"/>
          <s v="109100001-109200000"/>
          <s v="109200001-109300000"/>
          <s v="109300001-109400000"/>
          <s v="109400001-109500000"/>
          <s v="109500001-109600000"/>
          <s v="109600001-109700000"/>
          <s v="109700001-109800000"/>
          <s v="109800001-109900000"/>
          <s v="109900001-110000000"/>
          <s v="110000001-110100000"/>
          <s v="110100001-110200000"/>
          <s v="110200001-110300000"/>
          <s v="110300001-110400000"/>
          <s v="110400001-110500000"/>
          <s v="110500001-110600000"/>
          <s v="110600001-110700000"/>
          <s v="110700001-110800000"/>
          <s v="110800001-110900000"/>
          <s v="110900001-111000000"/>
          <s v="111000001-111100000"/>
          <s v="111100001-111200000"/>
          <s v="111200001-111300000"/>
          <s v="111300001-111400000"/>
          <s v="111400001-111500000"/>
          <s v="111500001-111600000"/>
          <s v="111600001-111700000"/>
          <s v="111700001-111800000"/>
          <s v="111800001-111900000"/>
          <s v="111900001-112000000"/>
          <s v="112000001-112100000"/>
          <s v="112100001-112200000"/>
          <s v="112200001-112300000"/>
          <s v="112300001-112400000"/>
          <s v="112400001-112500000"/>
          <s v="112500001-112600000"/>
          <s v="112600001-112700000"/>
          <s v="112700001-112800000"/>
          <s v="112800001-112900000"/>
          <s v="112900001-113000000"/>
          <s v="113000001-113100000"/>
          <s v="113100001-113200000"/>
          <s v="113200001-113300000"/>
          <s v="113300001-113400000"/>
          <s v="113400001-113500000"/>
          <s v="113500001-113600000"/>
          <s v="113600001-113700000"/>
          <s v="113700001-113800000"/>
          <s v="113800001-113900000"/>
          <s v="113900001-114000000"/>
          <s v="114000001-114100000"/>
          <s v="114100001-114200000"/>
          <s v="114200001-114300000"/>
          <s v="114300001-114400000"/>
          <s v="114400001-114500000"/>
          <s v="114500001-114600000"/>
          <s v="114600001-114700000"/>
          <s v="114700001-114800000"/>
          <s v="114800001-114900000"/>
          <s v="114900001-115000000"/>
          <s v="115000001-115100000"/>
          <s v="115100001-115200000"/>
          <s v="115200001-115300000"/>
          <s v="115300001-115400000"/>
          <s v="115400001-115500000"/>
          <s v="115500001-115600000"/>
          <s v="115600001-115700000"/>
          <s v="115700001-115800000"/>
          <s v="115800001-115900000"/>
          <s v="115900001-116000000"/>
          <s v="116000001-116100000"/>
          <s v="116100001-116200000"/>
          <s v="116200001-116300000"/>
          <s v="116300001-116400000"/>
          <s v="116400001-116500000"/>
          <s v="116500001-116600000"/>
          <s v="116600001-116700000"/>
          <s v="116700001-116800000"/>
          <s v="116800001-116900000"/>
          <s v="116900001-117000000"/>
          <s v="117000001-117100000"/>
          <s v="117100001-117200000"/>
          <s v="117200001-117300000"/>
          <s v="117300001-117400000"/>
          <s v="117400001-117500000"/>
          <s v="117500001-117600000"/>
          <s v="117600001-117700000"/>
          <s v="117700001-117800000"/>
          <s v="117800001-117900000"/>
          <s v="117900001-118000000"/>
          <s v="118000001-118100000"/>
          <s v="118100001-118200000"/>
          <s v="118200001-118300000"/>
          <s v="118300001-118400000"/>
          <s v="118400001-118500000"/>
          <s v="118500001-118600000"/>
          <s v="118600001-118700000"/>
          <s v="118700001-118800000"/>
          <s v="118800001-118900000"/>
          <s v="118900001-119000000"/>
          <s v="119000001-119100000"/>
          <s v="119100001-119200000"/>
          <s v="119200001-119300000"/>
          <s v="119300001-119400000"/>
          <s v="119400001-119500000"/>
          <s v="119500001-119600000"/>
          <s v="119600001-119700000"/>
          <s v="119700001-119800000"/>
          <s v="119800001-119900000"/>
          <s v="119900001-120000000"/>
          <s v="120000001-120100000"/>
          <s v="120100001-120200000"/>
          <s v="120200001-120300000"/>
          <s v="120300001-120400000"/>
          <s v="120400001-120500000"/>
          <s v="120500001-120600000"/>
          <s v="120600001-120700000"/>
          <s v="120700001-120800000"/>
          <s v="120800001-120900000"/>
          <s v="120900001-121000000"/>
          <s v="121000001-121100000"/>
          <s v="121100001-121200000"/>
          <s v="121200001-121300000"/>
          <s v="121300001-121400000"/>
          <s v="121400001-121500000"/>
          <s v="121500001-121600000"/>
          <s v="121600001-121700000"/>
          <s v="121700001-121800000"/>
          <s v="121800001-121900000"/>
          <s v="121900001-122000000"/>
          <s v="122000001-122100000"/>
          <s v="122100001-122200000"/>
          <s v="122200001-122300000"/>
          <s v="122300001-122400000"/>
          <s v="122400001-122500000"/>
          <s v="122500001-122600000"/>
          <s v="122600001-122700000"/>
          <s v="122700001-122800000"/>
          <s v="122800001-122900000"/>
          <s v="122900001-123000000"/>
          <s v="123000001-123100000"/>
          <s v="123100001-123200000"/>
          <s v="123200001-123300000"/>
          <s v="123300001-123400000"/>
          <s v="123400001-123500000"/>
          <s v="123500001-123600000"/>
          <s v="123600001-123700000"/>
          <s v="123700001-123800000"/>
          <s v="123800001-123900000"/>
          <s v="123900001-124000000"/>
          <s v="124000001-124100000"/>
          <s v="124100001-124200000"/>
          <s v="124200001-124300000"/>
          <s v="124300001-124400000"/>
          <s v="124400001-124500000"/>
          <s v="124500001-124600000"/>
          <s v="124600001-124700000"/>
          <s v="124700001-124800000"/>
          <s v="124800001-124900000"/>
          <s v="124900001-125000000"/>
          <s v="125000001-125100000"/>
          <s v="125100001-125200000"/>
          <s v="125200001-125300000"/>
          <s v="125300001-125400000"/>
          <s v="125400001-125500000"/>
          <s v="125500001-125600000"/>
          <s v="125600001-125700000"/>
          <s v="125700001-125800000"/>
          <s v="125800001-125900000"/>
          <s v="125900001-126000000"/>
          <s v="126000001-126100000"/>
          <s v="126100001-126200000"/>
          <s v="126200001-126300000"/>
          <s v="126300001-126400000"/>
          <s v="126400001-126500000"/>
          <s v="126500001-126600000"/>
          <s v="126600001-126700000"/>
          <s v="126700001-126800000"/>
          <s v="126800001-126900000"/>
          <s v="126900001-127000000"/>
          <s v="127000001-127100000"/>
          <s v="127100001-127200000"/>
          <s v="127200001-127300000"/>
          <s v="127300001-127400000"/>
          <s v="127400001-127500000"/>
          <s v="127500001-127600000"/>
          <s v="127600001-127700000"/>
          <s v="127700001-127800000"/>
          <s v="127800001-127900000"/>
          <s v="127900001-128000000"/>
          <s v="128000001-128100000"/>
          <s v="128100001-128200000"/>
          <s v="128200001-128300000"/>
          <s v="128300001-128400000"/>
          <s v="128400001-128500000"/>
          <s v="128500001-128600000"/>
          <s v="128600001-128700000"/>
          <s v="128700001-128800000"/>
          <s v="128800001-128900000"/>
          <s v="128900001-129000000"/>
          <s v="129000001-129100000"/>
          <s v="129100001-129200000"/>
          <s v="129200001-129300000"/>
          <s v="129300001-129400000"/>
          <s v="129400001-129500000"/>
          <s v="129500001-129600000"/>
          <s v="129600001-129700000"/>
          <s v="129700001-129800000"/>
          <s v="129800001-129900000"/>
          <s v="129900001-130000000"/>
          <s v="130000001-130100000"/>
          <s v="130100001-130200000"/>
          <s v="130200001-130300000"/>
          <s v="130300001-130400000"/>
          <s v="130400001-130500000"/>
          <s v="130500001-130600000"/>
          <s v="130600001-130700000"/>
          <s v="130700001-130800000"/>
          <s v="130800001-130900000"/>
          <s v="130900001-131000000"/>
          <s v="131000001-131100000"/>
          <s v="131100001-131200000"/>
          <s v="131200001-131300000"/>
          <s v="131300001-131400000"/>
          <s v="131400001-131500000"/>
          <s v="131500001-131600000"/>
          <s v="131600001-131700000"/>
          <s v="131700001-131800000"/>
          <s v="131800001-131900000"/>
          <s v="131900001-132000000"/>
          <s v="132000001-132100000"/>
          <s v="132100001-132200000"/>
          <s v="132200001-132300000"/>
          <s v="132300001-132400000"/>
          <s v="132400001-132500000"/>
          <s v="132500001-132600000"/>
          <s v="132600001-132700000"/>
          <s v="132700001-132800000"/>
          <s v="132800001-132900000"/>
          <s v="132900001-133000000"/>
          <s v="133000001-133100000"/>
          <s v="133100001-133200000"/>
          <s v="133200001-133300000"/>
          <s v="133300001-133400000"/>
          <s v="133400001-133500000"/>
          <s v="133500001-133600000"/>
          <s v="133600001-133700000"/>
          <s v="133700001-133800000"/>
          <s v="133800001-133900000"/>
          <s v="133900001-134000000"/>
          <s v="134000001-134100000"/>
          <s v="134100001-134200000"/>
          <s v="134200001-134300000"/>
          <s v="134300001-134400000"/>
          <s v="134400001-134500000"/>
          <s v="134500001-134600000"/>
          <s v="134600001-134700000"/>
          <s v="134700001-134800000"/>
          <s v="134800001-134900000"/>
          <s v="134900001-135000000"/>
          <s v="135000001-135100000"/>
          <s v="135100001-135200000"/>
          <s v="135200001-135300000"/>
          <s v="135300001-135400000"/>
          <s v="135400001-135500000"/>
          <s v="135500001-135600000"/>
          <s v="135600001-135700000"/>
          <s v="135700001-135800000"/>
          <s v="135800001-135900000"/>
          <s v="135900001-136000000"/>
          <s v="136000001-136100000"/>
          <s v="136100001-136200000"/>
          <s v="136200001-136300000"/>
          <s v="136300001-136400000"/>
          <s v="136400001-136500000"/>
          <s v="136500001-136600000"/>
          <s v="136600001-136700000"/>
          <s v="136700001-136800000"/>
          <s v="136800001-136900000"/>
          <s v="136900001-137000000"/>
          <s v="137000001-137100000"/>
          <s v="137100001-137200000"/>
          <s v="137200001-137300000"/>
          <s v="137300001-137400000"/>
          <s v="137400001-137500000"/>
          <s v="137500001-137600000"/>
          <s v="137600001-137700000"/>
          <s v="137700001-137800000"/>
          <s v="137800001-137900000"/>
          <s v="137900001-138000000"/>
          <s v="138000001-138100000"/>
          <s v="138100001-138200000"/>
          <s v="138200001-138300000"/>
          <s v="138300001-138400000"/>
          <s v="138400001-138500000"/>
          <s v="138500001-138600000"/>
          <s v="138600001-138700000"/>
          <s v="138700001-138800000"/>
          <s v="138800001-138900000"/>
          <s v="138900001-139000000"/>
          <s v="139000001-139100000"/>
          <s v="139100001-139200000"/>
          <s v="139200001-139300000"/>
          <s v="139300001-139400000"/>
          <s v="139400001-139500000"/>
          <s v="139500001-139600000"/>
          <s v="139600001-139700000"/>
          <s v="139700001-139800000"/>
          <s v="139800001-139900000"/>
          <s v="139900001-140000000"/>
          <s v="140000001-140100000"/>
          <s v="140100001-140200000"/>
          <s v="140200001-140300000"/>
          <s v="140300001-140400000"/>
          <s v="140400001-140500000"/>
          <s v="140500001-140600000"/>
          <s v="140600001-140700000"/>
          <s v="140700001-140800000"/>
          <s v="140800001-140900000"/>
          <s v="140900001-141000000"/>
          <s v="141000001-141100000"/>
          <s v="141100001-141200000"/>
          <s v="141200001-141300000"/>
          <s v="141300001-141400000"/>
          <s v="141400001-141500000"/>
          <s v="&gt;141500001"/>
        </groupItems>
      </fieldGroup>
    </cacheField>
    <cacheField name="TIV" numFmtId="3">
      <sharedItems containsSemiMixedTypes="0" containsString="0" containsNumber="1" containsInteger="1" minValue="0" maxValue="32932000" count="1844">
        <n v="0"/>
        <n v="110000"/>
        <n v="179000"/>
        <n v="205000"/>
        <n v="300000"/>
        <n v="350000"/>
        <n v="525000"/>
        <n v="550000"/>
        <n v="561000"/>
        <n v="654000"/>
        <n v="770000"/>
        <n v="848000"/>
        <n v="900000"/>
        <n v="1097500"/>
        <n v="1124000"/>
        <n v="1247400"/>
        <n v="1350000"/>
        <n v="1470000"/>
        <n v="1500000"/>
        <n v="1700000"/>
        <n v="1960451"/>
        <n v="1976000"/>
        <n v="1991580"/>
        <n v="2000000"/>
        <n v="2200000"/>
        <n v="2500000"/>
        <n v="2770000"/>
        <n v="2987300"/>
        <n v="3125000"/>
        <n v="3200000"/>
        <n v="3300000"/>
        <n v="3525800"/>
        <n v="3600000"/>
        <n v="3700000"/>
        <n v="3774446"/>
        <n v="4450000"/>
        <n v="4500000"/>
        <n v="4600000"/>
        <n v="4680000"/>
        <n v="4750000"/>
        <n v="5000000"/>
        <n v="6000000"/>
        <n v="8250000"/>
        <n v="13000000"/>
        <n v="14125000"/>
        <n v="29000000"/>
        <n v="9500"/>
        <n v="250000"/>
        <n v="480000"/>
        <n v="682000"/>
        <n v="31000"/>
        <n v="20000"/>
        <n v="50000"/>
        <n v="120000"/>
        <n v="30000"/>
        <n v="65000"/>
        <n v="62000"/>
        <n v="45000"/>
        <n v="117125"/>
        <n v="58000"/>
        <n v="90000"/>
        <n v="75600"/>
        <n v="188000"/>
        <n v="60000"/>
        <n v="132500"/>
        <n v="175000"/>
        <n v="435000"/>
        <n v="928000"/>
        <n v="63000"/>
        <n v="56000"/>
        <n v="66000"/>
        <n v="100000"/>
        <n v="95000"/>
        <n v="115000"/>
        <n v="85000"/>
        <n v="92500"/>
        <n v="107500"/>
        <n v="112500"/>
        <n v="125000"/>
        <n v="195000"/>
        <n v="425000"/>
        <n v="114000"/>
        <n v="119000"/>
        <n v="140000"/>
        <n v="91300"/>
        <n v="110800"/>
        <n v="127500"/>
        <n v="143500"/>
        <n v="135700"/>
        <n v="193420"/>
        <n v="189000"/>
        <n v="94000"/>
        <n v="96000"/>
        <n v="143300"/>
        <n v="160000"/>
        <n v="166100"/>
        <n v="192000"/>
        <n v="264600"/>
        <n v="100500"/>
        <n v="105000"/>
        <n v="130000"/>
        <n v="135000"/>
        <n v="150000"/>
        <n v="170000"/>
        <n v="180000"/>
        <n v="185000"/>
        <n v="192500"/>
        <n v="197900"/>
        <n v="200000"/>
        <n v="1800000"/>
        <n v="1950000"/>
        <n v="165807"/>
        <n v="204000"/>
        <n v="416000"/>
        <n v="115500"/>
        <n v="189180"/>
        <n v="116000"/>
        <n v="147000"/>
        <n v="136670"/>
        <n v="121000"/>
        <n v="171000"/>
        <n v="214280"/>
        <n v="224500"/>
        <n v="286000"/>
        <n v="1870000"/>
        <n v="173000"/>
        <n v="227200"/>
        <n v="176500"/>
        <n v="218500"/>
        <n v="241500"/>
        <n v="185600"/>
        <n v="325032"/>
        <n v="117000"/>
        <n v="168000"/>
        <n v="122500"/>
        <n v="132000"/>
        <n v="149000"/>
        <n v="228000"/>
        <n v="262000"/>
        <n v="186400"/>
        <n v="147500"/>
        <n v="155000"/>
        <n v="164500"/>
        <n v="172000"/>
        <n v="193750"/>
        <n v="240000"/>
        <n v="260600"/>
        <n v="262500"/>
        <n v="650000"/>
        <n v="158750"/>
        <n v="230000"/>
        <n v="208000"/>
        <n v="171600"/>
        <n v="264000"/>
        <n v="265000"/>
        <n v="278250"/>
        <n v="212000"/>
        <n v="163860"/>
        <n v="148500"/>
        <n v="309435"/>
        <n v="175600"/>
        <n v="443994"/>
        <n v="222400"/>
        <n v="236300"/>
        <n v="159000"/>
        <n v="218000"/>
        <n v="238000"/>
        <n v="153101"/>
        <n v="267710"/>
        <n v="216000"/>
        <n v="355700"/>
        <n v="256100"/>
        <n v="231500"/>
        <n v="294000"/>
        <n v="2739000"/>
        <n v="311000"/>
        <n v="158000"/>
        <n v="626400"/>
        <n v="163900"/>
        <n v="178000"/>
        <n v="177000"/>
        <n v="210000"/>
        <n v="215000"/>
        <n v="255000"/>
        <n v="261060"/>
        <n v="270000"/>
        <n v="285000"/>
        <n v="330000"/>
        <n v="660000"/>
        <n v="160838"/>
        <n v="256700"/>
        <n v="273600"/>
        <n v="238900"/>
        <n v="267900"/>
        <n v="260950"/>
        <n v="261800"/>
        <n v="186000"/>
        <n v="278000"/>
        <n v="320000"/>
        <n v="281183"/>
        <n v="300200"/>
        <n v="284940"/>
        <n v="225000"/>
        <n v="272000"/>
        <n v="288000"/>
        <n v="3080000"/>
        <n v="305900"/>
        <n v="244800"/>
        <n v="264500"/>
        <n v="356000"/>
        <n v="187000"/>
        <n v="289000"/>
        <n v="306000"/>
        <n v="395000"/>
        <n v="317910"/>
        <n v="200400"/>
        <n v="242200"/>
        <n v="370950"/>
        <n v="294785"/>
        <n v="294936"/>
        <n v="295800"/>
        <n v="235000"/>
        <n v="236000"/>
        <n v="247500"/>
        <n v="289500"/>
        <n v="297500"/>
        <n v="315000"/>
        <n v="332500"/>
        <n v="333500"/>
        <n v="341500"/>
        <n v="2134000"/>
        <n v="380000"/>
        <n v="333000"/>
        <n v="302600"/>
        <n v="337600"/>
        <n v="423800"/>
        <n v="499306"/>
        <n v="366700"/>
        <n v="263000"/>
        <n v="324000"/>
        <n v="360000"/>
        <n v="322630"/>
        <n v="307700"/>
        <n v="309400"/>
        <n v="364000"/>
        <n v="312800"/>
        <n v="206500"/>
        <n v="212750"/>
        <n v="246000"/>
        <n v="290500"/>
        <n v="370000"/>
        <n v="236400"/>
        <n v="502900"/>
        <n v="247000"/>
        <n v="383600"/>
        <n v="264593"/>
        <n v="190000"/>
        <n v="191900"/>
        <n v="388000"/>
        <n v="291500"/>
        <n v="307040"/>
        <n v="393600"/>
        <n v="479136"/>
        <n v="255900"/>
        <n v="415410"/>
        <n v="204080"/>
        <n v="329800"/>
        <n v="391000"/>
        <n v="350640"/>
        <n v="331500"/>
        <n v="364500"/>
        <n v="400000"/>
        <n v="352260"/>
        <n v="260000"/>
        <n v="394000"/>
        <n v="280000"/>
        <n v="340000"/>
        <n v="356909"/>
        <n v="238800"/>
        <n v="220000"/>
        <n v="290000"/>
        <n v="295000"/>
        <n v="298000"/>
        <n v="303000"/>
        <n v="344000"/>
        <n v="409275"/>
        <n v="410000"/>
        <n v="490000"/>
        <n v="520000"/>
        <n v="560000"/>
        <n v="3000000"/>
        <n v="3150000"/>
        <n v="4440000"/>
        <n v="402000"/>
        <n v="202000"/>
        <n v="343600"/>
        <n v="203100"/>
        <n v="269800"/>
        <n v="213200"/>
        <n v="390000"/>
        <n v="350567"/>
        <n v="297000"/>
        <n v="436000"/>
        <n v="308682"/>
        <n v="399070"/>
        <n v="420000"/>
        <n v="253400"/>
        <n v="401240"/>
        <n v="274000"/>
        <n v="425600"/>
        <n v="395900"/>
        <n v="428000"/>
        <n v="236500"/>
        <n v="305500"/>
        <n v="325000"/>
        <n v="345000"/>
        <n v="387000"/>
        <n v="408000"/>
        <n v="415000"/>
        <n v="455100"/>
        <n v="242800"/>
        <n v="437620"/>
        <n v="243900"/>
        <n v="267000"/>
        <n v="282000"/>
        <n v="352000"/>
        <n v="374000"/>
        <n v="384000"/>
        <n v="396000"/>
        <n v="440000"/>
        <n v="450000"/>
        <n v="351500"/>
        <n v="226000"/>
        <n v="419900"/>
        <n v="398000"/>
        <n v="465360"/>
        <n v="421800"/>
        <n v="446800"/>
        <n v="275000"/>
        <n v="382500"/>
        <n v="471500"/>
        <n v="472500"/>
        <n v="527970"/>
        <n v="272400"/>
        <n v="455200"/>
        <n v="341375"/>
        <n v="270800"/>
        <n v="351680"/>
        <n v="248000"/>
        <n v="435347"/>
        <n v="258000"/>
        <n v="414000"/>
        <n v="457000"/>
        <n v="494500"/>
        <n v="419850"/>
        <n v="417176"/>
        <n v="280400"/>
        <n v="522000"/>
        <n v="348840"/>
        <n v="255155"/>
        <n v="253467"/>
        <n v="330800"/>
        <n v="397800"/>
        <n v="262200"/>
        <n v="375000"/>
        <n v="434750"/>
        <n v="578000"/>
        <n v="400329"/>
        <n v="256664"/>
        <n v="402900"/>
        <n v="426600"/>
        <n v="377657"/>
        <n v="473000"/>
        <n v="722000"/>
        <n v="409527"/>
        <n v="240993"/>
        <n v="475820"/>
        <n v="458660"/>
        <n v="411200"/>
        <n v="411400"/>
        <n v="267300"/>
        <n v="291400"/>
        <n v="359280"/>
        <n v="437400"/>
        <n v="463600"/>
        <n v="439740"/>
        <n v="489286"/>
        <n v="480500"/>
        <n v="470600"/>
        <n v="469300"/>
        <n v="317000"/>
        <n v="296000"/>
        <n v="359000"/>
        <n v="402500"/>
        <n v="475000"/>
        <n v="500000"/>
        <n v="528000"/>
        <n v="535000"/>
        <n v="805000"/>
        <n v="3450000"/>
        <n v="300120"/>
        <n v="501600"/>
        <n v="347400"/>
        <n v="504581"/>
        <n v="428900"/>
        <n v="455072"/>
        <n v="253000"/>
        <n v="518650"/>
        <n v="433203"/>
        <n v="512000"/>
        <n v="290700"/>
        <n v="436900"/>
        <n v="514000"/>
        <n v="478000"/>
        <n v="518429"/>
        <n v="442000"/>
        <n v="492000"/>
        <n v="507000"/>
        <n v="412040"/>
        <n v="470000"/>
        <n v="507600"/>
        <n v="288200"/>
        <n v="524999"/>
        <n v="471600"/>
        <n v="600000"/>
        <n v="474000"/>
        <n v="526000"/>
        <n v="321000"/>
        <n v="296500"/>
        <n v="450500"/>
        <n v="504450"/>
        <n v="426000"/>
        <n v="455000"/>
        <n v="532000"/>
        <n v="547560"/>
        <n v="458800"/>
        <n v="296900"/>
        <n v="349000"/>
        <n v="359999"/>
        <n v="486000"/>
        <n v="540000"/>
        <n v="551000"/>
        <n v="486900"/>
        <n v="541450"/>
        <n v="277000"/>
        <n v="458000"/>
        <n v="539960"/>
        <n v="301070"/>
        <n v="333800"/>
        <n v="548000"/>
        <n v="587825"/>
        <n v="305000"/>
        <n v="430000"/>
        <n v="445500"/>
        <n v="467500"/>
        <n v="495000"/>
        <n v="522500"/>
        <n v="542500"/>
        <n v="588500"/>
        <n v="647000"/>
        <n v="463640"/>
        <n v="530000"/>
        <n v="499500"/>
        <n v="380800"/>
        <n v="472600"/>
        <n v="557800"/>
        <n v="585690"/>
        <n v="326900"/>
        <n v="316000"/>
        <n v="424000"/>
        <n v="439000"/>
        <n v="476000"/>
        <n v="485000"/>
        <n v="351250"/>
        <n v="620000"/>
        <n v="671100"/>
        <n v="309430"/>
        <n v="340800"/>
        <n v="503500"/>
        <n v="589600"/>
        <n v="512388"/>
        <n v="515005"/>
        <n v="486200"/>
        <n v="365700"/>
        <n v="459200"/>
        <n v="438000"/>
        <n v="619200"/>
        <n v="787610"/>
        <n v="493000"/>
        <n v="494700"/>
        <n v="498100"/>
        <n v="558600"/>
        <n v="369000"/>
        <n v="374500"/>
        <n v="501500"/>
        <n v="560728"/>
        <n v="237096"/>
        <n v="594000"/>
        <n v="506600"/>
        <n v="554600"/>
        <n v="596000"/>
        <n v="335000"/>
        <n v="405000"/>
        <n v="456000"/>
        <n v="460000"/>
        <n v="462300"/>
        <n v="510000"/>
        <n v="555000"/>
        <n v="630000"/>
        <n v="705000"/>
        <n v="710000"/>
        <n v="1670000"/>
        <n v="3750000"/>
        <n v="4400000"/>
        <n v="561800"/>
        <n v="621900"/>
        <n v="647150"/>
        <n v="1913000"/>
        <n v="382310"/>
        <n v="589485"/>
        <n v="619586"/>
        <n v="304000"/>
        <n v="998993"/>
        <n v="353000"/>
        <n v="685250"/>
        <n v="549740"/>
        <n v="331122"/>
        <n v="402800"/>
        <n v="657900"/>
        <n v="397000"/>
        <n v="383800"/>
        <n v="556200"/>
        <n v="7101000"/>
        <n v="465000"/>
        <n v="527000"/>
        <n v="544000"/>
        <n v="556000"/>
        <n v="589000"/>
        <n v="341620"/>
        <n v="528700"/>
        <n v="529200"/>
        <n v="234750"/>
        <n v="565200"/>
        <n v="535500"/>
        <n v="567000"/>
        <n v="625000"/>
        <n v="680000"/>
        <n v="537200"/>
        <n v="354000"/>
        <n v="358000"/>
        <n v="576000"/>
        <n v="352880"/>
        <n v="548910"/>
        <n v="365300"/>
        <n v="372500"/>
        <n v="422000"/>
        <n v="552500"/>
        <n v="585000"/>
        <n v="700000"/>
        <n v="725000"/>
        <n v="554200"/>
        <n v="652000"/>
        <n v="624250"/>
        <n v="532600"/>
        <n v="804100"/>
        <n v="514755"/>
        <n v="564615"/>
        <n v="638290"/>
        <n v="566950"/>
        <n v="392900"/>
        <n v="414400"/>
        <n v="441800"/>
        <n v="571200"/>
        <n v="603200"/>
        <n v="574600"/>
        <n v="833000"/>
        <n v="732720"/>
        <n v="669800"/>
        <n v="790000"/>
        <n v="750000"/>
        <n v="771750"/>
        <n v="378734"/>
        <n v="355000"/>
        <n v="379290"/>
        <n v="696000"/>
        <n v="385000"/>
        <n v="389000"/>
        <n v="479500"/>
        <n v="537000"/>
        <n v="545000"/>
        <n v="580000"/>
        <n v="595000"/>
        <n v="642500"/>
        <n v="665000"/>
        <n v="720000"/>
        <n v="775000"/>
        <n v="421200"/>
        <n v="456300"/>
        <n v="387200"/>
        <n v="600100"/>
        <n v="636380"/>
        <n v="529500"/>
        <n v="709400"/>
        <n v="674500"/>
        <n v="710800"/>
        <n v="840000"/>
        <n v="730005"/>
        <n v="601000"/>
        <n v="640000"/>
        <n v="738000"/>
        <n v="755000"/>
        <n v="882000"/>
        <n v="715400"/>
        <n v="701467"/>
        <n v="362500"/>
        <n v="793000"/>
        <n v="615400"/>
        <n v="489500"/>
        <n v="620500"/>
        <n v="730000"/>
        <n v="440400"/>
        <n v="904050"/>
        <n v="481000"/>
        <n v="519000"/>
        <n v="703000"/>
        <n v="457200"/>
        <n v="452000"/>
        <n v="659400"/>
        <n v="492500"/>
        <n v="637500"/>
        <n v="920000"/>
        <n v="754000"/>
        <n v="415800"/>
        <n v="760000"/>
        <n v="779000"/>
        <n v="830000"/>
        <n v="681200"/>
        <n v="725610"/>
        <n v="397768"/>
        <n v="652800"/>
        <n v="768000"/>
        <n v="694800"/>
        <n v="832700"/>
        <n v="635000"/>
        <n v="495600"/>
        <n v="573000"/>
        <n v="412200"/>
        <n v="1000000"/>
        <n v="732532"/>
        <n v="683800"/>
        <n v="702000"/>
        <n v="782800"/>
        <n v="522442"/>
        <n v="610600"/>
        <n v="707400"/>
        <n v="735100"/>
        <n v="807200"/>
        <n v="673880"/>
        <n v="635600"/>
        <n v="728300"/>
        <n v="778050"/>
        <n v="515000"/>
        <n v="690000"/>
        <n v="960000"/>
        <n v="802001"/>
        <n v="843100"/>
        <n v="423000"/>
        <n v="644800"/>
        <n v="688500"/>
        <n v="911250"/>
        <n v="731200"/>
        <n v="1044200"/>
        <n v="611800"/>
        <n v="736663"/>
        <n v="740000"/>
        <n v="820000"/>
        <n v="910000"/>
        <n v="493800"/>
        <n v="660800"/>
        <n v="727100"/>
        <n v="506680"/>
        <n v="745200"/>
        <n v="707200"/>
        <n v="416500"/>
        <n v="646000"/>
        <n v="772000"/>
        <n v="798000"/>
        <n v="804000"/>
        <n v="715700"/>
        <n v="757800"/>
        <n v="884350"/>
        <n v="850000"/>
        <n v="483600"/>
        <n v="592560"/>
        <n v="577500"/>
        <n v="722500"/>
        <n v="807500"/>
        <n v="875000"/>
        <n v="956350"/>
        <n v="665340"/>
        <n v="237500"/>
        <n v="816741"/>
        <n v="667000"/>
        <n v="774000"/>
        <n v="903000"/>
        <n v="732700"/>
        <n v="924000"/>
        <n v="432064"/>
        <n v="800000"/>
        <n v="736593"/>
        <n v="826500"/>
        <n v="870000"/>
        <n v="792000"/>
        <n v="797500"/>
        <n v="485650"/>
        <n v="763680"/>
        <n v="797800"/>
        <n v="830650"/>
        <n v="1010250"/>
        <n v="592000"/>
        <n v="610000"/>
        <n v="645000"/>
        <n v="695000"/>
        <n v="745000"/>
        <n v="765000"/>
        <n v="810000"/>
        <n v="945000"/>
        <n v="1040000"/>
        <n v="1060836"/>
        <n v="751000"/>
        <n v="497200"/>
        <n v="935200"/>
        <n v="848300"/>
        <n v="590113"/>
        <n v="695500"/>
        <n v="826928"/>
        <n v="844400"/>
        <n v="918000"/>
        <n v="919000"/>
        <n v="736000"/>
        <n v="782000"/>
        <n v="851000"/>
        <n v="880000"/>
        <n v="1283000"/>
        <n v="1200000"/>
        <n v="764639"/>
        <n v="1134350"/>
        <n v="972592"/>
        <n v="799760"/>
        <n v="951200"/>
        <n v="790500"/>
        <n v="838200"/>
        <n v="838800"/>
        <n v="1048500"/>
        <n v="599000"/>
        <n v="1100000"/>
        <n v="1168700"/>
        <n v="675000"/>
        <n v="715000"/>
        <n v="855000"/>
        <n v="997500"/>
        <n v="1019800"/>
        <n v="524700"/>
        <n v="552640"/>
        <n v="816000"/>
        <n v="864000"/>
        <n v="501000"/>
        <n v="968051"/>
        <n v="558500"/>
        <n v="598500"/>
        <n v="785500"/>
        <n v="1020400"/>
        <n v="797548"/>
        <n v="682868"/>
        <n v="999600"/>
        <n v="642000"/>
        <n v="889200"/>
        <n v="565000"/>
        <n v="1215200"/>
        <n v="505000"/>
        <n v="538000"/>
        <n v="615000"/>
        <n v="632000"/>
        <n v="780000"/>
        <n v="892225"/>
        <n v="701100"/>
        <n v="869400"/>
        <n v="1220000"/>
        <n v="806600"/>
        <n v="711000"/>
        <n v="911000"/>
        <n v="969000"/>
        <n v="919800"/>
        <n v="621200"/>
        <n v="940477"/>
        <n v="10752000"/>
        <n v="875500"/>
        <n v="916500"/>
        <n v="1030000"/>
        <n v="633360"/>
        <n v="873000"/>
        <n v="922100"/>
        <n v="936000"/>
        <n v="521000"/>
        <n v="583131"/>
        <n v="1017900"/>
        <n v="895000"/>
        <n v="933900"/>
        <n v="1152500"/>
        <n v="894200"/>
        <n v="980000"/>
        <n v="954000"/>
        <n v="950000"/>
        <n v="685000"/>
        <n v="1022400"/>
        <n v="961200"/>
        <n v="966600"/>
        <n v="860000"/>
        <n v="860418"/>
        <n v="590000"/>
        <n v="1082000"/>
        <n v="1062000"/>
        <n v="1077600"/>
        <n v="929900"/>
        <n v="588480"/>
        <n v="970000"/>
        <n v="905000"/>
        <n v="935000"/>
        <n v="990000"/>
        <n v="1075000"/>
        <n v="1471520"/>
        <n v="941236"/>
        <n v="609400"/>
        <n v="1385850"/>
        <n v="667440"/>
        <n v="1169700"/>
        <n v="558000"/>
        <n v="613800"/>
        <n v="1034176"/>
        <n v="605000"/>
        <n v="896000"/>
        <n v="962000"/>
        <n v="1125000"/>
        <n v="957000"/>
        <n v="784000"/>
        <n v="1156200"/>
        <n v="976000"/>
        <n v="975000"/>
        <n v="615488"/>
        <n v="722600"/>
        <n v="1020600"/>
        <n v="974100"/>
        <n v="732500"/>
        <n v="1020000"/>
        <n v="793600"/>
        <n v="927808"/>
        <n v="1044000"/>
        <n v="1045800"/>
        <n v="714000"/>
        <n v="1169215"/>
        <n v="872000"/>
        <n v="587000"/>
        <n v="1236900"/>
        <n v="1225000"/>
        <n v="1186000"/>
        <n v="944150"/>
        <n v="719000"/>
        <n v="1013200"/>
        <n v="743000"/>
        <n v="815000"/>
        <n v="930000"/>
        <n v="955000"/>
        <n v="1035000"/>
        <n v="1074000"/>
        <n v="1080000"/>
        <n v="1121000"/>
        <n v="1130000"/>
        <n v="1260000"/>
        <n v="1290000"/>
        <n v="1173000"/>
        <n v="1300000"/>
        <n v="1050000"/>
        <n v="1094400"/>
        <n v="1039550"/>
        <n v="1224000"/>
        <n v="1093000"/>
        <n v="669220"/>
        <n v="1107000"/>
        <n v="1047200"/>
        <n v="1297000"/>
        <n v="1248000"/>
        <n v="1094061"/>
        <n v="1062500"/>
        <n v="1064200"/>
        <n v="1126000"/>
        <n v="1189200"/>
        <n v="1287400"/>
        <n v="921900"/>
        <n v="1039500"/>
        <n v="1250438"/>
        <n v="1743400"/>
        <n v="1074400"/>
        <n v="2182800"/>
        <n v="19137600"/>
        <n v="1274000"/>
        <n v="661626"/>
        <n v="971600"/>
        <n v="1159200"/>
        <n v="909500"/>
        <n v="1096500"/>
        <n v="716200"/>
        <n v="655000"/>
        <n v="1027000"/>
        <n v="1140000"/>
        <n v="1170000"/>
        <n v="1202500"/>
        <n v="1235000"/>
        <n v="1278750"/>
        <n v="7475000"/>
        <n v="1171800"/>
        <n v="1098900"/>
        <n v="1113500"/>
        <n v="1179000"/>
        <n v="1380000"/>
        <n v="941000"/>
        <n v="1056000"/>
        <n v="1161394"/>
        <n v="921800"/>
        <n v="1289000"/>
        <n v="832000"/>
        <n v="1013250"/>
        <n v="771440"/>
        <n v="743227"/>
        <n v="1088000"/>
        <n v="887000"/>
        <n v="1222190"/>
        <n v="1475500"/>
        <n v="1237800"/>
        <n v="897000"/>
        <n v="1525600"/>
        <n v="759500"/>
        <n v="692200"/>
        <n v="1247300"/>
        <n v="1803300"/>
        <n v="1388000"/>
        <n v="903500"/>
        <n v="1400000"/>
        <n v="1360000"/>
        <n v="845000"/>
        <n v="1060000"/>
        <n v="1090000"/>
        <n v="1175000"/>
        <n v="1190000"/>
        <n v="1310000"/>
        <n v="1330000"/>
        <n v="1540000"/>
        <n v="1331900"/>
        <n v="1371000"/>
        <n v="1345200"/>
        <n v="881000"/>
        <n v="932000"/>
        <n v="1426500"/>
        <n v="1139000"/>
        <n v="1426400"/>
        <n v="1366100"/>
        <n v="863540"/>
        <n v="1296000"/>
        <n v="1372000"/>
        <n v="1571650"/>
        <n v="1300400"/>
        <n v="802500"/>
        <n v="1232500"/>
        <n v="7975000"/>
        <n v="1574850"/>
        <n v="828000"/>
        <n v="1460000"/>
        <n v="1456085"/>
        <n v="1241000"/>
        <n v="1314000"/>
        <n v="1462943"/>
        <n v="1317600"/>
        <n v="1065750"/>
        <n v="1323000"/>
        <n v="1386200"/>
        <n v="748000"/>
        <n v="965900"/>
        <n v="1338000"/>
        <n v="1550000"/>
        <n v="2929000"/>
        <n v="835000"/>
        <n v="837500"/>
        <n v="1168000"/>
        <n v="1275000"/>
        <n v="1425000"/>
        <n v="1462500"/>
        <n v="1505000"/>
        <n v="1575000"/>
        <n v="1762500"/>
        <n v="1837500"/>
        <n v="1507010"/>
        <n v="1609200"/>
        <n v="775200"/>
        <n v="1444000"/>
        <n v="1560050"/>
        <n v="1388160"/>
        <n v="837589"/>
        <n v="1025000"/>
        <n v="1472500"/>
        <n v="1511250"/>
        <n v="1315000"/>
        <n v="1052000"/>
        <n v="1092000"/>
        <n v="1327700"/>
        <n v="890212"/>
        <n v="1683450"/>
        <n v="1570400"/>
        <n v="1466030"/>
        <n v="1493560"/>
        <n v="1574000"/>
        <n v="1370300"/>
        <n v="1422000"/>
        <n v="1598666"/>
        <n v="863300"/>
        <n v="883400"/>
        <n v="1594857"/>
        <n v="1598000"/>
        <n v="938850"/>
        <n v="1240000"/>
        <n v="1440000"/>
        <n v="1590000"/>
        <n v="1640000"/>
        <n v="1680000"/>
        <n v="1860000"/>
        <n v="1366800"/>
        <n v="1539000"/>
        <n v="1461600"/>
        <n v="2289200"/>
        <n v="1320000"/>
        <n v="1630000"/>
        <n v="966000"/>
        <n v="1041036"/>
        <n v="898700"/>
        <n v="1045000"/>
        <n v="2295000"/>
        <n v="1656600"/>
        <n v="1586500"/>
        <n v="1038440"/>
        <n v="1429985"/>
        <n v="925100"/>
        <n v="1389300"/>
        <n v="1164000"/>
        <n v="1438710"/>
        <n v="1067000"/>
        <n v="1450937"/>
        <n v="1445000"/>
        <n v="1530000"/>
        <n v="1576350"/>
        <n v="1603500"/>
        <n v="1660000"/>
        <n v="1155600"/>
        <n v="1542600"/>
        <n v="1718000"/>
        <n v="1381000"/>
        <n v="1510000"/>
        <n v="1709700"/>
        <n v="1523200"/>
        <n v="1300500"/>
        <n v="1746000"/>
        <n v="1457500"/>
        <n v="1722000"/>
        <n v="1568915"/>
        <n v="1326000"/>
        <n v="903458"/>
        <n v="1812907"/>
        <n v="1754500"/>
        <n v="1390000"/>
        <n v="1600000"/>
        <n v="1182000"/>
        <n v="1788000"/>
        <n v="1503500"/>
        <n v="1546623"/>
        <n v="1899950"/>
        <n v="1490000"/>
        <n v="1570000"/>
        <n v="1620000"/>
        <n v="1710000"/>
        <n v="1758090"/>
        <n v="2250500"/>
        <n v="900500"/>
        <n v="1623600"/>
        <n v="1625400"/>
        <n v="2250000"/>
        <n v="1814000"/>
        <n v="1410000"/>
        <n v="1638000"/>
        <n v="1057000"/>
        <n v="1120000"/>
        <n v="1641600"/>
        <n v="1312816"/>
        <n v="1564000"/>
        <n v="1772000"/>
        <n v="1521903"/>
        <n v="1251000"/>
        <n v="1287500"/>
        <n v="1114800"/>
        <n v="1844000"/>
        <n v="2076120"/>
        <n v="1515500"/>
        <n v="1684800"/>
        <n v="1830000"/>
        <n v="1773000"/>
        <n v="1305000"/>
        <n v="1520000"/>
        <n v="1615000"/>
        <n v="1805000"/>
        <n v="1900000"/>
        <n v="1947000"/>
        <n v="2019000"/>
        <n v="2185000"/>
        <n v="1150000"/>
        <n v="2083650"/>
        <n v="1620100"/>
        <n v="1534580"/>
        <n v="1910000"/>
        <n v="2239250"/>
        <n v="1053800"/>
        <n v="1104000"/>
        <n v="1356000"/>
        <n v="1928000"/>
        <n v="1640400"/>
        <n v="1216300"/>
        <n v="1742400"/>
        <n v="1990550"/>
        <n v="1071500"/>
        <n v="1547500"/>
        <n v="1746250"/>
        <n v="1750000"/>
        <n v="2098750"/>
        <n v="1040230"/>
        <n v="1824283"/>
        <n v="1382000"/>
        <n v="1934700"/>
        <n v="1383301"/>
        <n v="1672800"/>
        <n v="1932000"/>
        <n v="1980000"/>
        <n v="1454284"/>
        <n v="2449531"/>
        <n v="1135000"/>
        <n v="1165000"/>
        <n v="1195000"/>
        <n v="1205000"/>
        <n v="1245000"/>
        <n v="1250000"/>
        <n v="1272000"/>
        <n v="1325000"/>
        <n v="1370000"/>
        <n v="1594000"/>
        <n v="1650000"/>
        <n v="1842900"/>
        <n v="1850000"/>
        <n v="2100000"/>
        <n v="1800016"/>
        <n v="1393439"/>
        <n v="2010400"/>
        <n v="1812600"/>
        <n v="2022000"/>
        <n v="2025000"/>
        <n v="1825200"/>
        <n v="1877750"/>
        <n v="1021000"/>
        <n v="2044800"/>
        <n v="1742500"/>
        <n v="1025108"/>
        <n v="1846800"/>
        <n v="1229996"/>
        <n v="1864800"/>
        <n v="1640600"/>
        <n v="1140400"/>
        <n v="2000400"/>
        <n v="1668800"/>
        <n v="2331000"/>
        <n v="2572000"/>
        <n v="2181600"/>
        <n v="1672000"/>
        <n v="1683200"/>
        <n v="2359332"/>
        <n v="2109500"/>
        <n v="1899450"/>
        <n v="1749600"/>
        <n v="1683113"/>
        <n v="2023562"/>
        <n v="1908000"/>
        <n v="1860631"/>
        <n v="1909800"/>
        <n v="1221500"/>
        <n v="1917000"/>
        <n v="1970250"/>
        <n v="1858600"/>
        <n v="2050000"/>
        <n v="2091200"/>
        <n v="1122970"/>
        <n v="1931400"/>
        <n v="1935000"/>
        <n v="1842770"/>
        <n v="2176000"/>
        <n v="2069100"/>
        <n v="2369100"/>
        <n v="2074420"/>
        <n v="1604000"/>
        <n v="2113200"/>
        <n v="1545771"/>
        <n v="1525000"/>
        <n v="1760000"/>
        <n v="1831000"/>
        <n v="1920000"/>
        <n v="1930000"/>
        <n v="2110000"/>
        <n v="2120000"/>
        <n v="2145000"/>
        <n v="2326000"/>
        <n v="2375750"/>
        <n v="1684600"/>
        <n v="2269350"/>
        <n v="1752196"/>
        <n v="1994900"/>
        <n v="2003400"/>
        <n v="2227696"/>
        <n v="1444100"/>
        <n v="2008800"/>
        <n v="2237400"/>
        <n v="2307450"/>
        <n v="2016000"/>
        <n v="2185900"/>
        <n v="2020500"/>
        <n v="1127000"/>
        <n v="1912500"/>
        <n v="2030400"/>
        <n v="1845180"/>
        <n v="2055600"/>
        <n v="2190700"/>
        <n v="1963500"/>
        <n v="2082600"/>
        <n v="2091600"/>
        <n v="1562304"/>
        <n v="2189000"/>
        <n v="1294700"/>
        <n v="1689926"/>
        <n v="2300000"/>
        <n v="3031862"/>
        <n v="2007900"/>
        <n v="1876000"/>
        <n v="2374000"/>
        <n v="1311750"/>
        <n v="1345000"/>
        <n v="1448000"/>
        <n v="1450000"/>
        <n v="1785000"/>
        <n v="1820000"/>
        <n v="1944000"/>
        <n v="1946250"/>
        <n v="2020000"/>
        <n v="2040000"/>
        <n v="2160000"/>
        <n v="2290000"/>
        <n v="2310000"/>
        <n v="2380000"/>
        <n v="2400000"/>
        <n v="2284940"/>
        <n v="1756000"/>
        <n v="2700000"/>
        <n v="1366600"/>
        <n v="1951000"/>
        <n v="1673900"/>
        <n v="1218000"/>
        <n v="1454000"/>
        <n v="2347787"/>
        <n v="1399000"/>
        <n v="1709400"/>
        <n v="1761800"/>
        <n v="1812000"/>
        <n v="484392"/>
        <n v="2169301"/>
        <n v="2498000"/>
        <n v="2725000"/>
        <n v="2501600"/>
        <n v="1730000"/>
        <n v="2972750"/>
        <n v="2367000"/>
        <n v="2414327"/>
        <n v="2111000"/>
        <n v="1295000"/>
        <n v="2336400"/>
        <n v="2080000"/>
        <n v="2125000"/>
        <n v="2210000"/>
        <n v="2340000"/>
        <n v="2595500"/>
        <n v="2715000"/>
        <n v="2800000"/>
        <n v="3510500"/>
        <n v="1302000"/>
        <n v="2423820"/>
        <n v="2028950"/>
        <n v="2506000"/>
        <n v="2637000"/>
        <n v="2878200"/>
        <n v="2174500"/>
        <n v="2383000"/>
        <n v="2413800"/>
        <n v="1810000"/>
        <n v="2430000"/>
        <n v="3290000"/>
        <n v="2318000"/>
        <n v="2729129"/>
        <n v="1466000"/>
        <n v="2459000"/>
        <n v="2603000"/>
        <n v="1512500"/>
        <n v="1803000"/>
        <n v="2768400"/>
        <n v="2780000"/>
        <n v="2648600"/>
        <n v="3003550"/>
        <n v="1900100"/>
        <n v="2240000"/>
        <n v="2520000"/>
        <n v="2836000"/>
        <n v="2940000"/>
        <n v="3020000"/>
        <n v="3110000"/>
        <n v="3220000"/>
        <n v="2737800"/>
        <n v="4200000"/>
        <n v="2397700"/>
        <n v="2362100"/>
        <n v="2550100"/>
        <n v="1576050"/>
        <n v="2502500"/>
        <n v="1681000"/>
        <n v="1576000"/>
        <n v="1748910"/>
        <n v="2958150"/>
        <n v="2601000"/>
        <n v="1446000"/>
        <n v="2289000"/>
        <n v="1802040"/>
        <n v="1840000"/>
        <n v="1880000"/>
        <n v="1996000"/>
        <n v="2982750"/>
        <n v="2982400"/>
        <n v="2983200"/>
        <n v="3139000"/>
        <n v="1461000"/>
        <n v="3053500"/>
        <n v="2208400"/>
        <n v="2574000"/>
        <n v="2658600"/>
        <n v="3175550"/>
        <n v="2366400"/>
        <n v="2528120"/>
        <n v="3049371"/>
        <n v="2245930"/>
        <n v="2533000"/>
        <n v="1940000"/>
        <n v="2169230"/>
        <n v="2450000"/>
        <n v="2550000"/>
        <n v="2600000"/>
        <n v="2750000"/>
        <n v="3050000"/>
        <n v="3075000"/>
        <n v="3100000"/>
        <n v="3250000"/>
        <n v="3033000"/>
        <n v="2347600"/>
        <n v="2688500"/>
        <n v="3050500"/>
        <n v="2151000"/>
        <n v="2542200"/>
        <n v="2836050"/>
        <n v="3001318"/>
        <n v="1925400"/>
        <n v="3308850"/>
        <n v="2777777"/>
        <n v="1954149"/>
        <n v="2020645"/>
        <n v="1920159"/>
        <n v="3145000"/>
        <n v="3223000"/>
        <n v="3720000"/>
        <n v="3267400"/>
        <n v="2695800"/>
        <n v="2270600"/>
        <n v="3049800"/>
        <n v="2775600"/>
        <n v="4202000"/>
        <n v="3367600"/>
        <n v="1953000"/>
        <n v="3332700"/>
        <n v="2549000"/>
        <n v="1610000"/>
        <n v="2095000"/>
        <n v="2460000"/>
        <n v="2560000"/>
        <n v="2880000"/>
        <n v="2900000"/>
        <n v="2912000"/>
        <n v="2960000"/>
        <n v="3010000"/>
        <n v="3040000"/>
        <n v="3128000"/>
        <n v="3280000"/>
        <n v="3360000"/>
        <n v="3460000"/>
        <n v="3069824"/>
        <n v="3314450"/>
        <n v="2258275"/>
        <n v="2308600"/>
        <n v="2919600"/>
        <n v="3370400"/>
        <n v="3451000"/>
        <n v="3337400"/>
        <n v="2169000"/>
        <n v="2095200"/>
        <n v="2283000"/>
        <n v="2538125"/>
        <n v="281208"/>
        <n v="3793406"/>
        <n v="2803082"/>
        <n v="3467100"/>
        <n v="1822700"/>
        <n v="3323838"/>
        <n v="2462600"/>
        <n v="2496600"/>
        <n v="2834750"/>
        <n v="3087000"/>
        <n v="2176200"/>
        <n v="1965000"/>
        <n v="3130000"/>
        <n v="2857700"/>
        <n v="3189243"/>
        <n v="3080400"/>
        <n v="3211400"/>
        <n v="3429000"/>
        <n v="1970000"/>
        <n v="2275000"/>
        <n v="2480000"/>
        <n v="2620000"/>
        <n v="2720000"/>
        <n v="2970000"/>
        <n v="3060000"/>
        <n v="3375000"/>
        <n v="3500000"/>
        <n v="3955000"/>
        <n v="3071880"/>
        <n v="3433200"/>
        <n v="2429500"/>
        <n v="3094200"/>
        <n v="3462600"/>
        <n v="2283291"/>
        <n v="3108800"/>
        <n v="2870281"/>
        <n v="3300852"/>
        <n v="3919664"/>
        <n v="3297963"/>
        <n v="3149000"/>
        <n v="2372000"/>
        <n v="2500500"/>
        <n v="2625000"/>
        <n v="2650000"/>
        <n v="3325000"/>
        <n v="3593240"/>
        <n v="2983000"/>
        <n v="3951500"/>
        <n v="3519265"/>
        <n v="3088000"/>
        <n v="2326551"/>
        <n v="3084000"/>
        <n v="3010700"/>
        <n v="3195000"/>
        <n v="3550800"/>
        <n v="3560000"/>
        <n v="3562000"/>
        <n v="2740000"/>
        <n v="3571800"/>
        <n v="3720600"/>
        <n v="3231000"/>
        <n v="1990000"/>
        <n v="2220000"/>
        <n v="2260000"/>
        <n v="2580000"/>
        <n v="3096000"/>
        <n v="3133000"/>
        <n v="3240000"/>
        <n v="3420000"/>
        <n v="3660000"/>
        <n v="3753750"/>
        <n v="2202800"/>
        <n v="3247200"/>
        <n v="3117732"/>
        <n v="2364000"/>
        <n v="2982500"/>
        <n v="3255000"/>
        <n v="3330000"/>
        <n v="3515304"/>
        <n v="3794550"/>
        <n v="3796600"/>
        <n v="3433600"/>
        <n v="3903800"/>
        <n v="3340800"/>
        <n v="2777964"/>
        <n v="1869900"/>
        <n v="2045000"/>
        <n v="3383720"/>
        <n v="3581000"/>
        <n v="3900000"/>
        <n v="2937000"/>
        <n v="3592900"/>
        <n v="3894568"/>
        <n v="1895000"/>
        <n v="3799000"/>
        <n v="2390000"/>
        <n v="2490000"/>
        <n v="3270000"/>
        <n v="3401000"/>
        <n v="3458000"/>
        <n v="3800000"/>
        <n v="4167000"/>
        <n v="3233400"/>
        <n v="3906685"/>
        <n v="2090174"/>
        <n v="3923700"/>
        <n v="3065600"/>
        <n v="3257000"/>
        <n v="2992490"/>
        <n v="3530700"/>
        <n v="2240172"/>
        <n v="3296364"/>
        <n v="2333080"/>
        <n v="3983150"/>
        <n v="3430000"/>
        <n v="3510000"/>
        <n v="3705000"/>
        <n v="3321800"/>
        <n v="3618196"/>
        <n v="1960000"/>
        <n v="2569000"/>
        <n v="2617500"/>
        <n v="3240200"/>
        <n v="3573000"/>
        <n v="3234000"/>
        <n v="3782500"/>
        <n v="4194800"/>
        <n v="2030000"/>
        <n v="2060000"/>
        <n v="2075000"/>
        <n v="2076000"/>
        <n v="2150000"/>
        <n v="2350000"/>
        <n v="2402000"/>
        <n v="2896000"/>
        <n v="2980000"/>
        <n v="3185000"/>
        <n v="3248000"/>
        <n v="3350000"/>
        <n v="3400000"/>
        <n v="3535000"/>
        <n v="3950000"/>
        <n v="4000000"/>
        <n v="4320000"/>
        <n v="3605400"/>
        <n v="4008000"/>
        <n v="3411900"/>
        <n v="3616200"/>
        <n v="3649600"/>
        <n v="3618900"/>
        <n v="3625000"/>
        <n v="1420000"/>
        <n v="4073850"/>
        <n v="3437400"/>
        <n v="3094000"/>
        <n v="3652200"/>
        <n v="4074000"/>
        <n v="3557000"/>
        <n v="2244000"/>
        <n v="2931000"/>
        <n v="3672000"/>
        <n v="3207260"/>
        <n v="2893128"/>
        <n v="3167120"/>
        <n v="2818080"/>
        <n v="2785000"/>
        <n v="4136000"/>
        <n v="2381000"/>
        <n v="1827650"/>
        <n v="4035428"/>
        <n v="2730000"/>
        <n v="3570000"/>
        <n v="3710000"/>
        <n v="3730000"/>
        <n v="3780000"/>
        <n v="3927000"/>
        <n v="3990000"/>
        <n v="4095000"/>
        <n v="4410000"/>
        <n v="3362580"/>
        <n v="4412520"/>
        <n v="3424200"/>
        <n v="3466345"/>
        <n v="4300804"/>
        <n v="2476500"/>
        <n v="3810960"/>
        <n v="3918696"/>
        <n v="3816000"/>
        <n v="3713640"/>
        <n v="2124000"/>
        <n v="2762000"/>
        <n v="3211200"/>
        <n v="2606288"/>
        <n v="4040000"/>
        <n v="4290000"/>
        <n v="4300000"/>
        <n v="3058000"/>
        <n v="3264986"/>
        <n v="3691000"/>
        <n v="3481600"/>
        <n v="3304000"/>
        <n v="3925000"/>
        <n v="2276895"/>
        <n v="4138500"/>
        <n v="2420000"/>
        <n v="2920000"/>
        <n v="3140000"/>
        <n v="3342000"/>
        <n v="3960000"/>
        <n v="4620000"/>
        <n v="4804220"/>
        <n v="4830000"/>
        <n v="3214530"/>
        <n v="3837540"/>
        <n v="4453000"/>
        <n v="3444000"/>
        <n v="3825000"/>
        <n v="4837500"/>
        <n v="5062500"/>
        <n v="3846960"/>
        <n v="3095000"/>
        <n v="4326060"/>
        <n v="2257000"/>
        <n v="2582700"/>
        <n v="4419951"/>
        <n v="3339000"/>
        <n v="4273000"/>
        <n v="3876000"/>
        <n v="3885445"/>
        <n v="2446000"/>
        <n v="3910000"/>
        <n v="4370000"/>
        <n v="3130300"/>
        <n v="3495200"/>
        <n v="3674000"/>
        <n v="3282800"/>
        <n v="4192000"/>
        <n v="4195800"/>
        <n v="4161000"/>
        <n v="3986500"/>
        <n v="3440161"/>
        <n v="3134904"/>
        <n v="4799200"/>
        <n v="3205091"/>
        <n v="4670940"/>
        <n v="3579596"/>
        <n v="3443000"/>
        <n v="3955100"/>
        <n v="2945040"/>
        <n v="4050000"/>
        <n v="4080000"/>
        <n v="4480000"/>
        <n v="4560000"/>
        <n v="4800000"/>
        <n v="4431060"/>
        <n v="3540000"/>
        <n v="4339800"/>
        <n v="4348800"/>
        <n v="4259000"/>
        <n v="2577000"/>
        <n v="3897000"/>
        <n v="3838783"/>
        <n v="2573390"/>
        <n v="3377425"/>
        <n v="4171800"/>
        <n v="4910000"/>
        <n v="4453200"/>
        <n v="4460256"/>
        <n v="3731000"/>
        <n v="4476600"/>
        <n v="4035008"/>
        <n v="2655000"/>
        <n v="2751000"/>
        <n v="2850000"/>
        <n v="2910000"/>
        <n v="3312000"/>
        <n v="4150000"/>
        <n v="4250000"/>
        <n v="4275500"/>
        <n v="4550000"/>
        <n v="4875000"/>
        <n v="3767000"/>
        <n v="4784200"/>
        <n v="2772000"/>
        <n v="4041600"/>
        <n v="4006400"/>
        <n v="3967200"/>
        <n v="4843000"/>
        <n v="3583000"/>
        <n v="4741550"/>
        <n v="5130000"/>
        <n v="4890500"/>
        <n v="4490493"/>
        <n v="3109990"/>
        <n v="4420000"/>
        <n v="4590000"/>
        <n v="3801000"/>
        <n v="3308164"/>
        <n v="3626400"/>
        <n v="4207500"/>
        <n v="3726640"/>
        <n v="3241000"/>
        <n v="4506300"/>
        <n v="3686000"/>
        <n v="3971000"/>
        <n v="32932000"/>
        <n v="3830440"/>
        <n v="4559400"/>
        <n v="3253000"/>
        <n v="4860000"/>
        <n v="2703585"/>
        <n v="4517800"/>
        <n v="4722000"/>
        <n v="3519800"/>
        <n v="3222000"/>
        <n v="4566707"/>
        <n v="3475000"/>
        <n v="3987500"/>
        <n v="4125000"/>
        <n v="4280000"/>
        <n v="4650000"/>
        <n v="4675000"/>
        <n v="4850000"/>
        <n v="3029070"/>
        <n v="4958508"/>
        <n v="4360120"/>
        <n v="3300682"/>
        <n v="3040400"/>
        <n v="2789000"/>
        <n v="3070320"/>
        <n v="3120747"/>
        <n v="3380000"/>
        <n v="3410000"/>
        <n v="3472600"/>
        <n v="3478000"/>
        <n v="4812300"/>
        <n v="3320800"/>
        <n v="3505000"/>
        <n v="4448000"/>
        <n v="4780000"/>
        <n v="4769044"/>
        <n v="4005000"/>
        <n v="4995000"/>
        <n v="4004000"/>
        <n v="3946250"/>
        <n v="3260000"/>
        <n v="3305000"/>
        <n v="3310000"/>
        <n v="3382200"/>
        <n v="3620000"/>
        <n v="3650000"/>
        <n v="3850000"/>
        <n v="4100000"/>
        <n v="4350000"/>
        <n v="4950000"/>
        <n v="4999999"/>
        <n v="4611000"/>
        <n v="4539900"/>
        <n v="4506134"/>
        <n v="3879660"/>
        <n v="4155000"/>
        <n v="4869240"/>
        <n v="4756903"/>
        <n v="3735600"/>
        <n v="3936000"/>
        <n v="3828540"/>
        <n v="4157415"/>
        <n v="5716800"/>
        <n v="3520000"/>
        <n v="4220000"/>
        <n v="4720000"/>
        <n v="3847480"/>
        <n v="3864000"/>
        <n v="4742440"/>
        <n v="4975000"/>
        <n v="4247100"/>
        <n v="3749450"/>
        <n v="4880000"/>
        <n v="3667800"/>
        <n v="4658000"/>
        <n v="4237600"/>
        <n v="3870000"/>
        <n v="4140000"/>
        <n v="4700000"/>
        <n v="4772100"/>
        <n v="4682025"/>
        <n v="3980538"/>
        <n v="4706100"/>
        <n v="4640000"/>
        <n v="4958939"/>
        <n v="4616000"/>
        <n v="4810000"/>
        <n v="4968800"/>
        <n v="4180000"/>
        <n v="4829622"/>
        <n v="4466000"/>
        <n v="4302100"/>
        <n v="4030000"/>
        <n v="4710000"/>
        <n v="4566300"/>
        <n v="4599171"/>
        <n v="4897092"/>
        <n v="4597000"/>
        <n v="4811000"/>
        <n v="5200000"/>
        <n v="5390000"/>
        <n v="9000000"/>
        <n v="5800000"/>
        <n v="6390000"/>
        <n v="6250500"/>
        <n v="9566960"/>
        <n v="17530000"/>
        <n v="3609000"/>
        <n v="1774092"/>
        <n v="3235300"/>
        <n v="1109500"/>
      </sharedItems>
      <fieldGroup base="13">
        <rangePr startNum="0" endNum="32932000" groupInterval="250000"/>
        <groupItems count="134">
          <s v="&lt;0"/>
          <s v="0-249999"/>
          <s v="250000-499999"/>
          <s v="500000-749999"/>
          <s v="750000-999999"/>
          <s v="1000000-1249999"/>
          <s v="1250000-1499999"/>
          <s v="1500000-1749999"/>
          <s v="1750000-1999999"/>
          <s v="2000000-2249999"/>
          <s v="2250000-2499999"/>
          <s v="2500000-2749999"/>
          <s v="2750000-2999999"/>
          <s v="3000000-3249999"/>
          <s v="3250000-3499999"/>
          <s v="3500000-3749999"/>
          <s v="3750000-3999999"/>
          <s v="4000000-4249999"/>
          <s v="4250000-4499999"/>
          <s v="4500000-4749999"/>
          <s v="4750000-4999999"/>
          <s v="5000000-5249999"/>
          <s v="5250000-5499999"/>
          <s v="5500000-5749999"/>
          <s v="5750000-5999999"/>
          <s v="6000000-6249999"/>
          <s v="6250000-6499999"/>
          <s v="6500000-6749999"/>
          <s v="6750000-6999999"/>
          <s v="7000000-7249999"/>
          <s v="7250000-7499999"/>
          <s v="7500000-7749999"/>
          <s v="7750000-7999999"/>
          <s v="8000000-8249999"/>
          <s v="8250000-8499999"/>
          <s v="8500000-8749999"/>
          <s v="8750000-8999999"/>
          <s v="9000000-9249999"/>
          <s v="9250000-9499999"/>
          <s v="9500000-9749999"/>
          <s v="9750000-9999999"/>
          <s v="10000000-10249999"/>
          <s v="10250000-10499999"/>
          <s v="10500000-10749999"/>
          <s v="10750000-10999999"/>
          <s v="11000000-11249999"/>
          <s v="11250000-11499999"/>
          <s v="11500000-11749999"/>
          <s v="11750000-11999999"/>
          <s v="12000000-12249999"/>
          <s v="12250000-12499999"/>
          <s v="12500000-12749999"/>
          <s v="12750000-12999999"/>
          <s v="13000000-13249999"/>
          <s v="13250000-13499999"/>
          <s v="13500000-13749999"/>
          <s v="13750000-13999999"/>
          <s v="14000000-14249999"/>
          <s v="14250000-14499999"/>
          <s v="14500000-14749999"/>
          <s v="14750000-14999999"/>
          <s v="15000000-15249999"/>
          <s v="15250000-15499999"/>
          <s v="15500000-15749999"/>
          <s v="15750000-15999999"/>
          <s v="16000000-16249999"/>
          <s v="16250000-16499999"/>
          <s v="16500000-16749999"/>
          <s v="16750000-16999999"/>
          <s v="17000000-17249999"/>
          <s v="17250000-17499999"/>
          <s v="17500000-17749999"/>
          <s v="17750000-17999999"/>
          <s v="18000000-18249999"/>
          <s v="18250000-18499999"/>
          <s v="18500000-18749999"/>
          <s v="18750000-18999999"/>
          <s v="19000000-19249999"/>
          <s v="19250000-19499999"/>
          <s v="19500000-19749999"/>
          <s v="19750000-19999999"/>
          <s v="20000000-20249999"/>
          <s v="20250000-20499999"/>
          <s v="20500000-20749999"/>
          <s v="20750000-20999999"/>
          <s v="21000000-21249999"/>
          <s v="21250000-21499999"/>
          <s v="21500000-21749999"/>
          <s v="21750000-21999999"/>
          <s v="22000000-22249999"/>
          <s v="22250000-22499999"/>
          <s v="22500000-22749999"/>
          <s v="22750000-22999999"/>
          <s v="23000000-23249999"/>
          <s v="23250000-23499999"/>
          <s v="23500000-23749999"/>
          <s v="23750000-23999999"/>
          <s v="24000000-24249999"/>
          <s v="24250000-24499999"/>
          <s v="24500000-24749999"/>
          <s v="24750000-24999999"/>
          <s v="25000000-25249999"/>
          <s v="25250000-25499999"/>
          <s v="25500000-25749999"/>
          <s v="25750000-25999999"/>
          <s v="26000000-26249999"/>
          <s v="26250000-26499999"/>
          <s v="26500000-26749999"/>
          <s v="26750000-26999999"/>
          <s v="27000000-27249999"/>
          <s v="27250000-27499999"/>
          <s v="27500000-27749999"/>
          <s v="27750000-27999999"/>
          <s v="28000000-28249999"/>
          <s v="28250000-28499999"/>
          <s v="28500000-28749999"/>
          <s v="28750000-28999999"/>
          <s v="29000000-29249999"/>
          <s v="29250000-29499999"/>
          <s v="29500000-29749999"/>
          <s v="29750000-29999999"/>
          <s v="30000000-30249999"/>
          <s v="30250000-30499999"/>
          <s v="30500000-30749999"/>
          <s v="30750000-30999999"/>
          <s v="31000000-31249999"/>
          <s v="31250000-31499999"/>
          <s v="31500000-31749999"/>
          <s v="31750000-31999999"/>
          <s v="32000000-32249999"/>
          <s v="32250000-32499999"/>
          <s v="32500000-32749999"/>
          <s v="32750000-32999999"/>
          <s v="&gt;33000000"/>
        </groupItems>
      </fieldGroup>
    </cacheField>
    <cacheField name="System Reason(s) for Referral" numFmtId="0">
      <sharedItems containsBlank="1" containsMixedTypes="1" containsNumber="1" containsInteger="1" minValue="4" maxValue="280000"/>
    </cacheField>
    <cacheField name="Risk Details" numFmtId="0">
      <sharedItems containsBlank="1" longText="1"/>
    </cacheField>
    <cacheField name="Approve/Subj" numFmtId="0">
      <sharedItems count="5">
        <s v="Converted"/>
        <s v="Decline"/>
        <s v="Pend"/>
        <s v="Approve/Subj"/>
        <s v="Approve"/>
      </sharedItems>
    </cacheField>
    <cacheField name="Reason(s) for Decision" numFmtId="0">
      <sharedItems containsBlank="1" longText="1"/>
    </cacheField>
    <cacheField name="MARKEL CONFIDENTIAL     Follow up &amp; FYI Notes" numFmtId="0">
      <sharedItems containsBlank="1" containsMixedTypes="1" containsNumber="1" minValue="473035.2" maxValue="473035.2" longText="1"/>
    </cacheField>
    <cacheField name="Time Study - Minutes Spent" numFmtId="0">
      <sharedItems containsBlank="1" containsMixedTypes="1" containsNumber="1" containsInteger="1" minValue="5" maxValue="95"/>
    </cacheField>
    <cacheField name="Underwriter" numFmtId="0">
      <sharedItems containsBlank="1"/>
    </cacheField>
    <cacheField name="Flagged for Audit" numFmtId="0">
      <sharedItems containsBlank="1"/>
    </cacheField>
    <cacheField name="Audit Notes" numFmtId="0">
      <sharedItems containsBlank="1"/>
    </cacheField>
    <cacheField name="target" numFmtId="0">
      <sharedItems containsSemiMixedTypes="0" containsString="0" containsNumber="1" containsInteger="1" minValue="0" maxValue="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012">
  <r>
    <x v="0"/>
    <x v="0"/>
    <s v="MI"/>
    <s v="Jill"/>
    <s v="Email"/>
    <s v="Dishman"/>
    <s v="Gary"/>
    <s v="HO3 Primary"/>
    <s v="El Dorado Hilla"/>
    <s v="CA"/>
    <m/>
    <n v="9"/>
    <n v="1113000"/>
    <n v="2003400"/>
    <x v="0"/>
    <s v="PC9, frame, primary, built in 1976, no losses, located in brush in CA"/>
    <x v="0"/>
    <s v="PCQ, pics, OK. Approved subj to roof exclusion as no updates"/>
    <m/>
    <m/>
    <s v="Burdine"/>
  </r>
  <r>
    <x v="0"/>
    <x v="1"/>
    <s v="VA"/>
    <s v="Charity"/>
    <s v="Email"/>
    <s v="Coleman"/>
    <s v="Gary"/>
    <s v="HO3 Primary"/>
    <s v="Lorton"/>
    <s v="VA"/>
    <m/>
    <n v="5"/>
    <n v="953000"/>
    <n v="1620100"/>
    <x v="1"/>
    <s v="3 claims-08/2017-water from high rains, 05/2017-theft (insured had check mailing out…), 02/2016-hail. "/>
    <x v="1"/>
    <s v="Requested more specific info on recent claims, and also current VMGA premium//Approval as long as issue with basement which allowed for water intrusion is fixed"/>
    <m/>
    <m/>
    <s v="Burdine"/>
  </r>
  <r>
    <x v="0"/>
    <x v="2"/>
    <s v="CA"/>
    <s v="Alison"/>
    <s v="Email"/>
    <s v="TBD"/>
    <m/>
    <s v="DP3 Rental"/>
    <s v="Santa Monica"/>
    <s v="CA"/>
    <m/>
    <m/>
    <n v="505000"/>
    <m/>
    <x v="2"/>
    <s v="Insured renting home to a doctor who will live and work out of the home doing consultations for his patients."/>
    <x v="2"/>
    <s v="This is a better fit commercially"/>
    <m/>
    <m/>
    <s v="Patterson"/>
  </r>
  <r>
    <x v="1"/>
    <x v="0"/>
    <s v="MI"/>
    <s v="Leslie"/>
    <s v="Email"/>
    <s v="Volk"/>
    <s v="Paul &amp; Evelyn"/>
    <s v="HO3 Primary"/>
    <s v="Lake Arrowhead"/>
    <s v="CA"/>
    <m/>
    <m/>
    <n v="480000"/>
    <n v="864000"/>
    <x v="3"/>
    <s v="Applicant occupation: Producer-no recent films"/>
    <x v="1"/>
    <s v="Reviewed google. Ok with exposure"/>
    <m/>
    <m/>
    <s v="Burdine"/>
  </r>
  <r>
    <x v="1"/>
    <x v="3"/>
    <s v="MA"/>
    <s v="Brendan"/>
    <s v="Email"/>
    <s v="Burke"/>
    <s v="Robert"/>
    <s v="DP3 Rental"/>
    <s v="Naugatuck"/>
    <s v="CT"/>
    <m/>
    <n v="4"/>
    <n v="600000"/>
    <n v="660000"/>
    <x v="4"/>
    <s v="1895 risk, fully updated but not gutted. Online pics look okay - average. Agent asking for RC. "/>
    <x v="0"/>
    <s v="Don't feel that caliber of risk qualifies for RC."/>
    <m/>
    <m/>
    <s v="Patterson"/>
  </r>
  <r>
    <x v="2"/>
    <x v="2"/>
    <s v="CA"/>
    <s v="Alex"/>
    <s v="Call/Email"/>
    <s v="Matson"/>
    <s v="Dave"/>
    <s v="HO3 Primary"/>
    <m/>
    <s v="CA"/>
    <m/>
    <m/>
    <m/>
    <m/>
    <x v="5"/>
    <s v="Workshop 200' from home used to service machinery from insured's business."/>
    <x v="0"/>
    <s v="Exclude the workshop and add TBE. Insured has the structure insured under his business policy."/>
    <s v=" "/>
    <m/>
    <s v="Patterson"/>
  </r>
  <r>
    <x v="3"/>
    <x v="4"/>
    <s v="MA"/>
    <s v="Austin"/>
    <s v="Email"/>
    <s v="Conigliaro"/>
    <s v="Douglas &amp; Carla"/>
    <s v="HO3 Primary"/>
    <s v="Dedham"/>
    <s v="MA"/>
    <m/>
    <m/>
    <n v="2925000"/>
    <n v="4005000"/>
    <x v="6"/>
    <s v="Insured is owner of a pharmacy that had a major suit issue. Insured found moving their personal funds and was fined (no jail). Chubb NRN'd"/>
    <x v="0"/>
    <s v="Reviewed w/ Jeff.  1/4/18 approval email in Quaker file from Jeff &quot;Financial fraud charges with minimal fines from what I read - if the insureds aren't in dire financial trouble because of the charges, then I wouldn't be completely opposed to it.&quot; Approved subject to 15% surcharge on total prem."/>
    <s v="I ran insurance score on as many applicants as possible.  713 and 710 scores - okay."/>
    <m/>
    <s v="Patterson"/>
  </r>
  <r>
    <x v="3"/>
    <x v="4"/>
    <s v="MA"/>
    <s v="Austin"/>
    <s v="Email"/>
    <s v="Conigliaro"/>
    <s v="Douglas &amp; Carla"/>
    <s v="HO3 Seas/Sec"/>
    <s v="Boston"/>
    <s v="MA"/>
    <m/>
    <m/>
    <n v="895000"/>
    <n v="1503500"/>
    <x v="6"/>
    <s v="Insured is owner of a pharmacy that had a major suit issue. Insured found moving their personal funds and was fined (no jail). Chubb NRN'd"/>
    <x v="0"/>
    <s v="Reviewed w/ Jeff.  1/4/18 approval email in Quaker file from Jeff &quot;Financial fraud charges with minimal fines from what I read - if the insureds aren't in dire financial trouble because of the charges, then I wouldn't be completely opposed to it.&quot; Approved subject to 15% surcharge on total prem."/>
    <s v="I ran insurance score on as many applicants as possible.  713 and 710 scores - okay."/>
    <m/>
    <s v="Patterson"/>
  </r>
  <r>
    <x v="3"/>
    <x v="4"/>
    <s v="MA"/>
    <s v="Tim"/>
    <s v="Email"/>
    <s v="Conigliaro"/>
    <s v="Brother"/>
    <s v="HO3 Primary"/>
    <s v="Southborough"/>
    <s v="MA"/>
    <m/>
    <m/>
    <m/>
    <n v="6000000"/>
    <x v="6"/>
    <s v="Insured is owner of a pharmacy that had a major suit issue. Insured found moving their personal funds and was fined (no jail). Chubb NRN'd"/>
    <x v="2"/>
    <s v="Over our TIV max"/>
    <m/>
    <m/>
    <s v="Patterson"/>
  </r>
  <r>
    <x v="3"/>
    <x v="2"/>
    <s v="CA"/>
    <s v="Alison"/>
    <s v="Email"/>
    <s v="Magnacca"/>
    <s v="Joseph"/>
    <s v="HO3 Primary"/>
    <s v="Malibu"/>
    <s v="CA"/>
    <m/>
    <n v="4"/>
    <n v="1526000"/>
    <n v="2151000"/>
    <x v="0"/>
    <s v="Coastal home, https://www.redfin.com/CA/Malibu/19214-Pacific-Coast-Hwy-90265/home/6852225"/>
    <x v="2"/>
    <s v="Right next to very high brush zone"/>
    <m/>
    <m/>
    <s v="Burdine"/>
  </r>
  <r>
    <x v="3"/>
    <x v="0"/>
    <s v="MI"/>
    <s v="Jill"/>
    <s v="Email"/>
    <s v="Nazari"/>
    <s v="Joseph"/>
    <s v="HO3 Primary"/>
    <s v="Glendale"/>
    <s v="CA"/>
    <m/>
    <n v="1"/>
    <n v="2000000"/>
    <n v="3700000"/>
    <x v="0"/>
    <s v="PC1, built in 1992, frame, primary, no losses, not in brush, located in CA"/>
    <x v="1"/>
    <s v="ISO, RM, pics OK"/>
    <m/>
    <m/>
    <s v="Burdine"/>
  </r>
  <r>
    <x v="3"/>
    <x v="0"/>
    <s v="MI"/>
    <s v="Jill"/>
    <s v="Email"/>
    <s v="Scapers Development LLC"/>
    <s v="Scapers Development LLC"/>
    <s v="HO3 Primary"/>
    <m/>
    <s v="MO"/>
    <m/>
    <n v="4"/>
    <n v="495000"/>
    <n v="565000"/>
    <x v="5"/>
    <s v="Company auto parked on premise as well as some outbuildings used to store business property. No business foot traffic on  property. Owner of LLC uses as primary residence. TBE quoted; Frame, primary, PC4, built in 1980, no losses, located in MO"/>
    <x v="0"/>
    <s v="OK w/ separation of business, no other concerns at address; OK with TBE"/>
    <m/>
    <m/>
    <s v="Burdine"/>
  </r>
  <r>
    <x v="3"/>
    <x v="0"/>
    <s v="MI"/>
    <s v="Delta"/>
    <s v="Email"/>
    <s v="Lea"/>
    <s v="Claire"/>
    <s v="HO3 Primary"/>
    <s v="Ava"/>
    <s v="MO"/>
    <m/>
    <n v="10"/>
    <n v="360000"/>
    <n v="755000"/>
    <x v="5"/>
    <s v="Primary home located in MO. Built in 2000, Frame construction, PC10, response time is 20 minutes, no losses. This has a bed and breakfast and the insured lives in the basement.  There is also 2 portable buildings and one that is rented out."/>
    <x v="2"/>
    <s v="Reviewed online, and this isn't just B&amp;B. Also rental facility for events. Due to response time and additional exposure--declined. http://www.dockleyranch.com/"/>
    <m/>
    <m/>
    <s v="Burdine"/>
  </r>
  <r>
    <x v="3"/>
    <x v="2"/>
    <s v="CA"/>
    <s v="Alison"/>
    <s v="Email"/>
    <s v="Ersoff"/>
    <s v="Sean"/>
    <s v="HO3 Primary"/>
    <s v="Los Angeles"/>
    <s v="CA"/>
    <m/>
    <n v="4"/>
    <n v="1800000"/>
    <n v="3240000"/>
    <x v="0"/>
    <s v="CA, no brush, central alarms in home"/>
    <x v="1"/>
    <s v="RM, ISO, pics OK"/>
    <m/>
    <m/>
    <s v="Burdine"/>
  </r>
  <r>
    <x v="3"/>
    <x v="0"/>
    <s v="MI"/>
    <s v="Jill"/>
    <s v="Email"/>
    <s v="Brichler"/>
    <s v="Ron"/>
    <s v="HO3 Seas/Sec"/>
    <s v="Angola"/>
    <s v="IN"/>
    <m/>
    <n v="9"/>
    <n v="1600000"/>
    <n v="2960000"/>
    <x v="0"/>
    <s v="PC9, frame, built in 2002, secondary, no losses, located in IN"/>
    <x v="1"/>
    <s v="ISO, pics OK"/>
    <m/>
    <m/>
    <s v="Burdine"/>
  </r>
  <r>
    <x v="4"/>
    <x v="0"/>
    <s v="MI"/>
    <s v="David"/>
    <s v="Email"/>
    <s v="Tallman"/>
    <s v="Joshua"/>
    <s v="HO3 Primary"/>
    <s v="San Bernardino"/>
    <s v="CA"/>
    <m/>
    <n v="5"/>
    <n v="530000"/>
    <n v="954000"/>
    <x v="7"/>
    <s v="Having trouble getting RM. Address: 26115 Augusta Drive, Lake Arrowhead, San Bernardino, CA 92352 to pull in RM. Should use Brush? 1994 build, no losses, "/>
    <x v="0"/>
    <s v="Were able to validate PC, but not RM; I couldn't get FireLine to hit either. Advised can release, but must surcharge for brush"/>
    <m/>
    <m/>
    <s v="Burdine"/>
  </r>
  <r>
    <x v="4"/>
    <x v="5"/>
    <s v="NJ"/>
    <s v="Lisa"/>
    <s v="Email"/>
    <s v="Attias"/>
    <s v="Charlies"/>
    <s v="DP3 Rental"/>
    <s v="NY"/>
    <s v="NY"/>
    <m/>
    <n v="3"/>
    <n v="4000000"/>
    <n v="4400000"/>
    <x v="0"/>
    <s v="Townhome, 2012 build, completely updated"/>
    <x v="1"/>
    <s v="Reminded about max TIV"/>
    <m/>
    <m/>
    <s v="Burdine"/>
  </r>
  <r>
    <x v="5"/>
    <x v="2"/>
    <s v="CA"/>
    <s v="Alex"/>
    <s v="Email"/>
    <s v="400 N Bristol LLC"/>
    <m/>
    <s v="DP3 Vacant"/>
    <s v="Los Angeles"/>
    <s v="CA"/>
    <m/>
    <n v="2"/>
    <n v="5000000"/>
    <n v="5000000"/>
    <x v="0"/>
    <s v="New construction just completed which will be put up for sale. $5M seems to be the valid RC."/>
    <x v="0"/>
    <s v="Advised agent we can approve $5M exactly, but if the inspection comes back the risk will have to be moved. Also, if it doesn't sell and stays on the market for some time, inflation would have to be applied which would also force it to be moved."/>
    <m/>
    <m/>
    <s v="Patterson"/>
  </r>
  <r>
    <x v="5"/>
    <x v="6"/>
    <s v="CO"/>
    <s v="Allison"/>
    <s v="Email"/>
    <s v="Remmert"/>
    <s v="Stephen &amp; Sarah"/>
    <s v="HO3 Primary"/>
    <s v="Boulder"/>
    <s v="CO"/>
    <m/>
    <n v="5"/>
    <n v="2150000"/>
    <n v="4290000"/>
    <x v="0"/>
    <s v="2013 asphalt/rubber roof; 1995 build, desired $5K ded ; has a fire suppression system.  They have 2 dogs, no bite history, and no dangerous breeds.  "/>
    <x v="0"/>
    <s v="No activating CSFB alarm, so advised need but need to add a $10,000 theft deductible along with the surcharge (agt suggest 5%) and $10,000 AOP deductible."/>
    <m/>
    <m/>
    <s v="Burdine"/>
  </r>
  <r>
    <x v="5"/>
    <x v="1"/>
    <s v="VA"/>
    <s v="Charity"/>
    <s v="Email"/>
    <s v="Matz"/>
    <s v="Betty"/>
    <s v="HO3 Primary"/>
    <s v="Miami"/>
    <s v="FL"/>
    <m/>
    <n v="5"/>
    <n v="400000"/>
    <n v="680000"/>
    <x v="0"/>
    <s v="1 claim-09/2016 roof leak repaired; W/H excluded; 1949 build with 2006 updates"/>
    <x v="0"/>
    <s v="subject to 15% ded as suggested by agt"/>
    <m/>
    <m/>
    <s v="Burdine"/>
  </r>
  <r>
    <x v="5"/>
    <x v="6"/>
    <s v="CO"/>
    <s v="Allison"/>
    <s v="Email"/>
    <s v="Hastman"/>
    <s v="James &amp; Kelly"/>
    <s v="DP3 Rental"/>
    <s v="Denver"/>
    <s v="CO"/>
    <m/>
    <n v="2"/>
    <n v="175000"/>
    <n v="180000"/>
    <x v="6"/>
    <s v="This is a detached garage that has a suite above it that they rent out short term with more than 2 nights minimum.  The insured’s primary home is on the same property, and insured with Travelers, but they will not insure the outbuilding due to short term rental.  We quoted this back in August, but the construction wasn’t finished so they didn’t take the policy.  Construction is now complete, but there has been a lapse since construction started on the outbuilding."/>
    <x v="0"/>
    <s v="other building exclusion listing home since on same address"/>
    <m/>
    <m/>
    <s v="Burdine"/>
  </r>
  <r>
    <x v="6"/>
    <x v="0"/>
    <s v="MI"/>
    <s v="Matthew"/>
    <s v="Email"/>
    <s v="Williams"/>
    <s v="Richard"/>
    <s v="HO3 Primary"/>
    <s v="Kelseyville"/>
    <s v="CA"/>
    <m/>
    <n v="10"/>
    <n v="999574"/>
    <n v="2449531"/>
    <x v="6"/>
    <s v="2000 construction, PC 10 w/ no alarm and accessible all year-12 minute response time, no losses, other structures: game room, detached garage, granny unit, home office. "/>
    <x v="1"/>
    <s v="photos, response OK"/>
    <m/>
    <m/>
    <s v="Burdine"/>
  </r>
  <r>
    <x v="6"/>
    <x v="6"/>
    <s v="CO"/>
    <s v="Ashley"/>
    <s v="Email"/>
    <s v="Bonnell"/>
    <s v="Douglas &amp; Terri"/>
    <s v="HO3 Primary w/Rental"/>
    <m/>
    <m/>
    <m/>
    <n v="3"/>
    <m/>
    <n v="848000"/>
    <x v="2"/>
    <s v="MPLCO00001309-Insured moving to Australia for 2 years, renting out home for long term basis. Wishes to add MPLH0179 for remainder of this term, then rewrite next term"/>
    <x v="1"/>
    <s v="Discussed w/ MP, since home was owner occupied half of the term, agree to allow for endorsement for remainder of term"/>
    <m/>
    <m/>
    <s v="Burdine"/>
  </r>
  <r>
    <x v="6"/>
    <x v="0"/>
    <s v="MI"/>
    <s v="Jill"/>
    <s v="Email"/>
    <s v="SL Ranch LLC"/>
    <s v="SL Ranch LLC"/>
    <s v="HO3 Seas/Sec"/>
    <s v="George West"/>
    <s v="TX"/>
    <m/>
    <n v="10"/>
    <n v="138567"/>
    <n v="443994"/>
    <x v="8"/>
    <s v="weekend ranch, 700 acres, no rental, 30 minutes response, 2007, no losses, secondary"/>
    <x v="0"/>
    <s v="Details OK, no rental use of acreage, response time to be surcharged 10%"/>
    <s v="Sent Kirsten a copy of the pricing we provided to Burns. I'm not sure I sent it to her.  MP"/>
    <m/>
    <s v="Burdine"/>
  </r>
  <r>
    <x v="6"/>
    <x v="0"/>
    <s v="MI"/>
    <s v="Jill"/>
    <s v="Email"/>
    <s v="Whelan"/>
    <s v="Patrick &amp; Priscilla"/>
    <s v="HO3 Primary"/>
    <s v="Ocean View"/>
    <s v="NJ"/>
    <m/>
    <n v="4"/>
    <n v="273360"/>
    <n v="539960"/>
    <x v="5"/>
    <s v="Agt quoted w/total business exclusion-propeller business on premise. 25-30 customers a year-http://www.easternprop.com/index.html., not in home at all, outbuilding only.; 1974 build, no losses"/>
    <x v="0"/>
    <s v="TBE required"/>
    <m/>
    <m/>
    <s v="Burdine"/>
  </r>
  <r>
    <x v="7"/>
    <x v="0"/>
    <s v="MI"/>
    <s v="Leslie"/>
    <s v="Email"/>
    <s v="Thompson"/>
    <s v="Louisa"/>
    <s v="DP3 Rental"/>
    <s v="Foley"/>
    <s v="MN"/>
    <m/>
    <m/>
    <n v="100000"/>
    <n v="185000"/>
    <x v="5"/>
    <s v="Insured owns entire building. Lower level will be their art and furniture business. Upper level will be their home. Avg condition per online photos. 1939 building w/flat roof. Water stain on ceiling noted in online photos. Total business exclusion quoted."/>
    <x v="0"/>
    <s v="Check ACV-bldg is 3720 SF. Add $5K water dmg ded due to flat roof and possible stain. Also existing damage excl. Make sure coml covers personal loss due to TBE exclusions. Confirm $100K oth str noted in email. Exclude liab - unknown amt of foot traffic. Sugg quote as commercial w/ insd renting apt and writing an HO4."/>
    <m/>
    <m/>
    <s v="Patterson"/>
  </r>
  <r>
    <x v="7"/>
    <x v="3"/>
    <s v="MA"/>
    <s v="Lindsey"/>
    <s v="Email"/>
    <s v="River Drive Realty Trust"/>
    <m/>
    <s v="HO3 Seas/Sec"/>
    <s v="Falmouth"/>
    <s v="MA"/>
    <m/>
    <n v="5"/>
    <n v="1204000"/>
    <n v="1756000"/>
    <x v="1"/>
    <s v="2005 home. Listed as seasonal. 1.5 hours from insured's primary, on the water. (Insured is realtor.) Online sources show he is the owner since 2005. Seems legit as seasonal. Open loss is broken fridge line damage to floors. Still under repair since 3/17. Expect completed 2/24/18. Client doesn't like their carrier's claim handling. PA involved. Another loss 8/27/17 lost diamond ring on ferry $8200. "/>
    <x v="0"/>
    <s v="No SPP. Asked for detail on how much left to repair. Concern with mid-repair water losses. Loss completely repaired. Approved subj to mold exclusion."/>
    <m/>
    <s v=" "/>
    <s v="Patterson"/>
  </r>
  <r>
    <x v="7"/>
    <x v="2"/>
    <s v="CA"/>
    <s v="Gina"/>
    <s v="Email"/>
    <s v="Napoles"/>
    <s v="Stephanie"/>
    <s v="HO3 Primary"/>
    <s v="Fallbrook"/>
    <s v="CA"/>
    <m/>
    <n v="3"/>
    <n v="912816"/>
    <n v="1312816"/>
    <x v="1"/>
    <s v="2007 home currently with Lex. Agt asking if we would be interested in quoting with $25K water dmg ded.  Loss runs show 12 water losses, close in date in 12/2016.  App lists 2/21/15 water/mold. 9/9/16 water/mold. 1/20/17 water damage from rain storm."/>
    <x v="2"/>
    <s v="Frequency of loss and mold issues"/>
    <m/>
    <m/>
    <s v="Patterson"/>
  </r>
  <r>
    <x v="8"/>
    <x v="7"/>
    <s v="MI"/>
    <s v="Cheryl"/>
    <s v="Email"/>
    <s v="Hansen"/>
    <s v="Karen"/>
    <s v="HO3 Seas/Sec w/Rental"/>
    <s v="Sturgis"/>
    <s v="MI"/>
    <m/>
    <s v="8Y"/>
    <n v="592577"/>
    <n v="1200000"/>
    <x v="1"/>
    <s v="1997 home. Occasional rental handled by a realtor who wanted to be listed on the policy as AI.  1/25/14 furnace shut down, pipes froze and broke. $295,000 damage."/>
    <x v="0"/>
    <s v="Ensure all damage repaired and furnace replaced or repaired/in working order. 4 years ago-didn't feel additional mitigation would be needed. Realtor can't be listed - no insurable interest."/>
    <m/>
    <m/>
    <s v="Patterson"/>
  </r>
  <r>
    <x v="9"/>
    <x v="5"/>
    <s v="PA"/>
    <s v="Tamika"/>
    <s v="Email"/>
    <s v="1623 Fairhill Road"/>
    <m/>
    <s v="HO3 Builders Risk"/>
    <s v="Perkasie "/>
    <s v="PA"/>
    <m/>
    <m/>
    <n v="625000"/>
    <n v="1000000"/>
    <x v="4"/>
    <s v="1700 farmhouse renovated in 1900, updated in 1950. Online photos appear average. Sunroom being removed. Will be occupied during reno. Per agt, walls, plumbing, and wiring replaced. Oth structures have issues but will be renovated. Garage structure has 1 light powered by knob/tube."/>
    <x v="3"/>
    <s v="Average condition. Applied $10K water damage ded. Okay to insure garage if it is ONLY sitting there til reno. If used, don't want to insure due to knob/tube.  Apply $150-$200 s/c. Mold exclusion. See file for list."/>
    <m/>
    <m/>
    <s v="Patterson"/>
  </r>
  <r>
    <x v="9"/>
    <x v="0"/>
    <s v="MI"/>
    <s v="David"/>
    <s v="Email"/>
    <s v="Nitsch"/>
    <s v="Craig"/>
    <s v="HO3 Seas/Sec"/>
    <s v="Halletsville"/>
    <s v="TX"/>
    <m/>
    <n v="10"/>
    <n v="139000"/>
    <n v="222400"/>
    <x v="8"/>
    <s v="PC 10, 25-30 min response time. 15 heads of cattle, 75 acres"/>
    <x v="0"/>
    <s v="due to the extended response time please add a surcharge of 10%. Additionally, due to the cattle exposure, the quote would need to be offered x-liability."/>
    <m/>
    <m/>
    <s v="Burdine"/>
  </r>
  <r>
    <x v="10"/>
    <x v="0"/>
    <s v="MI"/>
    <s v="Alexa"/>
    <s v="Email"/>
    <s v="Nitsch"/>
    <s v="Charles"/>
    <s v="HO3 Primary"/>
    <s v="Graford"/>
    <s v="TX"/>
    <m/>
    <n v="10"/>
    <n v="275000"/>
    <n v="522500"/>
    <x v="6"/>
    <s v="Insured has never had prior coverage - self insured. Nervous since hearing about all the fires. 2009 dwelling, no alarms, FD 14 mi away. 17-20 min response time. Full log custom home. $3,664 prem. Insured is retired."/>
    <x v="2"/>
    <s v="Due to no prior insurance.  Additional concerns from our review of the risk."/>
    <s v="Ran insurance scores - mid 500's with collections. Home is also underinsured. Should be $150-$200/SF. Coming in at $130. No interest in this account due to the scores."/>
    <m/>
    <s v="Patterson"/>
  </r>
  <r>
    <x v="10"/>
    <x v="0"/>
    <s v="MI"/>
    <s v="Jill"/>
    <s v="Email"/>
    <s v="Wilson"/>
    <s v="Robert Allen &amp; Valerie"/>
    <s v="HO3 Primary"/>
    <s v="Pebble Beach"/>
    <s v="CA"/>
    <m/>
    <n v="2"/>
    <n v="5000000"/>
    <n v="3100000"/>
    <x v="0"/>
    <s v="PC2, frame, secondary, built in 1982, located in CA, 2 losses in 2017-1 water-intrusion at windows, 1 water-pipe burst"/>
    <x v="0"/>
    <s v="Water damage ded of at least $10K (all windows in house have been fixed); reminded of max TIV so no future increases avail, include inflation protection"/>
    <m/>
    <m/>
    <s v="Burdine"/>
  </r>
  <r>
    <x v="10"/>
    <x v="0"/>
    <s v="MI"/>
    <s v="Leslie"/>
    <s v="Email"/>
    <s v="Lawrence"/>
    <s v="Ferolie"/>
    <s v="DP3 Vacant"/>
    <s v="Cresskill"/>
    <s v="NJ"/>
    <m/>
    <n v="3"/>
    <n v="3333900"/>
    <n v="3667800"/>
    <x v="0"/>
    <s v="vacant dwelling which is currently listed for sale.  Previously with Lexington.  I have attached the most recent inspection which reflects the dwelling is over insured.  PC3. AOP $5000, 6 month term, 50% MEP, $7,261, liab excluded"/>
    <x v="1"/>
    <s v="inspection OK, reason for vacancy OK"/>
    <m/>
    <m/>
    <s v="Burdine"/>
  </r>
  <r>
    <x v="10"/>
    <x v="2"/>
    <s v="CA"/>
    <s v="Bobbi"/>
    <s v="Email"/>
    <s v="Yehoda"/>
    <s v="Yaron"/>
    <s v="DP3 Vacant"/>
    <s v="Los Angeles"/>
    <s v="CA"/>
    <m/>
    <n v="2"/>
    <n v="1000000"/>
    <n v="1150000"/>
    <x v="2"/>
    <s v="100,000 in contents for a vacant home without alarms. The home was rebuilt in 2017 and is furnished and up for sale now."/>
    <x v="0"/>
    <s v="required $10K theft ded"/>
    <m/>
    <m/>
    <s v="Burdine"/>
  </r>
  <r>
    <x v="11"/>
    <x v="2"/>
    <s v="CA"/>
    <s v="Alex"/>
    <s v="Email"/>
    <s v="Price"/>
    <s v="Derek"/>
    <s v="HO3 Builders Risk"/>
    <m/>
    <m/>
    <m/>
    <m/>
    <m/>
    <m/>
    <x v="2"/>
    <s v="This is a builders risk that will be the insured's primary home when 7 month renovation is completed. Annual policy written. Insured leaving $50K contents there. Some in locked rooms (they have only key) and some in a shipping container in their driveway. "/>
    <x v="0"/>
    <s v="If shipping container is locked (only key is w/insured), cant easily be towed away, and contents in it make sense (i.e. furniture, not jewelry and fine arts - which might be a moral hazard)."/>
    <m/>
    <m/>
    <s v="Patterson"/>
  </r>
  <r>
    <x v="11"/>
    <x v="3"/>
    <s v="NJ"/>
    <s v="Brendan"/>
    <s v="Email"/>
    <s v="2015 Atlantic Avenue LLC"/>
    <m/>
    <s v="DP3 Rental"/>
    <s v="Long Beach Twp"/>
    <s v="NJ"/>
    <m/>
    <n v="2"/>
    <n v="474000"/>
    <n v="100000"/>
    <x v="7"/>
    <s v="1950 home updated. Not first row. Agent says he wanted okay for wind, since wind guidelines changed. "/>
    <x v="1"/>
    <s v="Provided current guideline info and asked what he heard changed. Bethany and I checked - found no changes."/>
    <m/>
    <m/>
    <s v="Patterson"/>
  </r>
  <r>
    <x v="11"/>
    <x v="8"/>
    <s v="NC"/>
    <s v="Alia"/>
    <s v="Email"/>
    <s v="Rossiter"/>
    <s v="Tim"/>
    <s v="DP3 Vacant"/>
    <s v="Bluffton"/>
    <s v="SC"/>
    <m/>
    <m/>
    <n v="646200"/>
    <n v="716200"/>
    <x v="2"/>
    <s v="2004 dwelling that will be vacant for at least a month, then tenant occupied. Rates of both provided. How can they handle. CA/RW? "/>
    <x v="0"/>
    <s v="1. Rates are not right. Should be appx 65% diff. cc'd Tammi and Bethany.  2. Can endorse DP3 from vacant to tenant.  3. Can't have water bu on vacant.//worked w/Bethany and Alia. New rater coming. Alia will quote as vacant and issue that way. Endorse when tenant occupied."/>
    <m/>
    <m/>
    <s v="Patterson"/>
  </r>
  <r>
    <x v="11"/>
    <x v="2"/>
    <s v="CA"/>
    <s v="Bobbi"/>
    <s v="Email"/>
    <s v="Finlayson"/>
    <s v="Keith &amp; Dawn"/>
    <s v="DP3 Rental"/>
    <s v="Idyllwild"/>
    <s v="CA"/>
    <m/>
    <n v="4"/>
    <n v="307000"/>
    <n v="397000"/>
    <x v="9"/>
    <s v="1964 dwelling written for one of Hulls &quot;great agents&quot;. They quoted on 12/7 prior to the rate increase.  They want to bind eff 1/18/18.  They usually give 30 days.  It is in a medium brush zone, but borders on a lot of extremely low brush near at least 2 sides of the risk."/>
    <x v="0"/>
    <s v="Lower TIV, medium brush surrounded by low brush. Outside 30, but still within the max 45 days that we require new rates to apply.  Return to regular rates next year."/>
    <m/>
    <m/>
    <s v="Patterson"/>
  </r>
  <r>
    <x v="11"/>
    <x v="0"/>
    <s v="MI"/>
    <s v="Jeff"/>
    <s v="Email"/>
    <s v="Talburt"/>
    <s v="Tabitha"/>
    <s v="HO3 Primary"/>
    <s v="Garfield"/>
    <s v="AR"/>
    <m/>
    <n v="5"/>
    <n v="145000"/>
    <n v="311000"/>
    <x v="5"/>
    <s v="Attached is a primary in AR, no losses. two 5 acre lots, but they own an auto repair shop on the same 5 acres as the home. Looking for RC, home built in 1984, full updates to heating and roofing in 2005, partial to wiring and plumbing in that same year. Attached is an app, the GL for the business, and an ISO"/>
    <x v="0"/>
    <s v="Subject to TBE and other building excl; reviewed satellite images and there is clear separation from primary home and business"/>
    <m/>
    <m/>
    <s v="Burdine"/>
  </r>
  <r>
    <x v="11"/>
    <x v="0"/>
    <s v="MI"/>
    <s v="Jill"/>
    <s v="Email"/>
    <s v="Evans"/>
    <s v="Keith"/>
    <s v="HO3 Primary"/>
    <s v="Henderson"/>
    <s v="NV"/>
    <m/>
    <n v="3"/>
    <n v="895423"/>
    <n v="1546623"/>
    <x v="0"/>
    <s v="Primary, c/s alarm, no losses, sanctuary on prop-http://lionhabitatranch.org/  Per app 42 lions, Emu, ostrich, 4 presa canarios and cane corsos. Clear separation from home per inspection (large fences); quoted x-liab"/>
    <x v="2"/>
    <s v="Exposure too high w/ so many exposures, even w/ x-liab. Also, foot traffic, animals, sanctuary essentially &quot;closing off&quot; two sides of the home in the event of an emergency, etc cause concern for prop coverages as well"/>
    <s v="Discussed with LT."/>
    <m/>
    <s v="Burdine"/>
  </r>
  <r>
    <x v="12"/>
    <x v="0"/>
    <s v="MI"/>
    <s v="Leslie"/>
    <s v="Email"/>
    <s v="De La Torre"/>
    <s v="James"/>
    <s v="HO3 Primary"/>
    <s v="Altadena"/>
    <s v="CA"/>
    <m/>
    <n v="3"/>
    <n v="1800000"/>
    <n v="3600000"/>
    <x v="0"/>
    <s v="Primary, built in 2002. CS burglar alarm (will obtain cert.) No losses. PC 3"/>
    <x v="1"/>
    <s v="photos, rm, OK"/>
    <m/>
    <m/>
    <s v="Burdine"/>
  </r>
  <r>
    <x v="12"/>
    <x v="0"/>
    <s v="MI"/>
    <s v="Jill"/>
    <s v="Email"/>
    <s v="Hudson"/>
    <s v="Lloyd"/>
    <s v="HO3 Seas/Sec"/>
    <s v="Hominy"/>
    <s v="OK"/>
    <m/>
    <n v="10"/>
    <n v="360000"/>
    <n v="882000"/>
    <x v="8"/>
    <s v="PC 10, 15 minutes response time, &gt;25 acres, no farming on property, hunting only, liability excluded; 2016 build"/>
    <x v="1"/>
    <s v="Approved w/ Liab excluded. PCQ acceptable"/>
    <m/>
    <m/>
    <s v="Burdine"/>
  </r>
  <r>
    <x v="12"/>
    <x v="0"/>
    <s v="MI"/>
    <s v="Delta"/>
    <s v="Email"/>
    <s v="Smith"/>
    <s v="Rick"/>
    <s v="HO3 Primary w/Rental"/>
    <m/>
    <s v="MO"/>
    <m/>
    <n v="2"/>
    <n v="462239"/>
    <n v="764639"/>
    <x v="6"/>
    <s v="2 family home, 1926 build-fully updated, no losses, lapse in coverage--converted from 4 family to 2, he lives in one portion, ex-wife and child in other.  Other portion of the building used for storage of business tools, GL in place for business, no employees"/>
    <x v="4"/>
    <s v="Requested info on lapse"/>
    <m/>
    <m/>
    <s v="Burdine"/>
  </r>
  <r>
    <x v="12"/>
    <x v="2"/>
    <s v="CA"/>
    <s v="Alison"/>
    <s v="Email"/>
    <s v="Scott"/>
    <s v="James Lennox"/>
    <s v="HO3 Primary"/>
    <s v="Malibu"/>
    <s v="CA"/>
    <m/>
    <m/>
    <n v="1523500"/>
    <n v="2688500"/>
    <x v="0"/>
    <s v="Malibu home-low brush"/>
    <x v="1"/>
    <s v="Discussed with MP. Agreed this property is worthy of TIV cap exception"/>
    <m/>
    <m/>
    <s v="Burdine"/>
  </r>
  <r>
    <x v="12"/>
    <x v="0"/>
    <s v="MI"/>
    <s v="Jill"/>
    <s v="Email"/>
    <s v="Demeuse"/>
    <s v="Steve"/>
    <s v="HO3 Primary"/>
    <s v="Stillwater"/>
    <s v="MN"/>
    <m/>
    <n v="10"/>
    <n v="815000"/>
    <n v="1630000"/>
    <x v="8"/>
    <s v="Primary, 1999 build, 2 losses (CAT and water), "/>
    <x v="0"/>
    <s v="Approved subj to repairs from 06/17 CAT loss. Response time acceptable (7 minutes)"/>
    <m/>
    <m/>
    <s v="Burdine"/>
  </r>
  <r>
    <x v="13"/>
    <x v="0"/>
    <s v="MI"/>
    <s v="Jill"/>
    <s v="Email"/>
    <s v="Stein"/>
    <s v="Israel &amp; Baila"/>
    <s v="HO3 Primary"/>
    <s v="Lakewood"/>
    <s v="NJ"/>
    <m/>
    <n v="5"/>
    <n v="585000"/>
    <n v="872000"/>
    <x v="5"/>
    <s v="THERAPY BUSINESS. 20-30 PATIENTS PER WEEK. INSURED HAS OWN GL POLICY - OCCUPANCY OF IN-HOME BUSINESS IS LESS THEN 50% OF RESIDENCE AREA. NO EMPLOYEES. INSURED DOES NOT OCCUPY ANY OTHER BUSINESS IN ANOTHER LOCATION.; built in 2011, no losses"/>
    <x v="0"/>
    <s v="TBE required"/>
    <m/>
    <m/>
    <s v="Burdine"/>
  </r>
  <r>
    <x v="13"/>
    <x v="2"/>
    <s v="CA"/>
    <s v="Alison"/>
    <s v="Email"/>
    <s v="Mirzaie"/>
    <s v="Reza"/>
    <s v="HO3 Primary"/>
    <s v="Palisades"/>
    <s v="CA"/>
    <m/>
    <m/>
    <n v="2329000"/>
    <n v="4192000"/>
    <x v="0"/>
    <s v="We are quoting C at 50% and D at 20%. It has CS fire &amp; burglar alarms. Not technically in a brush zone. "/>
    <x v="1"/>
    <s v="RCE provided, photos, ISO OK"/>
    <m/>
    <m/>
    <s v="Burdine"/>
  </r>
  <r>
    <x v="13"/>
    <x v="0"/>
    <s v="MI"/>
    <s v="Matthew"/>
    <s v="Email"/>
    <s v="Peninsula Masion Inc."/>
    <s v="Peninsula Masion Inc."/>
    <s v="DP3 Rental"/>
    <m/>
    <s v="CA"/>
    <m/>
    <n v="2"/>
    <n v="2900000"/>
    <n v="3320800"/>
    <x v="0"/>
    <s v="PC2 with full c/s alarms, visible to neighbors and accessible all year, and no losses; no brush"/>
    <x v="1"/>
    <s v="RM, photo, ISO OK"/>
    <m/>
    <m/>
    <s v="Burdine"/>
  </r>
  <r>
    <x v="14"/>
    <x v="0"/>
    <s v="MI"/>
    <s v="Alexa"/>
    <s v="Email"/>
    <s v="Peterson"/>
    <s v="James"/>
    <s v="HO3 Primary"/>
    <s v="Townson"/>
    <s v="MD"/>
    <m/>
    <m/>
    <n v="277500"/>
    <n v="499500"/>
    <x v="9"/>
    <s v="trying to match All Risks quote; Built in 1998, PC4, Worcester county, Territory 2, less than 1 mile from coast, frame, secondary"/>
    <x v="1"/>
    <s v="Info OK, OK with premium credit to bring down to match quote"/>
    <m/>
    <m/>
    <s v="Burdine"/>
  </r>
  <r>
    <x v="14"/>
    <x v="1"/>
    <s v="VA"/>
    <s v="Charity"/>
    <s v="Email"/>
    <s v="Sheffield"/>
    <s v="Jeremiah"/>
    <s v="HO3 Primary"/>
    <s v="Virginia Beach"/>
    <s v="VA"/>
    <m/>
    <n v="5"/>
    <s v="465,00"/>
    <n v="790500"/>
    <x v="10"/>
    <s v="free standing Wood stove, secondary heat source, 1987 build, updated, PC 1-5"/>
    <x v="0"/>
    <s v="Subject to professional installation and suggested suppl during inspection"/>
    <m/>
    <m/>
    <s v="Burdine"/>
  </r>
  <r>
    <x v="15"/>
    <x v="7"/>
    <s v="MI"/>
    <s v="Lori"/>
    <s v="Call"/>
    <s v="TBD"/>
    <m/>
    <s v="DP3 Rental"/>
    <m/>
    <s v="AZ"/>
    <m/>
    <m/>
    <m/>
    <m/>
    <x v="10"/>
    <s v="Home is rented to daughter as her full time residence. Heat source is a non-thermostatically controlled butane gas 3 burner heating unit. "/>
    <x v="4"/>
    <s v="Unknown what city in AZ - are there freeze days? If not, we may be able to accept a non-thermostatically controlled heater. If so, we can't write it.  Agent will get more info and submit is she feels it is acceptable."/>
    <m/>
    <m/>
    <s v="Patterson"/>
  </r>
  <r>
    <x v="15"/>
    <x v="5"/>
    <s v="PA"/>
    <s v="Tamika"/>
    <s v="Email"/>
    <s v="Reefe"/>
    <s v="Bryan"/>
    <s v="DP3 Rental"/>
    <s v="Philadelphia"/>
    <s v="PA"/>
    <m/>
    <m/>
    <n v="640000"/>
    <m/>
    <x v="2"/>
    <s v="1918 coml building w/living space. Insured is a realtor moving from his other home in Phil and will be living in 1 of 3 units. Other 2 units vacant for now. Will be renovated. Desirable up and coming area."/>
    <x v="0"/>
    <s v="Numerous subjectivities in email. Qualifies for DP3 as it is owner occupied.  Condition in occupied unit very nice. Others will be renovated. They are intact and systems are updated. Great ins score."/>
    <m/>
    <m/>
    <s v="Patterson"/>
  </r>
  <r>
    <x v="15"/>
    <x v="0"/>
    <s v="MI"/>
    <s v="Alexa"/>
    <s v="Email"/>
    <s v="Mcbeath"/>
    <s v="John"/>
    <s v="HO3 Seas/Sec"/>
    <m/>
    <s v="NV"/>
    <m/>
    <n v="2"/>
    <n v="2800000"/>
    <n v="3240000"/>
    <x v="0"/>
    <s v="2016 build, c/s alarm, ISO provided"/>
    <x v="0"/>
    <s v="applicants current address and this property are in the same city/state, which is unusual for a secondary home. You have approval to offer terms on this risk, however please confirm the usage of the property prior to binding."/>
    <m/>
    <m/>
    <s v="Burdine"/>
  </r>
  <r>
    <x v="15"/>
    <x v="1"/>
    <s v="VA"/>
    <s v="Charity"/>
    <s v="Email"/>
    <s v="Mackie"/>
    <s v="Kenneth"/>
    <s v="HO3 Seas/Sec"/>
    <s v="Greenbackville"/>
    <s v="VA"/>
    <m/>
    <n v="9"/>
    <n v="181000"/>
    <n v="307700"/>
    <x v="8"/>
    <s v="PC 9, c/s alarms, 2008 build, 23356 zip (agt wants help with premium)"/>
    <x v="4"/>
    <s v="Raters not clear, assistance requested from PM and have questions pending to Charity (Melissa/Kirsten)"/>
    <m/>
    <m/>
    <s v="Burdine"/>
  </r>
  <r>
    <x v="16"/>
    <x v="2"/>
    <s v="CA"/>
    <s v="Bobbi"/>
    <s v="Email"/>
    <s v="Hairapetian"/>
    <s v="Leo"/>
    <s v="DP3 Rental"/>
    <s v="Los Angeles"/>
    <s v="CA"/>
    <m/>
    <n v="2"/>
    <n v="3400000"/>
    <n v="3500000"/>
    <x v="0"/>
    <s v="1987 dwelling not in brush. CS alarms."/>
    <x v="1"/>
    <m/>
    <m/>
    <m/>
    <s v="Burdine"/>
  </r>
  <r>
    <x v="16"/>
    <x v="6"/>
    <s v="CO"/>
    <s v="Allison"/>
    <s v="Email"/>
    <s v="Andre Family Trust"/>
    <m/>
    <s v="DP3 Vacant"/>
    <s v="Denver"/>
    <s v="CO"/>
    <m/>
    <n v="2"/>
    <n v="287000"/>
    <n v="365700"/>
    <x v="6"/>
    <s v="1964 vacant home soon to be up for sale. With us 2/19/16-17. NOC during term, payment made, but reinstatement overlooked. Insd still wants policy. Issuing with new effective date, 15% s/c, no loss letter, rush interior inspection."/>
    <x v="1"/>
    <s v="Agree with agents terms"/>
    <m/>
    <m/>
    <s v="Patterson"/>
  </r>
  <r>
    <x v="16"/>
    <x v="7"/>
    <s v="MI"/>
    <s v="John"/>
    <s v="Email"/>
    <s v="Patrick"/>
    <s v="Kevin L &amp; Diana R"/>
    <s v="HO3 Primary"/>
    <s v="New Hope"/>
    <s v="TN"/>
    <m/>
    <n v="6"/>
    <n v="310000"/>
    <n v="527000"/>
    <x v="1"/>
    <s v="2008 dwelling. Prior large fire loss from a power strip. No detail on score."/>
    <x v="4"/>
    <s v="Will consider if score is good along with app and fire marshal report."/>
    <m/>
    <m/>
    <s v="Patterson"/>
  </r>
  <r>
    <x v="16"/>
    <x v="0"/>
    <s v="MI"/>
    <s v="Delta"/>
    <s v="Email"/>
    <s v="Nelson"/>
    <s v="Beulah"/>
    <s v="DP3 Vacant"/>
    <s v="Lacygne"/>
    <s v="KS"/>
    <m/>
    <n v="10"/>
    <n v="202000"/>
    <n v="202000"/>
    <x v="2"/>
    <s v="2004, PC 10, 20-25 min response, visible to neighbors, family not ready to see (in living trust). No liab offered as acreage rented for hay"/>
    <x v="0"/>
    <s v="approval to offer terms, with the liability being excluded and the 10% surcharge due to the extended vacancy (as quoted)"/>
    <m/>
    <m/>
    <s v="Burdine"/>
  </r>
  <r>
    <x v="16"/>
    <x v="0"/>
    <s v="MI"/>
    <s v="Jill"/>
    <s v="Email"/>
    <s v="Pollock"/>
    <s v="James"/>
    <s v="HO3 Seas/Sec w/Rental"/>
    <m/>
    <s v="CA"/>
    <m/>
    <n v="9"/>
    <n v="675240"/>
    <n v="771440"/>
    <x v="8"/>
    <s v="PC 9, 6 minutes respond time, but roads inaccessible in winter. 1986 build, 1 loss-closed/repaired"/>
    <x v="0"/>
    <s v="due to the increased response time and the inaccessibility during the winter months, please add a 15-20% surcharge."/>
    <m/>
    <m/>
    <s v="Burdine"/>
  </r>
  <r>
    <x v="16"/>
    <x v="2"/>
    <s v="CA"/>
    <s v="Alex"/>
    <s v="Email"/>
    <s v="Burnett"/>
    <s v="Ernest"/>
    <s v="HO3 Primary"/>
    <s v="SAN JUAN CAPISTRANO"/>
    <s v="CA"/>
    <m/>
    <m/>
    <n v="1857000"/>
    <n v="3200000"/>
    <x v="0"/>
    <s v=" two Water Damage losses: The water filter was replaced and the AC was repaired.  $25K WD Deductible and did not offer Mold due to the prior claim. Reached out to the agent to see if the mold was localized to the rug or if it was extensive.  If extensive I requested a mold remediation cert prior to binding."/>
    <x v="1"/>
    <s v="photos acceptable, proper mitigation in place based on prior losses"/>
    <m/>
    <m/>
    <s v="Burdine"/>
  </r>
  <r>
    <x v="17"/>
    <x v="5"/>
    <s v="PA"/>
    <s v="Tamika"/>
    <s v="Call"/>
    <s v="Riotto"/>
    <s v="Stephen &amp; Michelle"/>
    <s v="DP3 Vacant"/>
    <s v="Westchester"/>
    <s v="PA"/>
    <m/>
    <m/>
    <n v="525000"/>
    <m/>
    <x v="1"/>
    <s v="Home is vacant and for sale. Had water damage claim w/prior carrier. $178,000 paid. 2nd floor bath pipe broke. 1974 home all updated. No mold. All gutted. Work is substantially completed but not closed. LOU outstanding - $20K. Cabinets &amp; flooring left. "/>
    <x v="0"/>
    <s v="Determine how much work was completed and what is left. As long as all demo, mold testing and initial repair is done, we can take on final finishing touches. (Want to ensure we don't get stuck if there is mold or damage not yet discovered.)  Apply mold exclusion. May apply some water damage exclusion or deductible too. TBD when risk is fully submitted//approved 1/31/18 w/ mold excl; existing damage excl. "/>
    <m/>
    <m/>
    <s v="Patterson"/>
  </r>
  <r>
    <x v="17"/>
    <x v="0"/>
    <s v="MI"/>
    <s v="Matthew"/>
    <s v="Email"/>
    <s v="Herdman"/>
    <s v="Rhonda"/>
    <s v="HO3 Primary"/>
    <s v="Paige"/>
    <s v="TX"/>
    <m/>
    <n v="6"/>
    <n v="220000"/>
    <n v="440000"/>
    <x v="5"/>
    <s v="Insured is operating a massage therapist business out of their garage.  about 20 visits a month.  GL is in place through ABP;Home was built in 1920 with full updates in 2017 of frame/stucco construction.  PC6 per attached iso with no alarm, but visible to neighbors and accessible all year, and no losses."/>
    <x v="0"/>
    <s v="Approval to offer terms on this risk with liability, but to do so the total business exclusion must be in place"/>
    <m/>
    <m/>
    <s v="Burdine"/>
  </r>
  <r>
    <x v="17"/>
    <x v="0"/>
    <s v="MI"/>
    <s v="Rachel"/>
    <s v="Email"/>
    <s v="Holmberg"/>
    <s v="Robert"/>
    <s v="HO3 Primary"/>
    <s v="Buckner"/>
    <s v="MO"/>
    <m/>
    <n v="5"/>
    <n v="198283"/>
    <n v="356909"/>
    <x v="5"/>
    <s v="primary home for the above applicant located in MO. Home was built in 1960,  with full updates to heating, wiring, roofing, and plumbing in 2000. It is built of 100% frame construction with central station fire alarm. PC5. 1 loss, . The business is called AAA Disposal Service Inc http://www.aaadisposal.net/."/>
    <x v="0"/>
    <s v="approval to offer terms on this risk, subject to the total business exclusion being added as well as liability being excluded. Based on a review of the site, it does appear they may operate a landfill (or recycling fill) of some sort. Please just be sure this is occurring off-premises. If there is in fact a landfill on the same property, please let me know as we would need to re-evaluate the property coverages as well."/>
    <m/>
    <m/>
    <s v="Burdine"/>
  </r>
  <r>
    <x v="17"/>
    <x v="0"/>
    <s v="MI"/>
    <s v="Jill"/>
    <s v="Email"/>
    <s v="Hughes"/>
    <s v="Jarvis"/>
    <s v="HO3 Seas/Sec"/>
    <s v="Lenoir City"/>
    <s v="TN"/>
    <m/>
    <n v="5"/>
    <n v="241000"/>
    <n v="475820"/>
    <x v="5"/>
    <s v="PC5, frame, secondary, built in 1900/updated, located in TN; insured leasing part of the property for a cell tower located on the property to a cell carrier"/>
    <x v="0"/>
    <s v="in addition to the total business exclusion, please also add the Building Exclusion and specifically list the non-owned cell tower on property leased to cell carrier"/>
    <m/>
    <m/>
    <s v="Burdine"/>
  </r>
  <r>
    <x v="17"/>
    <x v="0"/>
    <s v="MI"/>
    <s v="Jill"/>
    <s v="Email"/>
    <s v="Bettencourt"/>
    <s v="Joseph"/>
    <s v="HO3 Primary"/>
    <s v="Mequoin"/>
    <s v="WI"/>
    <m/>
    <n v="9"/>
    <n v="240898"/>
    <n v="409527"/>
    <x v="5"/>
    <s v="Commercial property on same property-grows orchids and has green house. Agent's advised there is coverage for the business.  Added total business exclusion and added building exclusion for greenhouse. In spring they get about 2 people/day, otherwise 2 people/week. The other structure is about 50-60 ft from home and uses the same driveway."/>
    <x v="0"/>
    <s v="approval to offer terms on this risk as quoted with the total business and other structure exclusion"/>
    <m/>
    <m/>
    <s v="Burdine"/>
  </r>
  <r>
    <x v="17"/>
    <x v="2"/>
    <s v="CA"/>
    <s v="Alex"/>
    <s v="Call"/>
    <s v="Savage"/>
    <m/>
    <s v="DP3 Rental"/>
    <m/>
    <s v="CA"/>
    <m/>
    <m/>
    <n v="400000"/>
    <n v="750000"/>
    <x v="5"/>
    <s v="2 rental properties on one parcel. $400K main dwelling and $150K apartment w/garage. Additionally there is a $200K barn on the premises where the insured boards horses."/>
    <x v="0"/>
    <s v="Animal exclusion, total business exclusion, building exclusion for barn, equine liab."/>
    <m/>
    <m/>
    <s v="Patterson"/>
  </r>
  <r>
    <x v="17"/>
    <x v="2"/>
    <s v="CA"/>
    <s v="Alison"/>
    <s v="Call"/>
    <s v="Hildebrand"/>
    <s v="Madison"/>
    <s v="DP3 Rental"/>
    <s v="West Hollywood"/>
    <s v="CA"/>
    <m/>
    <m/>
    <m/>
    <m/>
    <x v="3"/>
    <s v="Insured is on reality show &quot;Million Dollar Listing&quot;. We declined primary due to location, can we write his rental?"/>
    <x v="0"/>
    <s v="Reviewed w/ Louisa - too famous for liability"/>
    <m/>
    <m/>
    <s v="Patterson"/>
  </r>
  <r>
    <x v="18"/>
    <x v="2"/>
    <s v="CA"/>
    <s v="Alex"/>
    <s v="Email"/>
    <s v="1173 Westbend LLC"/>
    <s v="1173 Westbend LLC"/>
    <s v="DP3 Vacant"/>
    <s v="West Lake Village"/>
    <s v="CA"/>
    <m/>
    <n v="4"/>
    <n v="3800000"/>
    <n v="3800000"/>
    <x v="0"/>
    <s v="vacant, 6 month policy, C/S alarms"/>
    <x v="1"/>
    <s v="Photos, ISO, loss history OK"/>
    <m/>
    <m/>
    <s v="Burdine"/>
  </r>
  <r>
    <x v="18"/>
    <x v="0"/>
    <s v="MI"/>
    <s v="Delta"/>
    <s v="Email"/>
    <s v="Greene"/>
    <s v="Steve"/>
    <s v="HO3 Primary"/>
    <m/>
    <s v="KY"/>
    <m/>
    <n v="10"/>
    <n v="260000"/>
    <n v="507000"/>
    <x v="5"/>
    <s v="in home caregiver for a bed ridden family. TBE and GL in place. 69 of 75 acres leased for farming"/>
    <x v="0"/>
    <s v="Unable to locate any photos of the property online, to get a good understanding of the separation of the home and the farm land. But as long as there is clear, sufficient, separation of the two you have approval to offer terms on this risk. As stated, the terms would need to include the total business exclusion and the GL policy in place. I would also suggest requiring the farming business to have a liability policy in place to cover that exposure. If they do not have one in place, then I would suggest taking an additional 10-15% to address the possibility of a claim being filed on our policy that we may have to defend against."/>
    <m/>
    <m/>
    <s v="Burdine"/>
  </r>
  <r>
    <x v="18"/>
    <x v="3"/>
    <s v="MA"/>
    <s v="Therese"/>
    <s v="Email"/>
    <s v="Logrippo"/>
    <s v="Heather"/>
    <s v="HO3 Primary"/>
    <s v="Shrewsbury"/>
    <s v="MA"/>
    <m/>
    <n v="4"/>
    <n v="2000000"/>
    <n v="4000000"/>
    <x v="4"/>
    <s v="1822 build, updates in 2007, 2 losses (Inland marine and water), RC quoted"/>
    <x v="0"/>
    <s v="FRC only (not completely gut/rebuild), need to update rater to reflect 1822 build year, not 2007 updates"/>
    <m/>
    <m/>
    <s v="Burdine"/>
  </r>
  <r>
    <x v="18"/>
    <x v="0"/>
    <s v="MI"/>
    <s v="Jill"/>
    <s v="Email"/>
    <s v="Luarde"/>
    <s v="Michael"/>
    <s v="DP3 Vacant"/>
    <m/>
    <s v="IN"/>
    <m/>
    <n v="10"/>
    <n v="1900000"/>
    <n v="2100000"/>
    <x v="0"/>
    <s v="response time 7-10 minutes,3 month term, no losses, 1994 build, premium $3,570"/>
    <x v="1"/>
    <s v="PCQ, drive time, photos OK"/>
    <m/>
    <m/>
    <s v="Burdine"/>
  </r>
  <r>
    <x v="18"/>
    <x v="6"/>
    <s v="CO"/>
    <s v="Allison"/>
    <s v="Email"/>
    <s v="Dowling"/>
    <s v="Paddins"/>
    <s v="HO3 Builders Risk"/>
    <s v="Santa FE"/>
    <s v="CA"/>
    <m/>
    <n v="3"/>
    <n v="3911000"/>
    <n v="4302100"/>
    <x v="0"/>
    <s v="Renovation project, 202 build, Frame, owner occupied at completion"/>
    <x v="1"/>
    <s v="builders risk sup, RM, rater, OK"/>
    <m/>
    <m/>
    <s v="Burdine"/>
  </r>
  <r>
    <x v="19"/>
    <x v="0"/>
    <s v="MI"/>
    <s v="David"/>
    <s v="Email"/>
    <s v="HPPW LLC"/>
    <s v="HPPW LLC"/>
    <s v="HO3 Seas/Sec w/Rental"/>
    <s v="Koloa"/>
    <s v="HI"/>
    <m/>
    <n v="5"/>
    <n v="2750000"/>
    <n v="4125000"/>
    <x v="0"/>
    <s v="1.4 Miles to the coast, (map attached)_x000a_PC 5_x000a_"/>
    <x v="0"/>
    <s v="subject to w/h guidelines being met"/>
    <m/>
    <m/>
    <s v="Burdine"/>
  </r>
  <r>
    <x v="19"/>
    <x v="0"/>
    <s v="MI"/>
    <s v="Alexa"/>
    <s v="Email"/>
    <s v="McCormick"/>
    <s v="Lee"/>
    <s v="HO3 Primary"/>
    <m/>
    <s v="TN"/>
    <m/>
    <n v="10"/>
    <n v="400000"/>
    <n v="750000"/>
    <x v="8"/>
    <s v="Attached is a primary home located in TN. Home was built in 1930 of frame construction, 3200 acres(5 square miles), updates in 2011, PC10 , no alarms, 15-16 minute drive time; farming exposure (including employees) so adding TBE, no coverage since 06/07/2015 due to applicants business manager error. 15-16 min response time"/>
    <x v="4"/>
    <s v="Requested DOB "/>
    <s v="for insurance score"/>
    <m/>
    <s v="Burdine"/>
  </r>
  <r>
    <x v="19"/>
    <x v="2"/>
    <s v="CA"/>
    <s v="Alex"/>
    <s v="Call"/>
    <s v="Rotz"/>
    <s v="Von"/>
    <s v="HO3 Primary"/>
    <m/>
    <s v="CA"/>
    <m/>
    <m/>
    <m/>
    <m/>
    <x v="1"/>
    <s v="Prior $20K loss from smoke/fire caused by dryer. Agent asked for proof, only got loss run with no cause listed. Loss over 4 years ago."/>
    <x v="0"/>
    <s v="Ask for fire marshal report or get confirmation from State Farm of the cause, this is within agent's authority."/>
    <m/>
    <m/>
    <s v="Patterson"/>
  </r>
  <r>
    <x v="19"/>
    <x v="2"/>
    <s v="CA"/>
    <s v="Alison"/>
    <s v="Call"/>
    <s v="Marella"/>
    <s v="Gary"/>
    <s v="HO3 Primary"/>
    <s v="West Hollywood"/>
    <s v="CA"/>
    <m/>
    <m/>
    <m/>
    <m/>
    <x v="3"/>
    <s v="Insured is EVP of Mosley Music. Reviewed online info. No news stories."/>
    <x v="1"/>
    <s v="Not too famous"/>
    <m/>
    <m/>
    <s v="Patterson"/>
  </r>
  <r>
    <x v="20"/>
    <x v="0"/>
    <s v="MI"/>
    <s v="Jill"/>
    <s v="Email"/>
    <s v="Eger"/>
    <s v="Sherman"/>
    <s v="HO3 Seas/Sec"/>
    <s v="Ocean City"/>
    <s v="NJ"/>
    <m/>
    <n v="3"/>
    <n v="392442"/>
    <n v="522442"/>
    <x v="10"/>
    <s v="1923 home w/updates. Seasonal use. Has no furnace. Insd drains pipes when not used. Has done this for &quot;decades&quot;. Nice online photos. Roof shows patched shingles - pic online is from 2013. App shows roof updated in 2018."/>
    <x v="0"/>
    <s v="Provided only used in late spring/summer when there are no freeze days. No portable or solid fuel heat used. Surcharge TBD, no VMGA premium provided."/>
    <m/>
    <m/>
    <s v="Patterson"/>
  </r>
  <r>
    <x v="20"/>
    <x v="2"/>
    <s v="CA"/>
    <s v="Bobbi"/>
    <s v="Email"/>
    <s v="Price"/>
    <s v="Michael"/>
    <s v="DP3 Rental"/>
    <s v="Fawnskin"/>
    <s v="CA"/>
    <m/>
    <m/>
    <n v="560000"/>
    <m/>
    <x v="0"/>
    <s v="2 structures (main and guest) on property. Insured wants them to be combined under a single Cov A limit. This is how tax and title are and he wants them to match."/>
    <x v="0"/>
    <s v="Can't combine both under A. Did agree to write one policy with A &amp; B."/>
    <m/>
    <m/>
    <s v="Patterson"/>
  </r>
  <r>
    <x v="20"/>
    <x v="5"/>
    <s v="PA"/>
    <s v="Tamika"/>
    <s v="Call"/>
    <s v="TBD"/>
    <m/>
    <s v="HO3 Builders Risk"/>
    <m/>
    <s v="PA"/>
    <m/>
    <m/>
    <m/>
    <m/>
    <x v="11"/>
    <s v="Ground up construction -insured is a roofer and is acting as the GC, hiring all subs. Have we changed our position?"/>
    <x v="2"/>
    <s v="Still unable to insure risks where insured is the GC."/>
    <s v="Confirmed this is on Bethany's project list."/>
    <m/>
    <s v="Patterson"/>
  </r>
  <r>
    <x v="20"/>
    <x v="0"/>
    <s v="MI"/>
    <s v="Delta"/>
    <s v="Email"/>
    <s v="Solei"/>
    <s v="Siyavoush &amp; Sandra"/>
    <s v="HO3 Primary"/>
    <s v="Beverly Hills"/>
    <s v="CA"/>
    <m/>
    <n v="1"/>
    <n v="2000000"/>
    <n v="3185000"/>
    <x v="0"/>
    <s v="Frame construction, built in 1961, full updates in 2014 except to roof (roof exclusion added), not in brush, PC1, no losses."/>
    <x v="1"/>
    <s v="Photos, RM, settlement costs OK"/>
    <m/>
    <m/>
    <s v="Burdine"/>
  </r>
  <r>
    <x v="20"/>
    <x v="9"/>
    <s v="CA"/>
    <s v="Kirk"/>
    <s v="Email"/>
    <s v="Sliwa"/>
    <s v="Marek"/>
    <s v="HO3 Primary"/>
    <s v="Colfax"/>
    <s v="CA"/>
    <m/>
    <n v="9"/>
    <n v="250000"/>
    <n v="450000"/>
    <x v="1"/>
    <s v="$120,000 claim on prior home"/>
    <x v="4"/>
    <s v="Fire claim--requested cause and origin or fire report for review of specific causes"/>
    <m/>
    <m/>
    <s v="Burdine"/>
  </r>
  <r>
    <x v="20"/>
    <x v="0"/>
    <s v="CA"/>
    <s v="Jill"/>
    <s v="Email"/>
    <s v="McCormick"/>
    <s v="Lee"/>
    <s v="HO3 Primary"/>
    <s v="Nunnelly"/>
    <s v="TN"/>
    <m/>
    <n v="10"/>
    <n v="400000"/>
    <n v="750000"/>
    <x v="8"/>
    <s v="Lapse since 2015 due to business manager non renewing, 15-16 minute drive time, added TBE due to some farming exposure (3200 acres), Premium $12,957 "/>
    <x v="0"/>
    <s v="however we need to take an additional 10% to account for the increased response time and the large number of acres. Also, please be sure that there isn't any hunting, ATV trails, etc. Ran insurance score: high"/>
    <m/>
    <m/>
    <s v="Burdine"/>
  </r>
  <r>
    <x v="20"/>
    <x v="7"/>
    <s v="MI"/>
    <s v="Cheryl"/>
    <s v="Email"/>
    <s v="May"/>
    <s v="Tom &amp; Jessica"/>
    <s v="HO3 Primary"/>
    <s v="Dixon"/>
    <s v="IL"/>
    <m/>
    <n v="10"/>
    <n v="1587000"/>
    <n v="3332700"/>
    <x v="0"/>
    <s v="Coverage A 1.5 million, Protection Class 10. FD 10 minutes away, No Hydrant. No central alarm system . "/>
    <x v="4"/>
    <s v="Requested PCQ; advised at this TIV(greater than $2M), we also require that the home have central alarms. Since they do not, the AOP deductible and theft deductible must be $10K (unless they have a full house sprinkler system)."/>
    <m/>
    <m/>
    <s v="Burdine"/>
  </r>
  <r>
    <x v="21"/>
    <x v="2"/>
    <s v="CA"/>
    <s v="Alex"/>
    <s v="Call/Email"/>
    <s v="Haefele"/>
    <s v="Mark"/>
    <s v="DP3 Vacant"/>
    <s v="Villa Park"/>
    <s v="CA"/>
    <m/>
    <m/>
    <n v="1844000"/>
    <n v="2000000"/>
    <x v="12"/>
    <s v="1990 stucco dwelling w/ original tile roof. Insd father lived there and insd recently inherited after father passed. Little maintenance. Existing wood rot, settling cracks, liability hazards. Insd planning to fix and move in within 60-90 days. "/>
    <x v="0"/>
    <s v="Apply exclusions: existing damage, water damage, mold damage, liability exclusion. Outlined terms of repair required to adjust. Rate as vacant. Addl prem due to increased adjusting expenses."/>
    <m/>
    <m/>
    <s v="Patterson"/>
  </r>
  <r>
    <x v="21"/>
    <x v="3"/>
    <s v="MA"/>
    <s v="Chris"/>
    <s v="Email"/>
    <s v="TBD"/>
    <m/>
    <s v="HO3 Primary"/>
    <m/>
    <m/>
    <m/>
    <m/>
    <m/>
    <m/>
    <x v="5"/>
    <s v="Property includes primary dwelling and guest cottage rented out via AirBnB. Insured has animals - 2 horses, 4 alpacas, ducks, chickens. Can $10K limited animal liab be added?"/>
    <x v="4"/>
    <s v="All personal use? Any interaction by cottage guests? Evaluate and we can decide. Alpacas don't bite per google. Want to make sure this isn't a petting zoo, pony ride exposure for guests."/>
    <m/>
    <m/>
    <s v="Patterson"/>
  </r>
  <r>
    <x v="21"/>
    <x v="0"/>
    <s v="MI"/>
    <s v="Alexa"/>
    <s v="Email"/>
    <s v="GFLATS LLC"/>
    <s v="GFLATS LLC"/>
    <s v="DP3 Rental"/>
    <s v="San Francisco"/>
    <s v="CA"/>
    <m/>
    <n v="1"/>
    <n v="3500000"/>
    <n v="3850000"/>
    <x v="0"/>
    <s v="Home was built in 1900 of frame construction, full roof update in 2004, full wiring and heating update in 2014, partial plumbing update in 2014 (rated as full update), PC 1 , no alarms.; prior water losses"/>
    <x v="1"/>
    <s v="Water ded included, photos, settlement OK"/>
    <m/>
    <m/>
    <s v="Burdine"/>
  </r>
  <r>
    <x v="21"/>
    <x v="5"/>
    <s v="PA"/>
    <s v="Tamika"/>
    <s v="Email"/>
    <s v="Rauscher"/>
    <s v="Frank"/>
    <s v="HO3 Primary"/>
    <s v="St. Davids"/>
    <s v="PA"/>
    <m/>
    <m/>
    <n v="463139"/>
    <n v="972592"/>
    <x v="6"/>
    <s v="01/31/2018 lapse, Insured had a prior water/wind claim DOL 7/14/17– wind damaged the roof during a storm which caused some damage to interior.  Per the agent all mold has been remediated and the roof has been completely replaced.  - $87,674 was paid on claim, updates last 10 years, home in great condition"/>
    <x v="1"/>
    <s v="photos, repairs, lapse OK"/>
    <m/>
    <m/>
    <s v="Burdine"/>
  </r>
  <r>
    <x v="22"/>
    <x v="2"/>
    <s v="CA"/>
    <s v="Alison"/>
    <s v="Email"/>
    <s v="Rickenback"/>
    <s v="Robert &amp; Iris"/>
    <s v="HO3 Seas/Sec w/Rental"/>
    <s v="Mammoth"/>
    <s v="CA"/>
    <m/>
    <m/>
    <m/>
    <m/>
    <x v="2"/>
    <s v="Insured is asking for an &quot;AI&quot; US Government c/o Forest Service/HO Association. "/>
    <x v="0"/>
    <s v="Interest is that they own the land and lease it to the HOA.  Ok to add as additional interest, but not additional insured."/>
    <m/>
    <m/>
    <s v="Patterson"/>
  </r>
  <r>
    <x v="22"/>
    <x v="6"/>
    <s v="CO"/>
    <s v="Allison"/>
    <s v="Email"/>
    <s v="Wiehe"/>
    <s v="Everett"/>
    <s v="DP3 Rental"/>
    <s v="Lafayette"/>
    <s v="CO"/>
    <m/>
    <n v="3"/>
    <m/>
    <n v="14125000"/>
    <x v="0"/>
    <s v="4 hail score for sample of risks. Brush score is 0-1. Agent asking for 1% wind/hail, ACV roof if over 15 years old, exclude if over 25 (only one). Homes built in late 90's - 2000's. Insured is the property manager."/>
    <x v="4"/>
    <s v="Sent follow up questions to agent. Proposal pending to Louisa and Bethany. 2/12/18 Agent still not sure if they want to write as they found out it is the insured who is shopping the policy. Might mean a lot of work only to have it shopped again. If they go forward I advised it was looking good.  All of my email w/Louisa and Bethany is filed in the agent's email file, along w/the original submission."/>
    <m/>
    <m/>
    <s v="Patterson"/>
  </r>
  <r>
    <x v="22"/>
    <x v="0"/>
    <s v="MI"/>
    <s v="Alexa"/>
    <s v="Email"/>
    <s v="Sipkovich"/>
    <s v="Vincent"/>
    <s v="HO3 Seas/Sec"/>
    <s v="Huntington Beach"/>
    <s v="CA"/>
    <m/>
    <n v="5"/>
    <n v="375000"/>
    <n v="492500"/>
    <x v="9"/>
    <s v="seasonal home for the above named insured located in CA.  Home was built in 1984 of frame construction. Full heat update in 2017, full roofing update 2006,  PC4 with local alarms. Risk meter not pulling"/>
    <x v="0"/>
    <s v="have approval to offer terms on this risk. Since the address won't pull a Risk Meter, we will have to treat it as if it is in brush. "/>
    <m/>
    <m/>
    <s v="Burdine"/>
  </r>
  <r>
    <x v="22"/>
    <x v="0"/>
    <s v="MI"/>
    <s v="Jeffrey"/>
    <s v="Email"/>
    <s v="Wyatt"/>
    <s v="Constance"/>
    <s v="DP3 Builders Risk"/>
    <s v="Tahoe City"/>
    <s v="CA"/>
    <m/>
    <n v="4"/>
    <n v="1500000"/>
    <n v="1550000"/>
    <x v="9"/>
    <s v="Attached is a COC located AT 3305 Dardanelles Ave Tahoe City, CA 96145.  Home is being built completed in 2018 of frame construction.  PC4 to provide alarm certs, and have stated no losses."/>
    <x v="0"/>
    <s v="You have approval to offer terms on this risk.  However, since it is not pulling a Risk Meter, you will need to treat it as if it is in brush. "/>
    <m/>
    <m/>
    <s v="Burdine"/>
  </r>
  <r>
    <x v="23"/>
    <x v="7"/>
    <s v="MI"/>
    <s v="Cheryl"/>
    <s v="Email"/>
    <s v="Squitieri"/>
    <s v="Bernard"/>
    <s v="HO3 Primary"/>
    <s v="Chesterfield"/>
    <s v="MO"/>
    <m/>
    <m/>
    <n v="1570000"/>
    <n v="3000000"/>
    <x v="0"/>
    <s v="2000 home. Insd is transportation customer and wanted personal lines quote. $700K schedule referred and approved by Jamie Gregory."/>
    <x v="0"/>
    <s v="Agt can't quote in VMGA - referred issue to Bethany. Advised JMW that the risk is acceptable and also provided the SPP quote."/>
    <m/>
    <m/>
    <s v="Patterson"/>
  </r>
  <r>
    <x v="23"/>
    <x v="0"/>
    <s v="MI"/>
    <s v="Jill"/>
    <s v="Email"/>
    <s v="Anders"/>
    <s v="Rhonda Moss"/>
    <s v="HO3 Primary"/>
    <s v="Poplar Bluffs"/>
    <s v="MO"/>
    <m/>
    <n v="4"/>
    <n v="75000"/>
    <n v="125000"/>
    <x v="5"/>
    <s v="1978 home. Online pics look ok.  Has 7 children. 5 is limit in program. $100K liab."/>
    <x v="0"/>
    <s v="Must apply TBE and get a GL. If not GL, X liab ok with TBE. Doesn't qualify for Burns in home daycare program."/>
    <m/>
    <m/>
    <s v="Patterson"/>
  </r>
  <r>
    <x v="23"/>
    <x v="0"/>
    <s v="MI"/>
    <s v="David"/>
    <s v="Email"/>
    <s v="Chulu"/>
    <s v="Valerie"/>
    <s v="HO6"/>
    <s v="Urbandale"/>
    <s v="IA"/>
    <m/>
    <n v="3"/>
    <n v="40400"/>
    <n v="75600"/>
    <x v="5"/>
    <s v="Daycare in home, GL policy in place, "/>
    <x v="0"/>
    <s v="subject to the applicant maintaining a GL policy on the daycare exposure and the quote including the Total Business Exclusion. Also, since there was a lapse in coverage since 11/30/2017, please quote a $2500 deductible and obtain a signed no loss letter prior to binding."/>
    <m/>
    <m/>
    <s v="Burdine"/>
  </r>
  <r>
    <x v="23"/>
    <x v="0"/>
    <s v="MI"/>
    <s v="Delta"/>
    <s v="Email"/>
    <s v="Moeller"/>
    <s v="Deborah"/>
    <s v="DP3 Vacant"/>
    <m/>
    <s v="KS"/>
    <m/>
    <n v="2"/>
    <n v="4541000"/>
    <n v="4811000"/>
    <x v="0"/>
    <s v="Frame construction, built in 2016, Full C/S alarms, no losses, PC2. Agt will remind branch of TIV limit after inspection, etc"/>
    <x v="1"/>
    <s v="Photos, ISO, loss history OK"/>
    <m/>
    <m/>
    <s v="Burdine"/>
  </r>
  <r>
    <x v="23"/>
    <x v="0"/>
    <s v="MI"/>
    <s v="Danielle"/>
    <s v="Email"/>
    <s v="Weixelman"/>
    <s v="Gary"/>
    <s v="DP3 Rental"/>
    <m/>
    <s v="CO"/>
    <m/>
    <n v="9"/>
    <n v="233467"/>
    <n v="253467"/>
    <x v="8"/>
    <s v="Home was built in 1979 with no updates, excluding roof &amp; offering ACV Dwelling Settlement.  Frame construction, PC9 with no year round access.  No losses"/>
    <x v="2"/>
    <s v="approval to offer terms, with the woodstove cleaning/surcharge, roof exclusion, ACV settlement, and increased rate (.60-.70/100 TIV)//Agt advised 03/29 that woodstove primary heat source. CO risk w/ no yr round accessibility, or central heat for plumb, etc, declined."/>
    <m/>
    <m/>
    <s v="Burdine"/>
  </r>
  <r>
    <x v="24"/>
    <x v="0"/>
    <s v="MI"/>
    <s v="Jill"/>
    <s v="Email"/>
    <s v="Woltz"/>
    <s v="John"/>
    <s v="HO3 Seas/Sec w/Rental"/>
    <s v="Haysville"/>
    <s v="KS"/>
    <m/>
    <m/>
    <n v="738000"/>
    <n v="748000"/>
    <x v="5"/>
    <s v="1984 risk &quot;seasonal w/rental&quot; leased to Blue Sky Ranch and also used as AirBnB 2 night minimum. Renters can use boat and kayaks and bring pets."/>
    <x v="4"/>
    <s v="Shocking exposure per online search. Horses, equine therapy, boarding, possible breeding, open to public for events and parties. "/>
    <m/>
    <m/>
    <s v="Patterson"/>
  </r>
  <r>
    <x v="24"/>
    <x v="2"/>
    <s v="CA"/>
    <s v="Alison"/>
    <s v="Email"/>
    <s v="Brenner "/>
    <s v="Kevin L &amp; Diana R"/>
    <s v="HO3 Primary"/>
    <s v="Sherman Oaks"/>
    <s v="CA"/>
    <m/>
    <n v="1"/>
    <n v="1210000"/>
    <n v="1951000"/>
    <x v="1"/>
    <s v="2 large water claims – over 2 years. The insured now has a leak detection system. "/>
    <x v="0"/>
    <s v="Maintenance of leak detection system. AOP is $5K so ok with it at that ded. Suggested go up to $10k, but won't require. Also subject to confirmation that repairs complete"/>
    <m/>
    <m/>
    <s v="Burdine"/>
  </r>
  <r>
    <x v="24"/>
    <x v="0"/>
    <s v="MI"/>
    <s v="Alexa"/>
    <s v="Email"/>
    <s v="Hardy"/>
    <s v="Delmas"/>
    <s v="HO3 Primary"/>
    <m/>
    <s v="LA"/>
    <m/>
    <n v="4"/>
    <n v="427500"/>
    <n v="237500"/>
    <x v="5"/>
    <s v="built in 1981 of frame construction, fully roof update in 2005, PC4 , no alarms, Insurance Score B, 7 cows-raised to eventually sell for meet, barn on premises, but hay kept in metal building, agt would like Cov A., B, and E"/>
    <x v="0"/>
    <s v="Based on the number of cows on the property, and the use of the cows, we do need to stick within the guidelines. As such, you have approval to offer terms, but we will have to exclude liability coverage and the barn."/>
    <m/>
    <m/>
    <s v="Burdine"/>
  </r>
  <r>
    <x v="25"/>
    <x v="9"/>
    <s v="CA"/>
    <s v="Lisa"/>
    <s v="Email"/>
    <s v="Smith"/>
    <s v="Kurt &amp; Debora"/>
    <s v="HO3 Primary"/>
    <s v="Placerville"/>
    <s v="CA"/>
    <m/>
    <n v="10"/>
    <n v="1309000"/>
    <n v="2028950"/>
    <x v="0"/>
    <s v="1969 build, all updates, no losses, no animals, in brush, central alarm in home, 4/9 per app"/>
    <x v="0"/>
    <s v="RM, photos OK, advised based on distance to FD approved as a PC 10"/>
    <m/>
    <m/>
    <s v="Burdine"/>
  </r>
  <r>
    <x v="25"/>
    <x v="0"/>
    <s v="MI"/>
    <s v="Jeffrey"/>
    <s v="Email"/>
    <s v="Dolifka"/>
    <s v="Don"/>
    <s v="DP3 Vacant"/>
    <m/>
    <s v="CO"/>
    <m/>
    <m/>
    <n v="1600000"/>
    <n v="1600000"/>
    <x v="2"/>
    <s v="app vacant/ future renovation located in CO.  Home is a 1995 frame dwelling, that will be used as a guest house once renovations are complete.  PC5 with no alarms and no losses, it is right next to their primary. Prior to purchasing, there was a plumbing issue and the water was turned off. Repairs/renovations of about $100K starting in the summer"/>
    <x v="2"/>
    <s v="due to existing damage, amount of time before repairs to begin, home sitting w/o utilities (not part of a winterization plan)"/>
    <m/>
    <m/>
    <s v="Burdine"/>
  </r>
  <r>
    <x v="26"/>
    <x v="0"/>
    <s v="MI"/>
    <s v="Jill"/>
    <s v="Email"/>
    <s v="Engstrand"/>
    <s v="Christina"/>
    <s v="DP3 Rental"/>
    <s v="Jenner"/>
    <s v="CA"/>
    <m/>
    <n v="5"/>
    <n v="266000"/>
    <n v="426000"/>
    <x v="10"/>
    <s v="1937 dwelling w/partial updates. Heating is a fireplace insert - no furnace.  664 SF, not in brush. App says &quot;Duraheat Kerosene insert w/blower&quot;. (per online, this is a portable kerosene heater). Receipt and pix seem to support Lopi Republic wood insert. "/>
    <x v="4"/>
    <s v="Without thermostat control, we can't do a wood insert. Jenner gets cold and freeze days. (North of San Francisco). If they use a portable kerosene heater, this is ineligible."/>
    <m/>
    <m/>
    <s v="Patterson"/>
  </r>
  <r>
    <x v="26"/>
    <x v="7"/>
    <s v="MI"/>
    <s v="Cheryl"/>
    <s v="Email"/>
    <s v="DePrisco"/>
    <s v="Daniel"/>
    <s v="HO8"/>
    <s v="Powell"/>
    <s v="OH"/>
    <m/>
    <n v="5"/>
    <n v="545000"/>
    <n v="1000000"/>
    <x v="1"/>
    <s v="2004 home w/2 prior water losses. Agt quoted HO8. Wants water backup.  1/14 frozen pipe burst $43K 6/15 toilet leak while on vacation $11K"/>
    <x v="0"/>
    <s v="Can't do water backup on HO8. HO8 doesn't cover water damage, so offered HO3 if there are no other issues w/risk. Add full water damage exclusion (which excludes freezing and water discharge). Could add backup since neither of these losses is backup related."/>
    <m/>
    <m/>
    <s v="Patterson"/>
  </r>
  <r>
    <x v="26"/>
    <x v="9"/>
    <s v="CA"/>
    <s v="Lisa"/>
    <s v="Email"/>
    <s v="Healy"/>
    <s v="Jill"/>
    <s v="HO3 Primary"/>
    <s v="Valley Springs"/>
    <s v="CA"/>
    <m/>
    <n v="43229"/>
    <n v="1800000"/>
    <n v="2260000"/>
    <x v="1"/>
    <s v="1995 home in brush no alarms, tile roof. Open claim with $53k remaining. Neighbor mowing on dry day caused fire and subro is occurring. $183K damage to landscape and exterior smoke damage. (Seems high) Remaining: replace gazebo (from smoke damage??) 31 roadway lights, paint back of home. $53K reserve still open. Insured putting off work until rain season passes."/>
    <x v="4"/>
    <s v="Info not checking out. Need app copy, fire marshal report, detail from prior carrier. 2/12- PC8B confirmed. Agt can't get fire marshal report. Asked for first responder report."/>
    <s v="797 Insurance score"/>
    <m/>
    <s v="Patterson"/>
  </r>
  <r>
    <x v="26"/>
    <x v="0"/>
    <s v="MI"/>
    <s v="Matthew"/>
    <s v="Email"/>
    <s v="Ryan"/>
    <s v="John"/>
    <s v="HO3 Primary"/>
    <m/>
    <s v="CA"/>
    <m/>
    <n v="4"/>
    <n v="1950000"/>
    <n v="3705000"/>
    <x v="0"/>
    <s v="Home was built in 1959 of frame construction.  PC4 with alarms, and no losses, low b rush, insured a songwriter"/>
    <x v="1"/>
    <s v="Photos, updates, RM, profile OK"/>
    <m/>
    <m/>
    <s v="Burdine"/>
  </r>
  <r>
    <x v="26"/>
    <x v="0"/>
    <s v="MI"/>
    <s v="David"/>
    <s v="Email"/>
    <s v="Gong"/>
    <s v="Tommy"/>
    <s v="DP3 Rental"/>
    <s v="Visalia"/>
    <s v="CA"/>
    <m/>
    <n v="3"/>
    <n v="273700"/>
    <n v="301070"/>
    <x v="5"/>
    <s v="Daycare in home, GL policy in place, less than 7 children, quoted with TBE, small claim-$285 water damage under sink, 1964 build-all updates. Can have liab? "/>
    <x v="0"/>
    <s v="Reminded that doesn't qualify for burns daycare program. Advised OK to release with TBE and GL must be submitted via tenant--insured--agency every renewal. Reviewed online-appears to be a home daycare so OK w/ business exposure as approved"/>
    <m/>
    <m/>
    <s v="Burdine"/>
  </r>
  <r>
    <x v="27"/>
    <x v="10"/>
    <s v="NC"/>
    <s v="Lauren"/>
    <s v="Email"/>
    <s v="Clissold"/>
    <s v="Tod"/>
    <s v="HO3 Primary w/Rental"/>
    <s v="Manteo"/>
    <s v="NC"/>
    <m/>
    <m/>
    <n v="288000"/>
    <n v="438000"/>
    <x v="2"/>
    <s v="Primary home w/garage that is a vacation rental $150K."/>
    <x v="0"/>
    <s v="Confirm garage is on the premises and it has living quarters. Not rented for storage use."/>
    <m/>
    <m/>
    <s v="Patterson"/>
  </r>
  <r>
    <x v="27"/>
    <x v="5"/>
    <s v="PA"/>
    <s v="Tamika"/>
    <s v="Email"/>
    <s v="Morgan"/>
    <s v="Irene"/>
    <s v="HO3 Primary"/>
    <m/>
    <s v="NJ"/>
    <m/>
    <n v="6"/>
    <n v="328500"/>
    <n v="624250"/>
    <x v="1"/>
    <s v="there are two claims:  03/03/2016 - $4,115.00 paid out under windstorm damage to a greenhouse. Closed 11/08/16.  Also, 01/07/2018- $3,532.23 paid thus far due to pipe burst and water damage. Claim is still open; 1941 build; quoting with $1,000 AOP and $5,00 special water ded.  Terms would be subject to current update information on the roof "/>
    <x v="4"/>
    <s v="need to confirm updates, estimated completion date of repairs"/>
    <m/>
    <m/>
    <s v="Burdine"/>
  </r>
  <r>
    <x v="28"/>
    <x v="5"/>
    <s v="PA"/>
    <s v="Tamika"/>
    <s v="Email"/>
    <s v="Mussi Properties"/>
    <m/>
    <s v="DP3 Rental"/>
    <s v="Bowden"/>
    <s v="WV"/>
    <m/>
    <n v="9"/>
    <n v="100000"/>
    <n v="135000"/>
    <x v="8"/>
    <s v="2007 2 cabins. PCQ shows 20 min response time and no hydrant. Rated as PC9. Can't find location addr on a map. Can't find address for Witmer VFD online. Rough search shows 16 miles away."/>
    <x v="0"/>
    <s v="Asked agent for proof or rate as PC10 and send back so we can assure rate adequacy.  Current rate is $.66/100 TIV//Revised rating to PC10 makes it .77/100. Agent only rating as 1 family. Advised if the 2 cabins are rented separately, it needs to be 2 family.  If the &quot;property&quot; is rented, it can be 1 family.  Suggested changing to 2 family since it's only 2%."/>
    <m/>
    <m/>
    <s v="Patterson"/>
  </r>
  <r>
    <x v="28"/>
    <x v="0"/>
    <s v="MI"/>
    <s v="Lindsay"/>
    <s v="Email"/>
    <s v="Gomez"/>
    <s v="John &amp; Rosa"/>
    <s v="HO3 Primary"/>
    <s v="Murietta"/>
    <s v="CA"/>
    <m/>
    <n v="4"/>
    <n v="793013"/>
    <n v="1598666"/>
    <x v="8"/>
    <s v="PC 10, built in 1989 updated in 2000, frame, primary, located not in brush in CA with a 5 minute response time; VMGA $7,796 premium"/>
    <x v="1"/>
    <s v="ISO, RM, PC questionnaire, photos OK. "/>
    <m/>
    <m/>
    <s v="Burdine"/>
  </r>
  <r>
    <x v="29"/>
    <x v="6"/>
    <s v="CO"/>
    <s v="Allison"/>
    <s v="Call"/>
    <s v="TBD"/>
    <m/>
    <s v="HO3 Primary"/>
    <m/>
    <s v="CO"/>
    <m/>
    <m/>
    <m/>
    <n v="29000000"/>
    <x v="0"/>
    <s v="Agent realizes we can't write a $29M home. They called asking if we could write a following form layer of it, or write the first layer with no coinsurance.  "/>
    <x v="2"/>
    <s v="Reviewed w/Louisa.  Too soon to pursue.  I advised SCU we don't have the forms or procedures for this.  Also, not advantageous since we only write $5M."/>
    <m/>
    <m/>
    <s v="Patterson"/>
  </r>
  <r>
    <x v="29"/>
    <x v="0"/>
    <s v="MI"/>
    <s v="David"/>
    <s v="Email"/>
    <s v="Weatherly"/>
    <s v="James"/>
    <s v="HO3 Primary"/>
    <s v="Romance"/>
    <s v="AR"/>
    <m/>
    <n v="5"/>
    <n v="212800"/>
    <n v="425600"/>
    <x v="5"/>
    <s v="wedding business on premises. No access to the home, layout confirms separation, will require CGL, 199 build, updates, "/>
    <x v="0"/>
    <s v="Confirmation of CGL and total business exclusion. Also app stated 02/2017 expiration date of prior policy. Perhaps typo? If not, need to discuss"/>
    <m/>
    <m/>
    <s v="Burdine"/>
  </r>
  <r>
    <x v="29"/>
    <x v="0"/>
    <s v="MI"/>
    <s v="Jill"/>
    <s v="Email"/>
    <s v="Smith"/>
    <s v="Bob"/>
    <s v="HO3 Primary"/>
    <m/>
    <s v="CA"/>
    <m/>
    <s v="8B"/>
    <n v="900000"/>
    <n v="1530000"/>
    <x v="0"/>
    <s v="Built in 2007, frame, primary, 8B, in brush, no losses, located in CA"/>
    <x v="1"/>
    <s v="subject to confirmation of the wood burning stove being professionally installed.. However, from the PC questionnaire, this property is over 5 miles from the fire department. If that is in fact correct, it would need to be rated as a PC 10. If it is in fact within 5 miles, then please be sure that you use PC 9 rates for the 8B assignment"/>
    <m/>
    <m/>
    <s v="Burdine"/>
  </r>
  <r>
    <x v="29"/>
    <x v="2"/>
    <s v="CA"/>
    <s v="Alison"/>
    <s v="Email"/>
    <s v="Marshall"/>
    <s v="Rebecca"/>
    <s v="HO3 Primary"/>
    <m/>
    <s v="CA"/>
    <m/>
    <m/>
    <m/>
    <m/>
    <x v="3"/>
    <s v="Insured is an actress. Reviewed online info.  She has been in a number of TV series and some movies. Relatively famous."/>
    <x v="0"/>
    <s v="okay excluding liability"/>
    <m/>
    <m/>
    <s v="Patterson"/>
  </r>
  <r>
    <x v="29"/>
    <x v="2"/>
    <s v="CA"/>
    <s v="Alex"/>
    <s v="Email"/>
    <s v="Moon"/>
    <s v="Callie"/>
    <s v="HO3 Primary"/>
    <m/>
    <s v="CA"/>
    <m/>
    <m/>
    <m/>
    <m/>
    <x v="2"/>
    <s v="Insured wants to write primary with us. They are building a guest house which will be insured separately w/ Scottsdale. "/>
    <x v="0"/>
    <s v="COC must have liability. Apply building exclusion for the guest house under construction."/>
    <m/>
    <m/>
    <s v="Patterson"/>
  </r>
  <r>
    <x v="30"/>
    <x v="0"/>
    <s v="MI"/>
    <s v="Jill"/>
    <s v="Email"/>
    <s v="Dent"/>
    <s v="Alasdair"/>
    <s v="HO3 Primary"/>
    <m/>
    <s v="CA"/>
    <m/>
    <n v="5"/>
    <n v="1800000"/>
    <n v="2880000"/>
    <x v="0"/>
    <s v="Brush zone, PC5, frame, built in 1977/updated, primary, no losses, located in CA"/>
    <x v="0"/>
    <s v="the pictures online do show a woodstove in the home. Please be sure a questionnaire is completed to evaluate that exposure"/>
    <m/>
    <m/>
    <s v="Burdine"/>
  </r>
  <r>
    <x v="31"/>
    <x v="7"/>
    <s v="MI"/>
    <s v="Lori"/>
    <s v="Email"/>
    <s v="Brown"/>
    <s v="Frederick"/>
    <s v="HO3 Primary"/>
    <s v="Bay Village"/>
    <s v="OH"/>
    <m/>
    <n v="3"/>
    <n v="232000"/>
    <n v="522000"/>
    <x v="1"/>
    <s v="Year built is 1971 and no updates are given, so the roof is 47 years old.  Personal property is 75% of Coverage A, not 70%.  There were two sizable claims, both water based, so I put a $5,000 water deductible and excluded water backup.   "/>
    <x v="4"/>
    <s v="requested OHQ, roof exclusion, and $10K water ded or damage. Pended for OHQ"/>
    <m/>
    <m/>
    <s v="Burdine"/>
  </r>
  <r>
    <x v="31"/>
    <x v="0"/>
    <s v="MI"/>
    <s v="David"/>
    <s v="Email"/>
    <s v="Three Sisters Inn LLC"/>
    <s v="Three Sisters In LLC"/>
    <s v="HO3 Primary"/>
    <s v="Baldwin City"/>
    <s v="KS"/>
    <m/>
    <n v="3"/>
    <n v="490000"/>
    <n v="833000"/>
    <x v="5"/>
    <s v="Primary home with bed and breakfast = 5 rooms rented, 1905 build, updates 1995, FRC"/>
    <x v="0"/>
    <s v="approved, but not as b&amp;b program. Subject to GL policy maintained by agency and TBE in place"/>
    <m/>
    <m/>
    <s v="Burdine"/>
  </r>
  <r>
    <x v="31"/>
    <x v="0"/>
    <s v="MI"/>
    <s v="Alexa"/>
    <s v="Email"/>
    <s v="St. Clair Sherman"/>
    <s v="Isabel"/>
    <s v="HO3 Seas/Sec"/>
    <m/>
    <s v="LA"/>
    <m/>
    <n v="2"/>
    <n v="300000"/>
    <n v="460000"/>
    <x v="5"/>
    <s v="Air BNB approximately 24 weeks, will confirm two night minimim met"/>
    <x v="1"/>
    <s v="Approved subject to 2-night minimum being met"/>
    <m/>
    <m/>
    <s v="Burdine"/>
  </r>
  <r>
    <x v="32"/>
    <x v="2"/>
    <s v="CA"/>
    <s v="Melissa"/>
    <s v="Email"/>
    <s v="Enyedi"/>
    <s v="Tyler"/>
    <s v="HO3 Primary"/>
    <s v="Lake Arrowhead"/>
    <s v="CA"/>
    <m/>
    <m/>
    <n v="371200"/>
    <n v="457200"/>
    <x v="1"/>
    <s v="The claim was due to plumbing pay out $10,000 DOL 9/10/2017. They have a wood roof which the agent believes it is the original. Updates were in 1980 per the inspection"/>
    <x v="0"/>
    <s v="10K water deductible must be applied due to the galvanized plumbing and prior claim history. Please be sure to confirm that all repairs were made from that loss. Additionally, due to the age of the roof it must be excluded on the policy."/>
    <m/>
    <m/>
    <s v="Burdine"/>
  </r>
  <r>
    <x v="33"/>
    <x v="2"/>
    <s v="CA"/>
    <s v="Alison"/>
    <s v="Email"/>
    <s v="Yamini"/>
    <s v="Alex"/>
    <s v="HO3 Seas/Sec"/>
    <s v="Pacific Palisades"/>
    <s v="CA"/>
    <m/>
    <m/>
    <m/>
    <m/>
    <x v="1"/>
    <s v="2 properties on the same street. Agent quoted one as primary one as secondary. Prior loss, insured sued neighbor for playing music too loud. They have since moved out. Insured was reimbursed by Their Own carrier for legal fees."/>
    <x v="4"/>
    <s v="Questioning occupancy.  Once clarified, we can allow a rate quote subj to more info on how the insured's carrier would reimburse them. "/>
    <m/>
    <m/>
    <s v="Patterson"/>
  </r>
  <r>
    <x v="33"/>
    <x v="7"/>
    <s v="MI"/>
    <s v="Cheryl"/>
    <s v="Email"/>
    <s v="Reynolds"/>
    <s v="James &amp; Cynthia"/>
    <s v="HO3 Primary"/>
    <s v="Polo"/>
    <s v="IL"/>
    <m/>
    <n v="5"/>
    <n v="800000"/>
    <n v="1240000"/>
    <x v="3"/>
    <s v="1881 build, historical registry and not sure if you consider a chicago cubs executor a high profile. Coverage A $800,000 Roof completed in 2006, home gutted in 1990, no losses, being canceled by Nationwide due to historical registry, just purchased in 12/17"/>
    <x v="0"/>
    <s v="Approved-confirmed no tours, no rebuild guidelines; subject to acceptable OHQ; profile not too high; no ornate features from photos in home"/>
    <m/>
    <m/>
    <s v="Burdine"/>
  </r>
  <r>
    <x v="33"/>
    <x v="0"/>
    <s v="MI"/>
    <s v="Matthew"/>
    <s v="Email"/>
    <s v="Johnson"/>
    <s v="Barbara"/>
    <s v="HO3 Primary"/>
    <m/>
    <s v="MO"/>
    <m/>
    <n v="9"/>
    <n v="200000"/>
    <n v="490000"/>
    <x v="5"/>
    <s v="Home was built in 2005 of frame construction.  PC9 with no alarm, but visible to neighbors and accessible all year, and no losses; horse breeding company-wants liability"/>
    <x v="0"/>
    <s v="In order to include liability we would need to confirm that a GL policy is in place to cover the horse breeding exposure. We would also need to include the total business and animal liability exclusions. If they do not have a GL policy in place, or don't want to add the exclusions, then we would have to exclude the liability."/>
    <m/>
    <m/>
    <s v="Burdine"/>
  </r>
  <r>
    <x v="33"/>
    <x v="0"/>
    <s v="MI"/>
    <s v="David"/>
    <s v="Email"/>
    <s v="Erb"/>
    <s v="Rory"/>
    <s v="HO3 Primary"/>
    <m/>
    <s v="CA"/>
    <m/>
    <n v="10"/>
    <n v="1000000"/>
    <n v="1900000"/>
    <x v="8"/>
    <s v="2002 build, central alarms, frame construction, PC 10"/>
    <x v="1"/>
    <s v="PCQ, map, photos, RM OK."/>
    <m/>
    <m/>
    <s v="Burdine"/>
  </r>
  <r>
    <x v="34"/>
    <x v="2"/>
    <s v="CA"/>
    <s v="Alison"/>
    <s v="Email"/>
    <s v="Yehzkel"/>
    <s v="Alison"/>
    <s v="DP3 Rental"/>
    <s v="Los Angeles"/>
    <s v="CA"/>
    <m/>
    <m/>
    <n v="2500000"/>
    <n v="3350000"/>
    <x v="0"/>
    <s v="1930 dwelling updated in 2016. Online photos show ivy/vines growing on walls. Not in brush. "/>
    <x v="0"/>
    <s v="Approved an indication subj to confirmation of the ivy/vines. If they keep them, just add water damage excl and mold excl. If removed, must be professional."/>
    <m/>
    <m/>
    <s v="Patterson"/>
  </r>
  <r>
    <x v="34"/>
    <x v="0"/>
    <s v="MI"/>
    <s v="Lindsay"/>
    <s v="Email"/>
    <s v="Highland Corporation"/>
    <s v="Highland Corporation"/>
    <s v="HO3 Seas/Sec"/>
    <s v="Lynchburg"/>
    <s v="TN"/>
    <m/>
    <n v="9"/>
    <n v="700000"/>
    <n v="700000"/>
    <x v="5"/>
    <s v="PC 9, built in 2001, frame, seasonal, with a 10-15 minute response time. home used for business retreats and meetings"/>
    <x v="0"/>
    <s v="You have approval to offer terms on this risk. However, due to the use of the property for business meetings and retreats, the total business exclusion must be included on the policy. Additionally, please be sure they have a GL policy in place that provides coverage when using this property for business dealings."/>
    <m/>
    <m/>
    <s v="Burdine"/>
  </r>
  <r>
    <x v="34"/>
    <x v="2"/>
    <s v="CA"/>
    <s v="Alison"/>
    <s v="Email"/>
    <s v="Andresen"/>
    <s v="Andrew"/>
    <s v="HO3 Primary"/>
    <s v="Malibu"/>
    <s v="CA"/>
    <m/>
    <n v="4"/>
    <n v="1621750"/>
    <n v="2258275"/>
    <x v="0"/>
    <s v="Malibu home-ln brush"/>
    <x v="1"/>
    <s v="Approved to quote--RM and photos OK"/>
    <m/>
    <m/>
    <s v="Burdine"/>
  </r>
  <r>
    <x v="34"/>
    <x v="5"/>
    <s v="PA"/>
    <s v="Tamika"/>
    <s v="Email"/>
    <s v="Hess"/>
    <s v="Carol"/>
    <s v="HO3 Primary"/>
    <s v="Pine Beach"/>
    <s v="NJ"/>
    <m/>
    <n v="4"/>
    <n v="393000"/>
    <n v="707400"/>
    <x v="1"/>
    <s v="2 prior losses, one fire-01/2016 space heater-repairs made, no longer use portable devices"/>
    <x v="0"/>
    <s v="subject to OHQ,  claims included in premium rating"/>
    <m/>
    <m/>
    <s v="Burdine"/>
  </r>
  <r>
    <x v="35"/>
    <x v="7"/>
    <s v="MI"/>
    <s v="John"/>
    <s v="Email"/>
    <s v="Grant"/>
    <s v="Merline"/>
    <s v="HO3 Primary"/>
    <s v="Detroit"/>
    <s v="MI"/>
    <m/>
    <m/>
    <n v="750000"/>
    <n v="750000"/>
    <x v="2"/>
    <s v="1925 build, international owner (in Canada),need help with quote "/>
    <x v="4"/>
    <s v="Bethany can help with quote, but pended for eligibility concerns: age of home (need ohq), property condition (photos online show concerns), noted &quot;no prior coverage&quot; on app"/>
    <m/>
    <m/>
    <s v="Burdine"/>
  </r>
  <r>
    <x v="35"/>
    <x v="2"/>
    <s v="CA"/>
    <s v="Alison"/>
    <s v="Email"/>
    <s v="Landri"/>
    <s v="Derek"/>
    <s v="DP3 Rental"/>
    <s v="Redlands"/>
    <s v="CA"/>
    <m/>
    <m/>
    <n v="2800000"/>
    <n v="3380000"/>
    <x v="0"/>
    <s v="1925 year built, RM OK"/>
    <x v="1"/>
    <s v="RM ok, photos OK"/>
    <m/>
    <m/>
    <s v="Burdine"/>
  </r>
  <r>
    <x v="35"/>
    <x v="0"/>
    <s v="MI"/>
    <s v="Alexa"/>
    <s v="Email"/>
    <s v="Ridgeway Partners LLC"/>
    <s v="Ridgeway Partners LLC"/>
    <s v="HO3 Seas/Sec"/>
    <m/>
    <s v="AZ"/>
    <m/>
    <n v="10"/>
    <n v="1200000"/>
    <n v="1448000"/>
    <x v="2"/>
    <s v="1989 build, PC 9 (quoted), no alarms, 318 acres (300 used for grazing-GL in place), vacant since 2003, electricity off"/>
    <x v="0"/>
    <s v="Home is actually used as secondary by 3 adult children, electric will be turned on, advised must be rated as PC 10 since 5.1 miles from FD. TBE must be applied."/>
    <m/>
    <m/>
    <s v="Burdine"/>
  </r>
  <r>
    <x v="35"/>
    <x v="5"/>
    <s v="VA"/>
    <s v="Tamika"/>
    <s v="Email"/>
    <s v="Pending"/>
    <s v="Pending"/>
    <s v="HO3 Primary"/>
    <s v="Pottsville"/>
    <s v="PA"/>
    <m/>
    <m/>
    <n v="1300000"/>
    <m/>
    <x v="5"/>
    <s v="residential property with commercial kitch (was a caterer), another apartment above has regular kitchen. Quote w/ pool exclusion (diving board), exclude coverage B, add tBE as precaution"/>
    <x v="0"/>
    <s v="approval to offer terms, confirmed banquet hall no longer in use as such and will obtain and acceptable Supplemental Heat Questionnaires."/>
    <m/>
    <m/>
    <s v="Burdine"/>
  </r>
  <r>
    <x v="36"/>
    <x v="0"/>
    <s v="MI"/>
    <s v="Delta"/>
    <s v="Email"/>
    <s v="Anderson"/>
    <s v="John &amp; Lisa"/>
    <s v="HO3 Primary"/>
    <m/>
    <s v="CA"/>
    <m/>
    <n v="1"/>
    <n v="2200000"/>
    <n v="3960000"/>
    <x v="1"/>
    <s v="Attached is a primary home located in CA. Frame construction, built in 1985, PC2, Full C/ S alarms, not in brush, 2 water losses, both closed (pipes burst/leak in 09/2017). Quoted as HO8 with 10% surcharge, NR due to losses"/>
    <x v="0"/>
    <s v="approved at quoted premium, but must add roof exclusion based on age of roof"/>
    <m/>
    <m/>
    <s v="Burdine"/>
  </r>
  <r>
    <x v="36"/>
    <x v="0"/>
    <s v="MI"/>
    <s v="Rachel"/>
    <s v="Email"/>
    <s v="Wilson"/>
    <s v="Michael"/>
    <s v="HO3 Primary"/>
    <m/>
    <s v="AR"/>
    <m/>
    <n v="7"/>
    <n v="100000"/>
    <n v="150000"/>
    <x v="2"/>
    <s v="Metal building, no losses, no central heat or air. Only source of heat is fireplace. Applicant lives in part of building, other part is shop/storage"/>
    <x v="4"/>
    <s v="Questioning if any fuels or wood activity stored/done in unit"/>
    <m/>
    <m/>
    <s v="Burdine"/>
  </r>
  <r>
    <x v="36"/>
    <x v="0"/>
    <s v="MI"/>
    <s v="Delta"/>
    <s v="Email"/>
    <s v="Matteson"/>
    <s v="Patricia"/>
    <s v="DP3 Rental"/>
    <m/>
    <s v="CA"/>
    <m/>
    <n v="2"/>
    <n v="3601000"/>
    <n v="4706100"/>
    <x v="0"/>
    <s v="Frame, Built in 1913, fully updated in 1998, PC2, not in brush, no recent losses, no alarms, E insurance score"/>
    <x v="0"/>
    <s v="Based on TIV limit, no alarms, required higher deductible unless sprinklers in home"/>
    <m/>
    <m/>
    <s v="Burdine"/>
  </r>
  <r>
    <x v="36"/>
    <x v="0"/>
    <s v="MI"/>
    <s v="Delta"/>
    <s v="Email"/>
    <s v="Tognetti"/>
    <s v="Brian &amp; Paula"/>
    <s v="HO3 Seas/Sec w/Rental"/>
    <m/>
    <s v="MI"/>
    <m/>
    <n v="10"/>
    <n v="1855250"/>
    <n v="905000"/>
    <x v="8"/>
    <s v="rented 10-12 weeks, on lake Michigan, no losses, 22 acres, will be installing alarms, IS D, response time 16 minutes"/>
    <x v="0"/>
    <s v="PCQ, photos, OK. Approved subject to extra 5% surcharge"/>
    <m/>
    <m/>
    <s v="Burdine"/>
  </r>
  <r>
    <x v="37"/>
    <x v="7"/>
    <s v="MI"/>
    <s v="Cheryl"/>
    <s v="Email"/>
    <s v="Buckle"/>
    <s v="Brandon &amp; Lori"/>
    <s v="HO3 Primary"/>
    <m/>
    <s v="KS"/>
    <m/>
    <m/>
    <n v="147000"/>
    <m/>
    <x v="6"/>
    <s v="KS, Markel only market, 2 losses, lapse since 10/30/2017"/>
    <x v="4"/>
    <s v="You have approval to offer terms on this property. However, due to the reason for the lapse the premium must be surcharged by 5%, the deductible must be a minimum of $2500, and a signed no loss must be completed."/>
    <m/>
    <m/>
    <s v="Burdine"/>
  </r>
  <r>
    <x v="37"/>
    <x v="0"/>
    <s v="MI"/>
    <s v="Rachel"/>
    <s v="Email"/>
    <s v="Layne"/>
    <s v="Charles"/>
    <s v="HO3 Primary"/>
    <m/>
    <s v="AR"/>
    <m/>
    <n v="10"/>
    <n v="160000"/>
    <n v="320000"/>
    <x v="8"/>
    <s v="Attached is a primary home for the above applicant located in AR. Home was built in 2007. It is frame construction, no alarms. PC10. No losses."/>
    <x v="0"/>
    <s v="You have approval to offer terms on this risk. From the one pic I was able to locate online, this may have a supplemental heating device. If that is correct, please review with the applicant and handle accordingly."/>
    <m/>
    <m/>
    <s v="Burdine"/>
  </r>
  <r>
    <x v="38"/>
    <x v="6"/>
    <s v="CO"/>
    <s v="Allison"/>
    <s v="Email"/>
    <s v="Bailey"/>
    <s v="Nicholas &amp; J.Hannah"/>
    <s v="HO6"/>
    <s v="Vail"/>
    <s v="CO"/>
    <m/>
    <n v="2"/>
    <n v="275000"/>
    <n v="391000"/>
    <x v="1"/>
    <s v="2 prior water losses. 10/15 $68K Sink filter failed. 6/16 $284K Toilet floater disconnected and leaked."/>
    <x v="4"/>
    <s v="Asked numerous questions and suggested if we get good info we may be able to offer terms with subjectivities: Exclude mold, 10% s/c, install water sensor w/shutoff."/>
    <m/>
    <m/>
    <s v="Patterson"/>
  </r>
  <r>
    <x v="38"/>
    <x v="0"/>
    <s v="MI"/>
    <s v="David"/>
    <s v="Email"/>
    <s v="Howard"/>
    <s v="Marylou"/>
    <s v="HO3 Primary"/>
    <s v="Burbank "/>
    <s v="CA"/>
    <m/>
    <n v="1"/>
    <n v="1700000"/>
    <n v="3060000"/>
    <x v="0"/>
    <s v="1978 risk in brush. Full CS alarms. Online google photo looks good."/>
    <x v="1"/>
    <m/>
    <s v="There was one online negative article about someone with this name. But the article refers to someone who is a council woman. The insured's occupation is listed as homemaker.  It could fit, since she is listed as widowed, and the person in the article's husband is deceased (suicide).  The article referred to some questionable zoning actions from 2010 regarding vacant property. Couldn't find any other info to corroborate a concern with this insured. "/>
    <m/>
    <s v="Patterson"/>
  </r>
  <r>
    <x v="38"/>
    <x v="0"/>
    <s v="MI"/>
    <s v="Rachel"/>
    <s v="Email"/>
    <s v="Vanhorn"/>
    <s v="John"/>
    <s v="DP3 Rental"/>
    <m/>
    <s v="WI"/>
    <m/>
    <n v="5"/>
    <n v="100000"/>
    <n v="100500"/>
    <x v="5"/>
    <s v="Home was built in 1980. It is frame construction, no alarms. PC5. No losses. Roof was updated in 2017. The insured owns a painting business. There is a shed on premise that the painting business is operated out of."/>
    <x v="0"/>
    <s v="Subject to TBE, OK with separation/type of business"/>
    <m/>
    <m/>
    <s v="Burdine"/>
  </r>
  <r>
    <x v="38"/>
    <x v="5"/>
    <s v="PA"/>
    <s v="MacKenzie"/>
    <s v="Email"/>
    <s v="DiDonato"/>
    <s v="Vincenzo &amp; Grace"/>
    <s v="DP3 Vacant"/>
    <s v="Hamilton"/>
    <s v="NJ"/>
    <m/>
    <n v="4"/>
    <n v="257000"/>
    <n v="290700"/>
    <x v="6"/>
    <s v="No coverage since 07/2016, 1965 build with updates, insured just didn't want coverage, home no for sale, no prior loss"/>
    <x v="2"/>
    <s v="there appears to be some issues with the property itself (missing siding, missing front steps, damaged foundation). It also appears to have been of commercial usage.  It’s concerning as well that they were willing to go without insurance for so long, but now when it is time to sale the home they attempt to purchase a policy (perhaps the realtor is suggesting/requiring that they do so?). "/>
    <s v="Advised if want us to consider further info can do so"/>
    <m/>
    <s v="Burdine"/>
  </r>
  <r>
    <x v="39"/>
    <x v="7"/>
    <s v="MI"/>
    <s v="John"/>
    <s v="Email"/>
    <s v="Bailey"/>
    <s v="Glenn"/>
    <s v="HO3 Primary"/>
    <m/>
    <s v="TN"/>
    <m/>
    <m/>
    <m/>
    <m/>
    <x v="5"/>
    <s v="Insured has a home on premises w/attached garages. Small office structure at front of property. Runs auto sales business off property. Has a GL. Auto detailing in garage only, no repairs."/>
    <x v="0"/>
    <s v="Add TBE, GL has to stay in place. Advised of limitations of GL with doing car detailing in one of the attached garages."/>
    <m/>
    <m/>
    <s v="Patterson"/>
  </r>
  <r>
    <x v="39"/>
    <x v="7"/>
    <s v="MI"/>
    <s v="Lori"/>
    <s v="Email"/>
    <s v="Savenok"/>
    <s v="Tatiana"/>
    <s v="HO3 Primary"/>
    <s v="Burr Ridge"/>
    <s v="IL"/>
    <m/>
    <n v="2"/>
    <n v="650000"/>
    <n v="1040000"/>
    <x v="1"/>
    <s v="Prior fire loss, error when quoting in VMGA, The fire originated at the fuse box and spread through-out the home.  It was basically a total loss, and all new wiring, plumbing, heating and roofing is in place as well as all interior work.  They have also installed sprinklers as they never want to go through anything like that ever again."/>
    <x v="1"/>
    <s v="future loss mitigated with sprinkler system"/>
    <m/>
    <m/>
    <s v="Burdine"/>
  </r>
  <r>
    <x v="39"/>
    <x v="7"/>
    <s v="MI"/>
    <s v="Cheryl"/>
    <s v="Email"/>
    <s v="Cafaro Family Trust"/>
    <s v="Cafaro Family Trust"/>
    <s v="DP3 Vacant"/>
    <s v="Brook Field"/>
    <s v="OH"/>
    <m/>
    <n v="9"/>
    <n v="4500000"/>
    <n v="4950000"/>
    <x v="1"/>
    <s v="accidental fire by owners boyfriend (Owner passed away in fire), home now in name of fire. Caretaker at property several times a week. No alarms."/>
    <x v="4"/>
    <s v="The build year of this property is 1960, so we would need to review an Older Home Questionnaire. It was noted that they have a burglar alarm, but at this TIV (over $2M) we require a central station fire and central station burglar alarm.  A full house sprinkler is acceptable in lieu of a fire alarm.  If no central station fire alarm or sprinkler, the AOP deductible must be a minimum of $10,000.  If no central station burglar alarm, theft deductible must be increased to a minimum of $10,000. Also advised of max TIV"/>
    <m/>
    <m/>
    <s v="Burdine"/>
  </r>
  <r>
    <x v="39"/>
    <x v="0"/>
    <s v="MI"/>
    <s v="Rachel"/>
    <s v="Email"/>
    <s v="Bianes"/>
    <s v="Vicente"/>
    <s v="HO3 Primary"/>
    <m/>
    <s v="CA"/>
    <m/>
    <n v="3"/>
    <n v="1615696"/>
    <n v="3069824"/>
    <x v="0"/>
    <s v="Home was built in 1990, with a full plumbing update in 2016. It is frame construction, no alarms. PC3. 2 losses., 2 prior losses. Water loss-led to reroute and water shut off"/>
    <x v="0"/>
    <s v="Alarm requirements being met"/>
    <m/>
    <m/>
    <s v="Burdine"/>
  </r>
  <r>
    <x v="40"/>
    <x v="6"/>
    <s v="CO"/>
    <s v="Allison"/>
    <s v="Email"/>
    <s v="DeLaCruz"/>
    <s v="Diane &amp; Brian"/>
    <s v="HO3 Primary"/>
    <s v="Fairplay"/>
    <s v="CO"/>
    <m/>
    <m/>
    <n v="348000"/>
    <m/>
    <x v="11"/>
    <s v="New build, insured is the GC. Would we consider without liab? There has been a 30 day lapse due to written w/Allstate and they didn't know it was a builders risk.  They cancelled in Feb, insured hasn't been able to find coverage."/>
    <x v="2"/>
    <s v="We don't write insured builders."/>
    <m/>
    <m/>
    <s v="Patterson"/>
  </r>
  <r>
    <x v="40"/>
    <x v="2"/>
    <s v="CA"/>
    <s v="Alison"/>
    <s v="Email"/>
    <s v="Kern"/>
    <s v="Steven"/>
    <s v="HO3 Primary"/>
    <m/>
    <s v="CA"/>
    <m/>
    <m/>
    <m/>
    <m/>
    <x v="6"/>
    <s v="Retail agent sent paperwork today to bind coverage 3/4/18. They included statement of no losses.  Agent asking if they can go back to 3/4/18 as that is the date the insured's coverage expired.  No explanation of why it was one day late.  "/>
    <x v="0"/>
    <s v="Ok w/signed statement of no loss"/>
    <m/>
    <m/>
    <s v="Patterson"/>
  </r>
  <r>
    <x v="40"/>
    <x v="0"/>
    <s v="MI"/>
    <s v="Jill"/>
    <s v="Email"/>
    <s v="Papadakos"/>
    <s v="Dimitri"/>
    <s v="HO3 Primary"/>
    <m/>
    <s v="NY"/>
    <m/>
    <n v="4"/>
    <n v="1300000"/>
    <n v="2080000"/>
    <x v="5"/>
    <s v="Frame, Built in 2000, PC4, right on lake Michigan, no losses, full c/s alarms, no hit on the insurance score. The other structure on the insured's property is used for the insured's not for profit business. Applicant has a separate policy for the structure and GL policy for the business. The business is BESFI, which exists to promote ballet education in Suffolk County, NY Other Structures is excluded, and total business exclusion has been added._x000a_http://www.besfi.com/_x000a_"/>
    <x v="1"/>
    <s v="Approved as quoted with TBE"/>
    <m/>
    <m/>
    <s v="Burdine"/>
  </r>
  <r>
    <x v="40"/>
    <x v="0"/>
    <s v="MI"/>
    <s v="Rachel"/>
    <s v="Email"/>
    <s v="Martinez"/>
    <s v="Henry"/>
    <s v="HO3 Seas/Sec"/>
    <m/>
    <s v="NM"/>
    <m/>
    <n v="10"/>
    <n v="120000"/>
    <n v="204000"/>
    <x v="8"/>
    <s v="Home was built in 1972, with a full updates in 1998. It is masonry construction, no alarms. PC10. No losses"/>
    <x v="0"/>
    <s v="subject to confirmation of response time w/in 15 minutes."/>
    <m/>
    <m/>
    <s v="Burdine"/>
  </r>
  <r>
    <x v="40"/>
    <x v="6"/>
    <s v="CO"/>
    <s v="Allison"/>
    <s v="Email"/>
    <s v="Bennett"/>
    <s v="Ian &amp; Jill McCarthy"/>
    <s v="HO3 Primary"/>
    <s v="Boulder"/>
    <s v="CO"/>
    <m/>
    <n v="2"/>
    <n v="1400000"/>
    <n v="2800000"/>
    <x v="5"/>
    <s v="a Pediatric Occupational Therapy business in the home that has a separate entrance, but is the same property as the primary home.  They do have a commercial GL policy, we’ve added an animal exclusion, we added a total business exclusion, and a 10% surcharge. "/>
    <x v="0"/>
    <s v="You have approval to offer terms as quoted. Please be sure the agency is aware they need to confirm that the professional liability and general liability policies remain in place before each renewal."/>
    <m/>
    <m/>
    <s v="Burdine"/>
  </r>
  <r>
    <x v="41"/>
    <x v="2"/>
    <s v="CA"/>
    <s v="Alison"/>
    <s v="Call"/>
    <s v="TBD"/>
    <m/>
    <s v="HO3 Primary"/>
    <m/>
    <s v="CA"/>
    <m/>
    <m/>
    <n v="500000"/>
    <m/>
    <x v="1"/>
    <s v="Policy being nonrenewed due to dog scratch and bite. 12 year old daschund bit a child.  Claim is open with $7K pending in case there is scarring."/>
    <x v="0"/>
    <s v="Agent will be applying Limited Animal Liab which will exclude this animal."/>
    <m/>
    <m/>
    <s v="Patterson"/>
  </r>
  <r>
    <x v="41"/>
    <x v="2"/>
    <s v="CA"/>
    <s v="Alex"/>
    <s v="Call"/>
    <s v="VonNorman"/>
    <s v="James"/>
    <s v="HO3 Primary"/>
    <s v="Santa Rosa Valley"/>
    <s v="CA"/>
    <m/>
    <m/>
    <m/>
    <m/>
    <x v="1"/>
    <s v="Insured has an open liab claim with $50K in reserves. Policy renewed without liability  3/3/18 w/Lex who is the one handling the claim. Insured did cosmetic reno to whole house w/GC. Never got COC. Sub fell off ladder and is suing the insured. Loss occurred Summer 2016 (almost 2 years) and is still open."/>
    <x v="0"/>
    <s v="Orig app was x-liab. Now that we have info, loss was not really negligence by insured. Open loss can't come back on us. Continuous coverage except liability."/>
    <m/>
    <m/>
    <s v="Patterson"/>
  </r>
  <r>
    <x v="41"/>
    <x v="0"/>
    <s v="MI"/>
    <s v="Delta"/>
    <s v="Email"/>
    <s v="Duchone"/>
    <s v="Jacques"/>
    <s v="HO3 Primary"/>
    <m/>
    <s v="MO"/>
    <m/>
    <s v="10W"/>
    <n v="301000"/>
    <n v="561800"/>
    <x v="5"/>
    <s v="primary home located in MO. Frame construction, Built in 2005, PC10W, no losses, no alarms, E insurance score; The applicant has an auto repair shop on the premises. The shop is behind the house. No employees. They are not towing the autos. The applicant would go to his 1 customer location, pick up a car and bring them to his shop to work on. If the car is not drivable they will then use a tow company to bring the car to the shop.  Business will have GL in place"/>
    <x v="0"/>
    <s v="clear separation, offer terms subject to the total business exclusion and general liability policies being in place"/>
    <m/>
    <m/>
    <s v="Burdine"/>
  </r>
  <r>
    <x v="41"/>
    <x v="2"/>
    <s v="CA"/>
    <s v="Alison"/>
    <s v="Email"/>
    <s v="Hakim"/>
    <s v="Said"/>
    <s v="HO3 Primary"/>
    <s v="Malibu"/>
    <s v="CA"/>
    <m/>
    <n v="4"/>
    <n v="1200000"/>
    <n v="1450000"/>
    <x v="0"/>
    <s v="Malibu risk off PCH and not in brush. I am quoting D at 10% since it isn’t a primary. TIV is $1,450,000. "/>
    <x v="0"/>
    <s v="need an acceptable Older Home Questionnaire based on its age. Also, the TIV seems a little low based on online pics, so please be sure to let us know if further review determines it is significantly higher."/>
    <m/>
    <m/>
    <s v="Burdine"/>
  </r>
  <r>
    <x v="41"/>
    <x v="0"/>
    <s v="MI"/>
    <s v="Jill"/>
    <s v="Email"/>
    <s v="Forke"/>
    <s v="Tyler"/>
    <s v="HO3 Primary"/>
    <s v="Palmyra"/>
    <s v="NE"/>
    <m/>
    <m/>
    <n v="405000"/>
    <n v="911250"/>
    <x v="5"/>
    <s v="Dog boarding, 15 visitors a month, GL in place, PC9, primary, built in 2017, no losses, Ins Score F, located in NE"/>
    <x v="0"/>
    <s v="due to the type of exposure, this risk does not qualify for the incidental in-home business program. Terms may be offered subject to the maintenance of a GL policy, and the total business and animal exclusion being applied."/>
    <m/>
    <m/>
    <s v="Burdine"/>
  </r>
  <r>
    <x v="42"/>
    <x v="2"/>
    <s v="CA"/>
    <s v="Alison"/>
    <s v="Call"/>
    <s v="Laisure"/>
    <s v="Mark &amp; Karen "/>
    <s v="HO3 Seas/Sec"/>
    <s v="Nevada City"/>
    <s v="CA"/>
    <m/>
    <n v="10"/>
    <n v="1000000"/>
    <n v="2000000"/>
    <x v="7"/>
    <s v="Very nice secondary home on a lake. Has a log guest house (s/c?) with a woodstove. Also a 2nd guest house. Can they write all that? Woodstove will be removed as soon as they close (new purchase). There is an open mine. An actual mine with tracks. There also appears to be an open well pit in the photos.  The lake has a platform and a long slide going into it.  The slide is over 5' above the platform. $9K liab claim from 5 years ago."/>
    <x v="0"/>
    <s v="Agent is able to write liab elsewhere. Insd is removing the WBS. Secondary risk so feel okay about not getting a questionnaire while it's in process.  Log home is maybe 10% of the total TIV so waived any extra surcharge. Agt checking on the liab claim"/>
    <m/>
    <m/>
    <s v="Patterson"/>
  </r>
  <r>
    <x v="42"/>
    <x v="5"/>
    <s v="PA"/>
    <s v="Nichole"/>
    <s v="Email"/>
    <s v="Ronald J. &amp; Alyce K. Ostrow Trust"/>
    <s v="Ronald J. &amp; Alyce K. Ostrow Trust"/>
    <s v="HO3 Seas/Sec"/>
    <s v="Vineyard Haven"/>
    <s v="MA"/>
    <m/>
    <n v="9"/>
    <n v="1520000"/>
    <n v="2347600"/>
    <x v="8"/>
    <s v="Secondary home, no losses, PC 9, rater attached"/>
    <x v="0"/>
    <s v="acceptable PCQ, subject to: Properties greater than $2M TIV are required to have a central station fire and central station burglar alarm.  A full house sprinkler is acceptable in lieu of a fire alarm.  If no central station fire alarm or sprinkler, increase AOP deductible to a minimum of $10,000.  If no central station burglar alarm, increase theft deductible to a minimum of $10,000."/>
    <m/>
    <m/>
    <s v="Burdine"/>
  </r>
  <r>
    <x v="42"/>
    <x v="6"/>
    <s v="CO"/>
    <s v="Ashley"/>
    <s v="Email"/>
    <s v="Moore"/>
    <s v="John &amp; Alma"/>
    <s v="HO3 Builders Risk"/>
    <m/>
    <m/>
    <m/>
    <n v="10"/>
    <m/>
    <n v="1500000"/>
    <x v="0"/>
    <s v="BR, didn't realize coverage was needed, now ready to purchase, 14 min drive time"/>
    <x v="0"/>
    <s v="approval to offer terms subject to a no loss statement, confirmation of GC liability, a lapse and 25% surcharge, and a PC 10 rating"/>
    <m/>
    <m/>
    <s v="Burdine"/>
  </r>
  <r>
    <x v="43"/>
    <x v="2"/>
    <s v="CA"/>
    <s v="Bobbi"/>
    <s v="Email"/>
    <s v="Lansberry"/>
    <s v="Kevin &amp; Lynn"/>
    <s v="HO3 Primary"/>
    <s v="Pasadena"/>
    <s v="CA"/>
    <m/>
    <m/>
    <n v="975000"/>
    <n v="2000000"/>
    <x v="3"/>
    <s v="1976 home updated in 2017. Prior owner had claims - agt getting info. Insured is VP and CFO for Disney.  In brush."/>
    <x v="0"/>
    <s v="Agt getting claim info-will refer if applicable. Offered x-liability after discussion w/Louisa. Insured too high profile for liab. // Later on 3/8 agent found out $20K smoke claim from Sand Fires. All damage repaired. Also a $0 theft - not an issue."/>
    <m/>
    <m/>
    <s v="Patterson"/>
  </r>
  <r>
    <x v="43"/>
    <x v="2"/>
    <s v="CA"/>
    <s v="Bobbi"/>
    <s v="Email"/>
    <s v="Mahserejian"/>
    <s v="Kevork"/>
    <s v="HO3 Primary"/>
    <s v="Calabassas"/>
    <s v="CA"/>
    <m/>
    <n v="4"/>
    <n v="2177000"/>
    <n v="3304000"/>
    <x v="0"/>
    <s v="It’s currently with Aspen (not through our office) and the renewal date is 3/14/18. The agent advised Aspen took a 20% rate increase this year and he’s really looking to move."/>
    <x v="1"/>
    <s v="RM, photos,PC OK"/>
    <m/>
    <m/>
    <s v="Burdine"/>
  </r>
  <r>
    <x v="43"/>
    <x v="0"/>
    <s v="MI"/>
    <s v="Jill"/>
    <s v="Email"/>
    <s v="Gables by the Sea LLC"/>
    <s v="Gables by the Sea LLC"/>
    <s v="HO3 Seas/Sec w/Rental"/>
    <m/>
    <s v="NJ"/>
    <m/>
    <m/>
    <n v="295000"/>
    <n v="369000"/>
    <x v="10"/>
    <s v="Frame, secondary rental, no losses, located in NJ, no heat on second floor"/>
    <x v="0"/>
    <s v="apply a 5% surcharge for the lack of heat on the second floor, and also please be sure to obtain an Older Home Questionnaire for the file"/>
    <m/>
    <m/>
    <s v="Burdine"/>
  </r>
  <r>
    <x v="43"/>
    <x v="9"/>
    <s v="CA"/>
    <s v="Lisa"/>
    <s v="Email"/>
    <s v="Barajas"/>
    <s v="Alfredo"/>
    <s v="HO3 Builders Risk"/>
    <s v="San Jose"/>
    <s v="CA"/>
    <m/>
    <m/>
    <n v="1960000"/>
    <n v="1960000"/>
    <x v="11"/>
    <s v="Offered quote in December, didn't accept, now 20% complete and want to move to Markel"/>
    <x v="0"/>
    <s v="Since we are now coming in at a later stage in the process, we would need to take an extra 20% surcharge in order to consider."/>
    <m/>
    <m/>
    <s v="Burdine"/>
  </r>
  <r>
    <x v="44"/>
    <x v="0"/>
    <s v="MI"/>
    <s v="Delta"/>
    <s v="Email"/>
    <s v="Watson"/>
    <s v="Deshaun"/>
    <s v="HO3 Primary"/>
    <m/>
    <s v="TX"/>
    <m/>
    <n v="1"/>
    <n v="1600000"/>
    <n v="3040000"/>
    <x v="3"/>
    <s v="NFL player (Texans 2017 first round pick)., frame, built in 2005, no losses, full c/s alarms"/>
    <x v="0"/>
    <s v=" x-liability due to his high-profile."/>
    <m/>
    <m/>
    <s v="Burdine"/>
  </r>
  <r>
    <x v="44"/>
    <x v="0"/>
    <s v="MI"/>
    <s v="Delta"/>
    <s v="Email"/>
    <s v="Thompson"/>
    <s v="Stacy"/>
    <s v="HO3 Primary"/>
    <m/>
    <s v="WA"/>
    <m/>
    <n v="5"/>
    <n v="193800"/>
    <n v="415410"/>
    <x v="5"/>
    <s v="primary home located in WA. Frame construction, built in 1993, PC5, no losses, C/S fire alarm only, C insurance score. Dog boarding business in detached garage-No foot traffic in actual home. Customer can go a month or so without having any dogs boarding with her, foot traffic very low; 0 employees; Customer has the ability to hold up to 10 dogs but hasn't had that many at one time before."/>
    <x v="0"/>
    <s v="approval to offer terms as suggested (with the total business and animal liability exclusion). This is subject to a GL policy being put into place and maintained at each renewal."/>
    <m/>
    <m/>
    <s v="Burdine"/>
  </r>
  <r>
    <x v="44"/>
    <x v="2"/>
    <s v="CA"/>
    <s v="Alison"/>
    <s v="Email"/>
    <s v="Laidlow"/>
    <s v="Brent &amp; Rebecca"/>
    <s v="HO3 Primary"/>
    <s v="Glendora"/>
    <s v="CA"/>
    <m/>
    <m/>
    <n v="1600000"/>
    <n v="2460000"/>
    <x v="1"/>
    <s v="NR by State Farm for claims/brush-3 claims: wildfire 2014-$102K, mudflow 2014-$109K, 01/2017=2 water claims from flooding from rains-$17K total"/>
    <x v="0"/>
    <s v="While the losses were technically beyond their control, this home has not been having much luck over the last few years with claims. It may be worth considering with some deductible adjustments and premium adjustments. Questioned what premium/terms agt quoted//agt quoted at $14K, but lex at $9K. Advised can offer terms at that rate, but can't match Lex"/>
    <m/>
    <m/>
    <s v="Burdine"/>
  </r>
  <r>
    <x v="44"/>
    <x v="2"/>
    <s v="CA"/>
    <s v="Bobbi"/>
    <s v="Email"/>
    <s v="Gilliland"/>
    <s v="Geraldine"/>
    <s v="HO3 Primary"/>
    <s v="Malibu"/>
    <s v="CA"/>
    <m/>
    <m/>
    <n v="1431000"/>
    <n v="1681000"/>
    <x v="0"/>
    <s v="Lexington Malibu Renewal"/>
    <x v="1"/>
    <s v="RM, ISO, TIV, Pics OK"/>
    <m/>
    <m/>
    <s v="Burdine"/>
  </r>
  <r>
    <x v="45"/>
    <x v="2"/>
    <s v="CA"/>
    <s v="Alex"/>
    <s v="Email"/>
    <s v="Franco"/>
    <s v="Raul &amp; Monique"/>
    <s v="HO3 Primary"/>
    <s v="Long Beach"/>
    <s v="CA"/>
    <m/>
    <n v="4"/>
    <n v="309000"/>
    <n v="556200"/>
    <x v="1"/>
    <s v="NR 12/30/17 by prior carrier-German Shepherd (Still in home) but two people, also water claim from 2016 (repaired)"/>
    <x v="1"/>
    <s v="You have approval to offer terms on this risk as quoted: to include the animal exclusion, water deductible, lapse surcharge, and claim surcharge."/>
    <m/>
    <m/>
    <s v="Burdine"/>
  </r>
  <r>
    <x v="45"/>
    <x v="2"/>
    <s v="CA"/>
    <s v="Alison"/>
    <s v="Email"/>
    <s v="Streltsov"/>
    <s v="Vladislav"/>
    <s v="DP3 Rental"/>
    <s v="Valley Glen"/>
    <s v="CA"/>
    <m/>
    <m/>
    <n v="175000"/>
    <n v="2134000"/>
    <x v="1"/>
    <s v="the fire was caused by fire under the chimney. All repairs were getting completed last week. Insured has reinforced the fireplace. The payout amount was just under $16K."/>
    <x v="0"/>
    <s v="the fire was caused by fire under the chimney. All repairs were getting completed last week. Insured has reinforced the fireplace. The payout amount was just under $16K."/>
    <m/>
    <m/>
    <s v="Burdine"/>
  </r>
  <r>
    <x v="45"/>
    <x v="0"/>
    <s v="MI"/>
    <s v="Jill"/>
    <s v="Email"/>
    <s v="Chin"/>
    <s v="David"/>
    <s v="HO3 Primary"/>
    <m/>
    <s v="MO"/>
    <m/>
    <m/>
    <n v="100000"/>
    <n v="115000"/>
    <x v="5"/>
    <s v="Zoned commercial, used to be a restaurant but now strictly used as residence. Insured is a handy man so will get a GL policy for that exposure"/>
    <x v="0"/>
    <s v="be sure to include the total business exclusion too. Just in case he does change his mind in the near future; pics of property OK"/>
    <m/>
    <m/>
    <s v="Burdine"/>
  </r>
  <r>
    <x v="45"/>
    <x v="7"/>
    <s v="CA"/>
    <s v="Cheryl"/>
    <s v="Email"/>
    <s v="Behler"/>
    <s v="Stacie"/>
    <s v="HO3 Primary"/>
    <s v="Grand Rapids"/>
    <s v="MI"/>
    <m/>
    <n v="2"/>
    <n v="650000"/>
    <n v="7475000"/>
    <x v="4"/>
    <s v="1878 build, fully gutted, no tours/no registry, no losses"/>
    <x v="0"/>
    <s v="As long as the complete gut/remodel has been confirmed, you have approval to offer terms on this risk."/>
    <m/>
    <m/>
    <s v="Burdine"/>
  </r>
  <r>
    <x v="46"/>
    <x v="2"/>
    <s v="CA"/>
    <s v="Alison"/>
    <s v="Call"/>
    <s v="Shah"/>
    <s v="Sandeep"/>
    <s v="DP3 Vacant"/>
    <m/>
    <s v="CA"/>
    <m/>
    <m/>
    <m/>
    <m/>
    <x v="1"/>
    <s v="2001 dwelling, insured moved out, for sale. 8/17 large water loss. 2nd story bath pipe break $90,000 damage. Agt applying $25K deductible. All copper plumbing."/>
    <x v="1"/>
    <s v="Newer home, one loss, even though large, $25K deductible is comfortable for a home that will be vacant."/>
    <m/>
    <m/>
    <s v="Patterson"/>
  </r>
  <r>
    <x v="46"/>
    <x v="0"/>
    <s v="MI"/>
    <s v="Rachel"/>
    <s v="Email"/>
    <s v="Sandstrom"/>
    <s v="Nicholas"/>
    <s v="HO3 Primary"/>
    <m/>
    <s v="AZ"/>
    <m/>
    <n v="4"/>
    <n v="348000"/>
    <n v="696000"/>
    <x v="12"/>
    <s v="Home was built in 1982, with no updates. This is a berm/earth home, part of the roof is dirt with tile on top and the garage is rolled roofing. This has been rated as a frame/dwelling in VMGA. PC4. No losses, central station fire and burglar alarm."/>
    <x v="0"/>
    <s v="due to the unique construction build, we will need to take an additional 5% surcharge. Not of dome construction, quoted as HO8 w/ roof exclusion"/>
    <m/>
    <m/>
    <s v="Burdine"/>
  </r>
  <r>
    <x v="46"/>
    <x v="2"/>
    <s v="CA"/>
    <s v="Bobbi"/>
    <s v="Email"/>
    <s v="Holzapfel"/>
    <s v="Laurie"/>
    <s v="HO3 Primary"/>
    <s v="Ventura"/>
    <s v="CA"/>
    <m/>
    <m/>
    <n v="512000"/>
    <n v="10752000"/>
    <x v="6"/>
    <s v="Lapse since October 2017 (nonpay) having trouble placing due to brush"/>
    <x v="0"/>
    <s v="approval to offer terms on this risk, subject to a lapse surcharge, a RiskMeter, and acceptable Older Home Questionnaire. "/>
    <m/>
    <m/>
    <s v="Burdine"/>
  </r>
  <r>
    <x v="46"/>
    <x v="9"/>
    <s v="CA"/>
    <s v="Lisa"/>
    <s v="Email"/>
    <s v="Mockabee"/>
    <s v="Jason &amp; Jode"/>
    <s v="HO3 Primary"/>
    <s v="Sonora"/>
    <s v="CA"/>
    <m/>
    <n v="4"/>
    <n v="567000"/>
    <n v="1020600"/>
    <x v="4"/>
    <s v="1864 build, no brush, PC 4, no losses, "/>
    <x v="0"/>
    <s v="Has this home been completely gutted/remodeled? Since the 1864 build year was used on the rater, I am assuming it has not been. If there has not been a complete gut of the home, this property is not eligible for our product. If there has been a complete gut/remodel then we are able to use that year as the actual build year"/>
    <m/>
    <m/>
    <s v="Burdine"/>
  </r>
  <r>
    <x v="46"/>
    <x v="2"/>
    <s v="CA"/>
    <s v="Alex"/>
    <s v="Email"/>
    <s v="2908 Ocean, LLC"/>
    <s v="2908 Ocean, LLC"/>
    <s v="DP3 Builders Risk"/>
    <s v="Corona Del Mar"/>
    <s v="CA"/>
    <m/>
    <m/>
    <m/>
    <m/>
    <x v="11"/>
    <s v="2 properties, same LLC,was COC with Zurich, one is 90% done; second is completely done"/>
    <x v="1"/>
    <s v="Photos, PC, LLC ? OK, agt included S/C"/>
    <m/>
    <m/>
    <s v="Burdine"/>
  </r>
  <r>
    <x v="46"/>
    <x v="0"/>
    <s v="MI"/>
    <s v="Jill"/>
    <s v="Email"/>
    <s v="Mills"/>
    <s v="David"/>
    <s v="HO3 Seas/Sec"/>
    <s v="Big Sky"/>
    <s v="MT"/>
    <m/>
    <n v="10"/>
    <n v="2214420"/>
    <n v="3214530"/>
    <x v="8"/>
    <s v="26 minutes response, log home, no losses, c/s alarm"/>
    <x v="0"/>
    <s v="approved a premium of $24K (.75:100) due to acceptable log home ?, photos, but higher response time."/>
    <m/>
    <m/>
    <s v="Burdine"/>
  </r>
  <r>
    <x v="47"/>
    <x v="8"/>
    <s v="PA"/>
    <s v="Alia"/>
    <s v="Email"/>
    <s v="Baxley Revocable Trust"/>
    <m/>
    <s v="HO3 Primary"/>
    <s v="Charleston"/>
    <s v="SC"/>
    <m/>
    <m/>
    <m/>
    <n v="13000000"/>
    <x v="0"/>
    <s v="Agent referred a $13M TIV risk.  "/>
    <x v="2"/>
    <s v="Reminded of our max TIV. Note to Bethany, maybe put a hard stop in the rater as a reminder? Also check other raters?"/>
    <m/>
    <m/>
    <s v="Patterson"/>
  </r>
  <r>
    <x v="47"/>
    <x v="11"/>
    <s v="LA"/>
    <s v="Hillary"/>
    <s v="Email"/>
    <s v="Slone"/>
    <s v="Eric"/>
    <s v="HO3 Primary"/>
    <s v="New Orleans"/>
    <s v="LA"/>
    <m/>
    <m/>
    <n v="699000"/>
    <m/>
    <x v="4"/>
    <s v="100 year old shotgun style home recently renovated and 2 story addition added. System replaced, appears to be an gut/reno."/>
    <x v="1"/>
    <s v="Nice condition, reviewed appraisal"/>
    <m/>
    <m/>
    <s v="Patterson"/>
  </r>
  <r>
    <x v="47"/>
    <x v="2"/>
    <s v="CA"/>
    <s v="Alex"/>
    <s v="Email"/>
    <s v="Martinez"/>
    <s v="Juan"/>
    <s v="HO3 Seas/Sec w/Rental"/>
    <s v="Big Bear City"/>
    <s v="CA"/>
    <m/>
    <m/>
    <m/>
    <m/>
    <x v="6"/>
    <s v="Risk quoted for closing 2/12/18. Insured signed policy docs on 2/26/18. Then they closed and forgot to notify agent. Closing was 3/7/18. Agt followed up and found out they forgot to notify. Lender will force place if no coverage in place."/>
    <x v="0"/>
    <s v="Appears intent was to book 3/7. Have signed statement of no loss."/>
    <m/>
    <m/>
    <s v="Patterson"/>
  </r>
  <r>
    <x v="47"/>
    <x v="5"/>
    <s v="PA"/>
    <s v="Tamika"/>
    <s v="Email"/>
    <s v="J&amp;J Home Investments LLC"/>
    <s v="J&amp;J Home Investments LLC"/>
    <s v="DP3 Vacant"/>
    <s v="Middletown"/>
    <s v="DE"/>
    <m/>
    <n v="5"/>
    <n v="340000"/>
    <n v="374000"/>
    <x v="7"/>
    <s v="Number of mortgages:  New purchase, insured required  3 private investors for renovations to home"/>
    <x v="2"/>
    <s v="Not comfortable w/ reason for 3 mortgages "/>
    <s v="ran credit, poor range"/>
    <m/>
    <s v="Burdine"/>
  </r>
  <r>
    <x v="47"/>
    <x v="0"/>
    <s v="MI"/>
    <s v="Rachel"/>
    <s v="Email"/>
    <s v="O'Guinn LLC"/>
    <s v="O'Guinn LLC"/>
    <s v="HO3 Primary"/>
    <m/>
    <s v="TX"/>
    <m/>
    <n v="1"/>
    <n v="125000"/>
    <n v="200000"/>
    <x v="2"/>
    <s v="2007, metal warehouse but used as primary residence, no losses, no alarms, consists of living space and garage space"/>
    <x v="0"/>
    <s v="acceptable w/ plumbing/heating/electric in home"/>
    <m/>
    <m/>
    <s v="Burdine"/>
  </r>
  <r>
    <x v="47"/>
    <x v="0"/>
    <s v="MI"/>
    <s v="Lindsay"/>
    <s v="Email"/>
    <s v="Busbice"/>
    <s v="Matthew"/>
    <s v="HO3 Seas/Sec"/>
    <s v="Bondurant"/>
    <s v="WY"/>
    <m/>
    <n v="10"/>
    <n v="1029996"/>
    <n v="1229996"/>
    <x v="8"/>
    <s v="25 minute response time, PC 10, on 35 acres, built in 2009, frame, secondary, accessible year round with a well and creek within 350 ft, 25 minute response time, J insurance score."/>
    <x v="0"/>
    <s v="30% surcharge due to response time"/>
    <m/>
    <m/>
    <s v="Burdine"/>
  </r>
  <r>
    <x v="48"/>
    <x v="9"/>
    <s v="CA"/>
    <s v="Lisa"/>
    <s v="Email"/>
    <s v="Kiepen"/>
    <s v="Scott &amp; Stephanie"/>
    <s v="HO3 Builders Risk"/>
    <s v="Alamo"/>
    <s v="CA"/>
    <m/>
    <n v="3"/>
    <n v="2500000"/>
    <n v="2600000"/>
    <x v="11"/>
    <s v="insured w/ Zurich 3 years. Several contractor delays, 75% complete, expect September completion (mostly interior, some exterior); Zurich NR due to 3rd renewal"/>
    <x v="2"/>
    <s v="Reasons don't justify length of delay, concerns for future delays with so much work left"/>
    <m/>
    <m/>
    <s v="Burdine"/>
  </r>
  <r>
    <x v="48"/>
    <x v="5"/>
    <s v="PA"/>
    <s v="MacKenzie"/>
    <s v="Email"/>
    <s v="6905 Pleasure Ave "/>
    <s v="6905 Pleasure Ave"/>
    <s v="DP3 Rental"/>
    <s v="Sea Isle"/>
    <s v="NJ"/>
    <m/>
    <n v="6"/>
    <n v="835000"/>
    <n v="835000"/>
    <x v="1"/>
    <s v="1 loss, w/ Hull for 3 years-all damages repaired and inspection OK"/>
    <x v="0"/>
    <s v="ACV roof endorsement (1994 build-original roof)"/>
    <m/>
    <m/>
    <s v="Burdine"/>
  </r>
  <r>
    <x v="48"/>
    <x v="2"/>
    <s v="CA"/>
    <s v="Bobbi"/>
    <s v="Email"/>
    <s v="Tour"/>
    <s v="Touraj"/>
    <s v="HO3 Primary"/>
    <s v="Beverly Hills"/>
    <s v="CA"/>
    <m/>
    <m/>
    <n v="1836000"/>
    <n v="3000000"/>
    <x v="6"/>
    <s v="1960 home updated. Nice online pic, possible flat roof. Insured nonrenewed for not having alarms. Agent quoting with $10,000 ded."/>
    <x v="0"/>
    <s v="Ok, $10K is our criteria. Asked agt to make a note in file of flat roof in case they decide to install alarms. Flat roof form could be added."/>
    <m/>
    <m/>
    <s v="Patterson"/>
  </r>
  <r>
    <x v="48"/>
    <x v="7"/>
    <s v="MI"/>
    <s v="John"/>
    <s v="Email"/>
    <s v="Smith"/>
    <s v="Harley"/>
    <s v="DP3 Rental"/>
    <s v="Owosso"/>
    <s v="MI"/>
    <m/>
    <m/>
    <m/>
    <m/>
    <x v="12"/>
    <s v="Chimney crumbling, roof concerns. Agent asking if we would consider quoting with roof exclusion and existing damage exclusion."/>
    <x v="0"/>
    <s v="Also added water damage exclusion, pending repair or removal of chimney. Insp did not note liab concern w/chimney. "/>
    <m/>
    <m/>
    <s v="Patterson"/>
  </r>
  <r>
    <x v="48"/>
    <x v="2"/>
    <s v="CA"/>
    <s v="Alison"/>
    <s v="Call"/>
    <s v="Turner GST Exempt Trust"/>
    <m/>
    <s v="DP3 Rental"/>
    <m/>
    <s v="CA"/>
    <m/>
    <m/>
    <n v="720000"/>
    <m/>
    <x v="2"/>
    <s v="Duplex. Half will be vacation rental, half will be insured's property management business. No owner occupancy (habitational). Agt offering to write on DP3."/>
    <x v="2"/>
    <s v="This should go on a commercial policy. "/>
    <m/>
    <m/>
    <s v="Patterson"/>
  </r>
  <r>
    <x v="49"/>
    <x v="2"/>
    <s v="CA"/>
    <s v="Alison"/>
    <s v="Email"/>
    <s v="Brill"/>
    <s v="Eric &amp; Ana"/>
    <s v="HO3 Seas/Sec"/>
    <s v="West Covina"/>
    <s v="CA"/>
    <m/>
    <n v="3"/>
    <n v="750000"/>
    <n v="1800000"/>
    <x v="7"/>
    <s v="Arborist Report/Tree issue:  1955 home updated. Approved quote last year pending arborist report. Extensive discussion w/ agent, review of report, photos in file. "/>
    <x v="0"/>
    <s v="Comfortable with arborist report and credentials found online. Several subjectivities to continue monitoring overhanging branch and provide reports every 3 years. Agent to monitor. Set a pend for 3 years out to audit this file."/>
    <m/>
    <m/>
    <s v="Patterson"/>
  </r>
  <r>
    <x v="49"/>
    <x v="2"/>
    <s v="CA"/>
    <s v="Alison"/>
    <s v="Call/Email"/>
    <s v="5 Coral Cove Way LLC"/>
    <m/>
    <s v="DP3 Vacant"/>
    <s v="Dana Point"/>
    <s v="CA"/>
    <m/>
    <m/>
    <n v="3000000"/>
    <n v="3300000"/>
    <x v="0"/>
    <s v="2018 new construction, now vacant and up for sale. Construction just completed. Online photos look good. No adverse information about insured."/>
    <x v="1"/>
    <s v="Clean risk. Roof looked flat in photos, but roof cover is tile."/>
    <m/>
    <m/>
    <s v="Patterson"/>
  </r>
  <r>
    <x v="50"/>
    <x v="4"/>
    <s v="MA"/>
    <s v="Austin"/>
    <s v="Email/Call"/>
    <s v="Horn"/>
    <s v="Ragnar"/>
    <s v="HO6"/>
    <s v="New York"/>
    <s v="NY"/>
    <m/>
    <m/>
    <n v="1000000"/>
    <n v="2000000"/>
    <x v="3"/>
    <s v="Insured's convicted for illegal au pair management involving overwork and &quot;employing&quot; 2 when Norway law requires light work and only 1 per HH. Condo in NY is their primary. Court case appealed in Norway."/>
    <x v="2"/>
    <s v="Willing to consider exception for the case. Willing to consider exception for another HO-6. Not able to write in NY. Can't do one off's."/>
    <m/>
    <m/>
    <s v="Patterson"/>
  </r>
  <r>
    <x v="50"/>
    <x v="7"/>
    <s v="MI"/>
    <s v="Cheryl"/>
    <s v="Call"/>
    <s v="Payerk"/>
    <s v="Dan  "/>
    <s v="HO3 Seas/Sec"/>
    <s v="Millersburg"/>
    <s v="MI"/>
    <m/>
    <n v="10"/>
    <n v="3500000"/>
    <n v="4000000"/>
    <x v="0"/>
    <s v="Muy Grande Ranch previously used for commercial hunting and lodge/resort. 10' perimeter fence, 6 stocked ponds, white tail deer. Insured is millionaire with many MI properties. This will not be commercial use. Will be for family get togethers only.  Insured likely will hunt and fish, but no commercial use. Groundskeeper lives in $250K dwelling on property. Same address, quoting under Cov B/2 family. Insured was &quot;Dan's Excavating&quot;."/>
    <x v="4"/>
    <s v="Response time. Verify information."/>
    <m/>
    <m/>
    <s v="Patterson"/>
  </r>
  <r>
    <x v="50"/>
    <x v="0"/>
    <s v="MI"/>
    <s v="Jeff"/>
    <s v="Email"/>
    <s v="Franz Johann Investments LLC"/>
    <s v="Franz Johann Investments LLC"/>
    <s v="HO3 Primary"/>
    <s v="Pewaukee"/>
    <s v="WI"/>
    <m/>
    <n v="4"/>
    <n v="250000"/>
    <n v="425000"/>
    <x v="5"/>
    <s v="Greenhouse on property; grow/sell vegetables, garden tools, no marijuana. Owner/wife only employees, customers arrive via car, 1938 build, want FRC (all complete updates except plumbing-partial)"/>
    <x v="0"/>
    <s v="TBE, GL, and FRC (all were quoted by agent). Per FB page, greenhouse and fun center (appears occasional &quot;fairy parties&quot;). Advised agt be sure GL covers this exposure as well"/>
    <m/>
    <m/>
    <s v="Burdine"/>
  </r>
  <r>
    <x v="50"/>
    <x v="0"/>
    <s v="MI"/>
    <s v="Rachel"/>
    <s v="Email"/>
    <s v="Deboard"/>
    <s v="Deardra"/>
    <s v="HO3 Primary"/>
    <s v="Alta"/>
    <s v="CA"/>
    <m/>
    <n v="10"/>
    <n v="860000"/>
    <n v="1510000"/>
    <x v="8"/>
    <s v="HO-3 primary home located in CA. Home was built in 2002 of frame construction, with no updates. PC10, in brush. No losses, local alarms"/>
    <x v="1"/>
    <s v="premium appropriate for 15 minute drive time; acceptable PCQ provided."/>
    <m/>
    <m/>
    <s v="Burdine"/>
  </r>
  <r>
    <x v="50"/>
    <x v="0"/>
    <s v="MI"/>
    <s v="Alexa"/>
    <s v="Email"/>
    <s v="Little"/>
    <s v="John"/>
    <s v="HO3 Primary w/Rental"/>
    <s v="Tollhouse"/>
    <s v="CA"/>
    <m/>
    <n v="9"/>
    <n v="280000"/>
    <n v="848000"/>
    <x v="2"/>
    <s v="primary home located in CA with 2 rentals located on the property. Home was built in 1945 of frame construction, PC9 , no alarms. Full roof update in 2003 with other full updates in 1975."/>
    <x v="0"/>
    <s v="Approved with HO 04 40 endorsement for rental exposure. Requested 10% surcharge if able for extra exposure; PCQ OK"/>
    <m/>
    <m/>
    <s v="Burdine"/>
  </r>
  <r>
    <x v="51"/>
    <x v="0"/>
    <s v="MI"/>
    <s v="David"/>
    <s v="Email"/>
    <s v="Hield"/>
    <s v="Chavano"/>
    <s v="HO3 Primary"/>
    <s v="Richardson"/>
    <s v="TX"/>
    <m/>
    <n v="1"/>
    <n v="700000"/>
    <n v="1260000"/>
    <x v="3"/>
    <s v="Primary home, TX, professional basketball player with Sacramento Kinds. Requested sister to be listed as an AI (lives in home full-time)"/>
    <x v="1"/>
    <s v="requesting clarification on sister-is this a rental for applicant, or sis on deed of home? Pics, exposure Ok. Will confirm liab OK w/LT; confirmed this is a rental for applicant. Approved as DP3. advised sis would need HO4"/>
    <m/>
    <m/>
    <s v="Burdine"/>
  </r>
  <r>
    <x v="51"/>
    <x v="7"/>
    <s v="MI"/>
    <s v="John"/>
    <s v="Call/Email"/>
    <s v="Waters"/>
    <s v="Andrew"/>
    <s v="HO3 Primary"/>
    <s v="Shawnee"/>
    <s v="KS"/>
    <m/>
    <n v="2"/>
    <n v="660000"/>
    <n v="1056000"/>
    <x v="9"/>
    <s v="Lex coming in at $2217. We are at $2800. Wood shake roof in KS. "/>
    <x v="0"/>
    <s v="Agreed to match 2217 tech prem (+ tax/fee) with $5000 deductible."/>
    <m/>
    <m/>
    <s v="Patterson"/>
  </r>
  <r>
    <x v="51"/>
    <x v="2"/>
    <s v="CA"/>
    <s v="Alison"/>
    <s v="Call/Email"/>
    <s v="Freedland"/>
    <s v="Stephen &amp; Alexis"/>
    <s v="HO3 Primary"/>
    <s v="Los Angeles"/>
    <s v="CA"/>
    <m/>
    <n v="2"/>
    <n v="2000000"/>
    <n v="3050000"/>
    <x v="0"/>
    <s v="In extremely low brush and on 3 sides, but one side 100' away is high brush. Agt applying brush surcharge. This is $50K over their TIV limit for our max TIV limit."/>
    <x v="0"/>
    <s v="Referred to Louisa 4:10 pm 3/20/18. Agreed to approve, I will pitch recommendation to Jeff about low brush bordering high brush. Also this risk ok'd w/brush s/c &amp; wildfire mit form. Advised agt if Cov A comes back higher, may  need to reevaluate approval."/>
    <m/>
    <m/>
    <s v="Patterson"/>
  </r>
  <r>
    <x v="51"/>
    <x v="7"/>
    <s v="MI"/>
    <s v="Cheryl"/>
    <s v="Email"/>
    <s v="Morgan"/>
    <s v="Robert"/>
    <s v="HO3 Primary"/>
    <s v="Mooresville"/>
    <s v="NC"/>
    <m/>
    <n v="6"/>
    <n v="1039500"/>
    <n v="2200000"/>
    <x v="1"/>
    <s v="NR from prior carrier due to 08/2014 and 09/14 water loss (partial plumbing updates since then), 11/15/2017-hail and wind"/>
    <x v="0"/>
    <s v="Approved subject to $25K water deductible"/>
    <m/>
    <m/>
    <s v="Burdine"/>
  </r>
  <r>
    <x v="52"/>
    <x v="0"/>
    <s v="MI"/>
    <s v="Rachel"/>
    <s v="Email"/>
    <s v="Gold"/>
    <s v="Larry"/>
    <s v="HO3 Primary"/>
    <s v="Los Angeles"/>
    <s v="CA"/>
    <m/>
    <m/>
    <n v="560000"/>
    <n v="810000"/>
    <x v="3"/>
    <s v="Producer, prior approval as DP3, but will now use as primary. Updates in 2016"/>
    <x v="1"/>
    <s v="Approved; reviewed and nothing recent for producer. Ok w/ liab"/>
    <m/>
    <m/>
    <s v="Burdine"/>
  </r>
  <r>
    <x v="52"/>
    <x v="0"/>
    <s v="MI"/>
    <s v="Delta"/>
    <s v="Email"/>
    <s v="Lopez"/>
    <s v="John"/>
    <s v="HO3 Primary"/>
    <s v="Houston"/>
    <s v="TX"/>
    <m/>
    <m/>
    <n v="800000"/>
    <n v="1540000"/>
    <x v="12"/>
    <s v="Historic registry, primary residence rent out other structure for VRBO and AirBNB, and occasional weddings. Quoted with TBE and will confirm GL, 1905 build, full updates, no alarms"/>
    <x v="0"/>
    <s v="Subject to no tours of property; reviewed online and there isn't any info on tours or weddings"/>
    <m/>
    <m/>
    <s v="Burdine"/>
  </r>
  <r>
    <x v="52"/>
    <x v="9"/>
    <s v="MI"/>
    <s v="Lori"/>
    <s v="Email"/>
    <s v="Johnson"/>
    <s v="LaDonna"/>
    <s v="HO3 Primary"/>
    <s v="Fishers"/>
    <s v="IN"/>
    <m/>
    <n v="4"/>
    <n v="626000"/>
    <n v="1189200"/>
    <x v="1"/>
    <s v="3 water claims (2 over 3 years old); per app, for sale and possible leaks"/>
    <x v="0"/>
    <s v="Requested confirmation of occupancy as quoted as HO3 primary, also descript of leaks. If confirms-may offer with $10K water ded//home is occupied until sale,. No leaks, approved with $10K ded"/>
    <m/>
    <m/>
    <s v="Burdine"/>
  </r>
  <r>
    <x v="52"/>
    <x v="2"/>
    <s v="CA"/>
    <s v="Alison"/>
    <s v="Email"/>
    <s v="Hakim"/>
    <s v="Steven"/>
    <s v="DP3 Builders Risk"/>
    <s v="Beverly Hills"/>
    <s v="CA"/>
    <m/>
    <n v="2"/>
    <n v="3500000"/>
    <n v="3850000"/>
    <x v="0"/>
    <s v="DP3, prior home demolished, rebuilding from ground up, no brush"/>
    <x v="0"/>
    <s v="Requested BR questionnaire//approved subject to BRQ"/>
    <m/>
    <m/>
    <s v="Burdine"/>
  </r>
  <r>
    <x v="53"/>
    <x v="3"/>
    <s v="MA"/>
    <s v="Sean"/>
    <s v="Email"/>
    <s v="Beauregard"/>
    <s v="Donald K &amp; Antonietta"/>
    <s v="HO3 Primary"/>
    <s v="Wellfleet"/>
    <s v="MA"/>
    <m/>
    <m/>
    <n v="61000"/>
    <n v="95000"/>
    <x v="2"/>
    <s v="Agent inquiring if a mobile home on blocks qualifies for an HO-3."/>
    <x v="2"/>
    <s v="Advised of our position - once a MH always a MH"/>
    <m/>
    <m/>
    <s v="Patterson"/>
  </r>
  <r>
    <x v="53"/>
    <x v="0"/>
    <s v="MI"/>
    <s v="Rachel"/>
    <s v="Email"/>
    <s v="Aleman"/>
    <s v="Pablo"/>
    <s v="HO3 Primary"/>
    <s v="Palm Springs"/>
    <s v="CA"/>
    <m/>
    <n v="3"/>
    <n v="728380"/>
    <n v="1456085"/>
    <x v="1"/>
    <s v="Insured moved to new home. Prior location was burglarized and torched when they were in Mexico. $500K jewelry, pens, Rolex and 2 expensive cars stolen. Risk not in brush. Police report provided."/>
    <x v="4"/>
    <s v="Need more info on the case. Report shows witnesses, but not that there was an arrest."/>
    <s v="Ins score is 775 and no concerns. Insd prior business has no adverse info. No adverse info on the insd."/>
    <m/>
    <s v="Patterson"/>
  </r>
  <r>
    <x v="54"/>
    <x v="2"/>
    <s v="CA"/>
    <s v="Gina"/>
    <s v="Email"/>
    <s v="Michael S. Agron Living Trust"/>
    <m/>
    <s v="HO3 Primary"/>
    <s v="Bradbury"/>
    <s v="CA"/>
    <m/>
    <n v="3"/>
    <n v="1785380"/>
    <n v="2740000"/>
    <x v="5"/>
    <s v="1986 home. Insured has horse boarding business as well as insured takes in rescue animals. Currently has camel, llama, peacocks, dogs, and more. There is a farm policy. Online shows full blown horse boarding. Agent asked for $300K liability."/>
    <x v="2"/>
    <s v="Concerned about what exposure could become with the rescue animals. "/>
    <m/>
    <m/>
    <s v="Patterson"/>
  </r>
  <r>
    <x v="54"/>
    <x v="0"/>
    <s v="MI"/>
    <s v="Jill"/>
    <s v="Email"/>
    <s v="Teaford"/>
    <s v="Stephen"/>
    <s v="HO3 Seas/Sec"/>
    <s v="Elkton"/>
    <s v="MD"/>
    <m/>
    <n v="10"/>
    <n v="1400000"/>
    <n v="2000000"/>
    <x v="8"/>
    <s v="17 minute response time, MD risk, $7,325.00 premium; Seasonal (will confirm if rental exposure, rated as no rental), built in 1982/some updates, no losses"/>
    <x v="0"/>
    <s v="PCQ, online info OK. Need to surcharge 25% to get to closer to agreed rate for extended response time. Also requested alarms be confirmed"/>
    <m/>
    <m/>
    <s v="Burdine"/>
  </r>
  <r>
    <x v="55"/>
    <x v="0"/>
    <s v="MI"/>
    <s v="David"/>
    <s v="Email"/>
    <s v="ESTATE OF MANDELL L &amp; MADELINE"/>
    <s v="ESTATE OF MANDELL L &amp; MADELINE"/>
    <s v="DP3 Vacant"/>
    <s v="Franklin"/>
    <s v="MI"/>
    <m/>
    <n v="4"/>
    <n v="2655000"/>
    <n v="3686000"/>
    <x v="2"/>
    <s v="Built in 1949; Full Updates to Heating, Wiring, Roofing, Plumbing; Vacant but requesting $500K in contents. "/>
    <x v="1"/>
    <s v="Per online info , home not for sale. Requested reason for vacancy and if home periodically checked on. //agt confirmed parents passed away, children preparing to sell and regularly check home and also has alarms in home."/>
    <m/>
    <m/>
    <s v="Burdine"/>
  </r>
  <r>
    <x v="55"/>
    <x v="8"/>
    <s v="NC"/>
    <s v="Tammi"/>
    <s v="Email"/>
    <s v="Minkhorst"/>
    <m/>
    <s v="HO3 Primary"/>
    <m/>
    <m/>
    <m/>
    <m/>
    <n v="1800000"/>
    <n v="2200000"/>
    <x v="9"/>
    <s v="Coastal risk coming in with $9116 wind and total $14533. Agt wants to match competitor $11500. "/>
    <x v="2"/>
    <s v="Reviewed w/Bethany. Only .11 cent ROL. Need .20-.24"/>
    <m/>
    <m/>
    <s v="Patterson"/>
  </r>
  <r>
    <x v="55"/>
    <x v="0"/>
    <s v="MI"/>
    <s v="Alexa"/>
    <s v="Email"/>
    <s v="Fernbaugh"/>
    <s v="James"/>
    <s v="HO3 Primary"/>
    <s v="Rim Forest"/>
    <s v="CA"/>
    <m/>
    <n v="5"/>
    <n v="230000"/>
    <n v="414000"/>
    <x v="5"/>
    <s v="Home was built in 1978 of frame construction, PC5 ,local alarm. Full roof update in 2006. Rated as brush as the risk meter would not pull the address. The insured's make toffee in their home and sell for profit. Absolutely no foot traffic in the home, no employees and they have BPP &amp; CGL in place."/>
    <x v="1"/>
    <s v="Proper insurance in place for business exposure;  website OK: https://thetoffeepot.com/"/>
    <m/>
    <m/>
    <s v="Burdine"/>
  </r>
  <r>
    <x v="56"/>
    <x v="0"/>
    <s v="MI"/>
    <s v="Rachel"/>
    <s v="Email"/>
    <s v="Shinavar"/>
    <s v="Nicole"/>
    <s v="DP3 Builders Risk"/>
    <s v="Las Vegas"/>
    <s v="NV"/>
    <m/>
    <n v="2"/>
    <n v="515300"/>
    <n v="633360"/>
    <x v="1"/>
    <s v="_x000a_Attached is a builders risk DP-3 four-plex located in NV. Home was built in 1984 of frame construction, with full roof updates in 2017. PC2. 3 losses, one open.-fire loss, $100K reserve. Anticipated closing date 03/31 or upon completion of repairs. Fire loss due to accidental cooking fire. 1 unit still ok, other 3 under repairs.  (quoted premium $4990)_x000a_"/>
    <x v="1"/>
    <s v="Requested status of repairs//about 20% complete. Mostly kitchen left (already gutted). Agreed with 5% surcharge"/>
    <m/>
    <m/>
    <s v="Burdine"/>
  </r>
  <r>
    <x v="57"/>
    <x v="2"/>
    <s v="CA"/>
    <s v="Alex"/>
    <s v="Email"/>
    <s v="Averre"/>
    <s v="Berton"/>
    <s v="HO3 Primary"/>
    <s v="Palisades"/>
    <s v="CA"/>
    <m/>
    <m/>
    <m/>
    <m/>
    <x v="3"/>
    <s v="Applicant is possible target. Wanted to check before offering terms"/>
    <x v="1"/>
    <s v="Was a member of band, most hits in 70s/80s. Nothing recent no concerns. Confirmed with LT OK to offer w/ liab"/>
    <m/>
    <m/>
    <s v="Burdine"/>
  </r>
  <r>
    <x v="57"/>
    <x v="7"/>
    <s v="MI"/>
    <s v="John"/>
    <s v="Email"/>
    <s v="Klewein"/>
    <s v="Jeff"/>
    <s v="HO3 Seas/Sec"/>
    <s v="Linn"/>
    <s v="KS"/>
    <m/>
    <n v="9"/>
    <n v="1500000"/>
    <m/>
    <x v="5"/>
    <s v="secondary home, 3 losses (2 in last 5 years) all weather; inlaws have rent land from applicant for cattle (they have GL in place)"/>
    <x v="0"/>
    <s v="app has as PC 9, requested PCQ. Advised can consider w/ acceptable PCQ, business exclusion, and animal exclusion. Also claim surcharges//Acceptable PCQ received. Approved subj to exclusions/surcharge"/>
    <m/>
    <m/>
    <s v="Burdine"/>
  </r>
  <r>
    <x v="57"/>
    <x v="0"/>
    <s v="MI"/>
    <s v="Lindsay"/>
    <s v="Email"/>
    <s v="Barosela"/>
    <s v="Paul"/>
    <s v="HO3 Seas/Sec"/>
    <s v="Greenwood"/>
    <s v="MO"/>
    <m/>
    <n v="3"/>
    <n v="354700"/>
    <n v="709400"/>
    <x v="5"/>
    <s v="Attached is a primary home located in MO. Frame construction, built in 1998 roof updated in 2014, PC3, no losses, G insurance score. Full time boat repair shop on the property, no employees, detached structure. Business policies in place, quoted w/ TBE"/>
    <x v="0"/>
    <s v="approval to offer terms on this risk, subject to the total business exclusion being applied. From the description and satellite image of the property, it appears there is a very clear separation of the business. However, please be sure there are not large amounts of fuel stored on the premises. Please be aware--given the type of business this does not qualify for the In-Home Incidental Business Program"/>
    <m/>
    <m/>
    <s v="Burdine"/>
  </r>
  <r>
    <x v="57"/>
    <x v="2"/>
    <s v="CA"/>
    <s v="Alison"/>
    <s v="Call"/>
    <s v="Moonflower LLC"/>
    <m/>
    <s v="DP3 Builders Risk"/>
    <s v="Santa Barbara"/>
    <s v="CA"/>
    <m/>
    <s v=" "/>
    <n v="1500000"/>
    <m/>
    <x v="11"/>
    <s v="1940 gutted and remodeled home going through renovation. Construction is mid-term, renewal comes up 4/1. Agt wants Markel to write this. It is currently insured wrong under some kind of coml policy. Not in brush."/>
    <x v="0"/>
    <s v="Agent is submitting for review. Sounds like it will be okay."/>
    <s v="2nd call/update - 2 weeks from completion. Will be seasonal/rental on HO-3. Agt will rate with a 25% annual surcharge rate to keep competitive. Almost completed, exposure should be minor. "/>
    <m/>
    <s v="Patterson"/>
  </r>
  <r>
    <x v="57"/>
    <x v="2"/>
    <s v="CA"/>
    <s v="Alison"/>
    <s v="Call"/>
    <s v="Norris"/>
    <s v="Eureka &amp; Whitman, Anthony"/>
    <s v="HO3 Primary"/>
    <m/>
    <s v="CA"/>
    <m/>
    <m/>
    <m/>
    <m/>
    <x v="1"/>
    <s v="Pol cancelled w/Mercury for material misrep. Prior theft claim, alleged the insured provided erroneous receipts to substantiate loss. Insd disagrees. A second loss for fallen tree was declined. "/>
    <x v="2"/>
    <s v="Insured is suing for the misrep, another sign we don't want to be in the middle of the issue."/>
    <m/>
    <m/>
    <s v="Patterson"/>
  </r>
  <r>
    <x v="57"/>
    <x v="2"/>
    <s v="CA"/>
    <s v="Alison"/>
    <s v="Call"/>
    <s v="Pomee"/>
    <s v="Lorie"/>
    <s v="HO3 Primary"/>
    <m/>
    <s v="CA"/>
    <m/>
    <m/>
    <m/>
    <m/>
    <x v="12"/>
    <s v="Nice looking home. Insd is a landscaper and has some business storage on premises. Back yard is messy per insp sent."/>
    <x v="4"/>
    <s v="Find out more info on the business. Also, looks like backyard is being re-landscaped. Agt will verify. Looks like a nice house, would be okay with tidying up. Total Business Exclusion could apply."/>
    <m/>
    <m/>
    <s v="Patterson"/>
  </r>
  <r>
    <x v="58"/>
    <x v="9"/>
    <s v="CA"/>
    <s v="Lisa"/>
    <s v="Email"/>
    <s v="Perrins"/>
    <s v="Steven &amp; Dawson"/>
    <s v="HO3 Primary"/>
    <s v="Oroville"/>
    <s v="CA"/>
    <m/>
    <n v="9"/>
    <n v="1122500"/>
    <n v="2020500"/>
    <x v="8"/>
    <s v="1992 builder, central alarms, PC 9, brush, no losses"/>
    <x v="1"/>
    <s v="PCQ ,premium, online info OK"/>
    <m/>
    <m/>
    <s v="Burdine"/>
  </r>
  <r>
    <x v="58"/>
    <x v="2"/>
    <s v="CA"/>
    <s v="Bobbi"/>
    <s v="Email"/>
    <s v="DeFrenza"/>
    <s v="Antonio"/>
    <s v="HO3 Seas/Sec"/>
    <s v="Big Bear Lake"/>
    <s v="CA"/>
    <m/>
    <m/>
    <n v="986000"/>
    <n v="1186000"/>
    <x v="1"/>
    <s v="$260,000 water loss, caused 04/19/2017; part failure. Alarm company notice condensation on windows and notified insured of possible water issues"/>
    <x v="0"/>
    <s v="water exclusion; advised if other mitigations put into place (i.e. water shut off or alarm) may consider w/ special h20 deductible"/>
    <m/>
    <m/>
    <s v="Burdine"/>
  </r>
  <r>
    <x v="58"/>
    <x v="2"/>
    <s v="CA"/>
    <s v="Alison"/>
    <s v="Email"/>
    <s v="Simantob"/>
    <s v="Shahriar"/>
    <s v="DP3 Rental"/>
    <s v="Beverly Hills"/>
    <s v="CA"/>
    <m/>
    <n v="2"/>
    <n v="3200000"/>
    <n v="4220000"/>
    <x v="0"/>
    <s v="prior approval, didn't accept at that time. No change in risk."/>
    <x v="1"/>
    <s v="photos, app, RM OK"/>
    <m/>
    <m/>
    <s v="Burdine"/>
  </r>
  <r>
    <x v="58"/>
    <x v="6"/>
    <s v="CO"/>
    <s v="Allison"/>
    <s v="Email"/>
    <s v="Peterson"/>
    <s v="Joel &amp; Diana"/>
    <s v="HO3 Builders Risk"/>
    <s v="Park City"/>
    <s v="UT"/>
    <m/>
    <n v="3"/>
    <n v="3500000"/>
    <n v="3500000"/>
    <x v="11"/>
    <s v="This is a brand new build where the insured thought the contractor was carrying the builder’s risk policy, but found out they weren’t.  So they are now looking for coverage, and it’s 50% complete with home being walled and roofed; no losses"/>
    <x v="0"/>
    <s v="approval to offer terms with an additional 20% surcharge for late entry"/>
    <m/>
    <m/>
    <s v="Burdine"/>
  </r>
  <r>
    <x v="59"/>
    <x v="9"/>
    <s v="CA"/>
    <s v="Melissa"/>
    <s v="Email"/>
    <s v="Ardalan"/>
    <s v="Pezhman &amp; Maryam"/>
    <s v="HO3 Primary"/>
    <s v="Murietta"/>
    <s v="CA"/>
    <m/>
    <n v="10"/>
    <n v="2000000"/>
    <n v="3350000"/>
    <x v="0"/>
    <s v="2003 dwelling in brush, PC10, over $3M TIV. "/>
    <x v="2"/>
    <s v="Agent must have forgot TIV MAX is $3M. Sent copy/paste of guidelines."/>
    <m/>
    <m/>
    <s v="Patterson"/>
  </r>
  <r>
    <x v="59"/>
    <x v="2"/>
    <s v="CA"/>
    <s v="Alison"/>
    <s v="Email/Call"/>
    <s v="Pakzad"/>
    <s v="Nicolas"/>
    <s v="HO3 Primary"/>
    <s v="Beverly Hills"/>
    <s v="CA"/>
    <m/>
    <m/>
    <n v="1000000"/>
    <m/>
    <x v="3"/>
    <s v="Insureds father was owner of high end boutique. Son inherited. Owns 2 properties near each other. Agent is writing them separately. Primary and guest house. "/>
    <x v="1"/>
    <s v="Reviewed w/Louisa. Not too famous."/>
    <m/>
    <m/>
    <s v="Patterson"/>
  </r>
  <r>
    <x v="60"/>
    <x v="6"/>
    <s v="CA"/>
    <s v="Alison"/>
    <s v="Email"/>
    <s v="Anderson"/>
    <s v="Roger"/>
    <s v="HO3 Seas/Sec w/Rental"/>
    <s v="San Diego"/>
    <s v="CA"/>
    <m/>
    <n v="4"/>
    <n v="3724000"/>
    <n v="4968800"/>
    <x v="0"/>
    <s v="no brush, high-value, rented, but for sale (will confirm actively rented)"/>
    <x v="1"/>
    <s v="reminded of max TIV"/>
    <m/>
    <m/>
    <s v="Burdine"/>
  </r>
  <r>
    <x v="60"/>
    <x v="0"/>
    <s v="MI"/>
    <s v="Rachel"/>
    <s v="Email"/>
    <s v="Hernandez"/>
    <s v="Val"/>
    <s v="HO3 Seas/Sec"/>
    <s v="Madison"/>
    <s v="WI"/>
    <m/>
    <n v="10"/>
    <n v="500000"/>
    <n v="1000000"/>
    <x v="8"/>
    <s v="WI risk (no brush), response time 17-30 minutes, no alarms"/>
    <x v="0"/>
    <s v="photos, value, PCQ acceptable, advised need to get to .60/100 as agreed"/>
    <m/>
    <m/>
    <s v="Burdine"/>
  </r>
  <r>
    <x v="60"/>
    <x v="7"/>
    <s v="MI"/>
    <s v="Cheryl"/>
    <s v="Email"/>
    <s v="Phaliwal"/>
    <s v="Asab"/>
    <s v="HO3 Primary"/>
    <s v="Northville"/>
    <s v="MI"/>
    <m/>
    <m/>
    <n v="600000"/>
    <m/>
    <x v="1"/>
    <s v="Insured has a dog with a prior bite and open liability claim.  They are keeping the dog.  Agent quoting with animal liability exclusion."/>
    <x v="1"/>
    <m/>
    <m/>
    <m/>
    <s v="Patterson"/>
  </r>
  <r>
    <x v="61"/>
    <x v="6"/>
    <s v="CO"/>
    <s v="Allison"/>
    <s v="Email"/>
    <s v="Talenfeld"/>
    <s v="Elizabeth"/>
    <s v="HO3 Seas/Sec"/>
    <s v="Somerset"/>
    <s v="CO"/>
    <m/>
    <n v="10"/>
    <n v="1000000"/>
    <n v="1120000"/>
    <x v="8"/>
    <s v="Insured has a dome home used seasonally now that agent wants to insure for $100K with a roof exclusion. Will be starting construction on a $1M seasonal this summer, ground up. Road not accessible year round, but will be when new home is built. "/>
    <x v="0"/>
    <s v="Can't do dome home unless they have a valid estimator that has &quot;dome&quot; construction option.  Can do builders risk - ok with .80 rate now and .65 when occupied due to extended response time - 15 miles, 5 is dirt."/>
    <m/>
    <m/>
    <s v="Patterson"/>
  </r>
  <r>
    <x v="61"/>
    <x v="0"/>
    <s v="MI"/>
    <s v="Delta"/>
    <s v="Email"/>
    <s v="Stilson"/>
    <s v="Earl"/>
    <s v="HO3 Primary"/>
    <s v="Clay"/>
    <s v="MI"/>
    <m/>
    <n v="6"/>
    <n v="1637500"/>
    <n v="2538125"/>
    <x v="2"/>
    <s v="1925 updated large dwelling which was an inn, then adult daycare, now insured's primary. Still zoned commercial. "/>
    <x v="0"/>
    <s v="Check insurance score. Found online articles saying insured is going to push for rezoning to make this a drug rehab facility. Advised we need to cancel this policy if that happens and r/w to commercial. Suggested Total Business Excl be added."/>
    <m/>
    <m/>
    <s v="Patterson"/>
  </r>
  <r>
    <x v="61"/>
    <x v="0"/>
    <s v="MI"/>
    <s v="Rachel"/>
    <s v="Email"/>
    <s v="Pluto LLC"/>
    <m/>
    <s v="HO3 Seas/Sec w/Rental"/>
    <s v="Tchula"/>
    <s v="MS"/>
    <m/>
    <n v="10"/>
    <n v="260000"/>
    <n v="290000"/>
    <x v="8"/>
    <s v="1924 dwelling with updates. Home was the feature of a book Dispatches from Pluto. Individuals rent through AirBnB. App notes an event to &quot;launch the house&quot; Online lists horses and centralized hunting headquarters. 20 min response time. No galvanized. WBS are decorative, not used. "/>
    <x v="3"/>
    <s v="Suggested event policy for the house launch as business excl may apply. Need WBS quests or permanently seal loading doors."/>
    <s v="1.35/100 rate!"/>
    <m/>
    <s v="Patterson"/>
  </r>
  <r>
    <x v="61"/>
    <x v="2"/>
    <s v="CA"/>
    <s v="Alison"/>
    <s v="Email"/>
    <s v="Partovy"/>
    <s v="Katherine"/>
    <s v="HO3 Seas/Sec w/Rental"/>
    <s v="Malibu"/>
    <s v="CA"/>
    <m/>
    <m/>
    <n v="1300000"/>
    <n v="2200000"/>
    <x v="0"/>
    <s v="Vacation rental not in brush."/>
    <x v="1"/>
    <s v="This appears to be within Alison's authority. Asked her about it."/>
    <m/>
    <m/>
    <s v="Patterson"/>
  </r>
  <r>
    <x v="61"/>
    <x v="0"/>
    <s v="MI"/>
    <s v="Delta"/>
    <s v="Email"/>
    <s v="Estate of Daniel L Berman"/>
    <m/>
    <s v="DP3 Vacant"/>
    <s v="Robertson"/>
    <s v="WY"/>
    <m/>
    <n v="10"/>
    <n v="485000"/>
    <n v="558500"/>
    <x v="8"/>
    <s v="1995 log home vacant and for sale. Top tier credit. No losses, no alarm. 600 acres leased for hay. That individual watches the house. "/>
    <x v="0"/>
    <s v="Add TBE to exclude the leased farming."/>
    <s v="Agt quoted .70 rate. I increased to $1.00 for vacant and for sale with 20-25 min response time."/>
    <m/>
    <s v="Patterson"/>
  </r>
  <r>
    <x v="61"/>
    <x v="8"/>
    <s v="NC"/>
    <s v="Tim"/>
    <s v="Email"/>
    <s v="Saboeiro"/>
    <s v="Greg"/>
    <s v="HO3 Primary"/>
    <s v="Okatie "/>
    <s v="SC"/>
    <m/>
    <n v="10"/>
    <n v="1100000"/>
    <n v="2200000"/>
    <x v="8"/>
    <s v="2000 home in established golf/retirement community w/hydrants. FD is 6.6 miles away, just over 15 min response. Agt quoting w/20% surcharge with central station alarm subjectivity."/>
    <x v="1"/>
    <s v="Comfortable with the rate. This is a good &quot;10&quot; situation and it is for Tim who never asks for exceptions. Map shows 17 min response."/>
    <m/>
    <m/>
    <s v="Patterson"/>
  </r>
  <r>
    <x v="62"/>
    <x v="2"/>
    <s v="CA"/>
    <s v="Alison"/>
    <s v="Email"/>
    <s v="Contreras"/>
    <s v="Meliton"/>
    <s v="HO3 Builders Risk"/>
    <s v="Montello"/>
    <s v="CA"/>
    <m/>
    <m/>
    <n v="900000"/>
    <m/>
    <x v="1"/>
    <s v="New build with a tenant dwelling on the same property. Prior losses = fire loss/total due to elec malfunction of heat lamp in garage used with their pet gecko. Will get fire marshal report. Also had 12/16 broken copper pipe loss in owned unit and another $4k water loss in tenant unit."/>
    <x v="1"/>
    <s v="It is challenging for them to get fire marshal reports to release a quote.  Agreed to provide at time of binding. We can always decline then. Agreed to allow oth str rented to others form for the rental dwelling."/>
    <m/>
    <m/>
    <s v="Patterson"/>
  </r>
  <r>
    <x v="62"/>
    <x v="0"/>
    <s v="MI"/>
    <s v="Lindsay"/>
    <s v="Email"/>
    <s v="Resch"/>
    <s v="Brandon    "/>
    <s v="HO3 Primary"/>
    <s v="Encinitas"/>
    <s v="CA"/>
    <m/>
    <n v="3"/>
    <n v="280000"/>
    <n v="439000"/>
    <x v="5"/>
    <s v="1972 home updated, A ins score. Insd rents stable to others for 2 horses. Stable at property entrance. Horse owners visit property. No GL or farm policy in place. Agt excluding liab and applying TBE and animal exclusion."/>
    <x v="0"/>
    <s v="Also asked for building exclusion and pointed out if liab is excluded they don't have to apply animal liab excl on top of it."/>
    <m/>
    <m/>
    <s v="Patterson"/>
  </r>
  <r>
    <x v="62"/>
    <x v="0"/>
    <s v="MI"/>
    <s v="Lindsay"/>
    <s v="Email"/>
    <s v="Clancy"/>
    <s v="Christian"/>
    <s v="HO3 Primary"/>
    <m/>
    <s v="CA"/>
    <m/>
    <n v="2"/>
    <n v="1142000"/>
    <n v="2055600"/>
    <x v="3"/>
    <s v="Insd is manager to rapper Tyler the Creator."/>
    <x v="2"/>
    <s v="Tyler is too high profile.  Manager is closely associated."/>
    <s v="Reviewed w/Louisa"/>
    <m/>
    <s v="Patterson"/>
  </r>
  <r>
    <x v="62"/>
    <x v="0"/>
    <s v="MI"/>
    <s v="Delta"/>
    <s v="Email"/>
    <s v="Porec"/>
    <s v="Sherwin"/>
    <s v="HO3 Primary"/>
    <s v="Deerfield"/>
    <s v="IL"/>
    <m/>
    <n v="3"/>
    <n v="230000"/>
    <n v="494500"/>
    <x v="1"/>
    <s v="1956 home updated. K ins score. 3 losses - 1/18 car hit garage $2500; 4/17 hail roof $7732; 2/16 car hit garage $988. $2500 ded applied. Total business excl applied."/>
    <x v="0"/>
    <s v="Considered excluding garage, but losses were small and $2500 ded is quoted. Asked agt to note file to consider excluding garage if there are other losses. Reviewed policy language. Vehicle and equipment stored in garage is not considered excluded under business Cov B."/>
    <m/>
    <m/>
    <s v="Patterson"/>
  </r>
  <r>
    <x v="62"/>
    <x v="2"/>
    <s v="CA"/>
    <s v="Bobbi"/>
    <s v="Email"/>
    <s v="Skytt"/>
    <s v="Jennifer"/>
    <s v="DP3 Rental"/>
    <s v="Solvang"/>
    <s v="CA"/>
    <m/>
    <m/>
    <m/>
    <m/>
    <x v="11"/>
    <s v="Insured has primary with us. Policy extended liab to a vacant piece of land. Insured started construction of a duplex on that property in November and is just now looking into getting insurance. BR supplement says work will be completed in May. Unknown how much work is left or if we will retain policy."/>
    <x v="4"/>
    <s v="Will we retain? How much work is left? May consider if we will retain even though close to completion.  Apply adequate s/c to make up for missing out on initial building."/>
    <m/>
    <m/>
    <s v="Patterson"/>
  </r>
  <r>
    <x v="63"/>
    <x v="0"/>
    <s v="MI"/>
    <s v="Rachel"/>
    <s v="Email"/>
    <s v="Darrock"/>
    <s v="Donald &amp; Naomi"/>
    <s v="DP3 Rental"/>
    <s v="Tucson"/>
    <s v="AZ"/>
    <m/>
    <n v="4"/>
    <n v="220000"/>
    <n v="267000"/>
    <x v="2"/>
    <s v="2003 dwelling w/7/17 bath fan malfunction loss $13,400. Insured owns this as a residential rental in a neighborhood.  The State of AZ has placed 2 handicapped individuals there with 2 caretakers. State of AZ has provided a liability policy. This quote excludes liab and includes Total Business Exclusion."/>
    <x v="1"/>
    <s v="Residential dwelling, insured is not conducting a group home or assisted living. Occupancy is reasonable. No liability."/>
    <m/>
    <m/>
    <s v="Patterson"/>
  </r>
  <r>
    <x v="63"/>
    <x v="2"/>
    <s v="CA"/>
    <s v="Bobbi"/>
    <s v="Email"/>
    <s v="Kinyon"/>
    <s v="Barry &amp; Holly"/>
    <s v="DP3 Rental"/>
    <s v="Malibu"/>
    <s v="CA"/>
    <m/>
    <n v="4"/>
    <n v="1175000"/>
    <n v="1550000"/>
    <x v="0"/>
    <s v="1956 dwelling gut/update in 2002. Nice online photos. Insured lives across the street. Not in brush. We asked 90265 to be referred case by case."/>
    <x v="1"/>
    <s v="Nice risk, insured is close. Good individual exception."/>
    <m/>
    <m/>
    <s v="Patterson"/>
  </r>
  <r>
    <x v="63"/>
    <x v="0"/>
    <s v="MI"/>
    <s v="Rachel"/>
    <s v="Email"/>
    <s v="Brown"/>
    <s v="Joseph J"/>
    <s v="HO3 Primary"/>
    <s v="Cheboygan "/>
    <s v="WI"/>
    <m/>
    <n v="2"/>
    <n v="220000"/>
    <n v="352000"/>
    <x v="5"/>
    <s v="1964 home with heat, roof, plumb updates. Elec not updated. Insd starting a welding and woodworking business in his detached garage. Smootharc LLC. GL will be obtained. Light foot traffic. Garage exclusion and Total Business exclusion."/>
    <x v="2"/>
    <s v="OK with exclusions IF there is 30' clearance on all sides. Online photos show a close neighborhood. Also need garage on separate breaker/circuit. 1964 home no updates, don't want this drawing off/taxing/overloading the house circuits. Also require GL to be maintained. // Received information that the clearance on 2 sides is more like 20 feet. Considered adjusting our terms to exclude liability, but honestly feel we need 30 feet. This is a residential neighborhood.  If something happens we could be looking at a very large defense cost. Determined declination was the best option. "/>
    <m/>
    <m/>
    <s v="Patterson"/>
  </r>
  <r>
    <x v="63"/>
    <x v="0"/>
    <s v="MI"/>
    <s v="Rachel"/>
    <s v="Email"/>
    <s v="Kressel"/>
    <s v="Lynn"/>
    <s v="HO3 Builders Risk"/>
    <s v="Los Angeles"/>
    <s v="CA"/>
    <m/>
    <n v="1"/>
    <n v="3150000"/>
    <n v="3780000"/>
    <x v="3"/>
    <s v="1981 risk updated in 2018. Remodeling going on. Roof is tile, not updated original 1981. Other systems updated. Insured is a casting director of many programs. No adverse info found."/>
    <x v="1"/>
    <s v="No adverse info found. Roof is eligible within 40 years."/>
    <m/>
    <m/>
    <s v="Patterson"/>
  </r>
  <r>
    <x v="63"/>
    <x v="2"/>
    <s v="CA"/>
    <s v="Alison"/>
    <s v="Call"/>
    <s v="Cauden Ltd a BVI Ltd Co."/>
    <m/>
    <s v="HO3 Seas/Sec"/>
    <s v="Sherman Oaks"/>
    <s v="CA"/>
    <m/>
    <m/>
    <n v="1000000"/>
    <m/>
    <x v="7"/>
    <s v="Named Insured out of Country:  Agent wondered if we had an issue with the named insured.  "/>
    <x v="1"/>
    <s v="We have written overseas named insured's before. Agt says no adverse info online, couldn't find anything. Will get LLC questionnaire."/>
    <m/>
    <m/>
    <s v="Patterson"/>
  </r>
  <r>
    <x v="64"/>
    <x v="2"/>
    <s v="CA"/>
    <s v="Alison"/>
    <s v="Email"/>
    <s v="Jinhong"/>
    <s v="Li"/>
    <s v="DP3 Rental"/>
    <s v="Newport Coast"/>
    <s v="CA"/>
    <m/>
    <m/>
    <n v="2800000"/>
    <n v="3300000"/>
    <x v="0"/>
    <s v="Rental, no brush"/>
    <x v="0"/>
    <s v="Reviewed online sources, no photos-per app and online home sold in 10/2017 for $7M. Approved subj to appropriate coverage A being quoted and alarm requirements being met"/>
    <m/>
    <m/>
    <s v="Burdine"/>
  </r>
  <r>
    <x v="64"/>
    <x v="2"/>
    <s v="CA"/>
    <s v="Alison"/>
    <s v="Email"/>
    <s v="Rusconi"/>
    <s v="John"/>
    <s v="HO3 Primary"/>
    <s v="Malibu"/>
    <s v="CA"/>
    <m/>
    <n v="4"/>
    <n v="1200000"/>
    <n v="2290000"/>
    <x v="0"/>
    <s v="Malibu risk, no brush, 1946 build"/>
    <x v="0"/>
    <s v="Approved subj to alarm requirements being met; also acceptable OHQ"/>
    <m/>
    <m/>
    <s v="Burdine"/>
  </r>
  <r>
    <x v="64"/>
    <x v="7"/>
    <s v="MI"/>
    <s v="Lori"/>
    <s v="Email"/>
    <s v="Jenkins"/>
    <s v="Kory &amp; Sarah"/>
    <s v="HO3 Primary"/>
    <s v="Noblesville"/>
    <s v="IN"/>
    <m/>
    <n v="4"/>
    <n v="274500"/>
    <n v="587825"/>
    <x v="1"/>
    <s v="3 water losses, 2014, 2016, 2017 loss dates (sump pump back up in basement), $5K water ded quoted, $10K backup limit"/>
    <x v="1"/>
    <s v="approved as quoted"/>
    <m/>
    <m/>
    <s v="Burdine"/>
  </r>
  <r>
    <x v="64"/>
    <x v="7"/>
    <s v="MI"/>
    <s v="Lori"/>
    <s v="Email"/>
    <s v="Gast"/>
    <s v="Kelly"/>
    <s v="HO3 Primary"/>
    <s v="Hancock"/>
    <s v="MI"/>
    <m/>
    <m/>
    <n v="115000"/>
    <n v="241500"/>
    <x v="5"/>
    <s v="daycare on premises, seeking coverage elsewhere for business exposure"/>
    <x v="0"/>
    <s v="subject to TBE and securing business coverage for daycare exposure; reviewed online info and home is licensed for up to 6 children"/>
    <m/>
    <m/>
    <s v="Burdine"/>
  </r>
  <r>
    <x v="64"/>
    <x v="0"/>
    <s v="MI"/>
    <s v="Danielle"/>
    <s v="Email"/>
    <s v="Connell"/>
    <s v="Teresa"/>
    <s v="HO3 Primary"/>
    <s v="Girardeau"/>
    <s v="MO"/>
    <m/>
    <n v="4"/>
    <n v="100000"/>
    <n v="180000"/>
    <x v="4"/>
    <s v="Age of Home: Cellar was built in 1847, but the home's  structural integrity from the ground up was built in 1920 and home renovated fully again in 2008 for roof, 2012 for electric/plumbing &amp; heating 2015.  Masonry construction with no alarms and no losses"/>
    <x v="0"/>
    <s v="subject to no outdated components in cellar"/>
    <m/>
    <m/>
    <s v="Burdine"/>
  </r>
  <r>
    <x v="64"/>
    <x v="3"/>
    <s v="MA"/>
    <s v="Therese"/>
    <s v="Email"/>
    <s v="Strang"/>
    <s v="Charles &amp; Doris"/>
    <s v="HO3 Primary"/>
    <s v="Nantucket"/>
    <s v="MA"/>
    <m/>
    <m/>
    <n v="1200000"/>
    <n v="2100000"/>
    <x v="1"/>
    <s v="2015 home with prior $1.3M fire loss due to chimney fire. Home rebuilt. No current coverage."/>
    <x v="4"/>
    <s v="Need C&amp;O report and run ins score at the time we review. Need to review reason for lapse. Did not ok subj to because of both lapse and prior fire."/>
    <m/>
    <m/>
    <s v="Patterson"/>
  </r>
  <r>
    <x v="64"/>
    <x v="2"/>
    <s v="CA"/>
    <s v="Alison"/>
    <s v="Email"/>
    <s v="Granite Peak Resorts "/>
    <m/>
    <s v="DP3 Rental"/>
    <s v="Yosemite"/>
    <s v="CA"/>
    <m/>
    <n v="6"/>
    <m/>
    <m/>
    <x v="7"/>
    <s v="7 units in Yosemite park. Agent says PC6. Experience w/other risks is that there is 30 min response. Probably brush. Letter provided of excellent fire protection and mitigation."/>
    <x v="0"/>
    <s v="Confirm clearance, confirm PC."/>
    <m/>
    <m/>
    <s v="Patterson"/>
  </r>
  <r>
    <x v="65"/>
    <x v="2"/>
    <s v="CA"/>
    <s v="Alison"/>
    <s v="Email"/>
    <s v="Azar"/>
    <s v="Elias"/>
    <s v="DP3 Vacant"/>
    <s v="Stevenson Ranch"/>
    <s v="CA"/>
    <m/>
    <n v="4"/>
    <n v="750000"/>
    <n v="850000"/>
    <x v="1"/>
    <s v="Vacant/For sale: 2 losses-02/17 theft ($0-thought had to pay for tenants property), 07/2016 smoke from nearby fire; two losses at other locations (property since sold)"/>
    <x v="1"/>
    <s v="OK with terms as quoted"/>
    <m/>
    <m/>
    <s v="Burdine"/>
  </r>
  <r>
    <x v="65"/>
    <x v="0"/>
    <s v="CA"/>
    <s v="David"/>
    <s v="Email"/>
    <s v="Dreifuss"/>
    <s v="Daniel"/>
    <s v="HO3 Primary"/>
    <s v="Los Angeles"/>
    <s v="CA"/>
    <m/>
    <n v="2"/>
    <n v="925000"/>
    <n v="1287500"/>
    <x v="3"/>
    <s v="film producer, 2 prior losses on rental property,score E, liab requested, Built in 1937; Frame construction; Full updates in 2009"/>
    <x v="0"/>
    <s v="reviewed online info, no concerns with offer liab (confirmed OK with LT), requested info on large 03/2017 claim ($85K) just to be sure no concerns carry over to this application"/>
    <m/>
    <m/>
    <s v="Burdine"/>
  </r>
  <r>
    <x v="65"/>
    <x v="0"/>
    <s v="MI"/>
    <s v="Alexa"/>
    <s v="Email"/>
    <s v="Swanson"/>
    <s v="Lesli"/>
    <s v="HO3 Seas/Sec"/>
    <m/>
    <s v="AK"/>
    <m/>
    <n v="10"/>
    <n v="300000"/>
    <m/>
    <x v="8"/>
    <s v="Remote cottage $110K TIV. 30-60 response time. $1.00 rate. Additional info provided that actually cottage is inaccessible and an inspector can't even get there. There is also no current coverage."/>
    <x v="2"/>
    <s v="Online info shows the home at this address is 2700 SF. Inaccessible and can't get an inspection, plus the lack of coverage."/>
    <s v="Discussed pricing with Bethany, don't feel we can price for this exposure."/>
    <m/>
    <s v="Patterson"/>
  </r>
  <r>
    <x v="66"/>
    <x v="2"/>
    <s v="CA"/>
    <s v="Alison"/>
    <s v="Email"/>
    <s v="Leigh"/>
    <s v="Todd"/>
    <s v="HO3 Primary"/>
    <s v="New Port"/>
    <s v="CA"/>
    <m/>
    <n v="2"/>
    <n v="1567730"/>
    <n v="2775600"/>
    <x v="1"/>
    <s v="2 water losses; have since installed flow alarm and shut off"/>
    <x v="1"/>
    <s v="mitigators in place, AOP is $5K"/>
    <m/>
    <m/>
    <s v="Burdine"/>
  </r>
  <r>
    <x v="66"/>
    <x v="2"/>
    <s v="CA"/>
    <s v="Alison"/>
    <s v="Email"/>
    <s v="7 Oceanfront Lane"/>
    <s v="7 Oceanfront Lane"/>
    <s v="DP3 Vacant"/>
    <s v="Tustin"/>
    <s v="CA"/>
    <m/>
    <n v="2"/>
    <n v="3500000"/>
    <n v="3500000"/>
    <x v="0"/>
    <s v="HV, vacant, 2018 build, no brush"/>
    <x v="0"/>
    <s v="photos OK, approved subject to TIV Alarm requirements being met"/>
    <m/>
    <m/>
    <s v="Burdine"/>
  </r>
  <r>
    <x v="66"/>
    <x v="2"/>
    <s v="CA"/>
    <s v="Alison"/>
    <s v="Email"/>
    <s v="Moritz"/>
    <s v="Steve"/>
    <s v="HO3 Primary"/>
    <s v="Los Angeles"/>
    <s v="CA"/>
    <m/>
    <n v="2"/>
    <n v="3000000"/>
    <n v="4250000"/>
    <x v="0"/>
    <s v="Primary home, within 100 feet of brush"/>
    <x v="2"/>
    <s v="Declined due to proximity to brush"/>
    <m/>
    <m/>
    <s v="Burdine"/>
  </r>
  <r>
    <x v="67"/>
    <x v="10"/>
    <s v="NC"/>
    <s v="Alecia"/>
    <s v="Email"/>
    <s v="Bentley"/>
    <s v="Thomas"/>
    <s v="HO3 Seas/Sec"/>
    <s v="Wilmington"/>
    <s v="NC"/>
    <m/>
    <m/>
    <n v="190000"/>
    <n v="350000"/>
    <x v="9"/>
    <s v="Agent quoted on 3/5. New rates 3/7. Bind request 4/10. Will we honor?"/>
    <x v="1"/>
    <s v="Jeff ok'd 45 day honor."/>
    <s v="Verified w/Louisa since this involve using a prior rate."/>
    <m/>
    <s v="Patterson"/>
  </r>
  <r>
    <x v="67"/>
    <x v="0"/>
    <s v="MI"/>
    <s v="Jill"/>
    <s v="Email"/>
    <s v="Stanton"/>
    <s v="Mindy"/>
    <s v="HO3 Primary"/>
    <s v="Wyoming"/>
    <s v="MN"/>
    <m/>
    <n v="6"/>
    <n v="509000"/>
    <n v="1100000"/>
    <x v="5"/>
    <s v="Daycare on premises.  Has coverage elsewhere for business exposure.  Quoted with Total Business Exclusion and Excluding Liability.  Up to 14 children."/>
    <x v="1"/>
    <s v="Liability excluded, plus TBE to exclude any physical damage exposures from Daycare. Daycare Coml policy in place."/>
    <m/>
    <m/>
    <s v="Patterson"/>
  </r>
  <r>
    <x v="67"/>
    <x v="2"/>
    <s v="CA"/>
    <s v="Bobbi"/>
    <s v="Email"/>
    <s v="Braun"/>
    <s v="Robert"/>
    <s v="HO3 Primary"/>
    <s v="Los Angeles"/>
    <s v="CA"/>
    <m/>
    <m/>
    <n v="2750000"/>
    <n v="4650000"/>
    <x v="0"/>
    <s v="1990 home w/alarms in med brush zone. "/>
    <x v="2"/>
    <s v="Per guidelines, can't write over $3M in brush zones."/>
    <m/>
    <m/>
    <s v="Patterson"/>
  </r>
  <r>
    <x v="67"/>
    <x v="2"/>
    <s v="CA"/>
    <s v="Bobbi"/>
    <s v="Email"/>
    <s v="Cohen"/>
    <s v="Faramarz &amp; Dalia"/>
    <s v="DP3 Vacant"/>
    <s v="Beverly Hills"/>
    <s v="CA"/>
    <m/>
    <n v="5"/>
    <n v="1500000"/>
    <n v="1940000"/>
    <x v="0"/>
    <s v="2005 dwelling w/burglar alarm. Not in brush. Writing as vacant but will be tenant occupied soon. Very nice online photos. "/>
    <x v="1"/>
    <s v="Reviewed zip list, 90210 still under the $100M exception we allowed."/>
    <m/>
    <m/>
    <s v="Patterson"/>
  </r>
  <r>
    <x v="67"/>
    <x v="2"/>
    <s v="CA"/>
    <s v="Alison"/>
    <s v="Email"/>
    <s v="Robertson"/>
    <s v="Glenn &amp; Barbara"/>
    <s v="DP3 Rental"/>
    <s v="Santa Barbara"/>
    <s v="CA"/>
    <m/>
    <n v="5"/>
    <n v="1500000"/>
    <n v="1820000"/>
    <x v="1"/>
    <s v="1880 YOC (per app) unknown if gut/reno since question on Lex app is not answered. Vacation rental that lapsed for non pay 10/17. Also, insd was having landscaping done and a worker fell in a poorly capped well. This is going under WC, not a liab loss. Insd is a divorce attorney - long established in the area. No adverse information. Google shows &quot;Williamson Web Development&quot; at this address."/>
    <x v="0"/>
    <s v="Confirm gut reno. Exclude liab as we don't know if there are other hazards or if this one is fixed. Lapse ok w/15% s/c. Investigate business. No adverse info online. Careless to let insurance lapse, but don't see this as a moral hazard. Has the means to maintain property. Very nice online photos."/>
    <m/>
    <m/>
    <s v="Patterson"/>
  </r>
  <r>
    <x v="67"/>
    <x v="7"/>
    <s v="MI"/>
    <s v="Cheryl"/>
    <s v="Email"/>
    <s v="Rottman"/>
    <s v="Darrel &amp; Patricia"/>
    <s v="HO3 Primary"/>
    <s v="Rockland"/>
    <s v="IL"/>
    <m/>
    <m/>
    <n v="267000"/>
    <n v="267000"/>
    <x v="1"/>
    <s v="05/24/2017 $282,000 fire claim; applicant cigarette in bed; oxygen tank also in home"/>
    <x v="2"/>
    <s v="Declined to due to negligence of applicant regarding large claim from prior year"/>
    <m/>
    <m/>
    <s v="Burdine"/>
  </r>
  <r>
    <x v="68"/>
    <x v="2"/>
    <s v="CA"/>
    <s v="Bobbi"/>
    <s v="Email"/>
    <s v="Guevorkian"/>
    <s v="Emma"/>
    <s v="HO3 Primary"/>
    <s v="Burbank "/>
    <s v="CA"/>
    <m/>
    <m/>
    <n v="745000"/>
    <m/>
    <x v="1"/>
    <s v="Risk has had minor damage from 2 wildfires in 2016 and 2017. In extremely low brush (RM) and Negligible-0 (FireLine). Renovated in 2017. Incomplete app."/>
    <x v="0"/>
    <s v="Asked for more fire and loss detail. PC confirmation. Roof update. Surcharge will apply as there have been 2 wildfire losses. Complete app. Considering since both fire reports show very low exposure. Reviewed w/Louisa. Low payout. Brush exposure negligible. We are getting extra 10% surcharge plus the 2 loss surcharges. Agreed to terms with increase ded from $2500 to $5000."/>
    <m/>
    <m/>
    <s v="Patterson"/>
  </r>
  <r>
    <x v="68"/>
    <x v="7"/>
    <s v="MI"/>
    <s v="John"/>
    <s v="Email"/>
    <s v="Herried"/>
    <s v="Richard"/>
    <s v="HO3 Primary"/>
    <s v="Whitehall"/>
    <s v="WI"/>
    <m/>
    <n v="9"/>
    <n v="253000"/>
    <n v="253000"/>
    <x v="2"/>
    <s v="1974 home w/updated heating and roof. 120 acres. No business or farming. Other structures coverage should be excluded per app."/>
    <x v="0"/>
    <s v="Insured is 71 years old, less concerned about hunting use, but asked John to confirm. No other structures requested."/>
    <m/>
    <m/>
    <s v="Patterson"/>
  </r>
  <r>
    <x v="68"/>
    <x v="0"/>
    <s v="MI"/>
    <s v="Jill"/>
    <s v="Email"/>
    <s v="Dean"/>
    <s v="Bob"/>
    <s v="DP3 Vacant"/>
    <s v="Baton Rouge"/>
    <s v="LA"/>
    <m/>
    <n v="2"/>
    <n v="4500000"/>
    <n v="4800000"/>
    <x v="0"/>
    <s v="Home built in 1880s, home has been completely renovated;$25k option NAMED STORM 3% WATER DAMAGE AOP $25,000 V&amp;MM "/>
    <x v="0"/>
    <s v="reminded of TIV limits; home has ornate features according to online review so requested 10% surcharge (we are lower than next lowest quote)"/>
    <m/>
    <m/>
    <s v="Burdine"/>
  </r>
  <r>
    <x v="69"/>
    <x v="2"/>
    <s v="CA"/>
    <s v="Bobbi"/>
    <s v="Email"/>
    <s v="1483 N Easterly Terrace"/>
    <m/>
    <s v="DP3 Rental"/>
    <s v="Los Angeles"/>
    <s v="CA"/>
    <m/>
    <m/>
    <n v="320000"/>
    <m/>
    <x v="12"/>
    <s v="Home is partially cantilevered at the back."/>
    <x v="0"/>
    <s v="Asked additional questions as I couldn't find any online entries. 1965 risk built by licensed contractor and engineer.  Approved subj to rush inspection to confirm stability and acceptable railings."/>
    <m/>
    <m/>
    <s v="Patterson"/>
  </r>
  <r>
    <x v="69"/>
    <x v="5"/>
    <s v="PA"/>
    <s v="Tamika"/>
    <s v="Email"/>
    <s v="Raynie"/>
    <s v="Edward"/>
    <s v="HO3 Builders Risk"/>
    <s v="Green Creek "/>
    <s v="NJ"/>
    <m/>
    <m/>
    <n v="218000"/>
    <m/>
    <x v="12"/>
    <s v="Builders risk on dwelling that is in very poor condition. New roof put on. Siding very poor condition. "/>
    <x v="2"/>
    <s v="Provided copy of the email to Ray."/>
    <m/>
    <m/>
    <s v="Patterson"/>
  </r>
  <r>
    <x v="69"/>
    <x v="6"/>
    <s v="CO"/>
    <s v="Allison"/>
    <s v="Email"/>
    <s v="Aaron"/>
    <s v="Edward &amp; Mindy"/>
    <s v="HO3 Primary"/>
    <s v="Cherry Hills Village"/>
    <s v="CO"/>
    <m/>
    <n v="3"/>
    <n v="2266000"/>
    <n v="3339000"/>
    <x v="0"/>
    <s v="and 2 losses, water leak detection, central alarms, loss 1: pool house Pipes replaced-12/2016; loss 2: basement sump pump back up-05/17 (water back up not included). Jewelry schedule over $100,000"/>
    <x v="0"/>
    <s v="No water backup, confirmed unable to do schedule"/>
    <m/>
    <m/>
    <s v="Burdine"/>
  </r>
  <r>
    <x v="69"/>
    <x v="0"/>
    <s v="MI"/>
    <s v="Alexa"/>
    <s v="Email"/>
    <s v="Schofner"/>
    <s v="Linda"/>
    <s v="HO3 Primary"/>
    <s v="Grandview"/>
    <s v="IN"/>
    <m/>
    <n v="8"/>
    <n v="135900"/>
    <n v="309435"/>
    <x v="10"/>
    <s v="Lapse since 01/2018, no central heat, 2007 build, log construction, supplemental heat source used"/>
    <x v="2"/>
    <s v="Declined due to multiple concerns (non-renewal led to lapse, cold climate with supp heat in a log home)"/>
    <m/>
    <m/>
    <s v="Burdine"/>
  </r>
  <r>
    <x v="70"/>
    <x v="0"/>
    <s v="MI"/>
    <s v="David"/>
    <s v="Email"/>
    <s v="Ahart"/>
    <s v="Ted"/>
    <s v="HO3 Primary"/>
    <s v="Placerville"/>
    <s v="CA"/>
    <m/>
    <n v="4"/>
    <n v="320000"/>
    <n v="596000"/>
    <x v="9"/>
    <s v="1950 build, no losses, primary home; match rates quote from Hull, but they have FRC instead of ACV as quoted by Burns; wants FRC"/>
    <x v="0"/>
    <s v="advised OK to match at FRC as long as partial updates have been completed"/>
    <m/>
    <m/>
    <s v="Burdine"/>
  </r>
  <r>
    <x v="70"/>
    <x v="2"/>
    <s v="CA"/>
    <s v="Steven"/>
    <s v="Email"/>
    <s v="Colquhon"/>
    <s v="Steven"/>
    <s v="HO3 Primary"/>
    <s v="Los Angeles"/>
    <s v="CA"/>
    <m/>
    <n v="2"/>
    <n v="3018432"/>
    <n v="4539900"/>
    <x v="0"/>
    <s v="AIG nonrenewal due to $218,000 liab claim (landscaping encroached onto neighbors property);  100-200 feet from brush per RM"/>
    <x v="2"/>
    <s v="100-200 feet from brush"/>
    <m/>
    <m/>
    <s v="Burdine"/>
  </r>
  <r>
    <x v="70"/>
    <x v="9"/>
    <s v="CA"/>
    <s v="Melissa"/>
    <s v="Email"/>
    <s v="Riley"/>
    <s v="Anthony"/>
    <s v="DP3 Rental"/>
    <s v="South Lake Tahoe"/>
    <s v="CA"/>
    <m/>
    <n v="4"/>
    <n v="400000"/>
    <n v="490000"/>
    <x v="1"/>
    <s v="Short term rental; 2 prior liability claims (occurred one day apart), issue was an open outlet hole;has since been remedied"/>
    <x v="1"/>
    <s v="All necessary repairs have been made; photos submitted as confirmation"/>
    <m/>
    <m/>
    <s v="Burdine"/>
  </r>
  <r>
    <x v="70"/>
    <x v="0"/>
    <s v="MI"/>
    <s v="Lindsay"/>
    <s v="Email"/>
    <s v="Priola"/>
    <s v="Anthony"/>
    <s v="HO3 Primary"/>
    <s v="Barrington Hills"/>
    <s v="IL"/>
    <m/>
    <n v="4"/>
    <n v="450000"/>
    <n v="1060836"/>
    <x v="2"/>
    <s v="Insured will be using barn as primary home, former home as other structure (not rented)"/>
    <x v="1"/>
    <s v="Photos OK, barn has central heat, plumbing, electric"/>
    <m/>
    <m/>
    <s v="Burdine"/>
  </r>
  <r>
    <x v="70"/>
    <x v="5"/>
    <s v="NJ"/>
    <s v="Sonia"/>
    <s v="Email"/>
    <s v="Granelli"/>
    <s v="Michael"/>
    <s v="DP3 Vacant"/>
    <m/>
    <m/>
    <m/>
    <m/>
    <m/>
    <m/>
    <x v="1"/>
    <s v="Policy RUA19821-open large water loss"/>
    <x v="0"/>
    <s v="$10,000 Water Damage Deductible and surcharged the premium an additional 25% as suggested by agt  "/>
    <m/>
    <m/>
    <s v="Burdine"/>
  </r>
  <r>
    <x v="70"/>
    <x v="7"/>
    <s v="MI"/>
    <s v="Cheryl"/>
    <s v="Email"/>
    <s v="Brown"/>
    <s v="Sheila"/>
    <s v="HO3 Primary"/>
    <m/>
    <s v="SC"/>
    <m/>
    <n v="4"/>
    <n v="288000"/>
    <n v="619200"/>
    <x v="1"/>
    <s v="10/23 wind loss, 01/08/2018 water loss (busted pipe)"/>
    <x v="1"/>
    <s v="suggested discussion how to winterize home (prior loss for bust pipes, insured didn't know how to deal with cold weather)"/>
    <m/>
    <m/>
    <s v="Burdine"/>
  </r>
  <r>
    <x v="71"/>
    <x v="2"/>
    <s v="CA"/>
    <s v="Alison"/>
    <s v="Email"/>
    <s v="Papritz"/>
    <s v="Saundra"/>
    <s v="HO3 Primary"/>
    <s v="Santee"/>
    <s v="CA"/>
    <m/>
    <n v="4"/>
    <n v="259875"/>
    <n v="518429"/>
    <x v="1"/>
    <s v="2 loss in last 4 years-10/2014-water damage, 01/07/2018-jewelry and cameras stolen"/>
    <x v="0"/>
    <s v="Water ded and all perils ded at least $5K"/>
    <m/>
    <m/>
    <s v="Burdine"/>
  </r>
  <r>
    <x v="72"/>
    <x v="8"/>
    <s v="NC"/>
    <s v="Alia"/>
    <s v="Email"/>
    <s v="Moore"/>
    <s v="Edward &amp; Virginia"/>
    <s v="HO3 Builders Risk"/>
    <s v="Charlotte"/>
    <s v="NC"/>
    <m/>
    <m/>
    <n v="1869900"/>
    <n v="1869900"/>
    <x v="9"/>
    <s v="Nice home with minor reno. 1860 home was completely renovated in 2016. Agent looking for .60 rate. Currently at about .73"/>
    <x v="0"/>
    <s v="Reviewed w/Louisa. We agreed to go to a .68 rate premium of $12,715. That's $1,000 credit. 15% on the non-CQ rate. // Agt re-rated without EQ and offered rate per the rater with no credit."/>
    <m/>
    <m/>
    <s v="Patterson"/>
  </r>
  <r>
    <x v="72"/>
    <x v="11"/>
    <s v="LA"/>
    <s v="Hillary"/>
    <s v="Email"/>
    <s v="Campbell"/>
    <s v="Ranadrea &amp; Jeremiah Moore"/>
    <s v="HO3 Primary"/>
    <m/>
    <m/>
    <m/>
    <m/>
    <n v="236000"/>
    <m/>
    <x v="7"/>
    <s v="Insured filed bankruptcy 3 years ago and then withdrew it, per agt. "/>
    <x v="2"/>
    <s v="Got info and ran scores. Advised agent we could not write."/>
    <s v="555,565, bankruptcy showing from 8/2014"/>
    <m/>
    <s v="Patterson"/>
  </r>
  <r>
    <x v="72"/>
    <x v="0"/>
    <s v="MI"/>
    <s v="Alexa"/>
    <s v="Email"/>
    <s v="Grayden"/>
    <s v="Sprague"/>
    <s v="HO3 Primary"/>
    <s v="Woodland Hills"/>
    <s v="CA"/>
    <m/>
    <n v="1"/>
    <n v="547000"/>
    <n v="929900"/>
    <x v="3"/>
    <s v="1987 with roof update, C/S alarms, no brush, score A, actress"/>
    <x v="1"/>
    <s v="reviewed online sources for NI and spouse; some recent work, but smaller. No concerns noted. Confirmed with LT OK to offer liability"/>
    <m/>
    <m/>
    <s v="Burdine"/>
  </r>
  <r>
    <x v="72"/>
    <x v="0"/>
    <s v="MI"/>
    <s v="Alexa"/>
    <s v="Email"/>
    <s v="Pitts"/>
    <s v="Andy &amp; Gail"/>
    <s v="HO3 Primary"/>
    <m/>
    <s v="IL"/>
    <m/>
    <n v="10"/>
    <n v="731000"/>
    <n v="1571650"/>
    <x v="8"/>
    <s v="Attached is a primary home located in IL. Home was built in 1975 with roof update 2008, heating update 2008, PC 10; D score"/>
    <x v="1"/>
    <s v="RM, PCQ, photos, premium acceptable"/>
    <m/>
    <m/>
    <s v="Burdine"/>
  </r>
  <r>
    <x v="72"/>
    <x v="2"/>
    <s v="CA"/>
    <s v="Alison"/>
    <s v="Email"/>
    <s v="Levy"/>
    <s v="Solomon"/>
    <s v="HO3 Primary"/>
    <s v="Malibu"/>
    <s v="CA"/>
    <m/>
    <m/>
    <n v="750000"/>
    <n v="950000"/>
    <x v="0"/>
    <s v="Submitting for exception in Malibu"/>
    <x v="1"/>
    <s v="No brush, photos great"/>
    <m/>
    <m/>
    <s v="Burdine"/>
  </r>
  <r>
    <x v="72"/>
    <x v="7"/>
    <s v="MI"/>
    <s v="Cheryl"/>
    <s v="Email"/>
    <s v="Dohm"/>
    <s v="Thelma"/>
    <s v="HO3 Primary w/Rental"/>
    <m/>
    <s v="MI"/>
    <m/>
    <n v="4"/>
    <n v="200000"/>
    <n v="409275"/>
    <x v="1"/>
    <s v="Coverage A $200,000 Protection class 4, 100 Amp, Natural Gas; 3 weather claims in last 3 years, 5 in last 7"/>
    <x v="0"/>
    <s v="minimum $2500 AOP deductible for loss history, ACV roof endorsement; $5000-$10K water damage deductible"/>
    <m/>
    <m/>
    <s v="Burdine"/>
  </r>
  <r>
    <x v="72"/>
    <x v="6"/>
    <s v="CO"/>
    <s v="Allison"/>
    <s v="Email"/>
    <s v="Cruse"/>
    <s v="Toby"/>
    <s v="HO6"/>
    <s v="Silverthorne"/>
    <s v="CO"/>
    <m/>
    <n v="2"/>
    <n v="50000"/>
    <n v="110000"/>
    <x v="6"/>
    <s v="Insured purchased in 12/2017 but failed to get insurance (too busy with work). Written through top agency, surcharged 10%, will do interior inspection and no loss letter"/>
    <x v="1"/>
    <s v="Approved as quoted"/>
    <m/>
    <m/>
    <s v="Burdine"/>
  </r>
  <r>
    <x v="72"/>
    <x v="7"/>
    <s v="MI"/>
    <s v="Cheryl"/>
    <s v="Email"/>
    <s v="Thomas"/>
    <s v="Harlan &amp; Rosemarie"/>
    <s v="HO3 Primary"/>
    <s v="St. Clairesville"/>
    <s v="OH"/>
    <m/>
    <n v="4"/>
    <n v="450000"/>
    <n v="450000"/>
    <x v="1"/>
    <s v="1966 build, 3 water claims in 4 years (all repaired 08/2017-$36K-leak; 10/01/2015-$10K; 05/18/2014-$5k (frozen pipe)"/>
    <x v="0"/>
    <s v="Approved w/ water exclusion//discussed further w/ agent, agreed with $20K water ded"/>
    <m/>
    <m/>
    <s v="Burdine"/>
  </r>
  <r>
    <x v="73"/>
    <x v="0"/>
    <s v="MI"/>
    <s v="Rachel"/>
    <s v="Email"/>
    <s v="Lulti"/>
    <s v="Merti"/>
    <s v="HO3 Builders Risk"/>
    <m/>
    <s v="CA"/>
    <m/>
    <n v="3"/>
    <n v="975000"/>
    <n v="975000"/>
    <x v="11"/>
    <s v="Attached is a builders risk property located in CA. Home was built in 2018 it is ground up construction, currently approx. 75% complete; RM not pulling new address, rest of city not in brush"/>
    <x v="0"/>
    <s v="advised that as long as entire city not in brush; then comfortable with no brush rating. But if any area has, then need to rate as brush"/>
    <m/>
    <m/>
    <s v="Burdine"/>
  </r>
  <r>
    <x v="73"/>
    <x v="0"/>
    <s v="MI"/>
    <s v="Jeffrey"/>
    <s v="Email"/>
    <s v="Dibenedetto"/>
    <s v="Diego"/>
    <s v="HO3 Primary"/>
    <s v="Glendora"/>
    <s v="CA"/>
    <m/>
    <n v="3"/>
    <n v="2700000"/>
    <n v="4860000"/>
    <x v="0"/>
    <s v="PC 3, 1987, no updates - roof is tile. Looking to approve S/T no losses, inspection. This is a K. CS alarms present."/>
    <x v="2"/>
    <s v="In brush, reminded agt of TIV limit in brush."/>
    <m/>
    <m/>
    <s v="Burdine"/>
  </r>
  <r>
    <x v="73"/>
    <x v="7"/>
    <s v="MI"/>
    <s v="Cheryl"/>
    <s v="Email"/>
    <s v="Keel"/>
    <s v="Ann"/>
    <s v="HO3 Primary"/>
    <s v="Midland"/>
    <s v="MI"/>
    <m/>
    <n v="4"/>
    <n v="142000"/>
    <n v="355700"/>
    <x v="1"/>
    <s v="3 losses-water 2015, fire (lightning) 2017-still open, 12/14/17-water leak"/>
    <x v="2"/>
    <s v="frequency/open losses"/>
    <m/>
    <m/>
    <s v="Burdine"/>
  </r>
  <r>
    <x v="73"/>
    <x v="0"/>
    <s v="MI"/>
    <s v="Alexa"/>
    <s v="Email"/>
    <s v="Thomas"/>
    <s v="Dallas"/>
    <s v="HO3 Primary"/>
    <s v="Cooper City"/>
    <s v="FL"/>
    <m/>
    <n v="2"/>
    <n v="720000"/>
    <n v="1571650"/>
    <x v="3"/>
    <s v="Home was built in 2003 of stucco construction, c/s fire alarm only; applicant is professional football player (Currently free agent)"/>
    <x v="1"/>
    <s v="Reviewed with LT. Agreed OK to offer w/ liab. "/>
    <m/>
    <m/>
    <s v="Burdine"/>
  </r>
  <r>
    <x v="74"/>
    <x v="2"/>
    <s v="CA"/>
    <s v="Lucas"/>
    <s v="Email"/>
    <s v="Little"/>
    <s v="Davide &amp; Helena"/>
    <s v="HO3 Primary"/>
    <s v="Malibu"/>
    <s v="CA"/>
    <m/>
    <n v="4"/>
    <n v="700000"/>
    <n v="1060000"/>
    <x v="0"/>
    <s v="Malibu risk, no brush"/>
    <x v="1"/>
    <s v="Approved to quote. "/>
    <m/>
    <m/>
    <s v="Burdine"/>
  </r>
  <r>
    <x v="74"/>
    <x v="7"/>
    <s v="MI"/>
    <s v="John"/>
    <s v="Email"/>
    <s v="Beeler"/>
    <s v="Kelly &amp; Patsy"/>
    <s v="HO3 Primary"/>
    <s v="Knoxville"/>
    <s v="TN"/>
    <m/>
    <n v="3"/>
    <n v="300000"/>
    <n v="400000"/>
    <x v="12"/>
    <s v="Originally built as warehouse; converted to private residence and garage"/>
    <x v="0"/>
    <s v="Advised something to consider; questioned if applicant did conversion, or purchased as is? Requested confirmation of plumbing, heating, and electric in structure"/>
    <m/>
    <m/>
    <s v="Burdine"/>
  </r>
  <r>
    <x v="74"/>
    <x v="9"/>
    <s v="CA"/>
    <s v="Kirk"/>
    <s v="Email"/>
    <s v="Hayes"/>
    <s v="Mike"/>
    <s v="HO3 Primary"/>
    <s v="Nevada City"/>
    <s v="CA"/>
    <m/>
    <s v="8B"/>
    <n v="1500000"/>
    <n v="2700000"/>
    <x v="8"/>
    <s v="Split Pc, 1981 build, no losses"/>
    <x v="1"/>
    <s v="RM,photos, etc, OK"/>
    <m/>
    <m/>
    <s v="Burdine"/>
  </r>
  <r>
    <x v="75"/>
    <x v="2"/>
    <s v="CA"/>
    <s v="Bobbi"/>
    <s v="Email"/>
    <s v="Lousberg"/>
    <s v="Lawrence &amp; Dwanna"/>
    <s v="HO3 Primary"/>
    <s v="Saugus"/>
    <s v="CA"/>
    <m/>
    <n v="9"/>
    <n v="389004"/>
    <n v="732532"/>
    <x v="5"/>
    <s v="PC 9, primary, insured operates petting zoo/pony ride  business (gilchrist farm). Has GL policy in place, but residence is on same prop, NR by allstate 04/30, 1954 build"/>
    <x v="2"/>
    <s v="the amount and variety of business that takes place on this property (petting zoos, riding lessons, summer camps, private events, cheese/soap making, camping expeditions, tours, etc.) that could lead to issues at the property."/>
    <m/>
    <m/>
    <s v="Burdine"/>
  </r>
  <r>
    <x v="75"/>
    <x v="0"/>
    <s v="MI"/>
    <s v="Rachel"/>
    <s v="Email"/>
    <s v="West"/>
    <s v="Angela"/>
    <s v="HO3 Primary"/>
    <s v="Tulsa"/>
    <s v="OK"/>
    <m/>
    <n v="2"/>
    <n v="700000"/>
    <n v="1090000"/>
    <x v="1"/>
    <s v="primary home located in OK. Home was built in 2006, roof was fully updated in 2017. PC2. lady who owns a high value house who was recently divorced. Her ex husband called her agency and intimidated the CSR into adding him as a named insured to the policy. He even got them to backdate it to inception.After addition, he started calling in fraudulent liab/and property claims. Most have been closed, but a lot still open. Chubb NR due to claims"/>
    <x v="2"/>
    <s v="Advised that given circumstances of tension surrounding property/open claims, not eligible at this time"/>
    <m/>
    <m/>
    <s v="Burdine"/>
  </r>
  <r>
    <x v="76"/>
    <x v="0"/>
    <s v="MI"/>
    <s v="Lindsay"/>
    <s v="Email"/>
    <s v="Soleymani"/>
    <s v="Ramin"/>
    <s v="HO3 Primary"/>
    <s v="Beverly Hills"/>
    <s v="CA"/>
    <m/>
    <n v="1"/>
    <n v="2831000"/>
    <n v="4812300"/>
    <x v="0"/>
    <s v="Attached is a primary home located in CA not in brush. Home was built in 2003 of frame construction. PC1, with 1 loss- theft-$5k"/>
    <x v="0"/>
    <s v="photos, app, review OK. Advised to be sure alarm requirements are met."/>
    <m/>
    <m/>
    <s v="Burdine"/>
  </r>
  <r>
    <x v="76"/>
    <x v="5"/>
    <s v="PA"/>
    <s v="Nichole"/>
    <s v="Email"/>
    <s v="Shreve"/>
    <s v="John &amp; Johnna"/>
    <s v="HO3 Primary"/>
    <s v="Romney"/>
    <s v="WV"/>
    <m/>
    <n v="9"/>
    <n v="200000"/>
    <n v="303000"/>
    <x v="8"/>
    <s v="Protection Class 9, PCQ attached, prior loss-fire loss at prior property. Fire report confirms was from a faulty extension cord."/>
    <x v="0"/>
    <s v="Suggested alarms in home"/>
    <m/>
    <m/>
    <s v="Burdine"/>
  </r>
  <r>
    <x v="77"/>
    <x v="9"/>
    <s v="CA"/>
    <s v="Kirk"/>
    <s v="Email"/>
    <s v="Beauchamp"/>
    <s v="David"/>
    <s v="HO3 Primary"/>
    <s v="Strawberry"/>
    <s v="CA"/>
    <m/>
    <m/>
    <m/>
    <m/>
    <x v="1"/>
    <s v="Open theft claim from 01/24/2018, almost closed; currently $1200 paid. "/>
    <x v="0"/>
    <s v="Advised that can move forward with list from insured that was sent to current carrier with contents that were claimed in loss"/>
    <m/>
    <m/>
    <s v="Burdine"/>
  </r>
  <r>
    <x v="77"/>
    <x v="0"/>
    <s v="MI"/>
    <s v="Lindsay"/>
    <s v="Email"/>
    <s v="Green Benson"/>
    <s v="Kirsten"/>
    <s v="HO3 Primary"/>
    <s v="O'Fallon"/>
    <s v="MO"/>
    <m/>
    <n v="4"/>
    <n v="201000"/>
    <n v="402000"/>
    <x v="5"/>
    <s v="1979 build with updates, no losses, applicant is counselor with business in outbuilding, approx 100 visitors a month. They quoted with the total business exclusion and an other structure exclusion"/>
    <x v="0"/>
    <s v="Advised Ok to offer terms with TBE; advised that this doesn’t qualify for home business program (they also had included the HBB supp)."/>
    <m/>
    <m/>
    <s v="Burdine"/>
  </r>
  <r>
    <x v="77"/>
    <x v="0"/>
    <s v="MI"/>
    <s v="Jill"/>
    <s v="Email"/>
    <s v="Minilak LLC"/>
    <s v="Minilak LLC"/>
    <s v="DP3 Rental"/>
    <m/>
    <s v="IL"/>
    <m/>
    <n v="6"/>
    <n v="1800000"/>
    <n v="2780000"/>
    <x v="5"/>
    <s v="Insured runs a training program for dogs to locate explosive odor. It's not explosive material, just a smell. Program regulated by ATF and property inspected and cleared for safety. Quoted with Total Business Exclusion"/>
    <x v="4"/>
    <s v="Questioned use of property: Tenant occupied; but referral says insured runs a training program from the location"/>
    <m/>
    <m/>
    <s v="Burdine"/>
  </r>
  <r>
    <x v="77"/>
    <x v="0"/>
    <s v="MI"/>
    <s v="Lindsay"/>
    <s v="Email"/>
    <s v="Garden Glade LLC"/>
    <s v="Garden Glade LLC"/>
    <s v="DP3 Rental"/>
    <s v="Lithonia"/>
    <s v="GA"/>
    <m/>
    <m/>
    <n v="149000"/>
    <n v="178000"/>
    <x v="3"/>
    <s v="Brandon Marshall, wide receiver for the New York Giants, recent free agent, is purchasing this condo for one of his family members to live in. The condo is going to be in the name of an LLC for tax purposes and we will get a completed LLC questionnaire prior to binding"/>
    <x v="1"/>
    <s v="Approval to release as quoted, no concerns w. online review for a DP risk."/>
    <m/>
    <m/>
    <s v="Burdine"/>
  </r>
  <r>
    <x v="78"/>
    <x v="0"/>
    <s v="MI"/>
    <s v="Jill"/>
    <s v="Email"/>
    <s v="Boykin"/>
    <s v="Brandon    "/>
    <s v="HO3 Primary"/>
    <s v="Peachtree City"/>
    <s v="GA"/>
    <m/>
    <n v="3"/>
    <n v="650000"/>
    <n v="1140000"/>
    <x v="3"/>
    <s v="defensive back for Baltimore Ravens"/>
    <x v="0"/>
    <s v="Requested confirmation of use prior to release since appears it is only him and his wife; so may be in Baltimore a lot."/>
    <m/>
    <m/>
    <s v="Burdine"/>
  </r>
  <r>
    <x v="78"/>
    <x v="0"/>
    <s v="MI"/>
    <s v="Jill"/>
    <s v="Email"/>
    <s v="Smith"/>
    <s v="W Sidney"/>
    <s v="HO3 Primary"/>
    <m/>
    <s v="MI"/>
    <m/>
    <n v="4"/>
    <n v="2068000"/>
    <n v="4136000"/>
    <x v="1"/>
    <s v="open liab loss-involving their PUL-2016-Son DUI on ATV, caused death. Son no longer in house."/>
    <x v="0"/>
    <s v="Primary home only, no PUL"/>
    <m/>
    <m/>
    <s v="Burdine"/>
  </r>
  <r>
    <x v="79"/>
    <x v="6"/>
    <s v="CO"/>
    <s v="Allison"/>
    <s v="Email"/>
    <s v="Grynberg"/>
    <s v="Miriam"/>
    <s v="DP3 Vacant"/>
    <s v="Denver"/>
    <s v="CO"/>
    <m/>
    <n v="2"/>
    <n v="1600000"/>
    <n v="2560000"/>
    <x v="0"/>
    <s v="Vacant property, not currently for sale but will likely do so. $800K in contents. Prior losses: water and fire (cooking)0. Quoted with $25K AOP ded. , $13,900 premium"/>
    <x v="0"/>
    <s v="Approval with acceptable fire report and burglar alarm installation. Also requested fire alarm to be suggested"/>
    <m/>
    <m/>
    <s v="Burdine"/>
  </r>
  <r>
    <x v="79"/>
    <x v="6"/>
    <s v="CO"/>
    <s v="Allison"/>
    <s v="Email"/>
    <s v="Thorsen"/>
    <s v="Sharron &amp; Robert"/>
    <s v="DP3 Builders Risk"/>
    <s v="Castle Rock"/>
    <s v="CO"/>
    <m/>
    <n v="5"/>
    <n v="1664400"/>
    <n v="2496600"/>
    <x v="0"/>
    <s v="Vacant property, for sale so home still staged with property; CSFB alarms, gated community"/>
    <x v="1"/>
    <s v="Approved as quoted"/>
    <m/>
    <m/>
    <s v="Burdine"/>
  </r>
  <r>
    <x v="79"/>
    <x v="2"/>
    <s v="CA"/>
    <s v="Kelly"/>
    <s v="Email"/>
    <s v="Goetz"/>
    <s v="Robert"/>
    <s v="DP3 Rental"/>
    <s v="Escondido"/>
    <s v="CA"/>
    <m/>
    <n v="3"/>
    <n v="1566000"/>
    <n v="2200000"/>
    <x v="5"/>
    <s v="horse riding on ranch; GL liability in place for exposure, quoted with TBE and animal exclusion"/>
    <x v="0"/>
    <s v="approval to offer as quoted with the exclusions in place. If there are any farming structures for the ranch, be sure to exclude those as well."/>
    <m/>
    <m/>
    <s v="Burdine"/>
  </r>
  <r>
    <x v="79"/>
    <x v="0"/>
    <s v="CA"/>
    <s v="Rachel"/>
    <s v="Email"/>
    <s v="Alexander"/>
    <s v="Frank &amp; Melanie"/>
    <s v="DP1"/>
    <s v="Brian Head"/>
    <s v="UT"/>
    <m/>
    <n v="10"/>
    <n v="125000"/>
    <n v="155000"/>
    <x v="10"/>
    <s v="Home was built in 1970 of frame construction with no updates. PC10, with no losses; no electricity, propane tank/generator used when in home (seasonal), woodstove also used, 6.5 miles from FD (14 Drive time)."/>
    <x v="2"/>
    <s v="Too many factors for concern of fire loss (home also not accessible year round)"/>
    <m/>
    <m/>
    <s v="Burdine"/>
  </r>
  <r>
    <x v="80"/>
    <x v="2"/>
    <s v="CA"/>
    <s v="Alison"/>
    <s v="Email"/>
    <s v="Maralian"/>
    <s v="Vahe"/>
    <s v="HO3 Primary"/>
    <s v="Malibu"/>
    <s v="CA"/>
    <m/>
    <m/>
    <n v="2304000"/>
    <n v="3495200"/>
    <x v="0"/>
    <s v="No brush, Malibu risk"/>
    <x v="1"/>
    <s v="acceptable for approval"/>
    <m/>
    <m/>
    <s v="Burdine"/>
  </r>
  <r>
    <x v="80"/>
    <x v="0"/>
    <s v="MI"/>
    <s v="Lindsay"/>
    <s v="Email"/>
    <s v="Reynolds"/>
    <s v="Carla"/>
    <s v="HO3 Primary"/>
    <m/>
    <s v="AZ"/>
    <m/>
    <n v="10"/>
    <n v="985000"/>
    <n v="1932000"/>
    <x v="8"/>
    <s v="The property is accessible year round and is 6.3 miles to fire station, 10 minute response time."/>
    <x v="1"/>
    <s v="PCQ ,premium, online info OK"/>
    <m/>
    <m/>
    <s v="Burdine"/>
  </r>
  <r>
    <x v="80"/>
    <x v="0"/>
    <s v="MI"/>
    <s v="Rachel"/>
    <s v="Email"/>
    <s v="Hager"/>
    <s v="Breeze"/>
    <s v="HO3 Primary"/>
    <m/>
    <s v="MI"/>
    <m/>
    <m/>
    <n v="175000"/>
    <n v="332500"/>
    <x v="5"/>
    <s v="daycare-6 kids, no GL, German sheppard (quoted with animal exclusion)"/>
    <x v="0"/>
    <s v="Approved only if secure GL, and apply TBE and animal exclusion"/>
    <m/>
    <m/>
    <s v="Burdine"/>
  </r>
  <r>
    <x v="81"/>
    <x v="2"/>
    <s v="CA"/>
    <s v="Bobbi"/>
    <s v="Email"/>
    <s v="1001 Sky View LLC"/>
    <s v="1001 Sky View LLC"/>
    <s v="DP3 Builders Risk"/>
    <s v="Los Angeles"/>
    <s v="CA"/>
    <m/>
    <n v="2"/>
    <n v="4527000"/>
    <n v="4597000"/>
    <x v="0"/>
    <s v="1955 build, system updates 2010; will get COC and GC confirmation at bind, no brush, CSFB alarms, insured renovating then selling"/>
    <x v="1"/>
    <s v="Reminded of $5M TIV. "/>
    <m/>
    <m/>
    <s v="Burdine"/>
  </r>
  <r>
    <x v="81"/>
    <x v="0"/>
    <s v="MI"/>
    <s v="Matthew"/>
    <s v="Email"/>
    <s v="Sader"/>
    <s v="Henry"/>
    <s v="HO3 Primary"/>
    <s v="Roca"/>
    <s v="NE"/>
    <m/>
    <n v="9"/>
    <n v="1022400"/>
    <n v="2044800"/>
    <x v="5"/>
    <s v="PC 9, no alarm, visible to neighbors, 1993 build, 1 hail loss in 2016, IS D,onsite kennel 3 buildings, total 16,900 feet), 150 yards from home, about 5 customers a day, quoted with animal liab excluded"/>
    <x v="0"/>
    <s v="No liability; exposure too large, even with exclusions in place"/>
    <s v="Note: also several negative online reviews of business practices for kennel"/>
    <m/>
    <s v="Burdine"/>
  </r>
  <r>
    <x v="82"/>
    <x v="0"/>
    <s v="MI"/>
    <s v="Alexa"/>
    <s v="Email"/>
    <s v="Williams"/>
    <s v="Christopher &amp; Jessica"/>
    <s v="HO3 Primary"/>
    <m/>
    <s v="AZ"/>
    <m/>
    <n v="3"/>
    <n v="230000"/>
    <n v="457000"/>
    <x v="5"/>
    <s v="1989 dwelling, updated, alarms. Qualified for 10 part time children/typically 5 attend in in home daycare. Farmers CGL for daycare. New purchase (prev rented from parents.) Incomplete app uw questions."/>
    <x v="0"/>
    <s v="As quoted TBE, Animal Excl. Get app completed. "/>
    <m/>
    <m/>
    <s v="Patterson"/>
  </r>
  <r>
    <x v="82"/>
    <x v="7"/>
    <s v="MI"/>
    <s v="John"/>
    <s v="Email"/>
    <s v="Crite"/>
    <s v="Betty"/>
    <s v="HO3 Primary"/>
    <s v="Greensboro"/>
    <s v="NC"/>
    <m/>
    <n v="1"/>
    <n v="165000"/>
    <n v="240000"/>
    <x v="9"/>
    <s v="Has a cheaper quote from Lex and wants us to match. 1952 home with 5 prior claims.  Had tenants in there, now owner occ. Not all claims could be attributed to tenant. They are home maintenance and others."/>
    <x v="2"/>
    <s v="Advised $5k AOP, no credit and charge for all losses."/>
    <m/>
    <m/>
    <s v="Patterson"/>
  </r>
  <r>
    <x v="82"/>
    <x v="0"/>
    <s v="MI"/>
    <s v="David"/>
    <s v="Email"/>
    <s v="Welch"/>
    <s v="John"/>
    <s v="HO3 Primary"/>
    <s v="St. Peters"/>
    <s v="MO"/>
    <m/>
    <n v="4"/>
    <n v="290000"/>
    <n v="520000"/>
    <x v="7"/>
    <s v="Bankruptcy.  Insd has 2 prior losses and a bankruptcy, Chapter 13, due to hospitalization.  Went to court 1/10/18, in payoff for 5 years."/>
    <x v="2"/>
    <s v="Concern with active bankruptcy."/>
    <m/>
    <m/>
    <s v="Patterson"/>
  </r>
  <r>
    <x v="82"/>
    <x v="2"/>
    <s v="CA"/>
    <s v="Alison"/>
    <s v="Email"/>
    <s v="Knauer"/>
    <s v="Steven"/>
    <s v="HO3 Seas/Sec w/Rental"/>
    <s v="Malibu"/>
    <s v="CA"/>
    <m/>
    <m/>
    <n v="1155000"/>
    <n v="1500000"/>
    <x v="0"/>
    <s v="Location.  Risk is in Malibu, we have that zip restricted for submission only. Risk was approved last November."/>
    <x v="1"/>
    <m/>
    <m/>
    <m/>
    <s v="Patterson"/>
  </r>
  <r>
    <x v="82"/>
    <x v="0"/>
    <s v="CA"/>
    <s v="Rachel"/>
    <s v="Email"/>
    <s v=" Khashoggi"/>
    <s v="Layla &amp; Essam"/>
    <s v="DP1"/>
    <s v="Santa Barbara"/>
    <s v="CA"/>
    <m/>
    <m/>
    <n v="1800000"/>
    <n v="1980000"/>
    <x v="2"/>
    <s v="Vacant since purchased in 2014. No prior coverage at all; no losses. 1962 home w/no updates. Online photos look nice and show 85 renovation, but this is not stated.  Getting insurance not in anticipation of pre-construction activity and inspection."/>
    <x v="3"/>
    <s v="Not comfortable approving w/subjectivities until we find out if it will be demolition, or gut/reno.  If demolition, we will decline. If gut/reno, we can approve subj to confirmation of at least average condition-proof by photo, no knob&amp;tube or aluminum wiring (as this would be a hazard while they wait to reno in 6 months.) // 5/14/18 This will be a gut/reno. No knob&amp;tube."/>
    <m/>
    <m/>
    <s v="Patterson"/>
  </r>
  <r>
    <x v="82"/>
    <x v="0"/>
    <s v="MI"/>
    <s v="Rachel"/>
    <s v="Email"/>
    <s v="Devito"/>
    <s v="Carol"/>
    <s v="HO3 Primary"/>
    <s v="Mears"/>
    <s v="MI"/>
    <m/>
    <n v="5"/>
    <n v="208000"/>
    <n v="436000"/>
    <x v="2"/>
    <s v="1900 dwelling updated in 2012. Online photos ok w/many large outbuildings. $32K Cov B. Insd bought home from 90 year old man who is living in a mobile home on the property w/a life lease. Children will remove trailer when insd passes."/>
    <x v="0"/>
    <s v="Ok with building exclusion for the mobile home as this will exclude phys dmg and liability.  Need to evaluate Cov B - lots of structures. Exclude or increase covg."/>
    <m/>
    <m/>
    <s v="Patterson"/>
  </r>
  <r>
    <x v="82"/>
    <x v="11"/>
    <s v="LA"/>
    <s v="Hillary"/>
    <s v="Email"/>
    <s v="Patterson LA risk"/>
    <m/>
    <s v="HO3 Primary"/>
    <s v="Patterson"/>
    <s v="LA"/>
    <m/>
    <m/>
    <m/>
    <m/>
    <x v="2"/>
    <s v="Dwelling and guest house on same property. Mom lives in guest house rent free. "/>
    <x v="0"/>
    <s v="Write on HO-3. No HO-4 needed for mom. Confirm there are railings on the guest house deck."/>
    <m/>
    <m/>
    <s v="Patterson"/>
  </r>
  <r>
    <x v="82"/>
    <x v="2"/>
    <s v="CA"/>
    <s v="Alison"/>
    <s v="Email"/>
    <s v="Lappen"/>
    <m/>
    <s v="HO3 Builders Risk"/>
    <s v="Pacific Palisades"/>
    <s v="CA"/>
    <m/>
    <m/>
    <m/>
    <n v="770000"/>
    <x v="0"/>
    <s v="Malibu is restricted - good quality risks only. Alison confirms this is nice home. Online looks okay.  Not in brush but she is applying some brush s/c anyway."/>
    <x v="1"/>
    <s v="Good risk for Malibu exception.  // Alison replied the next day that Malibu was the mailing. Turns out it's really in Pacific Palisades."/>
    <m/>
    <m/>
    <s v="Patterson"/>
  </r>
  <r>
    <x v="82"/>
    <x v="2"/>
    <s v="CA"/>
    <s v="Alison"/>
    <s v="Call"/>
    <s v="TBD"/>
    <m/>
    <s v="DP3 Rental"/>
    <s v="Malibu"/>
    <s v="CA"/>
    <m/>
    <m/>
    <m/>
    <m/>
    <x v="2"/>
    <s v="Insured has a dwelling, hobby farm and crane business on this property. His workers stay in the dwelling. Can this go on a DP-3?"/>
    <x v="2"/>
    <s v="This is a commercial exposure. This isn't residential rental, it's housing for workers and the businesses are on the same property."/>
    <m/>
    <m/>
    <s v="Patterson"/>
  </r>
  <r>
    <x v="82"/>
    <x v="0"/>
    <s v="MI"/>
    <s v="Jeffrey"/>
    <s v="Email"/>
    <s v="Barr"/>
    <s v="Harry"/>
    <s v="DP3 Rental"/>
    <s v="Los Angeles"/>
    <s v="CA"/>
    <m/>
    <n v="1"/>
    <n v="2750000"/>
    <n v="3987500"/>
    <x v="0"/>
    <s v="Not in brush, PC1. No concerns with the risk."/>
    <x v="1"/>
    <s v="No issues"/>
    <s v="Advised Jeff this is within their authority to bind based on new criteria we implemented.  Gave them a break on logging the error."/>
    <m/>
    <s v="Patterson"/>
  </r>
  <r>
    <x v="82"/>
    <x v="2"/>
    <s v="CA"/>
    <s v="Alison"/>
    <s v="Call"/>
    <s v="TBD"/>
    <m/>
    <s v="HO3 Builders Risk"/>
    <s v="Beverly Hills"/>
    <s v="CA"/>
    <m/>
    <m/>
    <n v="3500000"/>
    <n v="3750000"/>
    <x v="0"/>
    <s v="Ground up builders risk. Demolition has been completed. Expected to be done 10/2018."/>
    <x v="1"/>
    <s v="No concerns. Ground up construction."/>
    <m/>
    <m/>
    <s v="Patterson"/>
  </r>
  <r>
    <x v="83"/>
    <x v="0"/>
    <s v="MI"/>
    <s v="Jill"/>
    <s v="Email"/>
    <s v="Irle Family Trust"/>
    <m/>
    <s v="DP3 Vacant"/>
    <s v="Hartford"/>
    <s v="WI"/>
    <m/>
    <n v="10"/>
    <n v="310000"/>
    <n v="345000"/>
    <x v="8"/>
    <s v="Vacant dwelling in PC10, not accessible year round. $.92 rate. 2 prior losses on other rental properties (electrical fire $9,374 and wind $0). 2 burst HWT pipe losses at this dwelling. Quoted w/water damage exclusion."/>
    <x v="1"/>
    <s v="Hazard excluded.  Good rate for the exposure."/>
    <m/>
    <m/>
    <s v="Patterson"/>
  </r>
  <r>
    <x v="83"/>
    <x v="0"/>
    <s v="MI"/>
    <s v="Jill"/>
    <s v="Email"/>
    <s v="Fields"/>
    <s v="Robert &amp; Monica"/>
    <s v="HO3 Primary"/>
    <s v="Shingles Springs"/>
    <s v="CA"/>
    <m/>
    <n v="10"/>
    <n v="1300000"/>
    <n v="2340000"/>
    <x v="0"/>
    <s v="In brush, PC10. No concerns with the risk"/>
    <x v="1"/>
    <s v="No issues"/>
    <s v="Advised Jill  this is within their authority to bind based on new criteria we implemented. Gave them a break on logging the error."/>
    <m/>
    <s v="Patterson"/>
  </r>
  <r>
    <x v="83"/>
    <x v="2"/>
    <s v="CA"/>
    <s v="Alison"/>
    <s v="Email"/>
    <s v="John Stiegler Trust"/>
    <m/>
    <s v="HO3 Primary w/Rental"/>
    <s v="Malibu"/>
    <s v="CA"/>
    <m/>
    <m/>
    <n v="2171000"/>
    <n v="4000000"/>
    <x v="0"/>
    <s v="Not in brush. Very nice Malibu risk. Found online reference to a surfing business at this address with pics of customers on the home deck w/their boards. "/>
    <x v="3"/>
    <s v="Asked numerous business questions.  If all clears could offer terms x-liability, Total Business Exclusion, require GL.// Turns out this is the father's property and the son USED TO hold surfing training there. That is no longer the case - he teaches at Trancas per retailer/insured.  I approved subj to the TBE since there is/was a website with the insured's address."/>
    <s v="Very nice risk.  We have in writing that the lessons are not at this property.  TBE is a precaution."/>
    <m/>
    <s v="Patterson"/>
  </r>
  <r>
    <x v="83"/>
    <x v="2"/>
    <s v="CA"/>
    <s v="Alison"/>
    <s v="Email"/>
    <s v="Loubet"/>
    <s v="Margaret"/>
    <s v="HO3 Primary w/Rental"/>
    <s v="Malibu"/>
    <s v="CA"/>
    <m/>
    <m/>
    <n v="2206000"/>
    <n v="3200000"/>
    <x v="0"/>
    <s v="Not in brush.  1991 home being rented back to sellers for one month and then undergoing renovation for primary occupancy.  Nice online photos."/>
    <x v="3"/>
    <s v="Originally approved.  Then got info on 5/15/ that there are roof leaks. The insd boyfriend is the GC.  However, applying roof exclusion and that will be one of the first things fixed."/>
    <s v="Kirsten and I discussed.  Ultimately a good risk."/>
    <m/>
    <s v="Patterson"/>
  </r>
  <r>
    <x v="83"/>
    <x v="0"/>
    <s v="MI"/>
    <s v="Jill"/>
    <s v="Email"/>
    <s v="Smith"/>
    <s v="W Sidney"/>
    <s v="DP3 Rental"/>
    <s v="Petoskey"/>
    <s v="MI"/>
    <m/>
    <n v="6"/>
    <n v="1114700"/>
    <n v="1444100"/>
    <x v="1"/>
    <s v="open liab loss-involving their PUL-2016-Son DUI on ATV, caused death. Son no longer in house."/>
    <x v="0"/>
    <s v="No PUL coverage"/>
    <m/>
    <m/>
    <s v="Burdine"/>
  </r>
  <r>
    <x v="83"/>
    <x v="2"/>
    <s v="CA"/>
    <s v="Lucas"/>
    <s v="Email"/>
    <s v="Klimov"/>
    <s v="Anton"/>
    <s v="DP3 Rental"/>
    <s v="Malibu"/>
    <s v="CA"/>
    <m/>
    <n v="8"/>
    <n v="1250000"/>
    <n v="1250000"/>
    <x v="0"/>
    <s v="tenant occupied duplex is in Malibu where we are over our zip code cap. It is across the street from the water front and out of the Brushfire Zone but in the Renie zone showing 1800’ to brush. I added a 20% debit for the zip code in addition to the brush load. "/>
    <x v="1"/>
    <s v="risk acceptable for exception"/>
    <m/>
    <m/>
    <s v="Burdine"/>
  </r>
  <r>
    <x v="83"/>
    <x v="8"/>
    <s v="NC"/>
    <s v="Alia"/>
    <s v="Email"/>
    <s v="Tague"/>
    <s v="Cheryl"/>
    <s v="HO3 Primary"/>
    <s v="Charleston"/>
    <s v="SC"/>
    <m/>
    <m/>
    <m/>
    <n v="2770000"/>
    <x v="4"/>
    <s v="Historic registry; renovations"/>
    <x v="0"/>
    <s v="MFRC only, home is not super ornate, but def some unique qualities per online review. Also contingent to no tours"/>
    <m/>
    <m/>
    <s v="Burdine"/>
  </r>
  <r>
    <x v="84"/>
    <x v="0"/>
    <s v="MI"/>
    <s v="Jeffrey"/>
    <s v="Email"/>
    <s v="Mcdaniel"/>
    <s v="Gerald"/>
    <s v="HO3 Primary"/>
    <m/>
    <s v="CA"/>
    <m/>
    <n v="9"/>
    <n v="350000"/>
    <n v="720000"/>
    <x v="5"/>
    <s v=". Agent noted a business exposure - the insured will be working from his home and may have a client come by his home office on rare occasions but majority of his work is all done via telephone, email, etc with in state/out of state clients. His daughter in Co Springs takes care of all new client intake &amp; most servicing. He currently doesn't have his own premises liability policy for his business since his exposure is very minimal but wants to make sure gaps are addressed"/>
    <x v="0"/>
    <s v="reviewed FD online to confirm response times/miles, agreed best to exclude TBE as insured daughter helps with business at another business location"/>
    <m/>
    <m/>
    <s v="Burdine"/>
  </r>
  <r>
    <x v="84"/>
    <x v="6"/>
    <s v="CO"/>
    <s v="Allison"/>
    <s v="Email"/>
    <s v="Porto"/>
    <s v="Jeremy"/>
    <s v="DP3 Builders Risk"/>
    <s v="Colorado Springs"/>
    <s v="CO"/>
    <m/>
    <n v="2"/>
    <n v="362500"/>
    <n v="362500"/>
    <x v="6"/>
    <s v="Renovation quote, originally submitted in October; had to do meth remediation from prior owners at some point.  Provided confirmation of remediation services"/>
    <x v="0"/>
    <s v="require no loss and 5-10% surcharge for the lapse; report was very clear no contamination concerns"/>
    <m/>
    <m/>
    <s v="Burdine"/>
  </r>
  <r>
    <x v="84"/>
    <x v="2"/>
    <s v="CA"/>
    <s v="Alison"/>
    <s v="Email"/>
    <s v="Zdenek"/>
    <s v="Tamara &amp; Marilee"/>
    <s v="HO3 Builders Risk"/>
    <s v="Santa Barbara"/>
    <s v="CA"/>
    <m/>
    <n v="2"/>
    <n v="1800000"/>
    <n v="2800000"/>
    <x v="2"/>
    <s v="COC, insured living in home, so will need to include additional endorsements (including mold and water back-up), included In VMA premium"/>
    <x v="1"/>
    <s v="OK with exposure as quoted"/>
    <m/>
    <m/>
    <s v="Burdine"/>
  </r>
  <r>
    <x v="84"/>
    <x v="9"/>
    <s v="CA"/>
    <s v="Kirk"/>
    <s v="Email"/>
    <s v="Hallin"/>
    <s v="Steve"/>
    <s v="HO3 Primary"/>
    <s v="Murrieta"/>
    <s v="CA"/>
    <m/>
    <n v="10"/>
    <n v="1095771"/>
    <n v="1545771"/>
    <x v="8"/>
    <s v="Brush, $5K ded, 2007 build, no alarms"/>
    <x v="0"/>
    <s v="acceptable PCQ,"/>
    <m/>
    <m/>
    <s v="Burdine"/>
  </r>
  <r>
    <x v="84"/>
    <x v="2"/>
    <s v="CA"/>
    <s v="Alison"/>
    <s v="Email"/>
    <s v="Kiner"/>
    <s v="Seth &amp; Caren"/>
    <s v="HO3 Primary"/>
    <s v="Oak Park"/>
    <s v="CA"/>
    <m/>
    <n v="4"/>
    <n v="608000"/>
    <n v="1094400"/>
    <x v="1"/>
    <s v="NR due to prior loss-$456,000 water claim in 2015 (insured out of town), completely gutted and rebuilt, no issues since then, home office that has GL policy (no customers), including surcharge for loss"/>
    <x v="0"/>
    <s v="subj to $10K water deductible"/>
    <m/>
    <m/>
    <s v="Burdine"/>
  </r>
  <r>
    <x v="85"/>
    <x v="2"/>
    <s v="CA"/>
    <s v="Alison"/>
    <s v="Email"/>
    <s v="Huff"/>
    <s v="Aubrey"/>
    <s v="HO3 Primary"/>
    <s v="Solana Beach"/>
    <s v="CA"/>
    <m/>
    <m/>
    <n v="1300000"/>
    <n v="2125000"/>
    <x v="3"/>
    <s v="retired baseball player, wants liability, NR by Chubb for losses to prior home. Current home 2018 build, CSFB,"/>
    <x v="0"/>
    <s v="x-liab. Reviewed online sources and still very visible in public eye"/>
    <m/>
    <m/>
    <s v="Burdine"/>
  </r>
  <r>
    <x v="85"/>
    <x v="0"/>
    <s v="MI"/>
    <s v="Jill"/>
    <s v="Email"/>
    <s v="Lyons"/>
    <s v="John"/>
    <s v="HO3 Primary"/>
    <s v="Harrodsburg"/>
    <s v="KY"/>
    <m/>
    <n v="5"/>
    <n v="252816"/>
    <n v="455072"/>
    <x v="5"/>
    <s v="greenhouse on property, no marijuana, TBE applied, GL in place"/>
    <x v="1"/>
    <s v="appropriate exclusions in place"/>
    <m/>
    <m/>
    <s v="Burdine"/>
  </r>
  <r>
    <x v="86"/>
    <x v="2"/>
    <s v="CA"/>
    <s v="Melissa"/>
    <s v="Email"/>
    <s v="Libre"/>
    <s v="Juan"/>
    <s v="HO3 Primary"/>
    <s v="Malibu"/>
    <s v="CA"/>
    <m/>
    <n v="8"/>
    <m/>
    <n v="1976000"/>
    <x v="0"/>
    <s v="Malibu risk, in brush"/>
    <x v="2"/>
    <s v="declined due to brush"/>
    <m/>
    <m/>
    <s v="Burdine"/>
  </r>
  <r>
    <x v="86"/>
    <x v="0"/>
    <s v="MI"/>
    <s v="Lindsay"/>
    <s v="Email"/>
    <s v="Gitlin"/>
    <s v="Mimi"/>
    <s v="HO3 Primary"/>
    <s v="Los Angeles"/>
    <s v="CA"/>
    <m/>
    <n v="2"/>
    <n v="1089000"/>
    <n v="2069100"/>
    <x v="3"/>
    <s v="Primary home in CA not in brush, PC1, built in 1954, with partial updates to wiring/ heating plumbing in 2004 and full roof update in 2016, FRC dwelling settlement; Insured is a movie producer. GAIA Entertainment, Inc"/>
    <x v="1"/>
    <s v="No adverse info found. "/>
    <m/>
    <m/>
    <s v="Burdine"/>
  </r>
  <r>
    <x v="86"/>
    <x v="0"/>
    <s v="MI"/>
    <s v="Sarah"/>
    <s v="Email"/>
    <s v="Briggs"/>
    <s v="Lance"/>
    <s v="HO3 Primary"/>
    <m/>
    <s v="AZ"/>
    <m/>
    <n v="5"/>
    <n v="593000"/>
    <n v="1186000"/>
    <x v="3"/>
    <s v="Attached is a primary home property located in AZ. Home was built in 2005- no losses; issue in 2007 (accident) but none since then. Retired NFL player"/>
    <x v="2"/>
    <s v="Adverse info found (including recent lawsuit due to issues at his home and recent foreclosure)"/>
    <m/>
    <m/>
    <s v="Burdine"/>
  </r>
  <r>
    <x v="87"/>
    <x v="2"/>
    <s v="CA"/>
    <s v="Alison"/>
    <s v="Email"/>
    <s v="Delrahim"/>
    <s v="Vahid David"/>
    <s v="HO3 Primary"/>
    <s v="Malibu"/>
    <s v="CA"/>
    <m/>
    <m/>
    <m/>
    <n v="4750000"/>
    <x v="0"/>
    <s v="Owned by insured's company, Ventura Oil. Concerning online articles."/>
    <x v="2"/>
    <s v="See email"/>
    <m/>
    <m/>
    <s v="Patterson"/>
  </r>
  <r>
    <x v="87"/>
    <x v="0"/>
    <s v="MI"/>
    <s v="Lindsay"/>
    <s v="Email"/>
    <s v="Billeter-Young"/>
    <s v="Mary"/>
    <s v="HO3 Seas/Sec"/>
    <s v="Lehi"/>
    <s v="UT"/>
    <m/>
    <n v="10"/>
    <n v="210000"/>
    <n v="420000"/>
    <x v="8"/>
    <s v="me construction, secondary, no  losses, c/s alarms, built in 1975 - roof was fully updated in 2013 and partial update on the plumbing in 2013, located in UT. 21 min response time, alarms in home, no losses"/>
    <x v="0"/>
    <s v="approval to offer terms on this risk. However, due the response time, inaccessibility, and original wiring, please surcharge the VMGA premium by at least 30%."/>
    <m/>
    <m/>
    <s v="Burdine"/>
  </r>
  <r>
    <x v="87"/>
    <x v="0"/>
    <s v="MI"/>
    <s v="David"/>
    <s v="Email"/>
    <s v="Temby"/>
    <s v="Spencer"/>
    <s v="HO3 Primary"/>
    <s v="Sacramento"/>
    <s v="CA"/>
    <m/>
    <n v="3"/>
    <n v="664000"/>
    <n v="921800"/>
    <x v="2"/>
    <s v="Comm zoned property, converted for residential use. Includes 800 sq feet attached space that could be rented, but wife plans to use at this point"/>
    <x v="0"/>
    <s v="approval to offer terms on this risk. However, please include the total business exclusion."/>
    <m/>
    <m/>
    <s v="Burdine"/>
  </r>
  <r>
    <x v="87"/>
    <x v="7"/>
    <s v="MI"/>
    <s v="Cheryl"/>
    <s v="Email"/>
    <s v="Douglas"/>
    <s v="Clifford &amp; Jean"/>
    <s v="HO3 Primary"/>
    <m/>
    <s v="MI"/>
    <m/>
    <n v="3"/>
    <n v="1899500"/>
    <n v="3799000"/>
    <x v="1"/>
    <s v="NR for claims (08/0160wind, 01/2018-frozen pipes still open)"/>
    <x v="2"/>
    <s v="Advised need to wait until claim is closed. If repairs already completed, advised to provide status and can further consider// update: repairs not done. Advised unable to offer terms at this time"/>
    <m/>
    <m/>
    <s v="Burdine"/>
  </r>
  <r>
    <x v="88"/>
    <x v="2"/>
    <s v="CA"/>
    <s v="Alison"/>
    <s v="Email/Call"/>
    <s v="Pearring"/>
    <s v="Jerry"/>
    <s v="HO3 Primary"/>
    <m/>
    <s v="CA"/>
    <m/>
    <m/>
    <m/>
    <m/>
    <x v="1"/>
    <s v="Insured's dog got loose and attacked a small dog who was being walked by a woman who fell and hurt her knee. $70K open reserves. Dog is a Husky mix, now kept in back yard.  "/>
    <x v="0"/>
    <s v="Since this is not a bite, we may not have the protection of the exclusions of the Limited Animal Liab form. Approved with the Animal exclusion."/>
    <m/>
    <m/>
    <s v="Patterson"/>
  </r>
  <r>
    <x v="88"/>
    <x v="0"/>
    <s v="MI"/>
    <s v="Rachel"/>
    <s v="Email/Call"/>
    <s v="Graves"/>
    <s v="Joseph Eugene"/>
    <s v="DP3 Rental"/>
    <m/>
    <s v="MN"/>
    <m/>
    <n v="4"/>
    <n v="206000"/>
    <n v="213200"/>
    <x v="5"/>
    <s v="1943 dwelling w/updated occupied by an tenant/employee of a Metal Working business on the premises which is run by the insured.  Branch pushing back on Rachel's decline trying to get this whole risk insured commercially."/>
    <x v="2"/>
    <s v="Agree with Rachel's decline.  This should be written on a commercial policy."/>
    <m/>
    <m/>
    <s v="Patterson"/>
  </r>
  <r>
    <x v="88"/>
    <x v="11"/>
    <s v="LA"/>
    <s v="Hillary"/>
    <s v="Email"/>
    <s v="Celtic Build LLC"/>
    <s v="Celtic Build LLC"/>
    <s v="HO3 Primary"/>
    <s v="New Orleans"/>
    <s v="LA"/>
    <m/>
    <n v="2"/>
    <s v="1,250,00"/>
    <m/>
    <x v="4"/>
    <s v="1868 build year, updates to home. Doesn't appear to be complete rebuild"/>
    <x v="2"/>
    <s v="For a home with a build date prior to 1900, we would require a complete gut/rebuild. While there may have been updates to the home, it doesn’t appear it was completely gutted down to the studs. If it actually was completely redone, please provide additional specific information."/>
    <m/>
    <m/>
    <s v="Burdine"/>
  </r>
  <r>
    <x v="88"/>
    <x v="11"/>
    <s v="LA"/>
    <s v="Hillary"/>
    <s v="Email"/>
    <s v="Sanders"/>
    <s v="Kathy"/>
    <s v="HO3 Primary"/>
    <s v="Baldwin City"/>
    <s v="LA"/>
    <m/>
    <n v="5"/>
    <n v="413000"/>
    <n v="660800"/>
    <x v="4"/>
    <s v="1900 build year, gutted/rebuilt"/>
    <x v="1"/>
    <s v="Home has been gutted/rebuilt"/>
    <m/>
    <m/>
    <s v="Burdine"/>
  </r>
  <r>
    <x v="88"/>
    <x v="0"/>
    <s v="MI"/>
    <s v="Rachel"/>
    <s v="Email"/>
    <s v="Marshall"/>
    <s v="Stephen"/>
    <s v="DP3 Rental"/>
    <m/>
    <s v="CA"/>
    <m/>
    <n v="9"/>
    <n v="1000000"/>
    <n v="1300000"/>
    <x v="5"/>
    <s v="the dwelling is rented to long term tenants and the garage is rented to a painter who does not live there but uses the structures as his workshop. There is no foot traffic, but he does store some paintings and materials in the garage. No more than $10,000 worth of material. We have added a total business exclusion."/>
    <x v="1"/>
    <s v="TBE included, since tenant occupied Ok with comm exposure, acceptable RM and PCQ obtained"/>
    <m/>
    <m/>
    <s v="Burdine"/>
  </r>
  <r>
    <x v="89"/>
    <x v="2"/>
    <s v="CA"/>
    <s v="Alison"/>
    <s v="Email"/>
    <s v="Shaprio"/>
    <s v="Adam"/>
    <s v="HO3 Primary"/>
    <m/>
    <s v="CA"/>
    <m/>
    <m/>
    <n v="1500000"/>
    <n v="2400000"/>
    <x v="0"/>
    <s v="Malibu rush, no brush"/>
    <x v="1"/>
    <s v="No brush, photos, online review OK"/>
    <m/>
    <m/>
    <s v="Burdine"/>
  </r>
  <r>
    <x v="89"/>
    <x v="5"/>
    <s v="CA"/>
    <s v="MacKenzie"/>
    <s v="Email"/>
    <s v="Keren Hachesed Student Aid Fund"/>
    <s v="Dov Kreisworth"/>
    <s v="HO3 Builders Risk"/>
    <m/>
    <s v="NJ"/>
    <m/>
    <n v="2"/>
    <n v="378000"/>
    <n v="415800"/>
    <x v="1"/>
    <s v="Builders risk, as a result of prior fire loss (marshal report confirms caused by dryer)"/>
    <x v="0"/>
    <s v="approved with acceptable LLC questionnaire,  confirmed no student housing or commercial use"/>
    <m/>
    <m/>
    <s v="Burdine"/>
  </r>
  <r>
    <x v="90"/>
    <x v="2"/>
    <s v="CA"/>
    <s v="Lucas"/>
    <s v="Email"/>
    <s v="DGML Real Estate LLC"/>
    <s v="DGML Real Estate LLC"/>
    <s v="DP3 Vacant"/>
    <s v="San Diego"/>
    <s v="CA"/>
    <m/>
    <m/>
    <n v="300000"/>
    <n v="330000"/>
    <x v="11"/>
    <s v="50% completed. Prior carrier cancelling due to extent of renovations (include moving interior walls). Agt quoted with 20% surcharge and $2500 AOP ded due to midterm work. Should be done 3-6 months"/>
    <x v="1"/>
    <s v="OK with surcharge and higher ded"/>
    <m/>
    <m/>
    <s v="Burdine"/>
  </r>
  <r>
    <x v="90"/>
    <x v="0"/>
    <s v="MI"/>
    <s v="Jeffrey"/>
    <s v="Email"/>
    <s v="Foster"/>
    <s v="Robert"/>
    <s v="HO3 Seas/Sec"/>
    <m/>
    <s v="NE"/>
    <m/>
    <n v="5"/>
    <n v="626000"/>
    <n v="1126000"/>
    <x v="1"/>
    <s v="6 prior losses (4 on same date to various rentals, only 1 on current secondary home)"/>
    <x v="0"/>
    <s v="Agreed OK but claims must be surcharged (agreed to 4 as max per rater)."/>
    <m/>
    <m/>
    <s v="Burdine"/>
  </r>
  <r>
    <x v="90"/>
    <x v="2"/>
    <s v="CA"/>
    <s v="Alison"/>
    <s v="Email"/>
    <s v="Shoumer"/>
    <s v="Hersel &amp; Neda"/>
    <s v="HO3 Builders Risk"/>
    <s v="Beverly Hills"/>
    <s v="CA"/>
    <m/>
    <m/>
    <n v="2427000"/>
    <n v="3897000"/>
    <x v="11"/>
    <s v="Builder's risk, insured living in home. Licensed GC, quote with endorsements for coverage while they are in home. "/>
    <x v="1"/>
    <s v="approved as quoted"/>
    <m/>
    <m/>
    <s v="Burdine"/>
  </r>
  <r>
    <x v="90"/>
    <x v="0"/>
    <s v="MI"/>
    <s v="Jill"/>
    <s v="Email"/>
    <s v="Walko"/>
    <s v="Brian"/>
    <s v="HO3 Primary"/>
    <m/>
    <s v="CO"/>
    <m/>
    <n v="9"/>
    <n v="775000"/>
    <n v="1511250"/>
    <x v="8"/>
    <s v="PC9, frame, primary, built in 1983/roof updated, located in CO"/>
    <x v="1"/>
    <s v="approved as quoted"/>
    <m/>
    <m/>
    <s v="Burdine"/>
  </r>
  <r>
    <x v="91"/>
    <x v="0"/>
    <s v="MI"/>
    <s v="Jill"/>
    <s v="Email"/>
    <s v="Aspen Mountain Retreat LLC"/>
    <s v="Aspen Mountain Retreat LLC"/>
    <s v="HO3 Seas/Sec w/Rental"/>
    <s v="Aspen"/>
    <s v="CO"/>
    <m/>
    <n v="6"/>
    <n v="3572025"/>
    <n v="4682025"/>
    <x v="0"/>
    <s v="PC6, frame, built in 1974 (roof updated in 2010, wiring, plumbing, heating - 1985), no losses, located in CO, Castle inspection included"/>
    <x v="0"/>
    <s v="subject to correct rating (app was too blurry to tell if rated secondary/rental). Per inspection, vacation rental and longterm lease on apartment, apartment has WBS so need questionnaire, and need to meet &gt;$2MIL alarm requirements"/>
    <m/>
    <m/>
    <s v="Burdine"/>
  </r>
  <r>
    <x v="91"/>
    <x v="0"/>
    <s v="MI"/>
    <s v="Rachel"/>
    <s v="Email"/>
    <s v="Rose Meadow Farm LLC"/>
    <s v="Rose Meadow Farm LLC"/>
    <s v="HO3 Primary"/>
    <m/>
    <s v="NY"/>
    <m/>
    <n v="3"/>
    <n v="840895"/>
    <n v="1429985"/>
    <x v="5"/>
    <s v="greenhouse on property, no marijuana, TBE applied,  Attached is a primary home built in NY. Built in 1952 of frame construction with full updates to heating, roofing, and plumbing in 2013, full updates to wiring in 1990. PC3, with no losses."/>
    <x v="0"/>
    <s v="GL and TBE in place"/>
    <m/>
    <m/>
    <s v="Burdine"/>
  </r>
  <r>
    <x v="91"/>
    <x v="7"/>
    <s v="MI"/>
    <s v="Lori"/>
    <s v="Email"/>
    <s v="Reyes"/>
    <s v="Jorge &amp; Denise"/>
    <s v="HO3 Primary"/>
    <s v="Salisbury"/>
    <s v="NC"/>
    <m/>
    <n v="6"/>
    <n v="231764"/>
    <n v="417176"/>
    <x v="7"/>
    <s v="primary home, animals for personal use on property: 2 pigs, 1 llama, 3 horses, 3 goats NO BITE HISTORY"/>
    <x v="1"/>
    <s v="personal use only, no petting zoo,variety of animals but none too exotic, agreed to include limited animal liability"/>
    <m/>
    <m/>
    <s v="Burdine"/>
  </r>
  <r>
    <x v="92"/>
    <x v="2"/>
    <s v="CA"/>
    <s v="Alison"/>
    <s v="Email"/>
    <s v="Letts"/>
    <s v="Ian"/>
    <s v="HO3 Builders Risk"/>
    <s v="Los Angeles"/>
    <s v="CA"/>
    <m/>
    <n v="2"/>
    <n v="1000000"/>
    <n v="1100000"/>
    <x v="11"/>
    <s v="They are using a licensed and insured GC and will move in upon completion. The home is 65% completed."/>
    <x v="4"/>
    <s v="It appears the build started in 2015. Why has it taken so long to complete? Additionally, it doesn’t appear the have any coverage in place currently. Is there a reason why they have gone without coverage, and are now seeking so late into the project?"/>
    <m/>
    <m/>
    <s v="Burdine"/>
  </r>
  <r>
    <x v="92"/>
    <x v="2"/>
    <s v="CA"/>
    <s v="Alison"/>
    <s v="Email"/>
    <s v="Wooten"/>
    <s v="Charles"/>
    <s v="DP3 Rental"/>
    <s v="Santa Monica"/>
    <s v="CA"/>
    <m/>
    <m/>
    <n v="3000000"/>
    <n v="3600000"/>
    <x v="0"/>
    <s v="Rental, no brush"/>
    <x v="1"/>
    <s v="Rating, online review OK"/>
    <m/>
    <m/>
    <s v="Burdine"/>
  </r>
  <r>
    <x v="92"/>
    <x v="6"/>
    <s v="CO"/>
    <s v="Allison"/>
    <s v="Email"/>
    <s v="Eaton"/>
    <s v="Kim Arthur and Elizabeth Torrey"/>
    <s v="HO3 Primary"/>
    <s v="Mill Valley"/>
    <s v="CA"/>
    <m/>
    <n v="3"/>
    <n v="1885000"/>
    <n v="3581000"/>
    <x v="1"/>
    <s v="losses over $100K-10/2015-animal died on top of home and damaged duct system. All repaired; 12/2016-water dripping, all repaired. Quoted wit water ded, and desire $25K med pay"/>
    <x v="1"/>
    <s v="photos, premium acceptable"/>
    <m/>
    <m/>
    <s v="Burdine"/>
  </r>
  <r>
    <x v="93"/>
    <x v="4"/>
    <s v="MA"/>
    <s v="Mary"/>
    <s v="Email"/>
    <s v="Hierarchy Gardens LLC"/>
    <m/>
    <s v="HO3 Primary"/>
    <s v="Orrington"/>
    <s v="ME"/>
    <m/>
    <m/>
    <n v="200000"/>
    <n v="560000"/>
    <x v="5"/>
    <s v="Dwelling with a cannabis farm on premises.  Business is insured commercially.  Agent looking for coverage for main owner occupied house.  Cov B of $180,000 is for 2 greenhouses used for the cannabis farm."/>
    <x v="2"/>
    <s v="Currently not entertaining risks with cannabis operations on premises.  Still federally illegal. Increased fire, theft, phys dmg exposure."/>
    <m/>
    <m/>
    <s v="Patterson"/>
  </r>
  <r>
    <x v="93"/>
    <x v="0"/>
    <s v="MI"/>
    <s v="Jill"/>
    <s v="Email"/>
    <s v="Rosenlieb"/>
    <s v="Scott &amp; Jay"/>
    <s v="HO3 Seas/Sec"/>
    <s v="Tehachapi"/>
    <s v="CA"/>
    <m/>
    <n v="4"/>
    <n v="1916000"/>
    <n v="3257000"/>
    <x v="0"/>
    <s v="PC4, built in 1994, frame, in brush, secondary, no losses, located in CA, ins score A, premium $6,890"/>
    <x v="0"/>
    <s v="Alarm requirements being met"/>
    <m/>
    <m/>
    <s v="Burdine"/>
  </r>
  <r>
    <x v="93"/>
    <x v="6"/>
    <s v="CO"/>
    <s v="Allison"/>
    <s v="Email"/>
    <s v="Laura Tomasvewski"/>
    <s v="Rodney Dunlap"/>
    <s v="HO3 Seas/Sec"/>
    <s v="Fairplay"/>
    <s v="CO"/>
    <m/>
    <n v="9"/>
    <n v="1500000"/>
    <n v="2500000"/>
    <x v="8"/>
    <s v="secondary, CSFB alarm, PC 9, log, secondary, low temp alarm, $50K water backup"/>
    <x v="1"/>
    <s v="premium, review acceptable"/>
    <m/>
    <m/>
    <s v="Burdine"/>
  </r>
  <r>
    <x v="94"/>
    <x v="5"/>
    <s v="NJ"/>
    <s v="Tamika"/>
    <s v="Call"/>
    <s v="Eivich"/>
    <s v="Edward"/>
    <s v="HO3 Primary w/Rental"/>
    <s v="Mantua"/>
    <s v="NJ"/>
    <m/>
    <m/>
    <m/>
    <m/>
    <x v="2"/>
    <s v="Dwelling has an attached flat roof garage.  The roof is in poor condition but will be replaced within 60 days of closing.  Agent called back later and advised that the insured will be renting out the large 3 bay garage to a commercial enterprise of some sort, maybe a trucking company. Online photo link in agency file."/>
    <x v="3"/>
    <s v="Attach the roof exclusion but indicate on the dec that it applies to the garage roof only. // With updated info about the business rental, the risk was declined. Advised a commercial policy is more appropriate.// Agent emailed. They have in writing that the insured will not rent out to any businesses.  The garage will only be used by the tenants."/>
    <m/>
    <m/>
    <s v="Patterson"/>
  </r>
  <r>
    <x v="94"/>
    <x v="2"/>
    <s v="CA"/>
    <s v="Melissa"/>
    <s v="Email"/>
    <s v="Bender"/>
    <s v="Ryan"/>
    <s v="HO3 Primary"/>
    <s v="Arrowhead"/>
    <s v="CA"/>
    <m/>
    <m/>
    <m/>
    <n v="300000"/>
    <x v="12"/>
    <s v="wood shake roof, nr from prior carrier due to no longer writing in zip"/>
    <x v="1"/>
    <s v="RM included, not in brush. Advised wood roof alone does not make it ineligible"/>
    <m/>
    <m/>
    <s v="Burdine"/>
  </r>
  <r>
    <x v="94"/>
    <x v="0"/>
    <s v="MI"/>
    <s v="David"/>
    <s v="Email"/>
    <s v="Vaughn"/>
    <s v="Brett"/>
    <s v="HO3 Primary"/>
    <s v="Gassville"/>
    <s v="AR"/>
    <m/>
    <n v="5"/>
    <n v="100000"/>
    <n v="180000"/>
    <x v="5"/>
    <s v="Sawmill operated on property, PC 6, home built in 2013. Cash purchase, so no insurance"/>
    <x v="2"/>
    <s v="Unfortunately, this property is ineligible for our product.  The type of business exposure is one that is pretty unique, and we may have been able to consider with a total business exclusion. I'm not too familiar with sawmill work, so would have to research it more to see if it is an exposure that a business exclusion could properly mitigate. Also, 5 years gap in coverage"/>
    <m/>
    <m/>
    <s v="Burdine"/>
  </r>
  <r>
    <x v="94"/>
    <x v="7"/>
    <s v="MI"/>
    <s v="Lori"/>
    <s v="Email"/>
    <s v="Tolliver"/>
    <s v="Cecilia"/>
    <s v="HO3 Primary"/>
    <s v="Detroit"/>
    <s v="MI"/>
    <m/>
    <n v="2"/>
    <n v="126000"/>
    <n v="200000"/>
    <x v="6"/>
    <s v="She was insured through the Michigan Fair Plan for a while but has been without insurance for about two years now "/>
    <x v="2"/>
    <s v="Due to lapse"/>
    <m/>
    <m/>
    <s v="Burdine"/>
  </r>
  <r>
    <x v="95"/>
    <x v="2"/>
    <s v="CA"/>
    <s v="Alison"/>
    <s v="Email"/>
    <s v="Carter"/>
    <s v="Michael &amp; Megan"/>
    <s v="HO3 Primary"/>
    <s v="Cota De Caza"/>
    <s v="CA"/>
    <m/>
    <m/>
    <n v="2500000"/>
    <n v="4500000"/>
    <x v="0"/>
    <s v="Risk is in a brush zone and over our $3M TIV limit, but it is a small area of brush a not the edge of the community per the agent."/>
    <x v="2"/>
    <s v="Still in a brush zone and surrounded by high brush per the RiskMeter"/>
    <m/>
    <m/>
    <s v="Patterson"/>
  </r>
  <r>
    <x v="95"/>
    <x v="2"/>
    <s v="CA"/>
    <s v="Kelly"/>
    <s v="Email"/>
    <s v="Thone"/>
    <s v="Robby &amp; Bridgette"/>
    <s v="HO3 Primary"/>
    <s v="Malibu"/>
    <s v="CA"/>
    <m/>
    <n v="4"/>
    <n v="250000"/>
    <n v="3450000"/>
    <x v="0"/>
    <s v="Dwelling in Malibu not in brush. No alarm, flat roof. Agent applied $10KAOP deductible."/>
    <x v="1"/>
    <s v="Nice home just east of PCH"/>
    <m/>
    <m/>
    <s v="Patterson"/>
  </r>
  <r>
    <x v="95"/>
    <x v="0"/>
    <s v="MI"/>
    <s v="Matt   "/>
    <s v="Email"/>
    <s v="Brown"/>
    <s v="Letitia Uptown"/>
    <s v="DP3 Vacant"/>
    <m/>
    <s v="AZ"/>
    <m/>
    <m/>
    <n v="1200000"/>
    <n v="1448000"/>
    <x v="2"/>
    <s v="Reapproval that does not appear to have been logged before.  Vacant AZ home, 1989 no alarms. 300 acres leased for grazing, GL in place.  X-liability.  Vacant since 2003, management co checks on home monthly., nephew stays in home one weekend a year. Elec is off but will be on soon."/>
    <x v="3"/>
    <s v="Approved subj to utilities being on and signed no loss.  "/>
    <m/>
    <m/>
    <s v="Patterson"/>
  </r>
  <r>
    <x v="95"/>
    <x v="0"/>
    <s v="MI"/>
    <s v="Jeff  "/>
    <s v="Email"/>
    <s v="Rhoads "/>
    <s v="Susan"/>
    <s v="DP3 Rental"/>
    <s v="San Diego"/>
    <s v="CA"/>
    <m/>
    <n v="2"/>
    <n v="250000"/>
    <n v="250000"/>
    <x v="5"/>
    <s v="1960 dwelling w/updates to heat and roof. Not in brush. Tenant runs an 8 child daycare. Agt quoted with TBE."/>
    <x v="0"/>
    <s v="Completed app, TBE, require GL covering the dwelling if business causes a loss, excluding liability because we have no control of the insured's business. Insured could be pulled into losses especially since children are involved."/>
    <m/>
    <m/>
    <s v="Patterson"/>
  </r>
  <r>
    <x v="96"/>
    <x v="2"/>
    <s v="CA"/>
    <s v="Michelle"/>
    <s v="Email"/>
    <s v="Platt/Masi"/>
    <s v="Jess and Mark"/>
    <s v="HO3 Primary"/>
    <s v="Malibu"/>
    <m/>
    <m/>
    <n v="4"/>
    <n v="600000"/>
    <n v="980000"/>
    <x v="7"/>
    <s v="not in a brush zone, but it's across the street (100ft away) from medium/high brush. PC provided on app shows 4, ran FireLine and PC and it's coming back as a PPC10. "/>
    <x v="0"/>
    <s v="prefer something closer to a fire station. App indicates 3 miles. UPDATE: agt responded and indicated the PC is in fact 10. 5 miles to fire station. FireLine shows moderate slope, no access problems. Last fire in that area was in 2007 and 1996 (1/4 mile from Calabasas fire). will approve with a brush surcharge."/>
    <m/>
    <m/>
    <s v="Trott"/>
  </r>
  <r>
    <x v="96"/>
    <x v="2"/>
    <s v="CA"/>
    <s v="Alison"/>
    <s v="Email"/>
    <s v="Boek"/>
    <s v="Luther"/>
    <s v="HO3 Builders Risk"/>
    <s v="Los Angeles"/>
    <s v="CA"/>
    <m/>
    <n v="2"/>
    <n v="350000"/>
    <m/>
    <x v="1"/>
    <s v="170k fire loss in 2017. electrical fire in attack while insured wasn't home. They will be replacing all electrical along with other systems in home. Licensed and insured GC. Insured will move in at completion."/>
    <x v="0"/>
    <s v="Has construction been started or is it currently undergoing demo? Is the risk currently uninsured? If construction hasn’t started and there hasn’t been a lapse, ok to issue terms."/>
    <s v="F/U from GA-fire loss undetermined per fire report; I advised that if undetermined, not comfortable offering terms. Questioned why they originally thought it was electrical (maybe insurance companies C&amp;O report?) Can further consider if so. Burdine Insured confirmed that was out of town at time of loss, will be total rebuild. Since no mention of arson in fire report, advised approval as previously offered"/>
    <m/>
    <s v="Trott"/>
  </r>
  <r>
    <x v="96"/>
    <x v="0"/>
    <s v="CA"/>
    <s v="Jill"/>
    <s v="Email"/>
    <s v="Doremus"/>
    <s v="Drake"/>
    <s v="HO3 Primary"/>
    <s v="Los Angeles"/>
    <s v="CA"/>
    <m/>
    <m/>
    <n v="800000"/>
    <m/>
    <x v="3"/>
    <s v="Insured is a screen writer. Nominated at Sundance Film Festival. Not a name I recognize. "/>
    <x v="1"/>
    <s v="Approved- not that famous."/>
    <m/>
    <m/>
    <s v="Trott"/>
  </r>
  <r>
    <x v="97"/>
    <x v="9"/>
    <s v="CA"/>
    <s v="Alison"/>
    <s v="Email"/>
    <s v="Upton"/>
    <s v="Dan &amp; Maya"/>
    <s v="HO3 Builders Risk"/>
    <s v="Santa Barbara"/>
    <s v="CA"/>
    <m/>
    <m/>
    <n v="1500000"/>
    <m/>
    <x v="7"/>
    <s v="builders risk with a living roof. Vegetation not planted directly on the roof, but on planters elevated above. "/>
    <x v="2"/>
    <s v="FireLine is high (12) with heavy fuels. Steep slope per FireLine. RM shows in a brush zone and in Renie. Was considering it, however, with the high brush and the potential to have brush on the roof, I'm not comfortable. "/>
    <m/>
    <m/>
    <s v="Trott"/>
  </r>
  <r>
    <x v="97"/>
    <x v="7"/>
    <s v="MI"/>
    <s v="Cheryl"/>
    <s v="Email"/>
    <s v="Hamilton"/>
    <s v="Stephen"/>
    <s v="DP3 Rental"/>
    <s v="Three Oaks"/>
    <s v="MI"/>
    <m/>
    <n v="6"/>
    <n v="491000"/>
    <m/>
    <x v="2"/>
    <s v="DP3 short term rental. 20 weeks seasonal. One loss in 2017 where the hot tub froze, payout $8k. "/>
    <x v="1"/>
    <s v="Approved"/>
    <m/>
    <m/>
    <s v="Trott"/>
  </r>
  <r>
    <x v="97"/>
    <x v="2"/>
    <s v="CA"/>
    <s v="Bobbi"/>
    <s v="Email"/>
    <s v="Lipking"/>
    <s v="Jeremy &amp; Danielle"/>
    <s v="HO3 Primary"/>
    <s v="Agoura Hills"/>
    <s v="CA"/>
    <m/>
    <n v="2"/>
    <n v="895000"/>
    <m/>
    <x v="1"/>
    <s v="• 6/22/2013: Dog Bite – Insured’s pug bit someone at a prior address of the insured’s. They still own the dog. $41,257 paid out._x000a_• 11/12/2014: Water Damage – Pipe leak at prior address. $431,000 paid out._x000a_ _x000a_This home is a new purchase for the insured. However, the prior owner of this home also had a couple of losses (CLUE report attached) that are in subrogation. "/>
    <x v="0"/>
    <s v="Adv we'll need the animal liab exl form attached. Also asking for additional info on the big water loss- was it owner occ? Were they not home at the time? It's a pretty big loss for water. Also asking if there is any existing damage for the prior owner claims that are in subro."/>
    <m/>
    <m/>
    <s v="Trott"/>
  </r>
  <r>
    <x v="97"/>
    <x v="0"/>
    <s v="MI"/>
    <s v="David"/>
    <s v="Email"/>
    <s v="Gong"/>
    <s v="Tommy"/>
    <s v="DP3 Rental"/>
    <s v="Visalia"/>
    <s v="CA"/>
    <m/>
    <n v="3"/>
    <n v="273700"/>
    <n v="301070"/>
    <x v="5"/>
    <s v="Agency asking for refreshed terms. Originally approved w/subjectivity in February."/>
    <x v="0"/>
    <s v="approved again with the following subjectivities: Total business exclusion in place, GL policy in place for the business (the tenant will need to submit proof to the owner, who will need to provide renewal term of that policy each year to qualify for renewal of this policy) Also, from a review of the information for the daycare it appears that the tenant does reside in the house. this approval is contingent on the tenant in fact residing in the home as well, and not just her renting it for the business."/>
    <m/>
    <m/>
    <s v="Trott"/>
  </r>
  <r>
    <x v="97"/>
    <x v="2"/>
    <s v="CA"/>
    <s v="Alison"/>
    <s v="Email"/>
    <s v="Sanders"/>
    <m/>
    <s v="HO3 Primary"/>
    <s v="Calabasas"/>
    <s v="CA"/>
    <m/>
    <m/>
    <m/>
    <n v="3125000"/>
    <x v="0"/>
    <s v="Near a brush zone."/>
    <x v="0"/>
    <s v="Jeff reviewed. Risk was okay but questioned surcharge. Some back and forth. Finally, Alison agreed to apply full surcharge."/>
    <m/>
    <m/>
    <s v="Patterson"/>
  </r>
  <r>
    <x v="98"/>
    <x v="0"/>
    <s v="MI"/>
    <s v="Rachel"/>
    <s v="Email"/>
    <s v="Nicolas"/>
    <s v="Paul"/>
    <s v="HO3 Primary"/>
    <m/>
    <s v="CA"/>
    <m/>
    <n v="2"/>
    <n v="1916000"/>
    <n v="3065600"/>
    <x v="0"/>
    <s v="primary home in CA. Built in 1994 of frame construction with full updates to heating, roofing, plumbing, and wiring in 2004. PC2, with no losses"/>
    <x v="1"/>
    <s v="RM, photos, PC, acceptable"/>
    <m/>
    <m/>
    <s v="Burdine"/>
  </r>
  <r>
    <x v="98"/>
    <x v="9"/>
    <s v="CA"/>
    <s v="Lisa"/>
    <s v="Email"/>
    <s v="Scantlin"/>
    <s v="Mark &amp; Debra"/>
    <s v="HO3 Primary"/>
    <s v="Acton"/>
    <s v="CA"/>
    <m/>
    <n v="2"/>
    <n v="850000"/>
    <n v="1360000"/>
    <x v="7"/>
    <s v="new purchase, will have one personal horse, prior CAT loss from wildfire to prior property"/>
    <x v="0"/>
    <s v="As long as only 1 horse (Per photos, room for more) for personal use only, approved with animal liab. No need to surcharge prior cat loss"/>
    <m/>
    <m/>
    <s v="Burdine"/>
  </r>
  <r>
    <x v="98"/>
    <x v="6"/>
    <s v="CO"/>
    <s v="Allison"/>
    <s v="Email"/>
    <s v="Allen"/>
    <s v="David"/>
    <s v="HO3 Seas/Sec w/Rental"/>
    <s v="Keystone"/>
    <s v="CO"/>
    <m/>
    <n v="2"/>
    <m/>
    <n v="4600000"/>
    <x v="0"/>
    <s v="Secondary home,  rental 45 days a year. CSFB alarms, interior sprinklers, 2001 build"/>
    <x v="1"/>
    <s v="PC, alarms, photos, online review acceptable"/>
    <m/>
    <m/>
    <s v="Burdine"/>
  </r>
  <r>
    <x v="98"/>
    <x v="0"/>
    <s v="MI"/>
    <s v="Jill"/>
    <s v="Email"/>
    <s v="Larsen"/>
    <s v="Larry"/>
    <s v="HO3 Seas/Sec"/>
    <m/>
    <s v="WY"/>
    <m/>
    <n v="10"/>
    <n v="460000"/>
    <n v="736000"/>
    <x v="8"/>
    <s v="Frame, built in 1974 (partial updates in 2012 only), secondary, no losses, located in WY"/>
    <x v="0"/>
    <s v="premium surcharge of 25% to get too .60:100"/>
    <m/>
    <m/>
    <s v="Burdine"/>
  </r>
  <r>
    <x v="98"/>
    <x v="0"/>
    <s v="MI"/>
    <s v="Jill"/>
    <s v="Email"/>
    <s v="Conway"/>
    <s v="Peterson"/>
    <s v="HO3 Primary"/>
    <s v="Carmel"/>
    <s v="CA"/>
    <m/>
    <n v="2"/>
    <n v="3200000"/>
    <n v="4720000"/>
    <x v="0"/>
    <s v="Frame, primary, c/s alarms, brush, PC2, no losses, located in CA"/>
    <x v="2"/>
    <s v="wood roof in brush, high TIV"/>
    <m/>
    <m/>
    <s v="Burdine"/>
  </r>
  <r>
    <x v="98"/>
    <x v="7"/>
    <s v="MI"/>
    <s v="Cheryl"/>
    <s v="Email"/>
    <s v="Adams"/>
    <s v="Charles"/>
    <s v="HO8"/>
    <s v="Reidsville"/>
    <s v="NC"/>
    <m/>
    <m/>
    <n v="1800000"/>
    <n v="3096000"/>
    <x v="5"/>
    <s v="weddings in pavilion"/>
    <x v="0"/>
    <s v="subject to TBE, GL in place, other structures exclusion for pavilion, and confirmation no bed and breakfast as advertise; also 5% surcharge"/>
    <m/>
    <m/>
    <s v="Trott/Burdine"/>
  </r>
  <r>
    <x v="98"/>
    <x v="0"/>
    <s v="MI"/>
    <s v="Jeffrey"/>
    <s v="Email"/>
    <s v="Luke"/>
    <s v="Robert"/>
    <s v="HO3 Primary"/>
    <m/>
    <s v="MO"/>
    <m/>
    <n v="9"/>
    <n v="225000"/>
    <n v="472500"/>
    <x v="5"/>
    <s v="quoted as in home business-x-mass tree family November-dec, $70K a year. Also plan to build an event center to host weddings, etc."/>
    <x v="0"/>
    <s v="Advised can currently quote, but not considered for in-home program, so need GL and TBE in place. Advised would have to exclude liability if elect to build an event center in the future"/>
    <m/>
    <m/>
    <s v="Burdine"/>
  </r>
  <r>
    <x v="99"/>
    <x v="0"/>
    <s v="MI"/>
    <s v="Jeffrey"/>
    <s v="Emails"/>
    <s v="Fisher"/>
    <s v="Angela"/>
    <s v="HO3 Primary"/>
    <m/>
    <s v="MO"/>
    <m/>
    <n v="3"/>
    <n v="152000"/>
    <n v="273600"/>
    <x v="5"/>
    <s v="Business-assemble muzzle loaders and ship to customers. O, 1962, fully updated in 2000, HO3, PC 3, RC. This is an &quot;N&quot; insurance score. "/>
    <x v="0"/>
    <s v="even with the exclusions in place, we would not be able to offer liability coverage on this risk. The exposure from most businesses related to firearms are beyond are appetite at this time. However, you do have approval to offer terms on this risk, x-liability."/>
    <m/>
    <m/>
    <s v="Burdine"/>
  </r>
  <r>
    <x v="99"/>
    <x v="2"/>
    <s v="CA"/>
    <s v="Alison"/>
    <s v="Email"/>
    <s v="Wallace"/>
    <s v="Beverly"/>
    <s v="DP3 Rental"/>
    <s v="Santa Fe Springs"/>
    <s v="CA"/>
    <m/>
    <n v="2"/>
    <n v="270500"/>
    <n v="541450"/>
    <x v="1"/>
    <s v="large fire loss in Dec. 2016 (approximately $170K paid)."/>
    <x v="4"/>
    <s v="Requested additional information on fire loss as no details provided"/>
    <m/>
    <m/>
    <s v="Burdine"/>
  </r>
  <r>
    <x v="99"/>
    <x v="2"/>
    <s v="CA"/>
    <s v="Alison"/>
    <s v="Email"/>
    <s v="Arthur"/>
    <s v="Eric"/>
    <s v="HO3 Primary"/>
    <s v="Los Angeles"/>
    <s v="CA"/>
    <m/>
    <m/>
    <n v="2500000"/>
    <n v="3500000"/>
    <x v="0"/>
    <s v="no brush, 1948 but complete update/remodel, alarm in home"/>
    <x v="1"/>
    <s v="photos, rate appropriate"/>
    <m/>
    <m/>
    <s v="Burdine"/>
  </r>
  <r>
    <x v="99"/>
    <x v="6"/>
    <s v="CO"/>
    <s v="Allison"/>
    <s v="Email"/>
    <s v="Cold Springs Property Management LLC"/>
    <s v="Cold Springs Property Management LLC"/>
    <s v="DP3 Rental"/>
    <m/>
    <s v="WA"/>
    <m/>
    <n v="9"/>
    <n v="2763902"/>
    <n v="3300682"/>
    <x v="0"/>
    <s v="20 properties in same county. The LLC is owned by all family members who also manage the properties, and have GL coverage for their management company. all properties have been updated over the years, single family, and roofs are within 10 years of age and composite material, Some of the houses are on the west side of town, and some the east side.  They are all within 2-3 miles of a fire department, on the edge of town, but do not have hydrants.  "/>
    <x v="4"/>
    <s v="Under review"/>
    <m/>
    <m/>
    <s v="Burdine"/>
  </r>
  <r>
    <x v="100"/>
    <x v="0"/>
    <s v="MI"/>
    <s v="Jill"/>
    <s v="Email"/>
    <s v="Zhang"/>
    <s v="Jing"/>
    <s v="HO3 Primary w/Rental"/>
    <s v="San Francisco"/>
    <s v="CA"/>
    <m/>
    <n v="3"/>
    <n v="950000"/>
    <n v="1615000"/>
    <x v="10"/>
    <s v="05/1/2015-$95K liab loss-had to file Ellis act to evict tenant and they sued for wrongful eviction. 3 unit building, gas wall heaters in 2 units, insureds unit has no heat so uses fireplace and electric blanket. 1918 build, partial updates to wiring and plumbing, full updates to heating/roofing"/>
    <x v="3"/>
    <s v="Due to heat source combined with age of home//agent provided updated OHQ-central heat and updates made to all units"/>
    <m/>
    <m/>
    <s v="Burdine"/>
  </r>
  <r>
    <x v="100"/>
    <x v="7"/>
    <s v="MI"/>
    <s v="Lori"/>
    <s v="Email"/>
    <s v="Bailey"/>
    <s v="Milton"/>
    <s v="HO3 Primary"/>
    <s v="Vinton"/>
    <s v="OH"/>
    <m/>
    <m/>
    <n v="250100"/>
    <n v="501600"/>
    <x v="1"/>
    <s v="2 losses-02/2016-line burst on washer (no payout), 02/14/2018-water line burst, fixed"/>
    <x v="0"/>
    <s v="$2500 AOP ded, all repairs done"/>
    <m/>
    <m/>
    <s v="Burdine"/>
  </r>
  <r>
    <x v="100"/>
    <x v="0"/>
    <s v="MI"/>
    <s v="Jill"/>
    <s v="Email"/>
    <s v="Hill"/>
    <s v="Ronald &amp; Kathleen"/>
    <s v="DP1"/>
    <s v="London Derry"/>
    <s v="NH"/>
    <m/>
    <n v="4"/>
    <n v="316500"/>
    <n v="400000"/>
    <x v="5"/>
    <s v="Land for premises is used to harvest plants for the nursery located next door. Insured has 2 million GL policy for business exposure.  There are a few employees, no foot traffic.  The insured location is a rental unit, and will only be used to grow plants on the property for selling at the nursery which is located next door on a separate address."/>
    <x v="2"/>
    <s v="From what you described, this sounds to be more of a commercial risk. If the insured owns the land, and rents the dwelling out and uses the land for his greenhouse/nursery business, the cumulative risk is commercial. Advised to let me know if need further review"/>
    <m/>
    <m/>
    <s v="Burdine"/>
  </r>
  <r>
    <x v="100"/>
    <x v="6"/>
    <s v="CO"/>
    <s v="Allison"/>
    <s v="Email"/>
    <s v="Bremmer"/>
    <s v="Randy &amp; Christi"/>
    <s v="HO3 Primary"/>
    <s v="Fort Collins"/>
    <s v="CO"/>
    <m/>
    <n v="3"/>
    <n v="750000"/>
    <n v="1500000"/>
    <x v="5"/>
    <s v="PC3, 2007 build, no losses,The insured owns an Electrical Engineering business with 1 employee.  He operates it out of a separate entrance/building from the home, but does share the same driveway.  "/>
    <x v="0"/>
    <s v="approval to offer terms on this risk as quoted, subject to the GL policy remaining in-place and the total business exclusion."/>
    <m/>
    <m/>
    <s v="Burdine"/>
  </r>
  <r>
    <x v="101"/>
    <x v="2"/>
    <s v="CA"/>
    <s v="Alison"/>
    <s v="Email"/>
    <s v="Peterson"/>
    <s v="Nancy"/>
    <s v="DP3 Rental"/>
    <s v="Ojaj"/>
    <s v="CA"/>
    <m/>
    <m/>
    <n v="280500"/>
    <n v="450000"/>
    <x v="2"/>
    <s v="Guest house, primary home with farmers. "/>
    <x v="0"/>
    <s v="Discussed w/ MP, ok to offer terms with premises liability. As long as main home excluded as an other structure and retains it's own liab coverage"/>
    <m/>
    <m/>
    <s v="Burdine"/>
  </r>
  <r>
    <x v="101"/>
    <x v="2"/>
    <s v="CA"/>
    <s v="Alison"/>
    <s v="Email"/>
    <s v="Holt"/>
    <s v="Jens"/>
    <s v="HO3 Primary"/>
    <s v="Malibu"/>
    <s v="CA"/>
    <m/>
    <m/>
    <n v="2200000"/>
    <n v="3960000"/>
    <x v="0"/>
    <s v="Malibu risk; The insured operates an office out of a guest house on premises – the agent has a GL policy and artisan policy in place. The name of the business is Holst Brothers Inc (developers). "/>
    <x v="2"/>
    <s v="in brush, doesn't qualify for exception"/>
    <m/>
    <m/>
    <s v="Burdine"/>
  </r>
  <r>
    <x v="101"/>
    <x v="2"/>
    <s v="CA"/>
    <s v="Melissa"/>
    <s v="Email"/>
    <s v="Campbell Fidler"/>
    <s v="Anne"/>
    <s v="HO3 Primary"/>
    <s v="Los Angeles"/>
    <s v="CA"/>
    <m/>
    <m/>
    <n v="410000"/>
    <n v="910000"/>
    <x v="3"/>
    <s v="In brush, insureds on tv shows, primary home, flat roof replaced 9 years ago"/>
    <x v="1"/>
    <s v="google search ok, not too high profile, rating appropriate"/>
    <m/>
    <m/>
    <s v="Burdine"/>
  </r>
  <r>
    <x v="102"/>
    <x v="2"/>
    <s v="CA"/>
    <s v="Alison"/>
    <s v="Email"/>
    <s v="Efraim"/>
    <s v="Benjamin"/>
    <s v="HO3 Primary"/>
    <s v="Los Angeles"/>
    <s v="CA"/>
    <m/>
    <n v="2"/>
    <n v="2500000"/>
    <n v="4000000"/>
    <x v="1"/>
    <s v="Fire loss to prior home (CAT loss), "/>
    <x v="1"/>
    <s v="premium, review acceptable"/>
    <m/>
    <m/>
    <s v="Burdine"/>
  </r>
  <r>
    <x v="103"/>
    <x v="0"/>
    <s v="MI"/>
    <s v="Rachel"/>
    <s v="Email"/>
    <s v="Deese"/>
    <s v="Jeffrey"/>
    <s v="HO3 Primary"/>
    <s v="Lyons"/>
    <s v="CO"/>
    <m/>
    <n v="10"/>
    <n v="191000"/>
    <n v="291500"/>
    <x v="8"/>
    <s v="primary home in CO. Built in 1971 with no known updates, roof exclusion has been added until updates can be confirmed. PC10, with no losses."/>
    <x v="0"/>
    <s v="approval to offer terms on this risk. However, a 40% surcharge needs to be added to account for the increased response time and the periodic inaccessibility."/>
    <m/>
    <m/>
    <s v="Burdine"/>
  </r>
  <r>
    <x v="103"/>
    <x v="0"/>
    <s v="MI"/>
    <s v="Jill"/>
    <s v="Email"/>
    <s v="Yolo County Creative LLC"/>
    <s v="Yolo County Creative LLC"/>
    <s v="DP3 Rental"/>
    <m/>
    <s v="CA"/>
    <m/>
    <n v="9"/>
    <n v="452000"/>
    <n v="497200"/>
    <x v="8"/>
    <s v="Built in 1930/updated, new purchase, no losses, tenant occupied, frame,"/>
    <x v="0"/>
    <s v="confirm there is no commercial exposure to the property. There was a 2012 online listing about a Solar Panel Farm at the property, but it appears this may no longer apply."/>
    <m/>
    <m/>
    <s v="Burdine"/>
  </r>
  <r>
    <x v="103"/>
    <x v="0"/>
    <s v="MI"/>
    <s v="Jill"/>
    <s v="Email"/>
    <s v="Onabula"/>
    <s v="Adewale"/>
    <s v="HO3 Primary"/>
    <s v="Madison"/>
    <s v="WI"/>
    <m/>
    <n v="1"/>
    <n v="225000"/>
    <n v="3825000"/>
    <x v="5"/>
    <s v="Adult care provider, Applicant been caring for the individuals since 2011, applicant has licensing in place for the caring of these individual, a team and family members may come check on residents, residents may go out for day programs and come back in the afternoon, it is a home to provide companionship.; quoted with TBE"/>
    <x v="0"/>
    <s v="subject to a GL being in place for that exposure as well."/>
    <m/>
    <m/>
    <s v="Burdine"/>
  </r>
  <r>
    <x v="104"/>
    <x v="2"/>
    <s v="CA"/>
    <s v="Alison"/>
    <s v="Email"/>
    <s v="Colby"/>
    <s v="Trevor &amp; Linda"/>
    <s v="HO3 Seas/Sec"/>
    <s v="Malibu"/>
    <s v="CA"/>
    <m/>
    <m/>
    <n v="1662600"/>
    <n v="2462600"/>
    <x v="0"/>
    <s v="secondary home in malin"/>
    <x v="0"/>
    <s v="Subject to no brush, RM not attached"/>
    <m/>
    <m/>
    <s v="Burdine"/>
  </r>
  <r>
    <x v="104"/>
    <x v="2"/>
    <s v="CA"/>
    <s v="Michelle"/>
    <s v="Email"/>
    <s v="Umana"/>
    <s v="Barbara &amp; Randy"/>
    <s v="HO3 Primary"/>
    <s v="Mission Viejo"/>
    <s v="CA"/>
    <m/>
    <n v="2"/>
    <n v="340000"/>
    <n v="833000"/>
    <x v="1"/>
    <s v="3 water losses in the past 3 years, being cancelled for losses"/>
    <x v="0"/>
    <s v="approval to offer terms on this risk subject to a water damage exclusion "/>
    <m/>
    <m/>
    <s v="Burdine"/>
  </r>
  <r>
    <x v="104"/>
    <x v="12"/>
    <s v="MS"/>
    <s v="Johnathan"/>
    <s v="Email"/>
    <s v="Wright"/>
    <s v="Merrit"/>
    <s v="HO3 Primary"/>
    <s v="Smithdale"/>
    <s v="MS"/>
    <m/>
    <n v="8"/>
    <n v="686300"/>
    <n v="1222190"/>
    <x v="1"/>
    <s v="prior claim-grandson hit head after falling off golf-cart"/>
    <x v="0"/>
    <s v="approval to offer terms with liability and Med Pay excluded"/>
    <m/>
    <m/>
    <s v="Burdine"/>
  </r>
  <r>
    <x v="104"/>
    <x v="0"/>
    <s v="MI"/>
    <s v="Jeffrey"/>
    <s v="Email"/>
    <s v="Wertz"/>
    <s v="Max &amp; Suzanne"/>
    <s v="HO3 Primary"/>
    <m/>
    <s v="AZ"/>
    <m/>
    <n v="2"/>
    <n v="413000"/>
    <n v="727100"/>
    <x v="1"/>
    <s v="had 5 losses - Water/Slab leak - pipe replaced - $55,345 01/07/16 - Physical damage - repairs completed but later claim subrogated from this claim - $5,135 02/09/2016- Water - water heater broke and replaced - $20,988 07/30/2016 - Accidental discharge - a/c unit leaked and replaced - $8,513 01/01/2017 - Weather - subrogated from 01/07/16 claim - repaired incorrectly before - $30,266"/>
    <x v="0"/>
    <s v="subject to the $5,000 AOP, 10% W/H, $25,000 Water damage deductibles."/>
    <m/>
    <m/>
    <s v="Burdine"/>
  </r>
  <r>
    <x v="105"/>
    <x v="9"/>
    <s v="CA"/>
    <s v="Lisa"/>
    <s v="Email"/>
    <s v="Mileski"/>
    <s v="Bret"/>
    <s v="HO3 Primary"/>
    <s v="Winchester "/>
    <s v="CA"/>
    <m/>
    <n v="9"/>
    <n v="560000"/>
    <n v="896000"/>
    <x v="5"/>
    <s v="Nice home per online photos on 10 acres. Nearby airport. Building on prop used as shop for insured's sign/framing company. Was a hangar. Agent quoted with TBE."/>
    <x v="0"/>
    <s v="GL maintained by retailer, TBE, All UW questions answered, advise if bldg ever used as a hangar. Photos show adequate distance from dwelling. 10 acres, so airport exposure is not a concern."/>
    <m/>
    <m/>
    <s v="Patterson"/>
  </r>
  <r>
    <x v="105"/>
    <x v="2"/>
    <s v="CA"/>
    <s v="Alison"/>
    <s v="Email"/>
    <s v="King"/>
    <s v="David"/>
    <s v="HO3 Primary"/>
    <s v="Malibu"/>
    <s v="CA"/>
    <m/>
    <m/>
    <n v="837000"/>
    <n v="1500000"/>
    <x v="0"/>
    <s v="Referred since we capped Malibu 90265. Referrals of PC1-7 non-brush only. This risk is in brush."/>
    <x v="2"/>
    <s v="Not writing any new brush exposed business in Malibu."/>
    <m/>
    <m/>
    <s v="Patterson"/>
  </r>
  <r>
    <x v="105"/>
    <x v="2"/>
    <s v="CA"/>
    <s v="Bobbi"/>
    <s v="Email"/>
    <s v="DGML Real Estate LLC"/>
    <m/>
    <s v="DP3 Rental"/>
    <s v="San Diego"/>
    <s v="CA"/>
    <m/>
    <n v="1"/>
    <n v="170000"/>
    <n v="187000"/>
    <x v="2"/>
    <s v="Tenant is a hoarder. Stacks of belongings in yard. No interior photos. 1927 dwelling with only partial updates. Prior carrier cancelling due to condition.  Insd says they are cleaning up and tenant will be out in a few months. Want 7/1/18 eff date for top agent. "/>
    <x v="2"/>
    <s v="Concerned of the morale hazard w/older home/partial updates.  Advised if we had an EHP, it might help. Although if we saw interior, we may not want to write."/>
    <m/>
    <m/>
    <s v="Patterson"/>
  </r>
  <r>
    <x v="105"/>
    <x v="5"/>
    <s v="PA"/>
    <s v="Tamika"/>
    <s v="Email"/>
    <s v="3757 Condominium Association"/>
    <m/>
    <s v="HO3 Seas/Sec w/Rental"/>
    <s v="Ocean City"/>
    <s v="NJ"/>
    <m/>
    <n v="3"/>
    <n v="440000"/>
    <n v="440000"/>
    <x v="1"/>
    <s v="1990 2 unit dwelling updated recently. Prior freezing loss 1/18 $65K. Repairs done, plumbing replaced. Heat was maintained. Gas meter malfunction. Carrier is subrogating against gas company. Seasonal, insured checks on dwelling regularly. Quoted w/$10K water ded."/>
    <x v="0"/>
    <s v="Cause indicates no negligence or insulation issue. Owner checks regularly. Unit 2 is rented."/>
    <m/>
    <m/>
    <s v="Patterson"/>
  </r>
  <r>
    <x v="105"/>
    <x v="2"/>
    <s v="CA"/>
    <s v="Alison"/>
    <s v="Email"/>
    <s v="Olansky Investments, LLC"/>
    <m/>
    <s v="DP3 Rental"/>
    <s v="Santa Barbara"/>
    <s v="CA"/>
    <m/>
    <m/>
    <m/>
    <m/>
    <x v="1"/>
    <s v="Dwelling suffered a prior mold claim 2.5 years ago.  Mold was professionally remediated.  Mold report includes several recs to prevent future water/mold issues. No info on whether these were addressed. 1969 Dwelling with $5K mold coverage."/>
    <x v="2"/>
    <s v="Although we allow mold covg if mold is prof remediated, it should be confirmed that the recs listed were complied with before any covg is bound."/>
    <m/>
    <m/>
    <s v="Patterson"/>
  </r>
  <r>
    <x v="105"/>
    <x v="3"/>
    <s v="MA"/>
    <s v="Barbara"/>
    <s v="Email"/>
    <s v="Jameson"/>
    <s v="Maurice &amp; Jean"/>
    <s v="HO3 Primary"/>
    <s v="Deep River"/>
    <s v="CT"/>
    <m/>
    <n v="5"/>
    <n v="325000"/>
    <n v="630000"/>
    <x v="5"/>
    <s v="1948 dwelling w/updates. Dog breeding on premises.  Additionally, prior large fire loss $84K caused by a/c. DOL shows 7/21/18 which can't be right. Agent applied TBE and Animal Excl."/>
    <x v="0"/>
    <s v="Asked numerous business questions. Also asked for correct DOL, a/c update, and C&amp;O report. If all checks out, risk should be fine. // 6/8/18 Barbara sent a copy of the GL application. It is in the agency email box. It shows breeding only of Shiatzu dogs, 5-6 litters; 15 average animals sold per year. More answers coming. //  subject to them obtaining a GL policy for the business exposure, and also the total business and animal exclusions must be applied. KB"/>
    <m/>
    <m/>
    <s v="Patterson"/>
  </r>
  <r>
    <x v="105"/>
    <x v="2"/>
    <s v="CA"/>
    <s v="Bobbi"/>
    <s v="Email"/>
    <s v="Empire Legacy Holdings LLC"/>
    <m/>
    <s v="DP3 Rental"/>
    <s v="San Diego"/>
    <s v="CA"/>
    <m/>
    <n v="5"/>
    <n v="450000"/>
    <n v="600000"/>
    <x v="7"/>
    <s v="1918 dwelling with full updates/remodeled in 2018. Purchased 4/2018. In name of LLC which is solely owned by the trust. Agent wants to include trust as Addl Insd."/>
    <x v="1"/>
    <s v="Since they own the LLC, they have an insurable interest.  All are the same individuals. No commercial exposure."/>
    <m/>
    <m/>
    <s v="Patterson"/>
  </r>
  <r>
    <x v="106"/>
    <x v="0"/>
    <s v="MI"/>
    <s v="Alexa"/>
    <s v="Email"/>
    <s v="Price"/>
    <s v="Billy"/>
    <s v="HO3 Primary"/>
    <s v="Union"/>
    <s v="KY"/>
    <m/>
    <n v="5"/>
    <n v="350000"/>
    <n v="805000"/>
    <x v="3"/>
    <s v="2018 dwelling. Insd is pro football player for Cincinnati Bengals. No adverse online info."/>
    <x v="3"/>
    <s v="X-liability due to high profile status. // 6/11/18 Alexa advised the insurance score was a no hit (98). Find it odd that this individual would have bad or no credit, so stayed with terms offered."/>
    <m/>
    <m/>
    <s v="Patterson"/>
  </r>
  <r>
    <x v="107"/>
    <x v="5"/>
    <s v="PA"/>
    <s v="Tamika"/>
    <s v="Email"/>
    <s v="Chico"/>
    <s v="Samuel"/>
    <s v="HO3 Primary"/>
    <m/>
    <s v="WV"/>
    <m/>
    <n v="10"/>
    <n v="6066960"/>
    <n v="9566960"/>
    <x v="0"/>
    <s v="Lloyds renewal, no losses, monitored alarms, 6.2 miles from FD"/>
    <x v="2"/>
    <s v="Reminded of Program max TIV"/>
    <m/>
    <m/>
    <s v="Burdine"/>
  </r>
  <r>
    <x v="107"/>
    <x v="0"/>
    <s v="MI"/>
    <s v="Alexa"/>
    <s v="Email"/>
    <s v="Rodriquez"/>
    <s v="Sean"/>
    <s v="DP3 Rental"/>
    <s v="Miami"/>
    <s v="FL"/>
    <m/>
    <n v="2"/>
    <n v="550000"/>
    <n v="615000"/>
    <x v="3"/>
    <s v="tenant occupied dwelling located in FL. Home was built in 1977 of masonry construction,  PC2 , no alarms. Applicant plays for the Pittsburgh Pirates. His mom will be living in the home and paying no rent; ACV and roof exclusion quoted, 8.01 mi from coast"/>
    <x v="1"/>
    <s v="review appropriated, online review doesn't reveal anything concerning, particularly for a DP risk, coastal guidelines met"/>
    <m/>
    <m/>
    <s v="Burdine"/>
  </r>
  <r>
    <x v="107"/>
    <x v="2"/>
    <s v="CA"/>
    <s v="Melissa"/>
    <s v="Email"/>
    <s v="Quach"/>
    <s v="Hung"/>
    <s v="HO3 Builders Risk"/>
    <s v="Brisbane"/>
    <s v="CA"/>
    <m/>
    <m/>
    <n v="1218000"/>
    <n v="1218000"/>
    <x v="6"/>
    <s v="insured has not had prior coverage and the home is about 70% completed. The insured Mr. Quach and his sister's will move in as soon as it is completed."/>
    <x v="2"/>
    <s v="Too much gap in coverage, building nearing completion"/>
    <m/>
    <m/>
    <s v="Burdine"/>
  </r>
  <r>
    <x v="108"/>
    <x v="2"/>
    <s v="CA"/>
    <s v="Michelle"/>
    <s v="Email"/>
    <s v="Tomlinson"/>
    <s v="Kelli"/>
    <s v="HO3 Primary"/>
    <s v="Carisbad"/>
    <s v="CA"/>
    <m/>
    <m/>
    <n v="1019000"/>
    <n v="1021000"/>
    <x v="1"/>
    <s v="3 water losses in last 3 years, 1 theft (ex-husband, no longer in house)"/>
    <x v="0"/>
    <s v="water damage exclusion ,and $5K AOP"/>
    <m/>
    <m/>
    <s v="Burdine"/>
  </r>
  <r>
    <x v="109"/>
    <x v="0"/>
    <s v="MI"/>
    <s v="Lindsay"/>
    <s v="Email"/>
    <s v="Kelliher"/>
    <s v="Cindy"/>
    <s v="HO3 Primary"/>
    <s v="San Diego"/>
    <s v="CA"/>
    <m/>
    <n v="2"/>
    <n v="290000"/>
    <n v="600000"/>
    <x v="5"/>
    <s v="1961 dwelling w/updated in 2015. Non brush. Insd has full time dog day care business. 5 at a time, breed restrictions, small dogs. Has a coml policy thru Pet Sitters Assoc - a Markel Underwritten policy."/>
    <x v="0"/>
    <s v="• Apply the Total Business Exclusion, apply the Animal Liability Exclusion. Ensure TBE is understood. Even though liab policy is with Markel, there could be gaps._x000a__x000a_"/>
    <m/>
    <m/>
    <s v="Patterson"/>
  </r>
  <r>
    <x v="109"/>
    <x v="4"/>
    <s v="MA"/>
    <s v="Austin"/>
    <s v="Email"/>
    <s v="Fuller"/>
    <s v="Carol &amp; Mead, Carol"/>
    <s v="HO3 Primary"/>
    <s v="Harwich"/>
    <s v="MA"/>
    <m/>
    <n v="4"/>
    <n v="1606000"/>
    <n v="2500000"/>
    <x v="9"/>
    <s v="2013 home. Lloyds quoting at $3077 plus tax and fee for total $3,275. Agent wants to come in $100 lower. Also referred for TIV."/>
    <x v="4"/>
    <s v="Advised TIV is in their authority. Asked for a rater so we can refer to Bethany. Additionally, address doesn't match between Austin's email and the Lloyds quote. Coverages don't match between the app and the Lloyds quote. Make sure we are comparing apples/apples."/>
    <s v="Agt came back with wanting a 12.5 cent rate. Asked addl questions and will ck w/Bethany."/>
    <m/>
    <s v="Patterson"/>
  </r>
  <r>
    <x v="109"/>
    <x v="0"/>
    <s v="MI"/>
    <s v="Lindsay"/>
    <s v="Email"/>
    <s v="Pallas"/>
    <s v="James &amp; Digna"/>
    <s v="HO3 Primary"/>
    <s v="Butte Gold"/>
    <s v="AZ"/>
    <m/>
    <n v="2"/>
    <n v="260000"/>
    <n v="525000"/>
    <x v="5"/>
    <s v="1979 dwelling with 2010 roof update. Insured has daycare on premises. Applying for a GL. Empty and fenced pool on premises. Agent asking for liab with pool exclusion and TBE."/>
    <x v="0"/>
    <s v="No liab/no med pay per guidelines. (concern of defense costs). TBE, still need GL in place as TBE excludes everything. Reminded this would not be in the Markel Day Care program. Online source shows 10 children license. App says 5-6."/>
    <m/>
    <m/>
    <s v="Patterson"/>
  </r>
  <r>
    <x v="109"/>
    <x v="0"/>
    <s v="MI"/>
    <s v="Lindsay"/>
    <s v="Email"/>
    <s v="Johnson "/>
    <s v="Yvonne &amp; Craig"/>
    <s v="DP3 Rental"/>
    <s v="Milwaukee"/>
    <s v="WI"/>
    <m/>
    <m/>
    <n v="153000"/>
    <n v="210000"/>
    <x v="5"/>
    <s v="1957 dwelling rented annually. Tenant runs a daycare for 4-8 kids out of house. Foremost found out and got off the risk."/>
    <x v="1"/>
    <s v="OK w/TBE. We are insuring our insured, not the tenant. Tenant has GL"/>
    <s v="Email to Bethany/Louisa for direction. Bethany's response in file. Analysis is this scenario is okay. Ask for a GL to be in place."/>
    <m/>
    <s v="Patterson"/>
  </r>
  <r>
    <x v="109"/>
    <x v="0"/>
    <s v="MI"/>
    <s v="Alexa"/>
    <s v="Email"/>
    <s v="Godwin"/>
    <s v="Rod &quot;Chris&quot;"/>
    <s v="HO3 Primary"/>
    <s v="Tampa"/>
    <s v="FL"/>
    <m/>
    <n v="3"/>
    <n v="620000"/>
    <n v="1297000"/>
    <x v="3"/>
    <s v="2017 dwelling. Insured is wide receiver for Tampa Bay Bucs."/>
    <x v="0"/>
    <s v="Exclude liability due to high profile. No adverse news."/>
    <m/>
    <m/>
    <s v="Patterson"/>
  </r>
  <r>
    <x v="109"/>
    <x v="0"/>
    <s v="MI"/>
    <s v="Lindsay"/>
    <s v="Email"/>
    <s v="Sanford"/>
    <s v="Scott &amp; Jay"/>
    <s v="HO3 Primary"/>
    <m/>
    <s v="TX"/>
    <m/>
    <n v="2"/>
    <n v="300000"/>
    <n v="600000"/>
    <x v="1"/>
    <s v="1999 frame dwelling with 2015 roof. $250,000 liability loss paid. Insd child was skiing and accidentally ran into another person causing injury 3/14/16. Claim is closed. Liability coverage of $500K requested."/>
    <x v="1"/>
    <s v="Accidental skiing accident. 11 year old child of insured. No negligence. Child was hurt too. No more family skiing."/>
    <s v="Discussed w/Kirsten and Louisa, all agreed okay."/>
    <m/>
    <s v="Patterson"/>
  </r>
  <r>
    <x v="110"/>
    <x v="2"/>
    <s v="CA"/>
    <s v="Melissa"/>
    <s v="Email"/>
    <s v="Morra"/>
    <s v="Paul &amp; Danielle"/>
    <s v="HO3 Primary"/>
    <s v="Malibu"/>
    <s v="CA"/>
    <m/>
    <n v="4"/>
    <n v="1647814"/>
    <n v="3100000"/>
    <x v="0"/>
    <s v="Malibu is restricted - good quality risks only. 1007 dwelling with a prior $76K 2016 water damage loss."/>
    <x v="2"/>
    <s v="Clean risks only."/>
    <m/>
    <m/>
    <s v="Patterson"/>
  </r>
  <r>
    <x v="111"/>
    <x v="0"/>
    <s v="MI"/>
    <s v="Jill"/>
    <s v="Email"/>
    <s v="Boyett"/>
    <s v="Andrew"/>
    <s v="HO3 Primary"/>
    <s v="Dallas"/>
    <s v="TX"/>
    <m/>
    <m/>
    <n v="900000"/>
    <n v="1500000"/>
    <x v="5"/>
    <s v="1989 dwelling w/ updates. Wife does 1 on 1 swim lessons in the backyard pool. Many precautions in place and a GL."/>
    <x v="0"/>
    <s v="TBE, pool exclusion.  Liability ok."/>
    <m/>
    <m/>
    <s v="Patterson"/>
  </r>
  <r>
    <x v="111"/>
    <x v="0"/>
    <s v="MI"/>
    <s v="Rachel"/>
    <s v="Email"/>
    <s v="Timothy"/>
    <s v="Gregg"/>
    <s v="HO3 Primary"/>
    <s v="Altamont"/>
    <s v="UT"/>
    <m/>
    <n v="6"/>
    <n v="451000"/>
    <n v="800000"/>
    <x v="1"/>
    <s v="2009 dwelling. Open liab loss $300K. Insd accidentally shot target spotter and long range shooting range. It was ruled an accident per agent who has known insd for 50 years. "/>
    <x v="1"/>
    <s v="Confirmed the story with several online articles."/>
    <m/>
    <m/>
    <s v="Patterson"/>
  </r>
  <r>
    <x v="111"/>
    <x v="5"/>
    <s v="PA"/>
    <s v="Tamika"/>
    <s v="Email"/>
    <s v="Zaprazny"/>
    <s v="Elizabeth"/>
    <s v="HO3 Primary"/>
    <s v="New Ringgold"/>
    <s v="PA"/>
    <m/>
    <n v="9"/>
    <n v="311000"/>
    <n v="600000"/>
    <x v="5"/>
    <s v="1959 dwelling on the same property as a huge junkyard/salvage yard/parts store.  Online photos show an extremely large operation.  GL with Motorists."/>
    <x v="2"/>
    <s v="Reviewed w/Louisa. This is a risk where we feel even if we excluded liab, we would still incur great cost to defend our policy. In addn to the liab issues, there is pollution exposure."/>
    <m/>
    <m/>
    <s v="Patterson"/>
  </r>
  <r>
    <x v="111"/>
    <x v="0"/>
    <s v="MI"/>
    <s v="Danielle"/>
    <s v="Email"/>
    <s v="Blakeley"/>
    <s v="Harris Turner"/>
    <s v="HO3 Primary"/>
    <s v="Andrews"/>
    <s v="SC"/>
    <m/>
    <n v="9"/>
    <n v="320000"/>
    <n v="544000"/>
    <x v="8"/>
    <s v="1998 dwelling w/ updates in 2015. PC 9 with 20 min response time. VMGA pricing coming in at .59."/>
    <x v="1"/>
    <s v="Our range starts at .60. This is a newer dwelling, lower value. Feel .59 is adequate."/>
    <m/>
    <m/>
    <s v="Patterson"/>
  </r>
  <r>
    <x v="112"/>
    <x v="9"/>
    <s v="CA"/>
    <s v="Kirk"/>
    <s v="Email"/>
    <s v="Boyer"/>
    <s v="Ron"/>
    <s v="DP3 Vacant"/>
    <s v="Palm Desert"/>
    <s v="CA"/>
    <m/>
    <n v="3"/>
    <n v="3800000"/>
    <n v="4480000"/>
    <x v="0"/>
    <s v="Vacant, for sale, central station fire and burglar and 24/7 manned security at gated community"/>
    <x v="1"/>
    <s v="https://www.realtor.com/realestateandhomes-detail/142-Kiva-Dr_Palm-Desert_CA_92260_M27649-58696 "/>
    <m/>
    <m/>
    <s v="Burdine"/>
  </r>
  <r>
    <x v="112"/>
    <x v="0"/>
    <s v="MI"/>
    <s v="Alexa"/>
    <s v="Email"/>
    <s v="Boss"/>
    <s v="Robert"/>
    <s v="HO3 Primary w/Rental"/>
    <s v="Conklin"/>
    <s v="MI"/>
    <m/>
    <n v="9"/>
    <n v="267100"/>
    <n v="547560"/>
    <x v="5"/>
    <s v="built in 1910 of frame construction with full updates 1993- 2006, PC9, no alarms. 58.5 acres and 45 are rented out for farming. Front porch is being updated and is 95% done."/>
    <x v="0"/>
    <s v="subject to them having a GL in place for the farming exposure and also applying the Total Business Exclusion.  Additionally, the front porch must be done before including liability on the policy, and all the other issues noted on the inspection (such as the peeling paint), needs to be addressed"/>
    <m/>
    <m/>
    <s v="Burdine"/>
  </r>
  <r>
    <x v="112"/>
    <x v="7"/>
    <s v="MI"/>
    <s v="Cheryl"/>
    <s v="Email"/>
    <s v="Smith"/>
    <s v="James &amp; Kim"/>
    <s v="HO3 Primary"/>
    <s v="Wichita"/>
    <s v="KS"/>
    <m/>
    <n v="2"/>
    <n v="950000"/>
    <n v="2019000"/>
    <x v="1"/>
    <s v="1994 build, central alarms. 2 claims-08/19/16  water heater, 12/2016 pipe, "/>
    <x v="0"/>
    <s v="approved with $2500 AOP ded"/>
    <m/>
    <m/>
    <s v="Burdine"/>
  </r>
  <r>
    <x v="112"/>
    <x v="2"/>
    <s v="CA"/>
    <s v="Bobbi"/>
    <s v="Email"/>
    <s v="Clements"/>
    <s v="Louise"/>
    <s v="HO3 Primary"/>
    <s v="Westlake Village"/>
    <s v="CA"/>
    <m/>
    <m/>
    <n v="893000"/>
    <n v="1400000"/>
    <x v="1"/>
    <s v="open liability claim (dog bite-Mastiff-insured son owns dog and still lives in house). 08/4/2017 loss date. "/>
    <x v="0"/>
    <s v="Discussed w/ MP, OK proceeding with animal exclusion"/>
    <m/>
    <m/>
    <s v="Burdine"/>
  </r>
  <r>
    <x v="112"/>
    <x v="2"/>
    <s v="CA"/>
    <s v="Alison"/>
    <s v="Email"/>
    <s v="Palmer"/>
    <s v="Michael"/>
    <s v="HO3 Primary"/>
    <s v="Santa Barbara"/>
    <s v="CA"/>
    <m/>
    <m/>
    <n v="1996800"/>
    <n v="4194800"/>
    <x v="0"/>
    <s v="purchasing home, but demolishing a 200 sq foot workshop. "/>
    <x v="0"/>
    <s v="risk acceptable with other structure exclusion"/>
    <m/>
    <m/>
    <s v="Burdine"/>
  </r>
  <r>
    <x v="113"/>
    <x v="2"/>
    <s v="CA"/>
    <s v="Alison"/>
    <s v="Email"/>
    <s v="Pelorous Equity Group Inc &amp; Thayer Properties Inc."/>
    <s v="Pelorous Equity Group Inc. &amp; Thayer Properties Inc."/>
    <s v="DP3 Vacant"/>
    <s v="San Anselmo"/>
    <s v="CA"/>
    <m/>
    <m/>
    <n v="692200"/>
    <n v="692200"/>
    <x v="11"/>
    <s v="construction started in 2017, prior owners had to stop due to financial issues, new investors finishing up then placing to sell. No brush. "/>
    <x v="0"/>
    <s v="acceptable Corporate Questionnaires are received, and neither of the prior owners are involved with the Inc.’s, you have approval to offer terms. However, due to our late entry onto the risk please include a 15-20% surcharge."/>
    <m/>
    <m/>
    <s v="Burdine"/>
  </r>
  <r>
    <x v="113"/>
    <x v="0"/>
    <s v="MI"/>
    <s v="Rachel"/>
    <s v="Email"/>
    <s v="Roysdon"/>
    <s v="Derek"/>
    <s v="DP3 Rental"/>
    <s v="Loomis"/>
    <s v="CA"/>
    <m/>
    <n v="4"/>
    <n v="554000"/>
    <n v="609400"/>
    <x v="12"/>
    <s v="woodshake roof, wood siding, w/in 100 feet of brush, lapse in coverage, $5000 AOP"/>
    <x v="2"/>
    <s v="Agreed that due to lapse/construction type so close to brush will not offer terms"/>
    <m/>
    <m/>
    <s v="Burdine"/>
  </r>
  <r>
    <x v="113"/>
    <x v="0"/>
    <s v="MI"/>
    <s v="Lindsay"/>
    <s v="Email"/>
    <s v="Causey Cabin LLC"/>
    <s v="Causey Cabin LLC"/>
    <s v="HO3 Seas/Sec"/>
    <s v="Huntersville"/>
    <s v="UT"/>
    <m/>
    <n v="10"/>
    <n v="300000"/>
    <n v="480000"/>
    <x v="8"/>
    <s v="Periodic inaccessible; close to neighbors, alarms"/>
    <x v="0"/>
    <s v="premium increase to $4K"/>
    <m/>
    <m/>
    <s v="Burdine"/>
  </r>
  <r>
    <x v="113"/>
    <x v="0"/>
    <s v="MI"/>
    <s v="ALexa"/>
    <s v="Email"/>
    <s v="Garrett"/>
    <s v="Dian"/>
    <s v="HO3 Builders Risk"/>
    <m/>
    <s v="AZ"/>
    <m/>
    <n v="10"/>
    <n v="3500000"/>
    <n v="4140000"/>
    <x v="8"/>
    <s v="builder's risk HO3 located in AZ. Home was built in 2003 of masonry veneer construction (stucco) , PC10 , c/s alarms, 15 minute response time; 40% into renovations"/>
    <x v="0"/>
    <s v="approval to offer terms, however please apply a 20% surcharge to account for the build in progress"/>
    <m/>
    <m/>
    <s v="Burdine"/>
  </r>
  <r>
    <x v="113"/>
    <x v="0"/>
    <s v="MI"/>
    <s v="Jeffrey"/>
    <s v="Email"/>
    <s v="Schmeichel"/>
    <s v="Delmar"/>
    <s v="DP1"/>
    <s v="Appleton"/>
    <s v="WI"/>
    <m/>
    <n v="9"/>
    <n v="287000"/>
    <n v="459200"/>
    <x v="5"/>
    <s v="This is a WI risk, DP-1, ACV, PC9. Home built in 1978, Updates to Heating and roofing 2012 and 2010.  The agent says all utilities are active. 117 acres, 100 of those leased out to a farmer - they don't require it now but will require the farmer leasing the property to have insurance in place for their farming operations. The applicant is in a nursing home and is terminal, children are planning on selling once the applicant has passed. The daughter is over quite frequently, there is a 30 year old horse on premises, not for riding."/>
    <x v="0"/>
    <s v="Discussed with MP, have approval to offer terms on this risk, but they (or the farmer) must have a farm liability policy in place to cover that exposure. Additionally, we would need to apply the Total Business and Animal Exclusion as well."/>
    <m/>
    <m/>
    <s v="Burdine"/>
  </r>
  <r>
    <x v="114"/>
    <x v="0"/>
    <s v="MI"/>
    <s v="Lindsay"/>
    <s v="Email"/>
    <s v="Mcivor"/>
    <s v="Hugh &amp; Betty"/>
    <s v="HO3 Primary"/>
    <s v="Chagrin Falls"/>
    <s v="OH"/>
    <m/>
    <n v="5"/>
    <n v="460000"/>
    <n v="851000"/>
    <x v="5"/>
    <s v="insured sells metals to companies, keeps sample and materials in basement office. No  clients or foot traffic, no current GL in place, 1970 build with updates"/>
    <x v="0"/>
    <s v="approval to offer terms on this risk, but this approval is subject to the total business exclusion and they must secure a GL policy to cover that business exposure. If they are unwilling, or unable, to secure the GL policy this may only be issued x-liability with the exclusion in place."/>
    <m/>
    <m/>
    <s v="Burdine"/>
  </r>
  <r>
    <x v="115"/>
    <x v="5"/>
    <s v="PA"/>
    <s v="Tamika"/>
    <s v="Call"/>
    <s v="TBD"/>
    <m/>
    <s v="HO3 Builders Risk"/>
    <m/>
    <m/>
    <m/>
    <m/>
    <m/>
    <m/>
    <x v="11"/>
    <s v="Dwelling in average condition but has basement covered in mold which agent says is due to not using correct drywall and house was closed up. Insured doing the clean up and replacing roof. Sketchy on what other updates being done other than paint. No GC at this point. Agent is saying &quot;minor cosmetic&quot; which we know is vague."/>
    <x v="4"/>
    <s v="Advised Tamika to find out what the updates are that are being done. If only roof and mold, apply water damage exclusion, roof exclusion, and mold exclusion. We would not require a GC but we would require this work be done by a professional. If more than that, if any kitchens or baths, more than floor and paint, they must have a GC."/>
    <m/>
    <m/>
    <s v="Burdine"/>
  </r>
  <r>
    <x v="115"/>
    <x v="11"/>
    <s v="LA"/>
    <s v="Hillary"/>
    <s v="Email"/>
    <s v="Mcnemar"/>
    <s v="Vickie"/>
    <s v="HO3 Primary"/>
    <s v="Columbia"/>
    <s v="LA"/>
    <m/>
    <m/>
    <n v="176600"/>
    <n v="333000"/>
    <x v="3"/>
    <s v="2016 fire claim for a payout of 110,000."/>
    <x v="4"/>
    <s v="Requested additional information on fire loss as no details provided"/>
    <m/>
    <m/>
    <s v="Burdine"/>
  </r>
  <r>
    <x v="115"/>
    <x v="0"/>
    <s v="MI"/>
    <s v="Rachel"/>
    <s v="Email"/>
    <s v="Sillery"/>
    <s v="Colin &amp; Audrey"/>
    <s v="HO3 Primary"/>
    <s v="Bell Canyon"/>
    <s v="CA"/>
    <m/>
    <n v="10"/>
    <n v="1000000"/>
    <n v="1800000"/>
    <x v="8"/>
    <s v="primary home in CA. Built in 2012 with no updates. It is frame construction, PC10. One small water loss."/>
    <x v="0"/>
    <s v="approval to issue as quoted, subject to a confirmed response time w/in 15 minutes."/>
    <m/>
    <m/>
    <s v="Burdine"/>
  </r>
  <r>
    <x v="116"/>
    <x v="7"/>
    <s v="MI"/>
    <s v="Cheryl"/>
    <s v="Email"/>
    <s v="Golden Gate Ranch LLC"/>
    <s v="Golden Gate Ranch LLC"/>
    <s v="HO3 Primary"/>
    <s v="Atlanta"/>
    <s v="MI"/>
    <m/>
    <n v="10"/>
    <n v="554000"/>
    <s v="1, 385,850"/>
    <x v="8"/>
    <s v="FD 15 miles, volunteer, 20 minutes away, woodstove"/>
    <x v="2"/>
    <s v="Due to response time"/>
    <m/>
    <m/>
    <s v="Burdine"/>
  </r>
  <r>
    <x v="116"/>
    <x v="7"/>
    <s v="MI"/>
    <s v="Cheryl"/>
    <s v="Email"/>
    <s v="Bentley"/>
    <s v="Kendra &amp; Jasen"/>
    <s v="HO3 Primary"/>
    <s v="Concorde"/>
    <s v="NC"/>
    <m/>
    <m/>
    <n v="309600"/>
    <n v="7101000"/>
    <x v="1"/>
    <s v="2017 liab claim-$300K, insured 13 year old son accidentally shot neighbor friend in the eye"/>
    <x v="1"/>
    <s v="want more info on whether child has limited/supervised access to weapons in home. Advised can offer x-liability for sure//cpnformed all guns, including BB, have been removed from the home. No litigation has been filed directly against the insured. APproved quote"/>
    <m/>
    <m/>
    <s v="Burdine"/>
  </r>
  <r>
    <x v="116"/>
    <x v="9"/>
    <s v="CA"/>
    <s v="Lisa"/>
    <s v="Email"/>
    <s v="Wilson"/>
    <s v="Lesie &amp; Beverly"/>
    <s v="HO3 Seas/Sec w/Rental"/>
    <s v="Olympic Valley"/>
    <s v="CA"/>
    <m/>
    <n v="2"/>
    <n v="430000"/>
    <n v="774000"/>
    <x v="6"/>
    <s v="1959 build with updates, secondary, in brush, insured failed to renew with current carrier"/>
    <x v="0"/>
    <s v=", this approval is subject to a 20% surcharge and understanding that an inspection will be ordered asap to ensure the property is still in acceptable condition."/>
    <m/>
    <m/>
    <s v="Burdine"/>
  </r>
  <r>
    <x v="117"/>
    <x v="2"/>
    <s v="CA"/>
    <s v="Alison"/>
    <s v="Email"/>
    <s v="Hsu"/>
    <s v="Shuchi"/>
    <s v="DP3 Builders Risk"/>
    <s v="Los Angeles"/>
    <s v="CA"/>
    <m/>
    <n v="1"/>
    <n v="700000"/>
    <n v="770000"/>
    <x v="11"/>
    <s v="1953 dwelling that will be demolished completely with the exception of 1 wall.  Agent wants to know if that counts as demolition."/>
    <x v="2"/>
    <s v="Advised the moral and morale hazards apply since there is really no value to the dwelling."/>
    <m/>
    <m/>
    <s v="Patterson"/>
  </r>
  <r>
    <x v="117"/>
    <x v="0"/>
    <s v="MI"/>
    <s v="Jill"/>
    <s v="Email"/>
    <s v="Christisen"/>
    <s v="Darryl &amp; Lisa"/>
    <s v="DP1"/>
    <s v="Foristell"/>
    <s v="MO"/>
    <m/>
    <n v="6"/>
    <n v="120000"/>
    <n v="120000"/>
    <x v="2"/>
    <s v="insured living in garage, main home is with another carrier and being demolished (builders risk on that policy)."/>
    <x v="1"/>
    <s v="discussed w/ MP, this fits in their DP stand alone program."/>
    <m/>
    <m/>
    <s v="Burdine"/>
  </r>
  <r>
    <x v="117"/>
    <x v="0"/>
    <s v="MI"/>
    <s v="David"/>
    <s v="Email"/>
    <s v="Riley"/>
    <s v="Marcus"/>
    <s v="HO3 Primary"/>
    <s v="Sunman"/>
    <s v="IN"/>
    <m/>
    <n v="5"/>
    <n v="195000"/>
    <n v="364500"/>
    <x v="1"/>
    <s v="1910 with full updates, property originally had two dwellings. One burned down due to overloaded power outlet; leases out land to father in law for farming"/>
    <x v="0"/>
    <s v="GL and TBE in place, 20% surcharge for loss"/>
    <m/>
    <m/>
    <s v="Burdine"/>
  </r>
  <r>
    <x v="117"/>
    <x v="2"/>
    <s v="CA"/>
    <s v="Bobbi"/>
    <s v="Email"/>
    <s v="Plant"/>
    <m/>
    <s v="HO3 Primary"/>
    <s v="Belvedere"/>
    <s v="CA"/>
    <m/>
    <n v="1"/>
    <s v="2,473,00"/>
    <n v="3235300"/>
    <x v="0"/>
    <s v="No central station alarms, but insured wants $10K AOP ded"/>
    <x v="0"/>
    <s v="Approved with $10K AOP"/>
    <m/>
    <m/>
    <s v="Burdine"/>
  </r>
  <r>
    <x v="117"/>
    <x v="2"/>
    <s v="CA"/>
    <s v="Bobbi"/>
    <s v="Email"/>
    <s v="Michael Dahir Dudum Trust"/>
    <s v="Michael Dahir Dudum Trust"/>
    <s v="HO3 Primary"/>
    <s v="San Francisco"/>
    <s v="CA"/>
    <m/>
    <m/>
    <n v="550000"/>
    <n v="630000"/>
    <x v="12"/>
    <s v="Cast iron pipes used for waste lines only"/>
    <x v="0"/>
    <s v="approved with water damage exclusion until pipes replaced"/>
    <m/>
    <m/>
    <s v="Burdine"/>
  </r>
  <r>
    <x v="117"/>
    <x v="7"/>
    <s v="MI"/>
    <s v="Lori"/>
    <s v="Email"/>
    <s v="Drach"/>
    <s v="Jeffrey"/>
    <s v="HO3 Primary"/>
    <m/>
    <s v="WI"/>
    <m/>
    <n v="7"/>
    <n v="315000"/>
    <n v="625000"/>
    <x v="1"/>
    <s v="2 claims-1 fire, 1 small theft. "/>
    <x v="0"/>
    <s v="need confirmation of fire loss. If was indeed from lightning, we would be able to offer terms after confirmation on the number of horses and that they are all for personal use only."/>
    <m/>
    <m/>
    <s v="Burdine"/>
  </r>
  <r>
    <x v="117"/>
    <x v="7"/>
    <s v="MI"/>
    <s v="Lori"/>
    <s v="Email"/>
    <s v="Moore"/>
    <s v="Thomas"/>
    <s v="HO3 Primary"/>
    <s v="Franklin"/>
    <s v="IN"/>
    <m/>
    <n v="9"/>
    <n v="558000"/>
    <n v="1034176"/>
    <x v="5"/>
    <s v="historical home (no tours), quoted at FRC"/>
    <x v="1"/>
    <s v="online review, app, OK"/>
    <m/>
    <m/>
    <s v="Burdine"/>
  </r>
  <r>
    <x v="117"/>
    <x v="0"/>
    <s v="MI"/>
    <s v="David"/>
    <s v="Email"/>
    <s v="Tender hearts enterprises"/>
    <s v=" "/>
    <s v="HO3 Primary"/>
    <s v="Silverado"/>
    <s v="CA"/>
    <m/>
    <n v="3"/>
    <n v="2362320"/>
    <n v="3134904"/>
    <x v="0"/>
    <s v="In brush, want to rewrite from CRC to Burns"/>
    <x v="0"/>
    <s v="Originally declined due to TIV, but per agent requoted less than $3mil. Approved sub to rush inspection"/>
    <m/>
    <m/>
    <s v="Burdine"/>
  </r>
  <r>
    <x v="117"/>
    <x v="0"/>
    <s v="MI"/>
    <s v="Alexa"/>
    <s v="Email"/>
    <s v="Clarke"/>
    <s v="David"/>
    <s v="HO3 Primary"/>
    <s v="Zionsville"/>
    <s v="IN"/>
    <m/>
    <n v="4"/>
    <n v="956000"/>
    <n v="2239250"/>
    <x v="1"/>
    <s v="primary HO3 located in IN. Home was built in 2005 of frame construction , PC4 , no alarms, open loss with prior carrier-subrogated fire loss for other structure (painters left oil rags on floor and fire in other structure)."/>
    <x v="0"/>
    <s v="Approved w/ other structure exclusion"/>
    <m/>
    <m/>
    <s v="Burdine"/>
  </r>
  <r>
    <x v="118"/>
    <x v="0"/>
    <s v="MI"/>
    <s v="David"/>
    <s v="Email"/>
    <s v="Lyras"/>
    <s v="Ruth"/>
    <s v="HO3 Primary"/>
    <s v="Kenwood"/>
    <s v="CA"/>
    <m/>
    <n v="4"/>
    <n v="800000"/>
    <n v="1860000"/>
    <x v="1"/>
    <s v="1950 with full updates in 2015 PC 4; hydrant within 100 ft In a brush zone; smoke damage from wildfire loss. $200K paid, almost closed."/>
    <x v="0"/>
    <s v="claim and brush surcharge"/>
    <m/>
    <m/>
    <s v="Burdine"/>
  </r>
  <r>
    <x v="118"/>
    <x v="2"/>
    <s v="CA"/>
    <s v="Alison"/>
    <s v="Email"/>
    <s v="Baron"/>
    <s v="Larry &amp; Marilyn"/>
    <s v="HO3 Primary"/>
    <s v="Los Angeles"/>
    <s v="CA"/>
    <m/>
    <m/>
    <n v="609000"/>
    <n v="1200000"/>
    <x v="1"/>
    <s v="3 CAT claims, over 2400 brush zone, questioning if need to surcharge"/>
    <x v="4"/>
    <s v="requested more info about losses (Which fires, what damaged, etc) due to frequency"/>
    <m/>
    <m/>
    <s v="Burdine"/>
  </r>
  <r>
    <x v="118"/>
    <x v="2"/>
    <s v="CA"/>
    <s v="Bobbi"/>
    <s v="Email"/>
    <s v="Hill"/>
    <s v="Laurie &amp; Dean"/>
    <s v="HO3 Primary"/>
    <s v="Malibu"/>
    <s v="CA"/>
    <m/>
    <m/>
    <n v="1350000"/>
    <n v="1810000"/>
    <x v="0"/>
    <s v="Malibu risk"/>
    <x v="1"/>
    <s v="no brush, photos/review OK"/>
    <m/>
    <m/>
    <s v="Burdine"/>
  </r>
  <r>
    <x v="118"/>
    <x v="0"/>
    <s v="MI"/>
    <s v="Lindsay"/>
    <s v="Email"/>
    <s v="Hebson"/>
    <s v="Mark"/>
    <s v="HO3 Primary w/Rental"/>
    <s v="Ladera Ranch"/>
    <s v="CA"/>
    <m/>
    <n v="3"/>
    <n v="1073000"/>
    <n v="1931400"/>
    <x v="1"/>
    <s v="Primary home in CA, not in brush, built in 2003 of frame construction with full plumbing updates in 2017. PC3 full CS Alarms, 2 losses (1 water loss, 1 V&amp;MM)"/>
    <x v="1"/>
    <s v="water ded in place"/>
    <m/>
    <m/>
    <s v="Burdine"/>
  </r>
  <r>
    <x v="118"/>
    <x v="11"/>
    <s v="LA"/>
    <s v="Hillary"/>
    <s v="Email"/>
    <s v="TBD"/>
    <m/>
    <s v="HO3 Primary"/>
    <s v="New Orleans"/>
    <s v="LA"/>
    <m/>
    <m/>
    <m/>
    <m/>
    <x v="12"/>
    <s v="roof that is 25%  covered by man-made concrete shingles and  the other 75% is architectural shingles. The home was built in 1932. The address is 4304 State Street Dr New Orleans La 70125."/>
    <x v="0"/>
    <s v="updates confirmed, roof integrity confirmed"/>
    <m/>
    <m/>
    <s v="Burdine"/>
  </r>
  <r>
    <x v="119"/>
    <x v="4"/>
    <s v="MA"/>
    <s v="Mary"/>
    <s v="Email"/>
    <s v="Smart"/>
    <s v="Berice &amp; Maria"/>
    <s v="DP3 Rental"/>
    <s v="Bridgeport"/>
    <s v="CT"/>
    <m/>
    <n v="1"/>
    <n v="396000"/>
    <n v="470000"/>
    <x v="12"/>
    <s v="Risk has mix of plumbing pipes including iron per inspection. Do we allow? 1938 dwelling"/>
    <x v="0"/>
    <s v="Ok as an exception if they are waste lines and not supply lines, and if they are not older than 65 years. Likely that is not the case. Also offered to do with water damage exclusion."/>
    <m/>
    <m/>
    <s v="Patterson"/>
  </r>
  <r>
    <x v="120"/>
    <x v="7"/>
    <s v="MI"/>
    <s v="Cheryl"/>
    <s v="Email"/>
    <s v="Clinton"/>
    <s v="Joe &amp; Linda"/>
    <s v="HO3 Primary"/>
    <s v="West Memphis"/>
    <s v="AR"/>
    <m/>
    <n v="1"/>
    <n v="116083"/>
    <n v="325032"/>
    <x v="1"/>
    <s v="10/2013-burglarly $5K; 07/14-water ($359.00) water ($963.00)"/>
    <x v="0"/>
    <s v="$2500 AOP due to the loss history."/>
    <m/>
    <m/>
    <s v="Burdine"/>
  </r>
  <r>
    <x v="120"/>
    <x v="2"/>
    <s v="CA"/>
    <s v="Kelly"/>
    <s v="Email"/>
    <s v="Cui"/>
    <s v="Xia Heo and Sun"/>
    <s v="HO3 Primary"/>
    <s v="Sherman Oaks"/>
    <s v="CA"/>
    <m/>
    <n v="2"/>
    <n v="1894568"/>
    <n v="3894568"/>
    <x v="0"/>
    <s v="Not in brush, but close so applying surcharge. Inspection confirms home acceptable"/>
    <x v="1"/>
    <s v="guidelines met"/>
    <m/>
    <m/>
    <s v="Burdine"/>
  </r>
  <r>
    <x v="120"/>
    <x v="0"/>
    <s v="MI"/>
    <s v="David"/>
    <s v="Email"/>
    <s v="Lundy"/>
    <s v="James"/>
    <s v="DP3 Rental"/>
    <s v="Glenbrook"/>
    <s v="NV"/>
    <m/>
    <n v="10"/>
    <n v="1400000"/>
    <n v="3020000"/>
    <x v="8"/>
    <s v="property is not accessible by road year round. Unprotected Rated Questionnaire indicates there is a dry hydrant installed, but home is not accessible by fire department year round; PC 10. There is also an additional 34.5 acres used for personal use."/>
    <x v="4"/>
    <s v="requested information as to why it's not accessible year round"/>
    <m/>
    <m/>
    <s v="Burdine"/>
  </r>
  <r>
    <x v="120"/>
    <x v="0"/>
    <s v="MI"/>
    <s v="Lindsay"/>
    <s v="Email"/>
    <s v="Rogers"/>
    <s v="Robert"/>
    <s v="DP3 Rental"/>
    <m/>
    <s v="CA"/>
    <m/>
    <n v="3"/>
    <n v="423300"/>
    <n v="592560"/>
    <x v="1"/>
    <s v="Seasonal/ short term rental home in CA, not in brush, built in 1972 of frame construction with full updates in 2017. PC3, no CS Alarms, 2 losses water loss in 2016, and roof damage from snow"/>
    <x v="0"/>
    <s v="subject to the $25K water damage deductible and short term rental questionnaire."/>
    <m/>
    <m/>
    <s v="Burdine"/>
  </r>
  <r>
    <x v="120"/>
    <x v="2"/>
    <s v="CA"/>
    <s v="Gina"/>
    <s v="Email"/>
    <s v="Mora"/>
    <s v="Edith &amp; Jeffrey"/>
    <s v="HO3 Primary"/>
    <s v="Los Angeles"/>
    <s v="CA"/>
    <m/>
    <m/>
    <n v="1350000"/>
    <n v="2160000"/>
    <x v="1"/>
    <s v="2 total losses within 3 years-09/2016-fridge leak, 02/17/2018-pin hole leak no pay out amount; AOP ded $2500"/>
    <x v="0"/>
    <s v="confirmation of claims closed/repairs made, also need to include both losses on rater"/>
    <m/>
    <m/>
    <s v="Burdine"/>
  </r>
  <r>
    <x v="120"/>
    <x v="11"/>
    <s v="LA"/>
    <s v="Hillary"/>
    <s v="Email"/>
    <s v="Castellanos"/>
    <s v="Tania"/>
    <s v="HO3 Primary"/>
    <s v="New Orleans"/>
    <s v="LA"/>
    <m/>
    <n v="2"/>
    <n v="460000"/>
    <n v="880000"/>
    <x v="4"/>
    <s v="1915 build. Home not gutted, but fully updated in 2006"/>
    <x v="1"/>
    <s v="Approval to offer with FRC as quoted, new guidelines met"/>
    <m/>
    <m/>
    <s v="Burdine"/>
  </r>
  <r>
    <x v="120"/>
    <x v="9"/>
    <s v="CA"/>
    <s v="Lisa"/>
    <s v="Email"/>
    <s v="Topham"/>
    <s v="Steven &amp; Teresa"/>
    <s v="HO3 Primary"/>
    <s v="Santa Cruz"/>
    <s v="CA"/>
    <m/>
    <n v="2"/>
    <n v="1535659"/>
    <n v="3001318"/>
    <x v="0"/>
    <s v="No brush, $10K ded, 2002 build, no losses, no alarms"/>
    <x v="1"/>
    <s v="Confirmed can lower ded if alarms present"/>
    <m/>
    <m/>
    <s v="Burdine"/>
  </r>
  <r>
    <x v="121"/>
    <x v="2"/>
    <s v="CA"/>
    <s v="Alison"/>
    <s v="Email"/>
    <s v="Wagner"/>
    <m/>
    <s v="HO3 Seas/Sec"/>
    <s v="Mokelumne Hill"/>
    <s v="CA"/>
    <m/>
    <s v="10W"/>
    <m/>
    <n v="3525800"/>
    <x v="8"/>
    <s v="Secondary home, roads paved, tankers on property, but no hydrants"/>
    <x v="2"/>
    <s v="Advised of $3M PC10 cap, so unable to bind location 1599 Top Dollar Rd, but other 3 OK (they are w/in her authority)"/>
    <m/>
    <m/>
    <s v="Burdine"/>
  </r>
  <r>
    <x v="121"/>
    <x v="1"/>
    <s v="VA"/>
    <s v="Charity"/>
    <s v="Email"/>
    <s v="Muehlhauser"/>
    <s v="William"/>
    <s v="HO3 Seas/Sec"/>
    <s v="Topton"/>
    <s v="PA"/>
    <m/>
    <n v="5"/>
    <n v="350000"/>
    <n v="630000"/>
    <x v="2"/>
    <s v="Home is on 36 acres, secondary (no rental), full time caretaker on premise"/>
    <x v="0"/>
    <s v="confirmation of personal use of acreage only"/>
    <m/>
    <m/>
    <s v="Burdine"/>
  </r>
  <r>
    <x v="121"/>
    <x v="2"/>
    <s v="CA"/>
    <s v="Alison"/>
    <s v="Email"/>
    <s v="Amirpour"/>
    <s v="Mina"/>
    <s v="HO3 Builders Risk"/>
    <s v="Newport Coast"/>
    <s v="CA"/>
    <m/>
    <m/>
    <m/>
    <n v="1124000"/>
    <x v="11"/>
    <s v="COC, primary and moving in upon completion of renovations. Farmers NR due to extent of renovation: walls, doors, window space, kitchen, flooring (no additional square footage)"/>
    <x v="0"/>
    <s v="risk acceptable per provided info, advised need completed app to confirm"/>
    <m/>
    <m/>
    <s v="Burdine"/>
  </r>
  <r>
    <x v="122"/>
    <x v="0"/>
    <s v="MI"/>
    <s v="Alexa"/>
    <s v="Email"/>
    <s v="Graves"/>
    <s v="Jim"/>
    <s v="DP3 Builders Risk"/>
    <s v="Little Rock"/>
    <s v="AR"/>
    <m/>
    <n v="1"/>
    <n v="185000"/>
    <n v="206500"/>
    <x v="11"/>
    <s v="DP3-1900 build, will be fully updated, son moving in home upon completion, on historic registry, $5K ded"/>
    <x v="0"/>
    <s v="confirmation of no tours (unlikely given online review and rebuild)"/>
    <m/>
    <m/>
    <s v="Burdine"/>
  </r>
  <r>
    <x v="123"/>
    <x v="2"/>
    <s v="CA"/>
    <s v="Kelly"/>
    <s v="Email"/>
    <s v="Gilles"/>
    <s v="Miho"/>
    <s v="HO3 Primary"/>
    <s v="Carlsbad"/>
    <s v="CA"/>
    <m/>
    <n v="5"/>
    <n v="650000"/>
    <n v="1350000"/>
    <x v="5"/>
    <s v="1978 dwelling with part wire/plumb update 05 and full heat/roof update 08. Insured teaches yoga class once a week in her living room for 2-5 students. Has a separate liability policy for the class."/>
    <x v="0"/>
    <s v="Ok with TBE and maintain the liab policy. Advised of the exclusions in the TBE - may need to look at commercial coverage."/>
    <m/>
    <m/>
    <s v="Patterson"/>
  </r>
  <r>
    <x v="123"/>
    <x v="0"/>
    <s v="MI"/>
    <s v="Jill"/>
    <s v="Email"/>
    <s v="Scrivner"/>
    <s v="William"/>
    <s v="HO3 Primary"/>
    <s v="Ozark"/>
    <s v="MO"/>
    <m/>
    <n v="4"/>
    <n v="196000"/>
    <n v="400000"/>
    <x v="5"/>
    <s v="1972 dwelling w/partial updates. Insured has a shop 20 feet from the dwelling where he makes cast bullets using a die cast machine. He runs &quot;Meister Bullets&quot; business."/>
    <x v="0"/>
    <s v="TBE, $10,000 theft ded(no credit), uw questions, do not insure the shop. Reviewed web and fb in detail. These are lead cast bullets, no powder. No gun sales. Insured is clearly an enthusiast and addr is published - hence the $10K theft ded."/>
    <m/>
    <m/>
    <s v="Patterson"/>
  </r>
  <r>
    <x v="124"/>
    <x v="0"/>
    <s v="MI"/>
    <s v="David"/>
    <s v="Email"/>
    <s v="Unruh"/>
    <s v="Kip"/>
    <s v="HO3 Primary"/>
    <s v="St. Peculiar"/>
    <s v="MO"/>
    <m/>
    <n v="6"/>
    <n v="313000"/>
    <n v="234750"/>
    <x v="5"/>
    <s v="1972 build with updates, one loss-not paid as caused by flooding; wedding on premise, not in home"/>
    <x v="0"/>
    <s v="TBE and GL in place; "/>
    <m/>
    <m/>
    <s v="Burdine"/>
  </r>
  <r>
    <x v="124"/>
    <x v="2"/>
    <s v="CA"/>
    <s v="Alison"/>
    <s v="Email"/>
    <s v="Janov"/>
    <s v="France"/>
    <s v="DP3 Rental"/>
    <s v="Malibu"/>
    <s v="CA"/>
    <m/>
    <n v="8"/>
    <n v="1287000"/>
    <n v="2111000"/>
    <x v="0"/>
    <s v="Vacation rental in Malibu, not brush exposed, CFSB alarms, 1947 build with updates"/>
    <x v="1"/>
    <s v="Approved, property in great condition, no brush"/>
    <m/>
    <m/>
    <s v="Burdine"/>
  </r>
  <r>
    <x v="125"/>
    <x v="7"/>
    <s v="MI"/>
    <s v="Cheryl"/>
    <s v="Email"/>
    <s v="Allen"/>
    <s v="Derric &amp; Jenny"/>
    <s v="DP3 Rental"/>
    <s v="Badin"/>
    <s v="NC"/>
    <m/>
    <m/>
    <n v="148000"/>
    <n v="158000"/>
    <x v="12"/>
    <s v="some asbestos still present in home"/>
    <x v="2"/>
    <s v="ineligible due to asbestos material"/>
    <m/>
    <m/>
    <s v="Burdine"/>
  </r>
  <r>
    <x v="125"/>
    <x v="9"/>
    <s v="CA"/>
    <s v="Melissa"/>
    <s v="Email"/>
    <s v="Sutro"/>
    <s v="Elizabeth &amp; Stephen"/>
    <s v="HO3 Primary"/>
    <s v="Ross"/>
    <s v="CA"/>
    <m/>
    <n v="3"/>
    <n v="2600000"/>
    <n v="4680000"/>
    <x v="0"/>
    <s v="CA risk, primary home, 1915,completely rebuilt, CFSB alarms"/>
    <x v="1"/>
    <s v="RM, photos, PC acceptable"/>
    <m/>
    <m/>
    <s v="Burdine"/>
  </r>
  <r>
    <x v="125"/>
    <x v="9"/>
    <s v="CA"/>
    <s v="Lisa"/>
    <s v="Email"/>
    <s v="Nguyen"/>
    <s v="Tu &amp; Phung"/>
    <s v="HO3 Primary"/>
    <s v="San Jose"/>
    <s v="CA"/>
    <m/>
    <n v="3"/>
    <n v="643000"/>
    <n v="971600"/>
    <x v="5"/>
    <s v="grows/sells succulent plants (Evergreen Farm). Has commercial GL coverage and prop coverage with Hartford"/>
    <x v="0"/>
    <s v="TBE and GL in place"/>
    <m/>
    <m/>
    <s v="Burdine"/>
  </r>
  <r>
    <x v="126"/>
    <x v="2"/>
    <s v="CA"/>
    <s v="Alison"/>
    <s v="Email"/>
    <s v="McCloskey"/>
    <s v="Bruce"/>
    <s v="DP3 Rental"/>
    <s v="Malibu"/>
    <s v="CA"/>
    <m/>
    <n v="8"/>
    <n v="351000"/>
    <n v="456300"/>
    <x v="2"/>
    <s v="guest home on premises, using as vacation rental. Main home insured separately, not in brush"/>
    <x v="0"/>
    <s v="apply other structure exclusion to the main home"/>
    <m/>
    <m/>
    <s v="Burdine"/>
  </r>
  <r>
    <x v="126"/>
    <x v="2"/>
    <s v="CA"/>
    <s v="Bobbi"/>
    <s v="Email"/>
    <s v="SBW Capital Partners LLC"/>
    <s v="SBW Capital Partners LLC"/>
    <s v="DP3 Builders Risk"/>
    <s v="Beverly Hills "/>
    <s v="CA"/>
    <m/>
    <m/>
    <n v="2500000"/>
    <n v="2750000"/>
    <x v="0"/>
    <s v="Not in CDS brush zone, excluding roof"/>
    <x v="1"/>
    <s v="no brush, photos/online review, scope OK"/>
    <m/>
    <m/>
    <s v="Burdine"/>
  </r>
  <r>
    <x v="127"/>
    <x v="0"/>
    <s v="MI"/>
    <s v="Rachel"/>
    <s v="Email"/>
    <s v="Edmondson"/>
    <s v="Jerry"/>
    <s v="HO3 Primary"/>
    <s v="St. Louis"/>
    <s v="MO"/>
    <m/>
    <n v="3"/>
    <n v="250000"/>
    <n v="450000"/>
    <x v="5"/>
    <s v="family counselor, 10 patients a week, separate area in home"/>
    <x v="0"/>
    <s v="TBE and GL in place; online review OK"/>
    <m/>
    <m/>
    <s v="Burdine"/>
  </r>
  <r>
    <x v="127"/>
    <x v="7"/>
    <s v="MI"/>
    <s v="John"/>
    <s v="Email"/>
    <s v="Koste"/>
    <s v="Brandon"/>
    <s v="HO3 Primary"/>
    <s v="Pinconning"/>
    <s v="MI"/>
    <m/>
    <m/>
    <n v="410000"/>
    <n v="740000"/>
    <x v="5"/>
    <s v="adult foster care business"/>
    <x v="2"/>
    <s v="Overnight facility, amount of beds indicate likely employees"/>
    <m/>
    <m/>
    <s v="Burdine"/>
  </r>
  <r>
    <x v="127"/>
    <x v="0"/>
    <s v="MI"/>
    <s v="Jeffrey"/>
    <s v="Email"/>
    <s v="The Stanley Nesheim Family Trust"/>
    <s v="The Stanley Nesheim Family Trust"/>
    <s v="DP3 Vacant"/>
    <s v="Washington"/>
    <s v="DC"/>
    <m/>
    <n v="2"/>
    <n v="725000"/>
    <n v="7975000"/>
    <x v="1"/>
    <s v="prior fire loss, think it may have been electrical but loss undetermined. Parents owned home at time, but now deceased. Home repaired, now vacant, up for sale"/>
    <x v="1"/>
    <s v="with claim surcharge"/>
    <m/>
    <m/>
    <s v="Burdine"/>
  </r>
  <r>
    <x v="128"/>
    <x v="0"/>
    <s v="MI"/>
    <s v="Rachel"/>
    <s v="Email"/>
    <s v="Rice"/>
    <s v="Dale E"/>
    <s v="HO3 Primary"/>
    <s v="Shawnee Mission"/>
    <s v="KS"/>
    <m/>
    <n v="1"/>
    <n v="719000"/>
    <n v="1366100"/>
    <x v="1"/>
    <s v="1955 dwelling with full updates. However there are 2 water losses. 5/17 $2K appliance pipe; 8/17 $146K heavy rains, sewage up through floor drains"/>
    <x v="1"/>
    <s v="Quoted with $10K water damage ded and no water backup. App did not answer galvanized, but this concern is offset with higher ded."/>
    <m/>
    <m/>
    <s v="Patterson"/>
  </r>
  <r>
    <x v="128"/>
    <x v="0"/>
    <s v="MI"/>
    <s v="Danielle"/>
    <s v="Email"/>
    <s v="Knecht"/>
    <s v="Deborah"/>
    <s v="HO3 Primary"/>
    <s v="Hampstead"/>
    <s v="MD"/>
    <m/>
    <n v="7"/>
    <n v="310000"/>
    <n v="589000"/>
    <x v="1"/>
    <s v="1984 dwelling with some updates. 2004 roof. 5/17 open dog bite loss. Dog sitter broke up fight between insured's 2 dogs. Jack Russel/beagle mix and plot hound. The plot hound bit. Insured still has the dog. Quoted with animal liability exclusion. Open reserve over $100,000."/>
    <x v="1"/>
    <s v="Exposure completely removed with the exclusion. Online home photos ok. Lower insurance score, but loss is 3rd party."/>
    <m/>
    <m/>
    <s v="Patterson"/>
  </r>
  <r>
    <x v="128"/>
    <x v="2"/>
    <s v="CA"/>
    <s v="Alison"/>
    <s v="Email"/>
    <s v="Wordell"/>
    <s v="Stephen &amp; Margarite"/>
    <s v="DP3 Rental"/>
    <s v="Santa Barbara"/>
    <s v="CA"/>
    <m/>
    <m/>
    <n v="575000"/>
    <n v="750000"/>
    <x v="1"/>
    <s v="1998 dwelling w/tile roof and stucco siding. Updated in 2000. Insured suffered damage from Thomas fire. 2 separate losses. Fire 12/10/17 (dwelling and landscape $131K); Flood (mud flow from fire $108K). There were tenants there who were arrested for illegal substances. They are no longer there. "/>
    <x v="0"/>
    <s v="Apply surcharge for 2 losses plus additional 15%. RM indicates high brush. FL (copy in file) is a 9 and does account for the Thomas fire."/>
    <m/>
    <m/>
    <s v="Patterson"/>
  </r>
  <r>
    <x v="129"/>
    <x v="0"/>
    <s v="MI"/>
    <s v="Alexa"/>
    <s v="Email"/>
    <s v="Emmer"/>
    <s v="Paul &amp; Beau Franklin"/>
    <s v="DP3 Rental"/>
    <m/>
    <s v="CA"/>
    <m/>
    <n v="2"/>
    <n v="1700000"/>
    <n v="2480000"/>
    <x v="1"/>
    <s v="1995 frame dwelling with 2010 roof update. Insd is VP of Edible Arrangements. 1/18/18 loss $411,616 Leak from master bedroom toilet down into the kitchen. Good ins score. Quoted with $25,000 Water Damage Deductible. Also quoted with Animal Liability."/>
    <x v="0"/>
    <s v="S/C addl 10% due to size of loss. Verify PC2 - RiskMeter shows no station within 5 miles. Why Animal Liab for a tenant risk?"/>
    <m/>
    <m/>
    <s v="Patterson"/>
  </r>
  <r>
    <x v="129"/>
    <x v="2"/>
    <s v="CA"/>
    <s v="Michelle"/>
    <s v="Email"/>
    <s v="Clavin"/>
    <s v="Jennifer"/>
    <s v="HO3 Primary"/>
    <s v="Crestline"/>
    <s v="CA"/>
    <m/>
    <m/>
    <n v="247700"/>
    <n v="317000"/>
    <x v="3"/>
    <s v="famous musician, brush"/>
    <x v="0"/>
    <s v="x-liability. Reviewed and still upcoming and very active in industry. Advised prop terms only"/>
    <m/>
    <m/>
    <s v="Burdine"/>
  </r>
  <r>
    <x v="129"/>
    <x v="2"/>
    <s v="CA"/>
    <s v="Lucas"/>
    <s v="Email"/>
    <s v="Groen"/>
    <s v="Eric"/>
    <s v="HO3 Seas/Sec"/>
    <s v="Santa Rosa Valley"/>
    <s v="CA"/>
    <m/>
    <m/>
    <n v="1430000"/>
    <n v="2502500"/>
    <x v="1"/>
    <s v="2 water losses, insured provided narrative about extensive measures taken so won't occur again"/>
    <x v="0"/>
    <s v="subject to $10K water ded"/>
    <m/>
    <m/>
    <s v="Burdine"/>
  </r>
  <r>
    <x v="129"/>
    <x v="2"/>
    <s v="CA"/>
    <s v="Alison"/>
    <s v="Email"/>
    <s v="Parry"/>
    <s v="Norma"/>
    <s v="HO3 Primary"/>
    <s v="Beverly Hills "/>
    <s v="CA"/>
    <m/>
    <m/>
    <m/>
    <n v="4450000"/>
    <x v="0"/>
    <s v="technically not in brush but added a 10% s/c. App, RM, aerial and quote attached. Rate is at $.20., 50 feet from brush per RM"/>
    <x v="1"/>
    <s v="discussed with LT. Ok to offer terms since not in brush, FireLine score 10, large agency relationship for GA"/>
    <m/>
    <m/>
    <s v="Burdine"/>
  </r>
  <r>
    <x v="129"/>
    <x v="0"/>
    <s v="MI"/>
    <s v="Danielle"/>
    <s v="Email"/>
    <s v="Boersig"/>
    <s v="Randall"/>
    <s v="HO3 Primary"/>
    <m/>
    <s v="mo"/>
    <m/>
    <m/>
    <n v="214000"/>
    <n v="428000"/>
    <x v="1"/>
    <s v="11/2017 fire loss-insured was using metal saw in basement. Combustible's nearby lit"/>
    <x v="0"/>
    <s v="confirmation no longer engages in similar activities in basement"/>
    <m/>
    <m/>
    <s v="Burdine"/>
  </r>
  <r>
    <x v="129"/>
    <x v="9"/>
    <s v="CA"/>
    <s v="Lisa"/>
    <s v="Email"/>
    <s v="KD Works, LLC"/>
    <s v="KD Works, LLC"/>
    <s v="HO3 Builders Risk"/>
    <s v="Marin"/>
    <s v="CA"/>
    <m/>
    <n v="3"/>
    <n v="1200000"/>
    <n v="1200000"/>
    <x v="1"/>
    <s v="2014-water damage from small roof leek, open liab loss-they are a claimant (weren't aware they were) of sewage overflow from neighbor onto their property. Neighbor already cleaned up at their expense, so applicant wasn't aware of insurance involvement"/>
    <x v="1"/>
    <s v="Repairs made, no concerns with for risk"/>
    <m/>
    <m/>
    <s v="Burdine"/>
  </r>
  <r>
    <x v="129"/>
    <x v="8"/>
    <s v="NC"/>
    <s v="Whitney"/>
    <s v="Email"/>
    <s v="Lavington Hagood LLC"/>
    <s v="Lavington Hagood LLC"/>
    <s v="HO3 Seas/Sec w/Rental"/>
    <s v="Green Pond"/>
    <s v="SC"/>
    <m/>
    <n v="3"/>
    <n v="816036"/>
    <n v="1041036"/>
    <x v="4"/>
    <s v="age of home qualifies for modified functional replacement cost, just want replacement cost; quoted with slight surcharge"/>
    <x v="1"/>
    <s v="Discussed w/ MP agreed OK to offer as quoted"/>
    <m/>
    <m/>
    <s v="Burdine"/>
  </r>
  <r>
    <x v="129"/>
    <x v="8"/>
    <s v="NC"/>
    <s v="Lawanda"/>
    <s v="Email"/>
    <s v="Cooper"/>
    <s v="Tom"/>
    <s v="HO3 Seas/Sec"/>
    <s v="Kiawah Island"/>
    <s v="SC"/>
    <m/>
    <m/>
    <n v="3900000"/>
    <n v="5000000"/>
    <x v="0"/>
    <s v="TIV greater than $5M"/>
    <x v="2"/>
    <s v="Advised if can get under $5M, then can offer terms"/>
    <m/>
    <m/>
    <s v="Burdine"/>
  </r>
  <r>
    <x v="130"/>
    <x v="2"/>
    <s v="CA"/>
    <s v="Alison"/>
    <s v="Email"/>
    <s v="Perryman"/>
    <m/>
    <s v="HO3 Primary"/>
    <s v="Beverly Hills "/>
    <s v="CA"/>
    <m/>
    <m/>
    <n v="1750000"/>
    <n v="2650000"/>
    <x v="0"/>
    <s v="2018 dwelling in brush. Agent verifying our guidelines for this zip. "/>
    <x v="2"/>
    <s v="No brush exposed risks in 90210 at any TIV"/>
    <m/>
    <m/>
    <s v="Patterson"/>
  </r>
  <r>
    <x v="130"/>
    <x v="0"/>
    <s v="MI"/>
    <s v="Jill"/>
    <s v="Email"/>
    <s v="Gregga"/>
    <s v="Bruce"/>
    <s v="HO3 Primary"/>
    <s v="Montecito"/>
    <s v="CA"/>
    <m/>
    <n v="3"/>
    <n v="1800000"/>
    <n v="2600000"/>
    <x v="1"/>
    <s v="1968 home not in brush. Primary, but app shows vacant and online shows up for sale. Nice home. 3 prior losses in 5 years. 8/13 pipe burst $34K. 10/16 clogged toilet damage $1,336. 7/17 Thomas Fire LOU $120K. "/>
    <x v="0"/>
    <s v="Confirm occupancy. Addl 5% s/c due to size of 7/17 loss."/>
    <m/>
    <m/>
    <s v="Patterson"/>
  </r>
  <r>
    <x v="130"/>
    <x v="2"/>
    <s v="CA"/>
    <s v="Kelly"/>
    <s v="Email"/>
    <s v="Haines"/>
    <s v="Willits"/>
    <s v="HO3 Primary"/>
    <s v="Tustin"/>
    <s v="CA"/>
    <m/>
    <n v="3"/>
    <n v="206000"/>
    <n v="390000"/>
    <x v="1"/>
    <s v="2012 dwelling not in brush. Prior fire loss in 2012 $189K in damage. Agent doesn't know cause. Dwelling was rebuilt. Agt asking to quote pending fire marshal report."/>
    <x v="0"/>
    <s v="Ok'd the quote pending the fire marshal report if there is a request to bind. May also want to run insurance score. This is per procedures agreed to with management."/>
    <m/>
    <m/>
    <s v="Patterson"/>
  </r>
  <r>
    <x v="131"/>
    <x v="0"/>
    <s v="CA"/>
    <s v="Rachel"/>
    <s v="Email"/>
    <s v="Marx"/>
    <s v="Paul &amp; Sandra"/>
    <s v="HO3 Primary"/>
    <s v="Laguna"/>
    <s v="CA"/>
    <m/>
    <n v="3"/>
    <n v="2645000"/>
    <n v="4207500"/>
    <x v="0"/>
    <s v=". Built in 1981 with full updates in 2005. Frame, PC3, two losses, one mysterious disappearance loss closed out at $133,875."/>
    <x v="1"/>
    <s v="Insured didn't replace ring, no other HV items"/>
    <m/>
    <m/>
    <s v="Burdine"/>
  </r>
  <r>
    <x v="131"/>
    <x v="5"/>
    <s v="PA"/>
    <s v="Nichole"/>
    <s v="Email"/>
    <s v="Glassberg"/>
    <s v="David"/>
    <s v="HO3 Seas/Sec w/Rental"/>
    <s v="Nantucket"/>
    <s v="MA"/>
    <m/>
    <n v="9"/>
    <n v="1500000"/>
    <n v="2200000"/>
    <x v="8"/>
    <s v="HV Nantucket risk, central station alarms"/>
    <x v="0"/>
    <s v="review acceptable, subject to acceptable PCQ"/>
    <m/>
    <m/>
    <s v="Burdine"/>
  </r>
  <r>
    <x v="132"/>
    <x v="2"/>
    <s v="CA"/>
    <s v="Gina"/>
    <s v="Email"/>
    <s v="O'Brien"/>
    <s v="Joseph"/>
    <s v="HO3 Primary"/>
    <s v="Trabuco Canyon"/>
    <s v="CA"/>
    <m/>
    <n v="3"/>
    <n v="343000"/>
    <n v="771750"/>
    <x v="6"/>
    <s v="two water claims in 2014, lapse since 05/19/2018 (non payment of premium)"/>
    <x v="0"/>
    <s v="Approved w/ no loss and 5% surcharge"/>
    <m/>
    <m/>
    <s v="Burdine"/>
  </r>
  <r>
    <x v="132"/>
    <x v="2"/>
    <s v="CA"/>
    <s v="Alison"/>
    <s v="Email"/>
    <s v="Kasloff"/>
    <s v="Masako"/>
    <s v="HO3 Seas/Sec"/>
    <s v="Malibu"/>
    <s v="CA"/>
    <m/>
    <n v="5"/>
    <n v="1188000"/>
    <n v="2300000"/>
    <x v="0"/>
    <s v="Risk is in Malibu, not in brush. Nice online photos."/>
    <x v="1"/>
    <s v="Not in brush, lower PC, good home."/>
    <m/>
    <m/>
    <s v="Patterson"/>
  </r>
  <r>
    <x v="132"/>
    <x v="2"/>
    <s v="CA"/>
    <s v="Alison"/>
    <s v="Email"/>
    <s v="Ihle Family Trust"/>
    <m/>
    <s v="HO3 Primary"/>
    <s v="Escondido"/>
    <s v="CA"/>
    <m/>
    <n v="5"/>
    <n v="1200000"/>
    <n v="2200000"/>
    <x v="5"/>
    <s v="1995 dwelling. Unknown if in brush, but not a restricted zip. Runs AirBnB w/3 night minimum. 15% s/c applied (generous). Insured has a concrete business. Online search shows insd address but notes say it is office only w/some employees."/>
    <x v="0"/>
    <s v="Confirm where concrete operations, equip, supplies are kept if the dwelling is office only. Okay if all that is elsewhere. Re-evaluate terms if its at the property."/>
    <m/>
    <m/>
    <s v="Patterson"/>
  </r>
  <r>
    <x v="132"/>
    <x v="4"/>
    <s v="MA"/>
    <s v="Austin"/>
    <s v="Email"/>
    <s v="Dershowitz"/>
    <s v="Austin"/>
    <s v="HO3 Seas/Sec"/>
    <s v="Chilmark"/>
    <s v="MA"/>
    <m/>
    <s v="8B"/>
    <m/>
    <n v="1960451"/>
    <x v="1"/>
    <s v="09/10/2015-lightning, 04/10/2017-water. All repairs made, 01/2015-$932,000 liability for libel/slander/defamation; wants PAF schedule as well"/>
    <x v="0"/>
    <s v="$5K ded, PAF guidelines met, x-liab due to liab loss"/>
    <m/>
    <m/>
    <s v="Burdine"/>
  </r>
  <r>
    <x v="132"/>
    <x v="2"/>
    <s v="CA"/>
    <s v="Alison"/>
    <s v="Email"/>
    <s v="Dunn"/>
    <s v="Vera"/>
    <s v="HO3 Primary"/>
    <s v="Beverly Hills "/>
    <s v="CA"/>
    <m/>
    <m/>
    <m/>
    <n v="1247400"/>
    <x v="5"/>
    <s v="Not in brush, over 150 feet from, insured is therapist and see clients in home"/>
    <x v="0"/>
    <s v=" subject to confirmation of the GL policy and the total business exclusion being applied."/>
    <m/>
    <m/>
    <s v="Burdine"/>
  </r>
  <r>
    <x v="133"/>
    <x v="0"/>
    <s v="MI"/>
    <s v="Jill"/>
    <s v="Email"/>
    <s v="Hill"/>
    <s v="Mary"/>
    <s v="HO3 Primary"/>
    <s v="Lenmore"/>
    <s v="CA"/>
    <m/>
    <n v="2"/>
    <n v="406000"/>
    <n v="1044200"/>
    <x v="5"/>
    <s v="Swimming school-per applicant they enter through the home, about 20 students a month, own business for 4 years, GL in place"/>
    <x v="0"/>
    <s v="Reviewed address online, and is advertised as  a large swimming school w/ instructors (FB review from within the past week regarding school). Insured purchased house in 01/2018 per app, so requesting clarification on her school (if in fact different than google search): https://www.hammondswimschool.com/about-us // Approved subject to x-liab (too many concerns, and $25K water ded as quoted)"/>
    <m/>
    <m/>
    <s v="Burdine"/>
  </r>
  <r>
    <x v="133"/>
    <x v="2"/>
    <s v="CA"/>
    <s v="Bobbi"/>
    <s v="Email"/>
    <s v="Not given"/>
    <s v="Not given"/>
    <s v="DP3 Rental"/>
    <s v="San Diego"/>
    <s v="CA"/>
    <m/>
    <m/>
    <m/>
    <m/>
    <x v="2"/>
    <s v="fractionally owned units. The condo/villa is part of an HOA community and our insured would have access to the unit for 5 weeks per year. He wants to short term rent it for a few of those weeks when he’s not using the unit."/>
    <x v="2"/>
    <s v="Advised not fit our short-term rental market sign more of a &quot;time-share&quot;"/>
    <m/>
    <m/>
    <s v="Burdine"/>
  </r>
  <r>
    <x v="133"/>
    <x v="0"/>
    <s v="MI"/>
    <s v="Lindsay"/>
    <s v="Email"/>
    <s v="Smeltzer"/>
    <s v="Skip"/>
    <s v="HO3 Primary"/>
    <s v="New Paris"/>
    <s v="IL"/>
    <m/>
    <m/>
    <n v="334000"/>
    <n v="392900"/>
    <x v="5"/>
    <s v="2005 dwelling quoted excluding liability. Total business exclusion. Daycare on premises with pool and 2 dogs. These are separated from the daycare and play area.  GL will be in place."/>
    <x v="1"/>
    <s v="Liab exposure eliminated with liab exclusion and TBE and GL."/>
    <s v=" "/>
    <m/>
    <s v="Patterson"/>
  </r>
  <r>
    <x v="133"/>
    <x v="0"/>
    <s v="MI"/>
    <s v="Danielle"/>
    <s v="Email"/>
    <s v="Hogan"/>
    <s v="Cory"/>
    <s v="DP3 Vacant"/>
    <s v="Blair"/>
    <s v="NE"/>
    <m/>
    <n v="10"/>
    <n v="1206000"/>
    <n v="1366600"/>
    <x v="1"/>
    <s v="2008 vacant dwelling. Quoted as PC 9 but PC quest shows 6 mi to FD w/hydrant within 1000' (10W). Prior loss (unknown date) water pipe burst $175K. $10K water ded quoted."/>
    <x v="0"/>
    <s v="Rerate to 10W. Verify cause of burst pipe and resubmit if due to freeze, lack of heat etc. Confirm no mold. Bind if loss is closed."/>
    <m/>
    <m/>
    <s v="Patterson"/>
  </r>
  <r>
    <x v="133"/>
    <x v="11"/>
    <s v="LA"/>
    <s v="Hillary"/>
    <s v="Email"/>
    <s v="Paape"/>
    <s v="Kerry"/>
    <s v="HO3 Primary"/>
    <s v="Houma"/>
    <s v="LA"/>
    <m/>
    <m/>
    <n v="120000"/>
    <n v="150000"/>
    <x v="2"/>
    <s v="2005 primary dwelling. Insured has 8 horses, personal use, kept in barn. 28 fenced acres. No cov B on app."/>
    <x v="0"/>
    <s v="Asked addl questions see email. Considering because if it is truly personal use, we can surcharge for the additional exposure.//Has Equestrian liab policy. Has Lloyds policy for barn/arena-no Cov B for us. 8 horses, no business, no riding, no lessons, etc.  Approved with animal exclusion, okay with CPL, no Cov B."/>
    <m/>
    <m/>
    <s v="Patterson"/>
  </r>
  <r>
    <x v="133"/>
    <x v="2"/>
    <s v="Alison"/>
    <s v="Alison"/>
    <s v="Email"/>
    <s v=" Gregga"/>
    <s v="Bruce"/>
    <s v="HO3 Primary"/>
    <s v="Montecito"/>
    <s v="CA"/>
    <m/>
    <n v="5"/>
    <n v="2750000"/>
    <n v="3475000"/>
    <x v="0"/>
    <s v="1968 dwelling updated. Prior 1/9/18 Thomas fire loss $138K. 8/2013 sewer backup $34K."/>
    <x v="0"/>
    <s v="No water backup coverage. Surcharge loss + extra 10%. FireLine shows score '0' Negligible hazard."/>
    <m/>
    <m/>
    <s v="Patterson"/>
  </r>
  <r>
    <x v="133"/>
    <x v="0"/>
    <s v="MI"/>
    <s v="Leslie"/>
    <s v="Email"/>
    <s v="Ludlow"/>
    <s v="Paul"/>
    <s v="HO3 Seas/Sec"/>
    <s v="Sandy"/>
    <s v="UT"/>
    <m/>
    <n v="10"/>
    <n v="115000"/>
    <n v="218500"/>
    <x v="8"/>
    <s v="2010 log home w/woodstove as primary heat. Not accessible year round. Nice home. Cov A=$64/SF. Rate=$871/.40. Heat reclaimer per WBS quest. "/>
    <x v="0"/>
    <s v="When is home used? (If in summer, stove will rarely be used). Need better Cov A - can be a subjectivity. Get info on heat reclaimer - not eligible if that is correct. //Danielle advised limited summer use, no heat reclaimer, will incr rate."/>
    <s v="Look at a .80 rate for 20 min response and a woodstove."/>
    <m/>
    <s v="Patterson"/>
  </r>
  <r>
    <x v="133"/>
    <x v="0"/>
    <s v="MI"/>
    <s v="Alexa"/>
    <s v="Email"/>
    <s v="Aune"/>
    <s v="Emily"/>
    <s v="HO3 Seas/Sec"/>
    <s v="Oakley"/>
    <s v="UT"/>
    <m/>
    <n v="10"/>
    <n v="300000"/>
    <n v="3750000"/>
    <x v="8"/>
    <s v="1998 frame/log dwelling quoted as PC9 w/20 min response. Supplemental woodstove, no info. Animal liab, no animal info on app. PCQ unclear about year round access. Volunteer FD, hydrant. "/>
    <x v="0"/>
    <s v="Mapped distance FD to dwelling - over 10 miles. W/hydrant, this is a 10W. Advised Danielle as this is the second one today that listed a 9 but is a 10W. Asked for more info. We can provide a rate for this once we know accessibility and correct PC10W rate."/>
    <s v=".81 if not accessible,  .71 if accessible. (As long as this is over the VMGA 10W rate)"/>
    <m/>
    <s v="Patterson"/>
  </r>
  <r>
    <x v="133"/>
    <x v="2"/>
    <s v="CA"/>
    <s v="Alison"/>
    <s v="Email"/>
    <s v="Monkarsh"/>
    <s v="Joshua"/>
    <s v="HO3 Primary"/>
    <s v="Beverly Hills "/>
    <s v="CA"/>
    <m/>
    <n v="2"/>
    <n v="1800000"/>
    <n v="3240000"/>
    <x v="0"/>
    <s v="1967 dwelling not in brush. Updates in 2000. Alarms unknown. Occupancy listed as primary, and noted as vacant. (?)"/>
    <x v="0"/>
    <s v="Confirm occupancy, updates, alarms."/>
    <m/>
    <m/>
    <s v="Patterson"/>
  </r>
  <r>
    <x v="134"/>
    <x v="0"/>
    <s v="MI"/>
    <s v="David"/>
    <s v="Email"/>
    <s v="Hein Heritage Trust"/>
    <s v="Hein Heritage Trust"/>
    <s v="DP1"/>
    <s v="Prescott Valley"/>
    <s v="CA"/>
    <m/>
    <n v="10"/>
    <n v="100000"/>
    <n v="110000"/>
    <x v="6"/>
    <s v="wood stove and solar panel primary heat source, never had insurance on it, responding fire department over 15 minutes, 482 sq ft, 1982 build, 5 acres with a well, visits about 4 times a year"/>
    <x v="2"/>
    <s v="Too many eligibility concerns"/>
    <m/>
    <m/>
    <s v="Burdine"/>
  </r>
  <r>
    <x v="134"/>
    <x v="0"/>
    <s v="MI"/>
    <s v="Jill"/>
    <s v="Email"/>
    <s v="Laks"/>
    <s v="Yael"/>
    <s v="HO3 Primary"/>
    <m/>
    <s v="CA"/>
    <m/>
    <n v="2"/>
    <n v="500000"/>
    <n v="632000"/>
    <x v="5"/>
    <s v="Insured lives in home, leases land to non-profit animal shelt-The Gentle Barn (GL policy in place). Quoted w/ animal liability and Cov B exclusions and TBE, no brush"/>
    <x v="0"/>
    <s v="Approved, subject to x-liability. Per website, large operation. Animal interaction encounters/events/etc. https://www.gentlebarn.org/california"/>
    <m/>
    <m/>
    <s v="Burdine"/>
  </r>
  <r>
    <x v="135"/>
    <x v="6"/>
    <s v="CO"/>
    <s v="Ashley"/>
    <s v="Email"/>
    <s v="Rice"/>
    <s v="Greg &amp; Alison"/>
    <s v="HO3 Seas/Sec w/Rental"/>
    <s v="Arnold"/>
    <s v="CA"/>
    <m/>
    <n v="5"/>
    <n v="325000"/>
    <n v="552500"/>
    <x v="10"/>
    <s v="a secondary home with some short-term rental only 6 weeks out of the year.; no central heat, woodstove primary heat source. Professionally installed and inspected by a fire department, 1980 build, in brush"/>
    <x v="0"/>
    <s v="Approval to offer terms with 10% surcharge"/>
    <m/>
    <m/>
    <s v="Burdine"/>
  </r>
  <r>
    <x v="135"/>
    <x v="0"/>
    <s v="MI"/>
    <s v="Alexa"/>
    <s v="Email"/>
    <s v="Sheridan"/>
    <s v="Cliff"/>
    <s v="HO3 Primary"/>
    <s v="Trenton"/>
    <s v="TN"/>
    <m/>
    <n v="5"/>
    <n v="302300"/>
    <n v="589485"/>
    <x v="1"/>
    <s v="10/2017-$201K fire loss around recessed lighting; home was recently renovated"/>
    <x v="0"/>
    <s v="requested confirmation home has been checked by electrician since assume recessed lighting was put in during renovations//The agent confirmed that the electrical was inspected and everything passed, and an electrical box was added back to the home by the Electric company."/>
    <m/>
    <m/>
    <s v="Burdine"/>
  </r>
  <r>
    <x v="135"/>
    <x v="0"/>
    <s v="MI"/>
    <s v="David"/>
    <s v="Email"/>
    <s v="Daic"/>
    <s v="Drago &amp; Kathy"/>
    <s v="HO3 Primary"/>
    <s v="Anderson"/>
    <s v="TX"/>
    <m/>
    <n v="9"/>
    <n v="693000"/>
    <n v="1803300"/>
    <x v="1"/>
    <s v="126 acres, nonrenewed from Chubb for 3 losses (03/2017-fire to main home-$1MIL; 08/2016-water $14K; 06/2015-tornado to horse barn-$0):Client owns 2 horses and 1 donkey and approximately 14 head of cattle. The property is NOT a working ranch / farm but for personal use only. Animal liability has been excluded"/>
    <x v="0"/>
    <s v="Due to the number of farm animals they own, they are not eligible for liability coverage. As such, terms may be offered x-liability."/>
    <m/>
    <m/>
    <s v="Burdine"/>
  </r>
  <r>
    <x v="135"/>
    <x v="0"/>
    <s v="MI"/>
    <s v="Alexa"/>
    <s v="Email"/>
    <s v="Foster"/>
    <s v="Carl &amp; Nancy"/>
    <s v="HO3 Primary"/>
    <s v="Eagerville"/>
    <s v="TN"/>
    <m/>
    <n v="9"/>
    <n v="297000"/>
    <n v="594000"/>
    <x v="5"/>
    <s v="Attached is a primary home located in TN. Home was built in 1996 of frame construction,  PC 9, blueberry picking business"/>
    <x v="0"/>
    <s v="approval to offer terms on this risk, subject to the Total Business Exclusion being applied and confirmation that they have a GL policy covering the blueberry business."/>
    <m/>
    <m/>
    <s v="Burdine"/>
  </r>
  <r>
    <x v="135"/>
    <x v="2"/>
    <s v="CA"/>
    <s v="Alison"/>
    <s v="Email"/>
    <s v="Wallenchinsky"/>
    <s v="David &amp; Flora"/>
    <s v="HO3 Primary"/>
    <s v="Santa Monica"/>
    <s v="CA"/>
    <m/>
    <m/>
    <n v="2420000"/>
    <n v="4259000"/>
    <x v="3"/>
    <s v="Author, home has alarms but not active so quoting with minimum deductible requirements for TIV"/>
    <x v="1"/>
    <s v="reviewed, and discussed with LT. Applicant founded website for under reported government news. OK including Sect II"/>
    <m/>
    <m/>
    <s v="Burdine"/>
  </r>
  <r>
    <x v="135"/>
    <x v="0"/>
    <s v="MI"/>
    <s v="Leslie"/>
    <s v="Email"/>
    <s v="Lang"/>
    <s v="Gary"/>
    <s v="HO3 Builders Risk"/>
    <m/>
    <s v="WI"/>
    <m/>
    <n v="9"/>
    <n v="3000000"/>
    <n v="3750000"/>
    <x v="0"/>
    <s v="BR-contractor requirements met, attached confirmation of drive distance and PC"/>
    <x v="1"/>
    <s v="Alarm requirements being met"/>
    <m/>
    <m/>
    <s v="Burdine"/>
  </r>
  <r>
    <x v="136"/>
    <x v="0"/>
    <s v="MI"/>
    <s v="Leslie"/>
    <s v="Email"/>
    <s v="Jones"/>
    <s v="Richard"/>
    <s v="HO3 Seas/Sec"/>
    <s v="Dubois"/>
    <s v="WY"/>
    <m/>
    <n v="10"/>
    <n v="200000"/>
    <n v="298000"/>
    <x v="8"/>
    <s v="Secondary, 26 min response time, $2500 AOP, not accessible year round, quoted at $1632"/>
    <x v="0"/>
    <s v="; lower valued, so subject to 15% surcharge "/>
    <m/>
    <m/>
    <s v="Burdine"/>
  </r>
  <r>
    <x v="137"/>
    <x v="0"/>
    <s v="MI"/>
    <s v="Rachel"/>
    <s v="Email"/>
    <s v="Esser"/>
    <s v="Michael"/>
    <s v="HO3 Primary"/>
    <m/>
    <s v="KS"/>
    <m/>
    <n v="3"/>
    <n v="713200"/>
    <n v="1426400"/>
    <x v="5"/>
    <s v="1990 build,  flooring business on premise. The applicant uses an outbuilding on the property to store varnish and saw the flooring, there are employees on the premise but they do not have access to the home. Terms if offered would be subject to a total business exclusion and the outbuilding where the flooring business is housed would be excluded."/>
    <x v="0"/>
    <s v="Subject to GL policy in place"/>
    <m/>
    <m/>
    <s v="Burdine"/>
  </r>
  <r>
    <x v="137"/>
    <x v="0"/>
    <s v="MI"/>
    <s v="Rachel"/>
    <s v="Email"/>
    <s v="White"/>
    <s v="Michelle"/>
    <s v="HO3 Primary"/>
    <m/>
    <s v="TN"/>
    <m/>
    <n v="10"/>
    <n v="132000"/>
    <n v="171600"/>
    <x v="8"/>
    <s v="Built in 1975 with full update to the roof in 2014 and partial update to the heating in 2014. Brick veneer, PC10, no losses. 15-25 min response time"/>
    <x v="0"/>
    <s v="approved, VMGA premium appropriate"/>
    <m/>
    <m/>
    <s v="Burdine"/>
  </r>
  <r>
    <x v="137"/>
    <x v="6"/>
    <s v="CO"/>
    <s v="Allison"/>
    <s v="Email"/>
    <s v="Cynthia M. Schneider Living Trust, The"/>
    <s v="Cynthia M. Schneider Living Trust, The"/>
    <s v="HO3 Seas/Sec"/>
    <s v="Idaho Springs"/>
    <s v="CO"/>
    <m/>
    <n v="9"/>
    <n v="416500"/>
    <n v="416500"/>
    <x v="8"/>
    <s v="Secondary (no winter access), 1999 build, non-renewal by Lexington for inaccessibility"/>
    <x v="0"/>
    <s v="approved, with double VMGA premium"/>
    <m/>
    <m/>
    <s v="Burdine"/>
  </r>
  <r>
    <x v="138"/>
    <x v="0"/>
    <s v="MI"/>
    <s v="Danielle"/>
    <s v="Email"/>
    <s v="Yontz"/>
    <s v="Christine"/>
    <s v="HO3 Primary"/>
    <s v="Wisconsin Dells"/>
    <s v="WI"/>
    <m/>
    <n v="3"/>
    <n v="650000"/>
    <n v="1170000"/>
    <x v="7"/>
    <s v="foreclosure in last 5 years-now closed. Was taking care of sick sister and got behind on payments. Insurance score S, 2000 build, PC 3, local alarm, 2014 loss for theft"/>
    <x v="2"/>
    <s v="reviewed credit-also bankruptcy and open collections"/>
    <m/>
    <m/>
    <s v="Burdine"/>
  </r>
  <r>
    <x v="138"/>
    <x v="3"/>
    <s v="MA"/>
    <s v="Barbara"/>
    <s v="Email"/>
    <s v="Bartelli"/>
    <s v="Edward"/>
    <s v="DP3 Vacant"/>
    <s v="New London"/>
    <s v="CT"/>
    <m/>
    <n v="9"/>
    <s v="1 ,109,500"/>
    <s v="1 ,109,500"/>
    <x v="8"/>
    <s v="Vacant dwelling for sale, please note I credited premium to reflect 6-mo short term option.  There is a pending offer per Zillow site"/>
    <x v="4"/>
    <s v="we would need to review an Unprotected Questionnaire. The rating is appropriate for a 6 month term. Please be sure they are aware that for a 6-month term there is a 50% Minimum Earned Premium."/>
    <m/>
    <m/>
    <s v="Burdine"/>
  </r>
  <r>
    <x v="138"/>
    <x v="2"/>
    <s v="CA"/>
    <s v="Kelly"/>
    <s v="Email"/>
    <s v="Short"/>
    <s v="Fred &amp; Mary"/>
    <s v="HO3 Primary"/>
    <s v="Ventura"/>
    <s v="CA"/>
    <m/>
    <n v="5"/>
    <n v="693000"/>
    <n v="1247300"/>
    <x v="5"/>
    <s v="avocado farm on premises, loss history-bathtub leak 06/2014; 10/2017-fence blown down in storm' 12/2017-shop and barn burned from wildfire."/>
    <x v="0"/>
    <s v="approval to offer terms on this risk, subject to the total business exclusion being applied, and confirmation that a GL policy is in place for the business exposure."/>
    <m/>
    <m/>
    <s v="Burdine"/>
  </r>
  <r>
    <x v="138"/>
    <x v="6"/>
    <s v="CA"/>
    <s v="Allison"/>
    <s v="Email"/>
    <s v="Liang"/>
    <s v="John"/>
    <s v="HO3 Primary"/>
    <m/>
    <s v="CA"/>
    <m/>
    <n v="3"/>
    <n v="1500000"/>
    <n v="3050000"/>
    <x v="0"/>
    <s v="close to a brush zone, but is still in the city neighborhoods, and over 300 feet clearance.  The agent hasn’t advised of CSFB alarms.  "/>
    <x v="0"/>
    <s v="Approved with $10K AOP"/>
    <m/>
    <m/>
    <s v="Burdine"/>
  </r>
  <r>
    <x v="138"/>
    <x v="2"/>
    <s v="CA"/>
    <s v="Kelly"/>
    <s v="Email"/>
    <s v="Haas"/>
    <s v="Jeffrey &amp; Griselda"/>
    <s v="HO3 Primary"/>
    <s v="Ventura"/>
    <s v="CA"/>
    <m/>
    <m/>
    <n v="1800000"/>
    <n v="3240000"/>
    <x v="0"/>
    <s v="Thomas fire loss, 2017-$410,000-smoke damage"/>
    <x v="1"/>
    <s v="Approved w/ appropriate claim surcharge"/>
    <m/>
    <m/>
    <s v="Burdine"/>
  </r>
  <r>
    <x v="138"/>
    <x v="9"/>
    <s v="CA"/>
    <s v="Lisa"/>
    <s v="Email"/>
    <s v="Azevedo"/>
    <s v="Loren M"/>
    <s v="HO3 Primary"/>
    <s v="Placerville"/>
    <s v="CA"/>
    <m/>
    <n v="10"/>
    <n v="1182000"/>
    <n v="2007900"/>
    <x v="8"/>
    <s v="160 acres (no farming or ranching), has policy in place to cover liability so no liability needed, Just A, B, C, PC 10"/>
    <x v="0"/>
    <s v="You have approval to offer terms on this risk subject to the rating being updated to a PC 10, the $10K AOP ded, and other structure exclusion."/>
    <m/>
    <m/>
    <s v="Burdine"/>
  </r>
  <r>
    <x v="138"/>
    <x v="0"/>
    <s v="MI"/>
    <s v="Leslie"/>
    <s v="Email"/>
    <s v="French"/>
    <s v="Shane"/>
    <s v="DP3 Vacant"/>
    <m/>
    <s v="OH"/>
    <m/>
    <n v="2"/>
    <n v="558000"/>
    <n v="613800"/>
    <x v="3"/>
    <s v="insured syndicated radio talk show host for Rover's Morning Glory"/>
    <x v="0"/>
    <s v="approval to offer property terms on this risk. However, based on the current high-profile of the applicant, he would not be eligible for liability coverage."/>
    <m/>
    <m/>
    <s v="Burdine"/>
  </r>
  <r>
    <x v="138"/>
    <x v="0"/>
    <s v="MI"/>
    <s v="Jeffrey"/>
    <s v="Email"/>
    <s v="Gaudynski"/>
    <s v="James &amp; Lorene"/>
    <s v="HO3 Primary"/>
    <s v="Wild Rose"/>
    <s v="WI"/>
    <m/>
    <n v="6"/>
    <n v="235000"/>
    <n v="434750"/>
    <x v="8"/>
    <s v="Risk is secondary family lake cottage home that had a total fire loss on 10/18/2016. No other losses. They were unable to determine what started the fire, but that it started in the living room"/>
    <x v="2"/>
    <s v="fire claim with an undetermined loss cause. Particularly one of this size. Given the Protection Class and the loss history, I'm not comfortable offering terms at this time. "/>
    <m/>
    <m/>
    <s v="Burdine"/>
  </r>
  <r>
    <x v="138"/>
    <x v="7"/>
    <s v="MI"/>
    <s v="Cheryl"/>
    <s v="Email"/>
    <s v="Vodde"/>
    <s v="Ronald"/>
    <s v="HO3 Primary"/>
    <s v="Cincinnati"/>
    <s v="OH"/>
    <m/>
    <m/>
    <n v="220000"/>
    <n v="396000"/>
    <x v="1"/>
    <s v="3 claims in one year, all dog scratches, still has dog. Quoted with animal liab exclusion"/>
    <x v="1"/>
    <s v="Quoted w/ animal liab exclusion"/>
    <m/>
    <m/>
    <s v="Burdine"/>
  </r>
  <r>
    <x v="139"/>
    <x v="0"/>
    <s v="MI"/>
    <s v="Leslie"/>
    <s v="Email"/>
    <s v="Nehring"/>
    <s v="Phillip"/>
    <s v="HO3 Seas/Sec"/>
    <s v="Gravois Mills"/>
    <s v="MO"/>
    <m/>
    <n v="7"/>
    <n v="105000"/>
    <n v="115500"/>
    <x v="2"/>
    <s v="metal building, 1-2 blocks from his lake home, stores boats and PWC's, has small living space (kitchen and bath), appraisal included"/>
    <x v="1"/>
    <s v="premium OK for risk"/>
    <m/>
    <m/>
    <s v="Burdine"/>
  </r>
  <r>
    <x v="140"/>
    <x v="2"/>
    <s v="CA"/>
    <s v="Bobbi"/>
    <s v="Email"/>
    <s v="Ungar"/>
    <s v="Ken &amp; Avan"/>
    <s v="HO3 Primary"/>
    <m/>
    <s v="CA"/>
    <m/>
    <n v="4"/>
    <n v="2300000"/>
    <n v="4600000"/>
    <x v="0"/>
    <s v="No brush"/>
    <x v="1"/>
    <m/>
    <m/>
    <m/>
    <s v="Burdine"/>
  </r>
  <r>
    <x v="140"/>
    <x v="7"/>
    <s v="MI"/>
    <s v="Cheryl"/>
    <s v="Email"/>
    <s v="Evans"/>
    <s v="Shawn &amp; Sara"/>
    <s v="HO3 Primary"/>
    <s v="Russell"/>
    <s v="KS"/>
    <m/>
    <m/>
    <n v="16040000"/>
    <n v="3609000"/>
    <x v="2"/>
    <s v="2 homes, both in KS, 96 acres on first, 217 acres of second"/>
    <x v="1"/>
    <s v="no farming, livestock, just land for personal use"/>
    <m/>
    <m/>
    <s v="Burdine"/>
  </r>
  <r>
    <x v="140"/>
    <x v="3"/>
    <s v="MA"/>
    <s v="Brendan"/>
    <s v="Email"/>
    <s v="Reis"/>
    <s v="Jose"/>
    <s v="DP3 Rental"/>
    <s v="Shelton"/>
    <s v="CT"/>
    <m/>
    <m/>
    <n v="879458"/>
    <n v="903458"/>
    <x v="1"/>
    <s v="2 water damage claims in last 3.5 years, broken pipe, pipe replaced. Hot water leak, replaced. Updated plumbing in building"/>
    <x v="0"/>
    <s v="$2500 AOP ded, all repairs done"/>
    <m/>
    <m/>
    <s v="Burdine"/>
  </r>
  <r>
    <x v="140"/>
    <x v="7"/>
    <s v="MI"/>
    <s v="Cheryl"/>
    <s v="Email"/>
    <s v="Dyer"/>
    <s v="Charles &amp; Heather"/>
    <s v="HO3 Primary"/>
    <s v="Gastonia"/>
    <s v="NC"/>
    <m/>
    <n v="4"/>
    <n v="401000"/>
    <n v="802001"/>
    <x v="1"/>
    <s v="2 water losses, under $5K"/>
    <x v="0"/>
    <s v="You may offer terms on this risk, subject to a $5K water damage deductible"/>
    <m/>
    <m/>
    <s v="Burdine"/>
  </r>
  <r>
    <x v="140"/>
    <x v="7"/>
    <s v="MI"/>
    <s v="Cheryl"/>
    <s v="Email"/>
    <s v="Bolema"/>
    <s v="Theodore &amp; Sally"/>
    <s v="HO3 Primary"/>
    <s v="Wichita"/>
    <s v="KS"/>
    <m/>
    <n v="2"/>
    <n v="360000"/>
    <n v="682000"/>
    <x v="1"/>
    <s v="2 losses, one was a Lowes dishwasher faulty installation and the other is a sump pump failure"/>
    <x v="1"/>
    <s v="offer terms on this risk, be sure the rate includes the two prior claims."/>
    <m/>
    <m/>
    <s v="Burdine"/>
  </r>
  <r>
    <x v="141"/>
    <x v="7"/>
    <s v="MI"/>
    <s v="Cheryl"/>
    <s v="Email"/>
    <s v="Wright"/>
    <s v="Debra &amp; James"/>
    <s v="HO3 Primary"/>
    <s v="Montreal"/>
    <s v="MO"/>
    <m/>
    <n v="6"/>
    <n v="275000"/>
    <n v="647000"/>
    <x v="1"/>
    <s v="03/3017-hail, 11/2016-washer hose ($0), 07/2016-water damage to rental condo"/>
    <x v="1"/>
    <s v="claims on rental"/>
    <m/>
    <m/>
    <s v="Burdine"/>
  </r>
  <r>
    <x v="141"/>
    <x v="2"/>
    <s v="CA"/>
    <s v="Kelly"/>
    <s v="Email"/>
    <s v="Kasal"/>
    <s v="Craig"/>
    <s v="HO3 Primary"/>
    <s v="Hidden Hills"/>
    <s v="CA"/>
    <m/>
    <m/>
    <n v="1200000"/>
    <n v="2000000"/>
    <x v="1"/>
    <s v="06/21/2016-fire to other structure"/>
    <x v="0"/>
    <s v="You may offer terms on the risk, with an other structure exclusion applied. Should they want to include coverage on the other structure, we would need to review the fire report or cause &amp; origin report, to confirm the cause of loss."/>
    <m/>
    <m/>
    <s v="Burdine"/>
  </r>
  <r>
    <x v="141"/>
    <x v="0"/>
    <s v="MI"/>
    <s v="David"/>
    <s v="Email"/>
    <s v="Jensen"/>
    <s v="Jared"/>
    <s v="HO3 Seas/Sec"/>
    <s v="Craig"/>
    <s v="CO"/>
    <m/>
    <n v="10"/>
    <n v="260034"/>
    <n v="412040"/>
    <x v="8"/>
    <s v="31 minute respond time, $2500 ded, 1000 County Road 11 Craig, CO 81625"/>
    <x v="0"/>
    <s v="Approval with 15% surcharge due to PC; confirmed truly no rental. Insured family is large and when go in town use both homes to house."/>
    <m/>
    <m/>
    <s v="Burdine"/>
  </r>
  <r>
    <x v="141"/>
    <x v="0"/>
    <s v="MI"/>
    <s v="David"/>
    <s v="Email"/>
    <s v="Jensen"/>
    <s v="Jared"/>
    <s v="HO3 Seas/Sec"/>
    <s v="Craig"/>
    <s v="CO"/>
    <m/>
    <n v="10"/>
    <n v="260034"/>
    <n v="412040"/>
    <x v="8"/>
    <s v="31 minute respond time, $2500 ded, 6041 County Road 11 Craig, CO 81625"/>
    <x v="0"/>
    <s v="Approval with 15% surcharge due to PC; confirmed truly no rental. Insured family is large and when go in town use both homes to house."/>
    <m/>
    <m/>
    <s v="Burdine"/>
  </r>
  <r>
    <x v="142"/>
    <x v="2"/>
    <s v="CA"/>
    <s v="Lisa"/>
    <s v="Email"/>
    <s v="Sanford"/>
    <s v="Jason"/>
    <s v="HO3 Primary"/>
    <s v="Santa Barbara"/>
    <s v="CA"/>
    <m/>
    <n v="3"/>
    <n v="1038000"/>
    <n v="1640600"/>
    <x v="3"/>
    <s v="1974 home not in brush with alarms. Insured is a film producer."/>
    <x v="1"/>
    <s v="Not too famous"/>
    <m/>
    <m/>
    <s v="Patterson"/>
  </r>
  <r>
    <x v="142"/>
    <x v="0"/>
    <s v="MI"/>
    <s v="Jeffrey"/>
    <s v="Email"/>
    <s v="Liese"/>
    <s v="Theodore"/>
    <s v="HO3 Seas/Sec"/>
    <s v="Covelo"/>
    <s v="CA"/>
    <m/>
    <n v="10"/>
    <n v="323000"/>
    <n v="365300"/>
    <x v="8"/>
    <s v="2008 dwelling in brush. WBS is primary heat. Response time reported as 10 minutes."/>
    <x v="2"/>
    <s v="Mapped 15-20 min drive time + volunteer department - will be more like 25 minutes. WBS floor protection not adequate. Should be 18&quot; from unit to front of floor protection. In brush."/>
    <m/>
    <m/>
    <s v="Patterson"/>
  </r>
  <r>
    <x v="142"/>
    <x v="0"/>
    <s v="MI"/>
    <s v="Lindsay"/>
    <s v="Email"/>
    <s v="Rubis"/>
    <s v="William"/>
    <s v="HO3 Primary"/>
    <s v="Maxwell"/>
    <s v="IA"/>
    <m/>
    <n v="10"/>
    <n v="278900"/>
    <n v="585690"/>
    <x v="5"/>
    <s v="1998 dwelling with lapse since 6/1/2017. Insured oversight. PC10-confirmed response time &lt;15 minutes. 7/19/18 tornado dmg to roof, $10-$15K damage. Agt applying roof excl and existing damage excl. TBE for cattle building construction business. Storage only and occasional employee visit to pick up. Has a GL. Meets clients at their locations."/>
    <x v="0"/>
    <s v="Good ins score. Apply existing dmg, roof, water damage, mold exclusion. Can remove when proof of prof repair received. 10% addl s/c for lapse. GL must be maintained."/>
    <m/>
    <m/>
    <s v="Patterson"/>
  </r>
  <r>
    <x v="142"/>
    <x v="0"/>
    <s v="MI"/>
    <s v="David"/>
    <s v="Email"/>
    <s v="Jimenez"/>
    <s v="Jorge &amp; Jennifer"/>
    <s v="HO3 Primary w/Rental"/>
    <s v="Trabuco Canyon"/>
    <s v="CA"/>
    <m/>
    <n v="3"/>
    <n v="920000"/>
    <n v="1564000"/>
    <x v="3"/>
    <s v="Client is established actor/writer/producer"/>
    <x v="0"/>
    <s v="x-liability, current high profile actor"/>
    <m/>
    <m/>
    <s v="Burdine"/>
  </r>
  <r>
    <x v="142"/>
    <x v="2"/>
    <s v="CA"/>
    <s v="Bobbi"/>
    <s v="Email"/>
    <s v="Croutch"/>
    <s v="Don &amp; Marcie"/>
    <s v="HO3 Primary"/>
    <s v="Encino"/>
    <s v="CA"/>
    <m/>
    <n v="3"/>
    <n v="2500000"/>
    <n v="4000000"/>
    <x v="0"/>
    <s v="No brush"/>
    <x v="1"/>
    <s v="all conditions met"/>
    <m/>
    <m/>
    <s v="Burdine"/>
  </r>
  <r>
    <x v="143"/>
    <x v="0"/>
    <s v="MI"/>
    <s v="Lindsay"/>
    <s v="Email"/>
    <s v="Collins"/>
    <s v="La'el"/>
    <s v="HO3 Primary"/>
    <m/>
    <s v="TX"/>
    <m/>
    <n v="4"/>
    <n v="1118000"/>
    <n v="2307450"/>
    <x v="3"/>
    <s v="NFL rookie with Dallas cowboys, policy being cancelled by Nationwide due to noncompliance with inspection requirements (applicant's agent let fall through cracks while he is at spring training)"/>
    <x v="0"/>
    <s v="approval property terms, x-liab due to high profile"/>
    <m/>
    <m/>
    <s v="Burdine"/>
  </r>
  <r>
    <x v="143"/>
    <x v="3"/>
    <s v="MA"/>
    <s v="Barbara"/>
    <s v="Email"/>
    <s v="Calvo"/>
    <s v="Jessica"/>
    <s v="HO3 Primary"/>
    <s v="Columbia"/>
    <s v="CT"/>
    <m/>
    <n v="9"/>
    <n v="252290"/>
    <n v="504581"/>
    <x v="1"/>
    <s v="3 water claims in 3.5 years-01/18-pipe broke-$3500, 01/28/16-water damage-5600, 03/04/15-ice dam ($0); quoted with $5K Water ded"/>
    <x v="1"/>
    <s v="approved as quoted"/>
    <m/>
    <m/>
    <s v="Burdine"/>
  </r>
  <r>
    <x v="143"/>
    <x v="7"/>
    <s v="MI"/>
    <s v="Cheryl"/>
    <s v="Email"/>
    <s v="Houghton"/>
    <s v="Brett &amp; Ceree"/>
    <s v="HO3 Primary"/>
    <s v="Philadelphia"/>
    <s v="TN"/>
    <m/>
    <n v="6"/>
    <n v="298000"/>
    <n v="596000"/>
    <x v="2"/>
    <s v="1 dog bit claim, 0 paid, dog no longer in home. 5 horses for personal use only, cows personal use only (use to graze land and cows for personal consumption). No cows now, but they get some occasionally."/>
    <x v="0"/>
    <s v="approval with animal liab excluded//subsequent conversation with Cheryl - advised we could write with animal liability "/>
    <m/>
    <m/>
    <s v="Burdine"/>
  </r>
  <r>
    <x v="143"/>
    <x v="0"/>
    <s v="MI"/>
    <s v="Rachel"/>
    <s v="Email"/>
    <s v="Khanna"/>
    <s v="Vishal"/>
    <s v="HO3 Primary"/>
    <s v="Lincolnton"/>
    <s v="NE"/>
    <m/>
    <n v="10"/>
    <n v="750000"/>
    <n v="1275000"/>
    <x v="8"/>
    <s v="primary home in NE. Built in 2008 with full update to the roof in 2016. Brick veneer, PC10, two losses (2016-hail-$100K, theft from veh), 13-15 minute response time"/>
    <x v="0"/>
    <s v="VMGA rate acceptable"/>
    <s v=" "/>
    <m/>
    <s v="Patterson"/>
  </r>
  <r>
    <x v="143"/>
    <x v="0"/>
    <s v="MI"/>
    <s v="Leslie"/>
    <s v="Email"/>
    <s v="Shouse"/>
    <s v="August &amp; Earl"/>
    <s v="HO3 Seas/Sec"/>
    <s v="Richmond"/>
    <s v="TX"/>
    <m/>
    <n v="10"/>
    <n v="677300"/>
    <n v="743227"/>
    <x v="8"/>
    <s v="PC 10, DP1, ACV, AOP $5K, x-liab; quoted subject to inspection with EHP"/>
    <x v="1"/>
    <s v="approved as quoted. $5, 535 premium OK"/>
    <m/>
    <m/>
    <s v="Burdine"/>
  </r>
  <r>
    <x v="143"/>
    <x v="6"/>
    <s v="CO"/>
    <s v="Allison"/>
    <s v="Email"/>
    <s v="Litner"/>
    <s v="Alan &amp; Lorin"/>
    <s v="HO3 Primary"/>
    <s v="Boulder"/>
    <s v="CO"/>
    <m/>
    <n v="2"/>
    <m/>
    <n v="2987300"/>
    <x v="1"/>
    <s v="Open loss:2 losses within 3 years, but all loss history is listed on the application.  There is a 5/20/2018 water damage claim that is open, and potential loss value could be $175,000 if not denied.  Chubb is having an engineer complete an inspection on the property to see if it’s a construction defect or ongoing issue.  They said if it’s not then the claim will pay around $175,000.  They are having water intrusion from their windows.  "/>
    <x v="0"/>
    <s v="We could offer terms as suggested (with the roof and water damage exclusion), but must wait until the claim is closed or at least the repairs are nearly complete. We aren’t comfortable binding policies in the middle of a claims process, so would need to wait until we offer terms. "/>
    <m/>
    <m/>
    <s v="Burdine"/>
  </r>
  <r>
    <x v="144"/>
    <x v="2"/>
    <s v="CA"/>
    <s v="Kelly"/>
    <s v="Email"/>
    <s v="Handelsman"/>
    <s v="Yehuda"/>
    <s v="HO3 Primary"/>
    <s v="Tarzana"/>
    <s v="CA"/>
    <m/>
    <n v="1"/>
    <n v="2200000"/>
    <n v="4600000"/>
    <x v="0"/>
    <s v="1995 dwelling. $10K ded due to no alarm. No online photos. Not in brush."/>
    <x v="1"/>
    <s v="Clean risk  "/>
    <m/>
    <m/>
    <s v="Patterson"/>
  </r>
  <r>
    <x v="144"/>
    <x v="0"/>
    <s v="MI"/>
    <s v="Alexa"/>
    <s v="Email"/>
    <s v="Balkind"/>
    <s v="Aubrey"/>
    <s v="HO3 Seas/Sec"/>
    <s v="Ojai"/>
    <s v="CA"/>
    <m/>
    <m/>
    <n v="1600000"/>
    <n v="2550000"/>
    <x v="5"/>
    <s v="1990 dwelling used as sec and airbnb. 23 acres of fruit trees and veg given to neighbors and used by insd in his restaurant. Burns coml dept writing Farm policy for liab."/>
    <x v="0"/>
    <s v="Apply total business exclusion. Online shows 2 dwellings on prop. Rate as 2 family.//Addl info is that the farm exposure is titled to another entity name&quot;Sane Farming Inc&quot;. Whether this is affiliated w/insured or not, feel the exposure is okay with separate policy and TBE."/>
    <m/>
    <m/>
    <s v="Patterson"/>
  </r>
  <r>
    <x v="144"/>
    <x v="1"/>
    <s v="VA"/>
    <s v="Charity"/>
    <s v="Email"/>
    <s v="Jordan"/>
    <s v="Curtis"/>
    <s v="DP3 Rental"/>
    <s v="Virginia Beach"/>
    <s v="VA"/>
    <m/>
    <m/>
    <m/>
    <m/>
    <x v="3"/>
    <s v="Request to insure 2 rental dwellings including premises liab. Insd is high profile former WA Redskins player. Also in the news for 2015 assault of girlfriend. He will stand trial shortly. Online articles reviewed."/>
    <x v="2"/>
    <s v="Referred to Louisa with rec to decline the risks.  She agreed.  We fully declined due to high profile and the details of the case."/>
    <m/>
    <m/>
    <s v="Patterson"/>
  </r>
  <r>
    <x v="144"/>
    <x v="2"/>
    <s v="CA"/>
    <s v="Bobbi"/>
    <s v="Email"/>
    <s v="Huifeng International USA Inc."/>
    <m/>
    <s v="DP3 Rental"/>
    <s v="Arcadia"/>
    <s v="CA"/>
    <m/>
    <n v="3"/>
    <n v="1600000"/>
    <n v="1920000"/>
    <x v="1"/>
    <s v="2012 dwelling.  Tenant hired a babysitter who had a slip/fall and sued the insured. Insured is a for profit corporation. Premises liability is requested, but agt offered to quote excluding. No online adverse info about the corporation."/>
    <x v="4"/>
    <s v="Googled named insured and it is clearly an agrichemical corporation. Need full detail on ownership/use of this dwelling. If it checks out for investment only, then no liab. If different tenants came in could have premises liability."/>
    <m/>
    <m/>
    <s v="Patterson"/>
  </r>
  <r>
    <x v="145"/>
    <x v="2"/>
    <s v="CA"/>
    <s v="Luke"/>
    <s v="Email"/>
    <s v="Dameris"/>
    <s v="Peter"/>
    <s v="HO3 Seas/Sec"/>
    <s v="Malibu"/>
    <s v="CA"/>
    <m/>
    <n v="5"/>
    <n v="2500000"/>
    <n v="3350000"/>
    <x v="0"/>
    <s v="2014 dwelling with alarms, not in brush. On beach with concrete pilings. Online photos look very good.  Capped zip."/>
    <x v="1"/>
    <s v="Not in brush, lower PC, good home."/>
    <m/>
    <m/>
    <s v="Patterson"/>
  </r>
  <r>
    <x v="145"/>
    <x v="2"/>
    <s v="CA"/>
    <s v="Luke"/>
    <s v="Email"/>
    <s v="The Chazanas Family Living Trust"/>
    <m/>
    <s v="HO3 Primary"/>
    <s v="Beverly Hills "/>
    <s v="CA"/>
    <m/>
    <n v="1"/>
    <n v="1200000"/>
    <n v="1520000"/>
    <x v="0"/>
    <s v="2014 dwelling in capped zip. Alarms. Not in brush, but near brush which appears acceptable. Agent applied surcharge. Home is 8 years old, may be a flat roof, but that is acceptable with no update and no endorsement/exclusion."/>
    <x v="1"/>
    <s v="Not in brush, lower PC, good home. Fireline shows high 11.  Since we are between $50M and $100M, comfortable writing the risk with the additional surcharge.  Med fuels, moderate slope, no historical wildfire activity."/>
    <m/>
    <m/>
    <s v="Patterson"/>
  </r>
  <r>
    <x v="145"/>
    <x v="2"/>
    <s v="CA"/>
    <s v="Gina"/>
    <s v="Email"/>
    <s v="Purisano"/>
    <s v="David &amp; Laurel"/>
    <s v="HO3 Builders Risk"/>
    <s v="Solana Beach"/>
    <s v="CA"/>
    <m/>
    <s v=" "/>
    <n v="1600000"/>
    <n v="1600000"/>
    <x v="11"/>
    <s v="Tail end construction. Insured wants a 3 month policy and Lex won't provide. Construction almost complete."/>
    <x v="2"/>
    <s v="Risk was not insured with Lex in 2017 until it was 75% complete. Still not complete and now they want a 3 month policy with us. Not comfortable taking the tail end construction, and likely we won't retain it."/>
    <m/>
    <m/>
    <s v="Patterson"/>
  </r>
  <r>
    <x v="145"/>
    <x v="6"/>
    <s v="CO"/>
    <s v="Allison"/>
    <s v="Email"/>
    <s v="Koo"/>
    <s v="Kwan Mo"/>
    <s v="HO3 Builders Risk"/>
    <s v="Orange"/>
    <s v="CA"/>
    <m/>
    <n v="2"/>
    <n v="750000"/>
    <n v="1168000"/>
    <x v="11"/>
    <s v="1990 dwelling with $465K wildfire loss for 10/17. Not in brush area. Fireline is &quot;2&quot;. In process of repair."/>
    <x v="0"/>
    <s v="Add 10% s/c. Fireline ok. Confirm cause. Exclude roof and water until repaired."/>
    <m/>
    <m/>
    <s v="Patterson"/>
  </r>
  <r>
    <x v="146"/>
    <x v="7"/>
    <s v="MI"/>
    <s v="Cheryl"/>
    <s v="Email"/>
    <s v="Fowler"/>
    <s v="Jon (Jonathan)"/>
    <s v="HO3 Primary"/>
    <s v="Sanford"/>
    <s v="NC"/>
    <m/>
    <m/>
    <n v="194000"/>
    <n v="391000"/>
    <x v="7"/>
    <s v="Insured has a felony assault conviction (no jail time) for fighting with ex-girlfriend and her boyfriend he caught in his family beachhouse. "/>
    <x v="2"/>
    <s v="Ran insurance score for support in the decision and it showed concerns of bad debt and delinquent accounts. Score UNDER 600 IN SURCHARGE RANGE."/>
    <m/>
    <m/>
    <s v="Patterson"/>
  </r>
  <r>
    <x v="146"/>
    <x v="2"/>
    <s v="CA"/>
    <s v="Kelly"/>
    <s v="Email"/>
    <s v="Johnson "/>
    <s v="Craig"/>
    <s v="HO3 Primary"/>
    <s v="Venice"/>
    <s v="CA"/>
    <m/>
    <n v="1"/>
    <n v="2500000"/>
    <n v="4500000"/>
    <x v="3"/>
    <s v="Insured exec w/ Golden State, 1938 build, complete renovation 2000.  "/>
    <x v="1"/>
    <s v="property, applicant, premium ok"/>
    <m/>
    <m/>
    <s v="Burdine"/>
  </r>
  <r>
    <x v="146"/>
    <x v="0"/>
    <s v="MI"/>
    <s v="Rachel"/>
    <s v="Email"/>
    <s v="Vankooten"/>
    <s v="Ruth"/>
    <s v="DP3 Rental"/>
    <m/>
    <s v="IA"/>
    <m/>
    <n v="5"/>
    <n v="173000"/>
    <n v="242200"/>
    <x v="5"/>
    <s v="nr due to roof condition, agent quoted with roof exclusion and existing damage exclusion. Day care on premises owned by tenant"/>
    <x v="0"/>
    <s v="quoted exclusions, TBE, an GL maintained"/>
    <m/>
    <m/>
    <s v="Burdine"/>
  </r>
  <r>
    <x v="146"/>
    <x v="3"/>
    <s v="MA"/>
    <s v="Barbara"/>
    <s v="Email"/>
    <s v="Hanania"/>
    <s v="Khalil"/>
    <s v="DP3 Rental"/>
    <s v="New Haven"/>
    <s v="CT"/>
    <m/>
    <n v="1"/>
    <n v="320000"/>
    <n v="358000"/>
    <x v="4"/>
    <s v="YOC 1868, home complete gut/rebuild, quoted FRC"/>
    <x v="0"/>
    <s v="Reviewing Satellite photos of this property, it doesn’t appear that the home is in a historic district. However, please just confirm with the applicant. If it is not, and the property has been updated, you are able to offer terms with FRC."/>
    <m/>
    <m/>
    <s v="Burdine"/>
  </r>
  <r>
    <x v="146"/>
    <x v="2"/>
    <s v="CA"/>
    <s v="Bobbi"/>
    <s v="Email"/>
    <s v="Yu"/>
    <s v="Kenneth"/>
    <s v="HO3 Builders Risk"/>
    <s v="Menlo Park"/>
    <s v="CA"/>
    <m/>
    <n v="2"/>
    <n v="700000"/>
    <n v="850000"/>
    <x v="12"/>
    <s v="COC, updating wiring in home (1945 build), but not in attached garage that has knob &amp; tube wiring"/>
    <x v="2"/>
    <s v="No plans to update, advise if have plans to do so w/in 30 days can reconsider"/>
    <m/>
    <m/>
    <s v="Burdine"/>
  </r>
  <r>
    <x v="147"/>
    <x v="2"/>
    <s v="CA"/>
    <s v="Michelle"/>
    <s v="Email"/>
    <s v="Urlich"/>
    <s v="Ivan"/>
    <s v="HO3 Primary"/>
    <s v="Palso Verde Peninsula"/>
    <s v="CA"/>
    <m/>
    <n v="1"/>
    <n v="463000"/>
    <n v="1134350"/>
    <x v="12"/>
    <s v="Started reno some, but living in home, all cosmetic. Admitted doesn't want, quoted with 15% surcharge on HO"/>
    <x v="1"/>
    <s v="Inspection, premium, exposure acceptable"/>
    <m/>
    <m/>
    <s v="Burdine"/>
  </r>
  <r>
    <x v="147"/>
    <x v="2"/>
    <s v="CA"/>
    <s v="Kelly"/>
    <s v="Email"/>
    <s v="Boren"/>
    <s v="Brian"/>
    <s v="HO3 Primary"/>
    <s v="Los Angeles"/>
    <s v="CA"/>
    <m/>
    <n v="1"/>
    <n v="2500000"/>
    <n v="4000000"/>
    <x v="0"/>
    <s v="zip code 90049"/>
    <x v="1"/>
    <s v="Since this is not in brush, and the deductible is $10K to account for the lack of alarms, you have approval to offer terms on this risk."/>
    <m/>
    <m/>
    <s v="Burdine"/>
  </r>
  <r>
    <x v="147"/>
    <x v="0"/>
    <s v="MI"/>
    <s v="Jill"/>
    <s v="Email"/>
    <s v="Hawes"/>
    <s v="Lucy"/>
    <s v="HO3 Seas/Sec"/>
    <s v="Salt Lake City"/>
    <s v="UT"/>
    <m/>
    <n v="10"/>
    <n v="1300000"/>
    <n v="1540000"/>
    <x v="8"/>
    <s v="47 minutes response time, lo home, 2008 build, secondary"/>
    <x v="2"/>
    <s v="Response time too high past max comfort of 30 minutes"/>
    <m/>
    <m/>
    <s v="Burdine"/>
  </r>
  <r>
    <x v="147"/>
    <x v="2"/>
    <s v="CA"/>
    <s v="Lucas"/>
    <s v="Email"/>
    <s v="Pavel"/>
    <s v="Augstin"/>
    <s v="HO3 Primary"/>
    <s v="Fallbrook"/>
    <s v="CA"/>
    <m/>
    <n v="3"/>
    <n v="950000"/>
    <n v="2185000"/>
    <x v="6"/>
    <s v="No coverage since 11/01/2017-insured cancelled auto and didn't understand that it included their home.Prepping to sale and noticed lack of insurance"/>
    <x v="0"/>
    <s v="ran his insurance score and it is very good, so we can consider this with a 15% surcharge. Please just make sure a no loss statement is completed prior to binding, and order a rush inspection of the property."/>
    <m/>
    <m/>
    <s v="Burdine"/>
  </r>
  <r>
    <x v="147"/>
    <x v="0"/>
    <s v="MI"/>
    <s v="Jill"/>
    <s v="Email"/>
    <s v="Howell"/>
    <s v="Mike"/>
    <s v="DP3 Builders Risk"/>
    <m/>
    <s v="MO"/>
    <m/>
    <n v="3"/>
    <n v="400000"/>
    <n v="400000"/>
    <x v="1"/>
    <s v="03/10/2018-claim closed, $228,893, fire accidental, no negligence, repairs made but decided to renovate"/>
    <x v="1"/>
    <s v="Premium appropriate for risk"/>
    <m/>
    <m/>
    <s v="Burdine"/>
  </r>
  <r>
    <x v="148"/>
    <x v="6"/>
    <s v="CO"/>
    <s v="Allison"/>
    <s v="Email"/>
    <s v="Spade"/>
    <s v="Andrew"/>
    <s v="HO3 Primary"/>
    <s v="Piedmont"/>
    <s v="CA"/>
    <m/>
    <n v="3"/>
    <n v="700000"/>
    <n v="1310000"/>
    <x v="3"/>
    <s v="1921 very nice home (per online photos) not in brush. Insured is husband of the late Kate Spade. (App says brother, but I found no mention of a brother named Andres, only a husband.  DOB seems in line.)  No liab requested - they have it through a &quot;family policy&quot;"/>
    <x v="0"/>
    <s v="Make sure we know who we are insuring. Ok x-liab. ERC okay."/>
    <m/>
    <m/>
    <s v="Patterson"/>
  </r>
  <r>
    <x v="148"/>
    <x v="6"/>
    <s v="CO"/>
    <s v="Allison"/>
    <s v="Email"/>
    <s v="Sontonastasi"/>
    <s v="Joan &amp; Kenneth Phillips"/>
    <s v="DP3 Vacant"/>
    <s v="Conifer"/>
    <s v="CO"/>
    <m/>
    <n v="1"/>
    <n v="10000"/>
    <n v="250000"/>
    <x v="2"/>
    <s v="1986 1600 SF airplane hangar used as storage for $250K contents until the insured's home is complete. Gated airport w/fire station. HH goods, nothing commercial or hazardous. Locked building. Roof and cosmetic exclusions. No one else uses."/>
    <x v="0"/>
    <s v="Low exposure, good security, metal building. Great insurance scores."/>
    <s v="Ran insurance score - 780/840"/>
    <m/>
    <s v="Patterson"/>
  </r>
  <r>
    <x v="148"/>
    <x v="2"/>
    <s v="CA"/>
    <s v="Michelle"/>
    <s v="Email"/>
    <s v="Weiss"/>
    <s v="Marty"/>
    <s v="DP3 Vacant"/>
    <s v="Escondido"/>
    <s v="CA"/>
    <m/>
    <m/>
    <n v="3000000"/>
    <n v="3050000"/>
    <x v="0"/>
    <s v="2002 vacant will be up for sale. No PC info. Online photos look okay.  There is &quot;Marty Weiss&quot; child star molester, but that individual is around age 55.  Our insured is 74.  "/>
    <x v="0"/>
    <s v="Subj to PC confirmation.  Does not appear to be the same Marty Weiss as in the news."/>
    <s v="Tried to run ins score to confirm occupation or info.  I could not get a result - said it was frozen per the consumer, and was under review.  DOB was confirmed."/>
    <m/>
    <s v="Patterson"/>
  </r>
  <r>
    <x v="148"/>
    <x v="0"/>
    <s v="MI"/>
    <s v="Rachel"/>
    <s v="Email"/>
    <s v="Palmer"/>
    <s v="John"/>
    <s v="DP3 Rental"/>
    <s v="Lemon Grove"/>
    <s v="CA"/>
    <m/>
    <n v="1"/>
    <n v="300000"/>
    <n v="335000"/>
    <x v="1"/>
    <s v="1953 w/full updates in 2018. Fire loss, undetermined on 7/15/17. $130,000. Report provided is first responder fire dept report."/>
    <x v="1"/>
    <s v="Need actual fire marshal cause &amp; origin. Report notes 2 unit (check rate). One unit - people were away in Mexico. Other unit was vacant. // C&amp;O from prior carrier does not indicate any suspicious cause. Did not add AP for loss being slightly over $100K because 5% that we often do won't add much."/>
    <s v="Interesting that a fire started when no one was there on a 1953 rental. Definitely want fire marshal report to give us more info. Decline if we can't get comfortable with a cause. No adverse online info."/>
    <m/>
    <s v="Patterson"/>
  </r>
  <r>
    <x v="149"/>
    <x v="6"/>
    <s v="CO"/>
    <s v="Allison"/>
    <s v="Email"/>
    <s v="Kopun"/>
    <s v="Lynne"/>
    <s v="HO3 Primary"/>
    <s v="Pasadena"/>
    <s v="CA"/>
    <m/>
    <n v="3"/>
    <n v="1500000"/>
    <n v="3100000"/>
    <x v="0"/>
    <s v="1949 home, very nice per online pics. Updates in 1988, but agent thinks metal roof was updated more recently. Has alarms. "/>
    <x v="0"/>
    <s v="Asked for cosmetic roof and ACV roof until condition/age could be confirmed, then could remove ACV roof. Gave info on brush clearance."/>
    <m/>
    <m/>
    <s v="Patterson"/>
  </r>
  <r>
    <x v="149"/>
    <x v="6"/>
    <s v="CO"/>
    <s v="Allison"/>
    <s v="Email"/>
    <s v="Coffin"/>
    <s v="Richard"/>
    <s v="DP3 Rental"/>
    <s v="Pollock Pines"/>
    <s v="CO"/>
    <m/>
    <n v="4"/>
    <n v="385000"/>
    <n v="410000"/>
    <x v="10"/>
    <s v="1979 dwelling w/updated roof. Has non thermostatically controlled wall heaters. Agt proposing to quote DP1 and rewrite to DP3 when heating is updated."/>
    <x v="4"/>
    <s v="Suggested DP3 w/water damage exclusion. Insd agreeable to update to thermostats."/>
    <m/>
    <m/>
    <s v="Patterson"/>
  </r>
  <r>
    <x v="149"/>
    <x v="2"/>
    <s v="CA"/>
    <s v="Kelly"/>
    <s v="Email"/>
    <s v="Hamlin"/>
    <s v="John"/>
    <s v="HO3 Primary"/>
    <s v="Malibu"/>
    <s v="CA"/>
    <m/>
    <n v="2"/>
    <n v="1000000"/>
    <n v="1800000"/>
    <x v="0"/>
    <s v="1990 dwelling not in brush. No concerns."/>
    <x v="0"/>
    <s v="Not in brush, clean risk. PC2."/>
    <m/>
    <m/>
    <s v="Patterson"/>
  </r>
  <r>
    <x v="149"/>
    <x v="5"/>
    <s v="PA"/>
    <s v="Tamika"/>
    <s v="Email"/>
    <s v="Gines"/>
    <s v="Erica"/>
    <s v="HO3 Primary"/>
    <s v="Sicklerville"/>
    <s v="NJ"/>
    <m/>
    <m/>
    <n v="215000"/>
    <n v="415000"/>
    <x v="1"/>
    <s v="1991 dwelling. Son was cooking 1/18 and burned the house down when a kitchen towel caught on fire, he put it in the trash, thought fire was out but it wasn't. He put the can outside and it caught the side of the house on fire. It spread and affected attached neighbors house too. No fire marshal report. "/>
    <x v="2"/>
    <s v="Ran insurance score  "/>
    <s v="poor score with collections and bad debt"/>
    <m/>
    <s v="Patterson"/>
  </r>
  <r>
    <x v="149"/>
    <x v="0"/>
    <s v="MI"/>
    <s v="Rachel"/>
    <s v="Email"/>
    <s v="Crockett"/>
    <s v="Kimberly &amp; Craig"/>
    <s v="DP3 Rental"/>
    <m/>
    <s v="NC"/>
    <m/>
    <n v="4"/>
    <n v="228000"/>
    <n v="270800"/>
    <x v="9"/>
    <s v="Built in 1967 with full updates to wiring, heating, and plumbing in 2017 and roof in 2012. Frame, PC4, no losses, VMGA premium $1944, want to beat Allrisks Lloyd quote"/>
    <x v="0"/>
    <s v="Approved risk, but at our VMGA premium. Can not beat quote"/>
    <m/>
    <m/>
    <s v="Burdine"/>
  </r>
  <r>
    <x v="149"/>
    <x v="0"/>
    <s v="MI"/>
    <s v="Jill"/>
    <s v="Email"/>
    <s v="Gillum"/>
    <s v="Ron"/>
    <s v="HO3 Primary"/>
    <m/>
    <s v="OH"/>
    <m/>
    <n v="1"/>
    <n v="105100"/>
    <n v="189180"/>
    <x v="13"/>
    <s v="Open loss with reserve of $250,000 - The insured's dog (boxer/mastiff) got out of his fence and jumped on an elderly neighbor who fell and fractured her pelvis.  Still owns dog."/>
    <x v="0"/>
    <s v="Approved as quoted, with xliability and animal exclusion"/>
    <m/>
    <m/>
    <s v="Burdine"/>
  </r>
  <r>
    <x v="149"/>
    <x v="2"/>
    <s v="CA"/>
    <s v="Kelly/Lucas"/>
    <s v="Email"/>
    <s v="Lee"/>
    <s v="Boywe"/>
    <s v="HO3 Primary"/>
    <s v="La Canada"/>
    <s v="CA"/>
    <m/>
    <n v="2"/>
    <n v="2600000"/>
    <n v="4420000"/>
    <x v="0"/>
    <s v="No brush, want to list their lighting company as Additional Interest, alarms in home, will be primary occupied"/>
    <x v="1"/>
    <s v="Use, interest request, acceptable, no brush"/>
    <m/>
    <m/>
    <s v="Burdine"/>
  </r>
  <r>
    <x v="149"/>
    <x v="2"/>
    <s v="CA"/>
    <s v="Michelle"/>
    <s v="Email"/>
    <s v="Javaherian"/>
    <s v="Niloofar"/>
    <s v="HO3 Primary"/>
    <s v="Encino"/>
    <s v="CA"/>
    <m/>
    <n v="1"/>
    <n v="1900000"/>
    <n v="3270000"/>
    <x v="0"/>
    <s v="The app has alarms marked. The limits we are quoting are below. This is in Encino no brush &amp; PC1."/>
    <x v="1"/>
    <s v="Alarms, no brush"/>
    <m/>
    <m/>
    <s v="Burdine"/>
  </r>
  <r>
    <x v="150"/>
    <x v="2"/>
    <s v="CA"/>
    <s v="Lucas"/>
    <s v="Email"/>
    <s v="Hamlin"/>
    <s v="John"/>
    <s v="HO3 Primary"/>
    <s v="Malibu"/>
    <s v="CA"/>
    <m/>
    <m/>
    <n v="1000000"/>
    <n v="1750000"/>
    <x v="0"/>
    <s v="not in brush, but 700+ feet away so applying 20% debit"/>
    <x v="1"/>
    <s v="risk/premium acceptable"/>
    <m/>
    <m/>
    <s v="Burdine"/>
  </r>
  <r>
    <x v="150"/>
    <x v="2"/>
    <s v="CA"/>
    <s v="Lucas"/>
    <s v="Email"/>
    <s v="JG Family Trust"/>
    <s v="JG Family Trust"/>
    <s v="HO3 Seas/Sec"/>
    <s v="Malibu"/>
    <s v="CA"/>
    <m/>
    <n v="8"/>
    <n v="2526400"/>
    <n v="4006400"/>
    <x v="0"/>
    <s v="secondary home in Malibu being non-renewed due to brush. It is up on the top of the hill but is within a mile of the fire station and within 500 feet of the fire hydrant. Built in 2008 with a full central station alarm system covering heat, smoke and burglary, tile roof."/>
    <x v="2"/>
    <s v="For California, our current maximum TIV is $3M in brush. Additionally, for Malibu, we are not binding any risks in brush. "/>
    <m/>
    <m/>
    <s v="Burdine"/>
  </r>
  <r>
    <x v="150"/>
    <x v="7"/>
    <s v="MI"/>
    <s v="Cheryl"/>
    <s v="Email"/>
    <s v="Mercer"/>
    <s v="Michael"/>
    <s v="HO3 Primary"/>
    <m/>
    <s v="OH"/>
    <m/>
    <m/>
    <n v="115000"/>
    <m/>
    <x v="1"/>
    <s v="nonrenewed form prior carrier due to open liab claim-friend in home during the night mis-took basement door as bathroom and fell down steps"/>
    <x v="0"/>
    <s v="offer property terms on this risk, but must exclude liability. Once the claim is closed, and the liability decision is available, we could further review to determine if appropriate mitigators have been put in place to include liability. However, at this point, we cannot include liability."/>
    <m/>
    <m/>
    <s v="Burdine"/>
  </r>
  <r>
    <x v="150"/>
    <x v="0"/>
    <s v="MI"/>
    <s v="Jill"/>
    <s v="Email"/>
    <s v="Klein"/>
    <s v="Aaron"/>
    <s v="DP3 Vacant"/>
    <m/>
    <s v="IL"/>
    <m/>
    <n v="10"/>
    <n v="521029"/>
    <n v="583131"/>
    <x v="8"/>
    <s v="PC 10 &amp; 16-24 min response time &amp; 8 miles to fire station, on 53 acres used for personal use only"/>
    <x v="0"/>
    <s v="15% surcharge for response time"/>
    <m/>
    <m/>
    <s v="Burdine"/>
  </r>
  <r>
    <x v="150"/>
    <x v="0"/>
    <s v="MI"/>
    <s v="David"/>
    <s v="Email"/>
    <s v="Kunpfner George D Estate"/>
    <s v="Kunpfner George D Estate"/>
    <s v="DP3 Rental"/>
    <s v="Superior"/>
    <s v="CO"/>
    <m/>
    <n v="3"/>
    <n v="350000"/>
    <n v="430000"/>
    <x v="12"/>
    <s v="Damage to fascia/soffit (needs paint), roof has t-lock shingles, agt is requiring interior/exterior inspection with EHP"/>
    <x v="0"/>
    <s v="comfortable going with the DP3 FRC, Roof Exclusion, Existing Damage Exclusion &amp; Water Damage Exclusion option. But only if they agree to have the necessary issues addressed within the first 30 days."/>
    <m/>
    <m/>
    <s v="Burdine"/>
  </r>
  <r>
    <x v="150"/>
    <x v="9"/>
    <s v="CA"/>
    <s v="Melissa"/>
    <s v="Email"/>
    <s v="Laurel"/>
    <s v="Merle"/>
    <s v="HO3 Seas/Sec"/>
    <s v="South Lake Tahoe"/>
    <s v="CA"/>
    <m/>
    <m/>
    <n v="345000"/>
    <n v="360000"/>
    <x v="6"/>
    <s v="applicant not aware of lapse (almost a full year) until refinancing home"/>
    <x v="2"/>
    <s v="Too long of a lapse"/>
    <m/>
    <m/>
    <s v="Burdine"/>
  </r>
  <r>
    <x v="150"/>
    <x v="2"/>
    <s v="CA"/>
    <s v="Lucas"/>
    <s v="Email"/>
    <s v="Hidalgo, LLC"/>
    <s v="Hidalgo, LLC"/>
    <s v="HO3 Seas/Sec w/Rental"/>
    <s v="Malibu"/>
    <s v="CA"/>
    <m/>
    <n v="4"/>
    <n v="650000"/>
    <n v="945000"/>
    <x v="0"/>
    <s v="$10K ded, Malibu secondary, air bnb exposure, no brush, surcharge 15% any way"/>
    <x v="1"/>
    <s v="premium acceptable for risk, no brush"/>
    <m/>
    <m/>
    <s v="Burdine"/>
  </r>
  <r>
    <x v="150"/>
    <x v="3"/>
    <s v="MA"/>
    <s v="Barbara"/>
    <s v="Email"/>
    <s v="Lee"/>
    <s v="Marcus"/>
    <s v="HO3 Primary"/>
    <m/>
    <s v="CT"/>
    <m/>
    <n v="4"/>
    <n v="340800"/>
    <n v="732720"/>
    <x v="1"/>
    <s v="Open liability claim-4 st. bernards in home,, one possibly bit Claimant (claimants friend and insureds dog got in fight). Quoted w/ animal exclusion"/>
    <x v="1"/>
    <s v="Quoted w/ animal liab exclusion"/>
    <m/>
    <m/>
    <s v="Burdine"/>
  </r>
  <r>
    <x v="150"/>
    <x v="2"/>
    <s v="CA"/>
    <s v="Kelly"/>
    <s v="Email"/>
    <s v="Weinstock"/>
    <s v="Elisabeth"/>
    <s v="HO3 Primary"/>
    <s v="Beverly Hills "/>
    <s v="CA"/>
    <m/>
    <m/>
    <n v="2750000"/>
    <n v="4850000"/>
    <x v="0"/>
    <s v="prior COC, about to be owner occupied, in brush zone"/>
    <x v="2"/>
    <s v="TIV too high for CA brush"/>
    <m/>
    <m/>
    <s v="Burdine"/>
  </r>
  <r>
    <x v="150"/>
    <x v="0"/>
    <s v="MI"/>
    <s v="Jill"/>
    <s v="Email"/>
    <s v="Horton"/>
    <s v="Thomas"/>
    <s v="HO3 Seas/Sec"/>
    <s v="Hastings"/>
    <s v="MI"/>
    <m/>
    <n v="10"/>
    <n v="144000"/>
    <n v="294000"/>
    <x v="8"/>
    <s v="PC 10 &amp; not accessible during winter, 14 min response time"/>
    <x v="1"/>
    <s v="low TIV, insurance score A, premium appropriate"/>
    <m/>
    <m/>
    <s v="Burdine"/>
  </r>
  <r>
    <x v="151"/>
    <x v="2"/>
    <s v="CA"/>
    <s v="Bobbi"/>
    <s v="Email"/>
    <s v="Surman"/>
    <s v="Thomas &amp; Lisa"/>
    <s v="HO3 Primary"/>
    <s v="Laguna Beach"/>
    <s v="CA"/>
    <m/>
    <n v="1"/>
    <n v="1200000"/>
    <n v="1785000"/>
    <x v="12"/>
    <s v="Partial cast iron plumbing (about 20%). "/>
    <x v="0"/>
    <s v="subject water damage exclusion"/>
    <m/>
    <m/>
    <s v="Burdine"/>
  </r>
  <r>
    <x v="151"/>
    <x v="0"/>
    <s v="MI"/>
    <s v="Rachel"/>
    <s v="Email"/>
    <s v="Schroeder"/>
    <s v="Samantha"/>
    <s v="HO3 Primary"/>
    <m/>
    <s v="WI"/>
    <m/>
    <m/>
    <n v="178000"/>
    <n v="302600"/>
    <x v="1"/>
    <s v="built in 1940 with full updates to heating in 1999, wiring in 2007, roof in 2000 and plumbing in 2017 offering FRC dwelling settlement. Frame, PC2, one large fire loss"/>
    <x v="2"/>
    <s v="Fire loss insured negligence, due to deep fryer left unattended. "/>
    <m/>
    <m/>
    <s v="Burdine"/>
  </r>
  <r>
    <x v="151"/>
    <x v="0"/>
    <s v="MI"/>
    <s v="David"/>
    <s v="Email"/>
    <s v="Twitchell"/>
    <s v="Richard"/>
    <s v="HO3 Primary"/>
    <s v="Riverdale"/>
    <s v="UT"/>
    <m/>
    <n v="4"/>
    <n v="175900"/>
    <m/>
    <x v="1"/>
    <s v="$100K claim-child fell at pool (off 8 in platform) in 2017. Quoted with pool exclusion and added surcharge"/>
    <x v="0"/>
    <s v="Approved with rush inspection, confirmed that platform removed or not a liability concern to rest of premises"/>
    <m/>
    <m/>
    <s v="Burdine"/>
  </r>
  <r>
    <x v="151"/>
    <x v="2"/>
    <s v="CA"/>
    <s v="Kelly"/>
    <s v="Email"/>
    <s v="Messina"/>
    <s v="Paul &amp; Stephanie"/>
    <s v="HO3 Primary"/>
    <s v="Twain Harte"/>
    <s v="CA"/>
    <m/>
    <m/>
    <n v="846300"/>
    <n v="1438710"/>
    <x v="7"/>
    <s v="Risk is over 20 miles from wildfire (Ferguson) that is now 82% contained"/>
    <x v="1"/>
    <s v="not aware of any internal restrictions that may have been put into place within your agency, but since it is over 20 miles away, you are able to move forward with this quote based on our guidelines. "/>
    <m/>
    <m/>
    <s v="Burdine"/>
  </r>
  <r>
    <x v="151"/>
    <x v="0"/>
    <s v="MI"/>
    <s v="Jeffrey"/>
    <s v="Email"/>
    <s v="Wasson"/>
    <s v="Greg"/>
    <s v="HO3 Builders Risk"/>
    <s v="Long Grove"/>
    <s v="IL"/>
    <m/>
    <s v="10W"/>
    <m/>
    <n v="4500000"/>
    <x v="11"/>
    <s v="50% into build (before GC had insurance on it), GC no longer involved. Now insured securing, and has subcontractors/architect in place to do work. "/>
    <x v="0"/>
    <s v="Approved subject to a new GC being in charge of project, "/>
    <m/>
    <m/>
    <s v="Burdine"/>
  </r>
  <r>
    <x v="151"/>
    <x v="2"/>
    <s v="CA"/>
    <s v="Lucas"/>
    <s v="Email"/>
    <s v="Lee"/>
    <s v="Boywe"/>
    <s v="HO3 Primary"/>
    <s v="La Canada"/>
    <s v="CA"/>
    <m/>
    <n v="2"/>
    <n v="2600000"/>
    <n v="4420000"/>
    <x v="2"/>
    <s v="Company setting up LLC in USA, only managing members (2) will be in home, and their adult daughter. Want company listed as AI"/>
    <x v="1"/>
    <s v="Approved since primary occupied, ok to listed company as additional interest"/>
    <m/>
    <m/>
    <s v="Burdine"/>
  </r>
  <r>
    <x v="151"/>
    <x v="0"/>
    <s v="MI"/>
    <s v="Alexa"/>
    <s v="Email"/>
    <s v="Soldatos"/>
    <s v="Karen"/>
    <s v="DP3 Vacant"/>
    <m/>
    <s v="WI"/>
    <m/>
    <n v="2"/>
    <n v="521000"/>
    <n v="521000"/>
    <x v="2"/>
    <s v="Attached is a vacant  DP-3 located in WI. Home was built in 1926 will be fully updated in 2005 with the roof fully updated in 2016, PC 2, frequently checked on (vacant 10 years)"/>
    <x v="0"/>
    <s v="have approval to offer terms, subject to a rush interior/exterior inspection, no tours, and determination of rebuild requirements."/>
    <m/>
    <m/>
    <s v="Burdine"/>
  </r>
  <r>
    <x v="152"/>
    <x v="0"/>
    <s v="MI"/>
    <s v="David"/>
    <s v="Email"/>
    <s v="Crowder"/>
    <s v="Mark"/>
    <s v="HO3 Primary"/>
    <s v="Goshen"/>
    <s v="IN"/>
    <m/>
    <n v="9"/>
    <n v="602000"/>
    <n v="1173000"/>
    <x v="1"/>
    <s v="history of water losses, including large back up claim earlier this year. Want back-up coverage"/>
    <x v="0"/>
    <s v="Water dmg exclusion"/>
    <m/>
    <m/>
    <s v="Burdine"/>
  </r>
  <r>
    <x v="152"/>
    <x v="2"/>
    <s v="CA"/>
    <s v="Kelly"/>
    <s v="Email"/>
    <s v="Madrid"/>
    <s v="Yenny"/>
    <s v="HO3 Primary"/>
    <s v="Whittier"/>
    <s v="CA"/>
    <m/>
    <m/>
    <n v="425000"/>
    <n v="956350"/>
    <x v="12"/>
    <s v="Home on National Historical Registry, no tours"/>
    <x v="0"/>
    <s v="offer terms on this risk, but please confirm that there aren’t any tours of the property. If there are, we will not be able to include liability. Also, please confirm whether or not there are specific requirements regarding rebuild in the event of a claim. If so, please be sure to include a surcharge to account for the possible increase in claim costs."/>
    <m/>
    <m/>
    <s v="Burdine"/>
  </r>
  <r>
    <x v="152"/>
    <x v="0"/>
    <s v="MI"/>
    <s v="Rachel"/>
    <s v="Email"/>
    <s v="Metzler"/>
    <s v="Robert"/>
    <s v="HO3 Primary"/>
    <m/>
    <s v="MI"/>
    <m/>
    <m/>
    <n v="480000"/>
    <n v="960000"/>
    <x v="1"/>
    <s v="open dog bite claim-dog bit cleaning lady"/>
    <x v="0"/>
    <s v="subject to animal liab exclusion"/>
    <m/>
    <m/>
    <s v="Burdine"/>
  </r>
  <r>
    <x v="152"/>
    <x v="7"/>
    <s v="MI"/>
    <s v="Cheryl"/>
    <s v="Email"/>
    <s v="Wolter"/>
    <s v="Adam&amp; Rebecca"/>
    <s v="HO3 Primary"/>
    <s v="Loveland"/>
    <s v="OH"/>
    <m/>
    <m/>
    <n v="408000"/>
    <n v="754000"/>
    <x v="1"/>
    <s v="dog bit claim, 2 water claims (CAT losses-Water backup. Insured has installed new sump pumps to keep water out)"/>
    <x v="0"/>
    <s v="Approved with animal liab exclusion"/>
    <m/>
    <m/>
    <s v="Burdine"/>
  </r>
  <r>
    <x v="152"/>
    <x v="7"/>
    <s v="MI"/>
    <s v="Cheryl"/>
    <s v="Email"/>
    <s v="Berry"/>
    <s v="Scott &amp; Chrissie"/>
    <s v="HO3 Primary"/>
    <s v="Hamilton"/>
    <s v="OH"/>
    <m/>
    <n v="3"/>
    <n v="680000"/>
    <n v="1224000"/>
    <x v="1"/>
    <s v="04/2016-theft (maids children stole jewelry - $48,928), 01/18/18-pipe burst, $27K, 01/19/18-los diamond- $18,660"/>
    <x v="0"/>
    <s v="theft deductible $10K"/>
    <m/>
    <m/>
    <s v="Burdine"/>
  </r>
  <r>
    <x v="153"/>
    <x v="2"/>
    <s v="CA"/>
    <s v="Melissa"/>
    <s v="Email"/>
    <s v="Holland"/>
    <s v="Robert"/>
    <s v="HO3 Primary"/>
    <s v="Los Angeles"/>
    <s v="CA"/>
    <m/>
    <m/>
    <n v="225000"/>
    <n v="280000"/>
    <x v="1"/>
    <s v="1924 dwelling updates sporadic. Unknown if all plumbing is copper. Prior $40K loss - sprinkler system caused water to run to neighbors house and caused damage.  Initially said french drains installed; then found out that was not the case. Vegetation removed and sprinkler volume reduced by gardener. Also, house built on 2 parcels, need both addresses listed. Near brush."/>
    <x v="0"/>
    <s v="Exclude liab and $25K water ded to protect us until expert report on drainage received. Roof exclusion. MFRC. 5% brush surcharge. Statement from insd in file about their confusion on the drainage correction."/>
    <m/>
    <m/>
    <s v="Patterson"/>
  </r>
  <r>
    <x v="153"/>
    <x v="0"/>
    <s v="MI"/>
    <s v="Jeffrey"/>
    <s v="Email"/>
    <s v="Costello"/>
    <s v="Corinne"/>
    <s v="DP3 Builders Risk"/>
    <s v="Tulsa"/>
    <s v="OK"/>
    <m/>
    <n v="3"/>
    <n v="250000"/>
    <n v="250000"/>
    <x v="1"/>
    <s v="Fire loss, originated in garage. Home was occupied by 91 year old woman, now in an apartment. Home completely rebuilt in 2013. Vacant/for sale"/>
    <x v="1"/>
    <s v="Approved with appropriate claim surcharge"/>
    <m/>
    <m/>
    <s v="Burdine"/>
  </r>
  <r>
    <x v="153"/>
    <x v="0"/>
    <s v="MI"/>
    <s v="Leslie"/>
    <s v="Email"/>
    <s v="Sweitzer Properties LLC"/>
    <s v="Sweitzer Properties LLC"/>
    <s v="DP3 Builders Risk"/>
    <s v="Wilmette"/>
    <s v="IL"/>
    <m/>
    <m/>
    <n v="900500"/>
    <n v="900500"/>
    <x v="1"/>
    <s v="1928 build, LLC for tax purposes, company cancellation due to claims. 08/27/2018 open water loss, home was vacant, not checked on, so damages extensive. Now, insured lives nearby and check home frequently. Current pay out is $501,000. Still open"/>
    <x v="2"/>
    <s v="to avoid risks that have an open claim--particularly an open water claim. Water claims can be quite extensive, and it is common for hidden damages and other issues to be revealed after repairs are well under-way. As such, we do need to wait until the claim is actually closed. Once the claim is closed, and the repairs are complete, we could consider as it sounds that they have put appropriate mitigation measures in place."/>
    <m/>
    <m/>
    <s v="Burdine"/>
  </r>
  <r>
    <x v="153"/>
    <x v="7"/>
    <s v="MI"/>
    <s v="Lori"/>
    <s v="Email"/>
    <s v="Chicago Title Land Trust"/>
    <s v="Chicago Title Land Trust"/>
    <s v="HO3 Primary"/>
    <s v="Oak Park"/>
    <s v="IL"/>
    <m/>
    <n v="2"/>
    <n v="222000"/>
    <n v="421800"/>
    <x v="1"/>
    <s v="fire loss-creosote buildup in fireplace led to fire. Contained in fire place, but smoke damage throughout home"/>
    <x v="0"/>
    <s v="If Les Golden was the occupant at the time of the loss, then I wouldn’t want to offer terms. However, if he is now in charge of the upkeep, and wasn’t in the home prior, I would be comfortable with you offering terms"/>
    <m/>
    <m/>
    <s v="Burdine"/>
  </r>
  <r>
    <x v="153"/>
    <x v="0"/>
    <s v="MI"/>
    <s v="Lindsay"/>
    <s v="Email"/>
    <s v="Huebert"/>
    <s v="Donna"/>
    <s v="DP1"/>
    <m/>
    <s v="CA"/>
    <m/>
    <n v="9"/>
    <n v="237000"/>
    <n v="426600"/>
    <x v="5"/>
    <s v="no brush, 1940 build, full updates to roof but partial to heat, wire, plumbing in 2017 so quoting Dp1 ACV, 22 acres leased out for orchards by Moonlight Company. Have own GL, quoted with TBE, other structures exclusions, farming"/>
    <x v="1"/>
    <s v="appropriate exclusions/policy form in place"/>
    <m/>
    <m/>
    <s v="Burdine"/>
  </r>
  <r>
    <x v="153"/>
    <x v="2"/>
    <s v="CA"/>
    <s v="Lucas"/>
    <s v="Email"/>
    <s v="Tse"/>
    <s v="Michael"/>
    <s v="HO3 Primary"/>
    <s v="San Marino"/>
    <s v="CA"/>
    <m/>
    <n v="8"/>
    <n v="1800000"/>
    <n v="2160000"/>
    <x v="11"/>
    <s v="3 weeks into interior reno, GC performing work"/>
    <x v="1"/>
    <s v="quote appropriate"/>
    <m/>
    <m/>
    <s v="Burdine"/>
  </r>
  <r>
    <x v="153"/>
    <x v="7"/>
    <s v="MI"/>
    <s v="John"/>
    <s v="Email"/>
    <s v="Vinny Inc"/>
    <s v="Vinny Inc"/>
    <s v="DP3 Rental"/>
    <s v="Wilmington"/>
    <s v="NC"/>
    <m/>
    <m/>
    <m/>
    <m/>
    <x v="2"/>
    <s v="multilocation rental, interested in scheduing on one policy"/>
    <x v="0"/>
    <s v="advised can do schedules, as long as system can handle it"/>
    <m/>
    <m/>
    <s v="Burdine"/>
  </r>
  <r>
    <x v="153"/>
    <x v="7"/>
    <s v="MI"/>
    <s v="Cheryl"/>
    <s v="Email"/>
    <s v="Schwerman"/>
    <s v="William &amp; Susan"/>
    <s v="HO3 Primary"/>
    <s v="Belton"/>
    <s v="MO"/>
    <m/>
    <n v="2"/>
    <n v="191900"/>
    <n v="307040"/>
    <x v="1"/>
    <s v="NR due to losses, 10/2016 kitchen fire (electric issue), repairs made, 07/2017-water loss due to storms (no issues with home)"/>
    <x v="0"/>
    <s v="offer terms on the risk, subject to a Cause &amp; Origin report confirming the fire loss was as described. If there was any insured negligence involved, we will not be able to bind this risk. Additionally, a 5% surcharge must be added to account for the large payout of the claim."/>
    <m/>
    <m/>
    <s v="Burdine"/>
  </r>
  <r>
    <x v="153"/>
    <x v="0"/>
    <s v="MI"/>
    <s v="Leslie"/>
    <s v="Email"/>
    <s v="Estate of Gerald Lind"/>
    <s v="Estate of Gerald Lind"/>
    <s v="DP3 Vacant"/>
    <s v="Ganado"/>
    <s v="TX"/>
    <m/>
    <n v="5"/>
    <n v="100000"/>
    <n v="100000"/>
    <x v="10"/>
    <s v="Infrared heaters mounted to property"/>
    <x v="0"/>
    <s v="Reviewed-very few freezing days in this area, heater will not be needed nor used regularly. 5% surcharge for heat type"/>
    <m/>
    <m/>
    <s v="Burdine"/>
  </r>
  <r>
    <x v="153"/>
    <x v="0"/>
    <s v="MI"/>
    <s v="Jeffrey"/>
    <s v="Email"/>
    <s v="Vale"/>
    <s v="Keith"/>
    <s v="HO3 Primary"/>
    <s v="Mattawan"/>
    <s v="MI"/>
    <m/>
    <n v="5"/>
    <n v="894000"/>
    <n v="1788000"/>
    <x v="5"/>
    <s v="Attached is MI home looking for HO3, RC, with a &quot;C&quot; insurance score. Home built in 2009, PC5, they run in-home fitness classes in their basement 5 days a week, by appointment only. We would be adding the total business exclusion, and the operation has their own GL policy."/>
    <x v="1"/>
    <s v="approved as quoted"/>
    <m/>
    <m/>
    <s v="Burdine"/>
  </r>
  <r>
    <x v="154"/>
    <x v="9"/>
    <s v="CA"/>
    <s v="Melissa"/>
    <s v="Email"/>
    <s v="Goatam"/>
    <s v="Herline"/>
    <s v="HO3 Builders Risk"/>
    <m/>
    <s v="CA"/>
    <m/>
    <n v="1"/>
    <n v="3700000"/>
    <n v="3700000"/>
    <x v="11"/>
    <s v="Vacant , undergoing renovation, GC on project, info provided"/>
    <x v="1"/>
    <s v="coverages/premium appropriate"/>
    <m/>
    <m/>
    <s v="Burdine"/>
  </r>
  <r>
    <x v="154"/>
    <x v="6"/>
    <s v="CO"/>
    <s v="Allison"/>
    <s v="Email"/>
    <s v="Salgado Living Trust"/>
    <s v="Salgado Living Trust"/>
    <s v="HO3 Primary"/>
    <m/>
    <s v="CA"/>
    <m/>
    <n v="1"/>
    <m/>
    <n v="3774446"/>
    <x v="1"/>
    <s v="not in fire zone, sustained smoke damage (over $100K) last year, repairs made., alarms in home, 2000 build"/>
    <x v="0"/>
    <s v="requested additional 10% as claim $400K"/>
    <m/>
    <m/>
    <s v="Burdine"/>
  </r>
  <r>
    <x v="154"/>
    <x v="2"/>
    <s v="CA"/>
    <s v="Lucas"/>
    <s v="Email"/>
    <s v="Cummings"/>
    <s v="Rodney &amp; Jana"/>
    <s v="HO3 Primary"/>
    <s v="Newhall"/>
    <s v="CA"/>
    <m/>
    <n v="3"/>
    <n v="550000"/>
    <n v="990000"/>
    <x v="1"/>
    <s v="2017-Skunk died under home, smell permeated home. 2016-water; all repairs have been made, no brush"/>
    <x v="0"/>
    <s v="requested additional 5% due to size of claim"/>
    <m/>
    <m/>
    <s v="Burdine"/>
  </r>
  <r>
    <x v="154"/>
    <x v="13"/>
    <s v="TN"/>
    <s v="Steven"/>
    <s v="Email"/>
    <s v="Bhakta"/>
    <s v="Narendra"/>
    <s v="HO3 Primary"/>
    <s v="Havana"/>
    <s v="FL"/>
    <m/>
    <n v="6"/>
    <n v="444000"/>
    <n v="763680"/>
    <x v="6"/>
    <s v="Lapse since  04/2018 (was out of county and didn't realize policy cancelled). No loss letter was obtained."/>
    <x v="0"/>
    <s v="5% surcharge, as long as home now monitored during absences"/>
    <m/>
    <m/>
    <s v="Burdine"/>
  </r>
  <r>
    <x v="154"/>
    <x v="3"/>
    <m/>
    <m/>
    <m/>
    <m/>
    <m/>
    <m/>
    <m/>
    <m/>
    <m/>
    <m/>
    <m/>
    <m/>
    <x v="13"/>
    <m/>
    <x v="1"/>
    <m/>
    <m/>
    <m/>
    <s v="Burdine"/>
  </r>
  <r>
    <x v="154"/>
    <x v="3"/>
    <s v="MA"/>
    <s v="Brendan"/>
    <s v="Email"/>
    <s v="Keenan"/>
    <s v="Jill"/>
    <s v="DP3 Rental"/>
    <s v="Norwich"/>
    <s v="CT"/>
    <m/>
    <m/>
    <n v="500000"/>
    <n v="650000"/>
    <x v="6"/>
    <s v="non-renewed due to claims-07/2017-car drove into insured home, 04/2017-fire claim caused by occupant negligence (elderly woman,still lives in home), asbestos siding, 2 units rented through Section 8"/>
    <x v="2"/>
    <s v="home condition and fire loss unacceptable"/>
    <m/>
    <m/>
    <s v="Burdine"/>
  </r>
  <r>
    <x v="154"/>
    <x v="7"/>
    <s v="MI"/>
    <s v="Lori"/>
    <s v="Email"/>
    <s v="Dalrymple"/>
    <s v="Ella"/>
    <s v="HO3 Primary"/>
    <s v="Crooksville"/>
    <s v="OH"/>
    <m/>
    <n v="6"/>
    <n v="270000"/>
    <n v="540000"/>
    <x v="1"/>
    <s v="NR for losses. 2017 fire loss from a battery in garage. Home rebuilt. "/>
    <x v="0"/>
    <s v="10% surcharge due to size of claim, and also C&amp;O confirming no insured negligence in loss"/>
    <m/>
    <m/>
    <s v="Burdine"/>
  </r>
  <r>
    <x v="155"/>
    <x v="0"/>
    <s v="MI"/>
    <s v="Jill"/>
    <s v="Email"/>
    <s v="Kemner"/>
    <s v="Kimberly"/>
    <s v="HO3 Seas/Sec"/>
    <m/>
    <s v="MI"/>
    <m/>
    <n v="10"/>
    <n v="91000"/>
    <n v="143300"/>
    <x v="8"/>
    <s v="Frame, secondary, no losses, built in 1956/updated in 2006, located in MI, PC10, not accessible year round"/>
    <x v="0"/>
    <s v="Premium appropriate for exposure, debris in pics so subj to debris removal"/>
    <m/>
    <m/>
    <s v="Burdine"/>
  </r>
  <r>
    <x v="155"/>
    <x v="2"/>
    <s v="CA"/>
    <s v="Bobbi"/>
    <s v="Email"/>
    <s v="Chartoff"/>
    <s v="Charley"/>
    <s v="HO3 Primary"/>
    <s v="Malibu"/>
    <s v="CA"/>
    <m/>
    <n v="2"/>
    <n v="1120000"/>
    <n v="2016000"/>
    <x v="0"/>
    <s v="PC OK, no brush"/>
    <x v="1"/>
    <s v="requirements met"/>
    <m/>
    <m/>
    <s v="Burdine"/>
  </r>
  <r>
    <x v="155"/>
    <x v="7"/>
    <s v="MI"/>
    <s v="Cheryl"/>
    <s v="Email"/>
    <s v="Robinson"/>
    <s v="Katie"/>
    <s v="DP3 Builders Risk"/>
    <m/>
    <s v="WI"/>
    <m/>
    <m/>
    <m/>
    <m/>
    <x v="11"/>
    <s v="a gentleman who is a licensed contractor, well used to be licensed.  He is building his own home along with a pole shed.  However, he does not own the property he is building on and nothing will be in his name until the home is complete, approximately 1 year from now.  At that time, we will be getting a mortgage"/>
    <x v="2"/>
    <s v="declined, no insurable interest at this stage and insured is the builder"/>
    <m/>
    <m/>
    <s v="Burdine"/>
  </r>
  <r>
    <x v="155"/>
    <x v="2"/>
    <s v="CA"/>
    <s v="Bobbi"/>
    <s v="Email"/>
    <s v="Chartoff"/>
    <s v="Charley"/>
    <s v="DP3 Rental"/>
    <s v="Malibu"/>
    <s v="CA"/>
    <m/>
    <n v="2"/>
    <n v="1000000"/>
    <n v="1325000"/>
    <x v="0"/>
    <s v="PC OK, no brush"/>
    <x v="1"/>
    <s v="guidelines met"/>
    <m/>
    <m/>
    <s v="Burdine"/>
  </r>
  <r>
    <x v="155"/>
    <x v="9"/>
    <s v="CA"/>
    <s v="Lisa"/>
    <s v="Email"/>
    <s v="Walton"/>
    <s v="Teresa"/>
    <s v="HO3 Primary"/>
    <s v="Whittier"/>
    <s v="CA"/>
    <m/>
    <n v="2"/>
    <n v="2100600"/>
    <n v="3362580"/>
    <x v="0"/>
    <s v="Primary home, $10K ded, no losses, in brush"/>
    <x v="2"/>
    <s v="over $3M in brush"/>
    <m/>
    <m/>
    <s v="Burdine"/>
  </r>
  <r>
    <x v="155"/>
    <x v="3"/>
    <s v="MA"/>
    <s v="Brendan"/>
    <s v="Email"/>
    <s v="Ponte"/>
    <s v="Kevin"/>
    <s v="DP3 Rental"/>
    <s v="Dartmouth"/>
    <s v="MI"/>
    <m/>
    <m/>
    <n v="350000"/>
    <n v="375000"/>
    <x v="6"/>
    <s v="NR due to 01/2017 windstorm claim, 01/2018 CAT claim"/>
    <x v="0"/>
    <s v="Confirmation of updates (1900 build) and all repairs made"/>
    <m/>
    <m/>
    <s v="Burdine"/>
  </r>
  <r>
    <x v="155"/>
    <x v="9"/>
    <s v="CA"/>
    <s v="Lucas"/>
    <s v="Email"/>
    <s v="Mitchell"/>
    <s v="Loretta"/>
    <s v="HO3 Primary"/>
    <s v="Mission Viejo"/>
    <s v="CA"/>
    <m/>
    <n v="3"/>
    <n v="522000"/>
    <n v="1017900"/>
    <x v="1"/>
    <s v="2016 water loss from pipe leak at dishwasher, 2 from 2017 as result of failing roof. Roof has been replaced, and plumbing updated"/>
    <x v="1"/>
    <s v="quote included 15% debit and $25k Water Damage Deductible. "/>
    <m/>
    <m/>
    <s v="Burdine"/>
  </r>
  <r>
    <x v="156"/>
    <x v="0"/>
    <s v="MI"/>
    <s v="David"/>
    <s v="Email"/>
    <s v="Caldwell"/>
    <s v="Michael"/>
    <s v="HO3 Primary"/>
    <s v="Fountain Hill"/>
    <s v="AR"/>
    <m/>
    <n v="10"/>
    <n v="120000"/>
    <n v="195000"/>
    <x v="8"/>
    <s v="2001 dwelling with updates, metal roof. 20 minute drive time w/volunteer FD 10 miles from dwelling. New purchase. No online photos of dwelling."/>
    <x v="1"/>
    <s v="Adequate rate, lower value."/>
    <s v="$0.91 rate."/>
    <m/>
    <s v="Patterson"/>
  </r>
  <r>
    <x v="156"/>
    <x v="3"/>
    <s v="MA"/>
    <s v="Barbara"/>
    <s v="Email"/>
    <s v="Abelhard"/>
    <s v="Roger"/>
    <s v="HO3 Primary"/>
    <m/>
    <s v="CT"/>
    <m/>
    <n v="4"/>
    <n v="180000"/>
    <n v="324000"/>
    <x v="1"/>
    <s v="Open claim: $75K payout so far, water back up, repairs underway"/>
    <x v="0"/>
    <s v="You may quote this risk with no backup coverage, but we cannot bind until the repairs are completed. "/>
    <m/>
    <m/>
    <s v="Burdine"/>
  </r>
  <r>
    <x v="156"/>
    <x v="0"/>
    <s v="MI"/>
    <s v="Rachel"/>
    <s v="Email"/>
    <s v="Hultgren"/>
    <s v="Scott"/>
    <s v="HO3 Primary"/>
    <s v="Huntington Beach"/>
    <s v="CA"/>
    <m/>
    <n v="2"/>
    <n v="288000"/>
    <n v="560000"/>
    <x v="1"/>
    <s v="Large water damage loss, repairs still underway. Per agt, flooring, cabinets, etc still remaining"/>
    <x v="2"/>
    <s v="Advised could still be hidden damage based on stage of repairs. Agreed if they are in fact further along where hidden damage not a concern, may consider further"/>
    <m/>
    <m/>
    <s v="Burdine"/>
  </r>
  <r>
    <x v="157"/>
    <x v="2"/>
    <s v="CA"/>
    <s v="Bobbi"/>
    <s v="Email"/>
    <s v="Oppenheim"/>
    <s v="Chad"/>
    <s v="HO3 Primary"/>
    <s v="Malibu"/>
    <s v="CA"/>
    <m/>
    <n v="2"/>
    <n v="1200000"/>
    <n v="1800000"/>
    <x v="0"/>
    <s v="PC OK, no brush"/>
    <x v="1"/>
    <s v="guidelines met"/>
    <m/>
    <m/>
    <s v="Burdine"/>
  </r>
  <r>
    <x v="157"/>
    <x v="0"/>
    <s v="MI"/>
    <s v="Lindsay"/>
    <s v="Email"/>
    <s v="Collman"/>
    <s v="Rodney"/>
    <s v="HO3 Builders Risk"/>
    <m/>
    <s v="FL"/>
    <m/>
    <m/>
    <n v="135000"/>
    <n v="135000"/>
    <x v="2"/>
    <s v="Home is currently on one lot, and they plan to move to another lot. "/>
    <x v="2"/>
    <s v="Advised can consider once reached final destination, if work done by a professional contractor"/>
    <m/>
    <m/>
    <s v="Burdine"/>
  </r>
  <r>
    <x v="157"/>
    <x v="0"/>
    <s v="MI"/>
    <s v="Sarah"/>
    <s v="Email"/>
    <s v="Cole"/>
    <s v="Andrew"/>
    <s v="HO3 Primary"/>
    <m/>
    <s v="FL"/>
    <m/>
    <m/>
    <n v="342000"/>
    <n v="669800"/>
    <x v="3"/>
    <s v="2000 frame construction- Volusia county.  Local alarm. Maprisk attached- 12.52 miles distance to coast. Yankees baseball player, married, no adverse info found"/>
    <x v="1"/>
    <s v="Online review no concerns, property in great condition"/>
    <m/>
    <m/>
    <s v="Burdine"/>
  </r>
  <r>
    <x v="158"/>
    <x v="2"/>
    <s v="CA"/>
    <s v="Luke"/>
    <s v="Email"/>
    <s v="Hughes"/>
    <s v="Jeremy"/>
    <s v="HO3 Primary w/Rental"/>
    <s v="Beverly Hills "/>
    <s v="CA"/>
    <m/>
    <n v="2"/>
    <n v="1537000"/>
    <n v="2100000"/>
    <x v="0"/>
    <s v="1961 dwellingw/updates. App notes primary and also rental. Online photos look good. Notes composition roof, but possible flat roof per photos. Was with AIG, they nonrenewed.  Not in brush, under $3M TIV."/>
    <x v="1"/>
    <s v="This is within Hull's authority to approve - advised Luke."/>
    <m/>
    <m/>
    <s v="Patterson"/>
  </r>
  <r>
    <x v="158"/>
    <x v="2"/>
    <s v="CA"/>
    <s v="Luke"/>
    <s v="Email"/>
    <s v="Muhlheim"/>
    <s v="Eric &amp; Lauren"/>
    <s v="HO3 Primary"/>
    <s v="Los Angeles"/>
    <s v="CA"/>
    <m/>
    <n v="2"/>
    <n v="1770300"/>
    <n v="3200000"/>
    <x v="0"/>
    <s v="1925 dwelling not in brush with full plumbing replacement and updates to wiring and roof.  3 prior losses - 1 sewer backup and 2 pipe losses.  .  "/>
    <x v="0"/>
    <s v="Full plumbing replacement and agt applied addl 20% debit. Advised NO sewer backup covg."/>
    <m/>
    <m/>
    <s v="Patterson"/>
  </r>
  <r>
    <x v="158"/>
    <x v="0"/>
    <s v="MI"/>
    <s v="Rachel"/>
    <s v="Email"/>
    <s v="Griese"/>
    <s v="Christopher"/>
    <s v="HO3 Primary"/>
    <s v="Stillwater"/>
    <s v="MN"/>
    <m/>
    <n v="10"/>
    <n v="731530"/>
    <n v="1462943"/>
    <x v="1"/>
    <s v="Newly rebuilt dwelling - prior $1.2M fire loss.  Fire dept report provided indicates cause is undetermined. Suspected it is electrical. "/>
    <x v="0"/>
    <s v="10% surcharge due to size of loss.  Fire report acceptable."/>
    <m/>
    <m/>
    <s v="Patterson"/>
  </r>
  <r>
    <x v="158"/>
    <x v="0"/>
    <s v="MI"/>
    <s v="Danielle"/>
    <s v="Email"/>
    <s v="Dumoulin"/>
    <s v="Daniel"/>
    <s v="HO3 Primary"/>
    <s v="Kokomo "/>
    <s v="IN"/>
    <m/>
    <m/>
    <n v="1880400"/>
    <n v="3383720"/>
    <x v="6"/>
    <s v="We previously approved risk in 12/2017. Agent asking for review and approval to refresh terms.  Per prior app, covg lapsed in 1/2018. Agt to get no loss statement"/>
    <x v="2"/>
    <s v="Ran insurance score.  Tax liens, score in surcharge tier, some delinquent accounts. Not an account to write with &gt;$3M TIV."/>
    <s v="score under 600"/>
    <m/>
    <s v="Patterson"/>
  </r>
  <r>
    <x v="158"/>
    <x v="0"/>
    <s v="MI"/>
    <s v="Danielle"/>
    <s v="Email"/>
    <s v="Rice"/>
    <s v="Mary J"/>
    <s v="HO3 Primary"/>
    <s v="Cape May"/>
    <s v="NJ"/>
    <m/>
    <n v="9"/>
    <n v="175000"/>
    <n v="297500"/>
    <x v="6"/>
    <s v="1940 dwelling updated on 2008. No losses. On pilings .2 miles from coast. Prior nrn. Lapsed 7/17/18. Agt to get no loss statement."/>
    <x v="2"/>
    <s v="Ran insurance score - okay."/>
    <m/>
    <m/>
    <s v="Patterson"/>
  </r>
  <r>
    <x v="158"/>
    <x v="0"/>
    <s v="MI"/>
    <s v="Alexa"/>
    <s v="Email"/>
    <s v="Florian"/>
    <s v="Michael J"/>
    <s v="HO3 Primary"/>
    <s v="St Charles"/>
    <s v="MO"/>
    <m/>
    <m/>
    <n v="244644"/>
    <n v="489286"/>
    <x v="1"/>
    <s v="1963 dwelling updated. Open liability loss - insd lab dog bit neighbor. Insd keeping dog. Liability excluded."/>
    <x v="1"/>
    <s v="x-liab"/>
    <m/>
    <m/>
    <s v="Patterson"/>
  </r>
  <r>
    <x v="158"/>
    <x v="0"/>
    <s v="MI"/>
    <s v="David "/>
    <s v="Email"/>
    <s v="Whitehead"/>
    <s v="Steve"/>
    <s v="HO3 Primary"/>
    <s v="Dallas"/>
    <s v="TX"/>
    <m/>
    <n v="2"/>
    <n v="615000"/>
    <n v="669220"/>
    <x v="11"/>
    <s v="1979 dwelling w/roof update. Cosmetic renovation in addition to adding 14 pier rods to foundation. Nice home per online. Using contractor. Per form."/>
    <x v="1"/>
    <s v="Contractor liab in place"/>
    <m/>
    <m/>
    <s v="Patterson"/>
  </r>
  <r>
    <x v="159"/>
    <x v="8"/>
    <s v="NC"/>
    <s v="Lawanda"/>
    <s v="Email"/>
    <s v="Brown"/>
    <s v="Tony"/>
    <s v="HO3 Primary"/>
    <s v="Davidson"/>
    <s v="NC"/>
    <m/>
    <n v="9"/>
    <n v="2101200"/>
    <n v="4412520"/>
    <x v="0"/>
    <s v="2005 dwelling nonrenewed by AIG due to 2 water losses. 11/17 $22K  7/18 $22K both were icemaker lines in 2 separate areas of house. Rated as masonry, but app states veneer. Rated as PC3, apps indicate 9."/>
    <x v="4"/>
    <s v="Adjust rating to wood, PC9 and resubmit.  $25,000 water damage deductible - high valued home and 2 similar losses."/>
    <m/>
    <m/>
    <s v="Patterson"/>
  </r>
  <r>
    <x v="159"/>
    <x v="2"/>
    <s v="CA"/>
    <s v="Luke"/>
    <s v="Email"/>
    <s v="1111 Pulali Point Rd."/>
    <m/>
    <s v="HO3 Primary"/>
    <s v="Brinnon "/>
    <s v="WA"/>
    <m/>
    <m/>
    <m/>
    <m/>
    <x v="11"/>
    <s v="The insured is buying a Honomobo M1 container home.  It is considered a modular.  https://www.honomobo.com/pagem1/. This company manufactures prefab homes out of shipping containers and hooks them up on site.  It sounds like delivery and crane placement are separate."/>
    <x v="3"/>
    <s v="Asked numerous questions. Per UW Decision Doc, we can consider completed ones. Never had a new COC submitted.  Reviewed details with Jeff May and we approved (8/30/18). Crane exposure is typical in home building. May lose the risk after completion, but that happens in builders risk."/>
    <m/>
    <m/>
    <s v="Patterson"/>
  </r>
  <r>
    <x v="159"/>
    <x v="2"/>
    <s v="CA"/>
    <s v="Bobbi"/>
    <s v="Email"/>
    <s v="Hultgren"/>
    <s v="Scott &amp; Lynn Russ"/>
    <s v="HO3 Primary"/>
    <s v="Huntington Beach"/>
    <s v="CA"/>
    <m/>
    <n v="2"/>
    <n v="288000"/>
    <n v="560000"/>
    <x v="1"/>
    <s v="1963 dwelling with some updates. Plumb repl in 2008 per app. Roof in poor condition per app. $101,354 loss from toilet overflow still open. DOL 4/18/18. NRN from prior carrier."/>
    <x v="4"/>
    <s v="Asked for more detail - see email. Evaluate if all work is completed. "/>
    <m/>
    <m/>
    <s v="Patterson"/>
  </r>
  <r>
    <x v="159"/>
    <x v="0"/>
    <s v="MI"/>
    <s v="Rachel"/>
    <s v="Email"/>
    <s v="Valle"/>
    <s v="Philip &amp; Bree"/>
    <s v="HO3 Primary"/>
    <s v="Atascadero"/>
    <s v="CA"/>
    <m/>
    <n v="4"/>
    <n v="708000"/>
    <n v="1345200"/>
    <x v="1"/>
    <s v="2005 dwelling with 3 water losses (due to wind and faulty window installation). Agt quoted on HO8, wind/hail excl, exist dmg excl. New custom windows going in by 10/30/18. "/>
    <x v="4"/>
    <s v="Also exclude mold. Address VMM loss on app $56K. Apply 25% s/c. Addl possible subjectivities on email if we proceed."/>
    <m/>
    <m/>
    <s v="Patterson"/>
  </r>
  <r>
    <x v="159"/>
    <x v="7"/>
    <s v="MI"/>
    <s v="John"/>
    <s v="Email"/>
    <s v="McDougle "/>
    <s v="Drskin"/>
    <s v="DP3 Rental"/>
    <s v="Detroit"/>
    <s v="MI"/>
    <m/>
    <n v="4"/>
    <n v="210000"/>
    <n v="215000"/>
    <x v="12"/>
    <s v="1948 dwelling with asbestos roof. Allegedly updated in 2000 but that does not make sense. Detroit location. $70K purchase; $210 mkt value. No prior coverage, now insuring."/>
    <x v="2"/>
    <s v="Asbestos roof, no prior coverage - why now? Detroit address. Mkt val/RCE discrepancy."/>
    <m/>
    <m/>
    <s v="Patterson"/>
  </r>
  <r>
    <x v="159"/>
    <x v="2"/>
    <s v="CA"/>
    <s v="Luke"/>
    <s v="Email"/>
    <s v="Taylor"/>
    <s v="Leon &amp; Masha Levinson"/>
    <s v="HO3 Primary"/>
    <s v="Kenwood"/>
    <s v="CA"/>
    <m/>
    <m/>
    <n v="1200000"/>
    <n v="3000000"/>
    <x v="1"/>
    <s v="1956 dwelling with guest house.  Guest house had total fire loss from &quot;unidentified&quot; cause. But per subsequent report, could have been unattended candles. Primary home burned to ground by brush fire."/>
    <x v="2"/>
    <s v="Cause of loss indicates possible negligence. Ins scores ok."/>
    <m/>
    <m/>
    <s v="Patterson"/>
  </r>
  <r>
    <x v="159"/>
    <x v="0"/>
    <s v="MI"/>
    <s v="Jill"/>
    <s v="Email"/>
    <s v="Ernest"/>
    <s v="Marcia (Marsha)"/>
    <s v="HO3 Primary"/>
    <s v="New Caney"/>
    <s v="TX"/>
    <m/>
    <n v="4"/>
    <n v="260000"/>
    <n v="490000"/>
    <x v="5"/>
    <s v="2007 dwelling. Insd owns a petting zoo which is taken off site. Has 65 acres with a barn where animals are kept.  CGL in place. Animal exclusion, Total Business Exclusion quoted."/>
    <x v="2"/>
    <s v="Research online showed visitors at the insured premises and their website offered visitors to come.  Concern of excessive defense costs should something happen. (Large animals, pony/camel rides.)"/>
    <m/>
    <m/>
    <s v="Patterson"/>
  </r>
  <r>
    <x v="159"/>
    <x v="0"/>
    <s v="MI"/>
    <s v="Jill"/>
    <s v="Email"/>
    <s v="Hal"/>
    <s v="Marvin &amp; Gail"/>
    <s v="HO3 Primary"/>
    <s v="Vail"/>
    <s v="AZ"/>
    <m/>
    <n v="4"/>
    <n v="386600"/>
    <n v="635000"/>
    <x v="5"/>
    <s v="2011 dwelling with adult day care at the property. 3-4 adults 5 days per week. Insured's are only employees. "/>
    <x v="1"/>
    <s v="Confirmed acceptable activities and details online. Require CGL policy to be put in place and maintained."/>
    <m/>
    <m/>
    <s v="Patterson"/>
  </r>
  <r>
    <x v="160"/>
    <x v="2"/>
    <s v="MI"/>
    <s v="Michelle"/>
    <s v="Email"/>
    <s v="The Miller Family Trust"/>
    <m/>
    <s v="HO3 Builders Risk"/>
    <s v="Los Angeles"/>
    <s v="CA"/>
    <m/>
    <m/>
    <n v="2608164"/>
    <n v="3308164"/>
    <x v="11"/>
    <s v="New 2018 construction. Current carrier won't renew-reached their renewal max. Expect 3 months more $500K of work. Flooring countertops, updating electrical.Licensed/insured contractor but no name listed on the form."/>
    <x v="4"/>
    <s v="Asked numerous question to determine if we're willing to take on tail end construction that is 80% completed.  If we do it will be with a large premium surcharge."/>
    <m/>
    <m/>
    <s v="Patterson"/>
  </r>
  <r>
    <x v="160"/>
    <x v="0"/>
    <s v="MI"/>
    <s v="Alexa"/>
    <s v="Email"/>
    <s v="Garfield"/>
    <s v="Kathleen"/>
    <s v="HO6 "/>
    <s v="Los Angeles"/>
    <s v="CA"/>
    <m/>
    <n v="1"/>
    <n v="1000000"/>
    <n v="1594000"/>
    <x v="0"/>
    <s v="1989 condo located in brush. Good ins score. "/>
    <x v="1"/>
    <s v="We have a project item to evaluate TIV for condos - need to increase the referral point."/>
    <m/>
    <m/>
    <s v="Patterson"/>
  </r>
  <r>
    <x v="160"/>
    <x v="0"/>
    <s v="MI"/>
    <s v="Danielle"/>
    <s v="Email"/>
    <s v="Lenzen"/>
    <s v="Ray"/>
    <s v="HO3 Primary"/>
    <s v="Maplewood"/>
    <s v="MN"/>
    <m/>
    <m/>
    <n v="564000"/>
    <n v="1156200"/>
    <x v="5"/>
    <s v="1955 (maybe 1993?) dwelling used for adult home care/memory care. 2 employees, 4 patients, 2 owners live in the dwelling. Online website looks like a good facility. "/>
    <x v="0"/>
    <s v="Apply TBE, commercial policies, updated app."/>
    <s v="PER ADDITIONAL CONVERSATION WITH JEFF MAY, WE SHOULD NOT BE WRITING THESE RISKS WHERE THE CLIENTS LIVE THERE. THIS IS TOO MUCH EXPOSURE. TOO MUCH LIABILITY THAT WE DON'T FEEL OUR EXCLUSIONS CAN CONTAIN."/>
    <m/>
    <s v="Patterson"/>
  </r>
  <r>
    <x v="160"/>
    <x v="0"/>
    <s v="MI"/>
    <s v="Danielle"/>
    <s v="Email"/>
    <s v="Boe"/>
    <s v="Catherine &amp; Geir"/>
    <s v="HO3 Primary"/>
    <s v="Denver"/>
    <s v="CO"/>
    <m/>
    <n v="4"/>
    <n v="490000"/>
    <n v="999600"/>
    <x v="6"/>
    <s v="We wrote this risk previously - insd &quot;forgot to renew&quot; on 5/11 and just realized it. Agt proposing w/lapse charge + 5% charge."/>
    <x v="1"/>
    <s v="&gt;700 ins scores. Lapse reason acceptable."/>
    <m/>
    <m/>
    <s v="Patterson"/>
  </r>
  <r>
    <x v="160"/>
    <x v="0"/>
    <s v="MI"/>
    <s v="Danielle"/>
    <s v="Email"/>
    <s v="Young"/>
    <s v="Warren F"/>
    <s v="HO6 "/>
    <s v="Tulsa"/>
    <s v="OK"/>
    <m/>
    <m/>
    <n v="10000"/>
    <n v="682000"/>
    <x v="1"/>
    <s v="1982 condo w/updates. 3 water losses since 2004. Theft of watch and lost watch losses. PAF excluded.  Insd installed Water Leak Detection System w/shutoff and flowmeter. Repairs made."/>
    <x v="0"/>
    <s v="Excellent ins score, so less concern on any fraud aspect of PAF losses - although we won't cover PAF. Asked for $10K water damage ded for loss that could occur 'til shutoff kicks in. Asked for 10% s/c vs 5% credit."/>
    <m/>
    <m/>
    <s v="Patterson"/>
  </r>
  <r>
    <x v="161"/>
    <x v="2"/>
    <s v="CA"/>
    <s v="Kelly"/>
    <s v="Email"/>
    <s v="Mahler"/>
    <s v="Peter"/>
    <s v="DP3 Vacant"/>
    <s v="Palm Springs"/>
    <s v="CA"/>
    <m/>
    <m/>
    <n v="350000"/>
    <n v="385000"/>
    <x v="11"/>
    <s v="1942 dwelling with no updates purchased in 4/2018 and not insured since then. Has liab extended. Insured is renovating in 3/19, updating roof, plumbing and electrical then."/>
    <x v="2"/>
    <s v="Older, vacant, no updates. Has not been insured- so not seen as having value to the insured."/>
    <m/>
    <m/>
    <s v="Patterson"/>
  </r>
  <r>
    <x v="161"/>
    <x v="3"/>
    <s v="MA"/>
    <s v="Barbara"/>
    <s v="Email"/>
    <s v="Stone"/>
    <s v="Joshua &amp; Amy"/>
    <s v="HO3 Builders Risk"/>
    <m/>
    <s v="NH"/>
    <m/>
    <m/>
    <n v="379000"/>
    <n v="520000"/>
    <x v="11"/>
    <s v="1850 dwelling w/no update info. Borderline condition. Roof not in good shape."/>
    <x v="2"/>
    <s v="Condition, numerous exclusions need to apply."/>
    <m/>
    <m/>
    <s v="Patterson"/>
  </r>
  <r>
    <x v="161"/>
    <x v="0"/>
    <s v="MI"/>
    <s v="Alexa"/>
    <s v="Email"/>
    <s v="Fansher"/>
    <s v="Jack"/>
    <s v="HO3 Primary"/>
    <s v="Chesterfield"/>
    <s v="MO"/>
    <m/>
    <n v="4"/>
    <n v="300000"/>
    <n v="510000"/>
    <x v="1"/>
    <s v="1963 dwelling FRC. Prior fire loss 9/10/17 $154,000. Electrical fire from piece of equip in office. App incomplete (uw questions)."/>
    <x v="0"/>
    <s v="Need fire marshal report - first responder report was provided. Add 10% for loss size. Complete app. If fire is for the reason noted, Ins Score is A, we should be fine with this risk."/>
    <m/>
    <m/>
    <s v="Patterson"/>
  </r>
  <r>
    <x v="161"/>
    <x v="0"/>
    <s v="MI"/>
    <s v="Michelle"/>
    <s v="Email"/>
    <s v="Womach"/>
    <s v="Tyler &amp; Lori"/>
    <s v="HO3 Primary"/>
    <s v="Huntington Beach"/>
    <s v="CA"/>
    <m/>
    <n v="1"/>
    <n v="376000"/>
    <n v="900000"/>
    <x v="1"/>
    <s v="1962 dwelling with lab dog that bit friend. Open claim $50,000. Insd keeping dog. Animal liab exclusion applied."/>
    <x v="1"/>
    <s v="Ok with animal exclusion"/>
    <m/>
    <m/>
    <s v="Patterson"/>
  </r>
  <r>
    <x v="161"/>
    <x v="0"/>
    <s v="MI"/>
    <s v="David"/>
    <s v="Email"/>
    <s v="Ndei"/>
    <s v="Leonard"/>
    <s v="HO3 Primary"/>
    <s v="Shawnee"/>
    <s v="KS"/>
    <m/>
    <n v="2"/>
    <n v="278900"/>
    <n v="557800"/>
    <x v="5"/>
    <s v="Adult day care submission. 4- 8 residents. GL policy in place."/>
    <x v="2"/>
    <s v="Further information provided was this had 3 permanent residents living on premises full time and no current daycare residents. There were 4 part time employees. As this was more of a nursing home, we suggested a commercial policy"/>
    <m/>
    <m/>
    <s v="Lazovik"/>
  </r>
  <r>
    <x v="161"/>
    <x v="0"/>
    <s v="MI"/>
    <s v="David"/>
    <s v="Email"/>
    <s v="Weyerich"/>
    <s v="Erin"/>
    <s v="DP3 Builders Risk"/>
    <s v="New Haven"/>
    <s v="MO"/>
    <m/>
    <n v="5"/>
    <n v="100000"/>
    <n v="100000"/>
    <x v="11"/>
    <s v="1900 dwelling that was a church, currently a library, being renovated to be a home. Agent says there are updates on systems. Roof is metal from 1968."/>
    <x v="4"/>
    <s v="Numerous questions about updates as there is galvanized plumbing. Roof exclusion. Covg A inadequate. "/>
    <m/>
    <m/>
    <s v="Patterson"/>
  </r>
  <r>
    <x v="162"/>
    <x v="2"/>
    <s v="CA"/>
    <s v="Kelly"/>
    <s v="Email"/>
    <s v="Kelner"/>
    <s v="Joel"/>
    <s v="HO3 Primary"/>
    <s v="Coto De Caza "/>
    <s v="CA"/>
    <m/>
    <n v="3"/>
    <n v="1007000"/>
    <n v="1812600"/>
    <x v="1"/>
    <s v="1990 dwelling, new purchase for this insd. Prior owner had a $100,000 slab leak loss in 2017. Pipe was fixed, damage fixed. Insured to replace all plumbing and remove pipes from slab, moving them into the walls. Also will install water shutoff."/>
    <x v="1"/>
    <s v="One loss, prior owner. New owner taking strong action to mitigate any chance of future. Approved subj to contracting for work within 30 days of binding. Contemplated higher water damage ded, and decided against it. Not this insd loss. He is being pro-active."/>
    <m/>
    <m/>
    <s v="Patterson"/>
  </r>
  <r>
    <x v="162"/>
    <x v="2"/>
    <s v="CA"/>
    <s v="Kelly"/>
    <s v="Email"/>
    <s v="Kelner"/>
    <s v="Joel"/>
    <s v="HO3 Primary"/>
    <s v="Coto De Caza "/>
    <s v="CA"/>
    <m/>
    <n v="3"/>
    <n v="1600000"/>
    <n v="2900000"/>
    <x v="1"/>
    <s v="Same risk submitted from a second retailer.  1990 dwelling, new purchase for this insd. Prior owner had a $100,000 slab leak loss in 2017. Pipe was fixed, damage fixed. Insured to replace all plumbing and remove pipes from slab, moving them into the walls. Also will install water shutoff."/>
    <x v="1"/>
    <s v="One loss, prior owner. New owner taking strong action to mitigate any chance of future. Approved subj to contracting for work within 30 days of binding. Contemplated higher water damage ded, and decided against it. Not this insd loss. He is being pro-active."/>
    <m/>
    <m/>
    <s v="Patterson"/>
  </r>
  <r>
    <x v="162"/>
    <x v="0"/>
    <s v="MI"/>
    <s v="Lindsay"/>
    <s v="Email"/>
    <s v="Plummer"/>
    <s v="William"/>
    <s v="HO3 Seas/Sec"/>
    <s v="Trenton"/>
    <s v="ME"/>
    <m/>
    <n v="9"/>
    <n v="304164"/>
    <n v="998993"/>
    <x v="7"/>
    <s v="Cov B Limit &gt; Cov A. There is a cottage, dwelling, and 3 car detached garage on the premises.  $38K water damage with $0 paid by carrier. Insd paid out of pocket. "/>
    <x v="3"/>
    <s v="Freeze claim-prior carrier says heat not maintained. Asked for 60 degrees. Confirmed PC 9. Dwelling 4.2 miles from FD.  If ok, require completed app, verify rating for 4 fam, confirm all structures are part of this address, confirm occupancy."/>
    <m/>
    <m/>
    <s v="Patterson"/>
  </r>
  <r>
    <x v="162"/>
    <x v="7"/>
    <s v="MI"/>
    <s v="Cheryl"/>
    <s v="Email"/>
    <s v="McCawley"/>
    <s v="Michael &amp; Julie"/>
    <s v="HO3 Primary"/>
    <s v="Chesterfield"/>
    <s v="MO"/>
    <m/>
    <n v="9"/>
    <n v="484600"/>
    <n v="750000"/>
    <x v="1"/>
    <s v="1967 home with 1 closed small dogbite loss."/>
    <x v="1"/>
    <s v="Advised Cheryl this was within her authority."/>
    <m/>
    <m/>
    <s v="Patterson"/>
  </r>
  <r>
    <x v="162"/>
    <x v="0"/>
    <s v="MI"/>
    <s v="Jill"/>
    <s v="Email"/>
    <s v="Hansen"/>
    <s v="Daniel"/>
    <s v="DP3 Vacant"/>
    <s v="Riverhead"/>
    <s v="NY"/>
    <m/>
    <n v="4"/>
    <n v="350000"/>
    <n v="350000"/>
    <x v="11"/>
    <s v="Writing as vacant. Demolition 8/30/28 and leaving one wall. 2-3 months and will be enclosed."/>
    <x v="1"/>
    <s v="One wall is remaining, so not large demolition crew. Requiring confirmation on the demolition equipment. "/>
    <m/>
    <m/>
    <s v="Lazovik"/>
  </r>
  <r>
    <x v="162"/>
    <x v="11"/>
    <s v="LA"/>
    <s v="Hillary"/>
    <s v="Email"/>
    <s v="Moran"/>
    <s v="Thomas"/>
    <s v="HO3 Primary"/>
    <s v="Slidell"/>
    <s v="LA"/>
    <m/>
    <m/>
    <n v="125000"/>
    <n v="175000"/>
    <x v="5"/>
    <s v="1989 home with &quot;overflow&quot; from insd auto sales on premises.  App says n/a to furnace update. Determined there is a furnace. Insd added a 3 bay garage to their house used for auto tinting. Used cars also on the property. Customers drop off and pick up cars for tinting. $300,000 GL policy."/>
    <x v="2"/>
    <s v="Additional information shows business is more than first realized. Advised to take out an overall commercial policy and an HO4 thru another carrier.  Too much for us.  "/>
    <m/>
    <m/>
    <s v="Patterson"/>
  </r>
  <r>
    <x v="162"/>
    <x v="2"/>
    <s v="CA"/>
    <s v="Kelly"/>
    <s v="Email"/>
    <s v="Travis"/>
    <s v="Timothy"/>
    <s v="HO3 Primary"/>
    <s v="Coto De Caza "/>
    <s v="CA"/>
    <m/>
    <n v="3"/>
    <n v="2200000"/>
    <n v="3960000"/>
    <x v="0"/>
    <s v="1990 dwelling not in brush, but close to brush. Photos good, but some brush shows nearby. Nice online pics."/>
    <x v="0"/>
    <s v="This meets our criteria for approval. Apply 20% surcharge for proximity to brush. Ran FireLine - it is a 6, so I don't feel we have to decline the risk (since over $3M). "/>
    <m/>
    <m/>
    <s v="Burdine"/>
  </r>
  <r>
    <x v="162"/>
    <x v="0"/>
    <s v="MI"/>
    <s v="Linda"/>
    <s v="Email"/>
    <s v="Mullan"/>
    <s v="Elizabeth &amp; Stephen"/>
    <s v="HO3 Seas/Sec"/>
    <s v="Columbia"/>
    <s v="NJ"/>
    <m/>
    <n v="4"/>
    <n v="120000"/>
    <n v="132000"/>
    <x v="10"/>
    <s v="No heat on seasonal home. Referred as HO-3 Secondary. No heat. Home updated in 2008."/>
    <x v="0"/>
    <s v="Approved subject to DP1, ACV and removal of mold and water backup."/>
    <m/>
    <m/>
    <s v="Lazovik"/>
  </r>
  <r>
    <x v="162"/>
    <x v="7"/>
    <s v="MI"/>
    <s v="Lori"/>
    <s v="Email"/>
    <s v="Ratterman"/>
    <s v="Richard &amp; Jean"/>
    <s v="HO3 Primary"/>
    <s v="Glen Carbon"/>
    <s v="IL"/>
    <m/>
    <n v="4"/>
    <n v="396000"/>
    <n v="840000"/>
    <x v="1"/>
    <s v="1994 dwelling with 2 prior claims. 2/17 Hail $12K 4/17 Water dmg from leaky valve $24k. Both closed and repaired. Ins score H."/>
    <x v="1"/>
    <s v="This is within JMW authority but I didn't point that out - Lori is looking for support as they get used to our underwriting appetite."/>
    <m/>
    <m/>
    <s v="Patterson"/>
  </r>
  <r>
    <x v="162"/>
    <x v="2"/>
    <s v="CA"/>
    <s v="Gina"/>
    <s v="Email"/>
    <s v="Farrelle"/>
    <s v="Paul   "/>
    <s v="HO3 Seas/Sec w/Rental"/>
    <s v="Santa Ynez"/>
    <s v="CA"/>
    <m/>
    <n v="3"/>
    <n v="1500000"/>
    <n v="2300000"/>
    <x v="5"/>
    <s v="1969 dwelling not in brush, no update info. Nice online pics. Extensive horse buildings and fencing. Boarding up to 8 horses with 2 addl horses owned by the insured. AirBnb of 2 units, and 1 full time rental in addn to seasonal use."/>
    <x v="0"/>
    <s v="Numerous questions and subjectivities.  We can do this but there will be no liab and no covg for horse buildings. Feel this is not too much exposure.  Unless the PT therapy business I found via google pans out. BL: No business - prior owner. Homeowner cannot confirm updates, asked for roof exclusion, increased water deductible and AOP for lack of updates and age of home"/>
    <m/>
    <m/>
    <s v="Patterson"/>
  </r>
  <r>
    <x v="163"/>
    <x v="0"/>
    <s v="MI"/>
    <s v="Rachel"/>
    <s v="Email"/>
    <s v="Gipson"/>
    <s v="Reginal"/>
    <s v="HO3 Primary"/>
    <s v="Oakland"/>
    <s v="CA"/>
    <m/>
    <n v="2"/>
    <n v="384000"/>
    <n v="768000"/>
    <x v="1"/>
    <s v="Primary home built in 1958, offering FRC. Frame, PC 1 with 4 losses. Will be primary home. Former renter damaged home (4 coverages from same incident)"/>
    <x v="0"/>
    <s v="Changing the rental to a primary. Insured moves in two weeks. Currently daughter resides in home. There will be a lapse (and a charge) for the 2 days without coverage. One incident logged as four due to types of losses"/>
    <m/>
    <m/>
    <s v="Lazovik"/>
  </r>
  <r>
    <x v="164"/>
    <x v="9"/>
    <s v="CA"/>
    <s v="Lisa"/>
    <s v="Email"/>
    <s v="Brown"/>
    <s v="Gerald"/>
    <s v="HO3 Primary"/>
    <s v="Kentfield"/>
    <s v="CA"/>
    <m/>
    <n v="2"/>
    <n v="935000"/>
    <n v="1515500"/>
    <x v="11"/>
    <s v="1972 dwelling gutted/rebuilt in 2008. Partially flat roof. $5K ded. Having a deck built that will take 4 months to complete. Builders risk? Okay to add primary home coverages?"/>
    <x v="3"/>
    <s v="App says &quot;no prior covg&quot;. Reason is because no rail on existing deck. Carrier nonrenewed.  Insd is replacing. Approve as builders risk, ok to add primary coverages since insd is living there subj to confirmation of temporary safety measures, or exclude liability."/>
    <m/>
    <m/>
    <s v="Patterson"/>
  </r>
  <r>
    <x v="164"/>
    <x v="7"/>
    <s v="MI"/>
    <s v="Cheryl"/>
    <s v="Email"/>
    <s v="Foran"/>
    <s v="Michael P &amp; Kendle L"/>
    <s v="HO3 Primary"/>
    <s v="Bristol"/>
    <s v="TN"/>
    <m/>
    <n v="2"/>
    <n v="220000"/>
    <n v="440000"/>
    <x v="6"/>
    <s v="Lapse since 2/2018, escrow was supposed to pay."/>
    <x v="2"/>
    <s v="Insurance score both under 500 w/numerous collections and more adverse info."/>
    <m/>
    <m/>
    <s v="Patterson"/>
  </r>
  <r>
    <x v="164"/>
    <x v="0"/>
    <s v="MI"/>
    <s v="David"/>
    <s v="Email"/>
    <s v="Blazer"/>
    <s v="Marion"/>
    <s v="HO3 Primary"/>
    <s v="Shreve"/>
    <s v="OH"/>
    <m/>
    <n v="10"/>
    <n v="253000"/>
    <n v="500000"/>
    <x v="1"/>
    <s v="2016 dwelling w/ prior garage and house fire due to careless smoking. Fire marshal report included. "/>
    <x v="2"/>
    <s v="Careless smoking"/>
    <m/>
    <m/>
    <s v="Patterson"/>
  </r>
  <r>
    <x v="164"/>
    <x v="0"/>
    <s v="MI"/>
    <s v="David"/>
    <s v="Email"/>
    <s v="Von Normann"/>
    <s v="James"/>
    <s v="HO3 Primary"/>
    <s v="Santa Rosa Valley"/>
    <s v="CA"/>
    <m/>
    <n v="10"/>
    <n v="1400000"/>
    <n v="2520000"/>
    <x v="9"/>
    <s v="PC 10 home quoted with another partner for half the premium. Frame, owner occupied, primary with stucco cladding. "/>
    <x v="2"/>
    <s v="Unable to match premium between programs"/>
    <s v="Hull is not scored and was the main difference between the two scores. We do not match program premiums."/>
    <m/>
    <s v="Lazovik"/>
  </r>
  <r>
    <x v="164"/>
    <x v="2"/>
    <s v="Irvine"/>
    <s v="Michelle"/>
    <s v="Email"/>
    <s v="Lung"/>
    <s v="Richard"/>
    <s v="DP3 Vacant"/>
    <m/>
    <s v="CA"/>
    <m/>
    <m/>
    <n v="1151258"/>
    <m/>
    <x v="1"/>
    <s v="Soon to be vacant home with 3 claims (one liability claim 6/26/16 due to employee harassment case. PC code not given. Asking for $1M Liability. Large value home requesting $200k in contents."/>
    <x v="0"/>
    <s v="Must confirm date of home (2002 vs 1990) for correct rate. $200k approved if central station burglar alarm or must reduce to $50K. Vacant needs to be DF. Surcharge for 2 losses and no water back up."/>
    <m/>
    <m/>
    <s v="Lazovik"/>
  </r>
  <r>
    <x v="165"/>
    <x v="0"/>
    <s v="MI"/>
    <s v="Jill"/>
    <s v="Email"/>
    <s v="Rodriguez"/>
    <s v="Laura"/>
    <s v="HO3 Primary"/>
    <s v="Houston"/>
    <s v="TX"/>
    <m/>
    <m/>
    <n v="277208"/>
    <n v="530000"/>
    <x v="5"/>
    <s v="1907 dwelling updated fully in 2013. Inspection looks good. Insured operates law practice on the first floor of dwelling. Insured lives on 2nd floor. Kitchen on 1st floor personal use.  6 employees.  GL in place. Total Business Exclusion."/>
    <x v="0"/>
    <s v="Office exposure. Ask for workers comp confirmation as well as GL and TBE in place."/>
    <m/>
    <m/>
    <s v="Patterson"/>
  </r>
  <r>
    <x v="165"/>
    <x v="7"/>
    <s v="MI"/>
    <s v="John"/>
    <s v="Email"/>
    <s v="Hudson"/>
    <s v="Matthew"/>
    <s v="HO3 Primary"/>
    <s v="Trenton"/>
    <s v="GA"/>
    <m/>
    <s v=" "/>
    <n v="6000"/>
    <n v="9500"/>
    <x v="7"/>
    <s v="Tiny House.  John is not aware this is ineligible per our guidelines. "/>
    <x v="2"/>
    <s v="Provided research on tiny houses to give some other carriers that maybe could help."/>
    <m/>
    <m/>
    <s v="Patterson"/>
  </r>
  <r>
    <x v="165"/>
    <x v="0"/>
    <s v="MI"/>
    <s v="David"/>
    <s v="Email"/>
    <s v="Schwarz"/>
    <s v="Brian"/>
    <s v="HO3 Seas/Sec"/>
    <s v="Arkville"/>
    <s v="NY"/>
    <m/>
    <n v="10"/>
    <n v="200000"/>
    <n v="200000"/>
    <x v="8"/>
    <s v="1958 dwelling w/full updates in 03-05.  30 min response time. $1.25 rate"/>
    <x v="1"/>
    <s v="Solid rate. "/>
    <m/>
    <m/>
    <s v="Patterson"/>
  </r>
  <r>
    <x v="165"/>
    <x v="0"/>
    <s v="MI"/>
    <s v="Danielle"/>
    <s v="Email"/>
    <s v="Chandler"/>
    <s v="Weston"/>
    <s v="DP1 "/>
    <m/>
    <s v="NY"/>
    <m/>
    <n v="5"/>
    <n v="140000"/>
    <n v="140000"/>
    <x v="10"/>
    <s v="1985 dwelling winterized. WBS primary heat. Roof and liab exclusion. Will be updated next year."/>
    <x v="0"/>
    <s v="Small winterized cabin ok w/o heat. Agt to underwrite WBS. Ck occupancy. Verify lapse. No water, no collapse coverage. "/>
    <m/>
    <m/>
    <s v="Patterson"/>
  </r>
  <r>
    <x v="165"/>
    <x v="0"/>
    <s v="MI"/>
    <s v="Rachel"/>
    <s v="Email"/>
    <s v="Reichard"/>
    <s v="Cynthia M. Schneider Living Trust, The"/>
    <s v="HO3 Primary"/>
    <s v="Bloomington"/>
    <s v="IN"/>
    <m/>
    <n v="3"/>
    <n v="783000"/>
    <n v="1683450"/>
    <x v="1"/>
    <s v="1924 dwelling with all updates. 2017 $146K water loss. ($10K water ded added). 2016 fire loss from attic fan malfunction $528K."/>
    <x v="0"/>
    <s v="15% addl s/c for size of losses. (Mitigated some with $10K water ded)."/>
    <m/>
    <m/>
    <s v="Patterson"/>
  </r>
  <r>
    <x v="165"/>
    <x v="9"/>
    <s v="CA"/>
    <s v="Lisa"/>
    <s v="Email"/>
    <s v="Dardis"/>
    <s v="John"/>
    <s v="HO3 Builders Risk"/>
    <s v="Pine Grove"/>
    <s v="CA"/>
    <m/>
    <n v="6"/>
    <n v="205000"/>
    <n v="215000"/>
    <x v="11"/>
    <s v="2016 home w/ detached storage structure. Building an attached garage - licensed contractor. Insd living there."/>
    <x v="1"/>
    <s v="OK for additional coverages since insd is living there."/>
    <m/>
    <m/>
    <s v="Patterson"/>
  </r>
  <r>
    <x v="165"/>
    <x v="0"/>
    <s v="MI"/>
    <s v="Jill"/>
    <s v="Email"/>
    <s v="Ron-Doug-Robert Liebl Living Est"/>
    <m/>
    <s v="DP1"/>
    <s v="Nashville "/>
    <s v="KS"/>
    <m/>
    <n v="10"/>
    <n v="160000"/>
    <n v="160000"/>
    <x v="8"/>
    <s v="1916 dwelling w/updates. 192 acres farmed and leased. Dwelling coverage only-x-liab. .64 rate quoted."/>
    <x v="0"/>
    <s v=".75 rate ($1,200). Confirm updates on OHQ (except water since DP1). Confirm condition w/inspection."/>
    <m/>
    <m/>
    <s v="Patterson"/>
  </r>
  <r>
    <x v="165"/>
    <x v="0"/>
    <s v="MI"/>
    <s v="Rachel"/>
    <s v="Email"/>
    <s v="Rosenquist"/>
    <s v="Thor"/>
    <s v="HO3 Seas/Sec"/>
    <s v="Leshara "/>
    <s v="NE"/>
    <m/>
    <n v="10"/>
    <n v="109700"/>
    <n v="136670"/>
    <x v="10"/>
    <s v="1920 dwelling w/WBS as heat. Updates to other systems. Prof installed WBS.  $1.06 rate"/>
    <x v="0"/>
    <s v="Adequate rate, lower value. Requested proper clearance to flammables and proper floor protection for safety."/>
    <m/>
    <m/>
    <s v="Patterson"/>
  </r>
  <r>
    <x v="166"/>
    <x v="9"/>
    <s v="CA"/>
    <s v="Kirk"/>
    <s v="Email"/>
    <s v="TBD"/>
    <m/>
    <s v="HO3 Primary"/>
    <m/>
    <m/>
    <m/>
    <m/>
    <m/>
    <m/>
    <x v="7"/>
    <s v="Home is located on Indian Leased Land and the tribe wants to be an AI"/>
    <x v="2"/>
    <s v="Generally tribal courts have jurisdiction over this land and individuals who reside on it. "/>
    <m/>
    <m/>
    <s v="Patterson"/>
  </r>
  <r>
    <x v="166"/>
    <x v="0"/>
    <s v="MI"/>
    <s v="Rachel"/>
    <s v="Email"/>
    <s v="Remond"/>
    <s v="William"/>
    <s v="DP3 Rental"/>
    <s v="Everett"/>
    <s v="PA"/>
    <m/>
    <n v="6"/>
    <n v="194000"/>
    <n v="204080"/>
    <x v="1"/>
    <s v="Built in 1925, partial plumbing update in 2016, partial heating update in 2013, full wiring update in 2014 and full roof update in 1987 (roof exclusion will be added). 1 loss at another rental (fire due to tenant negligence); quoted on DP1"/>
    <x v="1"/>
    <s v="loss on another premise, no insured negligence an DP1"/>
    <m/>
    <m/>
    <s v="Burdine"/>
  </r>
  <r>
    <x v="166"/>
    <x v="0"/>
    <s v="MI"/>
    <s v="Rachel"/>
    <s v="Email"/>
    <s v="El Moussa"/>
    <s v="Christina"/>
    <s v="HO3 Primary"/>
    <s v="Newport Beach"/>
    <s v="CA"/>
    <m/>
    <n v="2"/>
    <n v="1850000"/>
    <n v="3255000"/>
    <x v="3"/>
    <s v="Built in 1999, full updates to everything in 2015. Frame,PC2, no losses, not in brush, applicant high profile current co-host of house flipping show on HGTV"/>
    <x v="0"/>
    <s v="approved x-liability"/>
    <m/>
    <m/>
    <s v="Burdine"/>
  </r>
  <r>
    <x v="166"/>
    <x v="2"/>
    <s v="CA"/>
    <s v="Lucas"/>
    <s v="Email"/>
    <s v="The 2012 Jose Raul Cortes Trust"/>
    <s v="The 2012 Jose Raul Cortes Trust"/>
    <s v="HO3 Primary w/Rental"/>
    <s v="Canoga Park"/>
    <s v="CA"/>
    <m/>
    <n v="1"/>
    <n v="496000"/>
    <n v="1215200"/>
    <x v="2"/>
    <s v="Original trustee passed, successor  trustee in home, rents out basement. Has music lessons in home, so added TBE and home rental endorsement"/>
    <x v="1"/>
    <s v="debited 12% and appropriate exclusions in place"/>
    <m/>
    <m/>
    <s v="Burdine"/>
  </r>
  <r>
    <x v="166"/>
    <x v="2"/>
    <s v="CA"/>
    <s v="Kelly"/>
    <s v="Email"/>
    <s v="Moghavem"/>
    <s v="Sean &amp; Sharon"/>
    <s v="HO3 Primary"/>
    <s v="Beverly Hills"/>
    <s v="CA"/>
    <m/>
    <n v="1"/>
    <n v="1364000"/>
    <n v="2318000"/>
    <x v="0"/>
    <s v="Beverly Hills Risk, no brush, PC 1, TIV &lt;3M"/>
    <x v="1"/>
    <s v="Requested brush surcharge to be included (100-200 feet from brush)"/>
    <m/>
    <m/>
    <s v="Burdine"/>
  </r>
  <r>
    <x v="166"/>
    <x v="0"/>
    <s v="MI"/>
    <s v="Lindsay"/>
    <s v="Email"/>
    <s v="Marcous"/>
    <s v="Robert"/>
    <s v="HO3 Seas/Sec"/>
    <s v="Bailey Island"/>
    <s v="ME"/>
    <m/>
    <n v="6"/>
    <n v="234000"/>
    <n v="397800"/>
    <x v="10"/>
    <s v="Secondary home in ME. Frame, 2012 roof and PC6. Home is winterized in the cold months but no heat source. Looking for ACV"/>
    <x v="0"/>
    <s v="Requested it on a DP-1, complete the OHQ, confirm full roof replacement in 2012, no knob and tube or fuses. Surcharge 10% due to no heat and electrical and no water back up"/>
    <m/>
    <m/>
    <s v="Lazovik"/>
  </r>
  <r>
    <x v="167"/>
    <x v="7"/>
    <s v="MI"/>
    <s v="John"/>
    <s v="Email"/>
    <s v="Estes"/>
    <s v="Delores"/>
    <s v="HO3 Primary"/>
    <s v="Powell"/>
    <s v="KY"/>
    <m/>
    <n v="6"/>
    <n v="220000"/>
    <n v="300000"/>
    <x v="1"/>
    <s v="1986 dwelling w/no update info. Roof over 25 years old. UW quest re prior cancel/nrn blank on app. Fire dept first responder report included but not the full report; and no specific cause. Alludes to neighbors showing a/c seized up making noise. House already on fire then."/>
    <x v="4"/>
    <s v="Need C&amp;O or fire marshal report. Need uw quest answered. Possible roof exclusion"/>
    <m/>
    <m/>
    <s v="Patterson"/>
  </r>
  <r>
    <x v="167"/>
    <x v="0"/>
    <s v="MI"/>
    <s v="Lindsey"/>
    <s v="Email"/>
    <s v="Remond"/>
    <s v="William"/>
    <s v="DP3 Rental"/>
    <s v="Everett"/>
    <s v="PA"/>
    <m/>
    <n v="6"/>
    <n v="388000"/>
    <n v="412200"/>
    <x v="1"/>
    <s v="Built in 1900, partial plumbing update in 2018, partial heating update in 2014, full wiring update in 2017 and full roof update in 2017. Frame construction ,PC6, one loss over $100,000. loss at this rental (fire due to tenant negligence); quoted on DP1"/>
    <x v="0"/>
    <s v="Approved DP1, advised need to confirm loss cause since same location. Per applicant, it was caused by smoking of a prior tenant"/>
    <m/>
    <m/>
    <s v="Burdine"/>
  </r>
  <r>
    <x v="167"/>
    <x v="0"/>
    <s v="MI"/>
    <s v="Leslie"/>
    <s v="Email"/>
    <s v="Schill"/>
    <s v="James"/>
    <s v="HO3 Seas/Sec w/Rental"/>
    <s v="Alberton"/>
    <s v="MT"/>
    <m/>
    <n v="10"/>
    <n v="200000"/>
    <n v="295000"/>
    <x v="8"/>
    <s v="Renewal that was coded as PC 5 but really a PC10. 2016 risk with central alarms and metal roof. This is in a more remote area that has brush exposure in montana. Home cleared to 300'."/>
    <x v="4"/>
    <s v="Sent over as a PC9 but clearly a PC10. Awaiting suggested rate per guidelines for a PC10."/>
    <m/>
    <m/>
    <s v="Lazovik"/>
  </r>
  <r>
    <x v="167"/>
    <x v="0"/>
    <s v="MI"/>
    <s v="Rachel"/>
    <s v="Email"/>
    <s v="Ennis"/>
    <s v="Julia"/>
    <s v="HO3 Primary"/>
    <s v="Queenstown"/>
    <s v="MD"/>
    <m/>
    <n v="10"/>
    <n v="350000"/>
    <n v="665000"/>
    <x v="8"/>
    <s v="Primary home in MD with  PC 10 and horse boarding business on premise. Markel has business liability and ergo is excluded on this policy. Animal excl and TBE have been added."/>
    <x v="0"/>
    <s v="Business covered by Markel Equestrian insurance. Must confirm the insurable interest of Kristina Ennis. With the sprinklers and alarms, seems like a solid PC 10 option."/>
    <m/>
    <m/>
    <s v="Lazovik"/>
  </r>
  <r>
    <x v="167"/>
    <x v="2"/>
    <s v="CA"/>
    <s v="Gina"/>
    <s v="Email"/>
    <s v="Baker"/>
    <s v="Benjamin"/>
    <s v="HO3 Primary"/>
    <s v="Malibu"/>
    <s v="CA"/>
    <m/>
    <n v="1"/>
    <n v="700000"/>
    <n v="1020000"/>
    <x v="0"/>
    <s v="Malibu risk (restricted zip) 1952 dwelling all updated recently. Ran fireline - high 8. Not in brush but surrounded by brush so agt applied 20% s/c."/>
    <x v="0"/>
    <s v=" We have been approving non-brush risks in this zip. Fireline is good."/>
    <m/>
    <m/>
    <s v="Patterson"/>
  </r>
  <r>
    <x v="167"/>
    <x v="2"/>
    <s v="CA"/>
    <s v="Bobbi"/>
    <s v="Email"/>
    <s v="Freeman"/>
    <s v="Trisha"/>
    <s v="HO3 Primary"/>
    <s v="Hidden Hills"/>
    <s v="CA"/>
    <m/>
    <n v="2"/>
    <n v="3000000"/>
    <n v="3382200"/>
    <x v="0"/>
    <s v="Updated home in Hidden Hills, escrow closing tomorrow. Not in brush. Other carrier app. No OHQ. Roof is 10 years old. Barns, fencing, screened sports enclosure in photos. App says diving board and slide."/>
    <x v="0"/>
    <s v="Asked for addl info on animals, screened enclosure, pool, wiring. Need Acord and OHQ after binding."/>
    <m/>
    <m/>
    <s v="Patterson"/>
  </r>
  <r>
    <x v="168"/>
    <x v="2"/>
    <s v="CA"/>
    <s v="Lucas"/>
    <s v="Email"/>
    <s v="Navarrete"/>
    <s v="Pedro &amp; Mirella"/>
    <s v="HO3 Primary"/>
    <s v="San Diego"/>
    <s v="CA"/>
    <m/>
    <n v="2"/>
    <n v="2198500"/>
    <n v="4138500"/>
    <x v="0"/>
    <s v="San Diego risk, in high brush, being NR by current carrier due to brush score"/>
    <x v="2"/>
    <s v="TIV too high for CA brush"/>
    <m/>
    <m/>
    <s v="Burdine"/>
  </r>
  <r>
    <x v="168"/>
    <x v="2"/>
    <s v="CA"/>
    <s v="Kelly"/>
    <s v="Email"/>
    <s v="Goosefish Invest LLC"/>
    <m/>
    <s v="HO3 Primary"/>
    <s v="Malibu"/>
    <s v="CA"/>
    <m/>
    <n v="2"/>
    <n v="3159469"/>
    <n v="4157415"/>
    <x v="0"/>
    <s v="Quotes at $2500 and $5000 sent. Asking for only $50k for contents. 2007 home, PC 2 with central station fire and burglar alarms. State is primary residence, owned by an LLC. Listed for sale. Not sure if future purchase or currently vacant."/>
    <x v="4"/>
    <s v="Contents seem fairly low for home &gt; 4000 sq ft. Asked for LLC form, confirmation on occupancy and reason for low contents."/>
    <m/>
    <m/>
    <s v="Lazovik"/>
  </r>
  <r>
    <x v="169"/>
    <x v="7"/>
    <s v="MI"/>
    <s v="John "/>
    <s v="Email"/>
    <s v="Augys"/>
    <s v="Beata"/>
    <s v="HO3 Primary"/>
    <s v="Homer Glen"/>
    <s v="IL"/>
    <m/>
    <m/>
    <n v="350000"/>
    <n v="630000"/>
    <x v="1"/>
    <s v="1971  masonry veneer/frame home with cedar/wood/shingle siding."/>
    <x v="2"/>
    <s v="Open dog bite claim."/>
    <m/>
    <m/>
    <s v="Lazovik"/>
  </r>
  <r>
    <x v="170"/>
    <x v="0"/>
    <s v="MI"/>
    <s v="Jill"/>
    <s v="Email"/>
    <s v="Guntalilib"/>
    <s v="Johnny"/>
    <s v="HO3 Primary"/>
    <s v="Guadalupe"/>
    <s v="CA"/>
    <m/>
    <n v="4"/>
    <n v="305400"/>
    <n v="549740"/>
    <x v="1"/>
    <s v="Home built in 1994 frame. Updates in 2012 including roof. Roof is clay/tile. Large water loss of $186k in 2016. Annual roof and plumbing maintenance. Water damage deductible of $25k. Not in brush zone."/>
    <x v="0"/>
    <s v="Asked for roof age confirmation. 2012 tile roof with 2016 water leak does not seem likely. Applied 10% surcharge and agreed with the $25k water deductible"/>
    <m/>
    <m/>
    <s v="Lazovik"/>
  </r>
  <r>
    <x v="171"/>
    <x v="0"/>
    <s v="MI"/>
    <s v="David"/>
    <s v="Email"/>
    <s v="Lashley"/>
    <s v="Marilyn"/>
    <s v="DP3 Rental"/>
    <s v="Washington"/>
    <s v="DC"/>
    <m/>
    <n v="2"/>
    <n v="777500"/>
    <n v="1052000"/>
    <x v="7"/>
    <s v="1909 Rowhouse in DC. Fully gutted and renovated in 2005. PC2. Rental"/>
    <x v="0"/>
    <s v="Approved subject to water deductible. There is a flat roof. In addition, the row house needs to have a fire wall between the units"/>
    <m/>
    <m/>
    <s v="Lazovik"/>
  </r>
  <r>
    <x v="171"/>
    <x v="5"/>
    <s v="PA"/>
    <s v="MacKenzie"/>
    <s v="Email"/>
    <s v="Curtin"/>
    <s v="Robert"/>
    <s v="HO3 Builders Risk"/>
    <s v="Ocean Gate"/>
    <s v="NJ"/>
    <m/>
    <n v="5"/>
    <n v="469000"/>
    <n v="599000"/>
    <x v="7"/>
    <s v="1955 Frame with $200k in renovations scheduled with licensed and insured general contractor. The risk is ~1 mile from the coast. They have debited it 23.5%. "/>
    <x v="2"/>
    <s v="Risk is closer than 2 miles to the coast which is currently ineligible. Risks with interior only renovation can be considered, but this one is far more extensive and involves both interior and exterior work."/>
    <m/>
    <m/>
    <s v="Lazovik"/>
  </r>
  <r>
    <x v="171"/>
    <x v="0"/>
    <s v="MI"/>
    <s v="Danielle"/>
    <s v="Email"/>
    <s v="Shockley"/>
    <s v="Betty"/>
    <s v="HO3 Primary"/>
    <s v="Saint Louis"/>
    <s v="MO"/>
    <m/>
    <m/>
    <n v="305400"/>
    <m/>
    <x v="1"/>
    <s v="1957 masonry veneer is primary home with large fire loss ($379k) due to dryer malfunction. IS of 'G'. Roof, electrical and plumbing were updated fully in 2017 (post-fire?)"/>
    <x v="0"/>
    <s v="Approved subject to repair confirmation. Roof, electrical and plumbing were all updated in full in 2017. "/>
    <m/>
    <m/>
    <s v="Lazovik"/>
  </r>
  <r>
    <x v="172"/>
    <x v="0"/>
    <s v="MI"/>
    <s v="Danielle"/>
    <s v="Email"/>
    <s v="Tuverson-Perkins"/>
    <s v="Leslie"/>
    <s v="HO3 Primary"/>
    <s v="Boulder"/>
    <s v="CO"/>
    <m/>
    <n v="3"/>
    <n v="812000"/>
    <n v="1461600"/>
    <x v="1"/>
    <s v="2003 dwelling. Boat loss where drunk friend jumped off back of boat when son was backing up. Achilles injury. Policy paid limits and insured had to pay too. Insd still owns boat."/>
    <x v="0"/>
    <s v="X-liab if they still have boat.  If they sell, we can insure."/>
    <m/>
    <m/>
    <s v="Patterson"/>
  </r>
  <r>
    <x v="172"/>
    <x v="0"/>
    <s v="MI"/>
    <s v="Rachel"/>
    <s v="Email"/>
    <s v="Malone"/>
    <s v="Roy L"/>
    <s v="HO3 Primary"/>
    <s v="Garden Valley"/>
    <s v="CA"/>
    <m/>
    <n v="9"/>
    <n v="265000"/>
    <n v="450500"/>
    <x v="2"/>
    <s v="2012 dwelling rated as brush as RiskMeter not producing a result. Prior NRN due to FireLine w/admitted carrier. Insd has 85 acres with chickens and 7 sheep used for weed abatement. No farming.  Agt applied animal exclusion."/>
    <x v="0"/>
    <s v="Will verify no large barns and how dwelling is situated on the acreage. With no animal liab, risk is average. Brush s/c applied. FireLine is a zip match, but not above 9."/>
    <m/>
    <m/>
    <s v="Patterson"/>
  </r>
  <r>
    <x v="148"/>
    <x v="0"/>
    <s v="MI"/>
    <s v="Jeffrey"/>
    <s v="Email"/>
    <s v="Palmer"/>
    <s v="John"/>
    <s v="DP3 Rental"/>
    <s v="Lemon Grove"/>
    <s v="CA"/>
    <m/>
    <n v="1"/>
    <n v="264000"/>
    <n v="321000"/>
    <x v="1"/>
    <s v="1953 w/full updates in 2018. Fire loss, undetermined on 7/15/17. $130,000. Report provided is first responder fire dept report."/>
    <x v="0"/>
    <s v="This was submitted by another retail agent.  This quote has different coverages. New agt wanted matching rate, but coverages are higher."/>
    <s v="Same terms: Rate as 2 family. Definitely want fire marshal report to give us more info. Decline if we can't get comfortable with a cause. No adverse online info. Not agreeing to matching rate for diff coverages."/>
    <m/>
    <s v="Patterson"/>
  </r>
  <r>
    <x v="173"/>
    <x v="2"/>
    <s v="CA"/>
    <s v="Michelle"/>
    <s v="Email"/>
    <s v="Eckerman"/>
    <s v="Rodney"/>
    <s v="HO3 Primary"/>
    <s v="Malibu"/>
    <s v="CA"/>
    <m/>
    <n v="5"/>
    <n v="2000000"/>
    <n v="3400000"/>
    <x v="7"/>
    <s v="2018 newly built frame home in Malibu. Primary home near brush. Agent has 15% surcharge for the location. "/>
    <x v="1"/>
    <s v="Great risk, all new. There are central alarms. Close to the fire department (PPC not given)"/>
    <m/>
    <m/>
    <s v="Lazovik"/>
  </r>
  <r>
    <x v="173"/>
    <x v="2"/>
    <s v="CA"/>
    <s v="Michelle"/>
    <s v="Email"/>
    <s v="Cauzza"/>
    <s v="Jarod"/>
    <s v="HO3 Primary"/>
    <s v="Vista"/>
    <s v="CA"/>
    <m/>
    <n v="5"/>
    <n v="600000"/>
    <n v="1121000"/>
    <x v="5"/>
    <s v="Primary frame home built in 1960. They have Also, the livestock they plan on keeping at this farm is a follow: _x000a_Mini Horses (x2) - not for pony rides, Rabbits (x2), Goats (x2), Mini Pigs (x2), Alpacas (x2), Chickens (x12), Peafowl (x2). Allow for limited tours for families and children, using the home grown vegetables to allow visitors to feed."/>
    <x v="2"/>
    <s v="Due to the nature of the business and the potential liability (even with our exclusions) we would have exorbitant defense costs that make this inadmissible to the program"/>
    <m/>
    <m/>
    <s v="Lazovik"/>
  </r>
  <r>
    <x v="173"/>
    <x v="2"/>
    <s v="CA"/>
    <s v="Bobbi"/>
    <s v="Email"/>
    <s v="Kriezel"/>
    <s v="Curtiss"/>
    <s v="HO3 Primary"/>
    <s v="Wrightwood"/>
    <s v="CA"/>
    <m/>
    <n v="2"/>
    <n v="160000"/>
    <n v="225000"/>
    <x v="7"/>
    <s v="1957 home fully updated in the 70's-90s however it is unknown if there is lead plumbing. Agent applied $5,000 water damage deductible but wants to know if they can bind with water damage exclusion and remove if no lead."/>
    <x v="0"/>
    <s v="Home looks to be in ok condition (listed online). The roof appears to be older and have asked for ACV settlement. There is also what appears to be a terraced area in the back. Have asked agent to review the area and take appropriate action if warranted."/>
    <m/>
    <m/>
    <s v="Lazovik"/>
  </r>
  <r>
    <x v="173"/>
    <x v="2"/>
    <s v="CA"/>
    <s v="Melissa"/>
    <s v="Email"/>
    <s v="Uhlinger"/>
    <s v="Michael"/>
    <m/>
    <m/>
    <m/>
    <m/>
    <m/>
    <m/>
    <m/>
    <x v="7"/>
    <s v="Insured wanted to add previous owner as additional insured as they will be financing the home through them."/>
    <x v="1"/>
    <s v="Since it is the insured asking for the additional insured and they are attesting to the financial interest, I’d be comfortable adding the previous owner as additional insured without any documentation. Additional insured gets their name on any claim checks which seems appropriate.  If it was the previous owner asking to be added, I’d make them prove their interest."/>
    <m/>
    <m/>
    <s v="Lazovik"/>
  </r>
  <r>
    <x v="173"/>
    <x v="0"/>
    <s v="MI"/>
    <s v="Leslie"/>
    <s v="Email"/>
    <s v="Barndt"/>
    <s v="Richard"/>
    <s v="HO3 Primary"/>
    <s v="Riverside"/>
    <s v="CA"/>
    <m/>
    <n v="4"/>
    <n v="294000"/>
    <n v="558600"/>
    <x v="0"/>
    <s v="Brush exposed home. PC4. Has active claim that is newly reported due to wild fire. Inspection shows they are underinsured and want to increase coverage. After receiving new inspection, brush and dead trees have not been removed. Asking for them to be mitigated before increasing coverage. Also flagging for renewal pending confirmation this has been done."/>
    <x v="0"/>
    <s v="Subject to correct occupancy and brush removal they are approved for the increase."/>
    <m/>
    <m/>
    <s v="Lazovik"/>
  </r>
  <r>
    <x v="174"/>
    <x v="3"/>
    <s v="MA"/>
    <s v="Brendan"/>
    <s v="Email"/>
    <s v="Cazorla"/>
    <s v="Miguel"/>
    <s v="DP3 Rental"/>
    <s v="Paterson"/>
    <s v="NJ"/>
    <m/>
    <n v="5"/>
    <n v="768000"/>
    <n v="1020400"/>
    <x v="1"/>
    <s v="Open Claim for fire 8/20/2017. Frame home built in 1928. Two family owner occupied rental. Application states complete wiring, plumbing, heating and roofing updated in 2017."/>
    <x v="2"/>
    <s v="Open claim and fire investigation not complete. Also note that no smoke detectors were not present in home. AC unit caught fire and spread to mattress and box spring on floor.  Search online mentions 6 units available in this building. Did not ask for clarification of fire wall between the two halves due to declination of fire investigation"/>
    <m/>
    <m/>
    <s v="Lazovik"/>
  </r>
  <r>
    <x v="174"/>
    <x v="0"/>
    <s v="MI"/>
    <s v="Alexa"/>
    <s v="Email"/>
    <s v="Shivpuri"/>
    <s v="Sanjay"/>
    <s v="HO3 Primary"/>
    <s v="South Barrington"/>
    <s v="IL"/>
    <m/>
    <m/>
    <n v="141478410"/>
    <n v="1774092"/>
    <x v="1"/>
    <s v="Brick home built in 1993. Repairs from fire getting wrapped up for effective November policy. Indoor pool."/>
    <x v="0"/>
    <s v="Provided the repairs are completed, the home looks good. Asked for roof exclusion if not completely replaced as roof would be 25 years old. TIV in app is much larger than the actual replacement value. Approve the replacement cost"/>
    <m/>
    <m/>
    <s v="Lazovik"/>
  </r>
  <r>
    <x v="174"/>
    <x v="2"/>
    <s v="CA"/>
    <s v="Melissa"/>
    <s v="Email"/>
    <s v="Dunbar"/>
    <s v="Ed"/>
    <s v="HO3 Primary"/>
    <m/>
    <m/>
    <m/>
    <m/>
    <m/>
    <m/>
    <x v="6"/>
    <s v="Policy lapsed due to lack of funds. Referred to see if we would approve, with a signed no loss, without a lapse"/>
    <x v="1"/>
    <s v="Within guidelines - referral not needed."/>
    <m/>
    <m/>
    <s v="Lazovik"/>
  </r>
  <r>
    <x v="174"/>
    <x v="0"/>
    <s v="MI"/>
    <s v="David"/>
    <s v="Email"/>
    <s v="Lacy"/>
    <s v="Tom"/>
    <s v="DP3 Rental"/>
    <s v="Cornville"/>
    <s v="AZ"/>
    <m/>
    <n v="5"/>
    <n v="860000"/>
    <n v="1381000"/>
    <x v="2"/>
    <s v="1997 nice dwelling with large barn, fenced area, treehouse. Agt proposed to exclude 90x47 pond/waterfall."/>
    <x v="0"/>
    <s v="Treehouses are ineligible in most of our programs. To exclude pond and to ensure no issue w/treehouse liab, exclude liab overall. Also Building Excl for treehouse. Confirm no farm, no biz, no animals. "/>
    <m/>
    <s v="Patterson"/>
    <s v="Patterson"/>
  </r>
  <r>
    <x v="175"/>
    <x v="7"/>
    <s v="MI"/>
    <s v="Lori"/>
    <s v="Email"/>
    <s v="Estate of Patrick J &amp; Carlotta Davis"/>
    <m/>
    <s v="DP3 Vacant"/>
    <s v="Freeport"/>
    <s v="IL"/>
    <m/>
    <m/>
    <n v="233700"/>
    <n v="520000"/>
    <x v="1"/>
    <s v="1964 dwelling. No update info. Prior water loss 7/17 $1000.  Also claim 2/17 - mentally ill adult son living in home murdered both parents. Claim was for cleanup. Agt asking for quote with roof exclusion."/>
    <x v="2"/>
    <s v="Discussed with Bethany who discussed with Audrey. Concern with moral hazard with house not selling."/>
    <m/>
    <m/>
    <s v="Patterson"/>
  </r>
  <r>
    <x v="175"/>
    <x v="2"/>
    <s v="CA"/>
    <s v="Kelly"/>
    <s v="Email"/>
    <s v="Smith"/>
    <s v="Frank"/>
    <s v="HO3 Primary"/>
    <s v="Los Angeles"/>
    <s v="CA"/>
    <m/>
    <n v="1"/>
    <n v="1000000"/>
    <n v="1650000"/>
    <x v="7"/>
    <s v="House built in 1947, completely updated in 2006. PC1 in the Hollywood hills. New purchase and low brush."/>
    <x v="1"/>
    <s v="Not sure why it was referred. House looks great. Listed on line and in excellent condition."/>
    <m/>
    <m/>
    <s v="Lazovik"/>
  </r>
  <r>
    <x v="175"/>
    <x v="11"/>
    <s v="LA"/>
    <s v="Hillary"/>
    <s v="Email"/>
    <s v="Seat"/>
    <s v="Robert"/>
    <s v="HO3 Primary"/>
    <s v="Cameron"/>
    <s v="LA"/>
    <m/>
    <n v="6"/>
    <n v="300000"/>
    <n v="495000"/>
    <x v="7"/>
    <s v="Frame (stilts) home built in 2011. PC 6 with metal roof. Location is about 250' from coast which makes it ineligible for the program"/>
    <x v="2"/>
    <s v="Too close to the coast. Nothing between the house and the water except some sand. Guideline is 1000'."/>
    <m/>
    <m/>
    <s v="Lazovik"/>
  </r>
  <r>
    <x v="175"/>
    <x v="0"/>
    <s v="MI"/>
    <s v="Rachel"/>
    <s v="Email"/>
    <s v="Eyre"/>
    <s v="Richard"/>
    <s v="HO3 Primary"/>
    <s v="Woodstock"/>
    <s v="IL"/>
    <m/>
    <n v="9"/>
    <n v="421000"/>
    <n v="884350"/>
    <x v="5"/>
    <s v="Attached is a primary home in IL. Built in 1910, full updates to wiring and plumbing in 2001, heating in 2003 and roof in 2004. There is a professionally installed woodstove for secondary heat, . Frame,PC9, no losses. Business on the premises is a tree nursery. Some limited foot traffic. Separate coverage for business with commercial policy. TBE applied. Insurance score is an A.  There is a lapse since 11/2/2016. Insured says she did not receive any bills or cancel notices from Hartford. She just found out it had been non-renewed."/>
    <x v="0"/>
    <s v="Commercial policy will handle the business in addition to our TBE. Require an underlying GL policy to mitigate our exposure to the customers and exclude all outbuildings associated with the business."/>
    <m/>
    <m/>
    <s v="Lazovik"/>
  </r>
  <r>
    <x v="176"/>
    <x v="2"/>
    <s v="CA"/>
    <s v="Gina"/>
    <s v="Email"/>
    <s v="Stevenson"/>
    <s v="Dane"/>
    <s v="HO3 Primary"/>
    <m/>
    <m/>
    <m/>
    <m/>
    <m/>
    <m/>
    <x v="1"/>
    <s v="Referred because they want to reduce the deductible from $20k for water"/>
    <x v="0"/>
    <s v="Confirm full mitigation measures taken since the large loss."/>
    <m/>
    <m/>
    <s v="Lazovik"/>
  </r>
  <r>
    <x v="176"/>
    <x v="0"/>
    <s v="MI"/>
    <s v="Alexa"/>
    <s v="Email"/>
    <s v="Herrera"/>
    <s v="Leonel"/>
    <s v="DP3 Vacant"/>
    <s v="Vermillion"/>
    <s v="SD"/>
    <m/>
    <n v="10"/>
    <n v="477000"/>
    <n v="524700"/>
    <x v="1"/>
    <s v="1997 frame home vacant and for sale by son as estate of parents'. PC code not given. Large freezing claim on 1/19/2018. would like DP-3. Roof is original and 11 years old. Was USAA policy."/>
    <x v="0"/>
    <s v="Will approve as a DP-1 with documentation water loss repair is complete. If DP-3 must apply water exclusion. Must attach absolute mold and existing damage endorsements. Also need to update PPC to 10, not 3. Fire department is over 8 miles away and no hydrants."/>
    <m/>
    <m/>
    <s v="Lazovik"/>
  </r>
  <r>
    <x v="176"/>
    <x v="2"/>
    <s v="CA"/>
    <s v="Lucas"/>
    <s v="Email"/>
    <s v="Fields"/>
    <s v="Terrea"/>
    <s v="HO3 Primary"/>
    <s v="South Lake Tahoe"/>
    <s v="CA"/>
    <m/>
    <m/>
    <n v="2014000"/>
    <n v="3618900"/>
    <x v="0"/>
    <s v="1981 home in PC4 non-brush zone with central station fire and burglar alarms."/>
    <x v="0"/>
    <s v="The home is an open foundation built on wooden piers. Waiting for confirmation of prior policy expiration of 10/2014. Confirmed there has not been a lapse. Approved subject to occupancy. They are stating primary but it appears they are there seasonally."/>
    <m/>
    <m/>
    <s v="Lazovik"/>
  </r>
  <r>
    <x v="176"/>
    <x v="0"/>
    <s v="MI"/>
    <s v="Rachel"/>
    <s v="Email"/>
    <s v="Van"/>
    <s v="Marilyn"/>
    <s v="HO3 Primary"/>
    <s v="Ontario"/>
    <s v="CA"/>
    <m/>
    <n v="2"/>
    <n v="550000"/>
    <n v="990000"/>
    <x v="5"/>
    <s v="Frame home build in 1958, with full wiring 2001, heating in 2007, roof in 2005 and partial plumbing in 2014. PC 2 with no losses. Business on the premises is a supply company and has a rental agreement. Total Business Exclusion will be applied"/>
    <x v="2"/>
    <s v="The business appears to run over onto the property (picture on google from February 2018). Not sure the TBE would completely negate the exposure."/>
    <m/>
    <m/>
    <s v="Lazovik"/>
  </r>
  <r>
    <x v="177"/>
    <x v="5"/>
    <s v="PA"/>
    <s v="MacKenzie"/>
    <s v="Email"/>
    <s v="Evergreen Property Consultants"/>
    <m/>
    <s v="DP3 Builders Risk"/>
    <s v="Cherry Hill"/>
    <s v="NJ"/>
    <m/>
    <n v="5"/>
    <n v="304000"/>
    <n v="304000"/>
    <x v="11"/>
    <s v="BR has taken two years to complete. 1954 home  undergoing full renovations. Only kitchen remains and renews on 9/23/2018. Looking for renewal to the end of October. PC 5 frame home. Looking to increase coverage A value based on inspection in 2017 (should have been upped then)."/>
    <x v="0"/>
    <s v="Discussed with Jeff. Approved for 3 month fully earned BR. As soon as renovations are done, they need to write a vacant policy as the builders risk no longer applies. Tammi called asking for clarification based on previous experience. The guidelines explain that the risk can be written as a vacant with a builders risk endorsement. They are approved providing they use the vacant occupancy for rating (per the guidelines)."/>
    <m/>
    <m/>
    <s v="Lazovik"/>
  </r>
  <r>
    <x v="177"/>
    <x v="0"/>
    <s v="MI"/>
    <s v="Jill"/>
    <s v="Email"/>
    <s v="Marquis"/>
    <s v="Jayson"/>
    <s v="DP3 Primary"/>
    <s v="Poplar Bluff"/>
    <s v="MO"/>
    <m/>
    <n v="8"/>
    <n v="170000"/>
    <n v="395000"/>
    <x v="5"/>
    <s v="Primary home built in 2014. Runs boat business on the property (selling and customizing). Foot traffic from customers coming to get their boats."/>
    <x v="2"/>
    <s v="Not interested in this risk due to the exposure."/>
    <m/>
    <m/>
    <s v="Lazovik"/>
  </r>
  <r>
    <x v="177"/>
    <x v="3"/>
    <s v="MA"/>
    <s v="Barbara"/>
    <s v="Email"/>
    <s v="McQuillian"/>
    <s v="Noel"/>
    <s v="HO3 Primary"/>
    <s v="Unknown"/>
    <s v="CT"/>
    <m/>
    <s v="Unknown"/>
    <s v="Unknown"/>
    <s v="Unknown"/>
    <x v="1"/>
    <s v="Not given much information regarding the risk. The insured has one closed claim (no payment) for providing under aged minor with alcohol which lead to fatal accident. "/>
    <x v="0"/>
    <s v="Approved but without liability."/>
    <m/>
    <m/>
    <s v="Lazovik"/>
  </r>
  <r>
    <x v="177"/>
    <x v="0"/>
    <s v="MI"/>
    <s v="Rachel"/>
    <s v="Email"/>
    <s v="Poquette"/>
    <s v="Aimee"/>
    <s v="HO3 Primary"/>
    <s v="Dewitt"/>
    <s v="MI"/>
    <m/>
    <n v="5"/>
    <n v="391400"/>
    <n v="782800"/>
    <x v="5"/>
    <s v="Home built in 1920 with full updates to wiring and roofing in 2018. Heating and plumbing updated in 2000. They are running a bookstore out of their attached pole barn. The barn is attached via a breezeway which is one concern. The photos included with the referral show a door frame out of line on the back patio, siding issues next to the side door and a porch with mildew and potential rot."/>
    <x v="0"/>
    <s v="The business itself is only online. The pole barn just stores the books. Burns is rushing an inspection and providing an EHQ to confirm the condition of the home is good."/>
    <m/>
    <m/>
    <s v="Lazovik"/>
  </r>
  <r>
    <x v="178"/>
    <x v="0"/>
    <s v="MI"/>
    <s v="Danielle"/>
    <s v="Email"/>
    <s v="Martinez"/>
    <s v="David"/>
    <s v="HO3 Primary"/>
    <s v="Bakersfield"/>
    <s v="CA"/>
    <m/>
    <n v="2"/>
    <n v="735000"/>
    <n v="1323000"/>
    <x v="1"/>
    <s v="1935 frame home with monitored burglar alarm. One large water loss on 12/26/2017 for $124k. While repairs begetting done, burglary occurred. Burns recommending $25k water damage deductible. Asking plumbing types remaining to be confirmed (no lead, galvanized or cast iron)"/>
    <x v="0"/>
    <s v="Asking for plumbing types to be confirmed. Home looks good. Attach absolute mold. If any questionable plumbing left then attach water exclusion."/>
    <m/>
    <m/>
    <s v="Lazovik"/>
  </r>
  <r>
    <x v="178"/>
    <x v="8"/>
    <s v="NC"/>
    <s v="Tamara"/>
    <s v="Email"/>
    <s v="Ervin"/>
    <s v="Daniel"/>
    <s v="HO6 "/>
    <s v="Charleston"/>
    <s v="SC"/>
    <m/>
    <n v="3"/>
    <n v="450000"/>
    <n v="750000"/>
    <x v="0"/>
    <s v="TIV is over authority of $500k. Masonry home built in 1820. Not provided any other information"/>
    <x v="4"/>
    <s v="Need more information about the risk due to the age of home."/>
    <m/>
    <m/>
    <s v="Lazovik"/>
  </r>
  <r>
    <x v="178"/>
    <x v="2"/>
    <s v="CA"/>
    <s v="Michelle"/>
    <s v="Email"/>
    <s v="Kambur"/>
    <s v="Paul"/>
    <s v="HO3 Primary"/>
    <s v="Encino"/>
    <s v="CA"/>
    <m/>
    <n v="1"/>
    <n v="2500000"/>
    <n v="4400000"/>
    <x v="1"/>
    <s v="Two very high water losses 7/2017 (1.2M) and 8/2017 ($235k). Roll roofing has been installed, so Roof exclusion needed. Looking for high water deductible. Frame home built in 2011 with central smoke and burglar alarms. "/>
    <x v="0"/>
    <s v="Water exclusion applied, roof exclusion applied as rolled roof life expectancy is 7-8 years,  no water backup and additional 25% surcharge for the water losses."/>
    <m/>
    <m/>
    <s v="Lazovik"/>
  </r>
  <r>
    <x v="178"/>
    <x v="2"/>
    <s v="CA"/>
    <s v="Michelle"/>
    <s v="Email"/>
    <s v="Sandberg"/>
    <s v="Curtis"/>
    <s v="HO3 Builders Risk"/>
    <s v="Encinitas"/>
    <s v="CA"/>
    <m/>
    <m/>
    <n v="2000000"/>
    <n v="2150000"/>
    <x v="11"/>
    <s v="Home had large fire loss. Contractor stopped working and needed a new one. Getting dropped due to length of repairs taking &gt; 2 years. 6600+ Sq feet home. "/>
    <x v="3"/>
    <s v="Asking for more information regarding contractor dispute and any other info (such as photos) to determine whether we will take this on. Lawsuit against original contractor filed in July. Photos of home show high quality, large home with finishing work needed."/>
    <m/>
    <m/>
    <s v="Lazovik"/>
  </r>
  <r>
    <x v="178"/>
    <x v="0"/>
    <s v="MI"/>
    <s v="Leslie"/>
    <s v="Email"/>
    <s v="Heinrich"/>
    <s v="Robert"/>
    <s v="HO3 Primary"/>
    <s v="Racine"/>
    <s v="WI"/>
    <m/>
    <n v="3"/>
    <n v="849589"/>
    <n v="1450937"/>
    <x v="1"/>
    <s v="Newly rebuilt dwelling. Large fire loss in 2016. Just completed renovations. Roof, electric, plumbing and heating all new in 2017."/>
    <x v="1"/>
    <s v="Reviewed fire report - due to lightning. Premium lower due to high insurance score. 1928 home has been completely updated due to the large fire loss"/>
    <m/>
    <m/>
    <s v="Lazovik"/>
  </r>
  <r>
    <x v="178"/>
    <x v="2"/>
    <s v="CA"/>
    <s v="Melissa"/>
    <s v="Email"/>
    <s v="Day"/>
    <s v="Richard"/>
    <s v="HO3 Primary"/>
    <m/>
    <m/>
    <m/>
    <m/>
    <m/>
    <m/>
    <x v="7"/>
    <s v="Wanted to know if they could add the property manager as an additional interest. "/>
    <x v="1"/>
    <s v="Additional interest is ok for property manager. Additional insured is not. They are good."/>
    <m/>
    <m/>
    <s v="Lazovik"/>
  </r>
  <r>
    <x v="179"/>
    <x v="2"/>
    <s v="CA"/>
    <s v="Tina"/>
    <s v="Email"/>
    <s v="Trevino"/>
    <s v="Josie"/>
    <m/>
    <m/>
    <m/>
    <m/>
    <m/>
    <m/>
    <m/>
    <x v="6"/>
    <s v="Requesting a backdate to avoid a lapse. Asked for more information"/>
    <x v="4"/>
    <s v="Need more information about the lapse"/>
    <m/>
    <m/>
    <s v="Lazovik"/>
  </r>
  <r>
    <x v="179"/>
    <x v="2"/>
    <s v="CA"/>
    <s v="Michelle"/>
    <s v="Email"/>
    <s v="Brady"/>
    <s v="Brian"/>
    <m/>
    <m/>
    <m/>
    <m/>
    <m/>
    <m/>
    <m/>
    <x v="7"/>
    <s v="Requesting flat cancellation as insured did not take possession of the house"/>
    <x v="1"/>
    <s v="Never had the home therefore it was never inforce"/>
    <m/>
    <m/>
    <s v="Lazovik"/>
  </r>
  <r>
    <x v="179"/>
    <x v="7"/>
    <s v="MI"/>
    <s v="Cheryl"/>
    <s v="Email"/>
    <s v="Messenger"/>
    <s v="Andrew"/>
    <s v="HO3 Primary"/>
    <m/>
    <m/>
    <m/>
    <m/>
    <m/>
    <m/>
    <x v="1"/>
    <s v="Multiple water losses for this insured. Two on the primary home and one on their secondary home. Cheryl is asking to match a lower quote"/>
    <x v="4"/>
    <s v="Asking for information about the quote."/>
    <m/>
    <m/>
    <s v="Lazovik"/>
  </r>
  <r>
    <x v="179"/>
    <x v="0"/>
    <s v="MI"/>
    <s v="Rachel"/>
    <s v="Email"/>
    <s v="Allgood"/>
    <s v="Debra"/>
    <s v="DP3 Builders Risk"/>
    <s v="Naperville"/>
    <s v="IL"/>
    <m/>
    <n v="2"/>
    <n v="170000"/>
    <n v="187000"/>
    <x v="1"/>
    <s v="1939 frame home. Large loss on January 29th, 2018 for fire with open reserves of $105k. They are using a licensed and insured contractor (and all subs)."/>
    <x v="0"/>
    <s v="Mostly water damage at the back of the house."/>
    <m/>
    <m/>
    <s v="Lazovik"/>
  </r>
  <r>
    <x v="180"/>
    <x v="0"/>
    <s v="MI"/>
    <s v="Rachel"/>
    <s v="Email"/>
    <s v="Ruiz"/>
    <s v="Jose"/>
    <s v="HO3 Seas/Sec"/>
    <s v="Como"/>
    <s v="CO"/>
    <m/>
    <n v="10"/>
    <n v="300000"/>
    <n v="475000"/>
    <x v="8"/>
    <s v="PC10 home built in 2016. Everything looks good (via zillow listing). "/>
    <x v="1"/>
    <s v="Discussed with Jeff. This is a renewal that Rachel caught was marked as a PC 6 when in fact it is a PC10 with a 16 minute response time (on dirt road). Provided the TIV is not too high and the risk looks good, Jeff gave the OK. Based on real estate listing, it is in excellent condition built in 2016."/>
    <m/>
    <m/>
    <s v="Lazovik"/>
  </r>
  <r>
    <x v="180"/>
    <x v="0"/>
    <s v="MI"/>
    <s v="Jill"/>
    <s v="Email"/>
    <s v="Weddle Family Trust"/>
    <m/>
    <s v="HO3 Primary"/>
    <s v="Arnold"/>
    <s v="CA"/>
    <m/>
    <n v="4"/>
    <n v="399000"/>
    <n v="635600"/>
    <x v="0"/>
    <s v="1992 home, 2 story frame. The request is to increase TIV based on the latest inspection. 19 miles from 90% contained fire"/>
    <x v="1"/>
    <s v="Already insuring the property. Almost far enough away that we would insure a new property here"/>
    <m/>
    <m/>
    <s v="Lazovik"/>
  </r>
  <r>
    <x v="180"/>
    <x v="2"/>
    <s v="CA"/>
    <s v="Bobbi"/>
    <s v="Email"/>
    <s v="Harrasser"/>
    <s v="Mary"/>
    <s v="DP3 Vacant"/>
    <s v="Granada Hills"/>
    <s v="CA"/>
    <m/>
    <n v="4"/>
    <n v="550000"/>
    <n v="610000"/>
    <x v="1"/>
    <s v="1961 vacant home built in 1961. Frame home without alarms. Home was rented and a tenant caused damages"/>
    <x v="1"/>
    <s v="Looks like a good risk online (sale is listed as pending). Tenant was angry with the landlord. Way insurer listed the claims was by separate coverages. Asked for 1 claim and that is fine"/>
    <m/>
    <m/>
    <s v="Lazovik"/>
  </r>
  <r>
    <x v="180"/>
    <x v="2"/>
    <s v="CA"/>
    <s v="Michelle"/>
    <s v="Email"/>
    <s v="Haywood"/>
    <s v="Michael"/>
    <s v="HO3 Primary"/>
    <s v="Carlsbad"/>
    <s v="CA"/>
    <m/>
    <n v="3"/>
    <n v="2410000"/>
    <n v="3540000"/>
    <x v="0"/>
    <s v="Frame home built in 2007. Tile roof looks like it has multiple broken tiles. Rest of the home looks very nice and well cared for - just the roof is an issue."/>
    <x v="0"/>
    <s v="Requiring ACV Roof or exclusion. Michelle sent the quote out without approval after realizing the ACV was incorrect on her end. Risk looked fine (except the roof). I did request she let us know if we are on it."/>
    <m/>
    <m/>
    <s v="Lazovik"/>
  </r>
  <r>
    <x v="180"/>
    <x v="0"/>
    <s v="MI"/>
    <m/>
    <s v="Email"/>
    <s v="Carter"/>
    <s v="Jeffrey"/>
    <s v="HO3 Primary"/>
    <s v="Wrightwood"/>
    <s v="CA"/>
    <m/>
    <m/>
    <n v="750000"/>
    <n v="1575000"/>
    <x v="7"/>
    <s v="Home referred due to fire within 20 miles. Fork fire is 98.8% contained and will not be considered 100% until fire lines replaced (per ranger contacted by agent)"/>
    <x v="1"/>
    <s v="No active fire - just hot spots. Will not be considered out until lines replaced"/>
    <m/>
    <m/>
    <s v="Lazovik"/>
  </r>
  <r>
    <x v="181"/>
    <x v="0"/>
    <s v="MI"/>
    <s v="Rachel"/>
    <s v="Email"/>
    <s v="Piglitsin"/>
    <s v="Vyacheslav"/>
    <s v="HO3 Builders Risk"/>
    <s v="Sacramento"/>
    <s v="CA"/>
    <m/>
    <n v="2"/>
    <n v="243000"/>
    <n v="437400"/>
    <x v="1"/>
    <s v="Losses was in 2016 due to faulty fires in roof which was redone. App says home built in 2016 (seems off). "/>
    <x v="0"/>
    <s v="Googled home shows a junk yard or something nearby. Gave approval subject to confirmation no business."/>
    <m/>
    <m/>
    <s v="Lazovik"/>
  </r>
  <r>
    <x v="181"/>
    <x v="2"/>
    <s v="CA"/>
    <s v="Michelle"/>
    <s v="Email"/>
    <s v="Joswiak"/>
    <s v="Greg"/>
    <s v="HO3 Seas/Sec"/>
    <s v="Half Moon Bay"/>
    <s v="CA"/>
    <m/>
    <n v="10"/>
    <n v="1065000"/>
    <n v="1970250"/>
    <x v="0"/>
    <s v="1980 frame home to be used as secondary. Joswiak is a higher profile insured as the VP for Product marketing at Apple. Roof needs replacing per the inspection. Balcony damage found, pre-existing damage endorsement. Trees must be trimmed back from home. All fascia, roof eaves must be fixed. Exposed electrical circuit breaker in the garage. Heat shield needed in the attic. light over a tub and GFCI in bathrooms"/>
    <x v="2"/>
    <s v="Due to condition of home, we will decline"/>
    <m/>
    <m/>
    <s v="Lazovik"/>
  </r>
  <r>
    <x v="181"/>
    <x v="2"/>
    <s v="CA"/>
    <s v="Michelle"/>
    <s v="Email"/>
    <s v="De Silva"/>
    <s v="Sunil"/>
    <s v="HO3 Primary"/>
    <s v="Pasadena"/>
    <s v="CA"/>
    <m/>
    <n v="2"/>
    <n v="1800000"/>
    <n v="3300000"/>
    <x v="0"/>
    <s v="Home located in PC2 brush. Stucco frame built in 1917 with all new updates in 2018."/>
    <x v="0"/>
    <s v="Home looks lovely but brush is right up against the home which isn't allowable with brush. Must confirm through inspection that the 150' defensible barrier is present or we cannot bind."/>
    <m/>
    <m/>
    <s v="Lazovik"/>
  </r>
  <r>
    <x v="182"/>
    <x v="0"/>
    <s v="MI"/>
    <s v="David"/>
    <s v="Email"/>
    <s v="Erdmann"/>
    <s v="Paul"/>
    <s v="HO3 Seas/Sec"/>
    <s v="Watersmeet"/>
    <s v="MI"/>
    <m/>
    <s v="10W"/>
    <n v="1750000"/>
    <n v="2500500"/>
    <x v="8"/>
    <s v="New home to be completed in October. In northern WI woods 5.7 miles from risk. FD says the estimated drive time is 10 minutes (also a volunteer department). Home is accessible year round. FD says 25-30 minutes volunteer and 20 min mutual aid with Land O Lakes. Referral came in as Land O Lakes, WI but the risk address is actually in Watersmeet MI."/>
    <x v="0"/>
    <s v="New home has central burglar and fire alarms. "/>
    <m/>
    <m/>
    <s v="Lazovik"/>
  </r>
  <r>
    <x v="182"/>
    <x v="0"/>
    <s v="MI"/>
    <s v="Lindsay"/>
    <s v="Email"/>
    <s v="Stolzman"/>
    <s v="Dana"/>
    <s v="DP3 Rental"/>
    <s v="Redway"/>
    <s v="CA"/>
    <m/>
    <n v="9"/>
    <n v="425000"/>
    <n v="577500"/>
    <x v="8"/>
    <s v="Rental home built in 1976. 60 acres parcel of land in CA brush. There are no losses, no c/s alarms with a roof updated in 1998"/>
    <x v="2"/>
    <s v="Declining any PC 9 and PC10s until we adjust the CA rates due to the market environment."/>
    <m/>
    <m/>
    <s v="Lazovik"/>
  </r>
  <r>
    <x v="182"/>
    <x v="11"/>
    <s v="LA"/>
    <m/>
    <m/>
    <m/>
    <m/>
    <m/>
    <s v="Orange Beach"/>
    <s v="AL"/>
    <m/>
    <m/>
    <m/>
    <m/>
    <x v="13"/>
    <s v="Referred due to distance to coast"/>
    <x v="2"/>
    <s v="On a barrier island which is ineligible"/>
    <m/>
    <m/>
    <s v="Lazovik"/>
  </r>
  <r>
    <x v="182"/>
    <x v="0"/>
    <s v="MI"/>
    <s v="Jill"/>
    <s v="Email"/>
    <s v="Yerbey"/>
    <s v="Lindsey"/>
    <s v="HO3 Primary"/>
    <s v="Chattanooga"/>
    <s v="TN"/>
    <m/>
    <n v="2"/>
    <n v="252500"/>
    <n v="428900"/>
    <x v="12"/>
    <s v="1930 home with plumbing, electrical and HVAC updates. The home has knob and tube wiring in the attic only. Would like to explore ability to write with renovation endorsement for 30 days to replace/remove the wiring."/>
    <x v="0"/>
    <s v="Looked back at prior knob and tube and this seems to be acceptable. Will need all of it removed and the attic must not be live until it is fixed"/>
    <m/>
    <m/>
    <s v="Lazovik"/>
  </r>
  <r>
    <x v="182"/>
    <x v="2"/>
    <s v="CA"/>
    <s v="Kelly"/>
    <s v="Email"/>
    <s v="Vogel"/>
    <s v="Jason"/>
    <s v="HO3 Primary"/>
    <s v="Los Angeles"/>
    <s v="CA"/>
    <m/>
    <n v="4"/>
    <n v="3400000"/>
    <n v="4550000"/>
    <x v="0"/>
    <s v="Home built in 1969. 7 bedrooms. Composition shingles in 2016 inspection and now rolled roofing. On Airbnb, hotpads, etc. as a rental available for photoshoots. Now have a sound-proof nightclub available. Insured name also changed"/>
    <x v="2"/>
    <s v="This is a business rental as they are hosting photoshoots. Concerned regarding the nightclub +"/>
    <s v="Pretty sure that this is a venue. Know that they can't &quot;host&quot; which is why they put &quot;no parties&quot; on their website despite building a &quot;soundproof nightclub&quot;. "/>
    <m/>
    <s v="Lazovik"/>
  </r>
  <r>
    <x v="183"/>
    <x v="2"/>
    <s v="CA"/>
    <s v="Kelly"/>
    <s v="Email"/>
    <s v="Li"/>
    <s v="Mingjing"/>
    <s v="DP3 Rental"/>
    <s v="Laguna Niguel"/>
    <s v="CA"/>
    <m/>
    <m/>
    <n v="2810500"/>
    <n v="3472600"/>
    <x v="0"/>
    <s v="No brush frame home built in 1995. 8030 square feet. In ground pool with complete updates for wiring, plumbing, heating and roofing in 2016. tile roof (2016 too). Central burglar alarm but no fire alarm. "/>
    <x v="0"/>
    <s v="Need to confirm not running as an event venue. Not in a brush area. Do we have a rental form for this? Not central fire alarm and &gt;$2M therefore minimum AOP of$10k"/>
    <m/>
    <m/>
    <s v="Lazovik"/>
  </r>
  <r>
    <x v="183"/>
    <x v="2"/>
    <s v="CA"/>
    <s v="Lisa"/>
    <s v="Email"/>
    <s v="Lee"/>
    <s v="Bob"/>
    <s v="HO3 Primary"/>
    <s v="Mill Valley"/>
    <s v="CA"/>
    <m/>
    <n v="1"/>
    <n v="1760000"/>
    <n v="3088000"/>
    <x v="0"/>
    <s v="No brush home. No central fire &amp; burglar. New home closing on 9/28. Asking for $10k deductible pending alarm confirmation. Built in 1983, partial updates on wiring and plumbing. Cedar/Wood shingle siding covers entire house."/>
    <x v="0"/>
    <s v="Need to exclude roof as it hasn't been replaced since home was built. "/>
    <m/>
    <m/>
    <s v="Lazovik"/>
  </r>
  <r>
    <x v="183"/>
    <x v="11"/>
    <s v="LA"/>
    <s v="Hillary"/>
    <s v="Email"/>
    <s v="Melancon"/>
    <s v="Logan"/>
    <s v="HO3 Primary"/>
    <s v="Lockport"/>
    <s v="LA"/>
    <m/>
    <n v="5"/>
    <n v="281000"/>
    <n v="671100"/>
    <x v="7"/>
    <s v="Home built in 1998. Set on over 40 acres of land with 30+ heads of cattle. Metal home. Roof from 1998 with a partial update."/>
    <x v="2"/>
    <s v="Too many animals, large acreage and questionable whether we insure a metal home"/>
    <m/>
    <m/>
    <s v="Lazovik"/>
  </r>
  <r>
    <x v="183"/>
    <x v="7"/>
    <s v="MI"/>
    <s v="Cheryl"/>
    <s v="Email"/>
    <s v="Peyton"/>
    <s v="Cynthia"/>
    <s v="HO3 Primary"/>
    <s v="Carmel"/>
    <s v="IN"/>
    <m/>
    <n v="2"/>
    <n v="650000"/>
    <n v="1202500"/>
    <x v="1"/>
    <s v="Brick veneer home built in 1998. Dog claim was closed for $1000. Cheryl was asking due to claim and increasing coverage C to 75%."/>
    <x v="1"/>
    <s v="Mitigating dog bite by excluding the animal. TIV increase is within JM Wilson authority."/>
    <m/>
    <m/>
    <s v="Lazovik"/>
  </r>
  <r>
    <x v="183"/>
    <x v="0"/>
    <s v="MI"/>
    <s v="Danielle"/>
    <s v="Email"/>
    <s v="Young"/>
    <s v="Warren F"/>
    <s v="HO6 "/>
    <s v="Tulsa"/>
    <s v="OK"/>
    <m/>
    <m/>
    <n v="10000"/>
    <n v="682000"/>
    <x v="1"/>
    <s v="PRIOR REFERRAL. WANT ADDITIONAL COVERAGE A AMOUNT NOW. &quot;1982 condo w/updates. 3 water losses since 2004. Theft of watch and lost watch losses. PAF excluded.  Insd installed Water Leak Detection System w/shutoff and flowmeter. Repairs made.&quot; mp"/>
    <x v="1"/>
    <s v="Given Melissa already underwrote, felt comfortable coverage A increase was ok. MP: &quot;Excellent ins score, so less concern on any fraud aspect of PAF losses - although we won't cover PAF. Asked for $10K water damage ded for loss that could occur 'til shutoff kicks in. Asked for 10% s/c vs 5% credit.&quot;"/>
    <m/>
    <m/>
    <s v="Lazovik"/>
  </r>
  <r>
    <x v="183"/>
    <x v="9"/>
    <s v="CA"/>
    <s v="Bobbi"/>
    <s v="Email/Phone"/>
    <s v="Pace"/>
    <s v="Nicole"/>
    <s v="HO3 Primary"/>
    <s v="Mill Valley"/>
    <s v="CA"/>
    <m/>
    <n v="3"/>
    <n v="1850160"/>
    <n v="3515304"/>
    <x v="0"/>
    <s v="Frame home built in 1999. No updates listed for wiring, plumbing, heaing or roof. Over the phone, Bobbi said they were dropped by admitted market for non-payment. UPDATE: Follow up from Bobbi indicating insured is filing claim with prior carrier for water damage in amount of $200,00. 2ND UPDATE: claim has not even been filed with prior carrier, appears damage is just sitting unrepaired"/>
    <x v="0"/>
    <s v="Home looks good with burglar and fire CS alarms. Apply surcharge of 10% and signed statement of no loss.  ACV roof if not updated. Rush interior inspection. UPDATE: asked for details on the loss, added water exclusion and additional 10% surcharge. 2ND UPDATE: Declined risk, with $200,000 of water damage sitting unrepaired, not comfortable even with water exclusion."/>
    <m/>
    <m/>
    <s v="Lazovik/Busse"/>
  </r>
  <r>
    <x v="184"/>
    <x v="3"/>
    <s v="CO"/>
    <s v="Allison"/>
    <s v="Email"/>
    <s v="Stees"/>
    <s v="Chris"/>
    <s v="HO3 Builders Risk"/>
    <s v="Greenwood Village"/>
    <s v="CO"/>
    <m/>
    <n v="1"/>
    <n v="1800000"/>
    <n v="3010000"/>
    <x v="1"/>
    <s v="Large masonry veneer home built in 1996. Had large water loss in January 2018 while out of town causing &gt;$800k in damage. Home has a few more items (painting and trim work) before taking the home back in November. Have installed water turn off sensors in addition to the CS alarms."/>
    <x v="0"/>
    <s v="Have mitigated what they can with new water sensors. Home is has copper piping throughout with both fire and burglar central alarm systems. 10/3/18 UPDATE: ALLISON SENT NOTE THAT A PRIOR LOSE WAS NOT REPORTED FOR HAIL IN 7/16 FOR $164K. ASKED FOR PERMISSION TO STAY ON. JEFF RESPONDED THAT NEED CLARIFICATION ON &quot;FORGOT&quot; THE LOSS DUE TO SIZE. GIVEN CONDITION OF HOME AND NON-DISCLOSED LOSS, AT LEAST 2% WIND/HAIL AND SURCHARGE FOR 2ND LOSS. ALLISON HEARD BACK FROM AGENT AND THEY SAID THEY DIDN'T HANDLE ORIGINAL TRAVELERS POLICY AND TOOK IT OVER WHEN IT NEEDED TO BE REWRITTEN. DISCUSSED WITH INSURED AND THE HAIL OCCURED WHILE REMODELING THE HOUSE THE FIRST TIME. CONFIRMATION FOR ROOF REPAIR WILL BE MADE."/>
    <m/>
    <m/>
    <s v="Lazovik"/>
  </r>
  <r>
    <x v="184"/>
    <x v="2"/>
    <s v="CA"/>
    <s v="Kelly"/>
    <s v="Email"/>
    <s v="Moradzadeh"/>
    <s v="Alex"/>
    <s v="HO3 Builders Risk"/>
    <s v="Los Angeles"/>
    <s v="CA"/>
    <m/>
    <n v="2"/>
    <n v="613000"/>
    <n v="1093000"/>
    <x v="1"/>
    <s v="Working on renewal and wondering about loss notice from January. Homeowner withdrew the claim in March. 1951 Frame home. Water deductible at $5k"/>
    <x v="1"/>
    <s v="Already have bigger water deductible. OK with the risk."/>
    <m/>
    <m/>
    <s v="Lazovik"/>
  </r>
  <r>
    <x v="184"/>
    <x v="0"/>
    <s v="MI"/>
    <s v="David"/>
    <s v="Email"/>
    <s v="Neuerburg"/>
    <s v="Matt"/>
    <s v="HO3 Seas/Sec w/Rental"/>
    <s v="Dubois"/>
    <s v="WY"/>
    <m/>
    <n v="10"/>
    <n v="1005200"/>
    <n v="2010400"/>
    <x v="8"/>
    <s v="PC 10 with a response time of 37 minutes. May not be accessible in winter due to the snow. "/>
    <x v="2"/>
    <s v="Would consider if the home was not so high in TIV. Without access year round, CSA, etc., this risk seems to high for future large loss."/>
    <m/>
    <m/>
    <s v="Lazovik"/>
  </r>
  <r>
    <x v="184"/>
    <x v="0"/>
    <s v="MI"/>
    <s v="Rachel"/>
    <s v="Email"/>
    <s v="Orchard"/>
    <s v="Katherine"/>
    <s v="HO3 Seas/Sec"/>
    <s v="Oakley"/>
    <s v="UT"/>
    <m/>
    <n v="10"/>
    <n v="335000"/>
    <n v="485000"/>
    <x v="8"/>
    <s v="PC 10, no losses and a frame. Built in 1986 without any updates. Response time is 25-30 minutes. There has not been any coverage since the deceased owner's kids took over the property. They forgot to insure it. Rachel says she will get dated, no loss dletter form the date of lapse to present date."/>
    <x v="0"/>
    <s v="Will approve (Jeff took a look) with a 20% surcharge for  inaccessibility and the lapse. Need to exclude the roof and confirm the types of piping and exclude water if necessary."/>
    <m/>
    <m/>
    <s v="Lazovik"/>
  </r>
  <r>
    <x v="184"/>
    <x v="0"/>
    <s v="MI"/>
    <s v="Rachel"/>
    <s v="Email"/>
    <s v="Stathis"/>
    <s v="John"/>
    <s v="HO3 Builders Risk"/>
    <s v="Rehoboth Beach"/>
    <s v="DE"/>
    <m/>
    <n v="4"/>
    <n v="1487130"/>
    <n v="2528120"/>
    <x v="1"/>
    <s v="Primary home with large loss. Neighbor's house caught fire and caused large loss for exterior of house."/>
    <x v="1"/>
    <s v="Looks good. Will obtain a builder's risk supplemental prior to binding and a favorable COC inspection."/>
    <m/>
    <m/>
    <s v="Lazovik"/>
  </r>
  <r>
    <x v="184"/>
    <x v="0"/>
    <s v="MI"/>
    <s v="Jill"/>
    <s v="Email"/>
    <s v="Becker"/>
    <s v="Michael"/>
    <s v="DP1"/>
    <s v="O'Fallon"/>
    <s v="MO"/>
    <m/>
    <n v="10"/>
    <n v="60000"/>
    <n v="60000"/>
    <x v="8"/>
    <s v="Storage shed in rural setting with 17 minute response time on a PC 10. "/>
    <x v="2"/>
    <s v="Even with a DP1, the response time and PC combined make the risk unpalatable."/>
    <m/>
    <m/>
    <s v="Lazovik"/>
  </r>
  <r>
    <x v="185"/>
    <x v="6"/>
    <s v="CO"/>
    <s v="Allison"/>
    <s v="Email"/>
    <s v="Muir"/>
    <s v="Chris"/>
    <s v="DP3 Vacant"/>
    <s v="La Pine"/>
    <s v="OR"/>
    <m/>
    <n v="5"/>
    <n v="50000"/>
    <n v="50000"/>
    <x v="7"/>
    <s v="Framed, vacant shed on land in OR. Insured will be living in RV while looking for house (moving from TX to OR). Once they have a home, the RV will go into the shed and the coverage will be dropped as the homeowners coverage will cover the shed then."/>
    <x v="1"/>
    <s v="Excellent risk. PC 5 means fire may be mitigate, but likely will lose it. No plumbing or electricity for perils. Shed seems to be in good condition based on limited pictures online."/>
    <m/>
    <m/>
    <s v="Lazovik"/>
  </r>
  <r>
    <x v="185"/>
    <x v="0"/>
    <s v="MI"/>
    <s v="David"/>
    <s v="Email"/>
    <s v="Brown"/>
    <s v="Dustin"/>
    <s v="DP3 Rental"/>
    <s v="Hermosa Beach"/>
    <s v="CA"/>
    <m/>
    <n v="2"/>
    <n v="295000"/>
    <n v="295000"/>
    <x v="3"/>
    <s v="Home built in 1937. Unknown when updates to plumbing, roofing and electrical have been done. Home has had liability coverage but insured has been told to cover the property. Insured is well known hockey player for LA Kings."/>
    <x v="3"/>
    <s v="Did not put on coverage when purchasing the home in July. Confirm updates to the home's systems. "/>
    <m/>
    <m/>
    <s v="Lazovik"/>
  </r>
  <r>
    <x v="185"/>
    <x v="2"/>
    <s v="CA"/>
    <s v="Alison"/>
    <s v="Email"/>
    <s v="Katz"/>
    <s v="Jerry"/>
    <s v="HO3 Primary"/>
    <s v="Los Angeles"/>
    <s v="CA"/>
    <m/>
    <m/>
    <n v="1026000"/>
    <n v="1846800"/>
    <x v="3"/>
    <s v="Home built in 1974. Frame with stucco cladding. Complete updates were made to wiring (2012), plumbing (1985), heating (1985) and roofing (2012). "/>
    <x v="0"/>
    <s v="Approved x-liability"/>
    <m/>
    <m/>
    <s v="Lazovik"/>
  </r>
  <r>
    <x v="185"/>
    <x v="2"/>
    <s v="CA"/>
    <s v="Alison"/>
    <s v="Email"/>
    <s v="Leung"/>
    <s v="Kai"/>
    <s v="HO3 Primary"/>
    <s v="Lake Arrowhead"/>
    <s v="CA"/>
    <m/>
    <n v="4"/>
    <n v="645000"/>
    <n v="909500"/>
    <x v="7"/>
    <s v="Frame home built in 1970. Do not see updates listed. Will need confirmation on that. This is not in a brush zone but does have cedar siding."/>
    <x v="0"/>
    <s v="This zip code has been closed to new business but has now dropped to $44M in TIV so are asking for an exception. The home is not near any brush zones. Will accept the brush surcharge they suggested and ask for roof exception and $10 k water deductible if pipes are not completely updated"/>
    <m/>
    <m/>
    <s v="Lazovik"/>
  </r>
  <r>
    <x v="186"/>
    <x v="2"/>
    <s v="CA"/>
    <s v="Gina"/>
    <s v="Email"/>
    <s v="Hernandez"/>
    <s v="Enrique"/>
    <s v="DP3 Rental"/>
    <s v="Pasadena"/>
    <s v="CA"/>
    <m/>
    <m/>
    <n v="1657000"/>
    <n v="1822700"/>
    <x v="7"/>
    <s v="Home located in Pasadena. Referral "/>
    <x v="0"/>
    <m/>
    <m/>
    <m/>
    <s v="Lazovik"/>
  </r>
  <r>
    <x v="186"/>
    <x v="0"/>
    <s v="MI"/>
    <s v="Alexa"/>
    <s v="Email"/>
    <s v="Brumley"/>
    <s v="Timothy"/>
    <s v="HO3 Primary"/>
    <s v="Broken Arrow"/>
    <s v="OK"/>
    <m/>
    <n v="10"/>
    <n v="274000"/>
    <n v="548000"/>
    <x v="8"/>
    <s v="Log home built in 2017. Aluminum wiring?EIFS siding along with logs. 40 acres of land. Reconstruction cost is $273,652. Confirm the amount."/>
    <x v="0"/>
    <s v="Home with built with aluminum wiring. Agent noted that the wiring was incorrect. No knob and tube nor aluminum wiring. 10% surcharge for response time."/>
    <m/>
    <m/>
    <s v="Lazovik"/>
  </r>
  <r>
    <x v="186"/>
    <x v="2"/>
    <s v="CA"/>
    <s v="Bobbi"/>
    <s v="Email"/>
    <m/>
    <m/>
    <m/>
    <m/>
    <m/>
    <m/>
    <m/>
    <m/>
    <m/>
    <x v="13"/>
    <m/>
    <x v="1"/>
    <m/>
    <m/>
    <m/>
    <s v="Lazovik"/>
  </r>
  <r>
    <x v="186"/>
    <x v="7"/>
    <s v="MI"/>
    <s v="Cheryl"/>
    <s v="Email"/>
    <s v="Patterson"/>
    <s v="Shawn"/>
    <s v="HO3 Primary"/>
    <s v="Fort Wayne"/>
    <s v="IN"/>
    <m/>
    <n v="5"/>
    <n v="584608"/>
    <n v="1169215"/>
    <x v="1"/>
    <s v="Home built in 2007. Vinyl siding, frame, Roof is original (11 years). Central Burglar and Smoke alarms?"/>
    <x v="0"/>
    <s v="Trampoline exclusion,  no scheduled personal property, left theft deductible pending confirmation of CSA. Must charge for all three losses."/>
    <m/>
    <m/>
    <s v="Lazovik"/>
  </r>
  <r>
    <x v="186"/>
    <x v="3"/>
    <s v="MA"/>
    <s v="Barbara"/>
    <s v="Email"/>
    <s v="Barretta"/>
    <s v="Susan"/>
    <s v="HO3 Primary"/>
    <s v="Westbrook"/>
    <s v="CT"/>
    <m/>
    <n v="5"/>
    <n v="250000"/>
    <n v="805000"/>
    <x v="1"/>
    <s v="Loss of use listed as 450,000 (confirm). Built in 1999, frame and vinyl siding. In ground pool with approved fence. Large water loss of $144k. "/>
    <x v="0"/>
    <s v="Remove 5% credit as they have a large water loss.  Agree with water exclusion."/>
    <m/>
    <m/>
    <s v="Lazovik"/>
  </r>
  <r>
    <x v="186"/>
    <x v="2"/>
    <s v="CA"/>
    <s v="Alison"/>
    <s v="Email"/>
    <s v="Becker"/>
    <s v="Alec"/>
    <s v="HO3 Primary"/>
    <s v="Vista"/>
    <s v="CA"/>
    <m/>
    <n v="3"/>
    <n v="200000"/>
    <n v="320000"/>
    <x v="7"/>
    <s v="Trampoline on premises. However, they note there is a guest house they will be using for rentals. Home built in 1941. Complete updates but year not noted. "/>
    <x v="4"/>
    <s v="Need more information on the guest house."/>
    <m/>
    <m/>
    <s v="Lazovik"/>
  </r>
  <r>
    <x v="187"/>
    <x v="0"/>
    <s v="MI"/>
    <s v="Leslie"/>
    <s v="Email"/>
    <s v="Baird"/>
    <s v="Robert"/>
    <s v="HO3 Primary"/>
    <s v="Foresthill"/>
    <s v="CA"/>
    <m/>
    <n v="3"/>
    <n v="425000"/>
    <n v="722500"/>
    <x v="7"/>
    <s v="Frame, cedar sided primary home. Home built in 1970, full wiring and plumbing updates in 200, heating updated in 2008 and roofing updated in 2018. Two propane stoves and 1 back up wood burning stove."/>
    <x v="2"/>
    <s v="Value of the home (and TIV) is high for non-central heating in a brush zone. We are ok with alternative heat sources on low value seasonal cabin type risks"/>
    <m/>
    <m/>
    <s v="Lazovik"/>
  </r>
  <r>
    <x v="187"/>
    <x v="2"/>
    <s v="CA"/>
    <s v="Bobbi"/>
    <s v="Email"/>
    <s v="1808 O.F., LLC"/>
    <m/>
    <s v="DP3 Rental"/>
    <s v="Del Mar"/>
    <s v="CA"/>
    <m/>
    <m/>
    <n v="950000"/>
    <n v="1305000"/>
    <x v="0"/>
    <s v="Rental property right on the ocean in Del Mar. Melissa had been working with agent to get some interior inspection photos done. Today the pictures arrived and look fine. We are past any sort of inspection so we are on this home regardless."/>
    <x v="0"/>
    <s v="Must flag and get full inspection before next renewal date."/>
    <m/>
    <m/>
    <s v="Lazovik"/>
  </r>
  <r>
    <x v="187"/>
    <x v="0"/>
    <s v="MI"/>
    <s v="Nicole"/>
    <s v="Email"/>
    <s v="Belt"/>
    <s v="Denise"/>
    <s v="HO3 Primary"/>
    <s v="Springfield"/>
    <s v="MO"/>
    <m/>
    <n v="2"/>
    <n v="195000"/>
    <n v="331500"/>
    <x v="5"/>
    <s v="Built in 1986 with complete updates to roof and heating in 2018. Frame construction, PC2 with no alarms and no losses. Bankruptcy 6 years ago that was dismissed. Pottery business on premises. "/>
    <x v="0"/>
    <s v="Confirm condition of home, TBE due to kiln and pottery kept at the home. Little to no foot traffic involved. Subject to inspection. Attach supplemental heat form. "/>
    <m/>
    <m/>
    <s v="Busse"/>
  </r>
  <r>
    <x v="188"/>
    <x v="0"/>
    <s v="MI"/>
    <s v="Alison"/>
    <s v="Email"/>
    <s v="Taback"/>
    <s v="Michael"/>
    <s v="HO3 Primary"/>
    <s v="Leona Valley"/>
    <s v="CA"/>
    <m/>
    <s v="8B"/>
    <n v="2100000"/>
    <n v="4410000"/>
    <x v="0"/>
    <s v="Built in 1992, the home has csa for fire, temperature and burglary. Roof does not appear to have been updated since it was built. Frame home. 80361 sq feet."/>
    <x v="0"/>
    <s v="Review inspection thoroughly. Confirm address (looks like last two numbers transposed. Roof may need ACV"/>
    <m/>
    <m/>
    <s v="Lazovik"/>
  </r>
  <r>
    <x v="188"/>
    <x v="2"/>
    <s v="CA"/>
    <s v="Bobbi"/>
    <s v="Email"/>
    <s v="Lannen"/>
    <s v="Linda"/>
    <s v="HO3 Seas/Sec w/Rental"/>
    <s v="Idyllwild"/>
    <s v="CA"/>
    <m/>
    <n v="2"/>
    <n v="682000"/>
    <n v="887000"/>
    <x v="7"/>
    <s v="Insured owns vacant lot next to property, no other structures or anything else on the vacant lot. Built in 1993, updates to systems 25 years ago, roof in 2001. PC says 2, but the home is 1000 ft from hydrant and 4 miles from station, seems to be PC 9. Fireplace and WB stove. "/>
    <x v="0"/>
    <s v=" ACV roof due to roof age. PC change to 9 unless verified PC 2. Provide supplemental heat form. "/>
    <m/>
    <m/>
    <s v="Busse"/>
  </r>
  <r>
    <x v="188"/>
    <x v="2"/>
    <s v="CA"/>
    <s v="Alison"/>
    <s v="Email"/>
    <s v="Aarons"/>
    <s v="Ashley"/>
    <s v="DP3 Rental"/>
    <s v="Los Angeles"/>
    <s v="CA"/>
    <m/>
    <n v="1"/>
    <n v="1200000"/>
    <n v="1660000"/>
    <x v="5"/>
    <s v="Property is rented out to film producers in the LA area and their equipment is kept at the home. Built in 1966, flat roof, no dates provided for system updates other than questionnaire saying within last 35 years. Indicated there is business on property, but that could've been in regards to them renting the property. "/>
    <x v="0"/>
    <s v="Follow guidelines for flat roof and add roof and ensuing water form. Also follow inspection and guidelines regarding the major systems and last updated. Confirm there isn't any other business aside from them renting the property. "/>
    <m/>
    <m/>
    <s v="Busse"/>
  </r>
  <r>
    <x v="188"/>
    <x v="0"/>
    <s v="MI"/>
    <s v="Nicole"/>
    <s v="Email"/>
    <s v="Lunco LLC"/>
    <m/>
    <s v="HO3 Seas/Sec"/>
    <s v="Oakley"/>
    <s v="UT"/>
    <m/>
    <n v="6"/>
    <n v="934800"/>
    <n v="2076120"/>
    <x v="5"/>
    <s v="Home built in 1998, frame construction, no updates, no alarms and no losses. 43 acres are leased to a farmer. There is a barn along with hay and storage shed with lawn mower, snow blower and some hay in winter. The shed is a garage and there are no animals or stalls."/>
    <x v="0"/>
    <s v="Confirm no animals on the farm, attach cosmetic damage for metal roof, TBE for the farm. "/>
    <m/>
    <m/>
    <s v="Lazovik"/>
  </r>
  <r>
    <x v="188"/>
    <x v="2"/>
    <s v="CA"/>
    <s v="Kelly"/>
    <s v="Email"/>
    <s v="Newman"/>
    <s v="Bryan"/>
    <s v="HO3 Primary"/>
    <s v="Topanga"/>
    <s v="CA"/>
    <m/>
    <n v="2"/>
    <n v="1800000"/>
    <n v="3240000"/>
    <x v="0"/>
    <s v="Home built in 2001. Frame home, CSA, with stucco siding. . Cinematographer and French closing retail store owner. Came in as primary but internet search shows numerous homes throughout the US.  Photos show pool with fencing around the perimeter."/>
    <x v="0"/>
    <s v="Home seems to be in excellent shape (new purchase and available on zillow). Confirm occupancy is primary as it appears it could be secondary/seasonal. Change the premium if that is the case."/>
    <m/>
    <m/>
    <s v="Lazovik"/>
  </r>
  <r>
    <x v="188"/>
    <x v="2"/>
    <s v="CA"/>
    <s v="Michelle"/>
    <s v="Email"/>
    <s v="Ruecker"/>
    <s v="Lukas"/>
    <s v="HO3 Builders Risk"/>
    <s v="Los Angeles"/>
    <s v="CA"/>
    <m/>
    <n v="2"/>
    <n v="828300"/>
    <n v="1656600"/>
    <x v="0"/>
    <s v="Home will be remodeled over 6 months and insureds will reside there during the process. This is a frame home built in 1940 with CSA temp and burglary. The roof is tile. This is in a brush zone."/>
    <x v="2"/>
    <s v="Photos online show there are trees built into the decking and close to the home. I do not feel that 150' of defensible space will be possible without removing all of this."/>
    <m/>
    <m/>
    <s v="Lazovik"/>
  </r>
  <r>
    <x v="188"/>
    <x v="2"/>
    <s v="CA"/>
    <s v="Alison"/>
    <s v="Email"/>
    <s v="Schneider"/>
    <s v="Andrew"/>
    <s v="HO3 Primary"/>
    <s v="Coto De Caza "/>
    <s v="CA"/>
    <m/>
    <n v="5"/>
    <n v="1850000"/>
    <n v="3330000"/>
    <x v="0"/>
    <s v="Close to brush zone (agent suggested brush s/c regardless. Built in 200 with a comp roof, CS alarms and interior sprinklers. "/>
    <x v="1"/>
    <s v="Everything is in order. Sprinkler system is reassuring with the 3.3M TIV."/>
    <m/>
    <m/>
    <s v="Lazovik"/>
  </r>
  <r>
    <x v="188"/>
    <x v="0"/>
    <s v="MI"/>
    <s v="Jeffrey"/>
    <s v="Email"/>
    <s v="Lynch"/>
    <s v="Leslie"/>
    <s v="DP3 Vacant"/>
    <s v="Phoenix"/>
    <s v="AZ"/>
    <m/>
    <n v="3"/>
    <n v="350000"/>
    <n v="370000"/>
    <x v="5"/>
    <s v="Insured purchased the home. She will rent the home out as the &quot;model home&quot; to the builder to use as the show home. When the lease is up, she will take over the home as her primary. Home was built in 2017, frame with CSA."/>
    <x v="2"/>
    <s v="The home will be used as the business office for the builder. We do not insure commercial properties. Liability, foot traffic exposure are not appropriate for our program."/>
    <m/>
    <m/>
    <s v="Lazovik"/>
  </r>
  <r>
    <x v="188"/>
    <x v="2"/>
    <s v="CA"/>
    <s v="Bobbi"/>
    <s v="Email"/>
    <s v="Tanzman"/>
    <s v="Ron"/>
    <s v="DP3 Rental"/>
    <s v="Calabasas"/>
    <s v="CA"/>
    <m/>
    <n v="2"/>
    <n v="3300000"/>
    <n v="3750000"/>
    <x v="0"/>
    <s v="Home built in 1991. Complete updates to wiring, plumbing and roofing in 2014. Heating was updated in 2016. Frame home that will be used as rental home"/>
    <x v="0"/>
    <s v="Must confirm the home will not be used as rental for/to commercial enterprises. Also confirm will not be used as event venue for weddings, corp events, etc."/>
    <m/>
    <m/>
    <s v="Lazovik"/>
  </r>
  <r>
    <x v="188"/>
    <x v="0"/>
    <s v="MI"/>
    <s v="Nicole"/>
    <s v="Email"/>
    <s v="Nicotra"/>
    <s v="Paul"/>
    <s v="HO3 Primary"/>
    <s v="Itasca"/>
    <s v="IL"/>
    <m/>
    <n v="3"/>
    <n v="450000"/>
    <n v="900000"/>
    <x v="7"/>
    <s v="Asking for RC settlement type. Home is 1953 masonry veneer construction with full updates to the roof in 2017 and heating in 2015. Partial updates to plumbing and wiring in 2017 and 2016. CS Fire and burglar alarm"/>
    <x v="0"/>
    <s v="Surcharge for all 3 claims. Explained valuation needs to be handled differently if they want full RC. If there are antique, obsolete or custom construction materials, the valuation must take into consideration the replacement of these at the correct amount, not the FRC we normally would require."/>
    <m/>
    <m/>
    <s v="Lazovik"/>
  </r>
  <r>
    <x v="189"/>
    <x v="0"/>
    <s v="MI"/>
    <s v="Nicole"/>
    <s v="Email"/>
    <s v="Wilks"/>
    <s v="Levi"/>
    <s v="HO3 Primary"/>
    <s v="Cisco"/>
    <s v="TX"/>
    <m/>
    <n v="10"/>
    <n v="799000"/>
    <n v="1598000"/>
    <x v="8"/>
    <s v="Home was built in 2010, Brick Veneer construction, with no updates. Central station burglar and fire alarm, no losses, PC10. It says the last policy expired in 11/17. Metal shop on premises only for personal use."/>
    <x v="0"/>
    <s v="Exclude the metal shop. Rest of the risk seems good."/>
    <m/>
    <m/>
    <s v="Lazovik"/>
  </r>
  <r>
    <x v="189"/>
    <x v="0"/>
    <s v="MI"/>
    <s v="Rachel"/>
    <s v="Email"/>
    <s v="Chaudoir"/>
    <s v="Harold"/>
    <s v="DP3 Rental"/>
    <s v="Pagosa Springs"/>
    <s v="CO"/>
    <m/>
    <n v="10"/>
    <n v="141000"/>
    <n v="216000"/>
    <x v="8"/>
    <s v="Renewal that was coded as PC5 but appears to be a PC10. Drive time is 16 minutes. "/>
    <x v="0"/>
    <s v="Confirm the framing and siding is complete before renewal (shown in inspection) and railings on back steps were done. Smoke and CO detectors were also not present."/>
    <m/>
    <m/>
    <s v="Lazovik"/>
  </r>
  <r>
    <x v="189"/>
    <x v="0"/>
    <s v="MI"/>
    <s v="Alexa"/>
    <s v="Email"/>
    <s v="Melvin"/>
    <s v="Adrian"/>
    <s v="DP3 Vacant"/>
    <s v="Batavia"/>
    <s v="IL"/>
    <m/>
    <n v="3"/>
    <n v="412000"/>
    <n v="493800"/>
    <x v="5"/>
    <s v="Vacant home that is for sale built 1979, but insured has business on premises. Makes bagpiper canter reeds, no foot traffic, in area attached to home. Small tools total value $7,000. Covered by a separate GL. Roof updated 2007 full update. "/>
    <x v="0"/>
    <s v="Apply TBE, rest of the risk seems to be in line with no other concerns. Vacant that will be check on due to insured having business still at property. "/>
    <m/>
    <m/>
    <s v="Busse"/>
  </r>
  <r>
    <x v="189"/>
    <x v="2"/>
    <s v="CA"/>
    <s v="Michelle"/>
    <s v="Email"/>
    <s v="Otto"/>
    <s v="Jeffrey"/>
    <s v="HO3 Primary"/>
    <s v="Playa Del Rey"/>
    <s v="CA"/>
    <m/>
    <m/>
    <n v="1112900"/>
    <n v="1994900"/>
    <x v="5"/>
    <s v="Primary home built 1999. Applicant is an accountant and runs a business out of his home. Has 1 employee, rarely any foot traffic and has a CGL. Loss of use was entered as &quot;24 months.&quot; Sprinklers in home, burglar system. "/>
    <x v="0"/>
    <s v="Apply TBE and update loss of use to dollar amount, not 24 months. "/>
    <m/>
    <m/>
    <s v="Busse"/>
  </r>
  <r>
    <x v="189"/>
    <x v="0"/>
    <s v="MI"/>
    <s v="Jeffrey"/>
    <s v="Email"/>
    <s v="Merrell"/>
    <s v="Kevin"/>
    <s v="HO3 Primary"/>
    <s v="Ashdown"/>
    <s v="AR"/>
    <m/>
    <n v="4"/>
    <n v="179000"/>
    <n v="366700"/>
    <x v="5"/>
    <s v="Referred due to fish market on premises. Primary home, with updates to roof and heating within last 5 years, and partial updates to plumbing and wiring. Fish market appeared to be ran out of front end of home from an attached structure. No CGL in place. Asking $100,000 liability. Stated 1-5 customers a day, 15 a week. "/>
    <x v="2"/>
    <s v="Declined due to no CGL in place. Not a high limit of liability requested, but dealing with raw fish was a concern. The area where the business was conducted was in a structure attached to the home. Higher amount of foot traffic, based on info provided seemed to be more than 15 people a week. "/>
    <m/>
    <m/>
    <s v="Busse"/>
  </r>
  <r>
    <x v="190"/>
    <x v="6"/>
    <s v="CO"/>
    <s v="Allison"/>
    <s v="Email"/>
    <s v="Carroll"/>
    <s v="Michelle"/>
    <s v="HO3 Primary"/>
    <s v="Fort Collins"/>
    <s v="CO"/>
    <m/>
    <n v="2"/>
    <n v="563000"/>
    <n v="957000"/>
    <x v="5"/>
    <s v="Home built 1979, new roof 2014. Plumbing in 2005. Insured's husband, Cory, is an MD who practices from his home. Has been in practice since 1992. Up to 40 patients in home per week. Has GL, professional, and work comp coverage. "/>
    <x v="0"/>
    <s v="TBE due to practice done in home, seems to be responsible with other business coverages. Animal exclusion will also be applied, mentioned by agent. Confirm business questionnaire is completed and reviewed. "/>
    <m/>
    <m/>
    <s v="Busse"/>
  </r>
  <r>
    <x v="190"/>
    <x v="0"/>
    <s v="MI"/>
    <s v="Jill"/>
    <s v="Email"/>
    <s v="Gamel"/>
    <s v="David"/>
    <s v="HO3 Primary"/>
    <s v="Littleton"/>
    <s v="CO"/>
    <m/>
    <n v="2"/>
    <n v="1404000"/>
    <n v="2737800"/>
    <x v="1"/>
    <s v="Two large losses - one was hail from 7/2018 in amount of $68,116, roof was replaced. Second loss was 2/2018 water damage in amount of $113,738 from toilet coupler break. Water detection system and auto water shut off system installed and damage repaired. Kerosene primary heat source. Requested Wind/Hail ded to be $10,000 due to new roof. *Update - follow up referral to add ERC. "/>
    <x v="0"/>
    <s v="Due to prior hail loss, will require to leave wind/hail at 2%. Also, due to large water loss will require $10,000 water damage ded. Not excluding water since mentioned systems were installed. No further surcharge since we already surcharge enough through rating on losses, per convo with Jeff. *Update - approved subject to confirmation the home is insured at 100% replacement value"/>
    <m/>
    <m/>
    <s v="Busse"/>
  </r>
  <r>
    <x v="191"/>
    <x v="7"/>
    <s v="MI"/>
    <s v="Lori"/>
    <s v="Email"/>
    <s v="Babcock"/>
    <s v="Clint"/>
    <s v="HO3 Primary"/>
    <s v="Muskegon"/>
    <s v="MI"/>
    <m/>
    <n v="5"/>
    <n v="650000"/>
    <n v="1235000"/>
    <x v="1"/>
    <s v="Home built 1938, updates to electrical, heating, and roof all in 2014-2015. Plumbing has not been updated. Three water/plumbing losses within last year and a half, totaling about $45,000. "/>
    <x v="0"/>
    <s v="Add water exclusion due to plumbing not being updated since year built and the three larger water claims. Also advised to get an updated cost estimator as the one they had was from 2016 and did not include debris removal in the value."/>
    <m/>
    <m/>
    <s v="Busse"/>
  </r>
  <r>
    <x v="191"/>
    <x v="9"/>
    <s v="CA"/>
    <s v="Melissa"/>
    <s v="Email"/>
    <s v="Fishman"/>
    <s v="Steve"/>
    <s v="HO3 Primary"/>
    <s v="Montecito"/>
    <s v="CA"/>
    <m/>
    <n v="3"/>
    <n v="2000000"/>
    <n v="3800000"/>
    <x v="0"/>
    <s v="Home built in 2007, appears to be a pretty good risk. Located on a golf course, no brush, good PC. "/>
    <x v="1"/>
    <s v="Didn’t seem to be any concerns with this risk, overall seemed pretty good to approve without being subject to any terms. "/>
    <m/>
    <m/>
    <s v="Busse"/>
  </r>
  <r>
    <x v="192"/>
    <x v="0"/>
    <s v="MI"/>
    <s v="Jill"/>
    <s v="Email"/>
    <s v="Hageman"/>
    <s v="Greg"/>
    <s v="HO3 Seas/Sec"/>
    <s v="Kingman"/>
    <s v="KS"/>
    <m/>
    <n v="10"/>
    <n v="106000"/>
    <n v="116000"/>
    <x v="8"/>
    <s v="1958 frame home updated heat in 2018, plumbing in 2008 and roof in 1998. 20 minute response time."/>
    <x v="0"/>
    <s v="Although the response time is high, the home has a lower value. IS is D."/>
    <m/>
    <m/>
    <s v="Lazovik"/>
  </r>
  <r>
    <x v="192"/>
    <x v="9"/>
    <s v="CA"/>
    <s v="Lisa"/>
    <s v="Email"/>
    <s v="Johnson "/>
    <s v="Gary"/>
    <s v="HO3 Builders Risk"/>
    <m/>
    <s v="CA"/>
    <m/>
    <n v="4"/>
    <n v="250000"/>
    <n v="425000"/>
    <x v="7"/>
    <s v="This insured was non-renewed due to loss of appetite and brush concerns.  They have recently moved earth and built a pad in which to build a 2-car detached garage (1020 sq') and are just waiting for the permits to come through before their contractor starts. Partial wiring in 2017, plumbing (2008), heating (1988), roof (2008)."/>
    <x v="0"/>
    <s v="Confirm fire department accessibility as the road is very narrow, make sure the contractor is covered and exclude the deck until it has been repaired."/>
    <m/>
    <m/>
    <s v="Lazovik"/>
  </r>
  <r>
    <x v="192"/>
    <x v="0"/>
    <s v="MI"/>
    <s v="David"/>
    <s v="Email"/>
    <s v="Stodder"/>
    <s v="Eric"/>
    <s v="HO3 Primary"/>
    <s v="Laguna Beach"/>
    <s v="CA"/>
    <m/>
    <n v="4"/>
    <n v="2137000"/>
    <n v="2762000"/>
    <x v="7"/>
    <s v="Home referred because it was built using RASTRA. Rated as masonry. Built in 2002. IS is A."/>
    <x v="0"/>
    <s v="Looks like a good risk online. RASTRA is insulated concrete forms. Rating as masonry makes sense. Ask to confirm the risk is not in brush. Surcharge if it is."/>
    <m/>
    <m/>
    <s v="Lazovik"/>
  </r>
  <r>
    <x v="192"/>
    <x v="2"/>
    <s v="CA"/>
    <s v="Michelle"/>
    <s v="Email"/>
    <s v="Lynde"/>
    <s v="Chad"/>
    <s v="HO3 Primary"/>
    <s v="Hesperia"/>
    <s v="CA"/>
    <m/>
    <n v="10"/>
    <n v="315000"/>
    <n v="567000"/>
    <x v="8"/>
    <s v="Home built in 1939. Wood shingle siding on frame home. Complete electrical, plumbing and roofing updates in 2003."/>
    <x v="2"/>
    <s v="There are multiple above ground tanks, PC 10 and in brush. The amount of risk coupled with the increased risk of multiple propane tanks is too high."/>
    <m/>
    <m/>
    <s v="Lazovik"/>
  </r>
  <r>
    <x v="192"/>
    <x v="9"/>
    <s v="CA"/>
    <s v="Lisa"/>
    <s v="Email"/>
    <s v="Mirrashidi"/>
    <s v="Payam"/>
    <s v="HO3 Seas/Sec"/>
    <s v="Strawberry"/>
    <s v="CA"/>
    <m/>
    <n v="4"/>
    <n v="2500000"/>
    <n v="2850000"/>
    <x v="6"/>
    <s v="Home with lapse. Risk is in brush. Home built in 2017. CSA for fire and burglary. Stucco frame house."/>
    <x v="0"/>
    <s v="Lapse occurred when owner was out of the country for five months. "/>
    <m/>
    <m/>
    <s v="Lazovik"/>
  </r>
  <r>
    <x v="192"/>
    <x v="0"/>
    <s v="MI"/>
    <s v="David"/>
    <s v="Email"/>
    <s v="Kelly"/>
    <s v="Robert"/>
    <s v="HO3 Primary"/>
    <s v="Nevada City"/>
    <s v="CA"/>
    <m/>
    <n v="10"/>
    <n v="175000"/>
    <n v="341500"/>
    <x v="6"/>
    <s v="PC 10 with 14 min drive time. Property was not insurable for a little over a year after purchase. They have renovated the home and now want to insure it. Applicant grows vegetables for the farmers market on the land. 5 acres. Frame construction built in 1980 with full updates to wiring, roofing and plumbing. "/>
    <x v="2"/>
    <s v="Due to distance to fire station and PC Code, Jeff opted to decline"/>
    <m/>
    <m/>
    <s v="May"/>
  </r>
  <r>
    <x v="192"/>
    <x v="13"/>
    <s v="TN"/>
    <s v="Paul"/>
    <s v="Email"/>
    <s v="Future History Music Group"/>
    <m/>
    <s v="DP3 Rental"/>
    <s v="Davie"/>
    <s v="FL"/>
    <m/>
    <n v="3"/>
    <n v="239757"/>
    <n v="377657"/>
    <x v="3"/>
    <s v="2009 frame home in broward county FL. Owned by singer Jason Desrouleaux (Jason Derulo). Restricted liability due and no PI."/>
    <x v="2"/>
    <s v="Too famous. Desrouleaux is too high of a profile. Thought there is an LLC, you can easily google that the name is his record company."/>
    <m/>
    <m/>
    <s v="Lazovik"/>
  </r>
  <r>
    <x v="192"/>
    <x v="13"/>
    <s v="TN"/>
    <s v="Paul"/>
    <s v="Email"/>
    <s v="Future History Music Group"/>
    <m/>
    <s v="DP3 Rental"/>
    <s v="Davie"/>
    <s v="FL"/>
    <m/>
    <n v="3"/>
    <n v="234600"/>
    <n v="262200"/>
    <x v="3"/>
    <s v="2005 frame home in broward county FL. Owned by singer Jason Desrouleaux (Jason Derulo). Restricted liability due and no PI."/>
    <x v="2"/>
    <s v="Too famous. Desrouleaux is too high of a profile. Thought there is an LLC, you can easily google that the name is his record company."/>
    <m/>
    <m/>
    <s v="Lazovik"/>
  </r>
  <r>
    <x v="192"/>
    <x v="0"/>
    <s v="MI"/>
    <s v="Jill"/>
    <s v="Email"/>
    <s v="WWL Acquisition LLC"/>
    <m/>
    <s v="DP3 Rental"/>
    <s v="Glendale"/>
    <s v="WI"/>
    <m/>
    <n v="1"/>
    <n v="345000"/>
    <n v="355000"/>
    <x v="7"/>
    <s v="Home went into foreclosure due to mishandling after death of family member who was guarantor on the loan. LLC was set up by his trust. Tenant currently in home. Evicting tenant when home is purchase (and foreclosure gone). Frame home with vinyl siding built in 1973 with full updates in 2005"/>
    <x v="1"/>
    <s v="Home not in foreclosure as the Estate is purchasing it back. Tenant will be paying mortgage from now on."/>
    <m/>
    <m/>
    <s v="May"/>
  </r>
  <r>
    <x v="192"/>
    <x v="6"/>
    <s v="CO"/>
    <s v="Allison"/>
    <s v="Email"/>
    <s v="2429 Vermijo LLC"/>
    <m/>
    <s v="DP3 Rental"/>
    <s v="Colorado Springs"/>
    <s v="CO"/>
    <m/>
    <n v="2"/>
    <n v="103000"/>
    <n v="416000"/>
    <x v="7"/>
    <s v="Three buildings on the premises. Main smaller home and larger newly renovated rental. Homes built in 1900 and 1986 (rental)."/>
    <x v="1"/>
    <s v="Referred due to unusual limits. Coverage B is higher than A as large home is rental unit (newly renovated)."/>
    <m/>
    <m/>
    <s v="Lazovik"/>
  </r>
  <r>
    <x v="192"/>
    <x v="0"/>
    <s v="MI"/>
    <s v="Alexa"/>
    <s v="Email"/>
    <s v="Posada"/>
    <s v="Gonzalo"/>
    <s v="HO3 Primary"/>
    <m/>
    <m/>
    <m/>
    <m/>
    <m/>
    <m/>
    <x v="13"/>
    <m/>
    <x v="0"/>
    <m/>
    <m/>
    <m/>
    <s v="Lazovik"/>
  </r>
  <r>
    <x v="192"/>
    <x v="2"/>
    <s v="CA"/>
    <s v="Alison"/>
    <s v="Email"/>
    <s v="Parseh"/>
    <m/>
    <s v="HO3 Primary"/>
    <m/>
    <m/>
    <m/>
    <m/>
    <m/>
    <m/>
    <x v="13"/>
    <m/>
    <x v="0"/>
    <m/>
    <m/>
    <m/>
    <s v="Lazovik"/>
  </r>
  <r>
    <x v="192"/>
    <x v="0"/>
    <s v="MI"/>
    <s v="Nicole"/>
    <s v="Email"/>
    <s v="Kinder"/>
    <s v="Christopher"/>
    <s v="HO3 Primary"/>
    <m/>
    <m/>
    <m/>
    <m/>
    <m/>
    <m/>
    <x v="13"/>
    <m/>
    <x v="0"/>
    <m/>
    <m/>
    <m/>
    <s v="Lazovik"/>
  </r>
  <r>
    <x v="193"/>
    <x v="0"/>
    <s v="MI"/>
    <s v="Rachel"/>
    <s v="Email"/>
    <s v="Ruiz"/>
    <s v="Jose"/>
    <s v="HO3 Seas/Sec"/>
    <m/>
    <s v="CO"/>
    <m/>
    <n v="9"/>
    <n v="300000"/>
    <n v="475000"/>
    <x v="8"/>
    <s v="Renewal policy - was rated as PC10 but agent supported a PC9 classification and asked that it be re-rated"/>
    <x v="1"/>
    <s v="Verified PC"/>
    <m/>
    <m/>
    <s v="May"/>
  </r>
  <r>
    <x v="193"/>
    <x v="0"/>
    <s v="MI"/>
    <s v="David"/>
    <s v="Email"/>
    <s v="Kelly"/>
    <s v="Robert"/>
    <s v="HO3 Primary"/>
    <s v="Nevada City"/>
    <s v="CA"/>
    <m/>
    <n v="10"/>
    <n v="175000"/>
    <n v="341500"/>
    <x v="8"/>
    <s v="PC10 single home in high brush zone"/>
    <x v="2"/>
    <s v="Not interested in PC10 brush at this point if the home is by itself and not accessible by more than 1 road"/>
    <m/>
    <m/>
    <s v="May"/>
  </r>
  <r>
    <x v="193"/>
    <x v="0"/>
    <s v="MI"/>
    <s v="Rachel"/>
    <s v="Email"/>
    <s v="Glass"/>
    <s v="Kevin"/>
    <s v="DP3 Rental"/>
    <s v="Ridgeway"/>
    <s v="WI"/>
    <m/>
    <n v="10"/>
    <n v="375000"/>
    <n v="375000"/>
    <x v="7"/>
    <s v="Referred due to some hunting occurring on property - by owner, no one else."/>
    <x v="1"/>
    <s v="Approved - 5 acres used for hunting on 68 acre property.  Limited exposure.  "/>
    <m/>
    <m/>
    <s v="May"/>
  </r>
  <r>
    <x v="193"/>
    <x v="1"/>
    <s v="PA"/>
    <s v="Joanna"/>
    <s v="Email"/>
    <s v="Muehlhauser"/>
    <s v="William"/>
    <s v="HO3 Primary"/>
    <s v="Topton"/>
    <s v="PA"/>
    <m/>
    <n v="9"/>
    <n v="350000"/>
    <n v="630000"/>
    <x v="8"/>
    <s v="RCT provided was at 630K replacement cost - PC9 was not a concern given location but unclear why it was not insured to value"/>
    <x v="1"/>
    <s v="Inquired why property was not insured to value - response received and will be increased - PC9 approved"/>
    <m/>
    <m/>
    <s v="May"/>
  </r>
  <r>
    <x v="194"/>
    <x v="2"/>
    <s v="CA"/>
    <s v="Bobbi"/>
    <s v="Email"/>
    <s v="Morales"/>
    <s v="Therese"/>
    <s v="HO3 Primary"/>
    <s v="Menifee"/>
    <s v="CA"/>
    <m/>
    <n v="3"/>
    <n v="500000"/>
    <n v="750000"/>
    <x v="1"/>
    <s v="1994 year built. Insured had two prior water losses, 11/2015 and 2/2018. The 2018 claim is currently still open, but repairs have been made and they are just dealing with the settlement amount with prior carrier which is why still technically open. Affected areas were re-piped, but not entire home. "/>
    <x v="0"/>
    <s v="Approved subject to confirmation that repairs have been made. $25,000 water deductible and also to confirm condition of roof, as no indication of update since year built in 1994 and to add ACV if necessary. "/>
    <m/>
    <m/>
    <s v="Busse"/>
  </r>
  <r>
    <x v="194"/>
    <x v="2"/>
    <s v="CA"/>
    <s v="Alison"/>
    <s v="Email"/>
    <s v="Jacobs"/>
    <m/>
    <s v="DP3 Builders Risk"/>
    <s v="Pacific Palisades"/>
    <s v="CA"/>
    <m/>
    <m/>
    <n v="4400000"/>
    <n v="500000"/>
    <x v="0"/>
    <s v="Nice oceanside property bought in foreclosure - going to be gutted and rehabbed"/>
    <x v="1"/>
    <s v="Conditional on work starting in 45 days."/>
    <m/>
    <m/>
    <s v="May"/>
  </r>
  <r>
    <x v="195"/>
    <x v="5"/>
    <m/>
    <s v="Nichole"/>
    <m/>
    <s v="Elkins"/>
    <s v="John"/>
    <s v="HO3 Builders Risk"/>
    <s v="DC"/>
    <s v="DC"/>
    <m/>
    <n v="2"/>
    <n v="450000"/>
    <n v="450000"/>
    <x v="1"/>
    <s v="Two large fire events, both originating in the attic. Ongoing renovations have taken a long time due to DC regulations. "/>
    <x v="2"/>
    <s v="Despite newer electrical (2013), two losses have occurred very close together. Not comfortable with the current wiring. Mr Elkins installed attic air handler near the origin of the fire."/>
    <m/>
    <m/>
    <s v="Lazovik"/>
  </r>
  <r>
    <x v="195"/>
    <x v="0"/>
    <s v="MI"/>
    <s v="Jill"/>
    <m/>
    <s v="Dennis"/>
    <s v="Adam"/>
    <s v="HO3 Primary"/>
    <s v="Nashville "/>
    <s v="TN"/>
    <n v="37214"/>
    <n v="4"/>
    <n v="150000"/>
    <n v="255000"/>
    <x v="1"/>
    <s v="Insured lives in home built in 1958. Frame construction. Do not see what renovations have been done, if any."/>
    <x v="0"/>
    <s v="Confirm age of roof, electrical and plumbing and handle according to the guidelines (given age of home). No liability allowed. Suggest minimum water deductible of $10k. Charge for the three losses"/>
    <m/>
    <m/>
    <s v="Lazovik"/>
  </r>
  <r>
    <x v="196"/>
    <x v="0"/>
    <s v="MI"/>
    <s v="Alexa"/>
    <m/>
    <s v="Balliet"/>
    <s v="Glen"/>
    <s v="HO3 Primary"/>
    <s v="Mary D"/>
    <s v="PA"/>
    <m/>
    <n v="6"/>
    <n v="435000"/>
    <n v="826500"/>
    <x v="4"/>
    <s v="Frame home built in 1900. Full roof in 2016 and partial for wiring (1990), heating (2006) and plumbing (1996). Two areas to the home. Second half is not accessible to the living area, including separate driveway. Post office is operated out of the other side."/>
    <x v="0"/>
    <s v="Must attach TBE for post office on other half. Feel comfortable there is good separation from the USPS on the other side. Also can only offer FRC/ACV settlement due to partial updates and age of home."/>
    <m/>
    <m/>
    <s v="Lazovik"/>
  </r>
  <r>
    <x v="196"/>
    <x v="7"/>
    <s v="MI"/>
    <s v="Jon"/>
    <m/>
    <s v="Hafer"/>
    <s v="Eric"/>
    <s v="HO3 Primary"/>
    <s v="Burlington"/>
    <s v="WI"/>
    <m/>
    <n v="6"/>
    <n v="295120"/>
    <n v="560728"/>
    <x v="6"/>
    <s v="Home was non-renewed due to condition. Home has now been updated and they are looking to insure again. No explanation "/>
    <x v="2"/>
    <s v="Reason for lapse is unclear."/>
    <m/>
    <m/>
    <s v="Lazovik"/>
  </r>
  <r>
    <x v="196"/>
    <x v="0"/>
    <s v="MI"/>
    <s v="Alexa"/>
    <m/>
    <s v="Elkins"/>
    <s v="Jon"/>
    <s v="HO3 Builders Risk"/>
    <s v="DC"/>
    <s v="DC"/>
    <m/>
    <n v="2"/>
    <n v="450000"/>
    <n v="450000"/>
    <x v="1"/>
    <s v="Home built in 1932, full updates in 2013. Two fires - one electrical event wiring in the attic (11/18/17) and another fire in the attic (4/10/18). RC is $112268.16. "/>
    <x v="2"/>
    <s v="Despite newer electrical (2013), two losses have occurred very close together. Not comfortable with the current wiring. Mr Elkins installed attic air handler near the origin of the fire."/>
    <m/>
    <m/>
    <s v="Lazovik"/>
  </r>
  <r>
    <x v="196"/>
    <x v="11"/>
    <m/>
    <s v="Hilary"/>
    <m/>
    <s v="Adams"/>
    <s v="Ben"/>
    <s v="HO3 Seas/Sec"/>
    <s v="Patterson"/>
    <s v="LA"/>
    <m/>
    <n v="4"/>
    <n v="2000000"/>
    <n v="2500000"/>
    <x v="0"/>
    <s v="Home built in 1990, 4478 square feet. Partial wiring and plumbing updated in 1997. Roof updated in 2018. Confirm no coverage B as garage is mentioned in the application. CSA for burglary and smoke."/>
    <x v="1"/>
    <s v="New roof in coastal area where we haven't had a lot of success selling. This risk is clean, looks "/>
    <m/>
    <m/>
    <s v="Lazovik"/>
  </r>
  <r>
    <x v="196"/>
    <x v="0"/>
    <s v="MI"/>
    <s v="Jeffrey"/>
    <m/>
    <s v="Burns"/>
    <s v="Daniel"/>
    <s v="HO3 Seas/Sec"/>
    <s v="Grand Lake"/>
    <s v="CO"/>
    <m/>
    <n v="9"/>
    <n v="257000"/>
    <n v="436900"/>
    <x v="7"/>
    <s v="Primary heat is fireplace. Home was built in 1950. PC is listed as 4, but sent as a PC 9. Corrected. Jill said baseboard heaters are throughout. Home built in 1950 with full updates in '95 and roof in '07. Firewood is up against the home and agent has requested them remove it."/>
    <x v="3"/>
    <s v="Looks like there are baseboard heaters for all rooms except the main one, which is a fireplace.  "/>
    <m/>
    <m/>
    <s v="Lazovik"/>
  </r>
  <r>
    <x v="197"/>
    <x v="0"/>
    <s v="MI"/>
    <s v="David"/>
    <m/>
    <s v="Falvey"/>
    <s v="Kim"/>
    <s v="HO3 Primary"/>
    <s v="Cypress"/>
    <s v="TX"/>
    <m/>
    <m/>
    <n v="125000"/>
    <n v="130000"/>
    <x v="7"/>
    <s v="Home referred for active horse stable on property. Barn is leased out for boarding and training horses. GL is required on lease and the insured is getting added as AI. Four acres of land and 10-15 horses in the stable. Actual home has privacy fence around it to separate it from the stables and shed. Woo burning stove occasionally used. Frame home built in 1992. "/>
    <x v="0"/>
    <s v="Does not appear to have the proper fire mat/surface surrounding fireplace. Subject to fixing the fireplace, they have approval with no animal liability, TBE and excluding all outbuildings and barns related to the business on property. Also ACV roof or exclusion."/>
    <m/>
    <m/>
    <s v="Lazovik"/>
  </r>
  <r>
    <x v="197"/>
    <x v="6"/>
    <s v="CO"/>
    <s v="Asley"/>
    <m/>
    <s v="Kanter"/>
    <s v="Joseph"/>
    <s v="HO6 "/>
    <s v="Los Angeles"/>
    <s v="CA"/>
    <m/>
    <n v="5"/>
    <n v="587000"/>
    <n v="587000"/>
    <x v="1"/>
    <s v="1964 condo with CS temp and burglary alarms. No renovations listed. Primary owner occupied condo. Insured is well known producer. Has two  water losses of &gt;$500k and about $6k."/>
    <x v="4"/>
    <s v="What mitigation measures have been taken? Pending answer. Will remove water if none taken. At least a high water deductible is otherwise warranted. Asking for larger amounts of loss assessment, id theft and eq breakdown. Be sure to note we are not a market for the fine art and they should do stand alone policies for those."/>
    <m/>
    <m/>
    <s v="Lazovik"/>
  </r>
  <r>
    <x v="197"/>
    <x v="7"/>
    <s v="MI"/>
    <s v="Cheryl"/>
    <m/>
    <s v="Migdaleck"/>
    <s v="Anders"/>
    <s v="DP3 Rental"/>
    <s v="Lathrop"/>
    <s v="MI"/>
    <m/>
    <m/>
    <n v="650000"/>
    <n v="720000"/>
    <x v="1"/>
    <s v="Large fire loss via arson. Suspects not caught yet. Insured has installed additional cameras and 12' fence around property (with gate). Brick home built in 1927 with complete updates to all systems in 2010. "/>
    <x v="0"/>
    <s v="Home is now well protected with large fence, cameras and lighting. Comfortable the a"/>
    <m/>
    <m/>
    <s v="Lazovik"/>
  </r>
  <r>
    <x v="198"/>
    <x v="0"/>
    <s v="MI"/>
    <s v="Jill"/>
    <m/>
    <s v="King"/>
    <s v="Eldon"/>
    <s v="HO3 Seas/Sec"/>
    <s v="Burlington"/>
    <s v="KS"/>
    <m/>
    <n v="10"/>
    <n v="350000"/>
    <n v="595000"/>
    <x v="8"/>
    <s v="Secondary home built in 2009. No losses. Located on 45 acres"/>
    <x v="2"/>
    <s v="The response time is 18 minutes. In addition, it is a volunteer department which means response time is even longer."/>
    <m/>
    <m/>
    <s v="Lazovik"/>
  </r>
  <r>
    <x v="199"/>
    <x v="0"/>
    <s v="MI"/>
    <s v="Lindsay"/>
    <m/>
    <s v="Freytag"/>
    <s v="Kurt"/>
    <s v="HO3 Primary"/>
    <s v="Lima"/>
    <s v="OH"/>
    <n v="45804"/>
    <n v="4"/>
    <n v="174000"/>
    <n v="295800"/>
    <x v="1"/>
    <s v="One open total fire loss on previous residence. Primary home built in 1993 with roof updated in 2004.  Above ground pool with approved fence. "/>
    <x v="0"/>
    <s v="The prior fire was due to furnace connection on older furnace and was found to be accidental (due to corrosion). The current home is in good condition."/>
    <m/>
    <m/>
    <s v="Lazovik"/>
  </r>
  <r>
    <x v="199"/>
    <x v="9"/>
    <s v="CA"/>
    <s v="Lisa"/>
    <m/>
    <s v="Cavolt"/>
    <s v="Stephanie"/>
    <s v="HO3 Primary"/>
    <s v="Shingle Springs"/>
    <s v="CA"/>
    <n v="95682"/>
    <n v="4"/>
    <n v="256000"/>
    <n v="512000"/>
    <x v="6"/>
    <s v="Lapse of over one year after non-renewed by Nationwide. In brush. Built in 1956 with partial updates to wiring (2000), plumbing (2003) and heating (2000). The roof was replaced in 2015. No alarm or sprinklers."/>
    <x v="0"/>
    <s v="Confirm that the brush and vegetation is within guidelines. Rush inspection. Signed notice of loss. Minimum AOP deductible of $5k and no discount applied for this. Apply surcharge of 15% for length of lapse and no reason. "/>
    <m/>
    <m/>
    <s v="Lazovik"/>
  </r>
  <r>
    <x v="199"/>
    <x v="6"/>
    <s v="CO"/>
    <s v="Allison"/>
    <m/>
    <s v="Keith"/>
    <s v="Patrick"/>
    <s v="HO3 Primary"/>
    <s v="Bailey"/>
    <s v="CO"/>
    <n v="80421"/>
    <n v="4"/>
    <n v="50000"/>
    <n v="250000"/>
    <x v="6"/>
    <s v="Two log cabinson the property. A woodstove is the primary heat source. One home was built in 1996 and the other in 2015. Soary power only, no plumbing except a 525 gallon cistern.  Cabins never insured but wants coverage now."/>
    <x v="0"/>
    <s v="IS is excellent. Never had a mortgage on either building - is a veterinarian that travels around quite a bit. Log cabins are &quot;off the grid&quot; with not a lot of exposure. Winterizes cabins when gone in the winter. Fully accessible (PC4) and relatively low value."/>
    <m/>
    <m/>
    <s v="Lazovik"/>
  </r>
  <r>
    <x v="199"/>
    <x v="2"/>
    <s v="CA"/>
    <s v="Alison"/>
    <m/>
    <s v="Patterson"/>
    <s v="Jack"/>
    <s v="HO3 Primary"/>
    <s v="Los Angeles"/>
    <s v="CA"/>
    <n v="90046"/>
    <n v="6"/>
    <n v="1200000"/>
    <n v="1520000"/>
    <x v="3"/>
    <s v="Patterson is member of clean break band that just released song with Demi Lovato this year. Marina is releasing first album in 3 years. Home is in renie with CSA. Built in 1956 with complete updates to everything in 1995."/>
    <x v="0"/>
    <s v="Approved without liability"/>
    <m/>
    <m/>
    <s v="Lazovik"/>
  </r>
  <r>
    <x v="199"/>
    <x v="7"/>
    <s v="MI"/>
    <s v="Jon"/>
    <m/>
    <s v="Andreini"/>
    <s v="Jessica"/>
    <s v="HO3 Primary"/>
    <s v="Sunberry"/>
    <s v="OH"/>
    <n v="43074"/>
    <n v="6"/>
    <n v="257000"/>
    <n v="514000"/>
    <x v="1"/>
    <s v="Frame home build in 2000. Roof has not been replaced yet. There was a garage fire in January 18 for $40k. Water loss in April 17 for $1200."/>
    <x v="3"/>
    <s v="Water loss was small. Waiting on garage fire investigation. Fire due to insured burning paper in a metal container, then she placed it in the garage on the cement floor next to the garbage can. They suspect the embers started the fire. Pending inspection, roof should be either ACV or excluded due to the age."/>
    <m/>
    <m/>
    <s v="Lazovik"/>
  </r>
  <r>
    <x v="200"/>
    <x v="0"/>
    <s v="MI"/>
    <s v="David"/>
    <m/>
    <s v="Ballard"/>
    <s v="Carolyn"/>
    <s v="HO3 Seas/Sec"/>
    <s v="Spring City"/>
    <s v="TN"/>
    <n v="37381"/>
    <n v="9"/>
    <n v="120000"/>
    <n v="262000"/>
    <x v="8"/>
    <s v="Frame construction home built in 1959. Partial updates in 1990 and offering FRC. Original response time was 38 min and 26 min (per the attached). There is a volunteer FD 10 minutes away and some of it is gravel. There are CSA and family uses most weekends."/>
    <x v="0"/>
    <s v="Confirm the PPC. The water source 100 ft from their house is good, but they still have gravel roads. Adding surcharge of 10% for potential inaccessibility oif they do not confirm CS fire alarm monitored 24/7.  Lower TIV so a longer response time is more acceptable."/>
    <m/>
    <m/>
    <s v="Lazovik"/>
  </r>
  <r>
    <x v="200"/>
    <x v="2"/>
    <s v="CA"/>
    <s v="Michelle"/>
    <m/>
    <s v="Tomta"/>
    <s v="Odette"/>
    <s v="HO3 Primary"/>
    <s v="Chatsworth"/>
    <s v="CA"/>
    <n v="91311"/>
    <n v="6"/>
    <n v="750000"/>
    <n v="1837500"/>
    <x v="1"/>
    <s v="Suggesting $25k water deductible. There have 3 water claims in 2 years. One slab leak (85k), pipe leak(2435) near tennis court and roof damage($181) with ensuing rain this year. All have been fixed. Adding additional 10% surcharge for losses. Built in 1976. Heating and roofing updated in 2008. Plumbing completely updated in 2017."/>
    <x v="0"/>
    <s v="Decent IS. Lots of things going on here. Roof was just repaired after the water loss. Need more information in order to NOT exclude the roof. Remove tennis court. $25k deductible approved if plumbing replaced otherwise exclude."/>
    <m/>
    <m/>
    <s v="Lazovik"/>
  </r>
  <r>
    <x v="200"/>
    <x v="12"/>
    <s v="MS"/>
    <s v="Jonathon"/>
    <m/>
    <s v="Marlin"/>
    <s v="Michael"/>
    <s v="HO3 Primary"/>
    <s v="Madison"/>
    <s v="MS"/>
    <n v="39110"/>
    <m/>
    <n v="400000"/>
    <n v="650000"/>
    <x v="1"/>
    <s v="Two water losses in 2016 (5700) and 2017 (7556) on previous home.  Home built in 1994. Roof replaced in 2013."/>
    <x v="0"/>
    <s v="Surcharge for prior two losses. Water deductible is ok as this home has updated plumbing."/>
    <m/>
    <m/>
    <s v="Lazovik"/>
  </r>
  <r>
    <x v="201"/>
    <x v="0"/>
    <s v="MI"/>
    <s v="Alexa"/>
    <m/>
    <s v="Derouin"/>
    <s v="Joel"/>
    <s v="HO3 Primary"/>
    <s v="Los Angeles"/>
    <s v="CA"/>
    <n v="90068"/>
    <n v="1"/>
    <n v="537000"/>
    <n v="966600"/>
    <x v="3"/>
    <s v="Non-brush frame hjome built in 1960. Full updates done for electrical (2010), plumbing (2008), and roof (2006). Stucco siding.  NO CSA and no losses. Musician is a well known musician (violinist). "/>
    <x v="1"/>
    <s v="Although well known, do not believe most in the general public are aware of Mr. Derouin. Has worked with many famous singers and artists."/>
    <m/>
    <m/>
    <s v="Lazovik"/>
  </r>
  <r>
    <x v="201"/>
    <x v="9"/>
    <s v="CA"/>
    <s v="Lisa"/>
    <m/>
    <s v="Makuta"/>
    <s v="Peter"/>
    <s v="HO3 Primary"/>
    <s v="Santa Barbara"/>
    <s v="CA"/>
    <n v="93105"/>
    <n v="2"/>
    <n v="2250000"/>
    <n v="5062500"/>
    <x v="0"/>
    <s v="Large frame home with stucco siding. Local smoke and burglar alarm. Solar panels for pool on property. All wiring, plumbing, heating and roofing were updated completely in 1985. Fire hydrant on the property."/>
    <x v="2"/>
    <s v="Asking for 70% of value. Will only consider if full value."/>
    <m/>
    <m/>
    <s v="Lazovik"/>
  </r>
  <r>
    <x v="201"/>
    <x v="0"/>
    <s v="MI"/>
    <s v="Alexa"/>
    <m/>
    <s v="Jones"/>
    <s v="Paige"/>
    <s v="HO3 Primary"/>
    <s v="Ironton"/>
    <s v="MO"/>
    <n v="63650"/>
    <n v="10"/>
    <n v="150000"/>
    <n v="255000"/>
    <x v="8"/>
    <s v="Large fire loss at a previous address due to lightening. Home was 25 miles from the home and was complete loss. About $78k loss. This is different home with water damage, wind and extended coverage Perils of $21,366. Insurance Score is an 'R'. Home has CSA for burglary and fire. Complete updates in 2000. Lapse as they moved in a month ago."/>
    <x v="2"/>
    <s v="With the large loss, PPC and lapse for two months, the risk as a whole does not look favorable."/>
    <m/>
    <m/>
    <s v="Lazovik"/>
  </r>
  <r>
    <x v="201"/>
    <x v="2"/>
    <s v="CA"/>
    <s v="Melissa"/>
    <m/>
    <s v="Rooney"/>
    <s v="Kevin"/>
    <s v="HO3 Primary"/>
    <s v="Hillsborough"/>
    <s v="CA"/>
    <n v="94010"/>
    <n v="4"/>
    <n v="2422262"/>
    <n v="2577000"/>
    <x v="0"/>
    <s v="1971 home with wood frame and brick veneer and stucco siding. Centra station fire and burglar alarm monitored by Hillsborough Police department. Sprinkler system is installed. Exclude solar panels. One tree loss of just over $4k. Trying to move this from Lexington to us due to high renewal amount. "/>
    <x v="0"/>
    <s v="Confirm the CSA for burglary and fire station and sprinkler system. Confirm solar panels were installed by professional contractor. Recommending an extra 15% on top of the quote we supplied. Also asking if we are under on a lot of quotes right now."/>
    <m/>
    <m/>
    <s v="Lazovik"/>
  </r>
  <r>
    <x v="201"/>
    <x v="0"/>
    <s v="MI"/>
    <s v="Jeffrey"/>
    <m/>
    <s v="Ferry"/>
    <s v="Eric"/>
    <s v="HO3 Primary"/>
    <s v="Maysville"/>
    <s v="MO"/>
    <n v="64469"/>
    <n v="10"/>
    <n v="102000"/>
    <n v="204000"/>
    <x v="1"/>
    <s v="Frame home built in 2008. Original wiring, plumbing and roofing. Heat completely updated in 2018. Roof is metal. Had large fire loss in February 2018 over $300k. Insurance Score is an 'S'. "/>
    <x v="2"/>
    <s v="I am not seeing a fire station within .1 miles but about a 15 minute response time. Coupled with a volunteer fire department response, this would be ineligible for the program unless confirm the address was incorrect or the correct fire station address. "/>
    <m/>
    <m/>
    <s v="Lazovik"/>
  </r>
  <r>
    <x v="202"/>
    <x v="9"/>
    <s v="CA"/>
    <s v="Lisa"/>
    <m/>
    <s v="Aguilar"/>
    <s v="Ana"/>
    <s v="HO3 Primary"/>
    <s v="Portola Valley"/>
    <s v="CA"/>
    <n v="94028"/>
    <n v="2"/>
    <n v="2700000"/>
    <n v="4320000"/>
    <x v="0"/>
    <s v="Home built in 1958 with partial wiring and plumbing updates in 1995. Roof was replaced in 2007. No CSA. Not located in brush. "/>
    <x v="0"/>
    <s v="Home over $2M requires deductible minimum of $10k. Theft ded also a minimum of $10k."/>
    <m/>
    <m/>
    <s v="Lazovik"/>
  </r>
  <r>
    <x v="202"/>
    <x v="0"/>
    <s v="MI"/>
    <s v="David"/>
    <m/>
    <s v="Seger"/>
    <s v="David"/>
    <s v="DP3 Builders Risk"/>
    <s v="Baroda"/>
    <s v="MI"/>
    <n v="49101"/>
    <n v="5"/>
    <n v="750000"/>
    <n v="750000"/>
    <x v="7"/>
    <s v="Church will be converted into Bed &amp; Breakfast business in spring 2019. Working with architect and contract on the plans. Full updates will be done in 2019. Would like RC. Church built in 1900. Roof will need to be excluded. Frame construction and 'D' insurance score. Submitting as a builder's risk"/>
    <x v="0"/>
    <s v="Must rate as a vacant as it will not be touched over the winter. Can write a builders risk when construction will begin. RC not available on the vacant policy.  Settlement type will need to remain ACV. They can refer again when it is ready to be written as a builders risk. Exclude the roof unless inspection shows better condition than the pictures appear to show. Also confirm condition of electrical and plumbing and apply guidelines if needed based on findings."/>
    <m/>
    <m/>
    <s v="Lazovik"/>
  </r>
  <r>
    <x v="202"/>
    <x v="2"/>
    <s v="CA"/>
    <s v="Alison"/>
    <m/>
    <s v="JS Properties"/>
    <m/>
    <s v="DP3 Rental"/>
    <s v="Laguna Beach"/>
    <s v="CA"/>
    <n v="92651"/>
    <n v="3"/>
    <n v="640563"/>
    <n v="661626"/>
    <x v="7"/>
    <s v="Home built in 1946. Plumbing updated in 2016. Frame construction with stucco (per website). Roof is tile. Age unknown."/>
    <x v="0"/>
    <s v="Confirm Cast iron not in use for water supplies. Eyes need to be on the inspection and confirm condition of roof, plumbing and electrical. Attach water exclusion if cast iron used for carrying water. Confirm no business rentals on premises. Confirm roof condition at inspection. "/>
    <m/>
    <m/>
    <s v="Lazovik"/>
  </r>
  <r>
    <x v="202"/>
    <x v="0"/>
    <s v="MI"/>
    <s v="Rachel"/>
    <m/>
    <s v="Schellinck"/>
    <s v="Edward"/>
    <s v="DP3 Rental"/>
    <s v="Emigrant Gap"/>
    <s v="CA"/>
    <n v="95715"/>
    <n v="10"/>
    <n v="350000"/>
    <n v="430000"/>
    <x v="8"/>
    <s v="PC 10 rating as brush as riskmeter is not finding the address. Added 10% surcharge for a lapse. Masonry home with Fire hydrant within 1001 ft and FD in 1 mi. Home was built in 1980. Not updates to heating, electrical, plumbing or roofing."/>
    <x v="0"/>
    <s v="There is a fire station within 1 mile of the home (via google maps - big bend fire department). It is a volunteer department but response time is more than adequate. Surcharge for brush exposure."/>
    <m/>
    <m/>
    <s v="Lazovik"/>
  </r>
  <r>
    <x v="202"/>
    <x v="0"/>
    <s v="MI"/>
    <s v="Rachel"/>
    <m/>
    <s v="Markley"/>
    <s v="Howard"/>
    <s v="HO3 Seas/Sec"/>
    <s v="Rye"/>
    <s v="CO"/>
    <n v="81069"/>
    <n v="10"/>
    <n v="84000"/>
    <n v="110800"/>
    <x v="8"/>
    <s v="1945 frame home with full heating, wiring and plumbing updates in 1993. New roof in 2005. Looking for FRC terms. IS was a no hit. There is a 15 minute response time."/>
    <x v="0"/>
    <s v="The CovA does not hit the minimum $100k but this is a cabin in CO which may have lower values. Fire wood pile must be moved and submit evidence that has been done.  Insurance score is a no hit."/>
    <m/>
    <m/>
    <s v="Lazovik"/>
  </r>
  <r>
    <x v="202"/>
    <x v="9"/>
    <s v="CA"/>
    <s v="Melissa"/>
    <m/>
    <s v="Kurzawski"/>
    <s v="Bettye"/>
    <s v="HO3 Primary"/>
    <s v="Copperopolis"/>
    <s v="CA"/>
    <n v="95228"/>
    <n v="5"/>
    <n v="920000"/>
    <n v="1772000"/>
    <x v="1"/>
    <s v="Large loss ($119,863). Lightning struck garage - total loss. Claim is closed and structure is rebuilt. Frame home covered with cedar/wood shingles.  There was a partial roof update in 2018. Partial plumbing update in 2018. Home built in 1992. Home located in brush."/>
    <x v="0"/>
    <s v="Surcharge for the brush. Roof must be either ACV or excluded based on the inspection. Removal of vegetation and trees per the guidelines as it is brush exposed. "/>
    <m/>
    <m/>
    <s v="Lazovik"/>
  </r>
  <r>
    <x v="202"/>
    <x v="0"/>
    <s v="MI"/>
    <s v="Nicole"/>
    <m/>
    <s v="Boseman"/>
    <s v="Keith"/>
    <s v="HO3 Seas/Sec"/>
    <s v="Crossett"/>
    <s v="AR"/>
    <n v="71635"/>
    <n v="10"/>
    <n v="75000"/>
    <n v="85000"/>
    <x v="8"/>
    <s v="Home built in 1982 and is on stilts. Metal roof. Partial updates to wiring in 2018 and plumbing and heating in 2016. The roof was completely replaced by 2010. Primary heat is infrared gas heaters which are not rated for residential use"/>
    <x v="2"/>
    <s v="Infrared heaters are not rated for residential use but mostly in commercial settings. Also a PC 10 with 20 minutes response time."/>
    <m/>
    <m/>
    <s v="Lazovik"/>
  </r>
  <r>
    <x v="203"/>
    <x v="2"/>
    <s v="CA"/>
    <s v="Michelle"/>
    <m/>
    <s v="Enz"/>
    <s v="Gunter"/>
    <s v="DP3 Builders Risk"/>
    <s v="Encinitas"/>
    <s v="CA"/>
    <n v="92024"/>
    <n v="5"/>
    <n v="2700000"/>
    <n v="2700000"/>
    <x v="11"/>
    <s v="Home is already under renovation. Insured paid cash for home and expect 6 monts to complete $100k in renovations. Licensed and insured contractor is handling all of the work. So far the foundation, framing, electrical wiring, rough plumbing, insulation, drywall and roof have been completed. The home will be for sale afterwards. Want $10 k deductible and 20% surcharge. Not in brush. Frame home. All systems updated already."/>
    <x v="0"/>
    <s v="As this BR is already mostly complete, thorough  review at inspection. Exposure is lower."/>
    <m/>
    <m/>
    <s v="Lazovik"/>
  </r>
  <r>
    <x v="203"/>
    <x v="2"/>
    <s v="CA"/>
    <s v="Alison"/>
    <m/>
    <s v="Sheha"/>
    <s v="Michael"/>
    <s v="HO3 Primary"/>
    <s v="Coto De Caza "/>
    <s v="CA"/>
    <n v="92679"/>
    <n v="3"/>
    <n v="2511000"/>
    <n v="3767000"/>
    <x v="0"/>
    <s v="CSA for smoke, temperature and burglary, Frame home, tile roof built in 1997. "/>
    <x v="1"/>
    <s v="Confirm CSA."/>
    <m/>
    <m/>
    <s v="Lazovik"/>
  </r>
  <r>
    <x v="203"/>
    <x v="0"/>
    <s v="MI"/>
    <s v="Lindsay"/>
    <m/>
    <s v="Hanson"/>
    <s v="Katie"/>
    <s v="HO3 Primary"/>
    <s v="Milwaukee"/>
    <s v="WI"/>
    <n v="53221"/>
    <n v="3"/>
    <n v="188000"/>
    <n v="337600"/>
    <x v="1"/>
    <s v="Home built in 1958. Open claim regarding insured dog (coonhound) bit neighbor after they fell down. Ongoing legal matter. Complete system work in 2012."/>
    <x v="2"/>
    <s v="I feel the ongoing legal matter with the neighbor could make this home a target."/>
    <m/>
    <m/>
    <s v="Lazovik"/>
  </r>
  <r>
    <x v="204"/>
    <x v="2"/>
    <s v="CA"/>
    <s v="Alison"/>
    <m/>
    <s v="Donfeld"/>
    <s v="Joshua &amp; Amy"/>
    <s v="HO3 Primary"/>
    <s v="Los Angeles"/>
    <s v="CA"/>
    <n v="90069"/>
    <n v="1"/>
    <n v="1323000"/>
    <n v="2878200"/>
    <x v="1"/>
    <s v="CS Temperature and burglar alarms. Frame home with stucco siding.  Tile roof from 1990. Heating replaced in 2006. partial updates to wiring and plumbing in 2018. Home built in 1923. Tile roof leaded last year and open dog bite claim. Dog is no longer in household."/>
    <x v="0"/>
    <s v="Must be ACV or FRC. Confirm closed foundation - not open. Animal exclusion if they have another dog. Can exclude roof or use the fire and lightning only roof endorsement. Suspicious the roof is no longer viable. "/>
    <m/>
    <m/>
    <s v="Lazovik"/>
  </r>
  <r>
    <x v="204"/>
    <x v="6"/>
    <s v="CO"/>
    <s v="Allison"/>
    <m/>
    <s v="Madole"/>
    <s v="Juanita"/>
    <s v="DP3 Vacant"/>
    <s v="Boulder"/>
    <s v="CO"/>
    <n v="80304"/>
    <n v="2"/>
    <n v="1200000"/>
    <n v="1200000"/>
    <x v="6"/>
    <s v="Home is vacant as it is up for sale.  There is a 3 month lapse as it was non-renewed due to vacancy and they did not go and get insurance. Obtaining no loss statement and adding 10% lapse surcharge."/>
    <x v="1"/>
    <s v="Reviewed pictures online. Nothing jumps out. Charging for the lapse."/>
    <m/>
    <m/>
    <s v="Lazovik"/>
  </r>
  <r>
    <x v="204"/>
    <x v="0"/>
    <s v="MI"/>
    <s v="Leslie"/>
    <m/>
    <s v="O'Flanagan"/>
    <s v="Sandra"/>
    <s v="HO3 Primary"/>
    <s v="Grafton"/>
    <s v="OH"/>
    <n v="44044"/>
    <n v="6"/>
    <n v="150000"/>
    <n v="255000"/>
    <x v="1"/>
    <s v="Open total fire loss ($249,929). Cause is undetermined. IS is a 'K'.  Home was re-built in 2018 after the fire."/>
    <x v="3"/>
    <s v="Waiting for reason another 45 days on open claim. Referral guide cautions open physical damage claims. Will need to charge for 2 losses as there is another one listed on the app. Water loss from 2015. Pending contents settlement, losses are repaired. "/>
    <m/>
    <m/>
    <s v="Lazovik"/>
  </r>
  <r>
    <x v="204"/>
    <x v="0"/>
    <s v="MI"/>
    <s v="Leslie"/>
    <m/>
    <s v="Slate"/>
    <s v="Christopher"/>
    <s v="HO3 Primary"/>
    <s v="San Luis Obispo"/>
    <s v="CA"/>
    <n v="93401"/>
    <m/>
    <n v="800000"/>
    <n v="1040000"/>
    <x v="1"/>
    <s v="Two losses. One is included as oil/fuel leak but insured says it was a water leak. Water/leak was $81k. Another leak in June 2018 in one of the rooms."/>
    <x v="2"/>
    <s v="Losses are odd. First one is 2016. Clue says Liability and they say water leak. Then next loss is water leak and say all copper was replaced with PEX. "/>
    <m/>
    <m/>
    <s v="Lazovik"/>
  </r>
  <r>
    <x v="204"/>
    <x v="0"/>
    <s v="MI"/>
    <s v="Alexa"/>
    <m/>
    <s v="Miller"/>
    <s v="Robert"/>
    <s v="HO3 Primary"/>
    <m/>
    <s v="IN"/>
    <m/>
    <n v="9"/>
    <n v="350000"/>
    <n v="479500"/>
    <x v="8"/>
    <s v="Insured left Amish church on October 1st. No insurance prior as the church covers everything as a community. Stove is a gas furnace/wood stove combo heating unit. Electrical needs are supplied by solar panels and a generator."/>
    <x v="2"/>
    <s v="The home getting heated by a wood burning furnace is a high exposure. Response time is about 15 minutes as the home is outside the nearest city. Since the response is long and the increase risk for fire is high, I passed on this one."/>
    <m/>
    <m/>
    <s v="Lazovik"/>
  </r>
  <r>
    <x v="204"/>
    <x v="2"/>
    <s v="CA"/>
    <s v="Kelly"/>
    <m/>
    <s v="Song"/>
    <s v="Ki Chang"/>
    <s v="HO3 Primary"/>
    <s v="Los Angeles"/>
    <s v="CA"/>
    <n v="91748"/>
    <n v="2"/>
    <n v="557000"/>
    <n v="1169700"/>
    <x v="1"/>
    <s v="2016 water and theft losses. Water was $173k. Home has since been re-piped and they now have monitored alarm. Also have CS Burglar alarm. Frame home with stucco built in 1989."/>
    <x v="1"/>
    <s v="Redid all of the piping and now have fully monitored alarms for both theft and water. Confirm fire alarms. "/>
    <m/>
    <m/>
    <s v="Lazovik"/>
  </r>
  <r>
    <x v="204"/>
    <x v="0"/>
    <s v="MI"/>
    <s v="Jill"/>
    <m/>
    <s v="McKarns"/>
    <s v="Susan"/>
    <s v="HO3 Primary"/>
    <s v="Columbia"/>
    <s v="MO"/>
    <n v="65201"/>
    <n v="2"/>
    <n v="450000"/>
    <n v="900000"/>
    <x v="1"/>
    <s v="Two water losses. First was $120 but contractor error and another $14k water loss. Prior carrier doing subro for damages from contractor. New contract handling current renovations. Water sensors and water shut off device will be installed. Branch proposing $5k ded and s/c 10% for loss history. Frame home built in 1998. Roofing last done in 2007."/>
    <x v="0"/>
    <s v="Sensors and shut off not yet installed. Water exclusion until then. $10k deductible unless house gets re-piped and then can use AOP. "/>
    <m/>
    <m/>
    <s v="Lazovik"/>
  </r>
  <r>
    <x v="204"/>
    <x v="6"/>
    <s v="CO"/>
    <s v="Allison"/>
    <m/>
    <s v="Yomtobian"/>
    <s v="Daniel"/>
    <s v="DP3 Rental"/>
    <s v="Beverly Hills"/>
    <s v="CA"/>
    <n v="90210"/>
    <n v="2"/>
    <n v="2400000"/>
    <n v="3145000"/>
    <x v="0"/>
    <s v="Frame home built in 1963. Full remodel in 2006 with an addition. No CSFB alarm so $10k theft deductible. ACV Contents."/>
    <x v="1"/>
    <s v="No CSA so agree with theft deductible. "/>
    <m/>
    <m/>
    <s v="Lazovik"/>
  </r>
  <r>
    <x v="204"/>
    <x v="5"/>
    <s v="PA"/>
    <s v="Nichole"/>
    <m/>
    <s v="White"/>
    <s v="Bryan"/>
    <s v="HO3 Primary"/>
    <s v="Bristow"/>
    <s v="VA"/>
    <n v="20136"/>
    <n v="3"/>
    <n v="515000"/>
    <n v="1030000"/>
    <x v="1"/>
    <s v="Two large losses. Fire in 2017 for $664K. Fire investigation appears to be laptop which had recall for spontaneous battery fires. Repairs are complete. Tree fell on fence 2/18 ($2k). Home built in 2007 with frame construction."/>
    <x v="1"/>
    <s v="Fire was due to a laptop. Loss surcharge is 25% for 2 losses and feel that is adequate."/>
    <m/>
    <m/>
    <s v="Lazovik"/>
  </r>
  <r>
    <x v="204"/>
    <x v="0"/>
    <s v="MI"/>
    <s v="Lindsay"/>
    <m/>
    <s v="The Barn Cat Coon Creek Farm"/>
    <m/>
    <s v="DP3 Seasonal"/>
    <s v="Fayetteville"/>
    <s v="TX"/>
    <n v="78940"/>
    <n v="9"/>
    <n v="750000"/>
    <n v="750000"/>
    <x v="8"/>
    <s v="Barndominion frame construction on insureds property but has it's own address. Used as a quilting studio for donating. No income is generated."/>
    <x v="3"/>
    <s v="Attach TBE (volunteers so it wouldn't impact their quilting). Asking for coverage A only.  Asked for more information regarding where the building is located for fire response purposes. Added S/C of 10% for response time."/>
    <m/>
    <m/>
    <s v="Lazovik"/>
  </r>
  <r>
    <x v="204"/>
    <x v="0"/>
    <s v="MI"/>
    <s v="Jill"/>
    <m/>
    <s v="Barksdale"/>
    <s v="Norman"/>
    <s v="HO3 Primary"/>
    <s v="Aurora"/>
    <s v="CO"/>
    <n v="80013"/>
    <n v="3"/>
    <n v="275000"/>
    <n v="430000"/>
    <x v="1"/>
    <s v="Fire claim on $262,013 due to discarded cigarette. Ash caught the home on fire and house burned quickly. Lapse since 10/19/18. Frame construction built in 1996. Roof replaced in 2018. "/>
    <x v="2"/>
    <s v="Concerned insured's wife smokes out on the deck regularly but is &quot;careful&quot;. Insured's nephew may have started the fire that day. Increased exposure due to ongoing smoking in the house."/>
    <m/>
    <m/>
    <s v="Lazovik"/>
  </r>
  <r>
    <x v="205"/>
    <x v="2"/>
    <s v="CA"/>
    <s v="Gina"/>
    <m/>
    <s v="Bayless"/>
    <s v="Teresa"/>
    <s v="HO3 Primary"/>
    <s v="San Juan Capistrano"/>
    <s v="CA"/>
    <n v="92675"/>
    <n v="3"/>
    <n v="2166986"/>
    <n v="3264986"/>
    <x v="0"/>
    <s v="Frame home with stucco siding and brick built in 1989. Copper plumbing throughout.CSA for smoke, burglar and sprinklers."/>
    <x v="1"/>
    <s v="Full sprinkler protection with full CSA. Was not given brush information."/>
    <m/>
    <m/>
    <s v="Lazovik"/>
  </r>
  <r>
    <x v="205"/>
    <x v="8"/>
    <s v="NC"/>
    <s v="Tamara"/>
    <m/>
    <s v="Freiwald"/>
    <s v="Andrea"/>
    <s v="HO3 Primary"/>
    <s v="Wadmalaw lsland"/>
    <s v="SC"/>
    <n v="29487"/>
    <n v="5"/>
    <n v="630000"/>
    <n v="1039500"/>
    <x v="13"/>
    <s v="Frame home built in 1982. Roof replaced in 2003. Partial plumbing and electrical 2017. CSA for burglar, smoke and fire. Swimming pool or trampoline on the premises."/>
    <x v="0"/>
    <s v="Attach TBE, exclude buildings, make sure pool excluded if not a proper fence"/>
    <m/>
    <m/>
    <s v="Lazovik"/>
  </r>
  <r>
    <x v="205"/>
    <x v="2"/>
    <s v="CA"/>
    <s v="Lucas"/>
    <m/>
    <s v="Batra"/>
    <s v="Vikrant"/>
    <s v="HO3 Primary"/>
    <s v="Los Gatos"/>
    <s v="CA"/>
    <n v="95032"/>
    <n v="2"/>
    <n v="2000000"/>
    <n v="3600000"/>
    <x v="0"/>
    <s v="Full central station fire/burglar alarms. Out of brush. Frame home built in 2002. Tile roof. No prior losses."/>
    <x v="1"/>
    <m/>
    <m/>
    <m/>
    <s v="Lazovik"/>
  </r>
  <r>
    <x v="205"/>
    <x v="2"/>
    <s v="CA"/>
    <s v="Melissa"/>
    <m/>
    <s v="Mejia"/>
    <s v="Cindy"/>
    <s v="HO3 Primary"/>
    <s v="Los Angeles"/>
    <s v="CA"/>
    <n v="91307"/>
    <n v="10"/>
    <n v="943500"/>
    <n v="1773000"/>
    <x v="1"/>
    <s v="Water loss of $66k for water leak in 1/17. Frame home built in 1985. Stucco siding. Fire hydrant within 75 feet. CSA for burglary. Smoke detectors. Wiring updated in 1995. In ground pool. Clay tile roof installed in 1995."/>
    <x v="2"/>
    <s v="PC 10 with response time over 20 minutes. "/>
    <m/>
    <m/>
    <s v="Lazovik"/>
  </r>
  <r>
    <x v="205"/>
    <x v="0"/>
    <s v="MI"/>
    <s v="David"/>
    <m/>
    <s v="Welsh"/>
    <s v="Kelli"/>
    <s v="HO3 Primary"/>
    <s v="Olympic Valley"/>
    <s v="CA"/>
    <n v="96146"/>
    <n v="3"/>
    <n v="3000000"/>
    <n v="5000000"/>
    <x v="0"/>
    <s v="Frame home built in 1975. Wiring, plumbing and roof all replaced in 2010. Home is in brush."/>
    <x v="2"/>
    <s v="High TV in brush"/>
    <m/>
    <m/>
    <s v="Lazovik"/>
  </r>
  <r>
    <x v="205"/>
    <x v="2"/>
    <s v="CA"/>
    <s v="Alison"/>
    <m/>
    <s v="Weidenweber"/>
    <s v="Anne"/>
    <s v="HO3 Primary"/>
    <s v="Santa Rosa Valley"/>
    <s v="CA"/>
    <n v="93012"/>
    <n v="10"/>
    <n v="1800000"/>
    <n v="3060000"/>
    <x v="0"/>
    <s v="Home built in 1997. frame with stucco and stone siding. Clay tile roof. Fire hydrant within 100 ft. CSA for burglary. In Brush."/>
    <x v="2"/>
    <s v="PC10 with high TIV and in brush."/>
    <m/>
    <m/>
    <s v="Lazovik"/>
  </r>
  <r>
    <x v="205"/>
    <x v="3"/>
    <s v="MA"/>
    <s v="Barbara"/>
    <m/>
    <s v="Pierpont"/>
    <s v="Lynn"/>
    <s v="HO3 Seas/Sec"/>
    <s v="Weston"/>
    <s v="CT"/>
    <s v="06883"/>
    <n v="4"/>
    <n v="670000"/>
    <n v="1289000"/>
    <x v="1"/>
    <s v="One fire claim in 2018. CSBF combo alarm. Built in 1940. Frame home with complete updates to wiring, plumbing, heating and roofing in 2018 (after fire). Fire started while under renovation. The metal firebox was defective and touching the wood, igniting the interior wall. This was not under construction. Insured was burning construction material."/>
    <x v="0"/>
    <s v="Confirm the repairs are complete. Also confirm the remodeling is complete as we will not insure if insured is GC. Confirm CS alarms for both burglary and fire are installed."/>
    <m/>
    <m/>
    <s v="Lazovik"/>
  </r>
  <r>
    <x v="206"/>
    <x v="2"/>
    <s v="CA"/>
    <s v="Lisa"/>
    <m/>
    <s v="Rauch"/>
    <s v="Michael"/>
    <s v="HO3 Primary"/>
    <s v="Tiburon"/>
    <s v="CA"/>
    <s v="94920"/>
    <n v="1"/>
    <n v="2244000"/>
    <n v="3444000"/>
    <x v="0"/>
    <s v="Not in brush. Central fire and burglar, along with full sprinklers. Composite shingle roof completed in 2000 along with wiring and plumbing. Home built in 1976. "/>
    <x v="0"/>
    <s v="Confirm condition of roof and use ACV if warranted."/>
    <m/>
    <m/>
    <s v="Lazovik"/>
  </r>
  <r>
    <x v="206"/>
    <x v="0"/>
    <s v="MI"/>
    <s v="Nicole"/>
    <m/>
    <s v="Duncan"/>
    <s v="Sean"/>
    <s v="HO3 Builders Risk"/>
    <s v="Golden"/>
    <s v="CO"/>
    <s v="80401"/>
    <n v="3"/>
    <n v="589000"/>
    <n v="1236900"/>
    <x v="1"/>
    <s v="Two prior losses. One Hail (CAT) claim of $35k (2017). Water claim in 1/2018 for failed toilet supply line. Kitchen remodeling in process. $161K in repairs. Home built in 1991 frame. Asphalt roof replaced in 2018. No CSA."/>
    <x v="3"/>
    <s v="As home repairs have begun but not complete, we will decline.  Repairs are now complete."/>
    <m/>
    <m/>
    <s v="Lazovik"/>
  </r>
  <r>
    <x v="206"/>
    <x v="2"/>
    <s v="CA"/>
    <s v="Tina"/>
    <m/>
    <s v="Weaver"/>
    <s v="Steve"/>
    <s v="HO3 Seas/Sec"/>
    <s v="Oakhurst"/>
    <s v="CA"/>
    <s v="93644"/>
    <n v="10"/>
    <n v="463760"/>
    <n v="799760"/>
    <x v="8"/>
    <s v="Monitored CS fire and burglar. Frame home built in 2014. No prior losses. Outbuilding is guest house.  FD is 3.5 miles away. Closer one staffed by CalFire they did not locate for unprotected questionnaire."/>
    <x v="3"/>
    <s v="Guest home is not rented out.  Monitored alarms. Cal fire is closer than FD listed and is present all winter (unlike most CalFire stations)."/>
    <n v="473035.2"/>
    <m/>
    <s v="Lazovik"/>
  </r>
  <r>
    <x v="206"/>
    <x v="0"/>
    <s v="MI"/>
    <s v="Alexa"/>
    <m/>
    <s v="Greenberg"/>
    <s v="Robert"/>
    <s v="HO6"/>
    <s v="Saint Louis"/>
    <s v="MO"/>
    <s v="63141"/>
    <n v="2"/>
    <n v="335500"/>
    <n v="414400"/>
    <x v="1"/>
    <s v="Four losses in past 3 years on prior home. Hail damage 5/11/16 $0, Hail damage 2/28/17 hail damage ($12k), Burglary 1/21 due to water loss fix from January ($10k for jewelry_ and 1/16/16 pipe broke - $297k. Masonry construction built in 1966. Full updates in 2015 and c/s alarms. Condo built in 1966. Brick building with CSA for temp and burglary. Complete updates to wiring, plumbing and heating in 2015. EQ for MO?"/>
    <x v="0"/>
    <s v="Losses were all for prior property and 2 were hail. Recommending 4 losses and surcharged 10% to us. Stand alone policy for the jewelry."/>
    <m/>
    <m/>
    <s v="Lazovik"/>
  </r>
  <r>
    <x v="206"/>
    <x v="2"/>
    <s v="CA"/>
    <s v="Gina"/>
    <m/>
    <s v="Goad"/>
    <s v="Gregory"/>
    <s v="HO3 Primary"/>
    <m/>
    <s v="CA"/>
    <m/>
    <m/>
    <m/>
    <m/>
    <x v="13"/>
    <m/>
    <x v="2"/>
    <s v="Do not want to insure home inhabited by minor (and $4M TIV)."/>
    <m/>
    <m/>
    <s v="Lazovik"/>
  </r>
  <r>
    <x v="207"/>
    <x v="7"/>
    <s v="MI"/>
    <s v="Cheryl"/>
    <m/>
    <s v="Concessi"/>
    <s v="Vincent"/>
    <s v="HO3 Seas/Sec"/>
    <s v="Oscada"/>
    <s v="MI"/>
    <s v="48728"/>
    <n v="10"/>
    <n v="1795000"/>
    <n v="3231000"/>
    <x v="8"/>
    <s v="Insured will install a dry hydrant generator and pump. Frame/log home built in 2018. Want to offer 10% discount due to no losses and score (but IS is an 'N'). "/>
    <x v="4"/>
    <s v="Pending whether generator, pump and dry hydrant will be complete by binding. NO DISCOUNT should be applied.  We will not schedule tractors or watercraft (on application) Mitchell, this is probably just the entire account so not necessarily looking for coverage. Homes over $2M TIV are required to have a CSA burglar and fire. If none exists then they must have $10k AOP and $10k theft deductibles per the guidelines."/>
    <s v="CSA requirement must be highlighted if we approve this one (in subject to wording). No discounts should be applied. Subject to NO discounts. Actually, log homes get a 10% surcharge. Make sure they have input it as log. We could probably compromise at 5% if pressed. My guess is Cheryl said it was frame. See E&amp;S U/W document for log home discussion."/>
    <m/>
    <s v="Lazovik"/>
  </r>
  <r>
    <x v="207"/>
    <x v="2"/>
    <s v="CA"/>
    <s v="Lisa"/>
    <m/>
    <s v="Martinez"/>
    <s v="Lisa"/>
    <s v="HO3 Primary"/>
    <s v="Murrieta"/>
    <s v="CA"/>
    <s v="92562"/>
    <n v="10"/>
    <n v="1089000"/>
    <n v="2369100"/>
    <x v="8"/>
    <s v="Home in brush and PC 10. Concrete tile roof. Built in 2002. No alarms or sprinklers. "/>
    <x v="2"/>
    <s v="Home has high TIV, pc10 and is in brush. Also do not have alarms or sprinklers."/>
    <m/>
    <m/>
    <s v="Lazovik"/>
  </r>
  <r>
    <x v="208"/>
    <x v="5"/>
    <s v="PA"/>
    <s v="Andrea"/>
    <m/>
    <s v="Adams"/>
    <s v="Helen"/>
    <s v="HO3 Seas/Sec w/Rental"/>
    <s v="Kennebunkport"/>
    <s v="ME"/>
    <s v="04046"/>
    <n v="1"/>
    <n v="1536000"/>
    <n v="1925400"/>
    <x v="0"/>
    <s v="Home built in 1890. Frame home. Wiring updated in 1980's. Plumbing updated. Roof updated in 2011. Heat is done with a monitor heater fueled by oil. There is no thermostat."/>
    <x v="2"/>
    <s v="Home is not centrally heated and does not have a thermostat. As the home is in Kennebunkport ME, freezing is a concern. Also, the inspection looks more like the home is currently vacant and not rented."/>
    <m/>
    <m/>
    <s v="Lazovik"/>
  </r>
  <r>
    <x v="208"/>
    <x v="6"/>
    <s v="CO"/>
    <s v="Allison"/>
    <m/>
    <s v="Olesen"/>
    <s v="Mark"/>
    <s v="HO3 Primary"/>
    <s v="Agoura Hills"/>
    <s v="CA"/>
    <s v="91301"/>
    <n v="1"/>
    <n v="2093000"/>
    <n v="1827650"/>
    <x v="1"/>
    <s v="Home has 3 losses in 2 years. 2017 hail (roof replaced). Open water from July. Water supply line burst. Expect items back in November. Water leak detection system and shut off valve installed. Ring over $39k with loss when diamond had a big chip and stone replaced. Frame home built in 1992, roof in 2017. CSFB alarm."/>
    <x v="2"/>
    <s v="Need to know where in the process repairs are. Decline if actual repairs not wrapped up due to concerns of other potential damage. UW document explains. We will insure as soon as confirmation of complete repairs. If they say they are painting, etc. then that will be fine. Everything needs to be cleaned up. Make sure existing damage and mold exclusion apply. Otherwise let them know that ring cannot be placed with us. Charge for losses. Have 1% wind/hail percentage. Increase to 2-3% due to frequency of losses."/>
    <m/>
    <m/>
    <s v="Lazovik"/>
  </r>
  <r>
    <x v="208"/>
    <x v="6"/>
    <s v="CO"/>
    <s v="Allison"/>
    <m/>
    <s v="Welker"/>
    <s v="Franklin"/>
    <s v="HO3 Primary"/>
    <s v="Agoura Hills"/>
    <s v="CA"/>
    <s v="91301"/>
    <n v="1"/>
    <n v="2093000"/>
    <n v="4035428"/>
    <x v="0"/>
    <s v="Insured was the voice of scooby doo. Were NOC from Lloyd's as they are not monitored alarms. Live in property manager and a gated property. Looking at increased theft deductible, theft exclusion, higher AOP or additional surcharge. Built in 1942. In a brush zone."/>
    <x v="2"/>
    <s v="We do not accept homes in brush with TIV over $3M."/>
    <m/>
    <m/>
    <s v="Lazovik"/>
  </r>
  <r>
    <x v="208"/>
    <x v="2"/>
    <s v="CA"/>
    <s v="Michelle"/>
    <m/>
    <s v="England"/>
    <s v="Theodore"/>
    <s v="HO3 Primary"/>
    <s v="Santa Paula"/>
    <s v="CA"/>
    <s v="93060"/>
    <n v="10"/>
    <n v="1250000"/>
    <n v="2250000"/>
    <x v="0"/>
    <s v="Home built in 1998. Tile roof is original. Frame home with stucco siding. Interior and exterior sprinklers. 7 miles from FD. Insured installed 2 private hydrants as well as 3 wells and 5 water tanks."/>
    <x v="2"/>
    <s v="Not within our new pared down rules for Hull. This is a PC 10 in brush with TIV &gt; 1.5"/>
    <m/>
    <m/>
    <s v="Lazovik"/>
  </r>
  <r>
    <x v="208"/>
    <x v="2"/>
    <s v="CA"/>
    <s v="Michelle"/>
    <m/>
    <s v="Weintraub"/>
    <s v="Brian"/>
    <s v="HO3 Primary"/>
    <s v="Pacific Palisades"/>
    <s v="CA"/>
    <s v="90272"/>
    <n v="1"/>
    <n v="1804000"/>
    <n v="3247200"/>
    <x v="0"/>
    <s v="Frame with stucco home built in 1946. Wiring, plumbing and roofing replaced in 2018. No losses. Just completed their remodeling (Zurich COC). CS burglar and smoke alarms. Everything has just been remodeled."/>
    <x v="0"/>
    <s v="Due to recent remodeling and everything is updated coupled with the CS alarms, the risk looks good. Confirm gut remodel or consider ACV or FRC."/>
    <m/>
    <m/>
    <s v="Lazovik"/>
  </r>
  <r>
    <x v="208"/>
    <x v="0"/>
    <s v="MI"/>
    <s v="Rachel"/>
    <m/>
    <s v="Valner"/>
    <s v="Alberto"/>
    <s v="HO3 Seas/Sec"/>
    <s v="Whitefish"/>
    <s v="MT"/>
    <s v="59937"/>
    <n v="10"/>
    <n v="1500000"/>
    <n v="2450000"/>
    <x v="8"/>
    <s v="Home has 20 minute response time.  Frame home built in 1995. Central smoke and burglar alarm. "/>
    <x v="1"/>
    <s v="Within site of multiple neighbors and on the water.  Responding fire department had 3 pumpers and ample access to water.  Caretaker  lived in town and checked on property regularly.  Approved with 20% surcharge."/>
    <m/>
    <m/>
    <s v="Jeff"/>
  </r>
  <r>
    <x v="208"/>
    <x v="9"/>
    <s v="CA"/>
    <s v="Kirk"/>
    <m/>
    <s v="McCollum"/>
    <s v="Colby"/>
    <s v="HO3 Primary"/>
    <s v="Grass Valley"/>
    <s v="CA"/>
    <s v="95945"/>
    <n v="4"/>
    <n v="300000"/>
    <n v="710000"/>
    <x v="7"/>
    <s v="Home on 72 acres of land. Frame home with WOOD siding built in 1946. Composite roof from 1988. Electric heat. Low brush score (out of brush). All systems updated in 1988 (complete)."/>
    <x v="0"/>
    <s v="Home is at the end of the road and accessible. Exclude roof if not updated since 1988.Confirm electric heat is thermostatically controlled. Consider FRC or ACV due to year home was built. "/>
    <m/>
    <m/>
    <s v="Lazovik"/>
  </r>
  <r>
    <x v="209"/>
    <x v="2"/>
    <s v="CA"/>
    <s v="Michelle"/>
    <m/>
    <s v="Kalioundji"/>
    <s v="Antoun"/>
    <s v="HO3 Primary"/>
    <s v="Chatsworth"/>
    <s v="CA"/>
    <s v="91311"/>
    <n v="2"/>
    <n v="1968000"/>
    <n v="3200000"/>
    <x v="0"/>
    <s v="Very nice house being non-renewed by Chubb for water loss.  CDS zone was low but was very close to high brush zone and fireline was an 8 which is borderline.  It was in a renie zone as well.  Approved risk but only with a brush surcharge"/>
    <x v="1"/>
    <m/>
    <m/>
    <m/>
    <s v="Jeff"/>
  </r>
  <r>
    <x v="209"/>
    <x v="6"/>
    <s v="CO"/>
    <s v="Allison"/>
    <m/>
    <s v="Welker"/>
    <s v="Franklin"/>
    <s v="HO3 Primary"/>
    <s v="Agoura Hills"/>
    <s v="CA"/>
    <s v="91301"/>
    <n v="2"/>
    <n v="2276000"/>
    <n v="3800000"/>
    <x v="0"/>
    <s v="Decent home in need of some updates - within brush zone"/>
    <x v="2"/>
    <s v="No approvals over TIV authority limits in brush or PC9/10 in CA at the moment.  Communicated this to Allison."/>
    <m/>
    <m/>
    <s v="Jeff"/>
  </r>
  <r>
    <x v="209"/>
    <x v="0"/>
    <s v="MI"/>
    <s v="Danielle"/>
    <m/>
    <s v="Koethe"/>
    <s v="Scott"/>
    <s v="HO3 Primary"/>
    <s v="Elkhorn"/>
    <s v="NE"/>
    <s v="68022"/>
    <n v="2"/>
    <n v="850000"/>
    <n v="1445000"/>
    <x v="5"/>
    <s v="Insured has indoor basketball court and gym and is considering by appointment only training sessions.  GL is being obtained and will be in place"/>
    <x v="1"/>
    <s v="Approved dependent on GL in place and liability excluded on business use in gym"/>
    <m/>
    <m/>
    <s v="Jeff"/>
  </r>
  <r>
    <x v="210"/>
    <x v="6"/>
    <s v="CO"/>
    <s v="Allison"/>
    <m/>
    <s v="Cook"/>
    <s v="Vincent"/>
    <s v="DP3 Vacant"/>
    <s v="Denver"/>
    <s v="CO"/>
    <s v="80206"/>
    <n v="2"/>
    <n v="3500000"/>
    <n v="3650000"/>
    <x v="0"/>
    <s v="Home built in 2005 with tile roof. Burglar alarms. Masonry veneer. Inspection notices vegetation on the home that needs to be removed. No CSA smoke alarm. Caretaker checks on home daily."/>
    <x v="0"/>
    <s v="Confirm vegetation removed on exterior. Please make sure local smoke alarms are installed. Debris needs to be cleaned up in backyard (per inspection)."/>
    <m/>
    <m/>
    <s v="Lazovik"/>
  </r>
  <r>
    <x v="210"/>
    <x v="2"/>
    <s v="CA"/>
    <s v="Alison"/>
    <m/>
    <s v="Beachwood Canyon Properties LLC"/>
    <m/>
    <s v="HO3 Primary"/>
    <s v="Los Angeles"/>
    <s v="CA"/>
    <s v="90026"/>
    <n v="5"/>
    <n v="890000"/>
    <n v="1390000"/>
    <x v="7"/>
    <s v="LLC formed by singer Elizabeth Grant (and sister Caroline Grant). Frame home built in 1911. Wondering if liability is ok given it is an LLC."/>
    <x v="1"/>
    <s v="Offering premises liability only. Home was recently restored"/>
    <m/>
    <m/>
    <s v="Lazovik"/>
  </r>
  <r>
    <x v="210"/>
    <x v="0"/>
    <s v="MI"/>
    <s v="Jeffrey"/>
    <m/>
    <s v="Carney"/>
    <s v="Patrick"/>
    <s v="HO3 Seas/Sec"/>
    <s v="Waterville Valley"/>
    <s v="NH"/>
    <s v="03215"/>
    <n v="4"/>
    <n v="2050940"/>
    <n v="2893128"/>
    <x v="1"/>
    <s v="IS is B. Water loss (roof) due to ice dams ($53k) 2/17. No paid liability for contractor who fell 10/15, settled under WC. Liability for $167 bicycle accident (3/15). CSA for heat and burglar. Frame secondary home built in 1999. Do not see update to systems."/>
    <x v="0"/>
    <s v="Surcharge for 3 claims. Roof needs to be ACV due to age."/>
    <m/>
    <m/>
    <s v="Lazovik"/>
  </r>
  <r>
    <x v="211"/>
    <x v="2"/>
    <s v="CA"/>
    <s v="Lisa"/>
    <m/>
    <s v="Johnson "/>
    <s v="Gary"/>
    <s v="HO3 Primary"/>
    <s v="Alamo"/>
    <s v="CA"/>
    <s v="94507"/>
    <n v="2"/>
    <n v="2029000"/>
    <n v="3652200"/>
    <x v="0"/>
    <s v="Frame home with stucco built in 1990. No alarms or sprinklers. Concrete tile roof (1990)"/>
    <x v="1"/>
    <m/>
    <m/>
    <m/>
    <s v="Lazovik"/>
  </r>
  <r>
    <x v="212"/>
    <x v="2"/>
    <s v="CA"/>
    <s v="Lisa"/>
    <m/>
    <s v="Karim"/>
    <s v="Khondokar"/>
    <s v="HO3 Primary"/>
    <s v="Coto De Caza "/>
    <s v="CA"/>
    <s v="92679"/>
    <n v="3"/>
    <n v="1200000"/>
    <n v="1946250"/>
    <x v="1"/>
    <s v="Frame home built in 2001. Large water loss in 12/2017. Home was completely re-piped. The faulty hose was replaced and scheduled for replacement every 2 years. Original Tile roof with no CSA or sprinklers."/>
    <x v="1"/>
    <s v="Home is not in brush and piping is all replaced. Do not see anything outstanding."/>
    <m/>
    <m/>
    <s v="Lazovik"/>
  </r>
  <r>
    <x v="212"/>
    <x v="0"/>
    <s v="MI"/>
    <s v="Leslie"/>
    <m/>
    <s v="Goldfarb"/>
    <s v="Bonnie"/>
    <s v="HO3 Primary"/>
    <s v="Calabasas"/>
    <s v="CA"/>
    <s v="91302"/>
    <n v="4"/>
    <n v="1632000"/>
    <n v="2095200"/>
    <x v="3"/>
    <s v="Insured is executive producer/co-founder of Harvest Films. IS is an A. No losses. Home built in 1953. All systems replace in 2013. Roof in 2012. Frame home. No CSA."/>
    <x v="3"/>
    <s v="Waiting on whether insured is too high profile. Do not see any negative news items. Property looks good: no brush and updated systems."/>
    <m/>
    <m/>
    <s v="Lazovik"/>
  </r>
  <r>
    <x v="213"/>
    <x v="2"/>
    <s v="CA"/>
    <s v="Kelly"/>
    <m/>
    <s v="Verna"/>
    <s v="Steve"/>
    <s v="HO3 Primary"/>
    <s v="Sylmar"/>
    <s v="CA"/>
    <s v="91342"/>
    <n v="5"/>
    <n v="304000"/>
    <n v="493000"/>
    <x v="1"/>
    <s v="Two losses. Jan 2015, cold weather caused roof leak, and 12/2017 smoke damage from wildfire. Home built in 1948. Wood frame with wood siding. Not in brush zone and recent fires has burned off all brush within the area. "/>
    <x v="1"/>
    <s v="  "/>
    <m/>
    <m/>
    <s v="Lazovik"/>
  </r>
  <r>
    <x v="214"/>
    <x v="6"/>
    <s v="CO"/>
    <s v="Kate"/>
    <m/>
    <s v="Stumpf"/>
    <s v="Kate"/>
    <s v="HO3 Primary"/>
    <s v="Evergreen"/>
    <s v="CO"/>
    <s v="80439"/>
    <n v="5"/>
    <n v="600000"/>
    <n v="660000"/>
    <x v="7"/>
    <s v="EIFS home built in 1996. Frame. Fire department actually within 1 mile (report says 4.5 Miles). "/>
    <x v="0"/>
    <s v="Must confirm drainage for EIFS or we decline risk. Home is close to FD. No losses. Inspection shows no concerns."/>
    <m/>
    <m/>
    <s v="Lazovik"/>
  </r>
  <r>
    <x v="214"/>
    <x v="0"/>
    <s v="MI"/>
    <s v="Jill"/>
    <m/>
    <s v="Maugans"/>
    <s v="Chris"/>
    <s v="HO3 Primary"/>
    <s v="Leawood"/>
    <s v="KS"/>
    <s v="66206"/>
    <n v="10"/>
    <n v="125000"/>
    <n v="650000"/>
    <x v="8"/>
    <s v="Small PC10 home in Kansas. Frame home built in 1998 for 1280 sq feet. Roof was replaced completely in 2016 "/>
    <x v="3"/>
    <s v="Home is low value. No liability due to hunting on the premises. // 12/4 MP-Agent getting written confirmation that it is insd only personally hunting on prop. Ok'd liability."/>
    <m/>
    <m/>
    <s v="Lazovik"/>
  </r>
  <r>
    <x v="214"/>
    <x v="0"/>
    <s v="MI"/>
    <s v="Jill"/>
    <m/>
    <s v="Boe"/>
    <s v="Scott"/>
    <s v="DP3 Vacant"/>
    <s v="Colorado Springs"/>
    <s v="CO"/>
    <s v="80906"/>
    <n v="2"/>
    <n v="817000"/>
    <n v="898700"/>
    <x v="0"/>
    <s v="Home going on the market. Built in 1984, frame with fiberboard and brick veneer. Roof is under construction (tile getting replaced due to storm) CSA fire and burglar alarms."/>
    <x v="0"/>
    <s v="Agree with roof exclusion and water deductible of at least $5000 (pipe leak in 2015). Three CAT claims in last 4 years. 5% wind/hail puts roof replacement if needed (again) at a $40k deductible."/>
    <m/>
    <m/>
    <s v="Lazovik"/>
  </r>
  <r>
    <x v="214"/>
    <x v="3"/>
    <s v="MA"/>
    <s v="Barbara"/>
    <m/>
    <s v="Cathjoe LLC"/>
    <m/>
    <s v="DP3 Rental"/>
    <s v="Hartford"/>
    <s v="CT"/>
    <s v="06114"/>
    <n v="5"/>
    <n v="274000"/>
    <n v="333800"/>
    <x v="1"/>
    <s v="Three prior losses on primary home. Frame home built in 1963 with vinyl and masonry veneer. Wiring and plumbing completely replaced in 2000.  Requesting 2500 AOP."/>
    <x v="0"/>
    <s v="Confirm water loss at prior home was not due to maintenance or negligence on the insured's part."/>
    <m/>
    <m/>
    <s v="Lazovik"/>
  </r>
  <r>
    <x v="214"/>
    <x v="2"/>
    <s v="CA"/>
    <s v="Melissa"/>
    <m/>
    <s v="Northrop"/>
    <s v="Peter"/>
    <s v="HO3 Primary"/>
    <s v="Jamestown"/>
    <s v="CA"/>
    <s v="95327"/>
    <n v="10"/>
    <n v="600000"/>
    <n v="955000"/>
    <x v="8"/>
    <s v="Brush exposed home with 12 minute response time (minimum - volunteer). Frame home with stucco siding. Propane heat, built in 2009 with above ground pool."/>
    <x v="2"/>
    <s v="Due to TIV, brush and response time, I passed on this one."/>
    <m/>
    <m/>
    <s v="Lazovik"/>
  </r>
  <r>
    <x v="214"/>
    <x v="0"/>
    <s v="CA"/>
    <s v="Rachel"/>
    <m/>
    <s v="Jarosz"/>
    <s v="Ken"/>
    <s v="HO3 Primary"/>
    <s v="Omaha"/>
    <s v="NE"/>
    <s v="68135"/>
    <m/>
    <n v="260000"/>
    <n v="442000"/>
    <x v="1"/>
    <s v="Built in 1993. Full roof update in 2013. Frame home with 5 losses. 2 wind/hail, 1 jewelry theft, 1 water, 1 sump pump failure"/>
    <x v="3"/>
    <s v="Will need separate policy for jewelry. No water backup. Water deductible of $5k."/>
    <m/>
    <m/>
    <s v="Lazovik"/>
  </r>
  <r>
    <x v="215"/>
    <x v="2"/>
    <s v="CA"/>
    <s v="Tina"/>
    <m/>
    <s v="Irwin"/>
    <s v="Allison"/>
    <s v="HO3 Primary"/>
    <s v="Vista"/>
    <s v="CA"/>
    <s v="92081"/>
    <n v="2"/>
    <n v="362267"/>
    <n v="701467"/>
    <x v="6"/>
    <s v="30 day lapse. Frame structure built in 1990. "/>
    <x v="1"/>
    <s v="Surcharge 10% and sign no loss statement."/>
    <m/>
    <m/>
    <s v="Lazovik"/>
  </r>
  <r>
    <x v="215"/>
    <x v="2"/>
    <s v="CA"/>
    <s v="Gina"/>
    <m/>
    <s v="Sellers"/>
    <s v="Franklin"/>
    <s v="HO3 Primary"/>
    <s v="Los Angeles"/>
    <s v="CA"/>
    <s v="90746"/>
    <n v="2"/>
    <n v="232000"/>
    <m/>
    <x v="1"/>
    <s v="Five losses since 2012. Frame home built in 1971. Frame home. Roof leak in 2012 but last complete renovation on roof was 1994."/>
    <x v="0"/>
    <s v="Believe we can mitigate future losses with increased deductibles. AOP, theft and water all must be $5k. Exclude roof if wasn't replaced in 1994 (confirm replacement), no water backup and surcharge for 4 losses (2x premium)."/>
    <m/>
    <m/>
    <s v="Lazovik"/>
  </r>
  <r>
    <x v="216"/>
    <x v="0"/>
    <s v="MI"/>
    <s v="Nicole"/>
    <s v="Email"/>
    <s v="Lloyd"/>
    <s v="Dustin"/>
    <s v="HO3 Primary"/>
    <s v="Pretty Prairie"/>
    <s v="KS"/>
    <m/>
    <m/>
    <n v="175000"/>
    <n v="333500"/>
    <x v="5"/>
    <s v="1919 home fully updated w/RC. Agt getting EHP suppl w/inspection. Equine operation on prem quoting w/Markel. No liability. Barns excluded."/>
    <x v="1"/>
    <m/>
    <m/>
    <s v="Patterson"/>
    <s v="Lazovik"/>
  </r>
  <r>
    <x v="217"/>
    <x v="1"/>
    <s v="VA"/>
    <s v="Joanna"/>
    <m/>
    <s v="Olsen"/>
    <s v="James M &amp; Ofelia J"/>
    <s v="HO3 Primary"/>
    <s v="White Plains"/>
    <s v="MD"/>
    <s v="20695"/>
    <n v="5"/>
    <n v="616000"/>
    <n v="1047200"/>
    <x v="1"/>
    <s v="4 prior losses - 2 hail. 2 sump pump failure. Sump replaced. "/>
    <x v="0"/>
    <s v="Ok with no backup and $10K water damage ded. Surcharge for losses."/>
    <m/>
    <m/>
    <s v="Patterson"/>
  </r>
  <r>
    <x v="217"/>
    <x v="0"/>
    <s v="MI"/>
    <s v="Nicole"/>
    <m/>
    <s v="Aaron"/>
    <s v="Jonathan"/>
    <s v="HO3 Seas/Sec"/>
    <s v="Boyne City"/>
    <s v="MI"/>
    <s v="49712"/>
    <n v="10"/>
    <n v="2000000"/>
    <n v="3200000"/>
    <x v="0"/>
    <s v="1997 dwelling. 5.5 miles 10-15 min per PC quest. Google shows 9.9 miles and 15 minutes drive time."/>
    <x v="3"/>
    <s v="Ok with additional pricing for higher response time. $.50 total $16,000 vs quoted $10,880 // Addl info from branch and SRD proving fire department is appx 5 miles away. Approved with original premium quote"/>
    <m/>
    <m/>
    <s v="Patterson"/>
  </r>
  <r>
    <x v="217"/>
    <x v="2"/>
    <s v="CA"/>
    <s v="Michelle"/>
    <m/>
    <s v="Dill"/>
    <s v="Matt"/>
    <s v="HO3 Primary"/>
    <m/>
    <s v="CA"/>
    <m/>
    <n v="2"/>
    <m/>
    <n v="3600000"/>
    <x v="0"/>
    <s v="$3.6M TIV in brush. "/>
    <x v="2"/>
    <s v="12/17 implemented rules not to write risks over $3M in brush. No exceptions."/>
    <m/>
    <m/>
    <s v="Patterson"/>
  </r>
  <r>
    <x v="217"/>
    <x v="6"/>
    <s v="CO"/>
    <s v="Allison"/>
    <m/>
    <s v="Moran"/>
    <s v="Joseph &amp; Shani"/>
    <s v="HO3 Primary"/>
    <s v="Beverly Hills"/>
    <s v="CA"/>
    <s v="90210"/>
    <n v="1"/>
    <n v="1550000"/>
    <n v="3720000"/>
    <x v="0"/>
    <s v="$3.7 TIV in brush (71 score) 218 ft from high brush per RM.  "/>
    <x v="2"/>
    <s v="Ineligible per guidelines."/>
    <m/>
    <m/>
    <s v="Patterson"/>
  </r>
  <r>
    <x v="217"/>
    <x v="6"/>
    <s v="CO"/>
    <s v="Allison"/>
    <m/>
    <s v="Carroll"/>
    <s v="Lincoln"/>
    <s v="HO3 Seas/Sec"/>
    <s v="Idaho Springs "/>
    <s v="CO "/>
    <s v="80452"/>
    <n v="9"/>
    <n v="100000"/>
    <n v="180000"/>
    <x v="12"/>
    <s v="Low value new purchase with limited utilities and higher response time. Roof condition questionable - exclusion applied. Agt quoting DP1 with 80% s/c."/>
    <x v="0"/>
    <s v="Bethany discussed w/ Jeff - approved since good agent and surcharge/low value."/>
    <m/>
    <m/>
    <s v="Patterson"/>
  </r>
  <r>
    <x v="217"/>
    <x v="0"/>
    <s v="MI"/>
    <s v="David"/>
    <m/>
    <s v="Westerman"/>
    <s v="Sybil"/>
    <s v="HO3 Primary"/>
    <s v="San Luis Obispo"/>
    <s v="CA"/>
    <s v="93405"/>
    <n v="10"/>
    <n v="1202600"/>
    <n v="2284940"/>
    <x v="0"/>
    <s v="RM=100-150' from high brush. Roads not accessible year round. 8 miles away - PC10.  Office with assistant on premises."/>
    <x v="2"/>
    <s v="Too close to high brush and not accessible year round."/>
    <s v="We are not allowing this limit for PC 10 with other partners. Haven't delivered news to Burns yet."/>
    <m/>
    <s v="Patterson"/>
  </r>
  <r>
    <x v="217"/>
    <x v="2"/>
    <s v="CA"/>
    <s v="Kelly"/>
    <m/>
    <s v="Casper"/>
    <s v="Kurt &amp; Tami"/>
    <s v="HO3 Primary"/>
    <s v="Placerville"/>
    <s v="CA"/>
    <s v="95667"/>
    <n v="9"/>
    <n v="651000"/>
    <n v="1171800"/>
    <x v="8"/>
    <s v="Not sure why this was referred. Within their authority."/>
    <x v="2"/>
    <s v="Returned to agent asking why this was referred."/>
    <m/>
    <m/>
    <s v="Patterson"/>
  </r>
  <r>
    <x v="218"/>
    <x v="2"/>
    <s v="CA"/>
    <s v="Luke"/>
    <m/>
    <s v="Ciarmoli"/>
    <s v="Dino &amp; Susan"/>
    <s v="HO3 Builders Risk"/>
    <s v="Carlsbad"/>
    <s v="CA"/>
    <s v="92008"/>
    <n v="4"/>
    <n v="1286000"/>
    <n v="1400000"/>
    <x v="11"/>
    <s v="Construction started and will take more than 12 months - agt submitted to make sure we are okay."/>
    <x v="0"/>
    <s v="Meets criteria. Licensed builder.  Extensive remodel so it makes sense that it may take longer. A portion is being &quot;demo'd&quot; and replaced. Not concerned with this partial demo.  Need to figure out the rate. Note says &quot;manual rate&quot;. Not sure what that means. $0.27 seems low for BR.  Jake Brown verified rate - it is correct.  Asked Luke to get some surcharge if he can."/>
    <m/>
    <m/>
    <s v="Patterson"/>
  </r>
  <r>
    <x v="218"/>
    <x v="6"/>
    <s v="CO"/>
    <s v="Allison"/>
    <m/>
    <s v="Bishop"/>
    <s v="Thompson"/>
    <s v="HO3 Seas/Sec"/>
    <s v="Redstone"/>
    <s v="CO"/>
    <s v="81623"/>
    <n v="10"/>
    <n v="500000"/>
    <n v="610000"/>
    <x v="10"/>
    <s v="1996 log home. Secondary use on a regular/frequent basis. Not 100% accessible in winter. Agt quoted w/$5K water damage and 10% surcharge."/>
    <x v="2"/>
    <s v="Moderate value, not accessible, regular use with woodstove as only heat. Don't feel any rate would make this okay."/>
    <m/>
    <m/>
    <s v="Patterson"/>
  </r>
  <r>
    <x v="218"/>
    <x v="2"/>
    <s v="CA"/>
    <s v="Kelly"/>
    <m/>
    <s v="Jenkins"/>
    <s v="Philip C &amp; Marguerite"/>
    <s v="HO6"/>
    <s v="Vista"/>
    <s v="CA"/>
    <s v="92081"/>
    <n v="2"/>
    <n v="407300"/>
    <n v="720000"/>
    <x v="1"/>
    <s v="1996 dwelling with 2 prior pipe break losses. 5/17 $9706; 5/18 $34,194. Agt offering to quote with water damage exclusion and no mold. All online sources say this is a condo."/>
    <x v="2"/>
    <s v="We do not have a condo program set up for this partner. "/>
    <s v="If it turns out this is actually a home, not a condo, all info looks okay. Can ok w/water damage exclusion, no mold, no backup."/>
    <m/>
    <s v="Patterson"/>
  </r>
  <r>
    <x v="218"/>
    <x v="2"/>
    <s v="CA"/>
    <s v="Kelly"/>
    <m/>
    <s v="Blumberg"/>
    <s v="Isaac"/>
    <s v="HO3 Primary"/>
    <s v="Pacific Palisades"/>
    <s v="CA"/>
    <s v="90272"/>
    <n v="2"/>
    <n v="2297370"/>
    <n v="3500000"/>
    <x v="0"/>
    <s v="2003 home not in brush but 500' from wall of high brush. FireLine=6. Lex quote $9,000. Markel quote $6,000."/>
    <x v="2"/>
    <s v="Discussed w/Bethany. Feel this is too close to the wall of high brush for this value."/>
    <m/>
    <m/>
    <s v="Patterson"/>
  </r>
  <r>
    <x v="218"/>
    <x v="0"/>
    <s v="MI"/>
    <s v="Lindsey"/>
    <m/>
    <s v="Walker"/>
    <s v="James    "/>
    <s v="HO3 Seas/Sec w/Rental"/>
    <s v="Kamas"/>
    <s v="UT"/>
    <s v="84036"/>
    <n v="10"/>
    <n v="1731425"/>
    <n v="2870281"/>
    <x v="3"/>
    <s v="2017 veneer home on golf course in UT owned by pro PGA golfer. Quoted at .27 rate. 15 miles from fire dept. 17 min drive time. Some blank UW questions on app."/>
    <x v="0"/>
    <s v="Since home is rented, concerned with high profile so offered x-liab. Also, due to higher response time, requested .45 rate = $12,916. Need UW ? Answered."/>
    <m/>
    <m/>
    <s v="Patterson"/>
  </r>
  <r>
    <x v="219"/>
    <x v="4"/>
    <s v="MA"/>
    <s v="Austin"/>
    <m/>
    <s v="Sebenius"/>
    <s v="James"/>
    <s v="HO3 Seas/Sec"/>
    <s v="Fresno"/>
    <s v="CA"/>
    <s v="93602"/>
    <n v="10"/>
    <n v="1000000"/>
    <n v="1850000"/>
    <x v="7"/>
    <s v="Quaker asking if we would consider a single one off risk in CA, PC10."/>
    <x v="2"/>
    <s v="Advised we are evaluating our position in CA, can't do a one off."/>
    <m/>
    <m/>
    <s v="Patterson"/>
  </r>
  <r>
    <x v="219"/>
    <x v="0"/>
    <s v="MI"/>
    <s v="Lindsay"/>
    <m/>
    <s v="Pemrick"/>
    <s v="Donald"/>
    <s v="HO3 Primary"/>
    <s v="Los Angeles"/>
    <s v="CA"/>
    <s v="91367"/>
    <n v="1"/>
    <n v="1490000"/>
    <n v="2533000"/>
    <x v="3"/>
    <s v="Insd is a casting director. No adverse information. 1912 dwelling fully updated in 2014. 22 miles from Woolsey per map tool. App notes a detached dwelling on same property $236,000. Cov B $149,000."/>
    <x v="0"/>
    <s v="Need adequate Cov B. Confirm use. Verify distance from fire before binding. Not in brush."/>
    <m/>
    <m/>
    <s v="Patterson"/>
  </r>
  <r>
    <x v="219"/>
    <x v="0"/>
    <s v="MI"/>
    <s v="Nicole"/>
    <m/>
    <s v="Sykes"/>
    <s v="James &amp; Mariann"/>
    <s v="HO3 Primary"/>
    <s v="Hortonville"/>
    <s v="WI"/>
    <s v="54944"/>
    <n v="9"/>
    <n v="2454000"/>
    <n v="4171800"/>
    <x v="5"/>
    <s v="2009 home on 80 acres. Per agent, grape vines personal use,  cattle boarded for a vet, hosts weddings/showers on property - GL in place. 1 loss - collapse of greenhouse from weight of snow. $27K 4/18. Excluding liab."/>
    <x v="2"/>
    <s v="Online shows lots of cows, &quot;pick your own grapes&quot;, cooking classes, beehives and people in beekeeper gear. Seems there is more going on. Evaluate full exposure to determine if we have a defense cost concern. If ok, add TBE and greenhouse exclusion. // Very little info provided about these exposures so I declined the risk. "/>
    <m/>
    <m/>
    <s v="Patterson"/>
  </r>
  <r>
    <x v="219"/>
    <x v="0"/>
    <s v="MI"/>
    <s v="Rachel"/>
    <m/>
    <s v="Risley"/>
    <s v="James"/>
    <s v="HO3 Primary"/>
    <s v="Dillard"/>
    <s v="OR"/>
    <s v="97432"/>
    <n v="4"/>
    <n v="173000"/>
    <n v="370950"/>
    <x v="5"/>
    <s v="1947 home w/some updates. Repair garage in detached structure which is said to be 30 feet from the dwelling. Separate GL policy. Good ins score."/>
    <x v="4"/>
    <s v="Online shows garage very close to dwelling, maybe attached by a fence. Must prove distance. If ok, add TBE and exclude liability due to increased concern with garage. Higher concern for injury that TBE may not hold up."/>
    <m/>
    <m/>
    <s v="Patterson"/>
  </r>
  <r>
    <x v="219"/>
    <x v="7"/>
    <s v="MI"/>
    <s v="John"/>
    <m/>
    <s v="Gibbs"/>
    <s v="Ronald &amp; Grace"/>
    <s v="HO3 Primary"/>
    <s v="Eaton Rapids"/>
    <s v="MI"/>
    <s v="48827"/>
    <n v="9"/>
    <n v="284000"/>
    <n v="600000"/>
    <x v="5"/>
    <s v="1995 dwelling w/marijuana grow operation on premises.  Also 3 prior water damage claims to dwelling."/>
    <x v="2"/>
    <s v="We are not a market for these risks."/>
    <m/>
    <m/>
    <s v="Patterson"/>
  </r>
  <r>
    <x v="219"/>
    <x v="7"/>
    <s v="MI"/>
    <s v="John"/>
    <m/>
    <s v="Figueroa"/>
    <s v="Wilson"/>
    <s v="HO3 Primary"/>
    <s v="Aurora"/>
    <s v="IL"/>
    <s v="60505"/>
    <n v="2"/>
    <n v="343000"/>
    <n v="750000"/>
    <x v="1"/>
    <s v="2006 dwelling with 2 prior water losses. 6/17 $3K siding damage. 1/17 $180K pipe froze and broke when out of the country. 5/14 wind/hail $3K"/>
    <x v="0"/>
    <s v="Okay with water damage excl, no mold, no backup. HO3 ok. Confirm all damage repaired, any mold prof remediated. "/>
    <m/>
    <m/>
    <s v="Patterson"/>
  </r>
  <r>
    <x v="219"/>
    <x v="2"/>
    <s v="CA"/>
    <s v="Alison"/>
    <m/>
    <s v="Third Day Investments / Magglos"/>
    <s v="Jim"/>
    <s v="HO3 Primary"/>
    <s v="Moorpark "/>
    <s v="CA"/>
    <s v="93021"/>
    <s v=" "/>
    <m/>
    <n v="1991580"/>
    <x v="7"/>
    <s v="8 miles from Woolsey fire (per my search today). Fire is 98% contained. Not in brush. PC unknown. Property was an equestrian training facility."/>
    <x v="4"/>
    <s v="If PC 8-10 decline. If protected, fire must be 100% contained. Need to make sure this is not an active equestrian operation. Make sure we have Cov B right or exclude fences and structures.  There is a LOT going on per online search."/>
    <m/>
    <m/>
    <s v="Patterson"/>
  </r>
  <r>
    <x v="219"/>
    <x v="2"/>
    <s v="CA"/>
    <s v="Michelle"/>
    <m/>
    <s v="Nguyen"/>
    <s v="Jessica"/>
    <s v="HO3 Primary"/>
    <s v="Altadena "/>
    <s v="CA"/>
    <s v="91001"/>
    <m/>
    <n v="401000"/>
    <n v="843100"/>
    <x v="1"/>
    <s v="1928 home, part updates in 06.  Insured has filed 4 smoke damage claims from wildfires to have her ducts cleaned.  (It appears a company has been taking advantage of her with these offers.  Very high cost to clean and they take a 40% cut to set up the cleaning.)"/>
    <x v="2"/>
    <s v="I'm sure the insured has learned her lesson.  However, that is a lot of smoke claims - 4 fires near her to cause smoke damage.  "/>
    <m/>
    <m/>
    <s v="Patterson"/>
  </r>
  <r>
    <x v="219"/>
    <x v="2"/>
    <s v="CA"/>
    <s v="Alison"/>
    <m/>
    <s v="Wallace"/>
    <s v="Russell"/>
    <s v="HO3 Primary"/>
    <s v="Laguna Beach"/>
    <s v="CA"/>
    <s v="92651"/>
    <m/>
    <n v="2000000"/>
    <n v="3600000"/>
    <x v="0"/>
    <s v="Unknown YOC and unknown updates. Unknown PC. Not in brush, but high brush is 500-600' away. Mold claim at prior residence. Home office - no info. "/>
    <x v="2"/>
    <s v="Conservative approach right now until we nail down our direction."/>
    <m/>
    <m/>
    <s v="Patterson"/>
  </r>
  <r>
    <x v="220"/>
    <x v="2"/>
    <s v="CA"/>
    <s v="Gina"/>
    <m/>
    <s v="Humble"/>
    <s v="Daniel"/>
    <s v="HO3 Seas/Sec w/Rental"/>
    <s v="Montara"/>
    <s v="CA"/>
    <s v="94037"/>
    <n v="4"/>
    <n v="1040400"/>
    <n v="2000400"/>
    <x v="1"/>
    <s v="2008 home w/2 prior water damage losses in 2016. Leakage $3435 and under floor heating system pipes $55K."/>
    <x v="0"/>
    <s v="Exclude water damage, mold, backup. Eliminates exposure. No mention of what repairs were made."/>
    <m/>
    <m/>
    <s v="Patterson"/>
  </r>
  <r>
    <x v="220"/>
    <x v="2"/>
    <s v="CA"/>
    <s v="Alison"/>
    <m/>
    <s v="Gutierrez"/>
    <s v="Alejandro"/>
    <s v="HO3 Primary"/>
    <s v="Ventura"/>
    <s v="CA"/>
    <s v="93001"/>
    <n v="5"/>
    <n v="2600000"/>
    <n v="4680000"/>
    <x v="0"/>
    <s v="2002 home w/ $16K smoke damage loss from Thomas fire."/>
    <x v="2"/>
    <s v="Changed referral criteria today for Markel max to match agent's authority."/>
    <m/>
    <m/>
    <s v="Patterson"/>
  </r>
  <r>
    <x v="220"/>
    <x v="3"/>
    <s v="MA"/>
    <s v="Barbara"/>
    <m/>
    <s v="Harakas"/>
    <s v="Robert &amp; Haymara"/>
    <s v="HO3 Primary"/>
    <s v="Burlington"/>
    <s v="CT"/>
    <s v="06013"/>
    <n v="9"/>
    <n v="604000"/>
    <n v="1300000"/>
    <x v="1"/>
    <s v="1995 home with 3 prior losses. Bathtub overflow - open. Unknown amount. $10K ded suggested. Also ice dam $37K in 2015. Theft-items stolen from car in garage $5304."/>
    <x v="3"/>
    <s v="Need to know extent of bathtub claim and what is left to repair. Also what is expected payout to determine if $10k ded is enough. // $25K is appx loss, only floor tile left. Approved with $10K ded and no backup or mold coverage."/>
    <m/>
    <m/>
    <s v="Patterson"/>
  </r>
  <r>
    <x v="221"/>
    <x v="2"/>
    <s v="CA"/>
    <s v="Bobbi"/>
    <m/>
    <s v="Klein"/>
    <s v="Alfred"/>
    <s v="HO3 Primary"/>
    <s v="Vista"/>
    <s v="CA"/>
    <s v="92084"/>
    <n v="2"/>
    <n v="775000"/>
    <n v="1500000"/>
    <x v="5"/>
    <s v="1997 home on same property as wholesale plant nursery. Aerial shows separation. Has GL in place and work comp for 2 employees. TBE applied. 6-700' to brush. "/>
    <x v="0"/>
    <s v="Ok w/TBE and rate as brush per new guidelines. Business has separation and has other insurance in place."/>
    <m/>
    <m/>
    <s v="Patterson"/>
  </r>
  <r>
    <x v="221"/>
    <x v="2"/>
    <s v="CA"/>
    <s v="Bobbi"/>
    <m/>
    <s v="Stein"/>
    <s v="Ethan &amp; Hua Ding"/>
    <s v="HO3 Primary"/>
    <s v="Fountain Valley"/>
    <s v="CA"/>
    <s v="92708"/>
    <n v="2"/>
    <n v="450000"/>
    <n v="760000"/>
    <x v="1"/>
    <s v="1966 home with 3 water losses: 1/14 $44K; 2/16 $41K; 2/18 $10K. Agt quoted w/$25K water ded."/>
    <x v="0"/>
    <s v="Water damage exclusion, no mold, no backup. Should take care of our concerns. Rest of risk ok. 1 mile from brush area."/>
    <m/>
    <m/>
    <s v="Patterson"/>
  </r>
  <r>
    <x v="221"/>
    <x v="6"/>
    <s v="CO"/>
    <s v="Allison"/>
    <m/>
    <s v="Dean"/>
    <s v="Mary"/>
    <s v="HO3 Primary"/>
    <s v="Pollock Pines"/>
    <s v="CA"/>
    <s v="95726"/>
    <n v="10"/>
    <n v="310000"/>
    <n v="465000"/>
    <x v="10"/>
    <s v="1980 primary home w/ wall heaters, thermostat controlled. Woodstove. Nearby FD, but volunteer. Also a hydrant.  Still PC10. In brush. Pix show well cleaned lot."/>
    <x v="0"/>
    <s v="Ok subj to unprotected and WBS quest. Wall heaters w/therm control ok."/>
    <m/>
    <m/>
    <s v="Patterson"/>
  </r>
  <r>
    <x v="222"/>
    <x v="0"/>
    <s v="MI"/>
    <s v="Jill"/>
    <m/>
    <s v="Jennings"/>
    <s v="Stephany"/>
    <s v="HO3 Primary"/>
    <s v="Indianapolis"/>
    <s v="IN"/>
    <s v="46220"/>
    <n v="2"/>
    <n v="139400"/>
    <n v="300000"/>
    <x v="5"/>
    <s v="1966 dwelling w/updates. In home daycare with 10 children, 4 employees. Mother (next door) carries the daycare policy. "/>
    <x v="3"/>
    <s v="Considering pending for answers, but know agent will investigate online discrepancies found. Need to make sure this addr and this insured are covered on the commercial policies for the daycare. Excl liab (+TBE) due to # of children, employees, and P ins score. // This addr on the policy. Insd isn't. Ok'd subject to them being added. Also TBE and Exclude Liab. Agt really wants liab. Feeling is this 2 location business on 1 policy could be looked at collectively. We have to look at the whole exposure. Offered if GL was w/Markel, we could consider offering liab."/>
    <m/>
    <m/>
    <s v="Patterson"/>
  </r>
  <r>
    <x v="222"/>
    <x v="7"/>
    <s v="MI"/>
    <s v="Cheryl"/>
    <m/>
    <s v="Mcfadden"/>
    <s v="Robert &amp; Linh Mia"/>
    <s v="HO3 Primary"/>
    <s v="Fishers "/>
    <s v="IN"/>
    <s v="46037"/>
    <n v="4"/>
    <n v="350000"/>
    <n v="775000"/>
    <x v="1"/>
    <s v="2005 home with 2 wind losses and now new roof. 5/16 $784; 2/17 $8242. Also Backup into basement 9/18 $10,500. No backup, $5K wind, $2500 AOP J score. Increased cov C."/>
    <x v="1"/>
    <s v="New roof and higher wind ded will mitigate future loss.  Advised Cov A seems low, but can wait to adjust until after the inspection. Inc contents ok, not unreasonable."/>
    <m/>
    <m/>
    <s v="Patterson"/>
  </r>
  <r>
    <x v="222"/>
    <x v="6"/>
    <s v="CO"/>
    <s v="Allison"/>
    <m/>
    <s v="Reynolds"/>
    <s v="Mike &amp; Holly"/>
    <s v="HO3 Primary"/>
    <s v="Ramah"/>
    <s v="CO"/>
    <s v="80832"/>
    <n v="10"/>
    <n v="800000"/>
    <n v="1590000"/>
    <x v="8"/>
    <s v="1999 log home w/ metal roof. 1% wind/hail and cosmetic roof applied. PCQ shows 15 min response, but other info on the app indicates 20 min drive time + time for volunteer deployment. "/>
    <x v="2"/>
    <s v="High value &gt; 15 min response. Not comfortable."/>
    <m/>
    <m/>
    <s v="Patterson"/>
  </r>
  <r>
    <x v="222"/>
    <x v="9"/>
    <s v="CA"/>
    <s v="Lisa"/>
    <m/>
    <s v="Monsef"/>
    <s v="Kiyash"/>
    <s v="HO3 Primary"/>
    <s v="Mill Valley"/>
    <s v="CA"/>
    <s v="94941"/>
    <n v="1"/>
    <n v="1950000"/>
    <n v="3510000"/>
    <x v="0"/>
    <s v="1999 home not in brush. Criteria for TIV changed Monday. "/>
    <x v="2"/>
    <s v="We are no longer writing over $3M. Shared copy of email with Lisa."/>
    <m/>
    <m/>
    <s v="Patterson"/>
  </r>
  <r>
    <x v="222"/>
    <x v="2"/>
    <s v="CA"/>
    <s v="Bobbi"/>
    <m/>
    <s v="Stroub"/>
    <s v="Stephanie &amp; Stephen"/>
    <s v="HO3 Primary"/>
    <s v="Tiburon"/>
    <s v="CA"/>
    <s v="94920"/>
    <m/>
    <n v="1216000"/>
    <n v="2100000"/>
    <x v="1"/>
    <s v="1928 dwelling within 2500' of brush. Updates in 08. 2017 large water loss $150,000. Open dogbite claim with $50K+ reserve. Agent not comfortable and declined. Wanted to advise as it appears retail agent is shopping this."/>
    <x v="2"/>
    <s v="Agt advising us of declination."/>
    <m/>
    <m/>
    <s v="Patterson"/>
  </r>
  <r>
    <x v="223"/>
    <x v="2"/>
    <s v="CA"/>
    <s v="Tina"/>
    <m/>
    <s v="Mayer"/>
    <s v="Ricki"/>
    <s v="HO3 Primary"/>
    <s v="Oxnard"/>
    <s v="CA"/>
    <s v="93036"/>
    <n v="3"/>
    <n v="576300"/>
    <n v="1020000"/>
    <x v="1"/>
    <s v="1989 home w/ 2 prior slab leak losses 9/14 $2K; 7/16 $75K. Also falling tree dmg 8/16 $12K. No riskmeter. Mold and backup not quoted."/>
    <x v="0"/>
    <s v="s/c for 2 losses. Water dmg excl as no info on mitigation. Confirm no addl tree threat. Reminded no water bu or mold. Asked for RiskMeter to be run and apply appro s/c."/>
    <m/>
    <m/>
    <s v="Patterson"/>
  </r>
  <r>
    <x v="223"/>
    <x v="0"/>
    <s v="MI"/>
    <s v="Alexa"/>
    <m/>
    <s v="Hastings"/>
    <s v="Chaz"/>
    <s v="HO3 Primary"/>
    <s v="Hartford"/>
    <s v="WI"/>
    <s v="53027"/>
    <n v="10"/>
    <n v="750000"/>
    <n v="1060000"/>
    <x v="7"/>
    <s v="Bankruptcy closed yesterday.  1976 home with updates. Ins score K. Referring due to bankruptcy. Agt provided article stating sale of Harley dealership went bad because insd failed to disclose a $4M mortgage."/>
    <x v="2"/>
    <s v="Reviewed ins score report - many issues, and bankruptcy is personal."/>
    <s v="Judgement, personal bankruptcy, 21 bad debts."/>
    <m/>
    <s v="Patterson"/>
  </r>
  <r>
    <x v="223"/>
    <x v="2"/>
    <s v="CA"/>
    <s v="Michelle"/>
    <m/>
    <s v="McCabe"/>
    <s v="Matt"/>
    <s v="HO3 Primary"/>
    <s v="Larkspur "/>
    <s v="CA"/>
    <s v="94939"/>
    <n v="2"/>
    <n v="998884"/>
    <n v="1454284"/>
    <x v="8"/>
    <s v="1967 home w/updates. In brush. Agt wanted us to write $32K jewelry, but declined that portion. Asked for home only, will place jewelry elsewhere."/>
    <x v="0"/>
    <s v="Risk within guidelines. Ok with jewelry insured w/other carrier."/>
    <m/>
    <m/>
    <s v="Patterson"/>
  </r>
  <r>
    <x v="223"/>
    <x v="0"/>
    <s v="MI"/>
    <s v="Rachel"/>
    <m/>
    <s v="Walker"/>
    <s v="James    "/>
    <s v="HO3 Seas/Sec w/Rental"/>
    <s v="Kamas"/>
    <s v="UT"/>
    <s v="84036"/>
    <n v="10"/>
    <n v="1731425"/>
    <n v="3300852"/>
    <x v="3"/>
    <s v="SECOND SUBMISSION FROM BURNS FOR THIS INSURED.  SEE 11/20 FROM LINDSEY.  2017 veneer home on golf course in UT owned by pro PGA golfer. 15 miles from fire dept. 17 min drive time. Agt asking for 5% credit to VMGA rate"/>
    <x v="0"/>
    <s v="Since home is rented, concerned with high profile so offered x-liab. Also, due to higher response time, requested .45 rate = $14,854. Need UW ? Answered."/>
    <m/>
    <m/>
    <s v="Patterson"/>
  </r>
  <r>
    <x v="223"/>
    <x v="9"/>
    <s v="CA"/>
    <s v="Kirk"/>
    <m/>
    <s v="Rogers"/>
    <s v="Robert"/>
    <s v="HO3 Seas/Sec w/Rental"/>
    <s v="Tahoma"/>
    <s v="CA"/>
    <s v="96142"/>
    <n v="3"/>
    <n v="423300"/>
    <n v="483600"/>
    <x v="1"/>
    <s v="1961 home w/part updates. $10K snow/ice loss. $150K water damage from broken hot water line to dishwasher. Home filled w/steam - mold/mildew. Claim closed, repairs made. Out of brush but within 2500'."/>
    <x v="0"/>
    <s v="$25,000 water dmg ded, no mold covg, s/c for losses, rate in brush. Didn't verify mold remed since we won't be covering mold."/>
    <m/>
    <m/>
    <s v="Patterson"/>
  </r>
  <r>
    <x v="223"/>
    <x v="7"/>
    <s v="MI"/>
    <s v="John"/>
    <m/>
    <s v="Joseph"/>
    <s v="Rose &amp; David"/>
    <s v="HO3 Primary"/>
    <s v="Charlotte"/>
    <s v="NC"/>
    <s v="28262"/>
    <n v="1"/>
    <n v="280000"/>
    <n v="480000"/>
    <x v="1"/>
    <s v="2005 home with 4 losses. 2/17, 9/17, 6/18 water leaks, $10K, and 2 at $2500. 3/17 wind $7K. 6/18 water claim still in subro."/>
    <x v="0"/>
    <s v="Water damage exclusion, no backup, no mold. Make sure subro claim has all damage repair/all work done."/>
    <m/>
    <m/>
    <s v="Patterson"/>
  </r>
  <r>
    <x v="224"/>
    <x v="0"/>
    <s v="MI"/>
    <s v="Alexa"/>
    <m/>
    <s v="Rodriguez"/>
    <s v="Ronald    "/>
    <s v="DP3 Builders Risk"/>
    <s v="Houston"/>
    <s v="TX"/>
    <s v="77068"/>
    <n v="1"/>
    <n v="190000"/>
    <n v="190000"/>
    <x v="6"/>
    <s v="1961 dwelling w/updates. Writing as BR and will convert to rental when reno is done. Contractor updating septic and some minor interior starting in January. Was previously rented. Lengthy lapse - no explanation."/>
    <x v="0"/>
    <s v="Nice online photo. A ins score. Would normally get full detail on lapse before offering terms, but with A score, made this a subjectivity. No backup. Verify avg condition."/>
    <m/>
    <m/>
    <s v="Patterson"/>
  </r>
  <r>
    <x v="224"/>
    <x v="13"/>
    <s v="TN"/>
    <s v="Jared"/>
    <m/>
    <s v="Lupo"/>
    <s v="Thomas &amp; Vincent"/>
    <s v="HO6"/>
    <s v="West Palm Beach"/>
    <s v="FL"/>
    <s v="33415"/>
    <n v="2"/>
    <n v="25000"/>
    <n v="30000"/>
    <x v="6"/>
    <s v="1974 condo. Mtg co has now required an HO6 policy . Good ins score. No losses. Getting SNL"/>
    <x v="0"/>
    <s v="Ok with lapse surcharge. Reason makes sense."/>
    <m/>
    <m/>
    <s v="Patterson"/>
  </r>
  <r>
    <x v="224"/>
    <x v="13"/>
    <s v="TN"/>
    <s v="Brett"/>
    <m/>
    <s v="Fowler"/>
    <s v="Jennifer &amp; Theresa"/>
    <s v="HO6"/>
    <s v="Delray Beach"/>
    <s v="FL"/>
    <s v="33445"/>
    <n v="4"/>
    <n v="100000"/>
    <n v="130000"/>
    <x v="6"/>
    <s v="2005 condo purchased new. Never had coverage. New condo assoc requires it now. Good ins score. Getting SNL"/>
    <x v="0"/>
    <s v="Ok to ask for no losses in last 5 years - seems odd to ask back to 2005. Reason makes sense."/>
    <m/>
    <m/>
    <s v="Patterson"/>
  </r>
  <r>
    <x v="224"/>
    <x v="0"/>
    <s v="MI"/>
    <s v="Jill"/>
    <m/>
    <s v="Meridale Avenue Condominium"/>
    <m/>
    <s v="HO3 Primary"/>
    <s v="Orlando "/>
    <s v="FL"/>
    <s v="32803"/>
    <m/>
    <n v="426000"/>
    <n v="426000"/>
    <x v="2"/>
    <s v="Two individuals bought a duplex and created a Condo Assoc to insure the structure.  Dwelling coverage only. Retailer asking for this on an HO3 app. Jill asking if this should be commercial or personal"/>
    <x v="0"/>
    <s v="Confirmed with Jill that this would typically be a commercial policy.  Two owner/occupants own the structure together in the name of a Condo Assoc.  This is a commercial situation &quot;by the rules&quot; but really a 2 family owner occupied home based on occupancy.  Approved as an exception on HO3 provided it stays structure only - no liability - no rental at all. HO6 for each individual. Don't list Assoc as AI - Assoc needs its own liab covg."/>
    <m/>
    <m/>
    <s v="Patterson"/>
  </r>
  <r>
    <x v="224"/>
    <x v="2"/>
    <s v="CA"/>
    <s v="Bobbi"/>
    <m/>
    <s v="Deitch"/>
    <s v="Joshua &amp; Amy"/>
    <s v="HO3 Primary"/>
    <s v="Mill Valley"/>
    <s v="CA"/>
    <s v="94941"/>
    <n v="5"/>
    <n v="1710500"/>
    <n v="2900000"/>
    <x v="12"/>
    <s v="1954 home and guest house updated.  New purchase. Guest house has a wood shake roof which will be replaced asap w/comp roof when sale closes."/>
    <x v="2"/>
    <s v="No exceptions at this time in CA. Guest house looks like a fire hazard anyway."/>
    <m/>
    <m/>
    <s v="Patterson"/>
  </r>
  <r>
    <x v="225"/>
    <x v="0"/>
    <s v="MI"/>
    <s v="Rachel"/>
    <m/>
    <s v="Graves"/>
    <s v="Alexander"/>
    <s v="HO3 Primary"/>
    <s v="Topanga"/>
    <s v="CA"/>
    <s v="90290"/>
    <n v="2"/>
    <n v="1250000"/>
    <n v="2725000"/>
    <x v="3"/>
    <s v="2017 home, protected, but in brush zone. Insd is high profile producer/director. No adverse info."/>
    <x v="0"/>
    <s v="No app included - advised if all ok on app, ok to offer terms including liab. "/>
    <m/>
    <m/>
    <s v="Patterson"/>
  </r>
  <r>
    <x v="225"/>
    <x v="2"/>
    <s v="CA"/>
    <s v="Nicole"/>
    <m/>
    <s v="Stearns"/>
    <s v="Chris &amp; Avalon"/>
    <s v="HO3 Primary"/>
    <s v="Placentia"/>
    <s v="CA"/>
    <s v="92870"/>
    <n v="5"/>
    <n v="275000"/>
    <n v="500000"/>
    <x v="1"/>
    <s v="1997 dwelling with 2 small water losses. One was CAT related. Questioned if agt should s/c for CAT loss."/>
    <x v="0"/>
    <s v="Only s/c if any negligence. Doesn't appear to be in this situation."/>
    <m/>
    <m/>
    <s v="Patterson"/>
  </r>
  <r>
    <x v="225"/>
    <x v="9"/>
    <s v="CA"/>
    <s v="Melissa"/>
    <m/>
    <s v="Higgins"/>
    <s v="William &amp; Vanessa"/>
    <s v="HO3 Primary"/>
    <s v="Mill Valley"/>
    <s v="CA"/>
    <s v="94941"/>
    <n v="1"/>
    <n v="2264951"/>
    <n v="4419951"/>
    <x v="0"/>
    <s v="Hull Stockton offered terms on new risk prior to our rule change.  TIV $4,419,951; was not in brush at the time.  In a zip with about $21M.  They should have referred for approval - they did not refer.  Now agent is requesting a bind.  Over their authority, also now in brush.  "/>
    <x v="2"/>
    <s v="Conferred w/Jeff. Since over their authority, we are going with rules currently in place.  Risk is not eligible under current guidelines."/>
    <m/>
    <m/>
    <s v="Patterson"/>
  </r>
  <r>
    <x v="225"/>
    <x v="2"/>
    <s v="CA"/>
    <s v="Alison"/>
    <m/>
    <s v="Garcia"/>
    <s v="Yolanda"/>
    <s v="HO3 Primary"/>
    <s v="La Habra"/>
    <s v="CA"/>
    <s v="90631"/>
    <m/>
    <n v="700000"/>
    <n v="1290000"/>
    <x v="1"/>
    <s v="1999 home. $135K slab leak 8/16. Pipes have been re-routed. Also 3/18 $3711 broken roof tile claim. Prior cancel/nrn no details."/>
    <x v="0"/>
    <s v="If nrn for claims ok. Otherwise refer back. Since pipes re-routed, no slab leak concern."/>
    <m/>
    <m/>
    <s v="Patterson"/>
  </r>
  <r>
    <x v="225"/>
    <x v="2"/>
    <s v="CA"/>
    <s v="Alison"/>
    <m/>
    <s v="Rashnavadi"/>
    <s v="Nooshin"/>
    <s v="HO3 Primary"/>
    <s v="La Canada FLT"/>
    <s v="CA"/>
    <s v="91011"/>
    <n v="3"/>
    <n v="566800"/>
    <n v="1100000"/>
    <x v="1"/>
    <s v="1999 home. $140K bathroom toilet overflow loss 5/17. $5,000 slab leak 6/18. No mitigation. Asking if high ded or exclusion could apply."/>
    <x v="0"/>
    <s v="Exclude water damage, no mold, no backup."/>
    <m/>
    <m/>
    <s v="Patterson"/>
  </r>
  <r>
    <x v="226"/>
    <x v="2"/>
    <s v="CA"/>
    <s v="Kelly"/>
    <m/>
    <s v="Meirson"/>
    <s v="Efi &amp; Eva"/>
    <s v="HO3 Primary"/>
    <s v="Tarzana"/>
    <s v="CA"/>
    <s v="91356"/>
    <m/>
    <s v=" "/>
    <n v="4250000"/>
    <x v="0"/>
    <s v="Agt submitting for approval due to TIV, not in brush."/>
    <x v="2"/>
    <s v="We changed guidelines to $3M max. Agt forgot about the change."/>
    <m/>
    <m/>
    <s v="Patterson"/>
  </r>
  <r>
    <x v="226"/>
    <x v="2"/>
    <s v="CA"/>
    <s v="Michelle"/>
    <m/>
    <s v="Weisberg"/>
    <s v="Chang &amp; Pilar"/>
    <s v="HO3 Primary"/>
    <s v="San Dimas"/>
    <s v="CA "/>
    <s v="91773"/>
    <n v="1"/>
    <n v="608000"/>
    <n v="1500000"/>
    <x v="1"/>
    <s v="2000 home with 4 prior water losses. 6/18 $0 slab leak, 6/18 $3K water heater leak, 10/16 $0 slab leak, 4/14 $12K pipe leak in wall"/>
    <x v="2"/>
    <s v="Declined for loss history. &gt;&gt;&gt;&gt;&gt;&gt;&gt;&gt;&gt;&gt;&gt;&gt;&gt;&gt;&gt;&gt;&gt;&gt;&gt;&gt;"/>
    <s v="Insurance score shows concern of cc bad debt, judgement $12K and low scores, 604, 646"/>
    <m/>
    <s v="Patterson"/>
  </r>
  <r>
    <x v="226"/>
    <x v="2"/>
    <s v="CA"/>
    <s v="Alison"/>
    <m/>
    <s v="Schafer"/>
    <s v="Kent"/>
    <s v="HO3 Seas/Sec w/Rental"/>
    <s v="Valley Center "/>
    <s v="CA"/>
    <s v="92082"/>
    <n v="3"/>
    <n v="1025108"/>
    <n v="1025108"/>
    <x v="2"/>
    <s v="1976 dwelling used seasonally by insured. May also be tenant, need to confirm. Contracted picker for avocado, citrus, persimmon, fig, possibly grapes. Groundskeeper there daily. No other employees.  In brush. Outbuilding used for business. Cov B listed on app"/>
    <x v="0"/>
    <s v="Ok with covg for dwelling. Clarify occupancy - either way ok. Exclude Cov B and add TBE."/>
    <m/>
    <m/>
    <s v="Patterson"/>
  </r>
  <r>
    <x v="226"/>
    <x v="7"/>
    <s v="MI"/>
    <s v="Cheryl"/>
    <m/>
    <s v="Bulla"/>
    <s v="Douglas"/>
    <s v="HO3 Seas/Sec"/>
    <s v="Mackinac Island"/>
    <s v="MI"/>
    <s v="49757"/>
    <n v="5"/>
    <m/>
    <n v="5000000"/>
    <x v="0"/>
    <s v="2002 home on the island. Very nice online photos. No alarms. Island has police and fire depts. Is mostly seasonal occupancy.  Small community."/>
    <x v="0"/>
    <s v="5% s/c for no alarms. Feel police/fire will watch off season and neighbors are seasonal and look out for each other. If valuation tool doesn't account for island extra expense, need to surcharge.  May reconsider if s/c make us uncompetitive.  Nice home."/>
    <m/>
    <m/>
    <s v="Patterson"/>
  </r>
  <r>
    <x v="226"/>
    <x v="0"/>
    <s v="MI"/>
    <s v="Lindsay"/>
    <m/>
    <s v="Gonzales"/>
    <s v="Augustin"/>
    <s v="HO3 Primary"/>
    <s v="Valley Center "/>
    <s v="CA"/>
    <s v="92082"/>
    <n v="3"/>
    <n v="459000"/>
    <n v="918000"/>
    <x v="5"/>
    <s v="1991 home w/updates. Landscaping business equip stored in separate area of prop w/own entrance. CGL in place. Agt quoted w/TBE and Building Excl."/>
    <x v="1"/>
    <s v="Exposure reduced w/ measures taken."/>
    <m/>
    <m/>
    <s v="Patterson"/>
  </r>
  <r>
    <x v="227"/>
    <x v="2"/>
    <s v="CA"/>
    <s v="Melissa"/>
    <m/>
    <s v="Kimberly Bukewihge Irrevocable Trust No 1"/>
    <m/>
    <s v="HO3 Primary"/>
    <s v="Ladera Ranch "/>
    <s v="CA"/>
    <s v="92694"/>
    <n v="3"/>
    <n v="1071000"/>
    <n v="2050000"/>
    <x v="7"/>
    <s v="2002 home w/ 10/15 $44K water loss. Insured since 2015. Requesting jewelry schedule with one item just over $25K and total schedule at $101,517. 3 employees (no WC). Items kept in home safe when not worn."/>
    <x v="0"/>
    <s v="Made exception with addition of form MPLH0150/#9 Myst Disappearance Exclusion and #12 Residence Safe clause.  Agent checking on number of employees. If any are less than 10 hours, they don't count."/>
    <m/>
    <m/>
    <s v="Patterson"/>
  </r>
  <r>
    <x v="227"/>
    <x v="5"/>
    <s v="CA"/>
    <s v="Tamika"/>
    <m/>
    <s v="Bleck"/>
    <s v="Tina &amp; Dennis"/>
    <s v="HO3 Primary"/>
    <m/>
    <s v="WV"/>
    <m/>
    <n v="9"/>
    <n v="140000"/>
    <n v="218000"/>
    <x v="9"/>
    <s v="WV home coming in at $1.08 - total premium $2368. Can we do any better?"/>
    <x v="0"/>
    <s v="Bethany reviewed - 10% discount okay."/>
    <m/>
    <m/>
    <s v="Patterson"/>
  </r>
  <r>
    <x v="227"/>
    <x v="9"/>
    <s v="CA"/>
    <s v="Lisa"/>
    <m/>
    <s v="O'Rear"/>
    <s v="Justin"/>
    <s v="HO3 Primary"/>
    <s v="Forest Ranch"/>
    <s v="CA"/>
    <s v="95942"/>
    <n v="9"/>
    <n v="356000"/>
    <n v="710800"/>
    <x v="1"/>
    <s v="1988 home w/complete roof update in 2018 in brush. Prior home in Paradise was a total loss from the Camp Fire. Letter in file from prior carrier. FD 3 miles away but no hydrant. WBS in home per photo."/>
    <x v="0"/>
    <s v="New location.  Subj to WBS quest."/>
    <m/>
    <m/>
    <s v="Patterson"/>
  </r>
  <r>
    <x v="227"/>
    <x v="9"/>
    <s v="CA"/>
    <s v="Lisa"/>
    <m/>
    <s v="Stockbridge"/>
    <s v="Victor"/>
    <s v="HO3 Primary"/>
    <s v="Magalia"/>
    <s v="CA"/>
    <s v="95954"/>
    <n v="4"/>
    <n v="420000"/>
    <n v="798000"/>
    <x v="1"/>
    <s v="2005 home in brush. Prior home in Paradise was a total loss from the Camp Fire. Letter in file from prior carrier."/>
    <x v="0"/>
    <s v="New location.    "/>
    <m/>
    <m/>
    <s v="Patterson"/>
  </r>
  <r>
    <x v="228"/>
    <x v="13"/>
    <s v="TN"/>
    <s v="Brett"/>
    <m/>
    <s v="Keller"/>
    <s v="Richard &amp; Glenda"/>
    <s v="HO3 Primary"/>
    <s v="Reddick"/>
    <s v="FL"/>
    <s v="32666"/>
    <n v="10"/>
    <n v="325000"/>
    <n v="700000"/>
    <x v="2"/>
    <s v="2007 log home, very nice per online info. Has personal use mobile home on property, extensive horse barns and fencing."/>
    <x v="0"/>
    <s v="Excluding fencing and any structures they wouldn't replace. Excluding mobile home. Exposure eliminated."/>
    <m/>
    <m/>
    <s v="Patterson"/>
  </r>
  <r>
    <x v="228"/>
    <x v="9"/>
    <s v="CA"/>
    <s v="Lisa"/>
    <m/>
    <s v="Harris"/>
    <s v="David &amp; Pamela"/>
    <s v="HO3 Primary"/>
    <s v="Oroville "/>
    <s v="CA"/>
    <s v="95966"/>
    <n v="4"/>
    <n v="365000"/>
    <n v="730000"/>
    <x v="1"/>
    <s v="1991 home w/prior CAT fire (Camp). A+ shows this was a CAT fire on the day the Camp fire started 11/8. "/>
    <x v="0"/>
    <s v="New location.  Waiving other proof of loss due to A+."/>
    <m/>
    <m/>
    <s v="Patterson"/>
  </r>
  <r>
    <x v="228"/>
    <x v="9"/>
    <s v="CA"/>
    <s v="Lisa"/>
    <m/>
    <s v="Zalamal"/>
    <s v="Sheree"/>
    <s v="HO3 Primary"/>
    <s v="Stirling City"/>
    <s v="CA "/>
    <s v="95978"/>
    <n v="4"/>
    <n v="182000"/>
    <n v="364000"/>
    <x v="1"/>
    <s v="2005 home w/prior CAT fire (Camp). Agent getting proof it was from Camp fire and will forward asap. Signed app shows it."/>
    <x v="0"/>
    <s v="If proof ends up not showing this was a CAT fire, we have a signed app."/>
    <m/>
    <m/>
    <s v="Patterson"/>
  </r>
  <r>
    <x v="228"/>
    <x v="0"/>
    <s v="MI"/>
    <s v="Leslie"/>
    <m/>
    <s v="Ober"/>
    <s v="Robert"/>
    <s v="HO3 Seas/Sec"/>
    <s v="Malibu"/>
    <s v="CA"/>
    <s v="90265"/>
    <n v="2"/>
    <n v="1460000"/>
    <n v="3139000"/>
    <x v="0"/>
    <s v="1974 home updated in 1999. Wildfire score of 80. Over $3M TIV."/>
    <x v="2"/>
    <s v="Reminded Leslie of new direction. Markel max is $3M PC1-7; $1.5M PC8-10."/>
    <m/>
    <m/>
    <s v="Patterson"/>
  </r>
  <r>
    <x v="228"/>
    <x v="7"/>
    <s v="MI"/>
    <s v="Lori"/>
    <m/>
    <s v="Caffray"/>
    <s v="Mark"/>
    <s v="HO3 Primary"/>
    <s v="Evanston "/>
    <s v="IL"/>
    <s v="60202"/>
    <n v="1"/>
    <n v="1205400"/>
    <n v="2700000"/>
    <x v="1"/>
    <s v="1914 home w/full updates. Nice online pics. 3 water losses in 5 years. $5K, $14K, $15K. All caused by basement water pipe freezing and bursting. Most recent was 12/17. Also myst dis loss 2018.  No backup quoted. 20% surcharge. Unknown ins score."/>
    <x v="3"/>
    <s v="&quot;Adding heat&quot; not mitigation. Per call from Lori, B score.  Ok with mold excl, $25K water damage ded (bsmt is now finished&quot;. Need app answers to uw questions.  If they prof install a water shut off device, they can reduce to $5K water damage ded."/>
    <m/>
    <m/>
    <s v="Patterson"/>
  </r>
  <r>
    <x v="228"/>
    <x v="7"/>
    <s v="MI"/>
    <s v="John"/>
    <m/>
    <s v="Ferdynus"/>
    <s v="Halina &amp; Radoslaw"/>
    <s v="HO3 Primary"/>
    <s v="Lemont "/>
    <s v="IL"/>
    <s v="60439"/>
    <m/>
    <n v="650000"/>
    <n v="1100000"/>
    <x v="1"/>
    <s v="1994 home w/5 prior losses in 3 years. 4/15 storm damage to gutters $14K; 7/17 storm damage to windows $48K; 4/18 water damage to walls, ceilings, floors $11K; 6/18 foundation leak $0; 9/18 water damage to floor $4K."/>
    <x v="3"/>
    <s v="Need ins score. If good, need loss details. Also need &quot;self employment&quot; info.//Score is a credit. Ok to bind with water damage, mold, and backup exclusions. 12/12/18"/>
    <m/>
    <m/>
    <s v="Patterson"/>
  </r>
  <r>
    <x v="228"/>
    <x v="0"/>
    <s v="MI"/>
    <s v="Rachel"/>
    <m/>
    <s v="Gflats LLC"/>
    <m/>
    <s v="DP3 Rental"/>
    <s v="San Francisco"/>
    <s v="CA"/>
    <s v="94117"/>
    <n v="1"/>
    <n v="3500000"/>
    <n v="3870000"/>
    <x v="0"/>
    <s v="1900 dwelling w/updates. 2 prior water losses. Quoted in February. Insd never accepted terms or took out a policy. 10% lapse s/c applied."/>
    <x v="1"/>
    <s v="Verified with Jeff this is within their authority."/>
    <m/>
    <m/>
    <s v="Patterson"/>
  </r>
  <r>
    <x v="228"/>
    <x v="9"/>
    <s v="CA"/>
    <s v="Lisa"/>
    <m/>
    <s v="Mathis"/>
    <s v="Richard &amp; Dorothy"/>
    <s v="HO3 Primary"/>
    <s v="Magalia"/>
    <s v="CA"/>
    <s v="95954"/>
    <n v="4"/>
    <n v="450000"/>
    <n v="900000"/>
    <x v="1"/>
    <s v="                                                                                                                                                                                                                                                                                                                                                            "/>
    <x v="1"/>
    <s v="New location ok"/>
    <m/>
    <m/>
    <s v="Patterson"/>
  </r>
  <r>
    <x v="229"/>
    <x v="2"/>
    <s v="CA"/>
    <s v="Gina"/>
    <m/>
    <s v="Secrist"/>
    <s v="Marlon &amp; Van"/>
    <s v="HO3 Primary"/>
    <s v="Los Angeles"/>
    <s v="CA"/>
    <s v="90031"/>
    <n v="5"/>
    <m/>
    <m/>
    <x v="12"/>
    <s v="                                                       "/>
    <x v="1"/>
    <s v="These CA hillside homes are typically okay. Advised agent not to make changes, get pics of the piers and we can review if any concern."/>
    <m/>
    <m/>
    <s v="Patterson"/>
  </r>
  <r>
    <x v="229"/>
    <x v="2"/>
    <s v="CA"/>
    <s v="Lisa"/>
    <m/>
    <s v="Byrd"/>
    <s v="Zachary"/>
    <s v="HO3 Primary"/>
    <s v="Oroville "/>
    <s v="CA"/>
    <s v="95966"/>
    <n v="10"/>
    <n v="385000"/>
    <n v="770000"/>
    <x v="1"/>
    <s v="2004 home not in brush. No RiskMeter included. Quoted as PC4, but risk is 6.6 miles from the FD.  Woodstove in home.  Zillow says this is a &quot;horse property&quot;."/>
    <x v="4"/>
    <s v="Asked for new rater and PC Quest to be sent for review. If ok, addl subjectivities are WBS quest and info on horses. Prior home total loss in Camp fire - Paradise. RM says in brush, rater confirms that rating. Cover email said not in brush. "/>
    <m/>
    <m/>
    <s v="Patterson"/>
  </r>
  <r>
    <x v="230"/>
    <x v="0"/>
    <s v="MI"/>
    <s v="Nicole"/>
    <m/>
    <s v="Fitts"/>
    <s v="William"/>
    <s v="DP3 Rental"/>
    <s v="Byhalia"/>
    <s v="MS"/>
    <s v="38611"/>
    <n v="6"/>
    <n v="281000"/>
    <n v="351250"/>
    <x v="5"/>
    <s v="1950 dwelling with updates to wiring, plumbing, and heating in 2000, roof in 2003. Tenant owns online trailer sales business, possible foot traffic up to twice a month for pick up of trailer, tenant has GL and lists insured as an AI. Property is on 130 acres of land state for pasture. "/>
    <x v="0"/>
    <s v="Asked for confirmation of ownership and use of land. Also wanting to confirm if there is ever any transfer of livestock during trailer pick up or if it is exclusively trailer pick up only. UPDATE - no animals, no particular usage of land. Trailer pick up only. Approved with TBE"/>
    <m/>
    <m/>
    <s v="Busse"/>
  </r>
  <r>
    <x v="230"/>
    <x v="0"/>
    <s v="MI"/>
    <s v="Nicole"/>
    <m/>
    <s v="Alpha to Omega Properties LLC"/>
    <m/>
    <s v="DP3 Vacant"/>
    <s v="Ferndale"/>
    <s v="MI"/>
    <s v="48220"/>
    <n v="4"/>
    <n v="275000"/>
    <n v="280000"/>
    <x v="7"/>
    <s v="2018 dwelling built from a shipping container. Vacant home. Insured is an LLC - Alpha to Omega Properties LLC. "/>
    <x v="2"/>
    <s v="Asked for more info regarding risk - who built it, why is it vacant, plans for the dwelling, photos, coverage a. Will update when more info is received. UPDATE: insured is builder of home, first time building container home. Also, plans to leave as vacant to use as model home for business to show to potential future clients. Too much commercial exposure, not enough experience with home type. "/>
    <m/>
    <m/>
    <s v="Busse"/>
  </r>
  <r>
    <x v="230"/>
    <x v="14"/>
    <s v="IL"/>
    <s v="Tasha"/>
    <m/>
    <s v="Turner"/>
    <s v="Rebecca"/>
    <s v="HO3 Primary"/>
    <s v="Lester Prairie"/>
    <s v="MN"/>
    <s v="55354"/>
    <n v="6"/>
    <n v="214000"/>
    <n v="395900"/>
    <x v="5"/>
    <s v="1973 home with updates to systems in 2006 and roof in 2002. Insured runs daycare from home with 10 children, 4 of which are the insured's. Has a GL in place for the daycare $1M per occurrence/$2M aggregate. Two prior water losses ($17k 4/2016 and $2500 9/2018) and was non-renewed. Water exclusion, water back up exclusion added by agent."/>
    <x v="0"/>
    <s v="Will also want to include mold exclusion to coverage all aspects of a potential water loss. OK to proceed with daycare since GL in place and even though 10 children, 4 are the insured's. Liability can stay on the policy. "/>
    <m/>
    <m/>
    <s v="Busse"/>
  </r>
  <r>
    <x v="230"/>
    <x v="5"/>
    <s v="PA"/>
    <s v="Tamika"/>
    <m/>
    <s v="Reese"/>
    <s v="Bryan"/>
    <s v="DP3 Rental"/>
    <s v="Philadelphia"/>
    <s v="PA"/>
    <s v="19122"/>
    <m/>
    <n v="640000"/>
    <n v="804000"/>
    <x v="2"/>
    <s v="Update from approval that was given 2/2018. Prior closing fell through. Re-submitted for approval. Advised same terms still applied, and that new quote will need to be created for a new rate. Not to offer lesser rate, and if new quote is higher, higher rate should be used. "/>
    <x v="3"/>
    <s v="Update from approval that was given 2/2018. Prior closing fell through. Re-submitted for approval. Advised same terms still applied, and that new quote will need to be created for a new rate. Not to offer lesser rate, and if new quote is higher, higher rate should be used. // 12/11 agent found out all 3 units will be rented - no owner on site. In borderline area. Asked addl questions about security and repairs made. (MP)"/>
    <m/>
    <m/>
    <s v="Busse"/>
  </r>
  <r>
    <x v="231"/>
    <x v="6"/>
    <s v="CO"/>
    <s v="Allison"/>
    <m/>
    <s v="Repenning"/>
    <s v="James"/>
    <s v="HO3 Builders Risk"/>
    <s v="Evergreen"/>
    <s v="CO"/>
    <s v="80439"/>
    <n v="5"/>
    <n v="1800000"/>
    <n v="2200000"/>
    <x v="11"/>
    <s v="Mid-term COC with lapse in coverage. Per agent, there was confusion between general contractor and insured. GC thought insured had property coverage, while insured thought GC was providing property coverage. PC5, no losses. GC has GL with $2M limits. "/>
    <x v="0"/>
    <s v="Overall, risk looks to be good. 60% completion on construction. Agent already adding 10% lapse surcharge and no loss prior to bind. Advised to add additional 10% surcharge for mid-term construction. "/>
    <m/>
    <m/>
    <s v="Busse"/>
  </r>
  <r>
    <x v="231"/>
    <x v="3"/>
    <s v="MA"/>
    <s v="David"/>
    <m/>
    <s v="Perkins"/>
    <s v="Rebecca"/>
    <s v="HO3 Seas/Sec"/>
    <s v="Bala Cynwyd"/>
    <s v="PA"/>
    <s v="19004"/>
    <m/>
    <n v="650000"/>
    <n v="1170000"/>
    <x v="1"/>
    <s v="1956 home with complete updates to wiring and plumbing in 2006, heating in 2011, and complete roof update 2011. A loss letter was provided showing a 3/2018 loss sue to CAT storm, but app shows 3/2018 water loss, both with different amounts. "/>
    <x v="4"/>
    <s v="Asked for reason for referral, as it wasn’t clear and appeared to be within their authority. Mentioned the conflicting info I saw in the losses, so asked for their insight and recommendation and we can then assist if need be."/>
    <m/>
    <m/>
    <s v="Busse"/>
  </r>
  <r>
    <x v="231"/>
    <x v="9"/>
    <s v="CA"/>
    <s v="Kirk"/>
    <m/>
    <s v="Walker"/>
    <s v="Sarah"/>
    <s v="HO3 Primary"/>
    <s v="Magalia"/>
    <s v="CA"/>
    <s v="95954"/>
    <n v="4"/>
    <n v="694000"/>
    <n v="1388000"/>
    <x v="1"/>
    <s v="2004 home, recent victim of Camp Fire. Claim is for loss of use as they couldn’t get to their home during evacuation. Being cancelled from current carrier due to insolvency. Risk is PC4, appears to be in brush.  "/>
    <x v="0"/>
    <s v="Approved subject to confirmation that the open claim is loss of use only, and no damage to the property is present. If any damage, will want to re-refer for review. "/>
    <m/>
    <m/>
    <s v="Busse"/>
  </r>
  <r>
    <x v="231"/>
    <x v="6"/>
    <s v="CO"/>
    <s v="Allison"/>
    <m/>
    <s v="Sagat"/>
    <s v="Izabele"/>
    <s v="HO3 Primary"/>
    <s v="Agoura Hills"/>
    <s v="CA"/>
    <s v="91301"/>
    <n v="2"/>
    <n v="520000"/>
    <n v="936000"/>
    <x v="6"/>
    <s v="1980 home, updates to roof and wiring in 2013, no updates to plumbing or heating. Lapse from 9/2018. Confirmed no damages from recent CA fires. "/>
    <x v="0"/>
    <s v="Approval subject to 10% surcharge for lapse"/>
    <m/>
    <m/>
    <s v="Busse"/>
  </r>
  <r>
    <x v="231"/>
    <x v="6"/>
    <s v="CO"/>
    <s v="Allison"/>
    <m/>
    <s v="Ninfa LLC"/>
    <m/>
    <s v="HO6"/>
    <s v="Aspen"/>
    <s v="CO"/>
    <s v="81611"/>
    <n v="3"/>
    <n v="1240000"/>
    <n v="1812000"/>
    <x v="0"/>
    <s v="High value condo, slight lapse since 11/21/2018. 1994 year built, updates have been completed. "/>
    <x v="1"/>
    <s v="Approval - agent also applied surcharge for lapse"/>
    <m/>
    <m/>
    <s v="Busse"/>
  </r>
  <r>
    <x v="231"/>
    <x v="2"/>
    <s v="CA"/>
    <s v="Gina"/>
    <m/>
    <s v="Gardner"/>
    <s v="Robert"/>
    <s v="HO3 Primary"/>
    <s v="June Lake"/>
    <s v="CA"/>
    <s v="93529"/>
    <m/>
    <m/>
    <m/>
    <x v="7"/>
    <s v="Home has a fireplace insert. Agent was not familiar with underwriting them."/>
    <x v="0"/>
    <s v="Professionally installed ok. Advised we need annual cleaning."/>
    <m/>
    <m/>
    <s v="Patterson"/>
  </r>
  <r>
    <x v="232"/>
    <x v="2"/>
    <s v="CA"/>
    <s v="Kelly"/>
    <m/>
    <s v="Rieder"/>
    <s v="James"/>
    <s v="HO3 Seas/Sec w/Rental"/>
    <s v="Carpinteria"/>
    <s v="CA"/>
    <s v="93013"/>
    <m/>
    <n v="1267000"/>
    <n v="2367000"/>
    <x v="6"/>
    <s v="1947 home with partial updates to everything in 2005. inspection was provided and there didn’t appear to be any immediate concerns. Agent proposed questions about animals, employees and weeks of rental. Being non-renewed due to not being on dual street?"/>
    <x v="3"/>
    <s v="Asked for clarification on what a dual street is, so that we can better review. If acceptable, would approve subject to adding TBE for reason of animals, employees, and that an outside company comes to harvest avocados. Advised to let us know if they had any further concerns with animals, employees, weeks of rental. Also advised to gather older home questionnaire. // 12/19 agt advised $100K+ Thomas fire loss. Not in brush zone. $10K aop for no alarms. Quoted as primary w/15% s/c for rental 25 weeks. Advised to add TBE for avocados. They need to get an acceptable OHQ. (MP)"/>
    <m/>
    <m/>
    <s v="Busse"/>
  </r>
  <r>
    <x v="232"/>
    <x v="0"/>
    <s v="MI"/>
    <s v="Alexa"/>
    <m/>
    <s v="TBD Agents for Christ Residential Program"/>
    <m/>
    <s v="DP3 Rental"/>
    <m/>
    <s v="NM"/>
    <m/>
    <m/>
    <m/>
    <m/>
    <x v="5"/>
    <s v="The insured’s run a discipleship out of their home for 8 continuous months of the year. Their organization is called Agents for Christ. Participants are usually all adults (over the age of 18) and although it does vary, they average about 4-6 participants per year. The participants live in the home with the insured’s during these 8 months and go through a serious of classes if you will on how to spread the word of God. There are no events so-to-speak. The insured’s do have CGL through Brotherhood Mutual which also includes Sexual Misconduct and Professional Liability."/>
    <x v="4"/>
    <s v="Possibly with TBE if description is accurate. Liability is a maybe. Sounds like low phys dmg exposure if it is as described. Has to be DP3 due to roomer/boarder limits in HO3"/>
    <m/>
    <m/>
    <s v="Patterson"/>
  </r>
  <r>
    <x v="232"/>
    <x v="0"/>
    <s v="MI"/>
    <s v="David"/>
    <m/>
    <s v="Shelley"/>
    <s v="Amanda Tate"/>
    <s v="HO3 Primary"/>
    <s v="Tampa"/>
    <s v="FL"/>
    <s v="33616"/>
    <n v="4"/>
    <n v="225000"/>
    <n v="387000"/>
    <x v="5"/>
    <s v="1963 home updated. Ins Score O. Insd has dog walking business w/occ dog sitting. Occasional that dogs come to insured home. No GL, but can get one. No large or dangerous breeds."/>
    <x v="0"/>
    <s v="GL is required.  TBE and Animal Liab Excl.  "/>
    <s v="Even though low score, we have removed most of our exposure, and it was low to begin with."/>
    <m/>
    <s v="Patterson"/>
  </r>
  <r>
    <x v="232"/>
    <x v="9"/>
    <s v="CA"/>
    <s v="Melissa"/>
    <m/>
    <s v="Feldhaus"/>
    <s v="Torey"/>
    <s v="HO3 Primary"/>
    <s v="Paradise"/>
    <s v="CA"/>
    <s v="65969"/>
    <m/>
    <n v="1000000"/>
    <n v="1850000"/>
    <x v="1"/>
    <s v="Open claim due to recent Camp Fire. No apparent fire damage, but there is smoke damage. Prior carrier insolvent. Not sure of full extent of damage and repair needs at this time. "/>
    <x v="2"/>
    <s v="Confirmed with Jeff, we are declining due to open claim. We are still reviewing our exposure in the area, not sure how comfortable we are with new business in Paradise. "/>
    <m/>
    <m/>
    <s v="Busse"/>
  </r>
  <r>
    <x v="232"/>
    <x v="3"/>
    <s v="MA"/>
    <s v="Barbara"/>
    <m/>
    <s v="Hallberg"/>
    <s v="Victor"/>
    <s v="HO3 Primary"/>
    <s v="North Haven"/>
    <s v="CT"/>
    <s v="06473"/>
    <n v="4"/>
    <n v="1265000"/>
    <n v="2972750"/>
    <x v="1"/>
    <s v="1964 home with partial updates to systems and roof 2016-2017. Central smoke and fire alarms. Applicant is family of UW at agency, looking to see what they can do about losses. 5/2018 tornado, 1/2018 frozen pipe, 10/2017 wind, 8/2017 VMM. Home has oil heat, frozen pipe was from oil co not being able to reach home during bad winter, heat then shut off. Concern still present for future winter months. "/>
    <x v="0"/>
    <s v="Advised that the CAT loss did not need to be surcharged, but would still want to account for the other three. Confirm VMM details to ensure they do not indicate any ongoing concern. $5,000 AOP as noted by agent. Advised they can use discretionary credit if they feel is good risk."/>
    <m/>
    <m/>
    <s v="Busse"/>
  </r>
  <r>
    <x v="232"/>
    <x v="2"/>
    <s v="CA"/>
    <s v="Michelle"/>
    <m/>
    <s v="Bowen"/>
    <s v="Ed &amp; Brenda"/>
    <s v="HO3 Primary"/>
    <s v="Paradise"/>
    <s v="CA"/>
    <s v="65969"/>
    <m/>
    <m/>
    <m/>
    <x v="1"/>
    <s v="New bind request for a risk in Paradise that suffered smoke damage. Agent referred asking if CAT claim had to be surcharged.  "/>
    <x v="2"/>
    <s v="Advised we are declining due to open loss and that we are reviewing our exposure in the area (per Jeff) may not write in Paradise."/>
    <m/>
    <m/>
    <s v="Patterson"/>
  </r>
  <r>
    <x v="232"/>
    <x v="2"/>
    <s v="CA"/>
    <s v="Alison"/>
    <m/>
    <s v="Delano"/>
    <s v="Hugh &amp; Lisa"/>
    <s v="HO3 Primary"/>
    <s v="San Clemente"/>
    <s v="CA"/>
    <s v="92673"/>
    <n v="3"/>
    <n v="932000"/>
    <n v="1700000"/>
    <x v="1"/>
    <s v="1997 home nonrenewing w/prior carrier due to 2014 pipe burst $7100 and 7/18 fridge line leak $117K. All repairs made. Agent quoting w/ water damage exclusion, no mold, no water backup."/>
    <x v="0"/>
    <s v="Risk removed w/ exclusion."/>
    <m/>
    <m/>
    <s v="Patterson"/>
  </r>
  <r>
    <x v="232"/>
    <x v="2"/>
    <s v="CA"/>
    <s v="Lucas"/>
    <m/>
    <s v="Heyes"/>
    <s v="Philip &amp; Fiona"/>
    <s v="DP3 Vacant"/>
    <s v="Los Angeles"/>
    <s v="CA"/>
    <s v="90046"/>
    <m/>
    <n v="2257000"/>
    <n v="2257000"/>
    <x v="3"/>
    <s v="1939 dwelling, with updates to systems and roof in 2004 (not confirmed if partial or complete). Applicant is a film director who worked with shows such as American Idol. Purchasing home with intent to rent it out next year after some minor renovation. Confirmed no filming, employees, etc. at the dwelling. Insured leases home within 500 yards of dwelling. "/>
    <x v="0"/>
    <s v="No concerns with profile of applicant. Renovations are minor. If leased home is not on the same premises as dwelling, therefore not extending liability coverage, approval subject to old home questionnaire and confirmation of roof update (partial/complete). Need to add roof exclusion of only partial roof update. "/>
    <m/>
    <m/>
    <s v="Busse"/>
  </r>
  <r>
    <x v="233"/>
    <x v="0"/>
    <s v="MI"/>
    <s v="Leslie"/>
    <m/>
    <s v="Linson"/>
    <s v="John"/>
    <s v="HO3 Primary"/>
    <s v="Santa Monica"/>
    <s v="CA"/>
    <s v="90402"/>
    <n v="1"/>
    <n v="1400000"/>
    <n v="2520000"/>
    <x v="3"/>
    <s v="1925 home, with updates in 1984 (not confirmed if partial or complete). Applicant is producer, largest project Sons of Anarchy, with other tv shows and movies as well. Agent indicated losses that were with prior owner but added $25k water damage ded. Replied back for app to review. "/>
    <x v="4"/>
    <s v="Need app to review"/>
    <m/>
    <m/>
    <s v="Busse"/>
  </r>
  <r>
    <x v="233"/>
    <x v="9"/>
    <s v="CA"/>
    <s v="Lisa"/>
    <m/>
    <s v="Schneider"/>
    <s v="Gia"/>
    <s v="DP3 Vacant"/>
    <s v="San Francisco"/>
    <s v="CA"/>
    <s v="94114"/>
    <n v="1"/>
    <n v="1895000"/>
    <n v="1895000"/>
    <x v="11"/>
    <s v="1904 dwelling with no info on updates. 3 listed owners/applicants, will be full time-rental units when completed (triplex). Quoted as HO3, but will need to be changed to DP3 Vacant rates. Builders Risk quest indicates electrical services will be updated from knob &amp; tube to circuits, but no mention of other systems. COC started 11/29/2018, planning to end 2/15/2019"/>
    <x v="3"/>
    <s v="Need confirmation as to why insured is changing carriers after construction has started. Quoted incorrectly, so that will need to be updated, as HO3 builders risk is only if dwelling will be owner occupied upon completion. Confirmation of insurable interest and connection between the three individuals will be needed. Also want to know current status of dwelling - systems and condition and last updates? anything ineligible? Interior and exterior condition of structure? and existing damage or hazards? MFRC most likely to be added and roof exclusion if it hasn't been updated. UPDATE: Owners are fiances and mother of one of the individual, all owners of the location. 1904 dwelling they advised is in good condition, but has knob and tube wiring, will be updated at some point during COC, but still presence is concerning and reason for decline. There are other concerns with little plumbing and heating updates, which would warrant water exclusion if we were to re-evaluate in the future. Also would apply surcharge for mid-term COC. "/>
    <m/>
    <m/>
    <s v="Busse"/>
  </r>
  <r>
    <x v="233"/>
    <x v="2"/>
    <s v="CA"/>
    <s v="Lucas"/>
    <m/>
    <s v="Mumm"/>
    <s v="Jonathan &amp; Roberta"/>
    <s v="HO3 Primary"/>
    <s v="Twin Peaks"/>
    <s v="CA"/>
    <s v="92391"/>
    <n v="5"/>
    <n v="240000"/>
    <n v="408000"/>
    <x v="3"/>
    <s v="1950 home with updates to all systems and roof. Applicant was in a few smaller films and now is a tv journalist in the Sacramento area. WBS in property. "/>
    <x v="0"/>
    <s v="No concerns with profile of applicant, lower value risk. Subject to supplemental heating questionnaire. "/>
    <m/>
    <m/>
    <s v="Busse"/>
  </r>
  <r>
    <x v="233"/>
    <x v="7"/>
    <s v="MI"/>
    <s v="John"/>
    <m/>
    <s v="Phillips"/>
    <s v="Debbie"/>
    <s v="HO3 Primary"/>
    <s v="Wappapello"/>
    <s v="MO"/>
    <s v="63966"/>
    <n v="8"/>
    <n v="290000"/>
    <n v="493000"/>
    <x v="1"/>
    <s v="2014 log home. 9/2018 fire loss, current details from agent indicate could have been from electrical problems with vehicle. $50,000 damage to detached garage. 2015 water loss $50,000 caused by an ice maker line. Insurance score not provided yet. "/>
    <x v="4"/>
    <s v="Asked for cause and origin report, along with insurance score to better review fire loss. Advised that if we are to continue with review of this risk, a $10,000 water deductible is to be added and most likely an additional surcharge for the losses. "/>
    <m/>
    <m/>
    <s v="Busse"/>
  </r>
  <r>
    <x v="233"/>
    <x v="3"/>
    <s v="MA"/>
    <s v="Barbara"/>
    <m/>
    <s v="Erhart"/>
    <s v="David"/>
    <s v="HO3 Primary"/>
    <s v="Hadlyme"/>
    <s v="CT"/>
    <s v="06439"/>
    <m/>
    <n v="425000"/>
    <n v="807500"/>
    <x v="7"/>
    <s v="1997 home, referred due to flat roof with &quot;vegetation&quot; on part of the roof. Addition to home was built, and part with flat roof has installed grass type layer on part of roof, other part has stone brick layer. Per agent, waterproof barrier is placed under to prevent leaking. Roof will be a &quot;hang out&quot; spot. App says PC 8b, but says 8+ miles to fire station on app. "/>
    <x v="4"/>
    <s v="Sent to agent to ask for PC questionnaire. App says misleading info regarding PC, and looking online the fire station distance could actually be different. After review of questionnaire, will apply $10,000 water damage ded due to roof along with a supp heating quest. "/>
    <m/>
    <m/>
    <s v="Busse"/>
  </r>
  <r>
    <x v="234"/>
    <x v="14"/>
    <s v="IL"/>
    <s v="Tasha Burnett"/>
    <m/>
    <s v="Arrington"/>
    <s v="William E &amp; Karen L"/>
    <s v="DP3 Rental"/>
    <s v="Jacksonville "/>
    <s v="FL"/>
    <s v="32208"/>
    <m/>
    <n v="250000"/>
    <n v="275000"/>
    <x v="2"/>
    <s v="1950 home with updates. Online pics look okay. 1200 SF ranch. Agt inquiring if airbnb is acceptable. Planning to quote x-wind."/>
    <x v="0"/>
    <s v="Gave parameters for quoting. Advised Cov A may be high. $200/SF."/>
    <m/>
    <m/>
    <s v="Patterson"/>
  </r>
  <r>
    <x v="234"/>
    <x v="0"/>
    <s v="MI"/>
    <s v="Jill"/>
    <m/>
    <s v="Sheldon"/>
    <s v="Jason"/>
    <s v="DP3 Vacant"/>
    <s v="Antioch"/>
    <s v="CA"/>
    <s v="98282"/>
    <n v="3"/>
    <n v="160000"/>
    <n v="170000"/>
    <x v="6"/>
    <s v="1928 dwelling that insured has owned since 2008 with no insurance. Purchased and just now wants to get coverage since it is going to be for sale. Also, no listing of updates to home. "/>
    <x v="2"/>
    <s v="Declined due to length of time without insurance. Seems to be a bit of a moral and morale hazard."/>
    <m/>
    <m/>
    <s v="Busse"/>
  </r>
  <r>
    <x v="235"/>
    <x v="0"/>
    <s v="MI"/>
    <s v="Alexa"/>
    <m/>
    <s v="Gessner Property Investment"/>
    <m/>
    <s v="HO3 Seas/Sec"/>
    <s v="Walker"/>
    <s v="MN"/>
    <s v="56484"/>
    <n v="10"/>
    <n v="2141000"/>
    <n v="3211200"/>
    <x v="2"/>
    <s v="2004 home 10.9 mi from FD. Agt interviewed FD contact who confirms 15 min response. Did not adjust rate. Insd wants corp as named insd. $10K ded. Use by 4 members of corp as seasonal only, no rental."/>
    <x v="0"/>
    <s v="Per guidelines, corp name ok w/ prem liab only. Resp time confirmed by FD. Subj to confirming 4 members only (all are family), no rental, no reward/incentive."/>
    <m/>
    <m/>
    <s v="Patterson"/>
  </r>
  <r>
    <x v="235"/>
    <x v="3"/>
    <s v="MA"/>
    <s v="Barbara"/>
    <m/>
    <s v="Oslander"/>
    <s v="Betty  "/>
    <s v="DP3 Rental"/>
    <s v="Madison"/>
    <s v="CT"/>
    <s v="06443"/>
    <n v="5"/>
    <n v="320000"/>
    <n v="354000"/>
    <x v="2"/>
    <s v="1999 log home used as rental on same premises as primary - unknown if insured w/Markel, assuming it is not. Nice pics. Prem liab."/>
    <x v="0"/>
    <s v="Adjust rating - rated in error as frame. Ck cov A. Exclude primary home. "/>
    <m/>
    <m/>
    <s v="Patterson"/>
  </r>
  <r>
    <x v="235"/>
    <x v="6"/>
    <s v="CO"/>
    <s v="Allison"/>
    <m/>
    <s v="Thomas"/>
    <s v="Kate"/>
    <s v="HO3 Primary"/>
    <s v="Parker"/>
    <s v="CO"/>
    <s v="80138"/>
    <n v="3"/>
    <n v="486000"/>
    <n v="1020400"/>
    <x v="6"/>
    <s v="1976 home fully updated. Lapse for 1 year. Insd thought they paid. Agt applying 10% s/c and no loss letter."/>
    <x v="0"/>
    <s v="15% s/c more in line for 1 year lapse. Ins score over 750 indicates not a financial issue. Online photo ok, asked to confirm adequate Cov B or exclude buildings. Also to confirm no animals, indicated in online info."/>
    <m/>
    <m/>
    <s v="Patterson"/>
  </r>
  <r>
    <x v="235"/>
    <x v="2"/>
    <s v="CA"/>
    <s v="Alison"/>
    <m/>
    <s v="Rock"/>
    <s v="Paul &amp; Sameera"/>
    <s v="HO3 Primary"/>
    <s v="Los Angeles"/>
    <s v="CA"/>
    <s v="90077"/>
    <n v="3"/>
    <n v="1200000"/>
    <n v="2310000"/>
    <x v="3"/>
    <s v="1881 (typo?) w/roof update in 2018. Insds are high profile film producer and actress. Water damage loss from leaking refrigerator line 5/18 $81K, fire retardant dmg $25K 12/18."/>
    <x v="0"/>
    <s v="Verify YOC. Verify condition / updates for  plumbing - apply higher water damage deductible. Sect II okay, not too famous."/>
    <m/>
    <m/>
    <s v="Patterson"/>
  </r>
  <r>
    <x v="236"/>
    <x v="0"/>
    <s v="MI"/>
    <s v="Rachel"/>
    <m/>
    <s v="Curtis"/>
    <s v="Nicole"/>
    <s v="HO3 Seas/Sec"/>
    <s v="Oxford"/>
    <s v="MI"/>
    <s v="48371"/>
    <n v="3"/>
    <n v="510000"/>
    <n v="911000"/>
    <x v="3"/>
    <s v="1958 home with updates to systems. Applicant is Nicole Curtis, most known for Rehab Addict on HGTV. Have received previous referrals in 2016 and 2017 from Burns for this applicant. There were previous underlying concerns with building practices and locations and her celebrity. "/>
    <x v="2"/>
    <s v="Previously told Jill and Delta that we would pass on any future risks for this applicant. Stance remains the same, risk is being declined. "/>
    <m/>
    <m/>
    <s v="Busse"/>
  </r>
  <r>
    <x v="236"/>
    <x v="0"/>
    <s v="MI"/>
    <s v="Nicole"/>
    <m/>
    <s v="                            "/>
    <s v="John"/>
    <s v="HO3 Primary"/>
    <s v="Placer  "/>
    <s v="CA"/>
    <s v="95722"/>
    <n v="6"/>
    <n v="804000"/>
    <n v="1366800"/>
    <x v="3"/>
    <s v="2004 home in brush 87 score. $24K pipe break in 8/18. Claim closed. Agent providing proof as loss run says still open. Applying $25K water damage ded. Mold and backup requested. Insd is high profile former Indy Car racer, now ESPN broadcaster. Has home office but no exposure."/>
    <x v="0"/>
    <s v="Exclude mold. Backup ok since newer home and only one loss. Not too high profile. A ins score."/>
    <m/>
    <m/>
    <s v="Patterson"/>
  </r>
  <r>
    <x v="237"/>
    <x v="0"/>
    <s v="MI"/>
    <s v="Alexa"/>
    <m/>
    <s v="Elwood"/>
    <s v="Michael"/>
    <s v="HO3 Builders Risk"/>
    <s v="Culver"/>
    <s v="IN"/>
    <s v="46511"/>
    <n v="9"/>
    <n v="3000000"/>
    <n v="3305000"/>
    <x v="11"/>
    <s v="2018 home, will be secondary. Appears to be mid-term, as it was noted that the home was knocked down and re-built. PC9, no fencing/lighting around the property."/>
    <x v="2"/>
    <s v="Declining due to no fencing/lighting at this COC. It is a larger home, PC9, and open to others to access the property. We are mid-term, prefer to be first in line. "/>
    <m/>
    <m/>
    <s v="Busse"/>
  </r>
  <r>
    <x v="237"/>
    <x v="2"/>
    <s v="CA"/>
    <s v="Gina"/>
    <m/>
    <s v="Kao"/>
    <s v="Wei Wei"/>
    <s v="HO3 Primary"/>
    <s v="Aliso Viejo"/>
    <s v="CA"/>
    <s v="92656"/>
    <n v="3"/>
    <n v="440000"/>
    <n v="797500"/>
    <x v="1"/>
    <s v="1992 home, being non renewed by Lexington due to not being on dual street (their guidelines have changed to no longer insure these risks). Two previous water loss in 2016 due to a slab leak. "/>
    <x v="0"/>
    <s v="Not much of a concern with the no dual street issue. Response time is still low and protection class is still good. Water loss, will want to apply $10,000 water deductible. However, if aggressive repairs were not made to the slab leak, water damage should be excluded. Also, a fully completed app, current one is old and missing some questions. "/>
    <m/>
    <m/>
    <s v="Busse"/>
  </r>
  <r>
    <x v="237"/>
    <x v="2"/>
    <s v="CA"/>
    <s v="Tina"/>
    <m/>
    <s v="Mackey"/>
    <s v="Martin Haig"/>
    <s v="HO3 Primary"/>
    <s v="Sonoma"/>
    <s v="CA"/>
    <s v="95476"/>
    <n v="3"/>
    <n v="2760120"/>
    <n v="4360120"/>
    <x v="0"/>
    <s v="2006 dwelling not in brush, protected.  Max Markel TIV is $3M. "/>
    <x v="2"/>
    <s v="Reminded agt of max TIV"/>
    <m/>
    <m/>
    <s v="Patterson"/>
  </r>
  <r>
    <x v="238"/>
    <x v="0"/>
    <s v="MI"/>
    <s v="Nicole"/>
    <m/>
    <s v="Kohn"/>
    <s v="Judd"/>
    <s v="HO3 Primary"/>
    <s v="Glencoe"/>
    <s v="IL"/>
    <s v="60022"/>
    <n v="3"/>
    <n v="630990"/>
    <n v="1250438"/>
    <x v="1"/>
    <s v="1958 home w/updates to all systems. $25K water ded quoted. Good ins score. 4 losses: 7/18 shower leak $13,365; 6/18 sump pump failure $13,405; 2/18 water heater leak $43,040; 4/17 hot water pipe leak $4,034."/>
    <x v="0"/>
    <s v="OK w/water dmg exclusion, no mold, no water backup. "/>
    <m/>
    <m/>
    <s v="Patterson"/>
  </r>
  <r>
    <x v="238"/>
    <x v="2"/>
    <s v="CA"/>
    <s v="Lucas"/>
    <m/>
    <s v="Ortiz"/>
    <s v="John"/>
    <s v="HO3 Primary"/>
    <s v="Anaheim"/>
    <s v="CA"/>
    <s v="92805"/>
    <n v="2"/>
    <n v="430000"/>
    <n v="667000"/>
    <x v="6"/>
    <s v="1914 home that has had updates to plumbing and heating in 2018, roof replaced in 2003, and electrical was &quot;checked&quot; in 2018. There are 4 owners, all siblings. Had let coverage lapse and communication is &quot;poor&quot; between them on obtaining coverage. Applicant, John Ortiz, is living in full time, performing basic remodel work like painting, floors, cleaning, etc. "/>
    <x v="0"/>
    <s v="Approved since owner occupied and updates to systems. Subject to confirmation electrical status since it was only &quot;checked&quot;. Liability exclusion due to number of owners, all must be listed. Older home questionnaire and 40% debit due to lapse. Advised if anything more than minor cosmetic updates are being done this needs to be builders risk with debit to still apply. "/>
    <m/>
    <m/>
    <s v="Busse"/>
  </r>
  <r>
    <x v="239"/>
    <x v="0"/>
    <s v="MI"/>
    <s v="Jill"/>
    <m/>
    <s v="Walters "/>
    <s v="Susan"/>
    <s v="DP3 Vacant"/>
    <s v="Rancho Santa Fe"/>
    <s v="CA"/>
    <s v="92067"/>
    <n v="3"/>
    <n v="1302000"/>
    <n v="1302000"/>
    <x v="3"/>
    <s v="1961 home w/updates in 2000 per app. Original per inspection. Insd is prior actress. Agt will ck on updates, length of vacancy, etc. "/>
    <x v="0"/>
    <s v="Subj to roof update as insp indicates original 1961 tile roof. Excl should apply if this is the case. Insd not &quot;too famous&quot;. Some current roles. No adverse info. Liab on DP3 ok."/>
    <m/>
    <m/>
    <s v="Patterson"/>
  </r>
  <r>
    <x v="239"/>
    <x v="7"/>
    <s v="MI"/>
    <s v="Tyler"/>
    <m/>
    <s v="Clevenger"/>
    <s v="Tiffany &amp; Josh"/>
    <s v="HO3 Primary"/>
    <s v="Kansas City"/>
    <s v="MO"/>
    <s v="64157"/>
    <n v="1"/>
    <n v="325000"/>
    <n v="600000"/>
    <x v="1"/>
    <s v="2007 home w/6 wind losses in 8 years. NRN by Amer Family. Insd complained to Ins Dept. Also complained about their auto glass covg. No info provided by JMWilson about score, ded, rates."/>
    <x v="2"/>
    <s v="Concern with the Ins Dept complaint and what might be to come for us. Insd has policy currently w/Lloyds."/>
    <m/>
    <m/>
    <s v="Patterson"/>
  </r>
  <r>
    <x v="239"/>
    <x v="0"/>
    <s v="MI"/>
    <s v="Jeffrey"/>
    <m/>
    <s v="Peterson"/>
    <s v="Norman E"/>
    <s v="HO3 Seas/Sec"/>
    <s v="Enterprise"/>
    <s v="KS"/>
    <s v="67441"/>
    <n v="6"/>
    <n v="100000"/>
    <n v="200000"/>
    <x v="2"/>
    <s v="1940 building w/updates. No alarms, no losses. Coml building not used for business in 20 years. Relatives stay here when visiting. Shares wall w/small business. Zoned coml, but residency okay with zoning."/>
    <x v="0"/>
    <s v="Make sure seasonal use and not a vacant coml building. Need uw ? Answered on app. "/>
    <m/>
    <m/>
    <s v="Patterson"/>
  </r>
  <r>
    <x v="239"/>
    <x v="2"/>
    <s v="CA"/>
    <s v="Bobbi"/>
    <m/>
    <s v="Pinto"/>
    <s v="Pauline"/>
    <s v="HO3 Seas/Sec"/>
    <s v="Kentfield"/>
    <s v="CA"/>
    <s v="94904"/>
    <n v="1"/>
    <n v="532000"/>
    <n v="1022400"/>
    <x v="4"/>
    <s v="1956 home with minimal cast iron plumbing in for waste lines and connectors(?). Old home questionnaire confirms other systems are in good shape, but did not indicate last year updates. Quoted with $7,500 AOP ded. "/>
    <x v="4"/>
    <s v="Asked for clarification on what the connectors are. If they are just connectors for the waste line and no other portions of the plumbing, it seems to be OK to allow without needing to exclude water damage or mold coverage. "/>
    <m/>
    <m/>
    <s v="Busse"/>
  </r>
  <r>
    <x v="239"/>
    <x v="2"/>
    <s v="CA"/>
    <s v="Tina"/>
    <m/>
    <s v="Diamond"/>
    <s v="Robert"/>
    <s v="HO3 Primary"/>
    <s v="Sherman Oaks"/>
    <s v="CA"/>
    <s v="91423"/>
    <n v="2"/>
    <n v="684000"/>
    <n v="779000"/>
    <x v="6"/>
    <s v="1949 home with updates to all systems and roofing within last 15 years. No losses. Being non-renewed by Lex due to not being on dual street. In brush and rated accordingly. "/>
    <x v="1"/>
    <s v="No concerns with previous non-renewal. Home is located just off a main road, in a low PC. Approved"/>
    <m/>
    <m/>
    <s v="Busse"/>
  </r>
  <r>
    <x v="239"/>
    <x v="2"/>
    <s v="CA"/>
    <s v="Bobbi"/>
    <m/>
    <s v="Canales"/>
    <s v="Juan"/>
    <s v="HO3 Primary"/>
    <s v="Wrightwood"/>
    <s v="CA"/>
    <s v="92397"/>
    <n v="2"/>
    <n v="562500"/>
    <n v="1125000"/>
    <x v="12"/>
    <s v="Home as asbestos roofing. Agent advised they were aware of concerns with asbestos siding, but was not sure on roofing. "/>
    <x v="2"/>
    <s v="Same concerns are present with asbestos roofing as with asbestos siding. Too may concerns - liability, partial losses, valuations, etc. Declined"/>
    <m/>
    <m/>
    <s v="Busse"/>
  </r>
  <r>
    <x v="240"/>
    <x v="9"/>
    <s v="CA"/>
    <s v="Lisa"/>
    <m/>
    <s v="Lowe"/>
    <s v="Tyler &amp; Samantha"/>
    <s v="HO3 Primary"/>
    <s v="Stirling City"/>
    <s v="CA"/>
    <s v="95978"/>
    <n v="4"/>
    <n v="600000"/>
    <n v="1080000"/>
    <x v="1"/>
    <s v="1984 dwelling w/ prior $100K+ fire loss to Paradise home. Moved to new location. Photos show barn, fence, garden, grapevines. No RM. No OHQ. No updates listed."/>
    <x v="0"/>
    <s v="Did not apply loss s/c since CAT loss. Asked for confirmation about animals, crops. Roof exclusion due to no updates. OHQ needed. No RM provided, but eligible either way. "/>
    <m/>
    <m/>
    <s v="Patterson"/>
  </r>
  <r>
    <x v="240"/>
    <x v="0"/>
    <s v="MI"/>
    <s v="Rachel"/>
    <m/>
    <s v="Vasquez"/>
    <s v="Julian"/>
    <s v="HO3 Primary"/>
    <s v="Tuleta"/>
    <s v="TX"/>
    <s v="78162"/>
    <n v="9"/>
    <n v="1000000"/>
    <n v="1600000"/>
    <x v="6"/>
    <s v="2 year lapse and Insd has 6 pleasure use horses.2008 home w/ cs burglar alarm. No Cov B, No Liab. App also shows 37 cattle."/>
    <x v="0"/>
    <s v="No liab coverage. Add TBE, ensure fencing is ok, require coml policy in place. Even though no liab, could incur large defense costs. 20% surcharge for lapse."/>
    <m/>
    <m/>
    <s v="Patterson"/>
  </r>
  <r>
    <x v="240"/>
    <x v="7"/>
    <s v="MI"/>
    <s v="Lori"/>
    <m/>
    <s v="Diorio"/>
    <s v="Thomas   "/>
    <s v="HO3 Seas/Sec"/>
    <s v="Malvern"/>
    <s v="OH"/>
    <s v="44644"/>
    <s v="5Y/9"/>
    <n v="1000000"/>
    <n v="1120000"/>
    <x v="7"/>
    <s v="Agent needed second opinion on the risk due to being fairly new quoting with us. $1M+ TIV, used as secondary while insured sells PA home. "/>
    <x v="0"/>
    <s v="All within agents authority. 2 issues found: Not PC8. I ran PPC - it is a 5Y which is 10% higher rate. Also, agt says secondary, but she added rental forms. Advised to remove, or ensure it is rated sec w/rental."/>
    <m/>
    <m/>
    <s v="Patterson"/>
  </r>
</pivotCacheRecords>
</file>

<file path=xl/pivotCache/pivotCacheRecords2.xml><?xml version="1.0" encoding="utf-8"?>
<pivotCacheRecords xmlns="http://schemas.openxmlformats.org/spreadsheetml/2006/main" xmlns:r="http://schemas.openxmlformats.org/officeDocument/2006/relationships" count="1207">
  <r>
    <x v="0"/>
    <x v="0"/>
    <s v="MI"/>
    <s v="Delta"/>
    <s v="Email"/>
    <s v="Myers, Richard"/>
    <m/>
    <s v="HO3 Primary"/>
    <s v="Haysville"/>
    <s v="KS"/>
    <n v="2"/>
    <n v="143000"/>
    <n v="256100"/>
    <s v="Business on premises"/>
    <s v="1955 home fully updated. NRN due to prior wind and 2 hail losses. All near or under $7K. 3% wind/hail ded. Insd has in home hair salon. GL; total business excl"/>
    <x v="0"/>
    <s v="Confirm roof update; ensure insured understands roof excl; confirm no other salon type exposures (tanning etc.)"/>
    <m/>
    <m/>
    <s v="Patterson"/>
  </r>
  <r>
    <x v="0"/>
    <x v="0"/>
    <s v="MI"/>
    <s v="Delta"/>
    <s v="Email"/>
    <s v="Rodriguez, Maria"/>
    <m/>
    <s v="HO3 Primary"/>
    <m/>
    <m/>
    <m/>
    <m/>
    <m/>
    <s v="Fireplace primary heat"/>
    <s v="Delta advised inspection revealed primary heat is fireplace insert. She is verifying DNOC is the proper action. "/>
    <x v="1"/>
    <m/>
    <m/>
    <m/>
    <s v="Patterson"/>
  </r>
  <r>
    <x v="0"/>
    <x v="0"/>
    <s v="MI"/>
    <s v="Delta"/>
    <s v="Email"/>
    <s v="Babbit, Jamie"/>
    <m/>
    <s v="HO3 Primary"/>
    <s v="Topanga"/>
    <s v="CA"/>
    <n v="4"/>
    <n v="750000"/>
    <n v="1425000"/>
    <s v="High profile"/>
    <s v="1956 home fully updated in 2010. Insured is writer/producer/director. Nothing controversial/concerning found in news."/>
    <x v="0"/>
    <s v="Agreed to write with liability but no personal injury (therefore no umbrella)."/>
    <m/>
    <m/>
    <s v="Patterson"/>
  </r>
  <r>
    <x v="0"/>
    <x v="0"/>
    <s v="MI"/>
    <s v="Delta"/>
    <s v="Email"/>
    <s v="Guma, Linda"/>
    <m/>
    <s v="DP3 COC"/>
    <s v="Livermore "/>
    <s v="CA"/>
    <m/>
    <n v="2000000"/>
    <n v="2075000"/>
    <s v="Lapse. "/>
    <s v="2016 home. COC. Insured didn't realize there was no coverage on the house. Getting a loan and now realized."/>
    <x v="0"/>
    <s v="15% lapse and tail end constr surcharge on $5761 premium."/>
    <m/>
    <m/>
    <s v="Patterson"/>
  </r>
  <r>
    <x v="0"/>
    <x v="0"/>
    <s v="MI"/>
    <s v="Delta"/>
    <s v="Email"/>
    <s v="Reedy, Elaine"/>
    <m/>
    <s v="HO3 Primary"/>
    <s v="Orange Beach"/>
    <s v="AL"/>
    <m/>
    <n v="255000"/>
    <m/>
    <s v="Rate relief for renewal"/>
    <s v="Agent asking if we can match expiring premium of $4007. Renewal prem is $5837. Average risk"/>
    <x v="0"/>
    <s v="Increase due to AAL rating. Explained we did not implement caps or stair-stepped incr/decr."/>
    <m/>
    <m/>
    <s v="Patterson"/>
  </r>
  <r>
    <x v="0"/>
    <x v="1"/>
    <s v=" "/>
    <s v="Andrea"/>
    <s v="Email"/>
    <s v="Martin Fotini LLC"/>
    <m/>
    <s v="DP3 Vacant"/>
    <s v="Manchester"/>
    <s v="CT"/>
    <m/>
    <n v="310564"/>
    <n v="341620"/>
    <s v="3rd vacant term"/>
    <s v="Insured is updating and will be renting in the next year."/>
    <x v="0"/>
    <s v="Too late to NRN. Added 15% surcharge. Confirmed $2500 ded."/>
    <m/>
    <m/>
    <s v="Patterson"/>
  </r>
  <r>
    <x v="0"/>
    <x v="1"/>
    <m/>
    <s v="Nichole/Andrea"/>
    <s v="Email"/>
    <s v="Bayview Drive Trust "/>
    <m/>
    <s v="DP3 Rental"/>
    <s v="Bar Harbor"/>
    <s v="ME"/>
    <n v="10"/>
    <m/>
    <m/>
    <s v="2 rentals on same property"/>
    <s v="Insured has 2 rentals. Agent asking to place on same property. PC10"/>
    <x v="2"/>
    <s v="Asked for more info on PC10 and numerous questions about dwellings to determine if they can go on same policy or if it should be separate."/>
    <s v="Numerous emails finally resolved."/>
    <m/>
    <s v="Patterson"/>
  </r>
  <r>
    <x v="0"/>
    <x v="2"/>
    <s v=" "/>
    <s v="Alison"/>
    <s v="Email"/>
    <s v="Kao, Wayne"/>
    <m/>
    <s v="DP3 Rental"/>
    <s v="Los Angeles"/>
    <s v="CA"/>
    <n v="2"/>
    <n v="3500000"/>
    <n v="4550000"/>
    <s v="High profile"/>
    <s v="Looking for liab coverage; primary home TIV is $12Mil so placing elsewhere, interested in 3 other properties w/liab. Client is in the music industry. Seems to be currently active, with links to  high-profile artists and events"/>
    <x v="2"/>
    <s v="Risk has a lot of links to high-profiles in entertainment industry, a few negative remarks on a personal level. Not comfortable offering w/liab"/>
    <s v="Agt may submit 3 of risks prop x-liab/approved by Kirsten"/>
    <m/>
    <s v="Patterson"/>
  </r>
  <r>
    <x v="0"/>
    <x v="2"/>
    <s v=" "/>
    <s v="Alison"/>
    <s v="Email"/>
    <s v="Kao, Wayne"/>
    <m/>
    <s v="DP3 Rental"/>
    <s v="Los Angeles"/>
    <s v="CA"/>
    <n v="2"/>
    <n v="325000"/>
    <n v="422000"/>
    <s v="High profile"/>
    <s v="Looking for liab coverage; primary home TIV is $12Mil so placing elsewhere, interested in 3 other properties w/liab. Client is in the music industry. Seems to be currently active, with links to  high-profile artists and events"/>
    <x v="2"/>
    <s v="Risk has a lot of links to high-profiles in entertainment industry, a few negative remarks on a personal level. Not comfortable offering w/liab"/>
    <s v="Agt may submit 3 of risks prop x-liab/approved by Kirsten"/>
    <m/>
    <s v="Patterson"/>
  </r>
  <r>
    <x v="1"/>
    <x v="0"/>
    <s v="MI"/>
    <s v="Delta"/>
    <s v="Email"/>
    <s v="Bailey, Wallace"/>
    <m/>
    <s v="HO3 Primary"/>
    <s v="Fort Collins"/>
    <s v="CO"/>
    <n v="3"/>
    <n v="325000"/>
    <n v="345000"/>
    <s v="Business on premises"/>
    <s v="1974 home w/12 updated roof. Son repairs coffee machines for franchise. No traffic. Has GL and garage insured. Agnt excluding oth str and adding total business excl."/>
    <x v="1"/>
    <m/>
    <m/>
    <m/>
    <s v="Patterson"/>
  </r>
  <r>
    <x v="1"/>
    <x v="0"/>
    <s v="MI"/>
    <s v="Delta"/>
    <s v="Email"/>
    <s v="Hockin, John"/>
    <m/>
    <s v="HO3 Primary"/>
    <m/>
    <s v="CA"/>
    <n v="10"/>
    <n v="1500000"/>
    <n v="2300000"/>
    <s v="PC10/TIV"/>
    <s v="2008 frame home in brush, alarms, 10 min response. 11 min 6.1 mi confirmed via internet search. Per form, visible to neighbors, paid FD"/>
    <x v="0"/>
    <s v="Subj to brush clearance confirmation"/>
    <m/>
    <m/>
    <s v="Patterson"/>
  </r>
  <r>
    <x v="1"/>
    <x v="2"/>
    <m/>
    <s v="Bobbi"/>
    <s v="Email"/>
    <s v="Hanley, Quincey (Schoolboy Q)"/>
    <m/>
    <s v="HO3 Primary"/>
    <s v="Calabasas"/>
    <s v="CA"/>
    <n v="4"/>
    <n v="2300000"/>
    <n v="3910000"/>
    <s v="High profile"/>
    <s v="Insured is famous and current rapper Schoolboy Q. Online info and nature of occupation indicates some red flags."/>
    <x v="3"/>
    <s v="Decline property and liability.  "/>
    <m/>
    <m/>
    <s v="Patterson"/>
  </r>
  <r>
    <x v="2"/>
    <x v="2"/>
    <m/>
    <s v="Alison"/>
    <s v="Email/Call"/>
    <s v="Foral, David"/>
    <m/>
    <s v="HO3 Seasonal"/>
    <s v="Big Bear Lake"/>
    <s v="CA"/>
    <n v="3"/>
    <n v="450000"/>
    <n v="765000"/>
    <s v="High profile"/>
    <s v="1969 home. No info on updates. Insured is guitarist for Dirty Heads. Regae band. This is his seasonal. We bet it is for snowboarding. Online info okay. Ran by Jeff."/>
    <x v="0"/>
    <s v="Confirm updates/possible roof excl."/>
    <m/>
    <m/>
    <s v="Patterson"/>
  </r>
  <r>
    <x v="2"/>
    <x v="2"/>
    <m/>
    <s v="Alex"/>
    <s v="Call"/>
    <s v="Ghouth, Saad"/>
    <m/>
    <s v="DP3 Vacant"/>
    <m/>
    <m/>
    <m/>
    <m/>
    <m/>
    <s v="Vacancy clause/occupancy"/>
    <s v="Rated as vacant. Insd lives in home 3 months during summer, otherwise out of state. Good precautions (alarm, water off, cameras.) Gardener there weekly. Son checks on weekly. Existing policy."/>
    <x v="1"/>
    <m/>
    <m/>
    <m/>
    <s v="Patterson"/>
  </r>
  <r>
    <x v="3"/>
    <x v="3"/>
    <s v="AL"/>
    <s v="Janet"/>
    <s v="Email"/>
    <m/>
    <m/>
    <m/>
    <m/>
    <m/>
    <m/>
    <m/>
    <m/>
    <s v="Log homes"/>
    <s v="Janet inquired whether we write log homes and what our underwriting and rating direction is. Discussed in response."/>
    <x v="0"/>
    <s v="Review Cov A;  get manufacturer/builder name; 10% s/c in rater."/>
    <m/>
    <m/>
    <s v="Patterson"/>
  </r>
  <r>
    <x v="3"/>
    <x v="0"/>
    <s v="MI"/>
    <s v="Delta"/>
    <s v="Email"/>
    <s v="Lawrence, David"/>
    <m/>
    <s v="HO6 Primary"/>
    <s v="Burbank"/>
    <s v="CA"/>
    <n v="1"/>
    <n v="41000"/>
    <n v="188000"/>
    <s v="High profile"/>
    <s v="Insured is TV actor. No concern with lifestyle. Low cov A, modest condo. Liab not a concern. Not in brush. 3 prior water losses under $5K. $5K water damage ded quoted."/>
    <x v="1"/>
    <m/>
    <m/>
    <m/>
    <s v="Patterson"/>
  </r>
  <r>
    <x v="3"/>
    <x v="1"/>
    <s v="  "/>
    <s v="Andrea"/>
    <s v="Email"/>
    <s v="Scorza, Ralph"/>
    <m/>
    <s v="HO3 Primary"/>
    <s v="Shepherdstown"/>
    <s v="WV"/>
    <n v="6"/>
    <n v="240000"/>
    <n v="408000"/>
    <s v="Open Claim"/>
    <s v="1981 home with 2 losses. Water-washer overflow 6/14; propane explosion 10/16-claim still open. Insured making jewelry and spark exploded propane tank. Work underway by busy contractor who found additional damage on recent visit."/>
    <x v="3"/>
    <s v="Not comfortable taking on risk that has work underway and not all damage is discovered."/>
    <m/>
    <m/>
    <s v="Patterson"/>
  </r>
  <r>
    <x v="3"/>
    <x v="2"/>
    <m/>
    <s v="Alison"/>
    <s v="Email"/>
    <s v="Tehranchi, Kambiz"/>
    <m/>
    <s v="HO3 Primary"/>
    <m/>
    <m/>
    <m/>
    <m/>
    <m/>
    <s v="Bankruptcy"/>
    <s v="Agent applied in Jan 2016 for coverage. We found vague online info, asked questions, and no reply was received. Now retailer wants quote again stating bankruptcy was ch 11, business related, not a concern."/>
    <x v="3"/>
    <s v="Ran insurance score. Insd has 2 bankruptcies: Ch 11 Business in 2010 and Ch 11 Personal in 2015. Advised of decline."/>
    <m/>
    <m/>
    <s v="Patterson"/>
  </r>
  <r>
    <x v="3"/>
    <x v="4"/>
    <s v="CO"/>
    <s v="Allison"/>
    <s v="Email"/>
    <s v="Naylor, Mary"/>
    <m/>
    <s v="DP1 Vacant"/>
    <s v="Denver"/>
    <s v="CO"/>
    <n v="2"/>
    <n v="1500000"/>
    <n v="1620000"/>
    <s v="Vacant w/damage"/>
    <s v="1896 home w/updates. Prior water loss and fire loss. Damage cleaned out but not repaired from fire. Dwelling up for sale as is. Special agency connection for our partner. Wants to offer DP1 ACV 3 month term no endorsements, 20% surcharge. Getting photos and fire marshall confirmation. Online search shows no suspicious concern w/fire."/>
    <x v="0"/>
    <s v="30% surcharge, fire marshall report, confirm condition w/photos. One 3 month term only. $10K AOP "/>
    <s v="Due to special agency connection (details in file) and additional rate, felt comfortable making the exception. Online, insd still shows licensed for assisted living."/>
    <m/>
    <s v="Patterson"/>
  </r>
  <r>
    <x v="4"/>
    <x v="1"/>
    <m/>
    <s v="Nichole"/>
    <s v="Email"/>
    <s v="Hassanein, Eissa"/>
    <m/>
    <s v="HO3 Primary"/>
    <m/>
    <m/>
    <m/>
    <m/>
    <m/>
    <s v="Sinkhole coverage available?"/>
    <s v="Insured wants to add sinkhole coverage for a home in Bethlehem PA."/>
    <x v="3"/>
    <s v="We do not currently have rates available. Asked if we needed to."/>
    <m/>
    <m/>
    <s v="Patterson"/>
  </r>
  <r>
    <x v="4"/>
    <x v="2"/>
    <m/>
    <s v="Alison"/>
    <s v="Email"/>
    <s v="Lai Le, Bong"/>
    <m/>
    <s v="DP3 Rental"/>
    <s v="Rancho Santa Fe"/>
    <s v="CA"/>
    <n v="3"/>
    <n v="3267000"/>
    <n v="4247100"/>
    <s v="Primary now rental"/>
    <s v="1955 home, no update info, but online looks excellent. Not in brush. Was primary, now on short term lease to one person and insd has home up for sale."/>
    <x v="0"/>
    <s v="Subj to update info."/>
    <m/>
    <m/>
    <s v="Patterson"/>
  </r>
  <r>
    <x v="4"/>
    <x v="2"/>
    <m/>
    <s v="Alison"/>
    <s v="Email"/>
    <m/>
    <m/>
    <s v="DP3 COC"/>
    <m/>
    <m/>
    <m/>
    <m/>
    <m/>
    <s v="Insured is GC"/>
    <s v="Alison quoted a risk and bind order received for COC. Originally insured stated hiring licensed contractors. At time of bind, advised they were going to be the GC and hire licensed subs. Advised we cannot write the risk."/>
    <x v="3"/>
    <m/>
    <m/>
    <m/>
    <s v="Patterson"/>
  </r>
  <r>
    <x v="4"/>
    <x v="2"/>
    <m/>
    <s v="Alison"/>
    <s v="Email"/>
    <s v="Walters, Amy"/>
    <m/>
    <s v="HO3 COC"/>
    <s v="Beverly Hills"/>
    <s v="CA"/>
    <m/>
    <m/>
    <m/>
    <s v="Over $50M cap"/>
    <s v="Risk was in the pipeline of quoting with several others from Beverly Hill. Several hit with bind requests. This is one of them. Agency has exceeded $50M Cap. I ok'd this one being written since it was in the pipeline."/>
    <x v="1"/>
    <m/>
    <m/>
    <m/>
    <s v="Patterson"/>
  </r>
  <r>
    <x v="4"/>
    <x v="2"/>
    <m/>
    <s v="Alison"/>
    <s v="Email"/>
    <s v="Prajapati, Sadhana"/>
    <m/>
    <s v="HO3 Primary"/>
    <s v="Pomona"/>
    <s v="CA"/>
    <m/>
    <m/>
    <m/>
    <s v="Dog bite open claim "/>
    <s v="Insureds hound mix bit another person whil hiking w/the owner. Safeco NRN. $50K open claim. "/>
    <x v="0"/>
    <s v="Subj to completed and acceptable UW questions on app. Animal liab may apply but need to ensure insured understands the exclusions of the coverage."/>
    <m/>
    <m/>
    <s v="Patterson"/>
  </r>
  <r>
    <x v="4"/>
    <x v="4"/>
    <s v="CO"/>
    <s v="Ashley"/>
    <s v="Email"/>
    <s v="Sponseller, Nathan"/>
    <m/>
    <s v="HO3 Seasonal w/Rental"/>
    <s v="Crawford"/>
    <s v="CO"/>
    <n v="5"/>
    <n v="350000"/>
    <n v="537000"/>
    <s v="Personal liability on home with rental"/>
    <s v="1907 home w/updates. Masonry w/metal roof. Insd rents out 2 rooms (w/own entrances). Was full time inn at one time. Confirmed online sources it is just 2 rooms rented. "/>
    <x v="1"/>
    <s v="Approved for personal liab since insd lives there too - no other source."/>
    <m/>
    <m/>
    <s v="Patterson"/>
  </r>
  <r>
    <x v="5"/>
    <x v="0"/>
    <s v="MI"/>
    <s v="Delta"/>
    <s v="Email"/>
    <s v="Canepa, Douglas"/>
    <m/>
    <s v="DP3 Rental"/>
    <s v="Glen Ellen"/>
    <s v="CA"/>
    <n v="4"/>
    <n v="500000"/>
    <n v="615000"/>
    <s v="Farming on premises/Open loss"/>
    <s v="1994 dwelling in brush. It is a rental. The insured farms 3.1 acres of fruit and vegetables for the market owned by his family. Open loss - 6/1/16 water damage - fridge line broke. $23,777 paid. Online sources show 1991 yoc. WBS in insp photo. App from 2014."/>
    <x v="2"/>
    <s v="Resolve water loss - how far along? Why still open. If okay, approve subj to: • Add Total Business Exclusion (BWD0185).  Compliance is getting us a copy of the form.  Will forward as soon as I get it from them.  Similar to BWH0185._x000a_• Check year of construction. Online sources list this as a 1991 unit https://www.homeinfomax.com/property-records/397209718/13240-arnold-dr-glen-ellen-ca-95442/sonoma-county_x000a_• Inspection shows a woodburning stove.  Need current and acceptable woodstove questionnaire._x000a_• App is from 2014.  Need current and acceptable application._x000a_2/1/17- damages now repaired, claim closed. Approved/subj to listed items."/>
    <m/>
    <m/>
    <s v="Patterson"/>
  </r>
  <r>
    <x v="5"/>
    <x v="0"/>
    <s v="MI"/>
    <s v="Delta"/>
    <s v="Email"/>
    <s v="Kleine, Robert"/>
    <m/>
    <s v="HO3 Primary"/>
    <s v="Dana Pointe"/>
    <s v="CA"/>
    <n v="3"/>
    <n v="1800000"/>
    <n v="3240000"/>
    <s v="TIV"/>
    <s v="2004 home not in brush, alarms, 2 prior water losses in 2016 $2620 and $42,401. Home replumbed after loss."/>
    <x v="1"/>
    <s v="Since home is newer and has been replumbed, advised agent they could use some discretionary credit if needed."/>
    <m/>
    <m/>
    <s v="Patterson"/>
  </r>
  <r>
    <x v="5"/>
    <x v="0"/>
    <s v="MI"/>
    <s v="Delta"/>
    <s v="Email"/>
    <s v="Shah, Bankim"/>
    <m/>
    <s v="HO3 Primary"/>
    <s v="Poway"/>
    <s v="CA"/>
    <n v="3"/>
    <n v="2940000"/>
    <n v="4410000"/>
    <s v="TIV"/>
    <s v="2015 home, full alarms. (Noted in brush, but RM says no brush) Found numerous online articles with same name Bankim Shah. Slum lord, horrible dwellings, 90+ properties, lawsuits."/>
    <x v="3"/>
    <s v="Forwarded URL's to the underwriter to confirm if this is the same person. If so, we will pass due to increased moral and morale hazard. Also high profile and target risk."/>
    <m/>
    <m/>
    <s v="Patterson"/>
  </r>
  <r>
    <x v="5"/>
    <x v="2"/>
    <m/>
    <s v="Alex"/>
    <s v="Email/Call"/>
    <s v="Norris, Daniel"/>
    <m/>
    <s v="HO3 Primary"/>
    <s v="North Hollywood"/>
    <s v="CA"/>
    <m/>
    <n v="600000"/>
    <n v="1500000"/>
    <s v="Credit for Water Dmg Excl"/>
    <s v="1940 home w/updates. Very nice online photos. 2 water damage losses in 3 years. $9K and $12K. Agt quoted w/2 loss surcharge and $7500 ded for $3000 rate. Losses unrelated and do not show lack of maintenance. Plumbing was updated. One loss is bath pipes, one is dishwasher. Agent asking for pricing relief. "/>
    <x v="0"/>
    <s v="Approved w/13% credit which is about what they would get if we removed one loss. Feel we didn't &quot;require&quot; the excl, would have taken the risk. They are helping us. Looks like a nice risk overall."/>
    <m/>
    <m/>
    <s v="Patterson"/>
  </r>
  <r>
    <x v="6"/>
    <x v="0"/>
    <s v="MI"/>
    <s v="Danielle"/>
    <s v="Email/Call"/>
    <s v="Merritt, Jeffrey"/>
    <m/>
    <m/>
    <m/>
    <m/>
    <m/>
    <m/>
    <m/>
    <s v="Asbestos siding - stay on 'til renewal"/>
    <s v="DNOC sent after insp showed asbestos siding. Turns out it was on the app and missed. Danielle has addressed with UW. Agent wants DNOC lifted and NRN sent later. 15% asbestos. No cracking/crumbling. Okay condition."/>
    <x v="1"/>
    <m/>
    <m/>
    <m/>
    <s v="Patterson"/>
  </r>
  <r>
    <x v="6"/>
    <x v="5"/>
    <s v="NC"/>
    <s v="Anella"/>
    <s v="Email/Call"/>
    <s v="Walters, Scott"/>
    <m/>
    <s v="HO3 Primary"/>
    <s v="New Bern"/>
    <s v="NC"/>
    <s v="1-6"/>
    <n v="250000"/>
    <n v="450000"/>
    <s v="Older roof"/>
    <s v="1919 home w/original roof. Inspected, painted, sealed regularly. Last done in 2012. Online photos look great. Plumb part updated in 2012. Question about prior carrier."/>
    <x v="2"/>
    <s v="Asked Anella for info on plumbing and prior carrier. Will approve If it checks out. Reviewed risk w/Tim. Plumbing is updated. Confirm at inspection. Not nonrenewed."/>
    <m/>
    <m/>
    <s v="Patterson"/>
  </r>
  <r>
    <x v="7"/>
    <x v="0"/>
    <s v="MI"/>
    <s v="Matt"/>
    <s v="Email/Call"/>
    <s v="All4Love LLC"/>
    <m/>
    <s v="HO3 Primary"/>
    <s v="Weatherford"/>
    <s v="TX"/>
    <s v="9"/>
    <n v="750000"/>
    <n v="1500000"/>
    <s v="Business on premises/TIV"/>
    <s v="Home, Pool House, Guest House and separately, Commercial buildings and warehouses for insureds 2 businesses - door design and custom builder. Matt sent appraisal and aerial. All looks good."/>
    <x v="0"/>
    <s v="Subj to building excl on each coml bldg and Total Business Excl.  Approved $3K over TIV limit."/>
    <s v="Gave approval for renewal terms w/ same subjectivities. K.Burdine 12/15/17"/>
    <m/>
    <s v="Patterson"/>
  </r>
  <r>
    <x v="7"/>
    <x v="0"/>
    <s v="MI"/>
    <s v="Delta"/>
    <s v="Email"/>
    <s v="Bengard, Thomas"/>
    <m/>
    <s v="HO3 Secondary"/>
    <s v="Big Bear Lake"/>
    <s v="CA"/>
    <s v="3"/>
    <n v="1800000"/>
    <n v="3133000"/>
    <s v="TIV"/>
    <s v="1999 frame home not in brush. Alarmed. 2 bath tub leak losses for prior owner. Tub replaced, all damages repaired. 2 losses on claims report were prior owners. Confirmed by running A+ report. This is listed as a new purchase."/>
    <x v="1"/>
    <m/>
    <m/>
    <m/>
    <s v="Patterson"/>
  </r>
  <r>
    <x v="7"/>
    <x v="0"/>
    <s v="MI"/>
    <s v="Delta"/>
    <s v="Email"/>
    <s v="Greenberg, Robert"/>
    <m/>
    <s v="HO3 Seasonal"/>
    <s v="North Fork"/>
    <s v="CA"/>
    <s v="10"/>
    <n v="1043000"/>
    <n v="1668800"/>
    <s v="TIV"/>
    <s v="1998 frame home in PC10. 10 min response time per agt. In brush, alarms. Can't find &quot;Madera&quot; fire department within 3.97/10 min resp per PC quest. Madera is about 50 miles away?"/>
    <x v="0"/>
    <s v="Subj to confirmation of FD location.//gave approval to renew, Cov A needs to go up $30K per inspection.K burdine 12/11/17"/>
    <m/>
    <m/>
    <s v="Patterson"/>
  </r>
  <r>
    <x v="7"/>
    <x v="1"/>
    <m/>
    <s v="Lisa"/>
    <s v="Email"/>
    <m/>
    <m/>
    <s v="HO3 COC"/>
    <m/>
    <m/>
    <m/>
    <m/>
    <m/>
    <s v="No GC on project"/>
    <s v="Insured is having home renovated by a licensed/insured contractor but there is not specifically a &quot;GC&quot;."/>
    <x v="1"/>
    <s v="Subs are not always needed. As long as person in charge is a contractor (and it is not the insured), we are okay."/>
    <m/>
    <m/>
    <s v="Patterson"/>
  </r>
  <r>
    <x v="7"/>
    <x v="2"/>
    <m/>
    <s v="Alison"/>
    <s v="Email"/>
    <s v="Youdai, Jack"/>
    <m/>
    <s v="HO3 Seasonal"/>
    <s v="Malibu"/>
    <s v="CA"/>
    <s v="4"/>
    <n v="1800000"/>
    <n v="3060000"/>
    <s v="TIV"/>
    <s v="1997 home updated in 2015. In Renie fire zone. Beautiful online photos. UW? Not completely answered."/>
    <x v="0"/>
    <s v="Answer uw questions."/>
    <m/>
    <m/>
    <s v="Patterson"/>
  </r>
  <r>
    <x v="7"/>
    <x v="2"/>
    <m/>
    <s v="Alison"/>
    <s v="Email/Call"/>
    <s v="Rockrose Investments LLC"/>
    <m/>
    <s v="DP3 Rental"/>
    <s v="Pacific Palisades"/>
    <s v="CA"/>
    <m/>
    <n v="1900000"/>
    <n v="2490000"/>
    <s v="Named insured "/>
    <s v="NI is 2 LLC's and a Trust. 1955 home updated in 2005. Nice online pix. Agt getting info on members of LLC/Trust. Also checking is this a flip? Agt mentioned 1031 Exchange which made us ask about that."/>
    <x v="2"/>
    <s v="Reviewed file. Agent quoting contingent on supplemental for all 3 parties."/>
    <m/>
    <m/>
    <s v="Patterson"/>
  </r>
  <r>
    <x v="7"/>
    <x v="2"/>
    <m/>
    <s v="Alison"/>
    <s v="Email"/>
    <s v="Nourijanyan"/>
    <m/>
    <s v="HO3 Primary"/>
    <m/>
    <m/>
    <m/>
    <n v="450000"/>
    <m/>
    <s v="Prior losses"/>
    <s v="Home has 2 prior theft claims: 2014 $20K; 2015 $15K. Many homes broken into in the neighborhood. Insd has since added alarms. Quoting with $10-$15K deductible."/>
    <x v="0"/>
    <s v="Agent verifying if any high valued handbags or scheduled items. Has probably $35,000 in purses. Not a limited class. No SPP class. Not sure we want to schedule."/>
    <s v="Advised agent we are not scheduling. Cov C. Charge for losses."/>
    <m/>
    <s v="Patterson"/>
  </r>
  <r>
    <x v="8"/>
    <x v="0"/>
    <s v="MI"/>
    <s v="Matt"/>
    <s v="Call"/>
    <s v="Muglia, Pamela"/>
    <m/>
    <s v="HO3 Primary"/>
    <m/>
    <s v="VA"/>
    <m/>
    <n v="770000"/>
    <m/>
    <s v="Questionable attached structure"/>
    <s v="1970's home attached by breezeway to 3 story 1892 grist mill. Insured wants to insure living structure home only. There is a firewall."/>
    <x v="3"/>
    <s v="Discussed w/Matt. Concern if there was a fire in the attached 3 story grist mill, it would topple onto the living structure - firewall wouldn't help. Decided it was best to pass. "/>
    <m/>
    <m/>
    <s v="Patterson"/>
  </r>
  <r>
    <x v="8"/>
    <x v="0"/>
    <s v="GA"/>
    <s v="Donna"/>
    <s v="Email"/>
    <m/>
    <m/>
    <s v="DP3 Rental"/>
    <m/>
    <s v="NC"/>
    <m/>
    <m/>
    <m/>
    <s v="Short term rental"/>
    <s v="Insured wants to rent out their home for the PGA for 2 weeks. They have an admitted policy in force. Any options."/>
    <x v="4"/>
    <s v="Provided some input about occupancy, duplicate policies, options the admitted carrier could consider and offered to continue discussions."/>
    <m/>
    <m/>
    <s v="Patterson"/>
  </r>
  <r>
    <x v="8"/>
    <x v="1"/>
    <m/>
    <s v="Tamika"/>
    <s v="Email/Call"/>
    <s v="Mason, Violet"/>
    <m/>
    <s v="HO3 Primary"/>
    <s v="Inwood "/>
    <s v="WV"/>
    <m/>
    <n v="189000"/>
    <m/>
    <s v="Prior loss  "/>
    <s v="2016 home. Risk suffered a not at fault electrical fire $400K in 2015. Fire Marshall report provided. Lapse since November since insd couldn't find coverage. Agent will get no loss letter."/>
    <x v="2"/>
    <s v="Declined at this time. News story online http://www.your4state.com/news/news/early-morning-fire-leaves-family-displaced/252561622 refers to &quot;Powers&quot; family. App is in name of Violet Mason. Also, no name/addr on Fire report. We only got page 18 and 19."/>
    <s v="Powers is her son in law and daughter who are residents. Full Fire Report received - checks out. Ins Score good. Advised ok w/20% s/c - 10 for lapse, 10 for total loss size."/>
    <m/>
    <s v="Patterson"/>
  </r>
  <r>
    <x v="8"/>
    <x v="2"/>
    <m/>
    <s v="Melissa"/>
    <s v="Email/Call"/>
    <s v="HUCAH1500000761"/>
    <m/>
    <s v="HO3 Primary"/>
    <m/>
    <m/>
    <m/>
    <m/>
    <m/>
    <s v="Common area concern"/>
    <s v="Inspection showed and described what looked like a common walkway and pool gate on the insured's property.  Further investigation revealed this is not the case. This is insured's walkway only, and door in their yard is used by them to get to the pool entrance."/>
    <x v="1"/>
    <m/>
    <m/>
    <m/>
    <s v="Patterson"/>
  </r>
  <r>
    <x v="8"/>
    <x v="2"/>
    <m/>
    <s v="Alex"/>
    <s v="Email/Call"/>
    <s v="Blum, Deborah"/>
    <m/>
    <s v="HO3 Primary w/Rental"/>
    <s v="Beverly Hills"/>
    <s v="CA"/>
    <s v="3"/>
    <n v="2447000"/>
    <n v="3377425"/>
    <s v="Pricing "/>
    <s v="1913 home updated, nice photos per inspection. Insured occasionally rents out guest house and a room in their house.  We are competitive w/ Lloyds w/a 5% credit. Good agent risk looks nice. Insured would be home during any rental"/>
    <x v="0"/>
    <s v="Allowed 5% credit to compete w/Lloyds policy."/>
    <m/>
    <m/>
    <s v="Patterson"/>
  </r>
  <r>
    <x v="8"/>
    <x v="2"/>
    <m/>
    <s v="Alison"/>
    <s v="Email/Call"/>
    <s v="Dahlberg, John"/>
    <m/>
    <s v="HO3 Builders Risk"/>
    <m/>
    <m/>
    <s v="4"/>
    <n v="1700000"/>
    <n v="2970000"/>
    <s v="TIV"/>
    <s v="Agent wanted approval in case TIV increases after retailer discusses w/insured. Risk looks good. COC. 2003 home."/>
    <x v="1"/>
    <m/>
    <m/>
    <m/>
    <s v="Patterson"/>
  </r>
  <r>
    <x v="9"/>
    <x v="0"/>
    <s v="MI"/>
    <s v="Ben"/>
    <s v="Email"/>
    <s v="Glosser, Antoinette"/>
    <m/>
    <s v="HO8 Primary w/Rental"/>
    <s v="Johnstown"/>
    <s v="PA"/>
    <s v="4"/>
    <n v="237000"/>
    <n v="402900"/>
    <s v="Occupancy"/>
    <s v="1950 home w/partial updates, flat roof new in 2004. Top floor owner occupied. 3 units on 1st floor mix of rental, vacant and storage. Has a separate address as door opens on another street."/>
    <x v="0"/>
    <s v="Increase ded. Is this a lapse? Check wire,plumb,heat carefully due to partial update, 1950."/>
    <m/>
    <m/>
    <s v="Patterson"/>
  </r>
  <r>
    <x v="9"/>
    <x v="2"/>
    <m/>
    <s v="Alison"/>
    <s v="Email/Call"/>
    <s v="Parks, Michael"/>
    <m/>
    <s v="DP3 Rental COC"/>
    <s v="Encino"/>
    <s v="CA"/>
    <s v="2"/>
    <n v="1500000"/>
    <n v="1670000"/>
    <s v="COC w/tenant"/>
    <s v="Unique situation - home is being renovated while it is tenant occupied. Agent confirmed this is the case. She was going to credit due to occupancy (vacant rate) but we decided since rate is pretty good, we would not apply a credit."/>
    <x v="3"/>
    <s v="No credit to rate.  1/25/17 found out insured will be acting as their own GC. Withdrew terms."/>
    <m/>
    <m/>
    <s v="Patterson"/>
  </r>
  <r>
    <x v="10"/>
    <x v="2"/>
    <m/>
    <s v="Bobbi"/>
    <s v="Email"/>
    <s v="Austin, Richard &amp; Sandi"/>
    <m/>
    <s v="HO3 Primary"/>
    <m/>
    <m/>
    <m/>
    <m/>
    <m/>
    <s v="Backdate"/>
    <s v="Home closing was on 1/10/17. Agency just advised of bind request (mortgage fault). "/>
    <x v="0"/>
    <s v="Need no loss letter."/>
    <m/>
    <m/>
    <s v="Patterson"/>
  </r>
  <r>
    <x v="10"/>
    <x v="4"/>
    <s v="CO"/>
    <s v="Allison"/>
    <s v="Email"/>
    <s v="Neubeiser, Evan"/>
    <m/>
    <s v="HO3 Builders Risk"/>
    <s v="Breckenridge"/>
    <s v="CO"/>
    <s v="4"/>
    <n v="754000"/>
    <n v="1200000"/>
    <s v="Mid-term COC w/lapse"/>
    <s v="Insured had 2 water claims and decided to renovate. Home is gutted and will add 700 SF addition. Coverage lapsed yesterday. "/>
    <x v="0"/>
    <s v="Approved subject to lapse surcharge and midterm COC surcharge. 10% total"/>
    <m/>
    <m/>
    <s v="Patterson"/>
  </r>
  <r>
    <x v="11"/>
    <x v="2"/>
    <m/>
    <s v="Melissa"/>
    <s v="Email"/>
    <s v="Clow, John"/>
    <m/>
    <s v="HO3 Primary"/>
    <s v="Angelus Oaks"/>
    <s v="CA"/>
    <m/>
    <m/>
    <m/>
    <s v="Woodstove primary heat"/>
    <s v="Renewal - inspection just now being reviewed. Woodstove is primary and only heat; 18&quot; clearance to side unprotected wall."/>
    <x v="3"/>
    <s v="Advised agt to nonrenew."/>
    <m/>
    <m/>
    <s v="Patterson"/>
  </r>
  <r>
    <x v="11"/>
    <x v="6"/>
    <m/>
    <s v="Kirk"/>
    <s v="Email"/>
    <s v="Wijcik, Lynda"/>
    <m/>
    <s v="HO3 Seasonal w/Rental"/>
    <s v="La Quinta"/>
    <s v="CA"/>
    <s v="4"/>
    <n v="300000"/>
    <n v="4400000"/>
    <s v="TIV"/>
    <s v="1998 home not in brush, tile roof. No online photos. Coming from Lloyds, our prem is competitive"/>
    <x v="0"/>
    <s v="Need updated and complete app."/>
    <m/>
    <m/>
    <s v="Patterson"/>
  </r>
  <r>
    <x v="11"/>
    <x v="4"/>
    <s v="CO"/>
    <s v="Allison"/>
    <s v="Email"/>
    <s v="Davenport, Brad &amp; Barbara"/>
    <m/>
    <s v="HO3 Seasonal"/>
    <s v="Placerville"/>
    <s v="CO"/>
    <s v="10"/>
    <n v="150000"/>
    <n v="170000"/>
    <s v="Not accessible year round"/>
    <s v="1970 home which has been remodeled and upgraded. Photos in file look great. Uses every weekend. Winterized if not that frequent. Still some mild updates to make - cabinets, trim. Note on app indicates fixing to rent? Ho3 policy quoted. Rate came in at $935. Agent quoted $1600 due to accessibility and 20 min response time."/>
    <x v="0"/>
    <s v="Confirm future planned occupancy. $1600 rate good."/>
    <m/>
    <m/>
    <s v="Patterson"/>
  </r>
  <r>
    <x v="12"/>
    <x v="0"/>
    <s v="MI"/>
    <s v="Delta"/>
    <s v="Email"/>
    <s v="Billings, Ward"/>
    <m/>
    <s v="HO3 Primary"/>
    <s v="Drexel"/>
    <s v="MO"/>
    <s v="7"/>
    <n v="150000"/>
    <n v="215000"/>
    <s v="Renovated from a restaurant"/>
    <s v="1908 home fully updated. 2 story brick that used to be a restaurant. Upstairs used for storage. Downstairs for living. Torch down roof with slight pitch. 100% circuit breaker/copper wire."/>
    <x v="0"/>
    <s v="• Please ensure interior inspection is ordered so we can confirm quality of renovation and electric, plumbing, and heating condition.  Make sure second floor is inspected to look for signs of roof leak issues.  (Common in these type of buildings.)_x000a_• Complete answers to underwriting questions received with bind request - several critical questions have been left blank._x000a_"/>
    <m/>
    <m/>
    <s v="Patterson"/>
  </r>
  <r>
    <x v="12"/>
    <x v="0"/>
    <s v="MI"/>
    <s v="Delta"/>
    <s v="Email"/>
    <s v="Strate, Mark"/>
    <m/>
    <s v="HO3 Primary"/>
    <s v="Grass Valley"/>
    <s v="CA"/>
    <s v="9"/>
    <n v="968000"/>
    <n v="1742400"/>
    <s v="TIV"/>
    <s v="2006 frame home in brush. 14 min response time. 4.6 miles. Confirmed w/google. Paid fire department. 10 acres. Prior carrier nonrenewed - no explanation."/>
    <x v="0"/>
    <s v="Subj to acceptable nrn reason (such as brush) and situated accessibly on 10 acres."/>
    <m/>
    <m/>
    <s v="Patterson"/>
  </r>
  <r>
    <x v="12"/>
    <x v="2"/>
    <m/>
    <s v="Alex"/>
    <s v="Email/Call"/>
    <s v="Fearon, Todd &amp; Karen"/>
    <m/>
    <s v="HO3 Primary"/>
    <s v="Chico"/>
    <s v="CA"/>
    <s v="9"/>
    <n v="1400000"/>
    <n v="3110000"/>
    <s v="TIV"/>
    <s v="2017 new build in brush. Metal roof w/exclusion. Agent debited 60% to be close to competitor quotes (thank you!). New rates increase this PC."/>
    <x v="1"/>
    <m/>
    <m/>
    <m/>
    <s v="Patterson"/>
  </r>
  <r>
    <x v="12"/>
    <x v="2"/>
    <m/>
    <s v="Alex"/>
    <s v="Email"/>
    <s v="Fuchs, Michael"/>
    <m/>
    <s v="HO3 Primary"/>
    <s v="Mill Valley"/>
    <s v="CA"/>
    <s v="4"/>
    <n v="1739000"/>
    <n v="3149000"/>
    <s v="TIV"/>
    <s v="1999 home w/alarms, not in brush. Agent needs full 10% credit to compete. Working w/a big retailer to move an entire book. This is a straggler. Looks okay overall.  Had 1/15 burglary - has installed CS alarms since."/>
    <x v="0"/>
    <s v="Alarm certificate; confirm NRN reason - believe it is due to the loss."/>
    <m/>
    <m/>
    <s v="Patterson"/>
  </r>
  <r>
    <x v="12"/>
    <x v="2"/>
    <m/>
    <s v="Alison"/>
    <s v="Email"/>
    <s v="Sakmar, Bernard"/>
    <m/>
    <s v="HO3 Primary"/>
    <s v="Los Angeles"/>
    <s v="CA"/>
    <s v="2"/>
    <n v="2009000"/>
    <n v="3616200"/>
    <s v="TIV/Open Claim"/>
    <s v="1927 home updated. Not in brush. Insds dog bit neighbors maid in 2015. Nothing paid yet, loss is still open. 5 year lab/great dane mix. Agent is applying animal exclusion. Home has a gravity furnace. Also is a historic preservation - has MFRC"/>
    <x v="0"/>
    <s v="Confirm not on registry. Explained our stance on covg under the limited animal liab form."/>
    <m/>
    <m/>
    <s v="Patterson"/>
  </r>
  <r>
    <x v="13"/>
    <x v="0"/>
    <s v="MI"/>
    <s v="Ben"/>
    <s v="Email"/>
    <s v="Danze, Alex"/>
    <m/>
    <s v="HO3 Seasonal w/Rental"/>
    <s v="Big Bear Lake"/>
    <s v="CA"/>
    <s v="4"/>
    <n v="775000"/>
    <n v="1030000"/>
    <s v="Home will be rented for weddings"/>
    <s v="2007 home in brush. Insured will rent occasionally for weddings. Also, I found this on AirBnB and pointed out to the agent to re-rate for this exposure."/>
    <x v="0"/>
    <s v="X-liability; add Total Business Exclusion. Unknown level of exposure when renting for weddings."/>
    <m/>
    <m/>
    <s v="Patterson"/>
  </r>
  <r>
    <x v="13"/>
    <x v="1"/>
    <m/>
    <s v="Tamika"/>
    <s v="Email"/>
    <s v="Trenton Prospect (no name)"/>
    <m/>
    <s v="HO3 Primary"/>
    <s v="Trenton"/>
    <s v="NJ"/>
    <m/>
    <m/>
    <m/>
    <s v="Business in home"/>
    <s v="Insured has electrolysis business in basement of home. Has a business but that is moving out. She will retain some clients and service at the home. Will have a commercial policy."/>
    <x v="4"/>
    <s v="Advised we would need to see the whole risk, but would exclude liability (due to relation to medical field) and add Total Business Excl. Explained implications of the form."/>
    <m/>
    <m/>
    <s v="Patterson"/>
  </r>
  <r>
    <x v="13"/>
    <x v="2"/>
    <m/>
    <s v="Alex"/>
    <s v="Email"/>
    <s v="Barnes, Denver"/>
    <m/>
    <s v="HO3 Primary"/>
    <s v="San Diego "/>
    <s v="CA"/>
    <s v="3"/>
    <n v="314000"/>
    <n v="565200"/>
    <s v="3 water losses"/>
    <s v="11/14 slab leak $4564. 3/16 roof leak $10,096 wind claim. 5/16 $11,248 same slab leak - rerouted pipe out of the slab. 1986 home. Agent proposing $7500 or $10K deductible."/>
    <x v="0"/>
    <s v="Approved subject to charge for 3 losses and $10,000 deductible. If we can go this year with no losses, we can consider reducing the deductible to $7500 at the renewal and maybe consideration for continued reduction."/>
    <m/>
    <m/>
    <s v="Patterson"/>
  </r>
  <r>
    <x v="13"/>
    <x v="4"/>
    <s v="CO"/>
    <s v="Ashley"/>
    <s v="Email"/>
    <s v="Garland, Chris"/>
    <m/>
    <s v="HO3 Primary"/>
    <s v="Elizabeth"/>
    <s v="CO"/>
    <s v="10"/>
    <n v="1500000"/>
    <n v="2600000"/>
    <s v="Bankruptcy in 2014"/>
    <s v="2002 frame home w/corrug metal roof. Insd had bankruptcy in 2014 (says due to divorce) Ins score is on the lower side. 1.10 surcharge. FD 5.6 miles away. 1 mi of dirt road, 26 acres. 15 min response time noted. It is all of that."/>
    <x v="3"/>
    <s v="Decline due to recent bankruptcy and high value. "/>
    <m/>
    <m/>
    <s v="Patterson"/>
  </r>
  <r>
    <x v="14"/>
    <x v="2"/>
    <m/>
    <s v="Alison"/>
    <s v="Email/Call"/>
    <s v="Watson, Jacob"/>
    <m/>
    <s v="DP3 Rental"/>
    <s v="Middletown"/>
    <s v="CA"/>
    <s v="4"/>
    <n v="295000"/>
    <n v="364000"/>
    <s v="Pre-date effective date"/>
    <s v="Agent bound risk for this very large client on 1/15 with Travelers. Within a couple of days, Travelers advised risk was not eligible. Agent scrambling for a policy - could have desk bound w/Travelers, but need 1/15 eff date. There is a lender. Agent sent statement of no loss. App says home office."/>
    <x v="0"/>
    <s v="Not our typical procedure. Making exception due to large client, good relationship between co and agency. Asked for insured signed SNL and confirmation of no business activities on property. "/>
    <m/>
    <m/>
    <s v="Patterson"/>
  </r>
  <r>
    <x v="15"/>
    <x v="0"/>
    <s v="MI"/>
    <s v="Delta"/>
    <s v="Email"/>
    <s v="Whitney, John"/>
    <m/>
    <s v="HO3 Primary"/>
    <s v="Moorseville"/>
    <s v="IN"/>
    <s v="9"/>
    <n v="637000"/>
    <n v="1274000"/>
    <s v="Business on premises"/>
    <s v="1997 home w/updated roof. Insured used to own Whitney Farms on same property. Sold to Children. It is boarding/training for horses and kids will be adding an animal hospital.  All insured w/other carriers. Pending lawsuit against Whitney Farms (probs w/breeding a horse). Retail agents email says it is a loss for the Whitneys."/>
    <x v="4"/>
    <s v="Need more info on separation and the loss. If we proceed, need Total Business Excl and Building Excl for any business buildings."/>
    <m/>
    <m/>
    <s v="Patterson"/>
  </r>
  <r>
    <x v="15"/>
    <x v="0"/>
    <s v="MI"/>
    <s v="Delta"/>
    <s v="Email"/>
    <s v="Wheeler, Brian"/>
    <m/>
    <s v="HO3 Primary"/>
    <s v="W Jefferson"/>
    <s v="OH"/>
    <s v="4"/>
    <n v="2000000"/>
    <n v="4000000"/>
    <s v="TIV"/>
    <s v="2008 home with 1 prior water loss - sump pump failed $9737 9/17/14. No alarms - $4M TIV? Online photos look like a rural location."/>
    <x v="4"/>
    <s v="Need info on no alarms. Advised no water back-up coverage."/>
    <m/>
    <m/>
    <s v="Patterson"/>
  </r>
  <r>
    <x v="15"/>
    <x v="1"/>
    <m/>
    <s v="Nichole"/>
    <s v="Email"/>
    <s v="Yannetti, Mark &amp; Kristin"/>
    <m/>
    <s v="HO3 Primary"/>
    <s v="Topsfield"/>
    <s v="MA"/>
    <m/>
    <n v="1445000"/>
    <n v="2601000"/>
    <s v="Knob &amp; Tube wiring"/>
    <s v="1900 home in process of renovation/update. Currently has knob &amp; tube wiring. Big agent for Nichole."/>
    <x v="4"/>
    <s v="Is insd in home? If not, could elec run temp line. Cut power to knob &amp; tube. We could write when the power was cut."/>
    <m/>
    <m/>
    <s v="Patterson"/>
  </r>
  <r>
    <x v="15"/>
    <x v="2"/>
    <m/>
    <s v="Bobbi"/>
    <s v="Email"/>
    <s v="Carley, John"/>
    <m/>
    <s v="HO3 Seasonal"/>
    <s v="Laguna Beach "/>
    <s v="CA"/>
    <s v="3"/>
    <n v="3078360"/>
    <n v="3879660"/>
    <s v="TIV &gt;$3M"/>
    <s v="1988 tile roof, brush ok, rented 50 days year"/>
    <x v="1"/>
    <s v="Rental is for 30 days if they do it. Previously approved last year"/>
    <m/>
    <m/>
    <s v="Patterson"/>
  </r>
  <r>
    <x v="15"/>
    <x v="4"/>
    <s v="CO"/>
    <s v="Allison"/>
    <s v="Email"/>
    <s v="Kenworthy, Thomas"/>
    <m/>
    <s v="HO3 Seasonal"/>
    <s v="Golden"/>
    <s v="CO"/>
    <s v="9"/>
    <n v="400000"/>
    <n v="490000"/>
    <s v="Not accessible year round"/>
    <s v="2012 home w/metal roof in brush. Only accessible during summer months. Alarms."/>
    <x v="3"/>
    <s v="Getting over the lower values that I’m comfortable with when home is in a brush zone and not accessible year round."/>
    <m/>
    <m/>
    <s v="Patterson"/>
  </r>
  <r>
    <x v="16"/>
    <x v="0"/>
    <s v="MI"/>
    <s v="Delta"/>
    <s v="Email"/>
    <s v="McCormick, Tom"/>
    <m/>
    <s v="HO3 Primary"/>
    <s v="Westlake Village"/>
    <s v="CA"/>
    <s v="4"/>
    <n v="2250600"/>
    <n v="3846960"/>
    <s v="TIV"/>
    <s v="1991 home updated in 2015. Full alarms. No losses. RM shows near high brush, but is rated extremely low. Agt considering rating in brush due to brush 100' away. Ran FireLine - it shows 11 High brush. Justifies rating in brush. "/>
    <x v="0"/>
    <s v="I support rating for brush if agent wishes.  If so, subj to 150' clearance based on criteria of Wildfire Mitigation Form which would be attached. Rating for bush appears optional in this case."/>
    <m/>
    <m/>
    <s v="Patterson"/>
  </r>
  <r>
    <x v="16"/>
    <x v="0"/>
    <s v="MI"/>
    <s v="Delta"/>
    <s v="Email"/>
    <s v="Sheen, Martin &amp; Janet"/>
    <m/>
    <s v="HO3 Secondary"/>
    <s v="Malibu"/>
    <s v="CA"/>
    <s v="4"/>
    <n v="750000"/>
    <n v="1575000"/>
    <s v="High profile"/>
    <s v="1963 home w/ alarms. Both are actors. Martin is also a political activist."/>
    <x v="0"/>
    <s v="Subj to X-liability.  Too famous for liab, but not concerned about wild living or that people who oppose him would damage his home."/>
    <m/>
    <m/>
    <s v="Patterson"/>
  </r>
  <r>
    <x v="16"/>
    <x v="5"/>
    <s v="NC"/>
    <s v="Kasey"/>
    <s v="Email"/>
    <s v="The Neal Foundation Trust"/>
    <m/>
    <s v="HO3 Primary"/>
    <m/>
    <m/>
    <m/>
    <m/>
    <m/>
    <s v="Business on premises"/>
    <s v="FIRST BIND REQUEST FOR NC X-WIND. Insured is the bookkeeper for her husband's Paws of Carteret business. No animals. No foot traffic. "/>
    <x v="0"/>
    <s v="Ensure no employees - this exposure is fine."/>
    <m/>
    <m/>
    <s v="Patterson"/>
  </r>
  <r>
    <x v="16"/>
    <x v="1"/>
    <m/>
    <s v="Andrea"/>
    <s v="Email"/>
    <s v="Arms, Rob RUA14067"/>
    <m/>
    <s v="DP3 Vacant"/>
    <s v="Bloomfield"/>
    <s v="NJ"/>
    <m/>
    <n v="225000"/>
    <n v="225000"/>
    <s v="Vacant 3rd term"/>
    <s v="1957 home updated. This is large agent for Hull. Insured is having realtor finish renovations and put home up for sale.  Agent confident only this 3rd term will be needed. Inspections from 15 and 16 look okay. Decent average home. Insured there regularly."/>
    <x v="0"/>
    <s v="Add 15% surcharge to 16-17 rate."/>
    <m/>
    <m/>
    <s v="Patterson"/>
  </r>
  <r>
    <x v="17"/>
    <x v="7"/>
    <m/>
    <s v="Garry"/>
    <s v="Email"/>
    <s v="Dolan, Timothy"/>
    <m/>
    <s v="HO3 Seasonal"/>
    <s v="Heathsville"/>
    <s v="VA"/>
    <s v="5"/>
    <n v="736200"/>
    <n v="1386200"/>
    <s v="TIV"/>
    <s v="Agent submitted thinking they had $1M authority. Advised they have $2M. Reviewed risk. It is okay, but 15% under Lloyds. (2772 vs. us:2379 w/mold)"/>
    <x v="0"/>
    <s v="Add a debit to get closer to competitor quote."/>
    <m/>
    <m/>
    <s v="Patterson"/>
  </r>
  <r>
    <x v="17"/>
    <x v="0"/>
    <s v="MI"/>
    <s v="Delta"/>
    <s v="Email"/>
    <s v="DeMare, Inez"/>
    <m/>
    <s v="HO3 Primary"/>
    <s v="Minneapolis"/>
    <s v="MN"/>
    <s v="3"/>
    <n v="842000"/>
    <n v="1389300"/>
    <s v="Daycare in home"/>
    <s v="1919 home no info on updates. Prior NRN/Cancel - no info. In home daycare with 10 children. Agent quoting X-Liab."/>
    <x v="0"/>
    <s v="• Excluding liability (as quoted)_x000a_• Do not add form BWH0141_x000a_• Confirm there is a GL in place_x000a_• Home is 1919 - no update info - confirm acceptable updates_x000a_• App indicates prior cancel or nonrenewal - assume this is for the daycare.  If other reason, please let me know before binding._x000a_"/>
    <m/>
    <m/>
    <s v="Patterson"/>
  </r>
  <r>
    <x v="17"/>
    <x v="0"/>
    <s v="MI"/>
    <s v="Leslie"/>
    <s v="Email"/>
    <s v="Marjon, Lou"/>
    <m/>
    <s v="DP3 Rental"/>
    <s v="Santa Fe"/>
    <s v="NM"/>
    <s v="4"/>
    <m/>
    <n v="550000"/>
    <s v="Commercial business in building"/>
    <s v="1915 building fully updated. In Santa Fe historical district. Front is leased to a lawyers office. Back is leased residential.  Coverage is lapsed. No losses. Agent asking to consider with total business excl, SNL, etc."/>
    <x v="3"/>
    <s v="This would be more appropriately written on a commercial policy in my opinion since part is leased to a business. It is not the insured's business."/>
    <m/>
    <m/>
    <s v="Patterson"/>
  </r>
  <r>
    <x v="17"/>
    <x v="0"/>
    <s v="MI"/>
    <s v="Leslie"/>
    <s v="Email"/>
    <s v="Lanni, Valerie"/>
    <m/>
    <s v="HO3 Primary"/>
    <s v="Temecula"/>
    <s v="CA"/>
    <s v="10"/>
    <n v="1200000"/>
    <n v="2160000"/>
    <s v="TIV"/>
    <s v="2003 home not in brush. Confirmed FD 4.2 miles away. Other FD's nearby. "/>
    <x v="1"/>
    <m/>
    <m/>
    <m/>
    <s v="Patterson"/>
  </r>
  <r>
    <x v="17"/>
    <x v="4"/>
    <s v="CO"/>
    <s v="Allison"/>
    <s v="Email"/>
    <s v="Verebelyi, Natasha"/>
    <m/>
    <s v="HO3 Primary"/>
    <s v="Castle Pines"/>
    <s v="CO"/>
    <s v="4"/>
    <n v="1094000"/>
    <n v="1604000"/>
    <s v="High profile"/>
    <s v="1996 home w/2013 roof. Alarms. Agent offering liab and personal injury. Insured is Ms. Colorado. "/>
    <x v="1"/>
    <s v="Reviewed online for news - no concern. FB looks fine."/>
    <m/>
    <m/>
    <s v="Patterson"/>
  </r>
  <r>
    <x v="18"/>
    <x v="3"/>
    <s v="AL"/>
    <s v="Janet"/>
    <s v="Email"/>
    <s v="Swetman, Glenn"/>
    <m/>
    <s v="HO3 Primary"/>
    <s v="Biloxi"/>
    <s v="MS"/>
    <m/>
    <m/>
    <m/>
    <s v="Historical Registry"/>
    <s v="1910 home completely redone in 2006 after Katrina. Home was on registry when insd bought it. He never removed. No tours. Home all standard construction."/>
    <x v="0"/>
    <s v="Include MFRC"/>
    <m/>
    <m/>
    <s v="Patterson"/>
  </r>
  <r>
    <x v="18"/>
    <x v="0"/>
    <s v="MI"/>
    <s v="Leslie"/>
    <s v="Email"/>
    <s v="Smalling, Gerald"/>
    <m/>
    <s v="HO3 Primary"/>
    <s v="Taos"/>
    <s v="NM"/>
    <s v="4"/>
    <n v="75000"/>
    <n v="107500"/>
    <s v="Business in home"/>
    <s v="2010 condo part living, part business-sectioned off w/separate entrance. Chiropractor w/8-10 clients per day. Prof liab in place. Liab and In-home business liability requested."/>
    <x v="0"/>
    <s v="X-Liability, X-in home business liab; add Total Business Excl-discuss implications w/insured."/>
    <m/>
    <m/>
    <s v="Patterson"/>
  </r>
  <r>
    <x v="18"/>
    <x v="0"/>
    <s v="MI"/>
    <s v="Jill"/>
    <s v="Email"/>
    <s v="Ochipinti, John"/>
    <m/>
    <s v="HO3 Primary"/>
    <s v="Yuba City"/>
    <s v="CA"/>
    <s v="2"/>
    <n v="1617000"/>
    <n v="3314450"/>
    <s v="TIV"/>
    <s v="1984 home updated in 2010 per realtor info. Roof is tile. Not in brush. Alarms. NRN due to losses by Travelers. 5/16 theft $42,155-insd forgot to set alarm on way to church. Home burglarized - jewelry and watches. 3/14 phys dmg - bats in attic caused damage+cost of removal."/>
    <x v="1"/>
    <m/>
    <m/>
    <m/>
    <s v="Patterson"/>
  </r>
  <r>
    <x v="18"/>
    <x v="5"/>
    <s v="NC"/>
    <s v="Kasey"/>
    <s v="Email"/>
    <s v="Burkhard, Thomas"/>
    <m/>
    <s v="HO3 Primary"/>
    <s v="Swansboro"/>
    <s v="NC"/>
    <s v="5"/>
    <n v="1100000"/>
    <n v="1980000"/>
    <s v="$1M Liability"/>
    <s v="2008 home. Insd is a physician. English Retriever no bit, swimming pool, no dive board or slide."/>
    <x v="4"/>
    <s v="If insured has access to Umbrella, we'd like to stay at $500K. (If some reason to proceed w/$1M, we are not comfortable with dog   and pool must be fenced and usage supervised)"/>
    <m/>
    <m/>
    <s v="Patterson"/>
  </r>
  <r>
    <x v="18"/>
    <x v="8"/>
    <m/>
    <s v="Alia"/>
    <s v="Email"/>
    <m/>
    <m/>
    <m/>
    <m/>
    <m/>
    <m/>
    <m/>
    <m/>
    <s v="Demolition COC"/>
    <s v="Agent asking to write a ground up construction starting with demolition. Typically this is a class we decline."/>
    <x v="3"/>
    <s v="Reviewed HO-3. Some addl coverage still apply like FD and Trees/shrubs etc."/>
    <m/>
    <m/>
    <s v="Patterson"/>
  </r>
  <r>
    <x v="18"/>
    <x v="1"/>
    <m/>
    <s v="Andrea"/>
    <s v="Email"/>
    <s v="Deyab, Jima"/>
    <m/>
    <s v="DP3 Vacant"/>
    <s v="Medford"/>
    <s v="MA"/>
    <m/>
    <n v="400000"/>
    <n v="400000"/>
    <s v="Vacant 6th term"/>
    <s v="Risk is for HUB, large agent for Hull. Agents says there is interest in the home for purchase. Since large agent, I approved one more term w/15% surcharge. Advised it is the last."/>
    <x v="0"/>
    <s v="15% s/c - last renewal."/>
    <m/>
    <m/>
    <s v="Patterson"/>
  </r>
  <r>
    <x v="18"/>
    <x v="1"/>
    <m/>
    <s v="Lisa"/>
    <s v="Email"/>
    <s v="Kane, Kevin"/>
    <m/>
    <s v="DP-3 Vacant"/>
    <s v="Califon"/>
    <s v="NJ"/>
    <s v="9"/>
    <n v="200000"/>
    <n v="220000"/>
    <s v="Home titled to Co-Op"/>
    <s v="Insured purchasing a home titled to a co-op. Insured is on a bill of sale. Co-op stays on title. Insured gets shares in the co-op. Agt wants to write with insured as NI, co-op as addl insd. Reviewed forms."/>
    <x v="0"/>
    <s v="• With the policy in the insured’s name and the Co-op as Additional Insured._x000a_• Verify woodburning stove was professionally installed. Obtain acceptable questionnaire asap._x000a_• Acceptable Protection Class questionnaire – response time less than 15 minutes, paved roads, fully accessible to emergency vehicles_x000a_• Verify there is thermostatically controlled heat source prior to binding. (Photo shows a wall mounted gas heater.)_x000a_"/>
    <m/>
    <m/>
    <s v="Patterson"/>
  </r>
  <r>
    <x v="19"/>
    <x v="2"/>
    <m/>
    <s v="Alex"/>
    <s v="Email/Call"/>
    <s v="Schaffer, Jeanne"/>
    <m/>
    <s v="HO3 Primary"/>
    <s v="Toluca Lake"/>
    <s v="CA"/>
    <s v="1"/>
    <n v="2651000"/>
    <n v="4506300"/>
    <s v="Prior losses"/>
    <s v="1939 home with major plumbing loss in 2014; roof leak loss immediately after. Agt says pipe burst. A+ I ran says toilet flush; app says backup. Partial updates to plumb, roof, elec. Arch. Shingles. "/>
    <x v="3"/>
    <s v="Information not matching up on the loss details. Older home, partial updates, big losses - not comfortable."/>
    <m/>
    <m/>
    <s v="Patterson"/>
  </r>
  <r>
    <x v="19"/>
    <x v="2"/>
    <m/>
    <s v="Alison"/>
    <s v="Email/Call"/>
    <s v="G&amp;H Development LLC"/>
    <m/>
    <s v="HO3 Vacant"/>
    <s v="Manhattan Beach"/>
    <s v="CA"/>
    <m/>
    <n v="450000"/>
    <n v="495000"/>
    <s v="Vacant prior to demolition then COC"/>
    <s v="Insured purchased a home. It will be vacant for up to 6 months while insured obtains permits to demolish then rebuild the home."/>
    <x v="3"/>
    <s v="Concern with what value the home holds for us to insure. Moral hazard? Attractive nuisance? What if we aren't told of the demo? Discussed with Tim C. Seems best direction is to not get involved in any of these situations until demo is done, even if X-liab there is still exposure."/>
    <m/>
    <m/>
    <s v="Patterson"/>
  </r>
  <r>
    <x v="19"/>
    <x v="2"/>
    <m/>
    <s v="Alison"/>
    <s v="Email"/>
    <s v="Kumar, Kain"/>
    <m/>
    <s v="DP3 Rental"/>
    <s v="Canyon Country"/>
    <s v="CA"/>
    <m/>
    <n v="2500000"/>
    <m/>
    <s v="TIV"/>
    <s v="Name search shows several online articles about this applicant charged with health care fraud along w/many other doctors."/>
    <x v="3"/>
    <s v="Moral hazard."/>
    <m/>
    <m/>
    <s v="Patterson"/>
  </r>
  <r>
    <x v="19"/>
    <x v="2"/>
    <m/>
    <s v="Alex"/>
    <s v="Email"/>
    <s v="Fermanyan, Minas"/>
    <m/>
    <s v="HO3 Primary"/>
    <s v="Burbank"/>
    <s v="CA"/>
    <m/>
    <n v="900000"/>
    <n v="1490000"/>
    <s v="Open Claim"/>
    <s v="Insured had a prior smoke damage from brush fire claim and has an open liab claim from tenant falling on stairs. These are both at 1 of 3 insured rental properties. Agent will surcharge on the home property for these 2. Advised we don't want to do any rentals. Asked about business at this addr that I found via google &quot;Grigor's Key Service&quot;."/>
    <x v="4"/>
    <s v="Business at prop? What caused claimant to fall? Anything negligent on insd part?"/>
    <m/>
    <m/>
    <s v="Patterson"/>
  </r>
  <r>
    <x v="20"/>
    <x v="0"/>
    <s v="MI"/>
    <s v="Delta"/>
    <s v="Email"/>
    <s v="Matasco Enterprises Inc"/>
    <m/>
    <s v="HO3 Seasonal"/>
    <s v="Laguna Niguel"/>
    <s v="CA"/>
    <s v="3"/>
    <n v="4000000"/>
    <n v="5000000"/>
    <s v="TIV"/>
    <s v="2012 frame home, no brush full alarms. Pool w/ cement slide looks acceptable online. "/>
    <x v="0"/>
    <s v="Advised we can't write over $5M TIV, watch limits. Must remarket if insp val comes back higher"/>
    <m/>
    <m/>
    <s v="Patterson"/>
  </r>
  <r>
    <x v="20"/>
    <x v="0"/>
    <s v="MI"/>
    <s v="Delta"/>
    <s v="Email"/>
    <s v="Sher, Edward &amp; Mona"/>
    <m/>
    <s v="DP3 Vacant Condo"/>
    <s v="Las Vegas "/>
    <s v="NV"/>
    <s v="2"/>
    <n v="75000"/>
    <n v="425000"/>
    <s v="Vacant Condo"/>
    <s v="1974 home fully updated. Burns had insured. Then moved to AIG who is hassling them assuming this is under reno. Per insd, they purchased this unit above theirs.  There is no reno. They are mad at AIG."/>
    <x v="1"/>
    <m/>
    <m/>
    <m/>
    <s v="Patterson"/>
  </r>
  <r>
    <x v="20"/>
    <x v="0"/>
    <s v="MI"/>
    <s v="Leslie"/>
    <s v="Email"/>
    <s v="Julie Ana Desilva Exempt Trust"/>
    <m/>
    <s v="HO8 Primary"/>
    <s v="El Dorado "/>
    <s v="CA"/>
    <s v="6"/>
    <n v="355000"/>
    <n v="674500"/>
    <s v="Business on premises"/>
    <s v="1957 home all updated except plumbing pipes. Agt writing on HO8-water not covered. $1K AOP. Quote is X-Liab, X-business structures. Personal garage ok, Total Business Excl, $500 a/p. Apple orchard and bake store on premises."/>
    <x v="0"/>
    <s v="Woodburning stove questionnaire"/>
    <m/>
    <m/>
    <s v="Patterson"/>
  </r>
  <r>
    <x v="20"/>
    <x v="0"/>
    <s v="MI"/>
    <s v="Leslie"/>
    <s v="Email"/>
    <s v="Stolper, Stella"/>
    <m/>
    <s v="HO3 Primary"/>
    <s v="Calabasas"/>
    <s v="CA"/>
    <s v="4"/>
    <n v="1786000"/>
    <n v="3571800"/>
    <s v="TIV"/>
    <s v="2006 home in brush, backs up to a ridge. Alarms. Updated in 2016. "/>
    <x v="0"/>
    <s v="150' brush clearance"/>
    <m/>
    <m/>
    <s v="Patterson"/>
  </r>
  <r>
    <x v="20"/>
    <x v="0"/>
    <s v="MI"/>
    <s v="Danielle"/>
    <s v="Email/Call"/>
    <s v="Padnos Family"/>
    <m/>
    <s v="HO3 Seasonal"/>
    <s v="Saugatuck"/>
    <s v="MI"/>
    <m/>
    <n v="2500000"/>
    <m/>
    <s v="ACV Settlement"/>
    <s v="Two HO3 policies with ACV settlement. Insd buying large properties with $2.5M home and $629K caretaker home. Separate addresses. Is there an ACV option?"/>
    <x v="1"/>
    <s v="Karen created a MI for for Burns use."/>
    <m/>
    <m/>
    <s v="Patterson"/>
  </r>
  <r>
    <x v="20"/>
    <x v="0"/>
    <s v="MI"/>
    <s v="Jill"/>
    <s v="Email"/>
    <s v="Mandylas, Thomas"/>
    <m/>
    <s v="DP1 Vacant"/>
    <s v="San Francisco"/>
    <s v="CA"/>
    <m/>
    <n v="225000"/>
    <m/>
    <s v="Stand alone other structure"/>
    <s v="Insured has responsibility through easement agreement to insured $225K garage on neighbors property. "/>
    <x v="1"/>
    <s v="Sent guidelines to Jill from DP manual and advised this is acceptable."/>
    <m/>
    <m/>
    <s v="Patterson"/>
  </r>
  <r>
    <x v="20"/>
    <x v="1"/>
    <s v="NJ"/>
    <s v="Lisa"/>
    <s v="Email"/>
    <s v="Fernandez, Carmen"/>
    <m/>
    <s v="DP3 Rental"/>
    <s v="Glen Ridge "/>
    <s v="NJ"/>
    <m/>
    <n v="600000"/>
    <n v="743000"/>
    <s v="Open Claim"/>
    <s v="1908 home  updated in 2000. Online photos look okay. Insured had oil tank removed and it leaked some oil. SF denied loss. Insured funding clean up."/>
    <x v="2"/>
    <s v="Subj to long list of items - see email. Need to ensure work is being done professionally. Excluding liab and mold until proof of cleanup is received. Figure if they don't do it right, we don't have any liability. // Per followup, cleanup not even assessed yet - declined.//6/9/17 - clean soil test, now 3 family. Approved."/>
    <m/>
    <m/>
    <s v="Patterson"/>
  </r>
  <r>
    <x v="20"/>
    <x v="1"/>
    <s v="NJ"/>
    <s v="Lisa"/>
    <s v="Email"/>
    <s v="Dehney, Christine &amp; Robert"/>
    <m/>
    <s v="HO3 Primary"/>
    <s v="Avalon"/>
    <s v="NJ"/>
    <m/>
    <m/>
    <m/>
    <s v="Prior dog bite"/>
    <s v="Insured completed pet questionnaire and indicated their dog bit their child. Agent asking if animal liab will apply."/>
    <x v="0"/>
    <s v="Risk acceptable, but excl on limited animal liab form will probably cause exclusion of dog due to prior bite."/>
    <m/>
    <m/>
    <s v="Patterson"/>
  </r>
  <r>
    <x v="20"/>
    <x v="2"/>
    <m/>
    <s v="Alex"/>
    <s v="Email/Call"/>
    <s v="Luke, Chris"/>
    <m/>
    <s v="DP3 Vacant"/>
    <s v="Newport Coast"/>
    <s v="CA"/>
    <m/>
    <n v="2700000"/>
    <n v="3080000"/>
    <s v="Home is subdivision model"/>
    <s v="2016 new build. Insured purchased but is leasing back to the builder to be used as a model until Oct then insured will move in. Gated comm, alarms, patrol service. Individuals make an appointment w/the community rep - they stay with them for a house tour. Excluding liab - they are extending from primary."/>
    <x v="0"/>
    <s v="Write as DP3 rental due to level protection. Agt including vacant forms."/>
    <m/>
    <m/>
    <s v="Patterson"/>
  </r>
  <r>
    <x v="20"/>
    <x v="2"/>
    <m/>
    <s v="Alison"/>
    <s v="Email"/>
    <s v="Simantob, Shahriar"/>
    <m/>
    <s v="DP3 Rental"/>
    <s v="Beverly Hills"/>
    <s v="CA"/>
    <s v="2"/>
    <n v="2994000"/>
    <n v="4004000"/>
    <s v="TIV"/>
    <s v="1960 home fully updated in 2001. In the name of 3 different LLC's. Not in brush. "/>
    <x v="0"/>
    <s v="LLC quest and confirmation that all parties have insurable interest."/>
    <m/>
    <m/>
    <s v="Patterson"/>
  </r>
  <r>
    <x v="20"/>
    <x v="2"/>
    <m/>
    <s v="Alison"/>
    <s v="Email"/>
    <s v="Henyan, Shannon"/>
    <m/>
    <s v="HO3 Primary"/>
    <s v="Cedar Glen"/>
    <s v="CA"/>
    <s v="4"/>
    <n v="565000"/>
    <n v="976000"/>
    <s v="Log homes"/>
    <s v="2008 log home made of factory milled logs. "/>
    <x v="1"/>
    <m/>
    <m/>
    <m/>
    <s v="Patterson"/>
  </r>
  <r>
    <x v="20"/>
    <x v="2"/>
    <m/>
    <s v="Alex"/>
    <s v="Call"/>
    <s v="Fillers"/>
    <m/>
    <s v="HO3 Primary"/>
    <m/>
    <m/>
    <m/>
    <m/>
    <m/>
    <s v="Open Claim"/>
    <s v="Insured has open liab claim for dog bit. Trespasser came into fenced area. Chained dog bit them. Dog has been euthanized. Claim still open."/>
    <x v="1"/>
    <s v="Liab and Animal liab okay."/>
    <m/>
    <m/>
    <s v="Patterson"/>
  </r>
  <r>
    <x v="20"/>
    <x v="2"/>
    <m/>
    <s v="Alison"/>
    <s v="Email"/>
    <s v="Guarna, Nicola"/>
    <m/>
    <s v="DP3 Vacant"/>
    <s v="Beverly Hills"/>
    <s v="CA"/>
    <n v="1"/>
    <n v="2700000"/>
    <n v="2730000"/>
    <s v="High profile"/>
    <s v="Insured is domestic partner of Robert Rodriguez, fashion designer. No concerning info online. Not too famous. Home will be vacant for an unknown time and then possibly renovated. $10K AOP ded"/>
    <x v="1"/>
    <m/>
    <m/>
    <m/>
    <s v="Patterson"/>
  </r>
  <r>
    <x v="20"/>
    <x v="4"/>
    <s v="CO"/>
    <s v="Allison"/>
    <s v="Email"/>
    <s v="Behlendorf, Shawn"/>
    <m/>
    <s v="HO3 Primary"/>
    <s v="Evergreen"/>
    <s v="CO"/>
    <n v="6"/>
    <n v="332100"/>
    <n v="514755"/>
    <s v="Woodstove primary heat"/>
    <s v="1948 home w/some updates. Sketchy info on WBS. It is primary heat; no other source. 150' clearance not maintained. WBS was in home when purchased."/>
    <x v="3"/>
    <s v="Concerned w/little info on stove, primary heat on primary residence, moderate TIV. (Other issues: possible flat roof - cover is rubber. Trampoline-ensure excl is added)"/>
    <m/>
    <m/>
    <s v="Patterson"/>
  </r>
  <r>
    <x v="21"/>
    <x v="0"/>
    <s v="MI"/>
    <s v="Leslie"/>
    <s v="Email"/>
    <s v="Tochitrop, Brittany"/>
    <m/>
    <s v="HO3 Primary"/>
    <s v="Indio"/>
    <s v="CA"/>
    <n v="4"/>
    <n v="263000"/>
    <n v="526000"/>
    <s v="Rental use"/>
    <s v="Home is rented out for 4 weeks during the Coachella Music Festival (mixed genre)."/>
    <x v="0"/>
    <s v="Rate for rental use; apply form; screen renters - not a party house."/>
    <m/>
    <m/>
    <s v="Patterson"/>
  </r>
  <r>
    <x v="21"/>
    <x v="2"/>
    <m/>
    <s v="Bobbi"/>
    <s v="Email"/>
    <s v="Georgiades, George"/>
    <m/>
    <s v="HO3 Primary"/>
    <s v="Laguna Niguel"/>
    <s v="CA"/>
    <n v="3"/>
    <n v="1600000"/>
    <n v="2880000"/>
    <s v="Prior loss"/>
    <s v="1990 home w/complete plumbing replacement after slab leak loss 4/16 $113K paid. Within 100' of brush zone"/>
    <x v="0"/>
    <s v="Confirm 150' brush clearance; add 5% surcharge for large loss"/>
    <m/>
    <m/>
    <s v="Patterson"/>
  </r>
  <r>
    <x v="21"/>
    <x v="2"/>
    <m/>
    <s v="Alison"/>
    <s v="Email"/>
    <s v="Sutherland"/>
    <m/>
    <s v="DP3 Vacant /Reno"/>
    <s v="Santa Barbara"/>
    <s v="CA"/>
    <n v="5"/>
    <n v="1000000"/>
    <n v="1165000"/>
    <s v="Asbestos removal"/>
    <s v="1905 home in process of renovation - asbestos removal is part of the plan."/>
    <x v="3"/>
    <m/>
    <m/>
    <m/>
    <s v="Patterson"/>
  </r>
  <r>
    <x v="22"/>
    <x v="0"/>
    <s v="MI"/>
    <s v="Leslie"/>
    <s v="Email"/>
    <s v="Yacoub, Fadi"/>
    <m/>
    <s v="HO3 Primary"/>
    <s v="Cedar Rapids"/>
    <s v="IA"/>
    <n v="9"/>
    <n v="100000"/>
    <n v="2200000"/>
    <s v="TIV"/>
    <s v="Retailer advised this is PC4, app says 4x, described as 4 miles to FD, no hydrant. Verified w/Verisk and they say this is a 9.  Tanker brings 2500 gallons. "/>
    <x v="0"/>
    <s v="Rate as PC9. Discussed 2500 gallon w/Product and all are okay."/>
    <m/>
    <m/>
    <s v="Patterson"/>
  </r>
  <r>
    <x v="22"/>
    <x v="0"/>
    <s v="MI"/>
    <s v="Danielle"/>
    <s v="Email"/>
    <s v="Lusha, Masiela"/>
    <m/>
    <s v="HO3 Seasonal"/>
    <s v="Burbank"/>
    <s v="CA"/>
    <n v="2"/>
    <n v="1100000"/>
    <n v="1235000"/>
    <s v="High profile"/>
    <s v="1990 home updated. Insured is actress from  George Lopez show. Other movies."/>
    <x v="1"/>
    <s v="Reviewed w/Jeff - felt okay w/liab."/>
    <m/>
    <m/>
    <s v="Patterson"/>
  </r>
  <r>
    <x v="22"/>
    <x v="1"/>
    <s v="NJ"/>
    <s v="Lisa"/>
    <s v="Email"/>
    <s v="Colabelli, Michael &amp; Theresa"/>
    <m/>
    <s v="DP3 Rental"/>
    <s v="Orange  "/>
    <s v="NJ"/>
    <m/>
    <n v="400000"/>
    <n v="450000"/>
    <s v="Builders Risk converting Coml space"/>
    <s v="1950 home, no updates listed. Online photos average. Possible flat roof. 2nd floor tenant occupied during renovation."/>
    <x v="4"/>
    <s v="• App states this is a 1950 building, no updates listed.  Could you please confirm?  Are there any updates to the 2nd floor tenant space?  Please send me a copy of the Older Home Questionnaire and any other info you obtain.  If there is no roof update, we should exclude. If it is updated, thank you for recognizing the flat roof and applying the $10K deductible._x000a_• App states “Insured hired licensed contractors”.  Is there a GC managing the renovation, or is the insured acting as GC.  If the insured is acting as GC, we wouldn’t be able to write this.  If there is a GC managing the reno, please send me a copy of the builders risk questionnaire.  _x000a_"/>
    <m/>
    <m/>
    <s v="Patterson"/>
  </r>
  <r>
    <x v="22"/>
    <x v="2"/>
    <m/>
    <s v="Alex"/>
    <s v="Email"/>
    <s v="Meeuwsen, Jill"/>
    <m/>
    <s v="HO3 Seasonal"/>
    <s v="Nevada County"/>
    <s v="CA"/>
    <n v="8"/>
    <n v="540000"/>
    <n v="800000"/>
    <s v="Bankruptcy in 2014"/>
    <s v="2008 home. Ran ins score: score okay, but shows 2 bankruptcies - another one in 2013. Self employed, owns 2 homes. Mortgage balances modified w/bankruptcy. Primary home shows up on foreclosure."/>
    <x v="3"/>
    <m/>
    <m/>
    <m/>
    <s v="Patterson"/>
  </r>
  <r>
    <x v="22"/>
    <x v="2"/>
    <m/>
    <s v="Alison"/>
    <s v="Email"/>
    <s v="Mosshart, Alison"/>
    <m/>
    <s v="DP3 Rental"/>
    <s v="W Hollywood"/>
    <s v="CA"/>
    <n v="2"/>
    <n v="350000"/>
    <n v="560000"/>
    <s v="High profile"/>
    <s v="1922 home, roof update, other updates unknown. Nice online photos. Brush unknown. Alison Mosshart is a signer/songwriter. Looks like punk, blues rock, alternative. "/>
    <x v="0"/>
    <s v="Excluding liability okay. Need update and brush info."/>
    <m/>
    <m/>
    <s v="Patterson"/>
  </r>
  <r>
    <x v="23"/>
    <x v="0"/>
    <s v="MI"/>
    <s v="Leslie"/>
    <s v="Email"/>
    <s v="Gold, Larry"/>
    <m/>
    <s v="DP3 Rental"/>
    <s v="Los Angeles"/>
    <s v="CA"/>
    <m/>
    <n v="500000"/>
    <n v="750000"/>
    <s v="High profile"/>
    <s v="1948 home updated in 2016. Insd is producer, but nothing current found."/>
    <x v="1"/>
    <m/>
    <m/>
    <m/>
    <s v="Patterson"/>
  </r>
  <r>
    <x v="23"/>
    <x v="2"/>
    <m/>
    <s v="Alex"/>
    <s v="Call"/>
    <s v="Leon"/>
    <m/>
    <s v="HO3 Builders Risk"/>
    <m/>
    <m/>
    <m/>
    <m/>
    <m/>
    <s v="Unfinished home "/>
    <s v="Insured purchasing a 2001 built home where all construction is not completed. Alex writing as an owner occupied HO3 excluding the pool, including personal liab as home is occupied.`"/>
    <x v="1"/>
    <m/>
    <m/>
    <m/>
    <s v="Patterson"/>
  </r>
  <r>
    <x v="23"/>
    <x v="2"/>
    <m/>
    <s v="Alex"/>
    <s v="Email"/>
    <s v="Mazzei, Raymond &amp; Irina"/>
    <m/>
    <s v="HO3 Primary"/>
    <s v="Temecula"/>
    <s v="CA"/>
    <n v="10"/>
    <n v="1589000"/>
    <n v="2549000"/>
    <s v="TIV"/>
    <s v="2001 home in brush. Alarmed accessible, 12 min response time. Electric gate. "/>
    <x v="0"/>
    <s v="150' brush clearance. Quote as PC 10 on revised rater."/>
    <m/>
    <m/>
    <s v="Patterson"/>
  </r>
  <r>
    <x v="23"/>
    <x v="6"/>
    <m/>
    <s v="Melissa"/>
    <s v="Email"/>
    <s v="Wright, Clark"/>
    <m/>
    <s v="DP3 Rental"/>
    <s v="Truckee"/>
    <s v="CA"/>
    <m/>
    <n v="190000"/>
    <n v="191900"/>
    <s v="Lapse "/>
    <s v="1973 rental lapsed since August. Was w/Scottsdale. Cancelled for non pay."/>
    <x v="3"/>
    <s v="Ins score and report shows concerns."/>
    <m/>
    <m/>
    <s v="Patterson"/>
  </r>
  <r>
    <x v="24"/>
    <x v="0"/>
    <s v="MI"/>
    <s v="Delta"/>
    <s v="Email"/>
    <s v="Forsythe, John &amp; Gwendolyn"/>
    <m/>
    <s v="HO3 Primary"/>
    <s v="Perkasie"/>
    <s v="PA"/>
    <n v="6"/>
    <n v="809000"/>
    <n v="1550000"/>
    <s v="Business in home"/>
    <s v="1995 frame home. Business in basement making microchips for model trains. 10 employees. No other foot traffic. Business policy in place. Liab requested."/>
    <x v="4"/>
    <s v="requested business info, equip used, verify no vendors/customers. Explained total business excl implications for in home business. Only offer x-liab."/>
    <m/>
    <m/>
    <s v="Patterson"/>
  </r>
  <r>
    <x v="24"/>
    <x v="0"/>
    <s v="MI"/>
    <s v="Delta"/>
    <s v="Email"/>
    <s v="Quinn, Brian"/>
    <m/>
    <s v="HO3 Seasonal"/>
    <s v="Truckee"/>
    <s v="CA"/>
    <n v="9"/>
    <n v="1500000"/>
    <n v="1600000"/>
    <s v="TIV"/>
    <s v="Quoted last year. No changes. 1992 w/full alarms. 8 min response. No losses. "/>
    <x v="1"/>
    <s v="Advised approvals are good for 90 days."/>
    <m/>
    <m/>
    <s v="Patterson"/>
  </r>
  <r>
    <x v="24"/>
    <x v="0"/>
    <s v="MI"/>
    <s v="Delta"/>
    <s v="Email"/>
    <s v="Kaspari, Christopher"/>
    <m/>
    <s v="HO3 Primary"/>
    <s v="Rochester Hills"/>
    <s v="MI"/>
    <m/>
    <n v="1943000"/>
    <n v="3983150"/>
    <s v="TIV"/>
    <s v="1999 home full alarms, gated with 3 prior losses. 6/14 water $8K, 4/14 Hail $0, 4/16 water-sump $35K. Jewelry schedule $107K $82,000 ladies ring."/>
    <x v="0"/>
    <s v="(X-jewelry, X-backup, $10K water, completed app) Offer Jamie Gregory_x000a__x000a_"/>
    <m/>
    <m/>
    <s v="Patterson"/>
  </r>
  <r>
    <x v="24"/>
    <x v="0"/>
    <s v="MI"/>
    <s v="Delta"/>
    <s v="Email"/>
    <s v="Caldwell, Anne"/>
    <m/>
    <s v="HO3 Primary"/>
    <s v="Memphis"/>
    <s v="TN"/>
    <n v="2"/>
    <n v="541000"/>
    <n v="1082000"/>
    <s v="Scheduled Personal Property"/>
    <s v="1983 home. Updates. Incomplete app-UW questions. 5/16 water $1,200 Claim refers to leak into neighbor unit. 4/14 water $12K. Has $5K silver, $5K hearing aids."/>
    <x v="0"/>
    <s v="• Unfortunately we do not schedule hearing aids.  We can schedule the silver. _x000a_• Updates list wiring and plumbing as 1983, but year of construction is 1987.  Please amend YOC or update years._x000a_• 5/16 loss is described as &quot;valve leak in bathroom caused damage to unit, leaked into neighbor unit&quot;.  Do we have a multi-family home here?  A condo?  What is the “neighbor unit”?_x000a_• $10,000 water damage ded (as you quoted)_x000a_• Completed app - UW questions are blank_x000a_"/>
    <m/>
    <m/>
    <s v="Patterson"/>
  </r>
  <r>
    <x v="24"/>
    <x v="0"/>
    <s v="MI"/>
    <s v="Delta"/>
    <s v="Email"/>
    <s v="Anjum, Zafir"/>
    <m/>
    <s v="HO3 Secondary"/>
    <s v="Weed"/>
    <s v="CA"/>
    <n v="10"/>
    <n v="1500000"/>
    <n v="1510000"/>
    <s v="Response Time/ACV"/>
    <s v="1993 home. PC 10-10-15 response time. Water tank on premises. Inspections attached (including ACV); caretaker on premises. Monitored fire/alarm, no brush. Pool not properly fenced (picket fence, no lock)"/>
    <x v="0"/>
    <s v="Confirm true secondary (since caretaker there for last 10 years, always on premises); ensure pool exclusion on pol; add outbuilding exclusion if available;confirm debris/veh removed"/>
    <m/>
    <m/>
    <s v="Patterson"/>
  </r>
  <r>
    <x v="24"/>
    <x v="2"/>
    <m/>
    <s v="Alex"/>
    <s v="Email"/>
    <s v="Zhang, Lina"/>
    <m/>
    <s v="DP3 Rental"/>
    <s v="Fontana"/>
    <s v="CA"/>
    <m/>
    <n v="450000"/>
    <n v="545000"/>
    <s v="Prior loss"/>
    <s v="1993 rental. Almost $100K loss in 2016. Upstairs bath water line broke. Damage repaired, claim closed. Agent offered water dmg excl or $50K ded w/surcharge."/>
    <x v="1"/>
    <s v="suggested 10-20% surcharge - up to agent."/>
    <s v="agent updated that surcharged 60% on original rate.  This puts Markel at $2,317 prior to taxes and fees but only the $50K deductible.  I think the insured would be getting more coverage with Markel; hence the higher premium. "/>
    <m/>
    <s v="Patterson"/>
  </r>
  <r>
    <x v="25"/>
    <x v="4"/>
    <s v="CO"/>
    <s v="Allison"/>
    <s v="Email"/>
    <s v="Meadow Ridge Holdings LLC"/>
    <m/>
    <s v="HO3 Secondary"/>
    <s v="Fraser"/>
    <s v="CO"/>
    <m/>
    <n v="450090"/>
    <s v="$650,00"/>
    <s v="Lapse &gt;90 days"/>
    <s v="Was builders risk, in LLC, being built for secondary. Nearing completion. Home across street being used as short term rental. Didn't realize home was without coverage"/>
    <x v="3"/>
    <s v="Questioned length of lapse-uninsured since Junce 2015. Length too long"/>
    <m/>
    <m/>
    <s v="Burdine"/>
  </r>
  <r>
    <x v="26"/>
    <x v="0"/>
    <s v="MI"/>
    <s v="Leslie"/>
    <s v="Email"/>
    <s v="Buckingham, Gary"/>
    <m/>
    <s v="DP1 Seasonal"/>
    <s v="Woodland Park"/>
    <s v="CO"/>
    <n v="5"/>
    <n v="97000"/>
    <n v="166100"/>
    <s v="No heat"/>
    <s v="1970 home updated in 2014. Inherited from father who never insured. Insd updated and now wants insd. No heat. Only used in summer. Agt quoted DP1 ACV, 10% SC, 2500 AOP"/>
    <x v="1"/>
    <s v="Verified PPC"/>
    <m/>
    <m/>
    <s v="Patterson"/>
  </r>
  <r>
    <x v="26"/>
    <x v="0"/>
    <s v="MI"/>
    <s v="Leslie"/>
    <s v="Email"/>
    <s v="1802 Palisades Investments"/>
    <m/>
    <s v="DP3 Seasonal w/Rental"/>
    <s v="Leawood"/>
    <s v="KS"/>
    <m/>
    <n v="1000000"/>
    <n v="1500000"/>
    <s v="Business in home"/>
    <s v="1995 home. Roof update in 2009. Agt advises insd does consulting in home. Uses for personal and rents out to clients. Found online bankruptcy. Answered &quot;no&quot; on the app. Insured replied &quot;oh, I thought we discussed&quot;.  Requested X Liability and with Total Biz Excl."/>
    <x v="2"/>
    <s v="Asked for info on bankruptcy and more info on the business.  Sent back a whole bunch more questions.  Still need to examine the bankruptcy. Mr 712 w/tax liens &amp; bad debt; Mrs 809 and ok. Sent back a final message asking for full description of the risk as I cannot figure out from the vague, incomplete and contradictory answers. Received summary and I am comfortable."/>
    <m/>
    <m/>
    <s v="Patterson"/>
  </r>
  <r>
    <x v="26"/>
    <x v="5"/>
    <s v="NC"/>
    <s v="Kasey"/>
    <s v="Email"/>
    <s v="Perrine, John"/>
    <m/>
    <s v="HO3 Primary"/>
    <s v="Manteo"/>
    <s v="NC"/>
    <s v=" "/>
    <n v="227600"/>
    <n v="455200"/>
    <s v="1900 home not gutted"/>
    <s v="1900 home not gutted but all systems updated. Nice online pix. Reviewed with Tim. Shiplap walls and maybe ceilings. Online descr says &quot;historic&quot;. App asks for ERC but Kasey didn't quote. Age fits balloon construction."/>
    <x v="0"/>
    <s v="No balloon. No historic registry, zoning, or tours. No ERC (Kasey didn't quote, just confirming), Verify Cov A. Consider interior insp."/>
    <m/>
    <m/>
    <s v="Patterson"/>
  </r>
  <r>
    <x v="26"/>
    <x v="1"/>
    <s v="NJ"/>
    <s v="Lisa"/>
    <s v="Email"/>
    <s v="197-199 West St LLC"/>
    <m/>
    <s v="DP3 Builders Risk"/>
    <m/>
    <m/>
    <m/>
    <m/>
    <m/>
    <s v="Insured is GC"/>
    <s v="Builders risk in name of LLC. Member of LLC is acting as GC - lic and insd."/>
    <x v="3"/>
    <m/>
    <m/>
    <m/>
    <s v="Patterson"/>
  </r>
  <r>
    <x v="26"/>
    <x v="2"/>
    <m/>
    <s v="Bobbi"/>
    <s v="Email"/>
    <s v="GDL Best Contractors"/>
    <m/>
    <s v="DP3 Rental"/>
    <s v="Long Beach"/>
    <s v="CA"/>
    <n v="3"/>
    <n v="252000"/>
    <n v="347400"/>
    <s v="Corporate Name"/>
    <s v="3 brothers own the property under this corporate name. No update info. 1948 home"/>
    <x v="0"/>
    <s v="• An acceptable corporate questionnaire_x000a_• Acceptable update information on this 1948 home_x000a_• No roof updates listed – please exclude roof_x000a_"/>
    <m/>
    <m/>
    <s v="Patterson"/>
  </r>
  <r>
    <x v="26"/>
    <x v="4"/>
    <s v="CO"/>
    <s v="Allison"/>
    <s v="Email"/>
    <s v="Born, Douglas"/>
    <m/>
    <s v="DP3 Secondary"/>
    <s v="Eaton"/>
    <s v="CO"/>
    <n v="10"/>
    <n v="728000"/>
    <n v="828000"/>
    <s v="Stand alone other structure"/>
    <s v="1984 8400 SF garage used by father/son as personal workshop. Radiant thermostatically controlled heat. Locked, entry gate. Adequate water from FD. 5 miles away. Agent really wants approval. Photos look okay. Visited daily. On property with a rental home. Tenant has no use of the structure."/>
    <x v="0"/>
    <s v="Unprot quest, X-liability."/>
    <m/>
    <m/>
    <s v="Patterson"/>
  </r>
  <r>
    <x v="27"/>
    <x v="0"/>
    <s v="MI"/>
    <s v="Delta"/>
    <s v="Email"/>
    <s v="Kansas, Pete"/>
    <m/>
    <s v="HO3 Primary"/>
    <s v="Oakhurst"/>
    <s v="CA"/>
    <n v="9"/>
    <n v="971000"/>
    <n v="1990550"/>
    <s v="TIV"/>
    <s v="1997 home in brush w/8 min response time. FD 2 miles away. Accessible. Per PC quest, 200' brush clearance."/>
    <x v="0"/>
    <s v="WBS as noted, Brush clear confirmation, Complete app - Q8 not answered (conviction of fraud, bribery, arson)"/>
    <m/>
    <m/>
    <s v="Patterson"/>
  </r>
  <r>
    <x v="27"/>
    <x v="2"/>
    <m/>
    <s v="Bobbi"/>
    <s v="Email"/>
    <s v="Garcia, John"/>
    <m/>
    <s v="DP3 Rental"/>
    <s v="Malibu"/>
    <s v="CA"/>
    <n v="2"/>
    <n v="2526000"/>
    <n v="4041600"/>
    <s v="TIV"/>
    <s v="1991 home updated in 2001. Insured rents short term via Airbnb and VRBO.  Agent wants 50% ERS. Nice online photos. &quot;Disruptive LLC&quot; business comes up at this address."/>
    <x v="0"/>
    <s v="verify ITV! Confirm no business on prem."/>
    <m/>
    <m/>
    <s v="Patterson"/>
  </r>
  <r>
    <x v="28"/>
    <x v="2"/>
    <m/>
    <s v="Bobbi"/>
    <s v="Email"/>
    <s v="Fein, Kenneth"/>
    <m/>
    <s v="DP3 Vacant"/>
    <s v="Calabasas"/>
    <s v="CA"/>
    <n v="2"/>
    <n v="900000"/>
    <n v="1000000"/>
    <s v="Prior losses"/>
    <s v="1970 home fully alarmed. Was mother's home. Prior losses found on A+ related to residence location. One was that the insd was visiting mother and fell hit her head. Ins paid what med didn't. Another was AC leaked and got carpet wet. Call to ins only, no claim filed.  Good insurance scores."/>
    <x v="1"/>
    <s v="no surcharge for losses."/>
    <m/>
    <m/>
    <s v="Patterson"/>
  </r>
  <r>
    <x v="28"/>
    <x v="2"/>
    <m/>
    <s v="Alex"/>
    <s v="Email"/>
    <s v="Drexel Luxury Homes LLC"/>
    <m/>
    <s v="DP3 Rental"/>
    <s v="Los Angeles"/>
    <s v="CA"/>
    <m/>
    <n v="800000"/>
    <n v="800000"/>
    <s v="LLC name"/>
    <s v="Insured is a property investor. Unknown how many other properties. Liab is limited to premises."/>
    <x v="1"/>
    <s v="LLC form indicates one individual. Nothing online that appears concerning."/>
    <m/>
    <m/>
    <s v="Patterson"/>
  </r>
  <r>
    <x v="28"/>
    <x v="6"/>
    <m/>
    <s v="Lisa"/>
    <s v="Email"/>
    <s v="Palmer, Angela &amp; James"/>
    <m/>
    <s v="HO3 Primary"/>
    <s v="Santa Clarita"/>
    <s v="CA"/>
    <n v="4"/>
    <n v="720000"/>
    <n v="1296000"/>
    <s v="High profile"/>
    <s v="James Palmer is a British actor. In one recent TV episode and a few movies. Married in CA. Home pics online look good. No news stories.  Looks like no issue with Liab."/>
    <x v="1"/>
    <m/>
    <m/>
    <m/>
    <s v="Patterson"/>
  </r>
  <r>
    <x v="29"/>
    <x v="0"/>
    <s v="MI"/>
    <s v="Delta"/>
    <s v="Email"/>
    <s v="Dworaczyk, Shawn"/>
    <m/>
    <s v="DP3 Vacant"/>
    <s v="Eldon"/>
    <s v="MO"/>
    <n v="4"/>
    <n v="125000"/>
    <n v="125000"/>
    <s v="Stand alone other structure"/>
    <s v="2016 frame structure. Prior total fire loss due to heat lamp in dog house. Avg/below avg ins scores. Self employed SS Auto Transport."/>
    <x v="2"/>
    <s v="Asked questions about use, storage, occupation related to building. All personal use."/>
    <m/>
    <m/>
    <s v="Patterson"/>
  </r>
  <r>
    <x v="29"/>
    <x v="2"/>
    <m/>
    <s v="Alex"/>
    <s v="Email"/>
    <s v="Cunningham, Sean &amp; Marla"/>
    <m/>
    <s v="HO3 Primary"/>
    <s v="Coronado"/>
    <s v="CA"/>
    <n v="2"/>
    <n v="2100000"/>
    <n v="3780000"/>
    <s v="TIV"/>
    <s v="1915 home updated several times, full system in 2008. Unknown if alarms - if not $10K ded applies. Agent asking if we would drop to $6,000 if there are alarms (Lloyds). Q#8 (fraud, bribery, arson) and Q#4 (animals) not answered. App states historical - no info."/>
    <x v="0"/>
    <s v="Subj to completed app with UW ? Answered. Not on historical registry and no tours."/>
    <m/>
    <m/>
    <s v="Patterson"/>
  </r>
  <r>
    <x v="29"/>
    <x v="2"/>
    <m/>
    <s v="Bobbi"/>
    <s v="Email"/>
    <s v="Martindale, Liane"/>
    <m/>
    <s v="HO3 Primary"/>
    <m/>
    <m/>
    <m/>
    <m/>
    <m/>
    <s v="Unfinished home "/>
    <s v="Unfinished exterior bathroom walls and interior not completed. Insured ran out of money."/>
    <x v="3"/>
    <s v="Exterior photo doesn't look weather/element-proof enough. Otherwise could consider with app. (Run insurance score). Came to us with very little info just to check."/>
    <m/>
    <m/>
    <s v="Patterson"/>
  </r>
  <r>
    <x v="30"/>
    <x v="2"/>
    <m/>
    <s v="Melissa"/>
    <s v="Email"/>
    <s v="Jackson, Roddrick"/>
    <m/>
    <s v="HO3 Primary"/>
    <s v="Yorba Linda"/>
    <s v="CA"/>
    <n v="3"/>
    <n v="1000016"/>
    <n v="1800016"/>
    <s v="Prior claims"/>
    <s v="1989 home w/4 prior water claims over 3 years old - no detail. Agt proposing $15K water dmg ded, no backup. $3123 Markel rater; $4512 Lexington"/>
    <x v="0"/>
    <s v="Approved at $4K prem w/$15K water ded."/>
    <m/>
    <m/>
    <s v="Patterson"/>
  </r>
  <r>
    <x v="31"/>
    <x v="2"/>
    <m/>
    <s v="Melissa"/>
    <s v="Email"/>
    <s v="Jolene S. Cherry Living Trust"/>
    <m/>
    <s v="HO3 Secondary"/>
    <s v="Orange County"/>
    <s v="CA"/>
    <n v="4"/>
    <n v="2500000"/>
    <n v="4550000"/>
    <s v="TIV &gt;$3M"/>
    <s v="Prior COC, home now ready for secondary usage of client. No brush"/>
    <x v="1"/>
    <s v="Certificate of Occupancy should be received in next few weeks. All updates completed"/>
    <m/>
    <m/>
    <s v="Burdine"/>
  </r>
  <r>
    <x v="32"/>
    <x v="7"/>
    <m/>
    <s v="Garry"/>
    <s v="Email"/>
    <s v="Davis, Curtis"/>
    <m/>
    <s v="HO3 Primary"/>
    <s v="Chesterfield"/>
    <s v="VA"/>
    <n v="10"/>
    <n v="625000"/>
    <n v="1062500"/>
    <s v="Lapse &lt; 12 months"/>
    <s v="1998 home with lapse. Insd thought mortgage paid. Reviewed online. Unprotected quest looks okay."/>
    <x v="1"/>
    <m/>
    <m/>
    <m/>
    <s v="Patterson"/>
  </r>
  <r>
    <x v="32"/>
    <x v="0"/>
    <s v="MI"/>
    <s v="Jill"/>
    <s v="Email"/>
    <s v="Richmond, Mitchell "/>
    <m/>
    <s v="DP3 Rental"/>
    <s v="Anderson"/>
    <s v="IN"/>
    <m/>
    <m/>
    <m/>
    <s v="Business on property"/>
    <s v="Insured owns this rental home and rents it for residential use. Also has an equipment company on the property.  Construction &amp; machinery equip. Shared driveway. Separation per aerial photo."/>
    <x v="0"/>
    <s v="Exclude roof - 27 years old.  Total Business Excl."/>
    <m/>
    <m/>
    <s v="Patterson"/>
  </r>
  <r>
    <x v="32"/>
    <x v="2"/>
    <m/>
    <s v="Alison"/>
    <s v="Email"/>
    <s v="Zamir, Zion &amp; Michelle"/>
    <m/>
    <s v="DP3 Vacant"/>
    <s v="Los Angeles"/>
    <s v="CA"/>
    <n v="1"/>
    <n v="1433000"/>
    <n v="1576000"/>
    <s v="Possible demolition"/>
    <s v="Insured will either completely demolish or demolish leaving only 1 wall at some unknown date in the future. Currently vacant and being checked."/>
    <x v="3"/>
    <s v="Moral and morale hazard. Why would they want to insure?"/>
    <m/>
    <m/>
    <s v="Patterson"/>
  </r>
  <r>
    <x v="32"/>
    <x v="6"/>
    <m/>
    <s v="Lisa"/>
    <s v="Email"/>
    <s v="Breya, Edward"/>
    <m/>
    <s v="HO3 Primary"/>
    <s v="Woodside   "/>
    <s v="CA"/>
    <n v="10"/>
    <n v="2439983"/>
    <n v="3838783"/>
    <s v="TIV"/>
    <s v="Renewal policy. Inspection concerns addressed."/>
    <x v="1"/>
    <m/>
    <m/>
    <m/>
    <s v="Patterson"/>
  </r>
  <r>
    <x v="33"/>
    <x v="0"/>
    <s v="MI"/>
    <s v="Delta"/>
    <s v="Email"/>
    <s v="Levitt, Daniel"/>
    <m/>
    <s v="HO3 Primary"/>
    <s v="Los Altos Hils"/>
    <s v="CA"/>
    <n v="3"/>
    <n v="2250000"/>
    <n v="3825000"/>
    <s v="TIV"/>
    <s v="1988 home, no update info. Roof okay - tile. Full alarms. Not in brush. Online photos ok."/>
    <x v="1"/>
    <m/>
    <m/>
    <m/>
    <s v="Patterson"/>
  </r>
  <r>
    <x v="33"/>
    <x v="0"/>
    <s v="MI"/>
    <s v="Alexa"/>
    <s v="Email"/>
    <s v="Baskin, Roger"/>
    <m/>
    <s v="DP3 Rental"/>
    <s v="Nashville"/>
    <s v="TN"/>
    <n v="4"/>
    <n v="2784000"/>
    <n v="2789000"/>
    <s v="TIV"/>
    <s v="2008 home with a hail loss in 2012 $89K roof replaced. Online and inspection look good."/>
    <x v="0"/>
    <s v="uw questions blank - need all completed."/>
    <m/>
    <m/>
    <s v="Patterson"/>
  </r>
  <r>
    <x v="33"/>
    <x v="1"/>
    <m/>
    <s v="Andrea"/>
    <s v="Email"/>
    <s v="Thiesen, Raymond"/>
    <m/>
    <s v="DP3 Vacant"/>
    <s v="Cromwell"/>
    <s v="CT"/>
    <m/>
    <n v="305000"/>
    <n v="335000"/>
    <s v="Vacant 2nd term"/>
    <s v="No Losses. Extended vacancy as probate took a while and home had to be updated. Up for sale since 11/16."/>
    <x v="1"/>
    <m/>
    <m/>
    <m/>
    <s v="Patterson"/>
  </r>
  <r>
    <x v="34"/>
    <x v="0"/>
    <s v="MI"/>
    <s v="Alexa"/>
    <s v="Email"/>
    <s v="Bowie, Phillip David"/>
    <m/>
    <s v="HO3 Secondary"/>
    <s v="Fairmount"/>
    <s v="GA"/>
    <n v="10"/>
    <n v="144000"/>
    <n v="231500"/>
    <s v="Response Time  "/>
    <s v="1979 home updated in 2012. Secondary but prim is only 12 miles away. $13K Hail loss in 2016. Lapse since 12/31/16. Drive time&gt;15 per internet. Volunteer FD, dirt roads"/>
    <x v="3"/>
    <s v=" (Lapse, large recent claim, PC10, extended response time, volunteer FD, dirt roads.)  Additionally, I'm always a little skeptical of homes that are presented by the insured as &quot;secondary&quot; when they are close to their primary, in this case only 12 miles away.  (Always wonder if they aren't just vacant homes that are checked on regularly.)"/>
    <m/>
    <m/>
    <s v="Patterson"/>
  </r>
  <r>
    <x v="34"/>
    <x v="0"/>
    <s v="MI"/>
    <s v="Delta"/>
    <s v="Email"/>
    <s v="Gaedtke, Jason"/>
    <m/>
    <s v="HO3 Secondary"/>
    <s v="Severance"/>
    <s v="CO"/>
    <n v="10"/>
    <n v="2200000"/>
    <n v="3342000"/>
    <s v="TIV"/>
    <s v="2014 home w/full alarms and interior sprinklers per app. PC10. Drive time per google is 14-17 min. Paid &amp; volunteer. Accessible. 2 water losses at primary. No risk meter attached-ran FireLine-low fire risk."/>
    <x v="1"/>
    <m/>
    <m/>
    <m/>
    <s v="Patterson"/>
  </r>
  <r>
    <x v="34"/>
    <x v="0"/>
    <s v="MI"/>
    <s v="Danielle"/>
    <s v="Email"/>
    <s v="Nasta, Mauricio"/>
    <m/>
    <s v="HO3 Primary"/>
    <s v="Pacific Palisades"/>
    <s v="CA"/>
    <n v="1"/>
    <n v="1700000"/>
    <n v="3060000"/>
    <s v="TIV"/>
    <s v="1998 home, alarms. Online photo looks good. No adverse info."/>
    <x v="1"/>
    <s v="4/25/17 update. Agent found lapse since 2010. Applying 15% s/c. Credit score in high 900's."/>
    <m/>
    <m/>
    <s v="Patterson"/>
  </r>
  <r>
    <x v="34"/>
    <x v="2"/>
    <m/>
    <s v="Bobbi"/>
    <s v="Email"/>
    <s v="Ernst Benzien Revocable Trust"/>
    <m/>
    <s v="DP3 Vacant"/>
    <s v="Santa Barbara"/>
    <s v="CA"/>
    <n v="5"/>
    <n v="960000"/>
    <n v="1356000"/>
    <s v="Contents limit"/>
    <s v="1977 frame home up for sale. Agent requesting $300,000 personal property. No alarm."/>
    <x v="0"/>
    <s v="$10K theft ded and central station alarm per guidelines."/>
    <m/>
    <m/>
    <s v="Patterson"/>
  </r>
  <r>
    <x v="34"/>
    <x v="2"/>
    <m/>
    <s v="Alison"/>
    <s v="Email"/>
    <s v="Rowe, Maria"/>
    <m/>
    <s v="HO3 Primary"/>
    <s v="Malibu"/>
    <s v="CA"/>
    <n v="3"/>
    <n v="1474000"/>
    <n v="2574000"/>
    <s v="Prior loss"/>
    <s v="Insured has 2 water claims. 2nd was discovered when 1st was being repaired.  Cost=$14. Wonder if we can eliminate surcharge."/>
    <x v="4"/>
    <s v="Asked what the water losses actually were."/>
    <m/>
    <m/>
    <s v="Patterson"/>
  </r>
  <r>
    <x v="35"/>
    <x v="0"/>
    <s v="MI"/>
    <s v="Leslie"/>
    <s v="Email"/>
    <s v="Wesselink, Stephen"/>
    <m/>
    <s v="DP3 Rental"/>
    <s v="Murrieta"/>
    <s v="CA"/>
    <n v="4"/>
    <n v="1516500"/>
    <n v="3033000"/>
    <s v="TIV"/>
    <s v="2007 rental on 10 acres. Mobile home and storage facility w/separate address."/>
    <x v="1"/>
    <m/>
    <m/>
    <m/>
    <s v="Patterson"/>
  </r>
  <r>
    <x v="35"/>
    <x v="0"/>
    <s v="MI"/>
    <s v="Jill"/>
    <s v="Email"/>
    <s v="Love, Faye"/>
    <m/>
    <s v="HO3 Primary"/>
    <s v="Midway"/>
    <s v="GA"/>
    <m/>
    <m/>
    <m/>
    <s v="Vacant Lot Question"/>
    <s v="Home is 2 separate parcels across street from each other. Lot has a garage. Also there is a dock on main property."/>
    <x v="2"/>
    <s v="All checks out. Info in file. No rental."/>
    <m/>
    <m/>
    <s v="Patterson"/>
  </r>
  <r>
    <x v="35"/>
    <x v="2"/>
    <m/>
    <s v="Alison"/>
    <s v="Email"/>
    <s v="Hay, David"/>
    <m/>
    <s v="DP3 Rental"/>
    <s v="Los Angeles"/>
    <s v="CA"/>
    <m/>
    <n v="750000"/>
    <m/>
    <s v="Prior losses"/>
    <s v="Rental property, agent wants 100K contents. 2 prior theft losses. Now has alarm"/>
    <x v="0"/>
    <s v="Risk is okay but contents are not acceptable. Decline addition of contents."/>
    <m/>
    <m/>
    <s v="Patterson"/>
  </r>
  <r>
    <x v="35"/>
    <x v="2"/>
    <m/>
    <s v="Alison"/>
    <s v="Email"/>
    <s v="Burke, Kenneth"/>
    <m/>
    <s v="HO3 Primary"/>
    <s v="Truckee"/>
    <s v="CA"/>
    <m/>
    <n v="422000"/>
    <n v="750000"/>
    <s v="Open Claim"/>
    <s v="1994 home with $119,000 water damage claim. Repairs almost completed. Insured has moved into this as his primary home. In brush."/>
    <x v="1"/>
    <m/>
    <m/>
    <m/>
    <s v="Patterson"/>
  </r>
  <r>
    <x v="35"/>
    <x v="4"/>
    <s v="CO"/>
    <s v="Allison"/>
    <s v="Email"/>
    <s v="Ingersoll, Barbara"/>
    <m/>
    <s v="HO3 Primary"/>
    <s v="Colorado Springs"/>
    <s v="CO"/>
    <n v="9"/>
    <n v="1319000"/>
    <n v="2506000"/>
    <s v="TIV"/>
    <s v="1978 home w/roof update. Home in trust name. 15 min response by volunteer FD. Some dirt roads. Fully accessible."/>
    <x v="0"/>
    <s v="Verify placement on 294 acres does not increase response time and home is accessible on property"/>
    <m/>
    <m/>
    <s v="Patterson"/>
  </r>
  <r>
    <x v="36"/>
    <x v="0"/>
    <s v="MI"/>
    <s v="Jill"/>
    <s v="Email"/>
    <s v="Peterson, Charles"/>
    <m/>
    <s v="HO3 Primary"/>
    <s v="Temecula"/>
    <s v="CA"/>
    <m/>
    <m/>
    <m/>
    <s v="Roof age"/>
    <s v="40 year old tile roof. Avg condition per insp. Okay? Exclude next year?"/>
    <x v="0"/>
    <s v="Exclude next year, or issue now with ACV, reinspect in 3 years and exclude if not replaced."/>
    <m/>
    <m/>
    <s v="Patterson"/>
  </r>
  <r>
    <x v="36"/>
    <x v="0"/>
    <s v="MI"/>
    <s v="Delta"/>
    <s v="Email"/>
    <s v="Noe, Jacob"/>
    <m/>
    <s v="HO3 Primary"/>
    <s v="Bend "/>
    <s v="OR"/>
    <n v="4"/>
    <n v="364000"/>
    <n v="615400"/>
    <s v="Daycare in home"/>
    <s v="2006 home. Daycare up to 16 kids. Agt proposing with liab and Total Business Excl."/>
    <x v="0"/>
    <s v="If there is coml covg in place with Markel, we could write w/liab. Otherwise, X-liab and with Total Business Exclusion."/>
    <m/>
    <m/>
    <s v="Patterson"/>
  </r>
  <r>
    <x v="36"/>
    <x v="0"/>
    <s v="MI"/>
    <s v="Jill"/>
    <s v="Email"/>
    <s v="Doris Pike Guthrie TX Trust"/>
    <m/>
    <s v="DP3 Rental"/>
    <s v="Concan"/>
    <s v="TX"/>
    <n v="9"/>
    <n v="50000"/>
    <n v="928000"/>
    <s v="Open Claim"/>
    <s v="206 rental home. Loss 8/19/16 5 yr old child drowned in insured's pool - was a guest of the renter - parents failed to supervise the child. Nothing paid, reserves $605,000. No liab requested."/>
    <x v="1"/>
    <m/>
    <m/>
    <m/>
    <s v="Patterson"/>
  </r>
  <r>
    <x v="36"/>
    <x v="0"/>
    <s v="MI"/>
    <s v="Delta"/>
    <s v="Email"/>
    <s v="Tait, Thomas &amp; Julie Anne"/>
    <m/>
    <s v="HO6 Seasonal"/>
    <s v="Laguna Beach "/>
    <s v="CA"/>
    <n v="3"/>
    <n v="300000"/>
    <n v="480000"/>
    <s v="High profile"/>
    <s v="1963 updated condo. Insured is mayor of Anaheim. Not in brush. Heat, wire, plumb updated. No roof update. Cover is built up."/>
    <x v="0"/>
    <s v="Condo, so no action on the roof."/>
    <m/>
    <m/>
    <s v="Patterson"/>
  </r>
  <r>
    <x v="36"/>
    <x v="0"/>
    <s v="MI"/>
    <s v="Leslie"/>
    <s v="Email"/>
    <s v="Slater, Debra &amp; Carl"/>
    <m/>
    <s v="HO3 Primary"/>
    <s v="Encino"/>
    <s v="CA"/>
    <n v="1"/>
    <n v="1750000"/>
    <n v="3500000"/>
    <s v="TIV"/>
    <s v="1976 home updated in 2004 w/alarms in brush. Agt noted subj to 150' brush clearance."/>
    <x v="0"/>
    <s v="subj to brush clearance and complete app."/>
    <m/>
    <m/>
    <s v="Patterson"/>
  </r>
  <r>
    <x v="36"/>
    <x v="0"/>
    <s v="MI"/>
    <s v="Jill"/>
    <s v="Email"/>
    <m/>
    <m/>
    <s v="DP3 Rental"/>
    <m/>
    <m/>
    <m/>
    <m/>
    <m/>
    <s v="Rental use"/>
    <s v="Dwellings used to house those recently released from prison and/or ex-military."/>
    <x v="4"/>
    <s v="Asked addl questions to assess opportunity."/>
    <m/>
    <m/>
    <s v="Patterson"/>
  </r>
  <r>
    <x v="36"/>
    <x v="2"/>
    <m/>
    <s v="Alex"/>
    <s v="Call"/>
    <s v="Reed, Kincade"/>
    <m/>
    <s v="HO3 Primary w/Rental"/>
    <m/>
    <m/>
    <m/>
    <n v="500000"/>
    <m/>
    <s v="Proper policy format"/>
    <s v="Insured lives in guest house and rents out main house. On same property, same address."/>
    <x v="0"/>
    <s v="Decided to write guest house as A, rental house as B."/>
    <m/>
    <m/>
    <s v="Patterson"/>
  </r>
  <r>
    <x v="36"/>
    <x v="2"/>
    <m/>
    <s v="Alex"/>
    <s v="Email/Call"/>
    <s v="Mazmavi, Haniffa"/>
    <m/>
    <s v="HO3 Primary"/>
    <s v="Cerritos"/>
    <s v="CA"/>
    <m/>
    <n v="550000"/>
    <n v="935000"/>
    <s v="Prior losses"/>
    <s v="2015 fire loss - daughter fell asleep with oil on the stove.  2015 water leak thru tile roof. 1989 home updated.  Insured is a doctor."/>
    <x v="0"/>
    <s v="Add 20% debit due to size of loss."/>
    <m/>
    <m/>
    <s v="Patterson"/>
  </r>
  <r>
    <x v="37"/>
    <x v="0"/>
    <s v="MI"/>
    <s v="Jill"/>
    <s v="Email"/>
    <s v="Jackson, Cathy"/>
    <m/>
    <s v="HO3 Primary"/>
    <s v="Holly Ridge"/>
    <s v="NC"/>
    <n v="4"/>
    <n v="85000"/>
    <n v="127500"/>
    <s v="Business in home"/>
    <s v="1939 home unsure of updates. Sign business in home and in garage. Lite traffic. No GL."/>
    <x v="4"/>
    <s v="Additional business questions and info on updates - increased demand."/>
    <m/>
    <m/>
    <s v="Patterson"/>
  </r>
  <r>
    <x v="37"/>
    <x v="0"/>
    <s v="MI"/>
    <s v="Delta"/>
    <s v="Email"/>
    <s v="Akenson, Brian"/>
    <m/>
    <s v="HO3 Primary"/>
    <s v="Santee"/>
    <s v="CA"/>
    <n v="2"/>
    <n v="410000"/>
    <n v="820000"/>
    <s v="Business on property"/>
    <s v="2954 home updated. Insd is elec contr. Has business in separate building. No foot traffic. 1 employee. Has GL. Agnt proposing w/TBE."/>
    <x v="0"/>
    <s v="subj to TBE and exclude any commercially used buildings."/>
    <m/>
    <m/>
    <s v="Patterson"/>
  </r>
  <r>
    <x v="37"/>
    <x v="0"/>
    <s v="MI"/>
    <s v=" Delta"/>
    <s v="Email"/>
    <s v="Armstrong, William"/>
    <m/>
    <s v="HO3 Primary"/>
    <s v="Weston "/>
    <s v="MA"/>
    <n v="4"/>
    <n v="2400000"/>
    <n v="4080000"/>
    <s v="TIV"/>
    <s v="2002 home w/full alarms. 1 loss storm dmg to roof 2016 $45K. Closed. Also wants $140K PAF. Beautiful online pics."/>
    <x v="0"/>
    <s v="Can't do the schedule-referred to Markel Specialty."/>
    <m/>
    <m/>
    <s v="Patterson"/>
  </r>
  <r>
    <x v="37"/>
    <x v="2"/>
    <m/>
    <s v="Alison"/>
    <s v="Email"/>
    <s v="Tsao, Tom"/>
    <m/>
    <s v="DP3 Vacant"/>
    <s v="Diamond Bar"/>
    <s v="CA"/>
    <n v="2"/>
    <n v="4000000"/>
    <n v="4800000"/>
    <s v="TIV"/>
    <s v="New 2017 home being professionally decorated, so it will be vacant for a few months. Agent looking for 3 or 6 month terms. Chubb won't allow over 30 day vacancy."/>
    <x v="0"/>
    <s v="Subj to completed app (none attached)."/>
    <m/>
    <m/>
    <s v="Patterson"/>
  </r>
  <r>
    <x v="38"/>
    <x v="0"/>
    <s v="MI"/>
    <s v="Jill"/>
    <s v="Email"/>
    <s v="Glass House Inc"/>
    <m/>
    <s v="DP1 Rental"/>
    <s v="Lancaster"/>
    <s v="PA"/>
    <m/>
    <m/>
    <m/>
    <s v="Transitional housing"/>
    <s v="Director of Glass House Inc owns several dwellings, buying more. Transitional housing for homeless, vets, x-rehab, x-jail families and individuals."/>
    <x v="4"/>
    <s v="  DP-1 w/no liability was the suggestion with other questions before terms could be approved."/>
    <m/>
    <m/>
    <s v="Patterson"/>
  </r>
  <r>
    <x v="38"/>
    <x v="0"/>
    <s v="MI"/>
    <s v="Jill"/>
    <s v="Email"/>
    <s v="Renner, Debby"/>
    <m/>
    <s v="HO3 Primary"/>
    <s v="Farmington "/>
    <s v="AR"/>
    <n v="3"/>
    <n v="166967"/>
    <n v="350000"/>
    <s v="Business on premises"/>
    <s v="Insured owns/operates an RV park on the premises. Coml covg in place. 1963 updated home. Good online reviews and nice home pics."/>
    <x v="0"/>
    <s v="Okay as long as dwelling isn't used for park registrations, etc and there is a separate office for handling that. Verify what Cov B includes and exclude any business structures.//2/27 info came back that this is the office, no other str. Approved x-liab; w/TBE; confirm office only."/>
    <m/>
    <m/>
    <s v="Patterson"/>
  </r>
  <r>
    <x v="38"/>
    <x v="0"/>
    <s v="MI"/>
    <s v="Leslie"/>
    <s v="Email"/>
    <s v="Skaggs, Lori"/>
    <m/>
    <s v="HO3 Primary"/>
    <s v="Arbuckle"/>
    <s v="CA"/>
    <m/>
    <n v="321000"/>
    <n v="600000"/>
    <s v="Tiny house "/>
    <s v="1992 home w/tiny house as other structure. It is occupied by son and is mobile."/>
    <x v="0"/>
    <s v="Can't do the tiny house, but rest of risk is okay.  Provided other sources of insurance. If prof built and permanent, we could consider at this $30K value."/>
    <m/>
    <m/>
    <s v="Patterson"/>
  </r>
  <r>
    <x v="38"/>
    <x v="0"/>
    <s v="MI"/>
    <s v="Leslie"/>
    <s v="Email"/>
    <s v="Lykies, David"/>
    <m/>
    <s v="DP3 Vacant"/>
    <s v="Georgetown"/>
    <s v="TX"/>
    <n v="10"/>
    <n v="1192500"/>
    <n v="1311750"/>
    <s v="TIV   "/>
    <s v="Vacant and for sale. Fully alarmed. Agent applied 10% credit. 2002 home. 3-6-12 mo terms. Agt quoting subj to acceptable PC quest. There Is a hydrant even though this is a pc10."/>
    <x v="0"/>
    <s v="PC quest (as noted)."/>
    <m/>
    <m/>
    <s v="Patterson"/>
  </r>
  <r>
    <x v="38"/>
    <x v="2"/>
    <m/>
    <s v="Alison"/>
    <s v="Email"/>
    <s v="Salamone"/>
    <m/>
    <s v="HO3 COC"/>
    <m/>
    <m/>
    <m/>
    <n v="450000"/>
    <n v="495000"/>
    <s v="Mid-term COC"/>
    <s v="Confusion w/prior carrier covering the COC. Now 60% done. Close contact of agent. Apps and forms look in order."/>
    <x v="0"/>
    <s v="Reason for decl, canc, nrn? Add surcharge. 3 month-1 year term okay."/>
    <m/>
    <m/>
    <s v="Patterson"/>
  </r>
  <r>
    <x v="39"/>
    <x v="2"/>
    <m/>
    <s v="Alex"/>
    <s v="Email"/>
    <s v="Adler, Ellen &amp; Elliot"/>
    <m/>
    <s v="HO3 Primary"/>
    <s v="San Diego "/>
    <s v="CA"/>
    <m/>
    <n v="1305673"/>
    <n v="2700000"/>
    <s v="Lapse"/>
    <s v="No covg since 10/15 when prior carrier nonrenewed. Mtg didn't force place. Just realized no coverage.  Insds are both attorneys per internet search. Loss 10/15 toilet overflow damage to bathroom and downstairs."/>
    <x v="0"/>
    <s v="No online photos. A+ I ran shows this loss only. Ins scores very good. Subj to confirm reason for nrn in 2015, current/complete app, 15% surcharge."/>
    <m/>
    <m/>
    <s v="Patterson"/>
  </r>
  <r>
    <x v="40"/>
    <x v="2"/>
    <m/>
    <s v="Alison"/>
    <s v="Email"/>
    <s v="Pashaie, David"/>
    <m/>
    <s v="HO3 COC"/>
    <s v="West Hollywood"/>
    <s v="CA"/>
    <n v="2"/>
    <n v="500000"/>
    <n v="600000"/>
    <s v="Mid-term construction"/>
    <s v="Construction underway. Wrote w/ NatGen but they cancelled due to items still under construction. 1901 home completely gutted and rebuilt."/>
    <x v="2"/>
    <s v="w/Pool Exclusion &amp; 10% s/c for mid-term constr.//Follow up 3/2 that there was a prior theft and prior $72K water loss causing mold=leak in guest bath. Both from prior owners. Plumbing replaced and home is gutted and being renovated."/>
    <m/>
    <m/>
    <s v="Patterson"/>
  </r>
  <r>
    <x v="40"/>
    <x v="2"/>
    <m/>
    <s v="Alex"/>
    <s v="Email"/>
    <s v="Aucella, Adam"/>
    <m/>
    <s v="HO3 COC"/>
    <s v="Nevada City"/>
    <s v="CA"/>
    <n v="5"/>
    <n v="650000"/>
    <n v="880000"/>
    <s v="Mid-term construction/lapse"/>
    <s v="Home was gutted to studs last year. Pol renewal lapsed 1/11/17. Insd claims didn't get renewal offer. Interior not complete. Bed &amp; bath ready so insured is moving in. "/>
    <x v="0"/>
    <s v="subj to: will add w/s note on app - verify. Need all uw ?'s answered. Confirm what heavy equipment they have, value, use. Noted on app."/>
    <m/>
    <m/>
    <s v="Patterson"/>
  </r>
  <r>
    <x v="40"/>
    <x v="2"/>
    <m/>
    <s v="Bobbi"/>
    <s v="Email"/>
    <s v="Matson, Ginger"/>
    <m/>
    <s v="HO3 Secondary/Rental"/>
    <s v="Big Bear City"/>
    <s v="CA"/>
    <n v="3"/>
    <n v="229000"/>
    <n v="248000"/>
    <s v="Backdate"/>
    <s v="1970 home updated. Escrow closed - escrow office neglected to advise covg to be bound. Agt provide e-signed no loss letter. Agt says very organized retailer."/>
    <x v="0"/>
    <s v="Addl info that prior owner had 2 water losses. Agt quoted w/5K water ded. Also asked for rush EHP inspection and make sure to get off if any issues."/>
    <m/>
    <m/>
    <s v="Patterson"/>
  </r>
  <r>
    <x v="41"/>
    <x v="0"/>
    <s v="MI"/>
    <s v="Leslie"/>
    <s v="Email"/>
    <s v="Begley, Robert"/>
    <m/>
    <s v="DP3 Rental"/>
    <s v="Napa"/>
    <s v="CA"/>
    <n v="6"/>
    <n v="2115000"/>
    <n v="2476500"/>
    <s v="TIV"/>
    <s v="2005 home no losses. Agent wants &quot;deluxe&quot; coverages."/>
    <x v="1"/>
    <m/>
    <m/>
    <m/>
    <s v="Patterson"/>
  </r>
  <r>
    <x v="41"/>
    <x v="0"/>
    <s v="MI"/>
    <s v="Delta"/>
    <s v="Call"/>
    <m/>
    <m/>
    <s v="DP3 Rental"/>
    <m/>
    <m/>
    <m/>
    <m/>
    <m/>
    <s v="Additional Insured"/>
    <s v="Mother owns home in name of trust. Renting to daughter. DP3/HO4. Daughter wants to be Addl Insd on DP3. No contract in place."/>
    <x v="1"/>
    <s v="Agreed w/ Delta-with no contract pol is written right; daughter cant be AI, can be additional interest only (notification)"/>
    <m/>
    <m/>
    <s v="Patterson"/>
  </r>
  <r>
    <x v="41"/>
    <x v="0"/>
    <s v="MI"/>
    <s v="Delta"/>
    <s v="Email"/>
    <s v="Bartosh, Frank"/>
    <m/>
    <s v="HO3 Secondary"/>
    <s v="Carthage"/>
    <s v="MO"/>
    <m/>
    <n v="87300"/>
    <n v="193420"/>
    <s v="Business on premises"/>
    <s v="1991 frame home. 145 acres - insd bales hay from property as secondary profession. Prim home has auto body and airstrip-insured by Lloyds. Agnt applying Total Business Exclusion."/>
    <x v="0"/>
    <s v="Verify use of Machine Shed noted on app $71,200. If biz equip stored in it, the TBE will exclude covg if a loss occurs from the equip. May need to insure elsewhere. If personal use, okay."/>
    <m/>
    <m/>
    <s v="Patterson"/>
  </r>
  <r>
    <x v="41"/>
    <x v="2"/>
    <m/>
    <s v="Alison"/>
    <s v="Email"/>
    <s v="Hercules Development"/>
    <m/>
    <s v="DP3 Vacant"/>
    <s v="Los Angeles"/>
    <s v="CA"/>
    <n v="2"/>
    <n v="200000"/>
    <n v="200000"/>
    <s v="COC by developer"/>
    <s v="1980 home updated in 2000. No demo. Interior construction only being done by a developer to sell. GC involved to oversee reno. Agt adding 15-20%."/>
    <x v="0"/>
    <s v="Online photos - possible flat roof."/>
    <m/>
    <m/>
    <s v="Patterson"/>
  </r>
  <r>
    <x v="42"/>
    <x v="0"/>
    <s v="MI"/>
    <s v="Alexa"/>
    <s v="Email"/>
    <s v="Walter, Ronald"/>
    <m/>
    <s v="DP3 Vacant"/>
    <s v="Riverview"/>
    <s v="FL"/>
    <n v="5"/>
    <n v="2000000"/>
    <n v="2030000"/>
    <s v="TIV"/>
    <s v="2008 home, no alarms, vacant and up for sale. Very nice pics online, waterfront. 3/6/12 mo terms. Home checked on several times/week. $10K theft ded; $5K VMM ded."/>
    <x v="1"/>
    <m/>
    <m/>
    <m/>
    <s v="Patterson"/>
  </r>
  <r>
    <x v="42"/>
    <x v="0"/>
    <s v="MI"/>
    <s v="Delta"/>
    <s v="Email"/>
    <s v="Nickles, Julie"/>
    <m/>
    <s v="DP3 Rental"/>
    <s v="York"/>
    <s v="PA"/>
    <n v="4"/>
    <n v="750000"/>
    <n v="837500"/>
    <s v="Roof exclusion waiver?"/>
    <s v="1991 home. 26 year old roof, no updates. Insp says average condn. Was vacant, now going to be a rental. Agent asking for exception to remove exclusion."/>
    <x v="0"/>
    <s v="Write with ACV roof and increased water damage deductible $5,000 minimum? No close up photos of roof."/>
    <m/>
    <m/>
    <s v="Patterson"/>
  </r>
  <r>
    <x v="43"/>
    <x v="7"/>
    <m/>
    <s v="Garry"/>
    <s v="Email"/>
    <s v="Powers, John"/>
    <m/>
    <s v="HO3 Primary"/>
    <s v="Pocomoke City"/>
    <s v="MD"/>
    <n v="10"/>
    <n v="192446"/>
    <n v="479136"/>
    <s v="PC10   "/>
    <s v="1985 frame home. Volunteer FD is 10.2 miles away, 18 min response per google. "/>
    <x v="3"/>
    <m/>
    <m/>
    <m/>
    <s v="Patterson"/>
  </r>
  <r>
    <x v="43"/>
    <x v="0"/>
    <s v="MI"/>
    <s v="Danielle"/>
    <s v="Email"/>
    <s v="Yager, Brent"/>
    <m/>
    <s v="HO3 Primary"/>
    <s v="Greeley"/>
    <s v="CO"/>
    <n v="3"/>
    <n v="275000"/>
    <n v="495000"/>
    <s v="Party Wall Agreement"/>
    <s v="2017 new build 5 unit attached townhome w/party wall agreement. "/>
    <x v="1"/>
    <m/>
    <m/>
    <m/>
    <s v="Patterson"/>
  </r>
  <r>
    <x v="43"/>
    <x v="0"/>
    <s v="MI"/>
    <s v="Leslie"/>
    <s v="Email"/>
    <s v="Readdick, Cocoa"/>
    <m/>
    <s v="HO3 Secondary"/>
    <s v="Hird Island"/>
    <s v="GA"/>
    <n v="11"/>
    <n v="160000"/>
    <n v="288000"/>
    <s v="PC10/TIV"/>
    <s v="2000 dwelling w/no rental, no losses. Could not find exact addr online, but map shows &gt;2 miles. "/>
    <x v="3"/>
    <s v="Seasonal, no alarms, not accessible, long response time from volunteers by boat. Definite total loss if a fire starts. Advised Leslie to write back with supporting info and pricing rec if she feels strongly about writing."/>
    <m/>
    <m/>
    <s v="Patterson"/>
  </r>
  <r>
    <x v="43"/>
    <x v="0"/>
    <s v="MI"/>
    <s v="Leslie"/>
    <s v="Email"/>
    <s v="Dugger, Lesley"/>
    <m/>
    <s v="HO3 Secondary"/>
    <s v="Amarillo"/>
    <s v="NM"/>
    <n v="10"/>
    <n v="148000"/>
    <n v="626400"/>
    <s v="Response time"/>
    <s v="20-25 min response time by volunteer FD. FD is 15 miles away. Pumper w/lake 500'-1/4 mile away. Alarms. Locked gate to property."/>
    <x v="3"/>
    <s v="Volunteer FD w/FD 15 miles away and pumper. Definite total loss if a fire starts. Advised Alexa to send supporting info and strong pricing if she feels strongly about writing."/>
    <m/>
    <m/>
    <s v="Patterson"/>
  </r>
  <r>
    <x v="43"/>
    <x v="0"/>
    <s v="MI"/>
    <s v="Delta"/>
    <s v="Email"/>
    <s v="Conover, Jason"/>
    <m/>
    <s v="HO3 Primary"/>
    <s v="Springfield"/>
    <s v="MO"/>
    <n v="2"/>
    <n v="454472"/>
    <m/>
    <s v="Prior loss"/>
    <s v="1976 home updated in 2016 2/ 2 losses: 13 dishwasher line $17K; 11/15 meat smoker on deck caught home on fire $300k. Insd may sell lularoe and tupperware. Agt offering X-liab. Wants BPP."/>
    <x v="2"/>
    <s v="$10K BPP. Fire Marshall report confirms accidental, unattended, cooking under covered patio. Requested addl 15% surcharge."/>
    <m/>
    <m/>
    <s v="Patterson"/>
  </r>
  <r>
    <x v="43"/>
    <x v="2"/>
    <m/>
    <s v="Alison"/>
    <s v="Email"/>
    <s v="McFarlane, Dijon (DJ Mustard)"/>
    <m/>
    <s v="HO3 Primary"/>
    <s v="Chatsworth "/>
    <s v="CA"/>
    <n v="2"/>
    <n v="2014000"/>
    <n v="3625000"/>
    <s v="High profile"/>
    <s v="Insured is rapper/songwriter/producer DJ Mustard 26 years old. Agent requesting without liability. No adverse online info."/>
    <x v="3"/>
    <s v="Decline property and liability due to nature of the risk. Pretty consistent w/other decisions."/>
    <m/>
    <m/>
    <s v="Patterson"/>
  </r>
  <r>
    <x v="43"/>
    <x v="2"/>
    <m/>
    <s v="Alison"/>
    <s v="Email"/>
    <s v="Warmington, William"/>
    <m/>
    <s v="HO3 COC"/>
    <s v="Newport Beach"/>
    <s v="CA"/>
    <m/>
    <n v="1600000"/>
    <n v="1600000"/>
    <s v="TIV"/>
    <s v="Home was total fire loss due to elec. After demo, would write this policy. Wants $100K building materials. Trust."/>
    <x v="3"/>
    <s v="Need fire marshall report. Can do $25K theft of bldg matl."/>
    <m/>
    <m/>
    <s v="Patterson"/>
  </r>
  <r>
    <x v="44"/>
    <x v="2"/>
    <m/>
    <s v="Bobbi"/>
    <s v="Call"/>
    <m/>
    <m/>
    <s v="HO3 Primary"/>
    <m/>
    <m/>
    <m/>
    <m/>
    <m/>
    <s v="Backdate"/>
    <s v="Bobbi quoted a risk 1/27/2017 which had fuses, but upgraded to C/B. She gave Markel and Lex quote. By mistake, agent asked for Lex to be bound. Just realizing it. Wondered if we could go back to 1/27/17 to fulfill intent. "/>
    <x v="3"/>
    <s v="I advised to fulfill MEP w/ Lex and then switch to us."/>
    <m/>
    <m/>
    <s v="Patterson"/>
  </r>
  <r>
    <x v="45"/>
    <x v="3"/>
    <s v="AL"/>
    <s v="Janet"/>
    <s v="Email"/>
    <s v="147 Liberty Rd Perry"/>
    <m/>
    <s v="HO3 Primary"/>
    <s v="Picayune"/>
    <s v="MS"/>
    <n v="8"/>
    <n v="420000"/>
    <n v="532000"/>
    <s v="&gt;25 acres"/>
    <s v="2004 home on 37 acres. No business or farming. "/>
    <x v="0"/>
    <s v="Verify home is accessible to emergency vehicles."/>
    <m/>
    <m/>
    <s v="Patterson"/>
  </r>
  <r>
    <x v="45"/>
    <x v="0"/>
    <m/>
    <s v="Leslie"/>
    <s v="Email"/>
    <s v="Iovanni, Matt (BWH102889)"/>
    <m/>
    <s v="HO3 Primary"/>
    <m/>
    <m/>
    <m/>
    <m/>
    <m/>
    <s v="3 mortgagees"/>
    <s v="Insured requesting to add 3rd mortgagee. Agent asking if they have to cancel or nonrenew."/>
    <x v="2"/>
    <s v="Asked numerous questions to evaluate. Ins score decent. Ok by Louisa."/>
    <m/>
    <m/>
    <s v="Patterson"/>
  </r>
  <r>
    <x v="45"/>
    <x v="0"/>
    <s v="MI"/>
    <s v="Danielle"/>
    <s v="Email"/>
    <s v="Estate of Randy Phillips"/>
    <m/>
    <s v="HO3 Seasonal"/>
    <s v="Goodlettesville"/>
    <s v="TN"/>
    <m/>
    <n v="2664600"/>
    <n v="3830440"/>
    <s v="TIV"/>
    <s v="1989 home updated. Alarms. Parents passed away, son stays there  a couple of times a month throughout the year. Yes answers on app to knob &amp; tube, etc and lapse."/>
    <x v="2"/>
    <s v="Per Danielle, questions answered wrong. No issues."/>
    <m/>
    <m/>
    <s v="Patterson"/>
  </r>
  <r>
    <x v="45"/>
    <x v="0"/>
    <s v="MI"/>
    <s v="Danielle"/>
    <s v="Email"/>
    <s v="Richmond, Mitchell "/>
    <m/>
    <s v="HO3 Primary"/>
    <s v="Bell Canyon"/>
    <s v="CA"/>
    <n v="3"/>
    <n v="1800000"/>
    <n v="3420000"/>
    <s v="TIV"/>
    <s v="1987 frame home, no alarms, high brush zone. $5K AOP.  Nice online photos."/>
    <x v="2"/>
    <s v="approved subj to 150' clearance and central fire/burglar alarms."/>
    <m/>
    <m/>
    <s v="Patterson"/>
  </r>
  <r>
    <x v="45"/>
    <x v="6"/>
    <m/>
    <s v="Kirk"/>
    <s v="Email"/>
    <s v="Singh, Manjit"/>
    <m/>
    <s v="HO3 Primary"/>
    <s v="Wilton"/>
    <s v="CA"/>
    <n v="9"/>
    <n v="1200000"/>
    <n v="2400000"/>
    <s v="TIV"/>
    <s v="2005 home not in brush. PC 8b=9 as there is a hydrant. Unsure of alarms. $2500 ded"/>
    <x v="0"/>
    <s v="• Rating should be PC9 (we don’t have 8b in your program).  It sounds like there is a hydrant source, so that keeps it from being a 10.  (I’ve attached that bulletin we recently sent out which is helpful.)_x000a_• Central station burglar and fire would be required or we would need to apply $10,000 AOP deductible._x000a_• Online description mentions olive trees and orchard:  https://www.zillow.com/homedetails/9681-Stablegate-Rd-Wilton-CA-95693/61331481_zpid/. Please find out additional details.  Is this personal use?  Any commercial sales? How big of an area?  If business use or large area, we’ll need to ask additional questions._x000a_"/>
    <m/>
    <m/>
    <s v="Patterson"/>
  </r>
  <r>
    <x v="46"/>
    <x v="0"/>
    <s v="MI"/>
    <s v="Delta"/>
    <s v="Email"/>
    <s v="Hodges, Cyndy"/>
    <m/>
    <s v="DP3 Rental"/>
    <s v="Carmel"/>
    <s v="CA"/>
    <n v="2"/>
    <n v="125000"/>
    <n v="147500"/>
    <s v="Can't get RiskMeter"/>
    <s v="1962 rental condo updated in 07. Prior water loss charged for $51K water pipe burst. Address has no street #."/>
    <x v="1"/>
    <s v="Ran FireLine-got zip level match. Appears to be majority is 6 exposure which equates to low in RiskMeter."/>
    <m/>
    <m/>
    <s v="Patterson"/>
  </r>
  <r>
    <x v="46"/>
    <x v="0"/>
    <s v="MI"/>
    <s v="Delta"/>
    <s v="Email"/>
    <s v="Walton, Nathan &amp; Alexandra"/>
    <m/>
    <s v="HO3 Primary"/>
    <s v="Malibu"/>
    <s v="CA"/>
    <n v="4"/>
    <n v="3000000"/>
    <n v="4999999"/>
    <s v="TIV"/>
    <s v="2015 home. In Renie zone but extremely low CDS and low exposure to a medium zone. State Farm NRN's due to not passing brush insp. We would not require since not brush by our defn. Beautiful online photos. Fully alarmed. No horses per submission."/>
    <x v="1"/>
    <s v="Agent noted $5M limit and that we would have to cancel if it goes over."/>
    <m/>
    <m/>
    <s v="Patterson"/>
  </r>
  <r>
    <x v="46"/>
    <x v="0"/>
    <s v="MI"/>
    <s v="Alexa"/>
    <s v="Email"/>
    <s v="Stucker, Carol"/>
    <m/>
    <s v="DP3 Vacant"/>
    <m/>
    <s v="AZ"/>
    <n v="3"/>
    <n v="1800000"/>
    <n v="2110000"/>
    <s v="TIV"/>
    <s v="1976 home roof updt 2010, util updt partial 1998. Full alarms. $2500 AOP. Vacant &amp; for sale."/>
    <x v="1"/>
    <m/>
    <m/>
    <m/>
    <s v="Patterson"/>
  </r>
  <r>
    <x v="46"/>
    <x v="8"/>
    <m/>
    <s v="Alia"/>
    <s v="Email"/>
    <s v="Kosky, Audrey"/>
    <m/>
    <s v="HO3 Primary"/>
    <s v="Mt Pleasant"/>
    <s v="SC"/>
    <m/>
    <n v="293600"/>
    <n v="500000"/>
    <s v="Prior loss "/>
    <s v="2014 dog bite claim, insured still has dog. Taking obedience classes. Agent wants to write with animal exclusion. $275K liab loss."/>
    <x v="1"/>
    <m/>
    <m/>
    <m/>
    <s v="Patterson"/>
  </r>
  <r>
    <x v="46"/>
    <x v="2"/>
    <m/>
    <s v="Alison"/>
    <s v="Call"/>
    <m/>
    <m/>
    <m/>
    <m/>
    <m/>
    <m/>
    <m/>
    <m/>
    <s v="Trampoline "/>
    <s v="In ground trampoline. Anything additional than the trampoline exclusion? "/>
    <x v="1"/>
    <s v="Advised of hazards and said excl is adequate."/>
    <m/>
    <m/>
    <s v="Patterson"/>
  </r>
  <r>
    <x v="46"/>
    <x v="2"/>
    <m/>
    <s v="Alison"/>
    <s v="Call"/>
    <s v="Djougourian, Arsen"/>
    <m/>
    <s v="HO3 Primary"/>
    <s v="Glendale"/>
    <s v="CA"/>
    <n v="3"/>
    <n v="1800000"/>
    <n v="2220000"/>
    <s v="Pricing "/>
    <s v="Alison added 7% brush surcharge because it is near brush, but not a brush area.  She is looking for some give due to us being $200 higher than competition. They have sprinklers. Decided a 2% s/c was fine. Nice online risk. Rear yard is brush and then homes. Doesn't appear dense."/>
    <x v="1"/>
    <s v="She is sending confirmation."/>
    <m/>
    <m/>
    <s v="Patterson"/>
  </r>
  <r>
    <x v="46"/>
    <x v="2"/>
    <m/>
    <s v="Bobbi"/>
    <s v="Email"/>
    <s v="Horowitz, Jack"/>
    <m/>
    <s v="HO3 Primary"/>
    <s v="Pasadena"/>
    <s v="CA"/>
    <n v="1"/>
    <n v="1055250"/>
    <n v="1899450"/>
    <s v="COC"/>
    <s v="1956 home w/updates. New purchase. Insd is taking 1 month to repaint, change carpet and new cabinets. Nothing major. Agent wants to write as HO3 Vs. COC."/>
    <x v="0"/>
    <s v="If no work to electrical plumbing, makes sense. "/>
    <m/>
    <m/>
    <s v="Patterson"/>
  </r>
  <r>
    <x v="46"/>
    <x v="6"/>
    <m/>
    <s v="Lisa"/>
    <s v="Email"/>
    <s v="Blum, Craig &amp; Kimberly"/>
    <m/>
    <s v="HO3 Seasonal w/Rental"/>
    <s v="Rancho Mirage"/>
    <s v="CA"/>
    <n v="9"/>
    <n v="1449000"/>
    <n v="2289000"/>
    <s v="TIV"/>
    <s v="2015 home not in brush. Online photos show portions of flat roof. Agent quoted PC9. Full alarms and partial sprinklers"/>
    <x v="0"/>
    <s v="$10K wtr dmg ded for flat roof."/>
    <m/>
    <m/>
    <s v="Patterson"/>
  </r>
  <r>
    <x v="47"/>
    <x v="0"/>
    <s v="MI"/>
    <s v="Delta"/>
    <s v="Email"/>
    <s v=" 118 Scrub Oak LLC"/>
    <m/>
    <s v="HO3 Seasonal w/Rental"/>
    <s v="Santa Rosa Beach"/>
    <s v="FL"/>
    <n v="3"/>
    <n v="2400000"/>
    <n v="4050000"/>
    <s v="High profile"/>
    <s v="2014 home owned by Drew Brees, pro football player of New Orleans Saints. Investment for seasonal use and STR. No alarms. .5 mi from coast, wind/hail excluded. Agent quoting subj to alarms and LLC quest."/>
    <x v="0"/>
    <s v="Approved property coverage, but exclude liability and exclude personal injury. Insd is pretty high profile."/>
    <m/>
    <m/>
    <s v="Patterson"/>
  </r>
  <r>
    <x v="47"/>
    <x v="0"/>
    <s v="MI"/>
    <s v="Jill"/>
    <s v="Email"/>
    <s v="Akin, Cheri"/>
    <m/>
    <s v="DP3 Rental"/>
    <s v="Placerville"/>
    <s v="CA"/>
    <n v="4"/>
    <n v="725000"/>
    <n v="802500"/>
    <s v="Mine shaft on property"/>
    <s v="2007 home in brush. Seasonal pond, mine shaft, 40 acres, tree house. Online photos show good railing and professional looking tree house. 40 acres ok. Seasonal pond ok. Insd offered to fence mine shaft."/>
    <x v="0"/>
    <s v="• Confirmation of 150' brush clearance_x000a_• Regarding the mine shaft:  (1) The insured should fence off any entrances to the mine shaft so they are secure. (2) Insured should add signage indicating &quot;Danger - Do Not Enter&quot; or something to that effect.  (3) Insured should advise tenants the mine shaft is off limits and they are not to enter.  (4) It is recommended the insured consult with their legal counsel about adding language to their tenant lease stating the mine shaft is off limits and they are not responsible for injury._x000a_This is not a feature of the property added by the insured. It is not naturally occurring, but did come with the property. Securing entrances and advising tenants not to use, adding a waiver to the lease should protect the insured."/>
    <m/>
    <m/>
    <s v="Patterson"/>
  </r>
  <r>
    <x v="47"/>
    <x v="0"/>
    <s v="MI"/>
    <s v="Delta"/>
    <s v="Email"/>
    <s v=" Vanacore, Derek"/>
    <m/>
    <s v="HO3 Primary"/>
    <m/>
    <s v="CA"/>
    <n v="3"/>
    <n v="2950000"/>
    <n v="4995000"/>
    <s v="TIV"/>
    <s v="2003 home not in brush, full alarms. Aware of $5M TIV max. 3 prior losses: wind 2/14 $59,495; theft jetski (open) 10/15 $2350; water $9942 2/3/16. Lapse-10% s/c applied."/>
    <x v="0"/>
    <s v="I am approving terms for you as quoted subject to:_x000a_• If water claim of 2/3/16 was backup related, please do not add water backup coverage. _x000a_• Please obtain details about the stolen jetski and the water damage claim and if there is anything out of the ordinary or concerning, please check back with me to review terms.  Assuming no negligent action with the stolen jetski.  Assuming pipe break or leak.  (Didn’t want you to have to wait to bind…)_x000a_"/>
    <m/>
    <m/>
    <s v="Patterson"/>
  </r>
  <r>
    <x v="47"/>
    <x v="4"/>
    <s v="CO"/>
    <s v="Alison"/>
    <s v="Email"/>
    <s v="Cardillo, Michael"/>
    <m/>
    <s v="HO3 Primary"/>
    <s v="Lupton"/>
    <s v="CO"/>
    <m/>
    <m/>
    <m/>
    <s v="Animal liability"/>
    <s v="Insured has a 2014 animal loss - horse got out on road and caused collision. $2716. Agent wants to offer $10K or $25K liab for top agent as an exception."/>
    <x v="2"/>
    <s v="• How many horses and goats?_x000a_• Please confirm no breeding, boarding, or riding lessons._x000a_• Are the horses kept in a fenced area?_x000a_• What kind of fence?_x000a_• With the loss that occurred, did the horse get out of their fenced area?  Was there a problem with the fence?  _x000a__x000a_Received answers - in file. sounds secure enough to offer $10K animal liab."/>
    <m/>
    <m/>
    <s v="Patterson"/>
  </r>
  <r>
    <x v="47"/>
    <x v="4"/>
    <s v="CO"/>
    <s v="Allison"/>
    <s v="Email"/>
    <s v=" Allor, Charles &amp; Wendy"/>
    <m/>
    <s v="DP3 Builders Risk"/>
    <s v="Englewood"/>
    <s v="CO"/>
    <n v="2"/>
    <n v="175000"/>
    <n v="247500"/>
    <s v="Mid term builders risk"/>
    <s v="1939 home w/reno mostly complete. Home closed in, still walls, final elec/hear, floor, kitch, bath. Licensed contractor. Big agent for Allison. Insured never responded to questions last fall to take coverage then. 20% s/c added."/>
    <x v="1"/>
    <m/>
    <m/>
    <m/>
    <s v="Patterson"/>
  </r>
  <r>
    <x v="48"/>
    <x v="0"/>
    <s v="MI"/>
    <s v="Leslie"/>
    <s v="Email"/>
    <s v="Panas, Cynthia"/>
    <m/>
    <s v="DP3"/>
    <s v="Allentown"/>
    <s v="PA"/>
    <n v="3"/>
    <n v="200000"/>
    <n v="240000"/>
    <s v="Older home w/ RC"/>
    <s v="This was built in 1920, tenant occupied, located in PA and fully updated.  Heatiing 1996, wiring 1996, plumbing  1996 and roofing 2012. No losses."/>
    <x v="0"/>
    <s v="Reviewed google maps, no flat roof, Home looks OK. Sinc gutted, Approval subject to  inspection including EHP "/>
    <m/>
    <m/>
    <s v="K.Burdine"/>
  </r>
  <r>
    <x v="49"/>
    <x v="0"/>
    <s v="MI"/>
    <s v="Jill"/>
    <s v="Email"/>
    <s v="Mohsen, Aly"/>
    <m/>
    <s v="DP3 Seasonal w/Rental"/>
    <s v="Springfield"/>
    <s v="MO"/>
    <n v="2"/>
    <n v="745782"/>
    <n v="1550000"/>
    <s v="Prior Felony"/>
    <s v="Insured charged w/perjury (and more) in 2006. Many news articles. 1989 home w/ no losses. This is not held against the insured, but FYI, the insured's brother tried to take out a hit on the judge in the case and burn down a jurors home."/>
    <x v="3"/>
    <m/>
    <m/>
    <m/>
    <s v="Patterson"/>
  </r>
  <r>
    <x v="49"/>
    <x v="1"/>
    <m/>
    <s v="Ray"/>
    <s v="Email"/>
    <s v="Hunter, John RUA015391"/>
    <m/>
    <s v="HO3 Builders Risk"/>
    <m/>
    <m/>
    <m/>
    <m/>
    <m/>
    <s v="Length of construction"/>
    <s v="We have been on this risk for 1 year. Agent wants to extend 3 months."/>
    <x v="1"/>
    <m/>
    <m/>
    <m/>
    <s v="Patterson"/>
  </r>
  <r>
    <x v="49"/>
    <x v="6"/>
    <m/>
    <s v="Lisa"/>
    <s v="Email"/>
    <s v="Kawahara Revocable Trust"/>
    <m/>
    <s v="HO3 Primary"/>
    <s v="Placerville"/>
    <s v="CA"/>
    <n v="9"/>
    <n v="187000"/>
    <n v="502900"/>
    <s v="PC9"/>
    <s v="1986 home w/updated roof. Online pics ok. Insd appears to be a professional artist per google. Has a detached art studio for total of $185,000 Cov B w/ garage and art studio."/>
    <x v="0"/>
    <s v="Reviewed w/Jeff - Fireline is High 6. Good rate for the brush zones now. Asked Lisa if any professional work in studio, delivery, etc, need to re-review."/>
    <m/>
    <m/>
    <s v="Patterson"/>
  </r>
  <r>
    <x v="50"/>
    <x v="0"/>
    <s v="MI"/>
    <s v="Alexa"/>
    <s v="Email"/>
    <s v="Roll, George"/>
    <m/>
    <s v="HO3 Primary"/>
    <s v="Lecompton"/>
    <s v="KS"/>
    <n v="5"/>
    <n v="200000"/>
    <n v="400000"/>
    <s v="Business on premises"/>
    <s v="1925 home updated in 1996. Nice online photos. Large open carport structures for boat storage. 10 customers per month. Has GL w/Allied. Separate from home."/>
    <x v="0"/>
    <s v="Total Business Excl; Exclude other str ($20K Cov B included); get reason for prior cancel/nrn."/>
    <m/>
    <m/>
    <s v="Patterson"/>
  </r>
  <r>
    <x v="50"/>
    <x v="0"/>
    <s v="MI"/>
    <s v="Jill"/>
    <s v="Email"/>
    <s v="Cambre, Carla "/>
    <m/>
    <s v="HO3 Seasonal"/>
    <s v="Vacherie"/>
    <s v="LA"/>
    <n v="10"/>
    <n v="124000"/>
    <n v="186400"/>
    <s v="Response time"/>
    <s v="27 minute response time in PC10. 1970 home updated. "/>
    <x v="3"/>
    <s v="FD 19 miles away with 27 min response time. Definite total loss if fire starts. Advised Jill to send supporting info and strong pricing if she feels strongly about writing."/>
    <m/>
    <m/>
    <s v="Patterson"/>
  </r>
  <r>
    <x v="50"/>
    <x v="2"/>
    <m/>
    <s v="Alison"/>
    <s v="Call"/>
    <m/>
    <m/>
    <s v="HO3 Primary"/>
    <m/>
    <m/>
    <m/>
    <m/>
    <m/>
    <s v="Open Claim"/>
    <s v="Insured has Doberman that recently bit mailman. $25K reserve still open."/>
    <x v="0"/>
    <s v="Could consider w/full submission. Could exclude the dog or add Ltd Animal Liab since dog is double excluded."/>
    <m/>
    <m/>
    <s v="Patterson"/>
  </r>
  <r>
    <x v="50"/>
    <x v="2"/>
    <m/>
    <s v="Alison"/>
    <s v="Call"/>
    <s v="LaCroix, Marsa"/>
    <m/>
    <s v="HO3 Primary"/>
    <m/>
    <m/>
    <m/>
    <m/>
    <m/>
    <s v="Claim History"/>
    <s v="4/16 $48K water backup (roots in drain); 2/22/17 $0 closed/denied - rain damage to paperwork (insd writing a book). "/>
    <x v="0"/>
    <s v="Agent adding $10k water dmg ded. Sent email confirming."/>
    <m/>
    <m/>
    <s v="Patterson"/>
  </r>
  <r>
    <x v="50"/>
    <x v="9"/>
    <m/>
    <s v="Chris"/>
    <s v="Email"/>
    <s v="Burke, Joshua J"/>
    <m/>
    <s v="DP3 Rental"/>
    <m/>
    <m/>
    <m/>
    <n v="560000"/>
    <m/>
    <s v="Age of home"/>
    <s v="1895 home well maintained and updated for an employee of XSB. Not gut rehabbed. Adding FRC. $2500 ded.  (1900 rule)"/>
    <x v="1"/>
    <m/>
    <m/>
    <m/>
    <s v="Patterson"/>
  </r>
  <r>
    <x v="51"/>
    <x v="0"/>
    <s v="MI"/>
    <s v="Alexa"/>
    <s v="Email"/>
    <s v="Tryon, David"/>
    <m/>
    <s v="HO3 Primary"/>
    <m/>
    <s v="CA"/>
    <n v="9"/>
    <n v="227614"/>
    <n v="341375"/>
    <s v="RC - Not Gutted"/>
    <s v="1947 home updated, not gutted. Average looking home per insp. In brush zone, 15 min response. "/>
    <x v="4"/>
    <s v="Danielle reviewing possible backend procedure."/>
    <m/>
    <m/>
    <s v="Patterson"/>
  </r>
  <r>
    <x v="51"/>
    <x v="8"/>
    <m/>
    <s v="Alia"/>
    <s v="Email"/>
    <s v="Liggett, Peter"/>
    <m/>
    <s v="HO3 Builders Risk"/>
    <s v="Hilton Head"/>
    <s v="SC"/>
    <m/>
    <n v="492000"/>
    <n v="642000"/>
    <s v="Distance to coast"/>
    <s v="Guidelines state BR &lt;2 miles are ineligible. Agent bound in error without review. Lower value. Approx. 1/2 mi to coast."/>
    <x v="1"/>
    <m/>
    <m/>
    <m/>
    <s v="Patterson"/>
  </r>
  <r>
    <x v="51"/>
    <x v="2"/>
    <m/>
    <s v="Alex"/>
    <s v="Email"/>
    <m/>
    <m/>
    <s v="HO3 Builders Risk"/>
    <m/>
    <m/>
    <m/>
    <n v="1500000"/>
    <n v="1650000"/>
    <s v="Insured is GC"/>
    <s v="Alex wrote this and an excess liability policy and then it was disclosed the insured is their own GC.  1 year 'til completion. Insured is a contractor, hiring insured subs."/>
    <x v="3"/>
    <s v="Considered with X-liab and as is. Not comfortable. Excess carrier is cancelling too."/>
    <m/>
    <m/>
    <s v="Patterson"/>
  </r>
  <r>
    <x v="51"/>
    <x v="2"/>
    <m/>
    <s v="Alison"/>
    <s v="Email"/>
    <s v="Jennifer Robin Burrows Trust"/>
    <m/>
    <s v="HO3 Primary"/>
    <s v="Santa Ynez"/>
    <s v="CA"/>
    <n v="5"/>
    <n v="302000"/>
    <n v="1913000"/>
    <s v="Rental homes on property"/>
    <s v="3 structures on property. One primary, one rental, one vacation rental. Writing all on one policy. Has $300K contents in the vaca rental. Has a barn and fine arts. "/>
    <x v="0"/>
    <s v="Probably can't do the fine arts - will review later per agent. "/>
    <m/>
    <m/>
    <s v="Patterson"/>
  </r>
  <r>
    <x v="52"/>
    <x v="0"/>
    <s v="MI"/>
    <s v="Delta"/>
    <s v="Email"/>
    <s v="Berg, Trent"/>
    <m/>
    <s v="HO3 Primary"/>
    <s v="Murphys"/>
    <s v="CA"/>
    <n v="9"/>
    <n v="300000"/>
    <n v="540000"/>
    <s v="Response time"/>
    <s v="1978 home updated in 2000, 16 min response time per PC Quest. Google=17 min. Bing=18 min. High brush zone per RM. Woodpile in online photo. "/>
    <x v="3"/>
    <s v="Not comfortable exceeding 15 min in high brush zone."/>
    <m/>
    <m/>
    <s v="Patterson"/>
  </r>
  <r>
    <x v="52"/>
    <x v="0"/>
    <s v="MI"/>
    <s v="Alexa"/>
    <s v="Email"/>
    <s v="Russell, Kent"/>
    <m/>
    <s v="HO3 Secondary"/>
    <s v="Laguna Beach "/>
    <s v="CA"/>
    <n v="3"/>
    <n v="1300000"/>
    <n v="2210000"/>
    <s v="TIV"/>
    <s v="1985 updated home no brush alarms. Prior = fair plan."/>
    <x v="0"/>
    <s v="As long as fair plan was not for condition"/>
    <m/>
    <m/>
    <s v="Patterson"/>
  </r>
  <r>
    <x v="52"/>
    <x v="0"/>
    <s v="MI"/>
    <s v="Alexa"/>
    <s v="Email"/>
    <s v="Craig, John"/>
    <m/>
    <s v="HO3 Primary w/Rental"/>
    <m/>
    <s v="CA"/>
    <m/>
    <n v="408000"/>
    <n v="611800"/>
    <s v="RC - Not Gutted"/>
    <m/>
    <x v="4"/>
    <s v="Danielle reviewing possible backend procedure."/>
    <m/>
    <m/>
    <s v="Patterson"/>
  </r>
  <r>
    <x v="52"/>
    <x v="0"/>
    <s v="MI"/>
    <s v="Delta"/>
    <s v="Email"/>
    <s v="Polik, Jeffrey"/>
    <m/>
    <s v="HO3 Secondary w/Rental"/>
    <m/>
    <s v="CA"/>
    <s v=" "/>
    <n v="240000"/>
    <n v="360000"/>
    <s v="RC - Not Gutted"/>
    <m/>
    <x v="4"/>
    <s v="Danielle reviewing possible backend procedure."/>
    <m/>
    <m/>
    <s v="Patterson"/>
  </r>
  <r>
    <x v="52"/>
    <x v="5"/>
    <s v="NC"/>
    <s v="Anella"/>
    <s v="Email"/>
    <s v="Holmes, Mark"/>
    <m/>
    <s v="HO3 Primary"/>
    <s v="Manteo"/>
    <s v="NC"/>
    <n v="5"/>
    <n v="158300"/>
    <n v="284940"/>
    <s v="Ins Score"/>
    <s v="1993 home. 5 mi from coast. Low ins score, home &gt;10 years old. "/>
    <x v="1"/>
    <s v="Reviewed w/Tim. Comfortable with risk."/>
    <m/>
    <m/>
    <s v="Patterson"/>
  </r>
  <r>
    <x v="52"/>
    <x v="1"/>
    <s v="NJ"/>
    <s v="Lisa"/>
    <s v="Email"/>
    <s v="Allen Barsana ET AL"/>
    <m/>
    <s v="DP3 Rental"/>
    <s v="Asbury Park "/>
    <s v="NJ"/>
    <m/>
    <m/>
    <m/>
    <s v="Subsidized rentals"/>
    <s v="6 rental homes where rent is partially subsidized. 6 LLC's own the properties.  All are updated."/>
    <x v="3"/>
    <s v="Reviewed online photos. Found below avg condition and neighboring homes/properties boarded up."/>
    <m/>
    <m/>
    <s v="Patterson"/>
  </r>
  <r>
    <x v="53"/>
    <x v="0"/>
    <s v="CA"/>
    <s v="Danielle"/>
    <s v="Email"/>
    <s v="SHAHIDI, AFSHIN &amp; KERI "/>
    <m/>
    <s v="HO3/Primary"/>
    <m/>
    <s v="CA"/>
    <n v="3"/>
    <n v="950000"/>
    <n v="1947000"/>
    <s v="High-profile"/>
    <s v="primary home located in CA.  Home was updated in 2001 of frame construction.  PC3 with alarms and 1 loss:_x000a_09.01.16 - water loss - a pipe burst in the storage area -damaged carpet._x000a_They have replaced all new pipes_x000a_Insured is high profile - actress &amp; a photographer_x000a_"/>
    <x v="0"/>
    <s v="Approved subject to x-liability, Mr. insured is high profile celebrity photograph and their minor daughter (currently 17) is on a popular currently filming ABC show (Black-ish)"/>
    <m/>
    <m/>
    <s v="Burdine"/>
  </r>
  <r>
    <x v="53"/>
    <x v="0"/>
    <s v="MI"/>
    <s v="Jill"/>
    <s v="Email"/>
    <s v="Herzog, Michael"/>
    <m/>
    <s v="Secondary"/>
    <s v="Omaha"/>
    <s v="NE"/>
    <n v="6"/>
    <n v="75000"/>
    <n v="92500"/>
    <s v="No heat"/>
    <s v="Frame, secondary, built in 1950/updated, new purchase, rated as PC6 , no heat; active policy BWH107552-3983205, no heat not disclosed but discovered during inspection"/>
    <x v="0"/>
    <s v="Home is winterized, not in use in winter (Seasonal in warmer months only). Piping updated in 2008; subject to 10% surcharge since not disclosed at rating and requested rewritten to a DP3 form if not already"/>
    <m/>
    <m/>
    <s v="Burdine"/>
  </r>
  <r>
    <x v="53"/>
    <x v="2"/>
    <s v="CA"/>
    <s v="Alison"/>
    <s v="Email"/>
    <s v="Shupe, Kathryn "/>
    <m/>
    <s v="HO3 Primary"/>
    <s v="Whittier"/>
    <s v="CA"/>
    <n v="2"/>
    <n v="1600000"/>
    <n v="2912000"/>
    <s v="Prior Losses"/>
    <s v="This has had 3 water losses in the last 5 years, and 2 in the last 3 years. The losses were all related to the PVC plumbing, which has been totally updated to copper after the last loss. I still applied a $10K water deductible due to the loss history, but didn’t think a water damage exclusion was necessary or really large deductible since the pipes were totally replaced. "/>
    <x v="0"/>
    <s v="Approved w/o water damage exclusion, but given frequency gave approval to release terms with $20K water deductible, ran lexis nexis-- above average insurance score"/>
    <m/>
    <m/>
    <s v="Burdine"/>
  </r>
  <r>
    <x v="53"/>
    <x v="2"/>
    <s v="CA"/>
    <s v="Bobbi"/>
    <s v="Email"/>
    <s v="Zavalza, Camen"/>
    <m/>
    <s v="HO3/Primary"/>
    <s v="Perris"/>
    <s v="CA"/>
    <n v="4"/>
    <n v="1091800"/>
    <n v="2074420"/>
    <s v="Mobile home on property"/>
    <s v="It’s a primary home on 4.5 acres that is in escrow. Year built is 1992. There was a loss in 2014 from the previous owner (pipe leak, $21k paid out, repairs made, claim closed). I’ve applied a special water damage exclusion. There is also a mobile home on the property that will be rented out. Would we be able to quote the main home and attach the Building Exclusion to specifically exclude the mobile home"/>
    <x v="0"/>
    <s v="Approved subject to other building exclusion and x-liability"/>
    <m/>
    <m/>
    <s v="Burdine"/>
  </r>
  <r>
    <x v="53"/>
    <x v="2"/>
    <s v="CA"/>
    <s v="Lisa"/>
    <s v="Email"/>
    <s v="Waggoner, Lyle &amp; Sharon "/>
    <m/>
    <s v="HO3/Secondary/Rental"/>
    <s v="Oxnard"/>
    <s v="CA"/>
    <n v="3"/>
    <n v="1622000"/>
    <n v="2308600"/>
    <s v="High-profile"/>
    <s v="The insured is an actor who used to be on the Carol Burnett Show. No brush, no claims"/>
    <x v="1"/>
    <s v="insured is no longer actively acting, but owns a customized trailer company; wife is retired. "/>
    <m/>
    <m/>
    <s v="Burdine"/>
  </r>
  <r>
    <x v="53"/>
    <x v="2"/>
    <s v="CA"/>
    <s v="Alison"/>
    <s v="Email"/>
    <s v="Hildebrandt, Oliver &amp; Catalina"/>
    <m/>
    <s v="Primary"/>
    <s v="Los Angeles"/>
    <s v="CA"/>
    <m/>
    <n v="369000"/>
    <n v="904050"/>
    <s v="Business in home"/>
    <s v="Primary, insured is interior designer. Occasionally sales furniture/pieces from home so some inventory and foot traffic"/>
    <x v="0"/>
    <s v="Agt quoted with total business exclusion, so approved subject to confirming that not frequent/daily foot traffic (like a small store front); if it is may have to revisit liab cov"/>
    <m/>
    <m/>
    <s v="Burdine"/>
  </r>
  <r>
    <x v="54"/>
    <x v="0"/>
    <s v="MI"/>
    <s v="Alexa"/>
    <s v="Email"/>
    <s v="Roark, Beverly Prokop"/>
    <m/>
    <s v="HO3 Seasonal"/>
    <s v="Hay Springs"/>
    <s v="NE"/>
    <n v="10"/>
    <n v="289000"/>
    <n v="375000"/>
    <s v="Response time"/>
    <s v="1910 home updated w/15-20 min response time.  FD is 9 mi away; another 12 mi away. Volunteer. No alarms. Gravel roads"/>
    <x v="3"/>
    <s v="Advised Alexa to submit if she feel strongly, but we would expect that this will be a total loss if a fire starts."/>
    <m/>
    <m/>
    <s v="Patterson"/>
  </r>
  <r>
    <x v="54"/>
    <x v="8"/>
    <m/>
    <s v="Alia"/>
    <s v="Email"/>
    <s v="Fisher"/>
    <m/>
    <s v="HO3 Primary"/>
    <s v="Charleston"/>
    <s v="SC"/>
    <m/>
    <m/>
    <m/>
    <s v="Rate relief for renewal"/>
    <s v="Agent looking to match last years premium on this 1790 home in Charleston."/>
    <x v="4"/>
    <s v="Asked for CQ questions and details on exact premiums."/>
    <m/>
    <m/>
    <s v="Patterson"/>
  </r>
  <r>
    <x v="54"/>
    <x v="1"/>
    <m/>
    <s v="Tamika"/>
    <s v="Call"/>
    <m/>
    <m/>
    <s v="HO3 Primary"/>
    <m/>
    <s v="PA"/>
    <m/>
    <m/>
    <m/>
    <s v="Bankruptcy"/>
    <s v="New Chapter 11 bankruptcy. Does it make a diff that it is Ch 11 or that it is just husband."/>
    <x v="3"/>
    <s v="New is a concern. Still a family concern."/>
    <m/>
    <m/>
    <s v="Patterson"/>
  </r>
  <r>
    <x v="54"/>
    <x v="2"/>
    <m/>
    <s v="Alison"/>
    <s v="Call"/>
    <m/>
    <m/>
    <m/>
    <m/>
    <s v="CA"/>
    <m/>
    <m/>
    <m/>
    <s v="Pex Plumbing"/>
    <s v="Is pex plumbing okay?  "/>
    <x v="1"/>
    <s v="We have no criteria. There have been some issues, but nothing major like polybutylene."/>
    <m/>
    <m/>
    <s v="Patterson"/>
  </r>
  <r>
    <x v="54"/>
    <x v="2"/>
    <m/>
    <s v="Alison"/>
    <s v="Call"/>
    <s v="Zilberman, Yana"/>
    <m/>
    <s v=" "/>
    <s v="Desert Hot Springs"/>
    <s v="CA"/>
    <m/>
    <m/>
    <m/>
    <s v="Occupancy"/>
    <s v="Aunt is primary occupant, although not sure if that is permanent. Insured may visit on weekends."/>
    <x v="0"/>
    <s v="Write as secondary w/rental. Aunt is relative per insured definition. Since unsure of how permanent this situation is, this seems safest way to write."/>
    <m/>
    <m/>
    <s v="Patterson"/>
  </r>
  <r>
    <x v="54"/>
    <x v="2"/>
    <m/>
    <s v="Alison"/>
    <s v="Call"/>
    <s v="Poroy, Ibrahim"/>
    <m/>
    <s v="DP3 Rental"/>
    <s v="Monterey"/>
    <s v="CA"/>
    <m/>
    <m/>
    <m/>
    <s v="2 dwellings on property"/>
    <s v="Primary home insured w/Safeco excluding rental cottage, rented via Air BnB. Has a &quot;1/2&quot; address, but on same property."/>
    <x v="0"/>
    <s v="Suggest to find out if liab is excluded or only the dwelling. Agent will approve X-Liab until they prove liab is excluded. 3/22 provided-approved.  At the time of loss, claims will have to evaluate the legal address of 428 ½ to determine if this is a separate location.  They may also have to evaluate any injured parties connection to the insured or the tenant"/>
    <m/>
    <m/>
    <s v="Patterson"/>
  </r>
  <r>
    <x v="54"/>
    <x v="4"/>
    <s v="CO"/>
    <s v="Allison"/>
    <s v="Email"/>
    <s v="Marchase, Anthony &amp; Cherith"/>
    <m/>
    <s v="HO3 Seasonal"/>
    <s v="Woodland Park"/>
    <s v="CO"/>
    <n v="10"/>
    <n v="95000"/>
    <n v="160000"/>
    <s v="Response time"/>
    <s v="1912 home/wupdates, MFRC &amp; roof exclusion until roof is replaced. With Allied for 30 years. Allied NRN due to wildfire score. In brush zone. Cabin is 50' behind a lake that can be used by pumper. Has gas furnace in good condition. "/>
    <x v="0"/>
    <s v="Subj to home being winterized off season. Agent applied 10% s/c due to summer use only."/>
    <m/>
    <m/>
    <s v="Patterson"/>
  </r>
  <r>
    <x v="54"/>
    <x v="4"/>
    <s v="CO"/>
    <s v="Allison"/>
    <s v="Email"/>
    <s v="Gardiner, Brian"/>
    <m/>
    <s v="HO3 Seasonal"/>
    <s v="Guffey "/>
    <s v="CO"/>
    <n v="10"/>
    <n v="100000"/>
    <n v="180000"/>
    <s v="Response time/Lapse"/>
    <s v="1950 home w/updates. 2-3 year lapse as they couldn't find coverage. Insd is FD Lieutenant. 30 min response time due to volunteer, dirt roads and gate. 1/2 acre pond 300' from property. Agent surcharged prem 50%. Zip code match on  FireLine with a 4 rating."/>
    <x v="1"/>
    <m/>
    <m/>
    <m/>
    <s v="Patterson"/>
  </r>
  <r>
    <x v="55"/>
    <x v="7"/>
    <s v="VA"/>
    <s v="Charity"/>
    <s v="Email"/>
    <s v="Keznor, Nareina"/>
    <m/>
    <s v="HO3 Primary"/>
    <s v="Cape Charles"/>
    <s v="VA"/>
    <n v="10"/>
    <n v="275000"/>
    <n v="467500"/>
    <s v="PC10"/>
    <s v="1920 home updated. FD 8 miles away - volunteer, manned during the day. &lt;15 min response per FD."/>
    <x v="1"/>
    <m/>
    <m/>
    <m/>
    <s v="Patterson"/>
  </r>
  <r>
    <x v="55"/>
    <x v="0"/>
    <s v="MI"/>
    <s v="Leslie"/>
    <s v="Email"/>
    <s v="Hartung-Mladineo Trust"/>
    <m/>
    <s v="DP1 Rental"/>
    <s v="Trenton"/>
    <s v="NJ"/>
    <m/>
    <m/>
    <m/>
    <s v="Bankruptcy"/>
    <s v="1906 home updated and abated of lead. During process, insd filed Ch 13 bankruptcy due to expense of abatement. (Insd is an attorney). Online photos show old row house."/>
    <x v="4"/>
    <s v="Check for firewalls and condition of row. Run ins score. Verify lead abatement."/>
    <m/>
    <m/>
    <s v="Patterson"/>
  </r>
  <r>
    <x v="55"/>
    <x v="0"/>
    <s v="MI"/>
    <s v="Alexa"/>
    <s v="Email"/>
    <s v="Weatherhead, Randy"/>
    <m/>
    <s v="HO3 Primary"/>
    <s v="Ramona"/>
    <s v="CA"/>
    <n v="10"/>
    <n v="1051000"/>
    <n v="2181600"/>
    <s v="TIV"/>
    <s v="In brush. FD 6 mi away w/10 min response. Alarms. 2008 home. "/>
    <x v="0"/>
    <s v="• Fully equipped wood shop per online info.  Please verify no business use._x000a_• App says no pool but online photos show a pool.  https://www.zillow.com/homedetails/19240-Rangeland-Rd-Ramona-CA-92065/16748200_zpid/. Just wanted to bring to your attention so you can confirm eligibility._x000a_• Question about animals is blank on app. Looking for acceptable answer and confirmation of coverage eligibility, if applicable._x000a_"/>
    <m/>
    <m/>
    <s v="Patterson"/>
  </r>
  <r>
    <x v="55"/>
    <x v="0"/>
    <s v="MI"/>
    <s v="Delta"/>
    <s v="Email"/>
    <s v="Freedland, Stephen"/>
    <m/>
    <s v="HO3 Primary"/>
    <s v="Los Angeles"/>
    <s v="CA"/>
    <n v="1"/>
    <n v="2280000"/>
    <n v="3876000"/>
    <s v="TIV"/>
    <s v="2000 home alarms, in brush per referral, but only in Renie per RM."/>
    <x v="0"/>
    <s v="not in brush"/>
    <m/>
    <m/>
    <s v="Patterson"/>
  </r>
  <r>
    <x v="55"/>
    <x v="1"/>
    <s v="PA"/>
    <s v="Tamika"/>
    <s v="Email"/>
    <m/>
    <m/>
    <s v="HO3 Builders Risk"/>
    <m/>
    <s v="AR"/>
    <m/>
    <n v="145000"/>
    <m/>
    <s v="Log home builders risk"/>
    <s v="Not sure why this is a referral. Asked additional questions. Received app. Insd is having a log home professionally constructed - hand hewn logs. Looks fine."/>
    <x v="2"/>
    <s v=" When questioned by Tamika on TIV rate, suggested 10% surcharge for log home construction. K.Burdine 03/27/17"/>
    <m/>
    <m/>
    <s v="Patterson"/>
  </r>
  <r>
    <x v="55"/>
    <x v="2"/>
    <m/>
    <s v="Alison"/>
    <s v="Email"/>
    <s v="Anan, Shant"/>
    <m/>
    <s v="DP3 Rental"/>
    <s v="Los Angeles"/>
    <s v="CA"/>
    <n v="3"/>
    <n v="2600000"/>
    <n v="3200000"/>
    <s v="TIV"/>
    <s v="1989 home updated. Prior carrier got off due to too high value. Only one online photo. Incomplete app."/>
    <x v="0"/>
    <s v="Completed app"/>
    <m/>
    <m/>
    <s v="Patterson"/>
  </r>
  <r>
    <x v="55"/>
    <x v="2"/>
    <m/>
    <s v="Alison"/>
    <s v="Email"/>
    <s v="Winkler, David &amp; Sherry"/>
    <m/>
    <s v="HO3 Secondary"/>
    <s v="Mammoth Lakes"/>
    <s v="CA"/>
    <n v="4"/>
    <n v="993000"/>
    <n v="1600000"/>
    <s v="Wood roof"/>
    <s v="About 1000' from brush zone, not in designated brush zone. Wood shake roof. 1997 home."/>
    <x v="1"/>
    <m/>
    <m/>
    <m/>
    <s v="Patterson"/>
  </r>
  <r>
    <x v="56"/>
    <x v="0"/>
    <s v="MI"/>
    <s v="Jill"/>
    <s v="Email"/>
    <s v="Bowen, Brian"/>
    <m/>
    <s v="HO3 Primary"/>
    <m/>
    <s v="CA"/>
    <m/>
    <n v="2335000"/>
    <n v="4161000"/>
    <s v="TIV"/>
    <s v="1988 home updated. In brush. App notes prior cancel/nrn - no explanation.  No info on alarms - usually require at this level. Online notes security guard and station at gated entrance."/>
    <x v="0"/>
    <s v="Advised what we found. Prior cancel - why? If brush, okay. Other, refer back."/>
    <m/>
    <m/>
    <s v="Patterson"/>
  </r>
  <r>
    <x v="56"/>
    <x v="0"/>
    <s v="MI"/>
    <s v="Jill"/>
    <s v="Email"/>
    <s v="Rohani, Roya"/>
    <m/>
    <s v="HO3 Seasonal/Rental"/>
    <s v="Irvine "/>
    <s v="CA"/>
    <n v="5"/>
    <n v="2100000"/>
    <n v="3710000"/>
    <s v="TIV/Lapse"/>
    <s v="2005 home, not in brush w/alarms. Seasonal w/3-6 mo rental. 30 day lapse in coverage."/>
    <x v="0"/>
    <s v="Acceptable reason for lapse and signed no loss letter."/>
    <m/>
    <m/>
    <s v="Patterson"/>
  </r>
  <r>
    <x v="56"/>
    <x v="0"/>
    <s v="MI"/>
    <s v="Jill"/>
    <s v="Email"/>
    <s v="Evans, David &amp; Michelle"/>
    <m/>
    <s v="HO3 Primary"/>
    <s v="Ramona"/>
    <s v="CA"/>
    <n v="10"/>
    <n v="1084000"/>
    <n v="1700000"/>
    <s v="PC10"/>
    <s v="2008 in PC10 w/5-6 min response time. (12-15 min per google - still ok).  No hydrant. High brush. 10,000 gallon tank 500' from home."/>
    <x v="1"/>
    <m/>
    <m/>
    <m/>
    <s v="Patterson"/>
  </r>
  <r>
    <x v="56"/>
    <x v="2"/>
    <s v="CA"/>
    <s v="Alex"/>
    <s v="Email"/>
    <s v="Yaeger, Kurt"/>
    <m/>
    <s v="HO3 Primary"/>
    <s v="Sylmar"/>
    <s v="CA"/>
    <n v="4"/>
    <n v="380000"/>
    <n v="760000"/>
    <s v="High profile"/>
    <s v="Inquiry about whether we could consider. No adverse news. App okay. Question on Cov A - RCE $275K  App $380K"/>
    <x v="0"/>
    <s v="Advised we could approve excluding liability.  https://en.wikipedia.org/wiki/Kurt_Yaeger_x000a__x000a_http://www.imdb.com/name/nm2900382/_x000a__x000a_http://people.com/bodies/amputee-actor-kurt-yaeger-is-breaking-boundaries-with-major-roles-on-four-television-series/_x000a_Subject to accurate Cov A. Riskmeter. Brush ok either way."/>
    <m/>
    <m/>
    <s v="Patterson"/>
  </r>
  <r>
    <x v="56"/>
    <x v="10"/>
    <s v="LA"/>
    <s v="Suzanne"/>
    <s v="Email"/>
    <s v="Smith, Green"/>
    <m/>
    <s v="HO3 Seasonal"/>
    <s v="Hackberry"/>
    <s v="LA"/>
    <m/>
    <n v="500000"/>
    <m/>
    <s v="Dock home"/>
    <s v="New build, photos look good. Home on permanent piers/pilings above the water on Calcasieu Lake. "/>
    <x v="1"/>
    <s v="No flood, wind ded. We can't do floating homes, but have approved dock homes in the past."/>
    <m/>
    <m/>
    <s v="Patterson"/>
  </r>
  <r>
    <x v="56"/>
    <x v="4"/>
    <s v="CO"/>
    <s v="Allison"/>
    <s v="Email"/>
    <s v="House Buyers Inc"/>
    <m/>
    <s v="DP3 Rental"/>
    <s v="Pueblo "/>
    <s v="CO"/>
    <m/>
    <n v="1933200"/>
    <n v="2240172"/>
    <s v="23 unit schedule"/>
    <s v="23 units in Pueblo. Mostly older. Higher hail area. MFRC. 2 roof excluded. Online pics show decent condition. We tried A+-Verisk says invalid due to business name."/>
    <x v="0"/>
    <s v="ACV roof. $0.41. CLUE on all. Liab $500 K ok."/>
    <m/>
    <m/>
    <s v="Patterson"/>
  </r>
  <r>
    <x v="57"/>
    <x v="0"/>
    <s v="CA"/>
    <s v="Jill"/>
    <s v="Email"/>
    <s v="Keyser, Joel"/>
    <m/>
    <s v="DP3 Tenant"/>
    <s v="Sherman Oaks "/>
    <s v="CA"/>
    <n v="4"/>
    <n v="912000"/>
    <n v="1120000"/>
    <s v="Open Claim/New Bankruptcy"/>
    <s v="1990 home.  Insd is CPA. Filing Chapter 11. Open claim on this risk. "/>
    <x v="3"/>
    <s v="Concern with new bankruptcy - Ch 11 is typically business, but can be individual. Insd is self employed CPA, so there is a close connection.  "/>
    <m/>
    <m/>
    <s v="Patterson"/>
  </r>
  <r>
    <x v="57"/>
    <x v="0"/>
    <s v="MI"/>
    <s v="Leslie"/>
    <s v="Email"/>
    <s v="Wolter, Tammy Rae"/>
    <m/>
    <s v="HO3 Tenant"/>
    <m/>
    <s v="WI"/>
    <m/>
    <m/>
    <m/>
    <s v="Rental canoe and kayak"/>
    <s v="Insured has a seasonal home rented thru VRBO. They leave canoe and kayaks for tenants use. Is this covered"/>
    <x v="1"/>
    <s v="No exclusion under HO-3."/>
    <m/>
    <m/>
    <s v="Patterson"/>
  </r>
  <r>
    <x v="57"/>
    <x v="0"/>
    <s v="MI"/>
    <s v="Leslie"/>
    <s v="Email"/>
    <s v="Bana, David &amp; Tonya"/>
    <m/>
    <s v="HO3 Primary"/>
    <s v="Baltimore "/>
    <s v="MD"/>
    <m/>
    <n v="450000"/>
    <n v="640000"/>
    <s v="Business in home"/>
    <s v="2 story dwelling-lower level is law firm, upper is insd residence. No foot traffic in residence. Has commercial ins in place."/>
    <x v="0"/>
    <s v="   Advised Leslie they are really better off to insure the building commercially, and we write an HO-4."/>
    <m/>
    <m/>
    <s v="Patterson"/>
  </r>
  <r>
    <x v="57"/>
    <x v="2"/>
    <s v="CA"/>
    <s v="Alison"/>
    <s v="Email"/>
    <s v="Smith, Elizabeth"/>
    <m/>
    <s v="HO3 Primary"/>
    <s v="Malibu"/>
    <s v="CA"/>
    <n v="10"/>
    <n v="2050200"/>
    <n v="3207260"/>
    <s v="PC10"/>
    <s v="1980 home w/alarms in low brush. Agt added 10% s/c for PC10. Found online reference to Kelly Blue Terrier Foundation at this address but couldn't find any detail."/>
    <x v="0"/>
    <s v="Investigate KBTF info found and verify no business use."/>
    <m/>
    <m/>
    <s v="Patterson"/>
  </r>
  <r>
    <x v="57"/>
    <x v="6"/>
    <m/>
    <s v="Lisa"/>
    <s v="Email"/>
    <s v="Melili, Niv &amp; Tally"/>
    <m/>
    <s v="HO3 Primary"/>
    <s v="Bell Canyon"/>
    <s v="CA"/>
    <n v="1"/>
    <n v="1900000"/>
    <n v="3401000"/>
    <s v="TIV"/>
    <s v="1977 home updated per app but not per agt submission. Roof is flat. Online photos nice. There is a dressage, riding, jumping, stable/barn.  In Renie zone. No alarm per agt submission"/>
    <x v="0"/>
    <s v="Verify updates - need roof update. No breed/board/ride, etc. Add animal excl if possible. Add alarm if poss. If not $10K AOP ok. Flat roof $10K aop."/>
    <s v="Agent verified all subjectivities. Gave approval to release terms. K.Burdine"/>
    <m/>
    <s v="Patterson"/>
  </r>
  <r>
    <x v="58"/>
    <x v="0"/>
    <s v="MI"/>
    <s v="Leslie"/>
    <s v="Email"/>
    <s v="Grecco, Stephanie"/>
    <m/>
    <s v="HO3 Primary"/>
    <s v="Savage"/>
    <s v="MN"/>
    <m/>
    <n v="356100"/>
    <n v="730005"/>
    <s v="Business in home"/>
    <s v="1977 home partial updates. 1 prior loss tree fell on fence 7/16. Has dog boarding on lower level of home. Agent wants to offer with Total Business Excl and Animal Excl."/>
    <x v="4"/>
    <s v="Asked business questions. Concerning liability with dogs even with total biz excl as we are providing personal liability. Asked agt if we could consider with TBE and X-Liab. Animal liab built into Burns system to be included - asked Leslie to ck to see if it could be removed and animal excl added."/>
    <m/>
    <m/>
    <s v="Patterson"/>
  </r>
  <r>
    <x v="58"/>
    <x v="0"/>
    <s v="MI"/>
    <s v="Matt"/>
    <s v="Email"/>
    <s v="West, Robert"/>
    <m/>
    <s v="HO3 Builders Risk"/>
    <s v="Whitehall"/>
    <s v="MT"/>
    <m/>
    <n v="275000"/>
    <n v="305000"/>
    <s v="Response time"/>
    <s v="2017 under construction."/>
    <x v="3"/>
    <s v="30 minute response time = total loss.  If you have some supporting information as to why you feel strongly about us writing this one, and want to send over your thoughts along with some strong pricing suggestions, I'll be more than happy to take another look.  "/>
    <m/>
    <m/>
    <s v="Patterson"/>
  </r>
  <r>
    <x v="58"/>
    <x v="2"/>
    <m/>
    <s v="Alex"/>
    <s v="Email"/>
    <s v="Diener, Todd/Brinker, Lucas"/>
    <m/>
    <s v="HO3 Primary"/>
    <s v="Los Angeles "/>
    <s v="CA"/>
    <m/>
    <n v="1100000"/>
    <n v="1525000"/>
    <s v="High profile"/>
    <s v="Agent asked if liability is okay due to higher profile."/>
    <x v="1"/>
    <s v="Nothing online found of concern. They are managers of actors and models."/>
    <m/>
    <m/>
    <s v="Patterson"/>
  </r>
  <r>
    <x v="58"/>
    <x v="2"/>
    <m/>
    <s v="Alison"/>
    <s v="Email"/>
    <s v="Black, Janis"/>
    <m/>
    <s v="DP3 Rental"/>
    <s v="Los Angeles"/>
    <s v="CA"/>
    <m/>
    <n v="1072700"/>
    <n v="1122970"/>
    <s v="Prior loss"/>
    <s v="1926 home updated due to $176K prior water loss. 2 story duplex. Water loss damaged both units. Insd is GC. We'd be writing after reno complete. Sounds like plumbing was replaced."/>
    <x v="0"/>
    <s v="Add MFRC. Confirm all plumbing new and no water damage excl needed."/>
    <m/>
    <m/>
    <s v="Patterson"/>
  </r>
  <r>
    <x v="58"/>
    <x v="2"/>
    <m/>
    <s v="Alison"/>
    <s v="Email"/>
    <s v="Osborne, Dahlma"/>
    <m/>
    <s v="HO3 Primary"/>
    <s v="Rancho Palos Verdes"/>
    <s v="CA"/>
    <m/>
    <n v="1100000"/>
    <n v="1980000"/>
    <s v="Prior losses"/>
    <s v="1995 home w/2 slab leaks. Insd rerouted cold water. 2015-$0, 2016 $89K."/>
    <x v="0"/>
    <s v="Water damage exclusion - they haven't re-routed the hot water pipe. Offered further discussion, but feel like this is a  loss waiting to happen"/>
    <m/>
    <m/>
    <s v="Patterson"/>
  </r>
  <r>
    <x v="58"/>
    <x v="2"/>
    <m/>
    <s v="Alison"/>
    <s v="Email"/>
    <s v="Rodriguez, Sussi &amp; Ruben"/>
    <m/>
    <s v="HO3 Primary"/>
    <m/>
    <m/>
    <m/>
    <m/>
    <m/>
    <s v="Animal liability"/>
    <s v="Insd has 5 sheep and a mule. Wanted to add animal liab."/>
    <x v="1"/>
    <s v="$10K animal liab ok"/>
    <m/>
    <m/>
    <s v="Patterson"/>
  </r>
  <r>
    <x v="58"/>
    <x v="4"/>
    <s v="CO"/>
    <s v="Allison"/>
    <s v="Email"/>
    <s v="541 LLC"/>
    <m/>
    <s v="DP3 Rental"/>
    <s v="Thornton"/>
    <s v="CO"/>
    <n v="3"/>
    <n v="350000"/>
    <n v="389000"/>
    <s v="LLC name"/>
    <s v="1961 dwelling in LLC name."/>
    <x v="1"/>
    <s v="Advised Allison if LLC is tax purposes, formed to purchase property, okay to quote/bind rental dwellings."/>
    <m/>
    <m/>
    <s v="Patterson"/>
  </r>
  <r>
    <x v="59"/>
    <x v="7"/>
    <s v="VA"/>
    <s v="Charity"/>
    <s v="Email"/>
    <s v="Whorley, Victoria"/>
    <m/>
    <s v="HO3 Primary"/>
    <s v="Monroe"/>
    <s v="VA"/>
    <n v="10"/>
    <n v="245000"/>
    <n v="295000"/>
    <s v="PC 10"/>
    <s v="PC 10, no prior claims, 1993 build year"/>
    <x v="1"/>
    <m/>
    <m/>
    <m/>
    <s v="Burdine"/>
  </r>
  <r>
    <x v="59"/>
    <x v="0"/>
    <s v="MI"/>
    <s v="Alexa"/>
    <s v="Email"/>
    <s v="Hearn, John"/>
    <m/>
    <s v="HO3 Primary"/>
    <s v="Corpus Christi"/>
    <s v="TX"/>
    <n v="10"/>
    <n v="1153000"/>
    <n v="2190700"/>
    <s v="PC 10"/>
    <s v="Attached is a submission for primary home located in TX. Home was built in 2004, brick veneer, PC10, with a 20-30 minute response time, no alarms, security cameras, 6 dogs, no losses."/>
    <x v="3"/>
    <s v="Too great of a response time with such a high TIV"/>
    <m/>
    <m/>
    <s v="Burdine"/>
  </r>
  <r>
    <x v="59"/>
    <x v="2"/>
    <s v="CA"/>
    <s v="Lisa"/>
    <s v="Email"/>
    <s v="Lunde, Everard"/>
    <m/>
    <s v="HO3 Primary"/>
    <s v="Acton"/>
    <s v="CA"/>
    <n v="4"/>
    <n v="155000"/>
    <n v="278000"/>
    <s v="Business on premises"/>
    <s v="No losses, business on premises so quoted w/ total business exclusion"/>
    <x v="0"/>
    <s v="granted approval to release terms subject to x-liability, building exclusions on any outbuildings used for the business (if any), and with the total business exclusion in place.  Advised if can provide specific business info and separation (appears to be a water delivery business), then can consider w/ liab. During review, also noted that there is a obituary from October 2016 w/applicants name so requested confirmation on who we are quoting"/>
    <m/>
    <m/>
    <s v="Burdine"/>
  </r>
  <r>
    <x v="59"/>
    <x v="2"/>
    <s v="CA"/>
    <s v="Melissa"/>
    <s v="Email"/>
    <s v=" Krakov, Nadine"/>
    <m/>
    <s v="HO3 Primary"/>
    <m/>
    <m/>
    <n v="4"/>
    <m/>
    <m/>
    <s v="TIV over $3MIL"/>
    <s v="TIV: 3,782,000. 1991 build year, no claims, Lex renewal that is now competitive with Markel since primary home (prior was COC), inspection included to confirm Coverage A value, $10K water ded due to flat roof. "/>
    <x v="1"/>
    <s v="granted approval to release terms. Home has central burglar/fire, and $10K ded per rater. Cov C is only $500K, a little low for the size of the home. So advised to let us know should they decide to increase and it pushes TIV over $4MIL. Per Google, applicant owns a jewelry/clothes boutique in Beverly Hills."/>
    <m/>
    <m/>
    <s v="Burdine"/>
  </r>
  <r>
    <x v="60"/>
    <x v="0"/>
    <s v="CA"/>
    <s v="Jill"/>
    <s v="Email"/>
    <s v="SZIGETHY, Bela &amp; Alice"/>
    <m/>
    <s v="HO3 Primary"/>
    <s v="Lake Hopatcong"/>
    <s v="NJ"/>
    <n v="7"/>
    <n v="893000"/>
    <n v="1182000"/>
    <s v="20 minute response time in winter"/>
    <s v="Built in 2007, no losses, frame construction, 10 minute response time in summer months"/>
    <x v="0"/>
    <s v="Approval with a 10% surcharge"/>
    <m/>
    <m/>
    <s v="Burdine"/>
  </r>
  <r>
    <x v="60"/>
    <x v="2"/>
    <s v="CA"/>
    <s v="Alison"/>
    <s v="Email"/>
    <s v="Ibe, Michael &amp; Mindee Bridgette"/>
    <m/>
    <s v="HO3/Primary"/>
    <s v="Carlsbad"/>
    <s v="CA"/>
    <n v="2"/>
    <n v="1212000"/>
    <n v="2181600"/>
    <s v="Large prior claim"/>
    <s v="4/3/16 – waterline under kitchen sink (in the slab) broke &amp; ruptured into cabinets and floor. $223,234.32 was paid out. Full water damage exclusion being applied, and considering water shut off"/>
    <x v="0"/>
    <s v="Water damage exclusion a necessity at this point, suggest water shut off"/>
    <m/>
    <m/>
    <s v="Burdine"/>
  </r>
  <r>
    <x v="60"/>
    <x v="11"/>
    <s v="PA"/>
    <s v="Joshua"/>
    <s v="Email"/>
    <s v="Cerami, Tina &amp; Sano, Concetta"/>
    <m/>
    <s v="HO3/Secondary"/>
    <m/>
    <m/>
    <m/>
    <m/>
    <m/>
    <s v="Missing railing"/>
    <s v="Current policy-MAXH13100005275. renewal customer. Attached inspection-missing railing on one set of steps, not back at property until June and able to fix then"/>
    <x v="1"/>
    <s v="Granted approval to handle in June. Insured since 2011, and this is a very nice property"/>
    <m/>
    <m/>
    <s v="Burdine"/>
  </r>
  <r>
    <x v="61"/>
    <x v="0"/>
    <s v="MI"/>
    <s v="Alexa"/>
    <s v="Email"/>
    <s v="Silkwood, Justin"/>
    <m/>
    <s v="HO3 Primary"/>
    <m/>
    <s v="CA"/>
    <n v="9"/>
    <n v="850000"/>
    <n v="1576350"/>
    <s v="PC 9"/>
    <s v="Home was built in 2013, log (milled and_x000a_treated) , PC9, with a 5 minute response time, local alarm, no losses, fire sprinklers on roof. The home also has 2- 2500 gallon holding tanks and a 75,000 gallon pond next to the home_x000a_"/>
    <x v="0"/>
    <s v="Premium ok for risk, advised I noticed they are self-employed, so please just be sure that no business is being conducted on the premises."/>
    <m/>
    <m/>
    <s v="Burdine"/>
  </r>
  <r>
    <x v="61"/>
    <x v="0"/>
    <s v="MI"/>
    <s v="Danielle"/>
    <s v="Email"/>
    <s v="Fisher, John &amp; Maureen"/>
    <m/>
    <s v="HO3 Primary"/>
    <m/>
    <s v="CA"/>
    <n v="1"/>
    <n v="1100000"/>
    <n v="1831000"/>
    <s v="High-profile"/>
    <s v="Attached is a risk located in CA for a high profile insured.  Primary home built in 1965 and updated in 2004/2015.  PC1 with alarms and no losses."/>
    <x v="1"/>
    <s v="Reviewed Google, insured is a former actor/tv producer. Actively writes. No high-profile projects at this time. "/>
    <m/>
    <m/>
    <s v="Burdine"/>
  </r>
  <r>
    <x v="61"/>
    <x v="6"/>
    <s v="CA"/>
    <s v="Kirk"/>
    <s v="Email"/>
    <s v="Guarachi, Alejandro "/>
    <m/>
    <s v="HO3 Primary"/>
    <m/>
    <s v="CA"/>
    <n v="4"/>
    <n v="3240000"/>
    <n v="3864000"/>
    <s v="TIV"/>
    <s v="Primary home, no brush, response time acceptable, planning to install alarm after escrow, We are currently at $6,133 with using the 10% credit"/>
    <x v="1"/>
    <s v="RM OK (out of brush), PC OK,  no losses. OK using 10% discretion, home photos very nice"/>
    <m/>
    <m/>
    <s v="Burdine"/>
  </r>
  <r>
    <x v="61"/>
    <x v="4"/>
    <s v="CO"/>
    <s v="Allison"/>
    <s v="Email"/>
    <s v="Mansur, Jon"/>
    <m/>
    <s v="HO3/Secondary"/>
    <m/>
    <s v="CO"/>
    <n v="10"/>
    <m/>
    <n v="654000"/>
    <s v="Response time &gt;20 mins"/>
    <s v="This is a brand new build, secondary, PC 10.  Estimated response time is between 20-30 minutes.  Responding fire department is 10.3 miles from the home, and is a volunteer station.  There is a paid, live-in caretaker at the home.  There is a 5,000 gallon cistern next to the house, but the fire department also has the capability to bring 1 tender (2,000 gallons), and 2 engines (500-1,000 gallons). "/>
    <x v="0"/>
    <s v="Per agt, can't take more than a 10% surcharge as want to beat Lex. Approved subj to getting a central/monitored alarm"/>
    <s v="agt advised need higher TIV for Coverage B, and can't get alarm so will offer Lex terms unless we want to compete. Declined as per app 26-30 minutes is the best case scenario in response w/ good weather so need more premium or a mitigator"/>
    <m/>
    <s v="Burdine"/>
  </r>
  <r>
    <x v="62"/>
    <x v="5"/>
    <s v="NC"/>
    <s v="Anella"/>
    <s v="Email"/>
    <s v="Pennington, Maureen"/>
    <m/>
    <s v="HO3 Primary"/>
    <s v="Wilmington"/>
    <s v="NC"/>
    <n v="2"/>
    <n v="515000"/>
    <n v="916500"/>
    <s v="historic registry"/>
    <s v="On historic registry but no public tours . All systems updated 2014. Credit Score: 754_x000a_Year Built: 1933_x000a_"/>
    <x v="0"/>
    <s v="Per photos, no ornate details in home, Approved subject to confirming no rules in place regarding rebuild"/>
    <s v=" *note: discussed w/ agent that &quot;additional considerations characteristics&quot; are actually considered ineligible. "/>
    <m/>
    <s v="Burdine"/>
  </r>
  <r>
    <x v="62"/>
    <x v="5"/>
    <s v="NC"/>
    <s v="Anella"/>
    <s v="Email"/>
    <s v="Jackson, Anthony"/>
    <m/>
    <s v="HO3 Primary"/>
    <s v="Southern Shores"/>
    <s v="NC"/>
    <n v="4"/>
    <n v="900000"/>
    <n v="1620000"/>
    <s v="Underground fuel tank"/>
    <s v="2017 build, underground fuel tank in use. 5000 AOP ded, "/>
    <x v="0"/>
    <s v="Approved subject to confirmation of professional installation of tank, and detectors. Propane tank, not oil. Agt confirmed 03/31 that propane unit professionally installed and has detectors. Agt already had a bind request in office. New build"/>
    <s v=" *note: discussed w/ agent that &quot;additional considerations characteristics&quot; are actually considered ineligible. Exception approved by L.Trott"/>
    <m/>
    <s v="Burdine"/>
  </r>
  <r>
    <x v="63"/>
    <x v="3"/>
    <s v="AL"/>
    <s v="Janet"/>
    <s v="Email"/>
    <s v="Butler, Michael"/>
    <m/>
    <s v="HO3 Primary"/>
    <s v="Ocean Springs"/>
    <s v="MS"/>
    <m/>
    <n v="400000"/>
    <n v="515000"/>
    <s v="Location"/>
    <s v="2014 home, nice online photos. 1st row home appx. 600' from ocean. Retailer quoted w/2% ded. Guidelines require wind exclusion for 1st row. Agent asking if we can keep"/>
    <x v="3"/>
    <s v="Declined 2%, need to quote w/wind and hail excl. Advised AAL rate for wind only is $9,000 for this risk. Asked her to let me know if she wants me to refer for approval."/>
    <m/>
    <m/>
    <s v="Patterson"/>
  </r>
  <r>
    <x v="63"/>
    <x v="0"/>
    <s v="MI"/>
    <s v="Leslie"/>
    <s v="Email"/>
    <s v="Graham, Dale"/>
    <m/>
    <s v="HO3 Primary"/>
    <s v="Kissimmee "/>
    <s v="FL"/>
    <m/>
    <n v="425340"/>
    <n v="665340"/>
    <s v="Business in home"/>
    <s v="1984 home roof updated in 2005. Insd is private investigator w/2 employees. Agt proposing Total Business Excl."/>
    <x v="0"/>
    <s v="Subj to GL, Total Business Excl(as noted). Suggested if employees are field investigators, we may want to look at In Home Business program due to limitations of the Total Business Excl."/>
    <m/>
    <m/>
    <s v="Patterson"/>
  </r>
  <r>
    <x v="63"/>
    <x v="0"/>
    <s v="MI"/>
    <s v="Alexa"/>
    <s v="Email"/>
    <s v="Thayer, Robert"/>
    <m/>
    <s v="DP3 Builders Risk"/>
    <s v="Littleton"/>
    <s v="CO"/>
    <n v="3"/>
    <n v="3000000"/>
    <n v="3310000"/>
    <s v="TIV"/>
    <s v="1995 home under renovation to be sold."/>
    <x v="0"/>
    <s v="Ensure that the insured is not the GC. Does not appear by the names on the app and cert, but insured does own a construction company."/>
    <m/>
    <m/>
    <s v="Patterson"/>
  </r>
  <r>
    <x v="63"/>
    <x v="8"/>
    <m/>
    <s v="Alia"/>
    <s v="Email"/>
    <s v="Fisher, Gaye"/>
    <m/>
    <s v="HO3 Primary  "/>
    <s v="Charleston"/>
    <s v="SC"/>
    <m/>
    <n v="354000"/>
    <n v="529500"/>
    <s v="Rate relief for renewal"/>
    <s v="1890 home, agent looking for rate relief. Premium went from $3500 to $3900. "/>
    <x v="3"/>
    <s v="Rated AAL, total premium comes in at $10,314."/>
    <m/>
    <m/>
    <s v="Patterson"/>
  </r>
  <r>
    <x v="63"/>
    <x v="2"/>
    <m/>
    <s v="Alison"/>
    <s v="Email"/>
    <s v="1001 Sky View LLC"/>
    <m/>
    <s v="DP3 Rental"/>
    <s v="Los Angeles"/>
    <s v="CA"/>
    <n v="2"/>
    <n v="4000000"/>
    <n v="4800000"/>
    <s v="TIV"/>
    <s v="1955 home fully updated. (Was Zsa Zsa Gabor's home!) Online looks good. Insd is a real estate developer, but has home individually titled in LLC name for this property."/>
    <x v="2"/>
    <s v="LLC form indicates one individual. Nothing online that appears concerning. 5/11/17. Found out home is rented to Zsa Zsa's ex husband. Interesting. Advised this is okay. Agree with requiring an HO4."/>
    <m/>
    <m/>
    <s v="Patterson"/>
  </r>
  <r>
    <x v="63"/>
    <x v="2"/>
    <s v="CA"/>
    <s v="Alison"/>
    <s v="Email"/>
    <s v="Shapiro, Ronnie &amp; Chanes, Norman"/>
    <m/>
    <s v="HO3 Seasonal"/>
    <s v="Vanice"/>
    <s v="CA"/>
    <n v="1"/>
    <n v="420000"/>
    <n v="646000"/>
    <s v="High profile"/>
    <s v="1920 home for 2 insureds who used to be movie producers but now are investors. IMDB info goes back &gt; 10 years. Nothing concerning."/>
    <x v="1"/>
    <m/>
    <m/>
    <m/>
    <s v="Patterson"/>
  </r>
  <r>
    <x v="63"/>
    <x v="4"/>
    <s v="CO"/>
    <s v="Allison"/>
    <s v="Email"/>
    <s v="Babbs, Carlton &amp; Maia"/>
    <m/>
    <s v="DP3 Stand Alone Oth Str"/>
    <s v="Golden"/>
    <s v="CO"/>
    <n v="10"/>
    <n v="100000"/>
    <n v="130000"/>
    <s v="Response time"/>
    <s v="Stand alone other structure built in 2016 is a  barn with some contents. Insd has a builders risk &amp; liab from their primary. Constructing new home on this prop. Company won't cover the Oth Str. 25 min response time. $0.94 rate very strong. Top agent."/>
    <x v="0"/>
    <s v="Subj to no heat or acceptable heat. Turns out there is a low output heater. Advised okay as long as not portable and is thermostatically controlled.  4/26 agreed to remove Vacancy Clause form as insd going there every 2 mos. Neighbor watching, but not weekly inspection. Discussed w/Jeff."/>
    <m/>
    <m/>
    <s v="Patterson"/>
  </r>
  <r>
    <x v="64"/>
    <x v="0"/>
    <s v="MI"/>
    <s v="Danielle"/>
    <s v="Email"/>
    <s v="Bennett, Steven"/>
    <m/>
    <s v="HO3 Primary"/>
    <s v="Waterloo"/>
    <s v="IN"/>
    <n v="9"/>
    <n v="300000"/>
    <n v="705000"/>
    <s v="Business on property"/>
    <s v="1970 home updated in 2010. Landscaping business on property. No online photos or info. No foot traffic, GL in place."/>
    <x v="4"/>
    <s v="Asked addl business questions. Response time not matching up via google search. Subj to acceptable app questions."/>
    <m/>
    <m/>
    <s v="Patterson"/>
  </r>
  <r>
    <x v="64"/>
    <x v="0"/>
    <s v="MI"/>
    <s v="Jill"/>
    <s v="Email"/>
    <s v="O'Keeffe, James"/>
    <m/>
    <s v="HO3 Seasonal w/Rental"/>
    <s v="Riverside"/>
    <s v="CA"/>
    <m/>
    <m/>
    <m/>
    <s v="RC - Not Gutted"/>
    <s v="Returned to Danielle. 1923 home updated in 1988."/>
    <x v="4"/>
    <s v="Danielle reviewing possible backend procedure."/>
    <m/>
    <m/>
    <s v="Patterson"/>
  </r>
  <r>
    <x v="64"/>
    <x v="0"/>
    <s v="MI"/>
    <s v="Alexa"/>
    <s v="Email"/>
    <s v="Shisler, Karra"/>
    <m/>
    <s v="HO3 Primary"/>
    <s v="Oakhurst"/>
    <s v="CA"/>
    <n v="10"/>
    <n v="1564000"/>
    <n v="3049800"/>
    <s v="TIV"/>
    <s v="2014 home in brush w/alarms. 15-17 min response time per inspection and Bing. Sprinkler in home per inspection. FD 6 miles away."/>
    <x v="0"/>
    <s v="Confirm 150' brush clearance w/inspection. Add 5% s/c due to response time &amp; PC10. High 8 per FireLine. Low fuels at property, med at surrounding, no access prob, moderate slope. 11 min response per google. Sprinklers in home per online search. Nice risk, low brush immediately around home, trees trimmed up."/>
    <m/>
    <m/>
    <s v="Patterson"/>
  </r>
  <r>
    <x v="64"/>
    <x v="0"/>
    <s v="MI"/>
    <s v="Jill"/>
    <s v="Email"/>
    <s v="Mozer, Peter &amp; Angela"/>
    <m/>
    <s v="DP3 Vacant"/>
    <s v="Davisburg"/>
    <s v="MI"/>
    <n v="9"/>
    <n v="1622000"/>
    <n v="2919600"/>
    <s v="TIV"/>
    <s v="2002 vacant risk w/sprinklers and central station alarms. "/>
    <x v="1"/>
    <m/>
    <m/>
    <m/>
    <s v="Patterson"/>
  </r>
  <r>
    <x v="64"/>
    <x v="1"/>
    <s v="PA"/>
    <s v="Ray"/>
    <s v="Email"/>
    <s v="McCoy, Johnny C"/>
    <m/>
    <s v="HO3 Seasonal"/>
    <s v="Corolla"/>
    <s v="NC"/>
    <n v="9"/>
    <n v="150838"/>
    <n v="160838"/>
    <s v="Wind exception"/>
    <s v="1991 home near NC coast. No losses. Had for 7 years; with agency for 15. Has had 1% named storm. Should be exclusion based on guidelines. Agency asking for exception for 3% wind/hail, rate of $1.29; prem $3212.  RUA5492 06 "/>
    <x v="0"/>
    <s v="Ran AAL - $2627 wind and property. Roof exclusion; no oth structures coverage."/>
    <m/>
    <m/>
    <s v="Patterson"/>
  </r>
  <r>
    <x v="64"/>
    <x v="2"/>
    <m/>
    <s v="Alison"/>
    <s v="Email"/>
    <s v="Granatt, Richard &amp; Barbara"/>
    <m/>
    <s v="HO3 Primary"/>
    <s v="Studio City"/>
    <s v="CA"/>
    <n v="2"/>
    <n v="1237500"/>
    <n v="1700000"/>
    <s v="Prior losses"/>
    <s v="2006 home w/2 water losses ($245 K and $56 K) Insured paid to re-pipe entire home. Farmers nonrenewed. Clue shows large loss still open. Also ensure 100% repiped."/>
    <x v="0"/>
    <m/>
    <m/>
    <m/>
    <s v="Patterson"/>
  </r>
  <r>
    <x v="65"/>
    <x v="0"/>
    <s v="MI"/>
    <s v="Leslie"/>
    <s v="Email"/>
    <s v="Fraser, Robert"/>
    <m/>
    <s v="HO3 Seasonal"/>
    <m/>
    <m/>
    <m/>
    <n v="268000"/>
    <n v="458800"/>
    <s v="Lower Cov C"/>
    <s v="Agent doesn't want 50% of Cov A for Cov C. Will we lower"/>
    <x v="0"/>
    <s v="Check system to see if it allows, okay with us. Verify w/manager. I can help w/manual credit if system doesn't adjust."/>
    <m/>
    <m/>
    <s v="Patterson"/>
  </r>
  <r>
    <x v="65"/>
    <x v="0"/>
    <s v="MI"/>
    <s v="Delta"/>
    <s v="Email"/>
    <s v="Nissen, Peter"/>
    <m/>
    <s v="HO3 Primary"/>
    <m/>
    <s v="OK"/>
    <n v="4"/>
    <n v="180000"/>
    <n v="324000"/>
    <s v="Berm (earth) home"/>
    <s v="1985 cement home 2 sides 100% enclosed by earth, 1 side 65%, 1 side open. Unknown if professionally built (we require this-agt will verify). Comp shingle roof, no updates noted so roof exclusion applies per agent."/>
    <x v="0"/>
    <s v="Nice online photos. https://www.zillow.com/homedetails/5-Privateer-Dr-Afton-OK-74331/2141180464_zpid/"/>
    <m/>
    <m/>
    <s v="Patterson"/>
  </r>
  <r>
    <x v="65"/>
    <x v="1"/>
    <m/>
    <s v="Nichole"/>
    <s v="Email"/>
    <s v="Kerstetter"/>
    <m/>
    <s v="DP1 Primary"/>
    <s v="Kulpmont"/>
    <s v="PA"/>
    <m/>
    <n v="100000"/>
    <n v="150000"/>
    <s v="Knob &amp; Tube wiring"/>
    <s v="1908 home updated except for 1 floor of knob &amp; tube wiring. Will be updated within 6 months. Also has asbestos siding."/>
    <x v="3"/>
    <s v="Not comfortable with any K&amp;T, and no to asbestos siding."/>
    <m/>
    <m/>
    <s v="Patterson"/>
  </r>
  <r>
    <x v="65"/>
    <x v="2"/>
    <m/>
    <s v="Alison"/>
    <s v="Email"/>
    <s v="NAG Investments Limited Partnership"/>
    <m/>
    <s v="HO3 Secondary"/>
    <s v="Malibu"/>
    <s v="CA"/>
    <n v="2"/>
    <n v="2368000"/>
    <n v="3500000"/>
    <s v="TIV"/>
    <s v="1959 home updated in 2009. No online photos. In brush. FD 1 mile away, hydrant 50' away per app. Appears to be some flat roof so agent applied $10,000 water damage ded."/>
    <x v="1"/>
    <s v="$10K roof ded, LLC form."/>
    <m/>
    <m/>
    <s v="Patterson"/>
  </r>
  <r>
    <x v="66"/>
    <x v="3"/>
    <s v="AL"/>
    <s v="Janet"/>
    <s v="Email"/>
    <m/>
    <m/>
    <s v="HO3 Primary"/>
    <m/>
    <s v="MS"/>
    <m/>
    <m/>
    <m/>
    <s v="Business in home"/>
    <s v="Insured has an in home doggie daycare. "/>
    <x v="4"/>
    <s v="Submit with app and answers to business questions. Provided copy of Total Business Excl and Animal exclusion would apply. Advised of TBE limitations."/>
    <m/>
    <m/>
    <s v="Patterson"/>
  </r>
  <r>
    <x v="66"/>
    <x v="0"/>
    <s v="MI"/>
    <s v="Leslie"/>
    <s v="Email"/>
    <s v="Babbs, Carlton &amp; Maia"/>
    <m/>
    <s v="DP1 Stand Alone Other Str"/>
    <m/>
    <s v="CO"/>
    <n v="10"/>
    <n v="100000"/>
    <m/>
    <s v="Stand alone other structure"/>
    <s v="The insured built a barn in Colorado and they  are looking for  $100K property coverage only with a $5,000 ded.  Response time is 25 minutes.  Insured received a Markel quote from another wholesaler so submitting for review. 2016 barn, vacant DP1 rating. In brush. "/>
    <x v="1"/>
    <s v="Approved at rate quoted"/>
    <s v="Verified rating w/ apples to apples competitor quote and this rate is fine.  $1272 DP3; $750 DP1."/>
    <m/>
    <s v="Patterson"/>
  </r>
  <r>
    <x v="66"/>
    <x v="0"/>
    <s v="MI"/>
    <s v="Alexa"/>
    <s v="Email"/>
    <s v="H&amp;H Properties LLC"/>
    <m/>
    <s v="HO3 Secondary"/>
    <s v="Bowie"/>
    <s v="TX"/>
    <n v="10"/>
    <n v="272000"/>
    <n v="408000"/>
    <s v="PC10"/>
    <s v="2001 home on 274 acres. Secondary w/no alarms. FD is 15 miles away. PC quest says 20 min response time. Volunteer FD."/>
    <x v="3"/>
    <s v="Expect response time will be &gt;20 with volunteer, no alarms at secondary residence, 15 miles travel distance."/>
    <m/>
    <m/>
    <s v="Patterson"/>
  </r>
  <r>
    <x v="66"/>
    <x v="2"/>
    <m/>
    <s v="Alex"/>
    <s v="Email"/>
    <s v="Pugh, John &amp; Robin"/>
    <m/>
    <s v="HO3 Primary"/>
    <s v="Yorba Linda"/>
    <s v="CA"/>
    <n v="3"/>
    <n v="747000"/>
    <n v="1200000"/>
    <s v="Prior losses"/>
    <s v="$1850 water claim 4+ years ago, $128K water claim about 3 years ago. Plumbing pipes completely replaced. Agt charged for loss and added 10%. $10K water damage ded"/>
    <x v="0"/>
    <s v="Offered lower ded if confirmation of 100% of  pipes and connections."/>
    <m/>
    <m/>
    <s v="Patterson"/>
  </r>
  <r>
    <x v="66"/>
    <x v="2"/>
    <m/>
    <s v="Alison"/>
    <s v="Email"/>
    <s v="Bright, Sara &amp; Byers, John Andrew"/>
    <m/>
    <s v="HO3 Primary"/>
    <s v="Pacific Palisades"/>
    <s v="CA"/>
    <n v="3"/>
    <n v="1350000"/>
    <n v="3290000"/>
    <s v="Business on premises"/>
    <s v="2017 home recent ground up construction.  $700K art studio just starting construction. Will be insured's studio - she is a prof artist. Husband is a artist, record producer, musician. No online info. Agent adding % for builders risk even though not on home. Agreed Total Business excl can be added now. 6-7 month construction. Unknown if there will be public traffic etc. Agent will check as construction gets closer. Not in brush."/>
    <x v="0"/>
    <s v="10% surcharge (bldrs risk is normally 50%-typically don't need to add for other structure construction but agent doing it since it is so large). Add Total Business Exclusion. When constr is complete add Building Exclusion."/>
    <m/>
    <m/>
    <s v="Patterson"/>
  </r>
  <r>
    <x v="67"/>
    <x v="0"/>
    <s v="MI"/>
    <s v="Delta"/>
    <s v="Email"/>
    <s v="Bravo, Joe R"/>
    <m/>
    <s v="HO3 Secondary"/>
    <s v="Livermore "/>
    <s v="CO"/>
    <n v="10"/>
    <n v="118000"/>
    <n v="168000"/>
    <s v="Response time"/>
    <s v="1972 home updated. Pro:  Low value  Con:  No alarms, secondary home not visible to neighbors, volunteer FD, dirt roads, 200 yard driveway.  "/>
    <x v="3"/>
    <s v="actual response time will be over 25 minutes meaning a definite total loss.  Are we getting enough premium to support that possibility?"/>
    <m/>
    <m/>
    <s v="Patterson"/>
  </r>
  <r>
    <x v="67"/>
    <x v="0"/>
    <s v="MI"/>
    <s v="Leslie"/>
    <s v="Email"/>
    <s v="Harrison, Matthew"/>
    <m/>
    <s v="DP3 Builders Risk"/>
    <s v="Creedmore"/>
    <s v="NC"/>
    <n v="6"/>
    <n v="1600000"/>
    <n v="1785000"/>
    <s v="High profile"/>
    <s v="2017 new build ground up. Matt Harrison is major league free agent. Agent quoting X-liab as Insd has CGL. Asked for $10K AOP."/>
    <x v="1"/>
    <s v="1% wind/hail per guidelines = $16,000. Risk is over 100 miles from coast. Verified not a coastal county or a county restricted in recent Hurr Matthew. Asked to be notified if Cov A increases so we can re-evaluate if $10K is adequate."/>
    <m/>
    <m/>
    <s v="Patterson"/>
  </r>
  <r>
    <x v="67"/>
    <x v="0"/>
    <s v="MI"/>
    <s v="Danielle"/>
    <s v="Email"/>
    <s v="Goldhaber, Amos Nathanael"/>
    <m/>
    <s v="HO3 Seasonal w/Rental"/>
    <s v="Kings Lake"/>
    <s v="CA"/>
    <n v="4"/>
    <n v="3072364"/>
    <n v="4506134"/>
    <s v="TIV"/>
    <s v="1928 home w/some updates. Large brokerage - need to find way to help. Lloyds getting off due to outbuildings, shake roof, knob/tube in boathouse, 10% galv plumb. Agt proposing w/water and roof excl, and k&amp;t removed. Not in brush (per RM I ran)"/>
    <x v="1"/>
    <s v="In addition to subj noted, remove k&amp;t within 60 days. Need RCE to support $3M. Remove portable space heaters for tenant use. Confirm not primary. Acceptable WBS quests. Exclude guest house #1 roof"/>
    <m/>
    <m/>
    <s v="Patterson"/>
  </r>
  <r>
    <x v="67"/>
    <x v="8"/>
    <s v="NC"/>
    <s v="Alia"/>
    <s v="Email"/>
    <s v="Gilley"/>
    <m/>
    <s v="HO3 Builders Risk"/>
    <s v="Greenville"/>
    <s v="SC"/>
    <m/>
    <n v="800000"/>
    <n v="800000"/>
    <s v="Insured is GC"/>
    <s v="1965 home. Insured is the GC, hiring subcontractors."/>
    <x v="3"/>
    <m/>
    <m/>
    <m/>
    <s v="Patterson"/>
  </r>
  <r>
    <x v="67"/>
    <x v="1"/>
    <m/>
    <s v="Nichole"/>
    <s v="Email"/>
    <s v="Grimley, Kelly"/>
    <m/>
    <s v="HO3 Primary"/>
    <s v="Marmora "/>
    <s v="NJ"/>
    <m/>
    <n v="375000"/>
    <n v="637500"/>
    <s v="Prior foreclosure"/>
    <s v="2005 new purchase. Husband had prior foreclosure 12/31/14. (Hub info not provided even though I advised this was needed) Nice home. "/>
    <x v="3"/>
    <s v="Ran ins score on wife- Lowest tier we have. Judgement pending. Bad debt."/>
    <m/>
    <m/>
    <s v="Patterson"/>
  </r>
  <r>
    <x v="68"/>
    <x v="7"/>
    <s v="VA"/>
    <s v="Garry"/>
    <s v="Email"/>
    <s v="Gifford Family Trust LLC"/>
    <m/>
    <s v="DP3 Rental"/>
    <s v="Norfolk"/>
    <s v="VA"/>
    <n v="5"/>
    <m/>
    <m/>
    <s v="LLC name"/>
    <s v="Home in name of LLC formed for family children and grandchildren for rental properties."/>
    <x v="1"/>
    <m/>
    <m/>
    <m/>
    <s v="Patterson"/>
  </r>
  <r>
    <x v="68"/>
    <x v="7"/>
    <s v="VA"/>
    <s v="Garry"/>
    <s v="Email"/>
    <s v="Gifford Family Trust LLC"/>
    <m/>
    <s v="DP3 Rental"/>
    <s v="Norfolk"/>
    <s v="VA"/>
    <n v="5"/>
    <m/>
    <m/>
    <s v="LLC name"/>
    <s v="Home in name of LLC formed for family children and grandchildren for rental properties."/>
    <x v="1"/>
    <m/>
    <m/>
    <m/>
    <s v="Patterson"/>
  </r>
  <r>
    <x v="68"/>
    <x v="0"/>
    <s v="MI"/>
    <s v="Jill"/>
    <s v="Email"/>
    <s v="Hedlund, Andrew"/>
    <m/>
    <s v="DP1 Primary"/>
    <s v="Alta"/>
    <s v="CA"/>
    <n v="9"/>
    <n v="272000"/>
    <n v="435000"/>
    <s v="2 trees in deck"/>
    <s v="1951 home, updates unknown. Roof exclusion. Not in brushy. Agent asking for DP1 ACV with roof exclusion. Quote says PC6 but app says hydrant &gt;1001 feet."/>
    <x v="0"/>
    <s v="Confirm PC, looks like it would be a 9 with hydrant 1001' away."/>
    <s v="Looked a little mobile home-ish, but 4 online sources listed this as regular home. Typically online sources identify manufactured home."/>
    <m/>
    <s v="Patterson"/>
  </r>
  <r>
    <x v="68"/>
    <x v="0"/>
    <s v="MI"/>
    <s v="Leslie"/>
    <s v="Email/Call"/>
    <s v="Greenwood, Marion"/>
    <m/>
    <s v="HO3 Primary"/>
    <s v="Brooklyn"/>
    <s v="NY"/>
    <n v="1"/>
    <n v="1000000"/>
    <n v="2000000"/>
    <s v="1896 YOC"/>
    <s v="1896 brownstone completely updated in 2005. Nice online photos. No interior info. "/>
    <x v="0"/>
    <s v="MFRC."/>
    <s v="Burns does not have the flat roof deductible requirement of other partners."/>
    <m/>
    <s v="Patterson"/>
  </r>
  <r>
    <x v="68"/>
    <x v="0"/>
    <s v="MI"/>
    <s v="Alexa"/>
    <s v="Email"/>
    <s v="Barletta Cape Properties"/>
    <m/>
    <s v="HO3 Primary"/>
    <s v="Barnstable"/>
    <s v="MA"/>
    <m/>
    <n v="1184000"/>
    <n v="1876000"/>
    <s v="Premium credit"/>
    <s v="2010 (1999?) home located on the Cape. Agent trying to match Quaker quote. Nice online photos."/>
    <x v="0"/>
    <s v="Cannot match Quaker quote (14.5% credit) as partner programs are unique. Approved 10% credit. Also verify YOC and need LLC/Corp form due to named insd."/>
    <s v="Discussed w/Jeff. Concern about precedent. Partner programs are unique."/>
    <m/>
    <s v="Patterson"/>
  </r>
  <r>
    <x v="68"/>
    <x v="0"/>
    <s v="MI"/>
    <s v="Danielle"/>
    <s v="Email"/>
    <s v="Hanna, Antoine"/>
    <m/>
    <s v="HO3 Seasonal w/Rental"/>
    <s v="Bass Lake"/>
    <s v="CA"/>
    <n v="10"/>
    <n v="644000"/>
    <n v="1159200"/>
    <s v="Response time"/>
    <s v="2008 home, nice risk per inspection. Inspection revealed this is a PC10 w/17 min response time. Not in brush. Insp says volunteer 6 miles away, 14-17 min response. PC quest says paid/vol 8 miles away, 10 min response. Google shows 15-18 drive time. No alarm. Not in brush area. Photo shows hydrant within 600-900' of home."/>
    <x v="1"/>
    <m/>
    <m/>
    <m/>
    <s v="Patterson"/>
  </r>
  <r>
    <x v="68"/>
    <x v="2"/>
    <s v="CA"/>
    <s v="Alex"/>
    <s v="Call"/>
    <s v="Bundarin"/>
    <m/>
    <s v="DP3 Rental"/>
    <m/>
    <m/>
    <m/>
    <m/>
    <m/>
    <s v="Prior claims"/>
    <s v="Insd had a couple of small losses at other rental locations. No surcharge per our discussion as they were minor. Did have a $0 Fire at our location. Last year wildfire left ash deposits on insd property. They called in to have it cleaned up not realizing the policy didn't pay for that. Denied-$0 paid. Brush surcharge and additional surcharge for location applied."/>
    <x v="1"/>
    <m/>
    <m/>
    <m/>
    <s v="Patterson"/>
  </r>
  <r>
    <x v="68"/>
    <x v="2"/>
    <s v="CA"/>
    <s v="Alison"/>
    <s v="Email"/>
    <s v="Shawn &amp; Odel Nazarian Family Trust"/>
    <m/>
    <s v="HO3 Primary"/>
    <s v="Beverly Hills"/>
    <s v="CA"/>
    <n v="2"/>
    <n v="2600000"/>
    <n v="4590000"/>
    <s v="Prior claims"/>
    <s v="New construction just off COC.  3 prior claims at prior residence. Fire $60K in garage5/14; liab $0 11/14-no details; Theft 2/15 $55K personal property-no other details."/>
    <x v="4"/>
    <s v="Advised a rate indication could be released w/s/c for 3 losses. Need full details on losses and fire marshall report to bind. Cov needed Sunday 4/9. Not sure how they can pull it off. Ins score =750"/>
    <m/>
    <m/>
    <s v="Patterson"/>
  </r>
  <r>
    <x v="68"/>
    <x v="2"/>
    <s v="CA"/>
    <s v="Alison"/>
    <s v="Email"/>
    <s v="Dahan, Eyal"/>
    <m/>
    <s v="HO3 Primary"/>
    <s v="Los Angeles "/>
    <s v="CA"/>
    <n v="2"/>
    <n v="800000"/>
    <n v="970000"/>
    <s v="Prior losses"/>
    <s v="Insured has filed 6 claims since 2013 and is in current litigation with his current carrier."/>
    <x v="3"/>
    <m/>
    <m/>
    <m/>
    <s v="Patterson"/>
  </r>
  <r>
    <x v="69"/>
    <x v="7"/>
    <s v="VA"/>
    <s v="Garry"/>
    <s v="Email"/>
    <s v="Hashim, Masih"/>
    <m/>
    <s v="HO3 Primary"/>
    <s v="Clifton"/>
    <s v="VA"/>
    <n v="5"/>
    <n v="475000"/>
    <n v="807500"/>
    <s v="Claim History"/>
    <s v="Agent wondering if $20K hail CAT claim would be surcharged and if the risk is eligible with 2 losses."/>
    <x v="0"/>
    <s v="Approved w/surcharge for 2 losses. Advised we do charge for CAT claims."/>
    <m/>
    <m/>
    <s v="Patterson"/>
  </r>
  <r>
    <x v="69"/>
    <x v="3"/>
    <s v="MI"/>
    <s v="Chris"/>
    <s v="Email"/>
    <s v="Vice, Michael &amp; Fredna"/>
    <m/>
    <s v="HO3 Primary"/>
    <s v="Moss Point"/>
    <s v="MS"/>
    <n v="6"/>
    <n v="20000000"/>
    <n v="2430000"/>
    <s v="Acreage"/>
    <s v="2007 home on 110 acres, &quot;no hunting or anything&quot;. No online photos. Central fire &amp; burglar alarms"/>
    <x v="0"/>
    <s v="• Confirmation the home is situated on the property where it does not increase FD response time to &gt;15 minutes total.  _x000a_• Emergency vehicles can navigate the driveway to access the home on the property with no issue._x000a_• No business use, no leasing acreage to farmers_x000a_"/>
    <m/>
    <m/>
    <s v="Patterson"/>
  </r>
  <r>
    <x v="69"/>
    <x v="0"/>
    <s v="MI"/>
    <s v="Alexa"/>
    <s v="Email"/>
    <s v="Larson, Brian &amp; Debra"/>
    <m/>
    <s v="HO3 Primary  BWH102415"/>
    <s v="San Luis Obispo"/>
    <s v="CA"/>
    <n v="9"/>
    <n v="450000"/>
    <n v="610000"/>
    <s v="Response time"/>
    <s v="Renewal w/25 min response time. Did not find on approval log from last year. CA in brush 1986 partially updated. No alarms."/>
    <x v="2"/>
    <s v="Agency was aware of response time last year, but policy did not get referred. Ran FireLine - 18 fire score - Extreme brush. 25 min response,accessible, but not paved. _x000a_4/17/17 follow up from Fire Department - email in file that response time is 10 minutes. (From CAL FIRE fire chief)"/>
    <m/>
    <m/>
    <s v="Patterson"/>
  </r>
  <r>
    <x v="69"/>
    <x v="1"/>
    <s v="PA"/>
    <s v="Nichole"/>
    <s v="Email"/>
    <s v="Evans, John"/>
    <m/>
    <s v="HO3 Seasonal"/>
    <s v="Gap Mills"/>
    <s v="WV"/>
    <n v="9"/>
    <n v="153000"/>
    <n v="267900"/>
    <s v="Response time"/>
    <s v="1997 log home w/updated plumbing. FD is 4.2 miles away w/8 min drive time. Chief reports 15-20 min which seems honest. Portion of gravel road. Insd has alarm. Agnt surcharged 10%. Lower value."/>
    <x v="1"/>
    <m/>
    <m/>
    <m/>
    <s v="Patterson"/>
  </r>
  <r>
    <x v="69"/>
    <x v="1"/>
    <m/>
    <s v="Tamika"/>
    <s v="Call"/>
    <m/>
    <m/>
    <s v="DP3 Builders Risk"/>
    <m/>
    <m/>
    <m/>
    <m/>
    <m/>
    <s v="Insured is GC"/>
    <s v="3 family home for investor who they write a lot of business for. Needs to be bound today. Vacant reno with a lot of work to do. Quoted Friday, found out today that there is no GC - the insured is hiring all the subs."/>
    <x v="3"/>
    <s v="Advised we will be working on a program but it's not ready yet, and we can't make individual exceptions without doing all the research."/>
    <m/>
    <m/>
    <s v="Patterson"/>
  </r>
  <r>
    <x v="69"/>
    <x v="11"/>
    <s v="MA"/>
    <s v="Austin"/>
    <s v="Email"/>
    <s v="McKenzie, Charles L"/>
    <m/>
    <s v="HO3 Seasonal   MAXH13100004637 "/>
    <s v="Cotuit"/>
    <s v="MA"/>
    <m/>
    <n v="1500000"/>
    <n v="2120000"/>
    <s v="TIV"/>
    <s v="Approved 5th renewal which is now slightly over their $2M TIV authority level."/>
    <x v="1"/>
    <m/>
    <m/>
    <m/>
    <s v="Patterson"/>
  </r>
  <r>
    <x v="70"/>
    <x v="0"/>
    <s v="MI"/>
    <s v="Delta"/>
    <s v="Email"/>
    <s v="Warden, Scott"/>
    <m/>
    <s v="HO3 Primary"/>
    <s v="Durango"/>
    <s v="CO"/>
    <n v="10"/>
    <n v="220000"/>
    <n v="364000"/>
    <s v="Response time"/>
    <s v="1999 home. No alarms. 7 mile/20 min response time, visible, accessible. Paid FD. Gravel roads. Tankers bring water, no other sources. App says 10 mi to FD. Google says 15 mi/33 min."/>
    <x v="4"/>
    <s v="Asked Delta to get FD address and confirm response time.  WBS quest needed if we proceed."/>
    <m/>
    <m/>
    <s v="Patterson"/>
  </r>
  <r>
    <x v="70"/>
    <x v="0"/>
    <s v="MI"/>
    <s v="Jill"/>
    <s v="Email"/>
    <s v="Pacquiao, Emanuel"/>
    <m/>
    <s v="HO3 Seasonal"/>
    <m/>
    <s v="CA"/>
    <n v="5"/>
    <n v="1060631"/>
    <n v="1860631"/>
    <s v="High profile"/>
    <s v="1999 home in brush. Insured is famous boxer.  No negative press."/>
    <x v="0"/>
    <s v="Agreed to write without liability due to insured being high profile. Lapse - add surcharge. Signed no loss. Insp indicates issue w/pool fence-need to resolve."/>
    <s v="Reviewed w/Louisa"/>
    <m/>
    <s v="Patterson"/>
  </r>
  <r>
    <x v="70"/>
    <x v="0"/>
    <s v="MI"/>
    <s v="Danielle"/>
    <s v="Email"/>
    <s v="Mariani, Marc"/>
    <m/>
    <s v="HO3 Primary"/>
    <m/>
    <s v="TN"/>
    <n v="4"/>
    <n v="468000"/>
    <n v="928000"/>
    <s v="High profile"/>
    <s v="2016 home primary and rented on AirBnb. Insured is free agent wide receiver AML. Was w/TN Titans. No negative press. Includes $1M liability."/>
    <x v="1"/>
    <m/>
    <s v="Reviewed w/Louisa"/>
    <m/>
    <s v="Patterson"/>
  </r>
  <r>
    <x v="70"/>
    <x v="0"/>
    <s v="MI"/>
    <s v="Jill"/>
    <s v="Email"/>
    <s v="Picchietti, Frances"/>
    <m/>
    <s v="DP3 Tenant"/>
    <s v="Bannockburn"/>
    <s v="IL"/>
    <m/>
    <n v="1181000"/>
    <n v="2300000"/>
    <s v="TIV"/>
    <s v="1966 home fully updated. Father passed away, son living in home.  Will be re-titled and LLC obtained."/>
    <x v="1"/>
    <m/>
    <m/>
    <m/>
    <s v="Patterson"/>
  </r>
  <r>
    <x v="71"/>
    <x v="0"/>
    <s v="CA"/>
    <s v="Leslie"/>
    <s v="Email"/>
    <s v="Sanati, Robert"/>
    <m/>
    <s v="HO3 Primary"/>
    <s v="Los Angeles "/>
    <s v="CA"/>
    <n v="1"/>
    <n v="3200000"/>
    <n v="4800000"/>
    <s v="TIV"/>
    <s v="Nice online pix of 1962 home updated in 1992. Not in brush. UW? Not all completed. "/>
    <x v="0"/>
    <s v="UW? Complete. Advised of $5M TIV limit."/>
    <m/>
    <m/>
    <s v="Patterson"/>
  </r>
  <r>
    <x v="71"/>
    <x v="0"/>
    <s v="NE"/>
    <s v="Alexa"/>
    <s v="Email"/>
    <s v="Rush, Melinda"/>
    <m/>
    <s v="HO3 Primary"/>
    <s v="Omaha"/>
    <s v="NE"/>
    <n v="3"/>
    <n v="156213"/>
    <n v="281183"/>
    <s v="Daycare in home"/>
    <s v="1920 home updated. Insured runs 12 child daycare in home. Wants total business excl. 5/16 Hail $12K; 8/16 Wind $3868. Found 2 other losses on app 5/12 Hail $10K; 5/13 Wind $6585. No info on where daycare is insured."/>
    <x v="0"/>
    <s v="• 5% (five percent) W/H ded = $7811_x000a_• Add 15% additional surcharge/debit for frequency/severity of W/H claims_x000a_• Excluding liability – we’re not comfortable offering liability with a daycare in the home_x000a_• Include Total Business Exclusion form – please make sure insured is aware of the severe restrictions of this form for an in home business.  If any loss occurs related to the business, claims will deny the loss.  (e.g. A bottle warmer used for a daycare child shorts out, starts a fire and the house burns to the ground. Claims would deny all damage to the home and contents.)_x000a_• A commercial liability policy for the daycare must be in place (this lets us know the risk has been underwritten and gives us a comfort level with our property exposure)_x000a_"/>
    <m/>
    <m/>
    <s v="Patterson"/>
  </r>
  <r>
    <x v="71"/>
    <x v="0"/>
    <s v="MI"/>
    <s v="Leslie"/>
    <s v="Email"/>
    <s v="Dill, Brent"/>
    <m/>
    <s v="HO3 Seasonal/Rental"/>
    <s v="La Quinta"/>
    <s v="CA"/>
    <m/>
    <n v="1550000"/>
    <n v="3145000"/>
    <s v="TIV"/>
    <s v="2006 home rented 9-20 weeks. Nice online photos. "/>
    <x v="0"/>
    <s v="• You rated seasonal w/9-20 weeks rental, correct?_x000a_• Online photos show some pretty elaborate horse barn, fencing, and dressage areas on this property. _x000a_http://www.realtor.com/realestateandhomes-detail/55075-Monroe-St_La-Quinta_CA_92253_M21838-31879#photo41_x000a_• Is Cov B adequate?_x000a_• Does the insured have horses?_x000a_• Any breeding, boarding, training, riding lessons?_x000a_• Are renters allowed to bring their horses?_x000a_• (There are Polo Clubs and Polo Grounds in this area. It looks like Desert VIP services caters to renters who are coming to polo events.  http://desertvipservices.com/la-quinta/)_x000a_• There was a very large loss in 2012.  We won't rate for it, but can you tell us what happened?  _x000a_Answers back are acceptable. Approved subj to excluding any structures they don't want to insure."/>
    <m/>
    <m/>
    <s v="Patterson"/>
  </r>
  <r>
    <x v="71"/>
    <x v="5"/>
    <m/>
    <s v="Anella"/>
    <s v="Email"/>
    <s v="Holtman, Catherine"/>
    <m/>
    <s v="HO3 Secondary/Rental"/>
    <s v="Hatteras"/>
    <s v="NC"/>
    <m/>
    <n v="780000"/>
    <n v="1092000"/>
    <s v="Lapse"/>
    <s v="1999 home lapse since 2/5/17. Decent ins score."/>
    <x v="0"/>
    <s v="Discussed w/Tim. Approve subj to reasonable explanation for 2 mo lapse, no history of cancel/late pay, signed no loss."/>
    <m/>
    <m/>
    <s v="Patterson"/>
  </r>
  <r>
    <x v="71"/>
    <x v="1"/>
    <m/>
    <s v="Tamika"/>
    <s v="Email"/>
    <s v="Evans, Loretta K"/>
    <m/>
    <s v="DP3 Vacant"/>
    <s v="Allentown"/>
    <s v="PA"/>
    <m/>
    <m/>
    <m/>
    <s v="Liability hazard"/>
    <s v="New inspection for home where insured has been moved to assisted living. Family does not want to repair damaged porch decking or sidewalk."/>
    <x v="0"/>
    <s v="Remove liability asap. Can be added back if porch is repaired. Okay to leave sidewalk."/>
    <m/>
    <m/>
    <s v="Patterson"/>
  </r>
  <r>
    <x v="71"/>
    <x v="1"/>
    <s v="NJ"/>
    <s v="Lisa"/>
    <s v="Email"/>
    <s v="Hill, John "/>
    <m/>
    <s v="HO3 Primary"/>
    <s v="N Middletown"/>
    <s v="NJ"/>
    <m/>
    <n v="175000"/>
    <n v="289500"/>
    <s v="Bankruptcy"/>
    <s v="Insured had bankruptcy in 2014. 1937 home updated. Online photos ok. Tried running ins score - no hit. Only have dob, common name."/>
    <x v="2"/>
    <s v="Need ss# to run ins score. Ins doesn't want a hit against his credit score due to financing for a mortgage. Declined but offered to take a look at a credit report the mortgage co could send and possibly that would help us.//Credit score averages 650/818. Considered fair per internet search. Asked for employment info: Foreman for First Transit, Cincinnati OH for 11 years. Stable employment. Score not bad for bankruptcy in 2014."/>
    <m/>
    <m/>
    <s v="Patterson"/>
  </r>
  <r>
    <x v="71"/>
    <x v="1"/>
    <m/>
    <s v="Nichole"/>
    <s v="Email"/>
    <s v="Craven, Carol"/>
    <m/>
    <s v="HO3 Primary"/>
    <s v="West Tisbury"/>
    <s v="MA"/>
    <m/>
    <m/>
    <m/>
    <s v="Scheduled Personal Property"/>
    <s v="Insured will have $315K of consignment paintings in her home and needs insurance."/>
    <x v="3"/>
    <s v="Provided flyer for Jamie Gregory=Markel Specialty. Tried contacting him and his boss - neither are online."/>
    <m/>
    <m/>
    <s v="Patterson"/>
  </r>
  <r>
    <x v="71"/>
    <x v="2"/>
    <m/>
    <s v="Alison"/>
    <s v="Email"/>
    <s v="Pham, Trinh-Kha"/>
    <m/>
    <s v="HO3 Primary"/>
    <s v="West Covina"/>
    <s v="CA"/>
    <s v=" "/>
    <n v="502000"/>
    <n v="652000"/>
    <s v="Occupancy"/>
    <s v="1983 home owned by daughter, occupied by mother, no rent. Daughter visits the home."/>
    <x v="1"/>
    <s v="Mother is an insured based on policy definition."/>
    <m/>
    <m/>
    <s v="Patterson"/>
  </r>
  <r>
    <x v="71"/>
    <x v="2"/>
    <m/>
    <s v="Alison"/>
    <s v="Call"/>
    <m/>
    <m/>
    <s v="HO3 Builders Risk"/>
    <m/>
    <s v="CA"/>
    <m/>
    <m/>
    <m/>
    <s v="Insured is GC"/>
    <s v="Insured is owner of CAL Framing, a general contracting company. Would we allow them to be the GC to build his house?"/>
    <x v="3"/>
    <s v="Discussed w/Louisa. Still too close to home."/>
    <m/>
    <m/>
    <s v="Patterson"/>
  </r>
  <r>
    <x v="71"/>
    <x v="4"/>
    <s v="CO"/>
    <s v="Allison"/>
    <s v="Email"/>
    <s v="Tiny Houses LLC"/>
    <m/>
    <s v="DP3 Rental"/>
    <s v="Escalante"/>
    <s v="UT"/>
    <m/>
    <m/>
    <m/>
    <s v="Tiny house schedule"/>
    <s v="3 tiny houses used as vacation rental in Utah."/>
    <x v="3"/>
    <s v="Not our market."/>
    <m/>
    <m/>
    <s v="Patterson"/>
  </r>
  <r>
    <x v="72"/>
    <x v="0"/>
    <s v="MI"/>
    <s v="Leslie"/>
    <s v="Email"/>
    <s v="Evans, David &amp; Michelle "/>
    <m/>
    <s v="HO3 Primary"/>
    <s v="Ramona"/>
    <s v="CA"/>
    <n v="10"/>
    <n v="1125000"/>
    <n v="1912500"/>
    <s v="PC10"/>
    <s v="2008 in PC10 w/5-6 min response time. (12-15 min per google - still ok).  No hydrant. No brush per invalid report attached. 10,000 gallon tank 500' from home."/>
    <x v="0"/>
    <s v="Subj to brush s/c. Sent Jill's prev submission to Leslie and asked her to share w/Danielle. The &quot;CA Brush Fire&quot; report is not valid. Need RM or FireLine. I provided FireLine. Both RM and FL show high brush."/>
    <s v="(duplicate submission for another retailer)"/>
    <m/>
    <s v="Patterson"/>
  </r>
  <r>
    <x v="72"/>
    <x v="0"/>
    <s v="MI"/>
    <s v="Leslie"/>
    <s v="Email"/>
    <s v="Coyote Developers LLC"/>
    <m/>
    <s v="DP3 Rental"/>
    <s v="Santa Barbara "/>
    <s v="CA"/>
    <n v="10"/>
    <n v="2000000"/>
    <n v="2400000"/>
    <s v="TIV"/>
    <s v="Brand new build in brush. Contradictory info on PPC. Could be PC 3 based on info. Response time confirmed."/>
    <x v="0"/>
    <s v="Need LLC quest. Verify PPC - provided detail for Leslie to review for possible PC3 vs. PC10"/>
    <m/>
    <m/>
    <s v="Patterson"/>
  </r>
  <r>
    <x v="72"/>
    <x v="1"/>
    <m/>
    <s v="Tamika"/>
    <s v="Call"/>
    <m/>
    <m/>
    <s v="DP3 Rental"/>
    <s v="Richmond"/>
    <s v="VA"/>
    <m/>
    <m/>
    <m/>
    <s v="Prior loss"/>
    <s v="Insured had a &quot;huge fire&quot; at prior location in Baltimore MD."/>
    <x v="4"/>
    <s v="Need fire marshall report or comparable. Left VM for Tamika."/>
    <m/>
    <m/>
    <s v="Patterson"/>
  </r>
  <r>
    <x v="72"/>
    <x v="2"/>
    <m/>
    <s v="Bobbi"/>
    <s v="Email"/>
    <s v="Frye Family Partnership"/>
    <m/>
    <s v="HO3 Secondary"/>
    <s v="Newport Beach"/>
    <s v="CA"/>
    <m/>
    <m/>
    <m/>
    <s v="Pending Litigation"/>
    <s v="4 family members own a seasonal home together. Stuart Frye wants out and filed a lawsuit a couple of months ago. He wants to be bought out or have the home sold."/>
    <x v="1"/>
    <s v="Reviewed w/Louisa. Ran ins scores on all.  747,855 and 997. Stuart says not enough info to score, and he is listed as retired. We agreed if scores were okay, we would do it."/>
    <m/>
    <m/>
    <s v="Patterson"/>
  </r>
  <r>
    <x v="72"/>
    <x v="2"/>
    <m/>
    <s v="Alex"/>
    <s v="Call"/>
    <s v="Berry, Micah"/>
    <m/>
    <s v="HO3 Primary"/>
    <m/>
    <m/>
    <m/>
    <m/>
    <m/>
    <s v="Log home"/>
    <s v="Completed log questionnaire indicates name of builder and years experience are unknown. We reviewed photos and details of the home online and it looks like a custom home. 2007 build. Great condition."/>
    <x v="1"/>
    <m/>
    <m/>
    <m/>
    <s v="Patterson"/>
  </r>
  <r>
    <x v="72"/>
    <x v="10"/>
    <m/>
    <s v="Suzanne"/>
    <s v="Email"/>
    <m/>
    <m/>
    <s v="HO3 Primary"/>
    <s v="New Orleans"/>
    <s v="LA"/>
    <m/>
    <n v="1400000"/>
    <m/>
    <s v="Age of home"/>
    <s v="1900 home fully restored and updated. Agents cutoff is 1930."/>
    <x v="0"/>
    <s v="Subj to everything else being okay. Esp updates."/>
    <m/>
    <m/>
    <s v="Patterson"/>
  </r>
  <r>
    <x v="73"/>
    <x v="0"/>
    <s v="MI"/>
    <s v="Jill"/>
    <s v="Email"/>
    <s v="Wright, Marvin"/>
    <m/>
    <s v="HO3 Primary"/>
    <s v="Bartlesville"/>
    <s v="OK"/>
    <m/>
    <n v="100000"/>
    <n v="170000"/>
    <s v="Business on premises"/>
    <s v="1978 home w/updated roof in 2014. Insured welds and fixes lawnmowers and motors in his garage. Has a GL. Per inspection, the work is done in an attached garage. There are tarp covered lawnmowers around the exterior of the building and many in the driveway and in the garage. This is part time per questionnaire. 3 prior claims - 2 wind, theft. No $ amounts."/>
    <x v="2"/>
    <s v="Declined as presented. Can't exclude the building. If we write with Total Business Excl, anything business related is excluded. Such a high fire exposure, don't feel we should take this on knowing it will be excluded. If a coml pol could be put in place that covers business related property losses, we could offer terms w/Total Business Exclusion.  4/26-addl info. Insured has a CGL in place which covers BI and Prop Dmg. Got loss info, no addl concerns."/>
    <m/>
    <m/>
    <s v="Patterson"/>
  </r>
  <r>
    <x v="73"/>
    <x v="1"/>
    <m/>
    <s v="Tamika"/>
    <s v="Email/Call"/>
    <s v="Sanchez, Fernando"/>
    <m/>
    <s v="DP3 Rental"/>
    <s v="Richmond"/>
    <s v="VA"/>
    <n v="2"/>
    <n v="200000"/>
    <m/>
    <s v="Prior losses"/>
    <s v="2004 frame single family home will be rented. Insured had prior fire $110K 6/16 at rental property in Baltimore MD under name Empire Property Management. Also prior water $33K at primary in Bethesda MD (details to follow). Fire report is initial report - indicates arson inspector was called. Online report also lists arson inspector called. No dob to run score. "/>
    <x v="4"/>
    <s v="Need Fire Marshall or Cause and Origin report. Need water loss detail. Need insd dob to run score.  No adverse info on insured or Empire Prop Mgt. "/>
    <m/>
    <m/>
    <s v="Patterson"/>
  </r>
  <r>
    <x v="73"/>
    <x v="2"/>
    <m/>
    <s v="Alison"/>
    <s v="Email"/>
    <s v="Binder, Chuck"/>
    <m/>
    <s v="HO3 Primary"/>
    <s v="Thousand Oaks"/>
    <s v="CA"/>
    <n v="4"/>
    <n v="4000000"/>
    <n v="4800000"/>
    <s v="TIV"/>
    <s v="2000 home on golf course. Nice online pics. Full alarms, gated. Agent added 10% s/c. Online photos show this prop and others on the course have unfenced pools. "/>
    <x v="0"/>
    <m/>
    <m/>
    <m/>
    <s v="Patterson"/>
  </r>
  <r>
    <x v="73"/>
    <x v="2"/>
    <m/>
    <s v="Alison"/>
    <s v="Email"/>
    <s v="Peus, Joseph"/>
    <m/>
    <s v="HO3 Primary"/>
    <s v="Santa Barbara"/>
    <s v="CA"/>
    <n v="4"/>
    <n v="1948000"/>
    <n v="3600000"/>
    <s v="Plumbing"/>
    <s v="1933 home not gutted. Roof/wire updated. Plumb never updated in 40 years insd lived there. Had a $10K loss in 2016, pipe leak."/>
    <x v="0"/>
    <s v="$10K water damage deductible. Could consider lowering after EHP inspect. Copper pipes in good condition may warrant $5K ded."/>
    <m/>
    <m/>
    <s v="Patterson"/>
  </r>
  <r>
    <x v="73"/>
    <x v="4"/>
    <s v="CO"/>
    <s v="Allison"/>
    <s v="Email"/>
    <s v="Rocky Mountain Legacy, LLC"/>
    <m/>
    <s v="HO3 Seasonal"/>
    <s v="Kremmling"/>
    <s v="CO"/>
    <n v="10"/>
    <n v="2500000"/>
    <n v="3200000"/>
    <s v="TIV"/>
    <s v="2004 log home on 740 acres. No commercial on property - that is neighboring property (not Gould Ranch)."/>
    <x v="2"/>
    <s v="Need responding FD address to verify. Online looks like 15 miles. If we proceed, need LLC form and info on 740 acres.  4/19 addl info FD is 20 min away, but HOA has a fire truck and water truck on property for HOA members use. Asked for 5% s/c for response over 15 min.  4/20/17-Cov A increased. Jeff ok'd as long as verified. 10% s/c"/>
    <m/>
    <m/>
    <s v="Patterson"/>
  </r>
  <r>
    <x v="73"/>
    <x v="4"/>
    <s v="CO"/>
    <s v="Allison"/>
    <s v="Email"/>
    <s v="Denmore, LLC"/>
    <m/>
    <s v="DP3 Rental"/>
    <s v="Longmont"/>
    <s v="CO"/>
    <n v="4"/>
    <n v="350000"/>
    <n v="350000"/>
    <s v="Acreage"/>
    <s v="Insured owns 2 dwellings on 139 acres. Both are rentals. Updates unknown-roof exclusion applies to both 1959 homes. Rater attached seems to be an example of one of the dwellings."/>
    <x v="0"/>
    <s v="Process as 2 policies (or schedule) if 2 legal locations. Verify accessible by emergency vehicles and that 139 acres does not impact response time."/>
    <m/>
    <m/>
    <s v="Patterson"/>
  </r>
  <r>
    <x v="74"/>
    <x v="0"/>
    <s v="MI"/>
    <s v="Alexa"/>
    <s v="Email"/>
    <s v="Suess, Greg"/>
    <m/>
    <s v="HO3 Primary"/>
    <s v="Los Angeles"/>
    <s v="CA"/>
    <n v="2"/>
    <n v="1900000"/>
    <n v="3300000"/>
    <s v="TIV"/>
    <s v="2013 frame home w/ alarms.  Per online, insured is a partner in a law firm and a founding member of a talent management company (curr manages Zak Brown Band).Not in brush zone."/>
    <x v="2"/>
    <s v="8/3/17 addl info for revised quote. Installing pool-apply pool excl and other stru excl."/>
    <s v="Agt requested to release with other structure coverage for pool; advised need to proceed w/ pool exclusion/other structure exclusion as agreed at this point. KB 08/16/17"/>
    <m/>
    <s v="Patterson"/>
  </r>
  <r>
    <x v="74"/>
    <x v="2"/>
    <m/>
    <s v="Alison"/>
    <s v="Email"/>
    <s v="RG Children's Trust &amp; Jenny Shalomi"/>
    <m/>
    <s v="DP3 Rental"/>
    <s v="Beverly Hills"/>
    <s v="CA"/>
    <n v="2"/>
    <n v="2500000"/>
    <n v="3312000"/>
    <s v="TIV"/>
    <s v="2016 home w/flat concrete roof. $10K water dmg ded applied."/>
    <x v="2"/>
    <s v="Pg 4 of app says dwelling may be used for photo/film shoots. (If we continue, subj to completed app-missing answer to uw quest #1). App says home is for sale. Asked for verification."/>
    <m/>
    <m/>
    <s v="Patterson"/>
  </r>
  <r>
    <x v="75"/>
    <x v="0"/>
    <s v="MI"/>
    <s v="Jill"/>
    <s v="Email"/>
    <s v="Barbara Fasken 1995 Trust"/>
    <m/>
    <s v="DP3 Rental"/>
    <s v="St Helena"/>
    <s v="CA"/>
    <n v="3"/>
    <n v="2100000"/>
    <n v="2730000"/>
    <s v="TIV"/>
    <s v="1992 frame home not in brush. 52 week rental. No trust form. App not complete."/>
    <x v="0"/>
    <s v="Trust form, complete app"/>
    <m/>
    <m/>
    <s v="Patterson"/>
  </r>
  <r>
    <x v="75"/>
    <x v="0"/>
    <s v="MI"/>
    <s v="Jill"/>
    <s v="Email"/>
    <s v="Newsom, Patricia"/>
    <m/>
    <s v="HO3 Primary"/>
    <s v="Freeport"/>
    <s v="TX"/>
    <n v="10"/>
    <n v="225000"/>
    <n v="400000"/>
    <s v="Response time"/>
    <s v="1991 home fully updated in 2009. 20 min response time w/volunteer fire department. Brazoria County 1000' from gulf. (Tier 1)"/>
    <x v="0"/>
    <s v="• Verifying wind/hail exclusion is applied as this is in a Tier 1 county within 1 mile to the coast_x000a_• Verifying roof was fully updated in 2009. App does not indicate full or partial. If partial, roof exclusion applies as roof would be over 25 years old._x000a_• Completed app (several areas left blank)_x000a_• I’d like to get some additional premium due to the longer response time, something that amounts to around $200.  (I’m not sure of your quoted premium).  It’s a 20 minute drive time by a volunteer FD._x000a_"/>
    <m/>
    <m/>
    <s v="Patterson"/>
  </r>
  <r>
    <x v="75"/>
    <x v="0"/>
    <s v="MI"/>
    <s v="Alexa"/>
    <s v="Email"/>
    <s v="Palensky, James"/>
    <m/>
    <s v="HO3 Seasonal"/>
    <s v="Ames"/>
    <s v="IA"/>
    <n v="10"/>
    <n v="1094000"/>
    <n v="2113200"/>
    <s v="TIV"/>
    <s v="2004 frame home. App says PC9, 3 mi to FD, no hydrant. Google search shows 5.9 mi to FD which makes this a PC10. Alarms. Drive time 10 min, volunteer FD."/>
    <x v="0"/>
    <s v="Rate as PC10."/>
    <m/>
    <m/>
    <s v="Patterson"/>
  </r>
  <r>
    <x v="75"/>
    <x v="1"/>
    <m/>
    <s v="Tamika"/>
    <s v="Email"/>
    <s v="Smith, Tyronne"/>
    <m/>
    <s v="HO3 Primary"/>
    <s v="Glassboro"/>
    <s v="NJ"/>
    <m/>
    <n v="165000"/>
    <n v="356000"/>
    <s v="Prior loss"/>
    <s v="1979 home w/ partial updates. 8/13 water loss $13K; 12/14 fire loss $262K. Fire Marshal report included. "/>
    <x v="3"/>
    <s v="Ins score in the surcharge category 660. Med bill in collection; verizon prior collection; $10K credit card debt. Fire report has wrong date of loss. Verified signers of the report and that Wednesday was 12/24/14. Thursday was 12/25/15. Believe it is a typo vs. fake. Verbiage in report is suspect, but with score, not worth confirming if valid."/>
    <m/>
    <m/>
    <s v="Patterson"/>
  </r>
  <r>
    <x v="76"/>
    <x v="7"/>
    <s v="VA"/>
    <s v="Rob"/>
    <s v="Email"/>
    <s v="Khanhan, Tannaz"/>
    <m/>
    <s v="HO3 Primary"/>
    <m/>
    <s v="TX"/>
    <m/>
    <m/>
    <m/>
    <s v="Texas policy"/>
    <s v="Agent not currently authorized in TX but wants us to consider a one-off policy. "/>
    <x v="3"/>
    <s v="Reviewed w/Jeff. No one offs, need to put a program together."/>
    <m/>
    <m/>
    <s v="Patterson"/>
  </r>
  <r>
    <x v="76"/>
    <x v="2"/>
    <m/>
    <s v="Alison"/>
    <s v="Call"/>
    <s v="Nguyen, Christine Giang Tien Thi  "/>
    <m/>
    <s v="HO3 Primary"/>
    <m/>
    <m/>
    <m/>
    <m/>
    <m/>
    <s v="Prior loss"/>
    <s v="Daughter owns home, mother lives in it, daughter visits. Mother had a wrongful eviction claim at different location 2 years ago 6/15/15 $0 paid. "/>
    <x v="0"/>
    <s v="Surcharge for loss. Get details so we have a comfort level with the mother. Info received and approved. Declined to offer PI due to prior loss."/>
    <m/>
    <m/>
    <s v="Patterson"/>
  </r>
  <r>
    <x v="76"/>
    <x v="2"/>
    <m/>
    <s v="Alison"/>
    <s v="Call"/>
    <m/>
    <m/>
    <s v="HO3 Primary"/>
    <m/>
    <m/>
    <m/>
    <m/>
    <m/>
    <s v="Prior losses"/>
    <s v="Insured had prior water loss 7/12 $10K - roof leak. Has a flat roof. $10K ded applied. Roof replaced. Then had fire loss in 2015. Part of roof was being repaired and subcontractors torch caught the house on fire. Subro against GC."/>
    <x v="4"/>
    <s v="Need statement from carrier who insured the home for the 2015 loss to confirm cause and subro. Still charge for the loss."/>
    <m/>
    <m/>
    <s v="Patterson"/>
  </r>
  <r>
    <x v="77"/>
    <x v="0"/>
    <s v="MI"/>
    <s v="Leslie"/>
    <s v="Email"/>
    <s v="Sparks, Mike &amp; Alyson"/>
    <m/>
    <s v="HO3 Primary"/>
    <s v="Diamond"/>
    <s v="MO"/>
    <n v="6"/>
    <n v="175000"/>
    <n v="297500"/>
    <s v="Business on premises"/>
    <s v="1990 home w/new roof in 2016. 2 prior losses. 2/16 wind $6649; 5/15 lightning/electrical $8483. Insd has body shop on property in separate building 25 feet from the dwelling. Employees, customers, etc. Excluding building and Total Business Exclusion. "/>
    <x v="1"/>
    <s v="Approve excluding building and w/Total Business Exclusion. 75' is enough space between. Good online reviews of the business. Operated since 2006. Insured w/AutoOwners."/>
    <m/>
    <m/>
    <s v="Patterson"/>
  </r>
  <r>
    <x v="77"/>
    <x v="0"/>
    <s v="MI"/>
    <s v="Jill"/>
    <s v="Email"/>
    <s v="Decker, John &amp; Sharon"/>
    <m/>
    <s v="HO3 Primary w/Rental"/>
    <s v="San Francisco"/>
    <s v="CA"/>
    <n v="1"/>
    <n v="1600000"/>
    <n v="2120000"/>
    <s v="Age of home"/>
    <s v="1890 4 family. Owner occupied upper floor. 3 lower units are rented. 1988 updates to all; roof in 2002. Online photos ok. 2004 building permit online for updating dwelling for condos."/>
    <x v="1"/>
    <m/>
    <m/>
    <m/>
    <s v="Patterson"/>
  </r>
  <r>
    <x v="77"/>
    <x v="0"/>
    <s v="MI"/>
    <s v="Jill"/>
    <s v="Email"/>
    <s v="Coll, Clark DBA Bankruptcy Trustee for Wayne Auge II"/>
    <m/>
    <s v="HO3 Primary"/>
    <s v="Telluride "/>
    <s v="CO"/>
    <s v=" "/>
    <n v="4000000"/>
    <n v="4400000"/>
    <s v="Bankruptcy"/>
    <s v="Insured filed for bankruptcy. The court appointed Clark Coll as trustee to liquefy assets and distribute money to debtors. Home is unoccupied w/some contents. For sale and there are alarms."/>
    <x v="3"/>
    <s v="Moral and morale hazard increase. (Not sure why this was on an HO-3. Moot point, so I didn't pursue.)"/>
    <m/>
    <m/>
    <s v="Patterson"/>
  </r>
  <r>
    <x v="77"/>
    <x v="0"/>
    <s v="MI"/>
    <s v="Jill"/>
    <s v="Email"/>
    <s v="Pipkin, Byron"/>
    <m/>
    <s v="HO3 Primary"/>
    <s v="Auburn"/>
    <s v="CA"/>
    <n v="9"/>
    <n v="891378"/>
    <n v="1600000"/>
    <s v="TIV"/>
    <s v="Currently written under BWD104350-tenant occupied. Insured will be moving in as primary residence. Brush. Insp ok."/>
    <x v="1"/>
    <m/>
    <m/>
    <m/>
    <s v="Patterson"/>
  </r>
  <r>
    <x v="77"/>
    <x v="0"/>
    <s v="MI"/>
    <s v="Jill"/>
    <s v="Email"/>
    <s v="Vickers, Jack A"/>
    <m/>
    <s v="DP3 Vacant"/>
    <s v="Castle Rock"/>
    <s v="CO"/>
    <n v="3"/>
    <n v="2500000"/>
    <n v="2770000"/>
    <s v="TIV"/>
    <s v="1995 home w/roof updated in 2014. Insd is high profile businessman in CO. Purchased dwelling to renovate and sell. Covg lapsed w/Cinci 1 month ago. "/>
    <x v="0"/>
    <s v="DP-3, 5% surcharge for lapse. Signed no loss statement. $20K contents ok. Prem liab only. Alarms required."/>
    <m/>
    <m/>
    <s v="Patterson"/>
  </r>
  <r>
    <x v="77"/>
    <x v="0"/>
    <s v="MI"/>
    <s v="Jill"/>
    <s v="Email"/>
    <s v="Vickers, Jack A"/>
    <m/>
    <s v="DP3 Vacant"/>
    <s v="Castle Rock"/>
    <s v="CO"/>
    <n v="3"/>
    <n v="2500000"/>
    <n v="2770000"/>
    <s v="TIV"/>
    <s v="1993 home w/roof updated in 2014. 2nd dwelling for Insd is high profile businessman in CO. Purchased dwelling to renovate and sell. Covg lapsed w/Cinci 1 month ago. "/>
    <x v="0"/>
    <s v="DP-3, 5% surcharge for lapse. Signed no loss statement. $20K contents ok. Prem liab only."/>
    <m/>
    <m/>
    <s v="Patterson"/>
  </r>
  <r>
    <x v="77"/>
    <x v="1"/>
    <m/>
    <s v="Tamika"/>
    <s v="Email/Call"/>
    <s v="Estate of Grandin Thompson"/>
    <m/>
    <s v="DP3 Vacant"/>
    <s v="Freehold"/>
    <s v="NJ"/>
    <m/>
    <n v="300000"/>
    <n v="340000"/>
    <s v="Renewal 5th term"/>
    <s v="1946 home vacant with Hull for 4 terms. They nonrenewed. This is insured's parents house and he is struggling to make decision on what to do with the home. Garage not in great shape-rest of house is okay. He lives next door to home. (Different streets but confirmed on google, they are next door)  Has a Lex quote but it's DP1 100% down. "/>
    <x v="0"/>
    <s v="Very high insurance score, 10% surcharge, exclude garage, renew for 1 more term only."/>
    <m/>
    <m/>
    <s v="Patterson"/>
  </r>
  <r>
    <x v="78"/>
    <x v="7"/>
    <s v="VA"/>
    <s v="Charity"/>
    <s v="Email"/>
    <s v="Brown, Donna"/>
    <m/>
    <s v="HO3 Primary"/>
    <s v="Marion Station"/>
    <s v="MD"/>
    <m/>
    <n v="240000"/>
    <n v="408000"/>
    <s v="PC9"/>
    <s v="1920 home updated. Checked FD online. 8 minute drive time, Volunteer, about 4 miles away. 35 volunteer fire fighters."/>
    <x v="1"/>
    <m/>
    <m/>
    <m/>
    <s v="Patterson"/>
  </r>
  <r>
    <x v="78"/>
    <x v="0"/>
    <s v="MI"/>
    <s v="Delta"/>
    <s v="Email"/>
    <s v="Orabi, Ahmad"/>
    <m/>
    <s v="HO3 Primary"/>
    <s v="Lake Forest"/>
    <s v="CA"/>
    <n v="3"/>
    <n v="1500000"/>
    <n v="2700000"/>
    <s v="No Risk Meter"/>
    <s v="Address too new to get RiskMeter. Ran neighboring address which shows a dwelling online and still couldn't get. 2017 frame home w/ alarms. "/>
    <x v="1"/>
    <s v="I ran FireLine which produced a zip result showing low brush hazard."/>
    <m/>
    <m/>
    <s v="Patterson"/>
  </r>
  <r>
    <x v="78"/>
    <x v="0"/>
    <s v="MI"/>
    <s v="Alexa"/>
    <s v="Email"/>
    <s v="Woods, Dennis &amp; Cheryl"/>
    <m/>
    <s v="HO3 Seasonal"/>
    <s v="Monterey"/>
    <s v="CA"/>
    <n v="4"/>
    <n v="2256700"/>
    <n v="4326060"/>
    <s v="TIV"/>
    <s v="2007 home, nice online photos. In brush. Alarms. UW questions blank on app."/>
    <x v="0"/>
    <s v="Completed app"/>
    <m/>
    <m/>
    <s v="Patterson"/>
  </r>
  <r>
    <x v="78"/>
    <x v="1"/>
    <m/>
    <s v="Nichole"/>
    <s v="Email"/>
    <m/>
    <m/>
    <m/>
    <m/>
    <m/>
    <m/>
    <n v="1000000"/>
    <m/>
    <s v="Owned by large trust"/>
    <s v="Property is owned by trust that has 48 family members. They use this prop seasonally as a vacation residence. 12 shed structures on our insureds beach owned by neighbors."/>
    <x v="4"/>
    <s v="Initial suggestions/questions: • I’m sure we’d have to do this excluding liability_x000a_• We would have to specifically exclude the changing rooms_x000a_• Could we see a list of rules/regs or any contract pertaining to the property and the family members use_x000a_• Who in the family is ultimately responsible for managing insurance and home maintenance_x000a_• Is there a maintenance person or property manager who looks over the property_x000a_"/>
    <m/>
    <m/>
    <s v="Patterson"/>
  </r>
  <r>
    <x v="79"/>
    <x v="7"/>
    <s v="VA"/>
    <s v="Garry"/>
    <s v="Email"/>
    <s v="Meehan, Nathan"/>
    <m/>
    <s v="DP3 Rental"/>
    <s v="Alexandria"/>
    <s v="VA"/>
    <n v="5"/>
    <n v="175000"/>
    <n v="210000"/>
    <s v="Prior losses"/>
    <s v="11/15 water leak; 1/17 burst pipe. 1949 home plumbing updated to PVC in 05. Garry checking to see if this is okay or more info needed. $2500 ded applied."/>
    <x v="0"/>
    <s v="Suggested possibility of plumbing not updated completely - could be galvanized. Suggest inspection. Higher water ded if it is galvanized."/>
    <m/>
    <m/>
    <s v="Patterson"/>
  </r>
  <r>
    <x v="79"/>
    <x v="0"/>
    <s v="MI"/>
    <s v="Delta"/>
    <s v="Email"/>
    <s v="Pece, Linda"/>
    <m/>
    <s v="HO3 Primary"/>
    <s v="Vinita"/>
    <s v="OK"/>
    <n v="5"/>
    <n v="100000"/>
    <n v="180000"/>
    <s v="Business on premise"/>
    <s v="2014 home (was a restaurant- it moved and insd converted it to their home). Bait shop on premises covered commercially (bldg and liab). Delta excluded other str and added Total Business exclusion form."/>
    <x v="1"/>
    <s v="• Confirmation of at least 15 feet separation between the bait shop and the dwelling_x000a_• Confirmation that the bait shop is staffed with regular posted hours, and customers do not come to the dwelling to get assistance_x000a_"/>
    <s v="Went over 30 days, so agt sent again; confirmed OK to offer terms as previously agreed.  6/5/17 okay with 10% surcharge and SNL."/>
    <m/>
    <s v="Patterson"/>
  </r>
  <r>
    <x v="79"/>
    <x v="0"/>
    <s v="MI"/>
    <s v="Delta"/>
    <s v="Email"/>
    <s v="BWH Holdings LLC"/>
    <m/>
    <s v="HO3 Builders Risk"/>
    <s v="Sun Prairie"/>
    <s v="WI"/>
    <m/>
    <m/>
    <m/>
    <s v="Raised home"/>
    <s v="Builders risk written and it turns out it is to cover the home being raised. Can't tell if it was moved here from another property, or just raised here. Provided direction for both possibilities."/>
    <x v="4"/>
    <s v="Moved from another loc - rescind or cancel. Raised here - okay, check GC has $1M coverage."/>
    <m/>
    <m/>
    <s v="Patterson"/>
  </r>
  <r>
    <x v="79"/>
    <x v="1"/>
    <m/>
    <s v="Nichole"/>
    <s v="Email"/>
    <s v="Dwyer, Colleen"/>
    <m/>
    <s v="HO3 Secondary"/>
    <s v="Galloway"/>
    <s v="NJ"/>
    <n v="9"/>
    <n v="245000"/>
    <n v="315000"/>
    <s v="House sits over water"/>
    <s v="1970 home updated in last 20 years. Sits over water. Online youtube video looks okay. Looks like built mostly on land, a portion extends over water. Not a floating home. 5 slips, insd rents out 4. Uses a space heater as secondary - okay per guidelines. App states flat roof. Per photos it is only a portion so decided $5K is okay vs. $10K ded in guidelines."/>
    <x v="1"/>
    <m/>
    <m/>
    <m/>
    <s v="Patterson"/>
  </r>
  <r>
    <x v="79"/>
    <x v="2"/>
    <m/>
    <s v="Alison"/>
    <s v="Email"/>
    <s v="Fredrick"/>
    <m/>
    <m/>
    <m/>
    <m/>
    <m/>
    <m/>
    <m/>
    <s v="Backdate"/>
    <s v="Originally bound 3/16/17. Covg lapsed 2/28. Person handling file in retailers office left the company and this was left unhandled. Hull and the retailer bound 3/16. Now lender is coming back with a force placed policy for lapse time. Agent requested backdate to 2/28 w/signed no loss."/>
    <x v="1"/>
    <s v="Discussed w/ Louisa. If they had called on 3/16, we probably would have helped out with less concern. Advised of this, but approved the request."/>
    <m/>
    <m/>
    <s v="Patterson"/>
  </r>
  <r>
    <x v="80"/>
    <x v="2"/>
    <m/>
    <s v="Alex"/>
    <s v="Email"/>
    <s v="Soffer, Jesse Lee"/>
    <m/>
    <s v="HO3 Primary"/>
    <m/>
    <m/>
    <m/>
    <m/>
    <m/>
    <s v="High profile"/>
    <s v="Insured is TV and movie actor."/>
    <x v="1"/>
    <s v="Refer to Jeff. No adverse news or concern. Mostly TV actor. Agreed to do WITH liability."/>
    <m/>
    <m/>
    <s v="Patterson"/>
  </r>
  <r>
    <x v="80"/>
    <x v="2"/>
    <m/>
    <s v="Bobbi"/>
    <s v="Email"/>
    <s v="Ray, Robert &amp; Laura"/>
    <m/>
    <s v="HO3 Builders Risk"/>
    <s v="Santa Barbara"/>
    <s v="CA"/>
    <m/>
    <n v="600000"/>
    <n v="660000"/>
    <s v="Occupying during construction"/>
    <s v="Insured will be occupying home during renovation. Agent wants okay to add coverages a homeowner needs."/>
    <x v="1"/>
    <m/>
    <m/>
    <m/>
    <s v="Patterson"/>
  </r>
  <r>
    <x v="80"/>
    <x v="2"/>
    <m/>
    <s v="Alison"/>
    <s v="Email"/>
    <m/>
    <m/>
    <s v="HO3 Primary"/>
    <m/>
    <m/>
    <m/>
    <m/>
    <m/>
    <s v="Non-owned tiny house on premises"/>
    <s v="Insured is allowing their friend to rent a part of their property to park their tiny house."/>
    <x v="0"/>
    <s v="Reviewed HO3 and Total Business Excl. No exclusions found. Not extreme enough to exclude liab. Addl surcharge is in order."/>
    <m/>
    <m/>
    <s v="Patterson"/>
  </r>
  <r>
    <x v="80"/>
    <x v="2"/>
    <m/>
    <s v="Alex"/>
    <s v="Call"/>
    <m/>
    <m/>
    <s v="HO3 Primary"/>
    <m/>
    <s v="CA"/>
    <m/>
    <n v="550000"/>
    <n v="1200000"/>
    <s v="4 named insured"/>
    <s v="2 homes on same property. Entire property deeded to 2 brothers. Each brother and his wife occupy one of the homes."/>
    <x v="1"/>
    <m/>
    <m/>
    <m/>
    <s v="Patterson"/>
  </r>
  <r>
    <x v="80"/>
    <x v="4"/>
    <s v="CO"/>
    <s v="Allison"/>
    <s v="Email"/>
    <s v="Taylor, Jason &amp; Grace"/>
    <m/>
    <s v="HO6 Secondary w/Rental"/>
    <s v="Steamboat"/>
    <s v="CO"/>
    <n v="4"/>
    <n v="100000"/>
    <n v="170000"/>
    <s v="TIV"/>
    <s v="Current authority is $150K TIV. Changed that!"/>
    <x v="1"/>
    <m/>
    <m/>
    <m/>
    <s v="Patterson"/>
  </r>
  <r>
    <x v="80"/>
    <x v="4"/>
    <s v="CO"/>
    <s v="Allison"/>
    <s v="Email"/>
    <s v="Stankevich, Stephen"/>
    <m/>
    <s v="HO6 Secondary w/Rental"/>
    <s v="Crested Butte"/>
    <s v="CO"/>
    <n v="6"/>
    <n v="220000"/>
    <n v="270000"/>
    <s v="TIV"/>
    <s v="Current authority is $150K TIV. Changed that!"/>
    <x v="1"/>
    <m/>
    <m/>
    <m/>
    <s v="Patterson"/>
  </r>
  <r>
    <x v="81"/>
    <x v="0"/>
    <s v="MI"/>
    <s v="Alexa"/>
    <s v="Email"/>
    <s v="Clark, Christopher"/>
    <m/>
    <s v="HO3 Seasonal"/>
    <s v="Naples"/>
    <s v="FL"/>
    <n v="5"/>
    <n v="600000"/>
    <n v="695000"/>
    <s v="High profile"/>
    <s v="2011 home almost 3 miles from gulf. Insd is retired NHL player now developmental coach for Columbus Blue Jackets."/>
    <x v="4"/>
    <s v="FL is currently restricted for wildfire. Active wildfires near Naples. Not too high profile - we can write when restr are lifted."/>
    <m/>
    <m/>
    <s v="Patterson"/>
  </r>
  <r>
    <x v="81"/>
    <x v="2"/>
    <m/>
    <s v="Melissa"/>
    <s v="Email"/>
    <s v="596 Ethel Ave LLC"/>
    <m/>
    <m/>
    <m/>
    <m/>
    <m/>
    <m/>
    <m/>
    <s v="1 month policy"/>
    <s v="Insd is in escrow and desires only 1 more month 'til it closes vs. normal 3 month 100% earned. "/>
    <x v="0"/>
    <s v="If they can do it in their system, ok. If it goes over a month, revert back to normal rules."/>
    <m/>
    <m/>
    <s v="Patterson"/>
  </r>
  <r>
    <x v="81"/>
    <x v="2"/>
    <m/>
    <s v="Alison"/>
    <s v="Email"/>
    <s v="Ebrahimian, Lida"/>
    <m/>
    <s v="HO3 Primary"/>
    <s v="Los Angeles"/>
    <s v="CA"/>
    <m/>
    <n v="1800000"/>
    <n v="2600000"/>
    <s v="Prior losses"/>
    <s v="1929 home w/plumbing completely updated in 2017. Other systems and roof updated. 6/16 Leak under jacuzzi $175K; 7/16 When repairing 6/16 damage, breaking into wall caused hot/cold water pipe damage $336K. No online photos of home."/>
    <x v="0"/>
    <s v="Asking to confirm all plumbing replaced. Considering 1 loss but charging for both. $10K water damage deductible. If questionable update, add water damage exclusion. Moot point on the 6/12 $0 paid loss if all is updated/replaced. Add addl loss surcharge."/>
    <m/>
    <m/>
    <s v="Patterson"/>
  </r>
  <r>
    <x v="81"/>
    <x v="2"/>
    <m/>
    <s v="Alison"/>
    <s v="Email"/>
    <s v="Stuart, Charles"/>
    <m/>
    <s v="HO3 "/>
    <s v="Santa Barbara"/>
    <s v="CA"/>
    <n v="4"/>
    <n v="1000000"/>
    <n v="1135000"/>
    <s v="Brush clearance"/>
    <s v="New 2017 home.  Insd has 150 brush clearance on all sides except one side has only 50' to neighbors property. It sounds like it isn't properly cleared."/>
    <x v="2"/>
    <s v="Approved per guidelines, ok to clear to property line. Advised to call FD or Cal Fire to report. Also some ? From app that don't have explanations.//No animals. Roof is not flat=slight slope. Reno from prev fire. Almost rebuilt. Sent new questions about the prior loss.//6/20 all info received and okay."/>
    <m/>
    <m/>
    <s v="Patterson"/>
  </r>
  <r>
    <x v="81"/>
    <x v="6"/>
    <m/>
    <s v="Kirk"/>
    <s v="Email"/>
    <s v="Esenwein, Dennis"/>
    <m/>
    <s v="HO3 Seasonal"/>
    <s v="Truckee"/>
    <s v="CA"/>
    <n v="9"/>
    <n v="1425500"/>
    <n v="1576050"/>
    <s v="TIV"/>
    <s v="2009 home in brush with concrete roof. In brush, PC9. No alarms"/>
    <x v="0"/>
    <s v="Need rater. Subj to: Completed and acceptable PC quest. Completed and acceptable WBS quest. 7% Surcharge due to custom design. Concrete roof - is it flat? If so, $10K ded.  Decided against MFRC because other than living room, home looks more standard. Surcharge will help."/>
    <m/>
    <m/>
    <s v="Patterson"/>
  </r>
  <r>
    <x v="82"/>
    <x v="0"/>
    <s v="MI"/>
    <s v="Delta"/>
    <s v="Email"/>
    <s v="Day, Eric and Plotkin, Margo"/>
    <m/>
    <s v="HO3 Primary"/>
    <s v="Los Angeles"/>
    <s v="CA"/>
    <n v="1"/>
    <n v="517000"/>
    <n v="922100"/>
    <s v="High profile"/>
    <s v="1955 home fully updated in 2007. Alarms. Insured is a TV producer. Extensive list of shows. No concerning news. "/>
    <x v="1"/>
    <s v="Not too high profile for full coverage.  ($313/SF)"/>
    <m/>
    <m/>
    <s v="Patterson"/>
  </r>
  <r>
    <x v="82"/>
    <x v="1"/>
    <s v="PA"/>
    <s v="Nichole"/>
    <s v="Email"/>
    <s v="Balch Chocorua Trust"/>
    <m/>
    <s v="HO3 Seasonal"/>
    <s v="Tamworth"/>
    <s v="NH"/>
    <n v="9"/>
    <n v="2000000"/>
    <n v="3000000"/>
    <s v="TIV"/>
    <s v="1912 home updated in last 25 years. PC 9. Secondary. There is also a 2nd home $650K TIV that is also a secondary. Homes a less than 1 mile apart. "/>
    <x v="0"/>
    <s v="Are they both secondary? Approved subj to confirmation of occupancy."/>
    <m/>
    <m/>
    <s v="Patterson"/>
  </r>
  <r>
    <x v="82"/>
    <x v="1"/>
    <s v="PA"/>
    <s v="Tamika"/>
    <s v="Call"/>
    <s v="Begg, Theodore"/>
    <m/>
    <s v="DP3 Vacant Builders Risk"/>
    <m/>
    <m/>
    <m/>
    <m/>
    <m/>
    <s v="Insured is GC"/>
    <s v="Vacant renewal which renews tomorrow 4/28. Agent JUST found out it is under extensive reno. Insured is acting as GC hiring many subs. Occupancy in 4 weeks - confident it will be done. Lloyds isn't helpful in PA. Have to get something done today (late in the day). "/>
    <x v="0"/>
    <s v="Agreed to help out as an exception, offer terms for property only with liability excluded (old guidelines)"/>
    <m/>
    <m/>
    <s v="Patterson"/>
  </r>
  <r>
    <x v="82"/>
    <x v="2"/>
    <m/>
    <s v="Alex"/>
    <s v="Call"/>
    <s v="Cox, Kenneth &amp; Susan"/>
    <m/>
    <s v="HO3 Primary"/>
    <m/>
    <m/>
    <m/>
    <m/>
    <n v="2500000"/>
    <s v="Alarm requirement"/>
    <s v="This was a Burns risk, agent wants Hull to rewrite. There are no alarms and it's over $2M TIV."/>
    <x v="1"/>
    <s v="Agreed to waive requirement to match competitor expiring."/>
    <m/>
    <m/>
    <s v="Patterson"/>
  </r>
  <r>
    <x v="83"/>
    <x v="0"/>
    <s v="MI"/>
    <s v="Delta"/>
    <s v="Email"/>
    <s v="Topping, Kelly"/>
    <m/>
    <s v="HO3 Primary"/>
    <s v="Greenwood"/>
    <s v="CA"/>
    <n v="10"/>
    <n v="885000"/>
    <n v="1754500"/>
    <s v="TIV"/>
    <s v="2014 PC10 in brush. 15 min response per agent. No alarms. 260 acres 5 cows, 5-8 goats. Grazing only, no farming. WBS pipe in guest house photo. Google drive time=17 min 10.1 mi. Set back on property w/gated entrance. Volunteer and paid dept. Online shows business &quot;Gold Pan Funding&quot;-owner's message says now retired. Must be prev owner. 3720 SF = $237 SF Lodge style timber."/>
    <x v="0"/>
    <s v="5% surcharge for longer response time($440). WBS Quest. Verify Cov A."/>
    <m/>
    <m/>
    <s v="Patterson"/>
  </r>
  <r>
    <x v="83"/>
    <x v="0"/>
    <s v="MI"/>
    <s v="Leslie"/>
    <s v="Email"/>
    <s v="Homola, Steven"/>
    <m/>
    <s v="DP3 Seasonal"/>
    <s v="Annandale"/>
    <s v="MN"/>
    <n v="10"/>
    <n v="110000"/>
    <n v="121000"/>
    <s v="PC10"/>
    <s v="1935 home w/roof update in 2002, wiring update in 1997, plumbing update in 1997. No heat source - woodburning stove is primary heat. No fire department, on lake, no sprinkler, no alarms. 647 SF cabin. Online photos look okay. This is on an island NW of Minneapolis on an inland lake.  $912 rate = $0.75"/>
    <x v="4"/>
    <s v="Asked how often risk is visited. What is done w/utilities when gone. (Is elec turned off by utility co. Winterizing?). Also asked for WBS info if they have it. This will be a definite total if a fire starts. Evaluating exposure to see if we are comfortable taking that on. May consider with a higher rate like $1.25 or $1.50 per $100/TIV.  Discussed w/Louisa. 50% s/c at minimum. We do not want to be low on premium against competition. Asked agent for feedback before finalizing terms."/>
    <m/>
    <m/>
    <s v="Patterson"/>
  </r>
  <r>
    <x v="83"/>
    <x v="0"/>
    <s v="MI"/>
    <s v="Alexa"/>
    <s v="Email"/>
    <s v="Keltner, Charles"/>
    <m/>
    <s v="HO3 Primary"/>
    <s v="Highlands"/>
    <s v="IL"/>
    <n v="5"/>
    <n v="539016"/>
    <n v="860418"/>
    <s v="Business on premise"/>
    <s v="1976 home w/updates. Applicant operates a landscaping business on the premises - Fertile Lawn. NRN due to this from curr carrier."/>
    <x v="4"/>
    <s v="Asked additional business questions. Require building exclusion for any business buildings and Total Business Exclusion form. No surcharge, since we are excluding."/>
    <m/>
    <m/>
    <s v="Patterson"/>
  </r>
  <r>
    <x v="83"/>
    <x v="1"/>
    <s v=" "/>
    <s v="Tamika"/>
    <s v="Email"/>
    <m/>
    <m/>
    <s v="HO3 Primary"/>
    <m/>
    <m/>
    <m/>
    <m/>
    <m/>
    <s v="Houseboat"/>
    <s v="Referred her to Markel Marine per details in our ES UW Direction document."/>
    <x v="3"/>
    <m/>
    <m/>
    <m/>
    <s v="Patterson"/>
  </r>
  <r>
    <x v="83"/>
    <x v="1"/>
    <m/>
    <s v="Andrea"/>
    <s v="Email"/>
    <s v="Snoddy, Terry &amp; Drabic, Timothy"/>
    <m/>
    <s v="DP3 Rental   RUA015566 "/>
    <s v="Rehoboth Beach"/>
    <s v="DE"/>
    <m/>
    <m/>
    <m/>
    <s v="Renewal  rating"/>
    <s v="2 unit structure, 1 occupied, 1 vacant. How should this be rated."/>
    <x v="4"/>
    <s v="Questions to agent: current dec, verify-is it a 2 unit rental. How long vacant? What are the plans. May need to come up with a &quot;blended&quot; rate in between occupied and vacant depending on answers. May need to check coverage to see how vacant limitations apply to a 2 unit structure.//5/3/17 found online reference to this address being a bar. Photo looks like 2 story. Confused on what we are insuring. Email to agent."/>
    <m/>
    <m/>
    <s v="Patterson"/>
  </r>
  <r>
    <x v="83"/>
    <x v="2"/>
    <m/>
    <s v="Alison"/>
    <s v="Call"/>
    <s v="Summers, Clint"/>
    <m/>
    <s v="HO3 Primary"/>
    <m/>
    <m/>
    <m/>
    <m/>
    <m/>
    <s v="Mobile home on property"/>
    <s v="Agnt writing a primary home that shares a property with a manufactured home that is rented out by the insured. "/>
    <x v="0"/>
    <s v="Agent will exclude the mfg home and gather proof of insurance to ensure liability is in place.  Agent later called back saying mfg home was assembled on site and bolted to a permanent foundation. I advised unless it is MODULAR, we would not be able to do it.  Mobile/mfg homes can be &quot;assembled&quot; onsite (doublewide-2 sides) and they can have a perm foundation."/>
    <m/>
    <m/>
    <s v="Patterson"/>
  </r>
  <r>
    <x v="83"/>
    <x v="2"/>
    <m/>
    <s v="Alison"/>
    <s v="Call"/>
    <s v="Charles Wooten LLC"/>
    <m/>
    <s v="DP3 Builders Risk"/>
    <s v="Venice "/>
    <s v="CA"/>
    <m/>
    <m/>
    <m/>
    <s v="Duplex"/>
    <s v="Insured is buying and renovating a duplex. 1st floor is unit 1, 2nd floor is unit 2. Anything unusual?"/>
    <x v="1"/>
    <s v="Basically a 2 family, just unique configuration."/>
    <m/>
    <m/>
    <s v="Patterson"/>
  </r>
  <r>
    <x v="83"/>
    <x v="2"/>
    <m/>
    <s v="Alison"/>
    <s v="Call/Email"/>
    <s v="Boulder Bay"/>
    <m/>
    <s v="DP3 Vacation Rental"/>
    <s v="Big Bear Lake"/>
    <s v="CA"/>
    <n v="4"/>
    <n v="488000"/>
    <n v="745000"/>
    <s v="Prior loss"/>
    <s v="1980 home. 9/16 loss $106,000 paid. Plastic toilet part broke. To mitigate, insured replaced all with metal parts. All repairs made-loss still open (no one is sure why)"/>
    <x v="1"/>
    <s v="Since one loss, not adding water damage deductible, but will add addl 10% surcharge for size of loss."/>
    <m/>
    <m/>
    <s v="Patterson"/>
  </r>
  <r>
    <x v="84"/>
    <x v="0"/>
    <m/>
    <s v="Jill"/>
    <s v="Email"/>
    <s v="VANDANA AGRAWAL"/>
    <m/>
    <s v="HO3/Primary"/>
    <s v="Los Angeles"/>
    <s v="CA"/>
    <n v="2"/>
    <n v="2500000"/>
    <n v="4250000"/>
    <s v="TIV"/>
    <s v="Built in 2002, frame construction, PC2, primary, no brush, c/s alarms, 3 losses-10/2012 - THEFT - housekeeper fired, central alarm installed, pd $1500;06/2013 WATER - pipe leak, fully repaired, pd $6,000;04/2014 THEFT - housekeeper fired, new cameras installed, pd $115,000. $25K Theft ded quoted"/>
    <x v="1"/>
    <s v="Theft ded OK and concerns now mitigated with cameras/new staff; RM OK"/>
    <m/>
    <m/>
    <s v="Burdine"/>
  </r>
  <r>
    <x v="84"/>
    <x v="0"/>
    <s v="CA"/>
    <s v="Jill"/>
    <s v="Email"/>
    <s v="Charles Kettner"/>
    <m/>
    <s v="HO3/Primary"/>
    <s v="Highlands"/>
    <s v="IL"/>
    <n v="5"/>
    <n v="539000"/>
    <n v="860000"/>
    <s v="BUSINESS ON PREMISES "/>
    <s v="1975 build year, insured owns landscaping company on same property, but clear separation, business policies in place for that exposure, traffic minimal, PC OK, home condition great"/>
    <x v="0"/>
    <s v="separated, comm pol in place, no customer traffic, minimal employee traffic, approved subject to building exclusion and total business exclusion"/>
    <m/>
    <m/>
    <s v="Burdine"/>
  </r>
  <r>
    <x v="84"/>
    <x v="2"/>
    <s v="CA"/>
    <s v="Alex"/>
    <s v="Call/Email"/>
    <s v="Betzler, Brett"/>
    <m/>
    <s v="HO3/Primary"/>
    <s v="Mill Valley"/>
    <s v="CA"/>
    <m/>
    <n v="1100000"/>
    <n v="1650000"/>
    <s v="Backdate"/>
    <s v="Renewed w/ Chubb, but Chubb decided to NR due to brush clearance and backdated cancellation. Agt was waiting on cancellation notice before offering terms on Markel, but since backdated cancel, now needing to backdate coverage to 04/15"/>
    <x v="0"/>
    <s v="Agt had home for prior owner for the last year, and knows no claims reported. Error of cancellation beyond insured control. Approved subject to signed no loss of insured."/>
    <m/>
    <m/>
    <s v="Burdine"/>
  </r>
  <r>
    <x v="84"/>
    <x v="4"/>
    <s v="CO"/>
    <s v="Allison"/>
    <s v="Email"/>
    <s v="Diamond Investment Group LLC"/>
    <m/>
    <s v="HO3/Secondary"/>
    <s v="Vermal"/>
    <s v="UT"/>
    <n v="10"/>
    <n v="1333000"/>
    <n v="2174500"/>
    <s v="Response Time &gt;30 mins"/>
    <s v="1995 build, log cabin, response time 30 minutes, inaccessible in Winter months, LLC questionnaire OK (all related), home winterized during winter months; trying to build relationship with large agency in area"/>
    <x v="3"/>
    <s v="Too great of a response time with such a high TIV"/>
    <m/>
    <m/>
    <s v="Burdine"/>
  </r>
  <r>
    <x v="84"/>
    <x v="4"/>
    <s v="CO"/>
    <s v="Allison"/>
    <s v="Email"/>
    <s v="Jeffery &amp; Debra Brabender"/>
    <m/>
    <s v="HO3/Secondary/Rental"/>
    <s v="Park City"/>
    <s v="UT"/>
    <n v="3"/>
    <n v="1300000"/>
    <n v="2715000"/>
    <s v="blanket coverage on personal property"/>
    <s v="primary home, two units-short term VRBO rental in one of the units during ski season.   No more than 75 days rental with a 4 night minimum rental: listing is at https://www.vrbo.com/385121.  1998 build;_x000a_PC 3; Interior sprinklers. Wants to schedule blanket $25K fine arts (max $6K per item), blanket $50K wine (max $2K per item), and $50K jewelry ($25K earrings, $25K necklace); 2 prior water losses-water line replaced and repairs made_x000a_"/>
    <x v="0"/>
    <s v="Approved usage and jewelry, declined wine completely, advised OK to blanket fine arts as long as not any collectables; also advised central burglar needed and all other scheduled item guidelines"/>
    <m/>
    <m/>
    <s v="Burdine"/>
  </r>
  <r>
    <x v="85"/>
    <x v="0"/>
    <s v="CA"/>
    <s v="Leslie"/>
    <s v="Email"/>
    <s v="LINDA MONTGOMERY &amp; ROY HAHN"/>
    <m/>
    <s v="HO6/Primary"/>
    <s v="San Francisco"/>
    <s v="CA"/>
    <n v="2"/>
    <n v="2325000"/>
    <n v="3290000"/>
    <s v="NR prior carrier"/>
    <s v="NR for no alarm. In very high-security condo with a 24 hour guard, high security entry and key operated elevator.  Full sprinkler system in each unit."/>
    <x v="1"/>
    <s v="Very secure property, and sprinkler systems in place"/>
    <m/>
    <m/>
    <s v="Burdine"/>
  </r>
  <r>
    <x v="85"/>
    <x v="0"/>
    <m/>
    <s v="Jill"/>
    <s v="Email"/>
    <s v="Thomas Richards"/>
    <m/>
    <s v="HO3/Secondary"/>
    <m/>
    <s v="NM"/>
    <m/>
    <n v="135000"/>
    <n v="148500"/>
    <s v="response time"/>
    <s v="response time 15-20 minutes, current policy but wasn't aware of distance issues until renewal submission (previously rated PC8)"/>
    <x v="1"/>
    <s v="low TIV, FD 2.8 miles (but volunteer), doesn't use WBS"/>
    <m/>
    <m/>
    <s v="Burdine"/>
  </r>
  <r>
    <x v="85"/>
    <x v="2"/>
    <s v="CA"/>
    <s v="Alison"/>
    <s v="Email"/>
    <s v="Barth Family Trust"/>
    <m/>
    <s v="HO3/Primary"/>
    <s v="San Clemente"/>
    <s v="CA"/>
    <m/>
    <n v="816000"/>
    <n v="966000"/>
    <s v="Mobile home "/>
    <s v="This is a mobile home that has a concrete perimeter foundation (not slab foundation). "/>
    <x v="3"/>
    <s v="mobile home risk"/>
    <m/>
    <m/>
    <s v="Burdine"/>
  </r>
  <r>
    <x v="85"/>
    <x v="2"/>
    <m/>
    <s v="Alison"/>
    <s v="Call"/>
    <m/>
    <m/>
    <s v="DP3?/Condo"/>
    <m/>
    <m/>
    <m/>
    <m/>
    <m/>
    <s v="vacant/condo"/>
    <s v="vacant condo, wants to do DP3 for about $850K coverage A"/>
    <x v="4"/>
    <s v="Discussing with Melissa "/>
    <m/>
    <m/>
    <s v="Burdine"/>
  </r>
  <r>
    <x v="85"/>
    <x v="4"/>
    <s v="CO"/>
    <s v="Allison"/>
    <s v="Email"/>
    <s v="Jay &amp; Helen Meyer"/>
    <m/>
    <s v="HO3/Secondary"/>
    <s v="San Miguel"/>
    <s v="CO"/>
    <n v="10"/>
    <n v="250000"/>
    <n v="500000"/>
    <s v="response time over 20 minutes and woodstove is the primary heat source."/>
    <s v="1994 build year, log, used during summer months only so wood stove will very rarely be used. Response time 20-25 in summer, 30 in winter. "/>
    <x v="0"/>
    <s v="Lower value, wood stove won't  be used much (if any). Agt applied 10% surcharge. Advised approval subject to appropriate winterization"/>
    <m/>
    <m/>
    <s v="Burdine"/>
  </r>
  <r>
    <x v="86"/>
    <x v="0"/>
    <s v="MI"/>
    <s v="Leslie"/>
    <s v="Email"/>
    <s v="Bilano, Carmen"/>
    <m/>
    <s v="HO3 Primary"/>
    <s v="Portola Valley"/>
    <s v="CA"/>
    <n v="2"/>
    <n v="1752800"/>
    <n v="3593240"/>
    <s v="TIV"/>
    <s v="1998 primary. No online photos or info."/>
    <x v="0"/>
    <m/>
    <m/>
    <m/>
    <s v="Patterson"/>
  </r>
  <r>
    <x v="86"/>
    <x v="0"/>
    <s v="MI"/>
    <s v="Leslie"/>
    <s v="Email"/>
    <s v="Beck, Timothy"/>
    <m/>
    <s v="HO3 Primary"/>
    <s v="Vevay"/>
    <s v="IN"/>
    <m/>
    <m/>
    <m/>
    <s v="Business on premise"/>
    <s v="Inspection revealed a business on the property in a separate structure. Business hires out electrical contractors. Insd daughter works with him + 2 other employees. No foot traffic. GL/Prop covg in place for business. Agent wishes to quote w/Total Business Exclusion and exclude Oth Str."/>
    <x v="1"/>
    <m/>
    <m/>
    <m/>
    <s v="Patterson"/>
  </r>
  <r>
    <x v="86"/>
    <x v="2"/>
    <m/>
    <s v="Alison"/>
    <s v="Email"/>
    <s v="The Barth Family Trust"/>
    <m/>
    <s v="HO3 Primary"/>
    <s v="San Clemente"/>
    <s v="CA"/>
    <m/>
    <n v="816000"/>
    <m/>
    <s v="Structure is a mobile home"/>
    <s v="Mobile home on permanent concrete foundation. Would we consider insuring as an HO-3."/>
    <x v="3"/>
    <s v="&quot;Once a mobile home, always a mobile home.&quot;"/>
    <m/>
    <m/>
    <s v="Patterson"/>
  </r>
  <r>
    <x v="87"/>
    <x v="0"/>
    <s v="MI"/>
    <s v="Leslie"/>
    <s v="Email"/>
    <s v="Domus Pacis LLC"/>
    <m/>
    <s v="DP3 Rental"/>
    <s v="Palm Springs"/>
    <s v="CA"/>
    <m/>
    <n v="300000"/>
    <n v="324000"/>
    <s v="Tenant is a foster care enterprise"/>
    <s v="Insured leases dwelling to a non-profit foster care enterprise. They don't own it in any way. Foster care has their own liability. Agent proposing $1M liab and Total Business exclusion."/>
    <x v="4"/>
    <s v="Asked numerous questions about the tenant and risk. Concerning class of business."/>
    <m/>
    <m/>
    <s v="Patterson"/>
  </r>
  <r>
    <x v="87"/>
    <x v="1"/>
    <s v="PA"/>
    <s v="Tamika"/>
    <s v="Email"/>
    <m/>
    <m/>
    <s v="HO3 Primary"/>
    <m/>
    <m/>
    <m/>
    <m/>
    <m/>
    <s v="Named insured "/>
    <s v="Husband passed away - his name is on deed - wife still lives in home. Can we write coverage? "/>
    <x v="1"/>
    <s v="She is a named insured. Yes, we can write an owner occupied HO3."/>
    <m/>
    <m/>
    <s v="Patterson"/>
  </r>
  <r>
    <x v="87"/>
    <x v="0"/>
    <s v="MI"/>
    <s v="Jill"/>
    <s v="Email"/>
    <s v="Loyd, Dustin"/>
    <m/>
    <s v="HO3 Primary"/>
    <s v="Pretty Prairie"/>
    <s v="KS"/>
    <m/>
    <n v="175000"/>
    <n v="333500"/>
    <s v="Year built/Equine exposure"/>
    <s v="1919 home fully updated w/RC. Agt getting EHP suppl w/inspection. Equine operation on prem quoting w/Markel. No liability. Barns excluded."/>
    <x v="0"/>
    <s v="Subj to barn excl and EHP suppl. Will review post-issuance."/>
    <m/>
    <m/>
    <s v="Patterson"/>
  </r>
  <r>
    <x v="88"/>
    <x v="1"/>
    <m/>
    <s v="Tamika"/>
    <s v="Email"/>
    <s v="Albanese"/>
    <m/>
    <s v="HO3 Primary"/>
    <s v="Avalon"/>
    <s v="PA"/>
    <m/>
    <m/>
    <m/>
    <s v="Prior loss"/>
    <s v="High valued secondary with large prior fire loss. Insured hired a contractor to do work. They started a fire with a space heater. Repairs complete. Not sure on subro. Seacoast coming in at $4700 w/tax/fees. Markel at $4817 w/ no charge yet for loss."/>
    <x v="4"/>
    <s v="Tamika getting fire report. If 100% subro, we could consider not charging. Need prior carrier. No reduction in rate."/>
    <m/>
    <m/>
    <s v="Patterson"/>
  </r>
  <r>
    <x v="88"/>
    <x v="0"/>
    <s v="MI"/>
    <s v="Delta"/>
    <s v="Email"/>
    <s v="Gitlin, Mimi Polk"/>
    <m/>
    <s v="HO3 Primary"/>
    <s v="Los Angeles"/>
    <s v="CA"/>
    <n v="1"/>
    <n v="857000"/>
    <n v="1542600"/>
    <s v="High profile"/>
    <s v="1954 home w/partial updates. FRC applied. Insured is movie producer, Thelma &amp; Louisa and others prior to 2000."/>
    <x v="0"/>
    <s v="Subj to explanation of yes answer to business on premises. (Not too famous for full covg.)"/>
    <m/>
    <m/>
    <s v="Patterson"/>
  </r>
  <r>
    <x v="88"/>
    <x v="0"/>
    <s v="MI"/>
    <s v="Danielle"/>
    <s v="Email"/>
    <s v="Delmore, Maurice &amp; Doris"/>
    <m/>
    <s v="HO3 Primary"/>
    <s v="Wisconsin Dells"/>
    <s v="WI"/>
    <n v="4"/>
    <n v="332126"/>
    <n v="564615"/>
    <s v="Business on premise"/>
    <s v="1972 home w/updates. Roofing/siding co owned by insured shares driveway. Agent using building exclusion. GL coverage in place. WBS in garage - subj to questionnaire."/>
    <x v="0"/>
    <s v="WBS quest, exclude biz use oth str, add Total Business Exclusion.  Online photo shows set up. Insp photo shows treehouse w/no balusters on step railing."/>
    <m/>
    <m/>
    <s v="Patterson"/>
  </r>
  <r>
    <x v="88"/>
    <x v="2"/>
    <m/>
    <s v="Alison"/>
    <s v="Call"/>
    <m/>
    <m/>
    <s v="DP3 Rental"/>
    <s v="Malibu"/>
    <s v="CA"/>
    <m/>
    <n v="2000000"/>
    <m/>
    <s v="No CS alarms"/>
    <s v="2006 home w/interior sprinklers, no CS alarm. No contents. Agent does not want to add special deductible for no alarms."/>
    <x v="1"/>
    <s v="No theft alarm technically needed as there are no contents. Per guidelines, sprinklers takes the place of CS Fire alarm."/>
    <m/>
    <m/>
    <s v="Patterson"/>
  </r>
  <r>
    <x v="88"/>
    <x v="1"/>
    <m/>
    <s v="Andrea"/>
    <s v="Email"/>
    <s v="Fabbri, Brian"/>
    <m/>
    <s v="DP3 Vacant"/>
    <s v="Montville"/>
    <s v="NJ"/>
    <m/>
    <n v="1100000"/>
    <n v="1310000"/>
    <s v="4th renewal"/>
    <s v="1989 home vacant and for sale for 4 years. Listed with Remax. Insured visits weekly."/>
    <x v="0"/>
    <s v="Too late to NRN. Asked for 10% surcharge ($7000 prem)."/>
    <m/>
    <m/>
    <s v="Patterson"/>
  </r>
  <r>
    <x v="89"/>
    <x v="0"/>
    <s v="MI"/>
    <s v="Alexa"/>
    <s v="Email"/>
    <s v="Hoyt, Palmore"/>
    <m/>
    <s v="HO3 Seasonal"/>
    <s v="Tollhouse"/>
    <s v="CA"/>
    <n v="9"/>
    <n v="298000"/>
    <n v="554600"/>
    <s v="Response time"/>
    <s v="2005 seasonal w/16 week rental home w/no alarms. Letter from FD in file. 7.2 mi 15 min response time to front of property. Home on 45 acres. Verified response time online.  No farming/no ranching per app."/>
    <x v="0"/>
    <s v="Add 10% surcharge for response time reaching our max. $2654 prem."/>
    <m/>
    <m/>
    <s v="Patterson"/>
  </r>
  <r>
    <x v="89"/>
    <x v="1"/>
    <m/>
    <s v="Ray"/>
    <s v="Email"/>
    <s v="Ciampaglio, Robert"/>
    <m/>
    <s v="DP3"/>
    <m/>
    <m/>
    <m/>
    <m/>
    <m/>
    <s v="Waive minimum earned"/>
    <s v="Agent asking if they can modify minimum earned requirements to 60%."/>
    <x v="1"/>
    <s v="VIP client and trying to foster agent relationship."/>
    <m/>
    <m/>
    <s v="Patterson"/>
  </r>
  <r>
    <x v="90"/>
    <x v="2"/>
    <m/>
    <s v="Alex"/>
    <s v="Call"/>
    <s v="Grenwell &amp; Bogert"/>
    <m/>
    <s v="HO3 Secondary w/Rental"/>
    <s v="Downeyville"/>
    <s v="CA"/>
    <m/>
    <n v="416000"/>
    <m/>
    <s v="No prior coverage"/>
    <s v="Home that has never been insured. Insd didn't see need to insure secondary but neighbor told them about their agent and the insured decided to look into getting some Cov A."/>
    <x v="0"/>
    <s v="10% surcharge, get photos to make sure risk is okay, order rush inspection, consider higher deductible. Otherwise, okay."/>
    <m/>
    <m/>
    <s v="Patterson"/>
  </r>
  <r>
    <x v="90"/>
    <x v="0"/>
    <s v="MI"/>
    <s v="Danielle"/>
    <s v="Email"/>
    <s v="Hsu, Dolores"/>
    <m/>
    <s v="DP3 Rental"/>
    <s v="Santa Barbara"/>
    <s v="CA"/>
    <n v="42740"/>
    <n v="1546650"/>
    <n v="2020645"/>
    <s v="TIV"/>
    <s v="1926 home fully gutted in 2017. No PC info or brush info. Googled FD. There are several nearby, appx. 1 mi away. PC should be okay."/>
    <x v="0"/>
    <s v="If in brush, rate for it and verify 150' clearance."/>
    <m/>
    <m/>
    <s v="Patterson"/>
  </r>
  <r>
    <x v="91"/>
    <x v="2"/>
    <m/>
    <s v="Alex"/>
    <s v="Email"/>
    <s v="Martindale, Kenneth &amp; Evalina"/>
    <m/>
    <s v="HO3 Primary"/>
    <s v="Yorba Linda"/>
    <s v="CA"/>
    <n v="92887"/>
    <n v="2065000"/>
    <n v="4000000"/>
    <s v="TIV"/>
    <s v="2004 home in brush w/clearance. Has CS alarms. One UW ? Not answered.  Found &quot;Integris Financial&quot; online at this address.  New purchase 5/9/17, so this may not be the insured."/>
    <x v="0"/>
    <s v="Subj to uw? Answer; confirmation no business at this address"/>
    <m/>
    <m/>
    <s v="Patterson"/>
  </r>
  <r>
    <x v="91"/>
    <x v="1"/>
    <m/>
    <s v="Nichole"/>
    <s v="Email"/>
    <s v="Bahmani, Carole"/>
    <m/>
    <s v="HO3 Primary"/>
    <s v="Spotsylvania"/>
    <s v="VA"/>
    <m/>
    <m/>
    <n v="2200000"/>
    <s v="Dry hydrant"/>
    <s v="Will we give credit for dry hydrant?"/>
    <x v="0"/>
    <s v="Confirm PC9 now, 11 min response, excellent risk. Could allow 5% credit. PC 9&gt;8 would be 10%. Officially we do not give credit for dry hydrants in a PC9 or 10, but they are recognized by ISO as a creditable water source."/>
    <m/>
    <m/>
    <s v="Patterson"/>
  </r>
  <r>
    <x v="91"/>
    <x v="0"/>
    <s v="MI"/>
    <s v="Leslie"/>
    <s v="Email"/>
    <s v="Taylor, Rachel"/>
    <m/>
    <s v="HO3 Primary"/>
    <s v="Lemoore"/>
    <s v="CA"/>
    <n v="2"/>
    <n v="400000"/>
    <n v="760000"/>
    <s v="Business on premise"/>
    <s v="Insured has a swim school at her home, giving lessons 4 months/year. Liab w/Scottsdale. Agent wants property terms. 2 apps attached - one shows updates in 27? One in 90?  Also says rented 52 weeks but this is HO app. Probably a typo. Agent confirmed updates are in 90. No rental."/>
    <x v="2"/>
    <s v="Approve subj to: exclude liab (as noted), add Total Business Exclusion (for any exposure related to the business we may be unaware of.)"/>
    <m/>
    <m/>
    <s v="Patterson"/>
  </r>
  <r>
    <x v="91"/>
    <x v="2"/>
    <m/>
    <s v="Alex"/>
    <s v="Call/Email"/>
    <s v="Michaelson, Marc"/>
    <m/>
    <s v="HO3 Primary"/>
    <s v="Beverly Hills"/>
    <s v="CA"/>
    <m/>
    <n v="2900000"/>
    <n v="5000000"/>
    <s v="TIV/Business on premise"/>
    <s v="Insured has an Interior Design Studio on premises.  Has some consultant employees come on site. Rare to have customers. "/>
    <x v="4"/>
    <s v="Agent getting details. Suggested to check on delivery to determine overall exposure. Also on manufacturing and clearance frame home. Exclude other structure. Add Total Business Exclusion. All checks out, notes in file. 5/16/17"/>
    <m/>
    <m/>
    <s v="Patterson"/>
  </r>
  <r>
    <x v="91"/>
    <x v="0"/>
    <s v="MI"/>
    <s v="Delta"/>
    <s v="Email"/>
    <s v="Jones, Tajudeena"/>
    <m/>
    <s v="HO3 Primary"/>
    <s v="Chicago"/>
    <s v="IL"/>
    <n v="2"/>
    <n v="380000"/>
    <n v="760000"/>
    <s v="Business on premise"/>
    <s v="Insured operates &quot;Totally Positive Productions&quot;. Address on app is business address. Non-profit youth program in business since 1993.  Total Business Excl applies."/>
    <x v="2"/>
    <s v="This is mainly used as office and administrative. It is insureds home as well as apt rented annually to a married couple(not business related). All other questions check out. Subj to Total Business Excl. and GL is in place or will be per agent.)"/>
    <m/>
    <m/>
    <s v="Patterson"/>
  </r>
  <r>
    <x v="91"/>
    <x v="2"/>
    <m/>
    <s v="Alison"/>
    <s v="Email"/>
    <s v="Stoltze, Sharon"/>
    <m/>
    <s v="HO3 Primary"/>
    <s v="Santa Barbara"/>
    <s v="CA"/>
    <m/>
    <n v="1760000"/>
    <m/>
    <s v="Home in trust name"/>
    <s v="Home in name of 3 trusts. Applicant is daughter of mother who passed, and the trustee. Home for sale, but daughter is occupying. "/>
    <x v="1"/>
    <s v="Sounds owner occupied to me"/>
    <m/>
    <m/>
    <s v="Patterson"/>
  </r>
  <r>
    <x v="91"/>
    <x v="5"/>
    <m/>
    <s v="Anella"/>
    <s v="Email"/>
    <s v="Woodfin, Courtney &amp; Christopher"/>
    <m/>
    <s v="HO3 Primary"/>
    <s v="Carolina Beach "/>
    <s v="CA"/>
    <m/>
    <n v="359000"/>
    <m/>
    <s v="Lapse"/>
    <s v="Nice home. Policy lapsed for non pay. Carrier wouldn't reinstate due to concentration."/>
    <x v="1"/>
    <m/>
    <s v="Reviewed w/Tim"/>
    <m/>
    <s v="Patterson"/>
  </r>
  <r>
    <x v="92"/>
    <x v="0"/>
    <s v="MI"/>
    <s v="Alexa"/>
    <s v="Email"/>
    <s v="Voegtly, Carl"/>
    <m/>
    <s v="HO3 Seasonal"/>
    <s v="Young"/>
    <s v="AZ"/>
    <n v="9"/>
    <m/>
    <m/>
    <s v="Woodstove primary heat"/>
    <s v="1974 cabin updated in 2005. Home is winterized and never used in winter. Checked temperatures for area (AZ). Non-winter months never have freezing temps. Insured says stove is rarely used."/>
    <x v="0"/>
    <s v="Subj to rating as PC9 (confusion on what it really was-all documentation had a different PC); also acceptable WBS quest."/>
    <m/>
    <m/>
    <s v="Patterson"/>
  </r>
  <r>
    <x v="92"/>
    <x v="2"/>
    <m/>
    <s v="Alison"/>
    <s v="Email"/>
    <s v="Lafayette Scott Street LLC"/>
    <m/>
    <s v="HO3 Builders Risk"/>
    <s v="San Francisco"/>
    <s v="CA"/>
    <m/>
    <m/>
    <n v="3700000"/>
    <s v="Condition"/>
    <s v="Insured bought this high value home to renovate. Currently it is not habitable per city. "/>
    <x v="3"/>
    <s v="Reviewed inspection and discussed w/agent. No system updates. Fireman inspecting home fell when stairs he was using broke."/>
    <m/>
    <m/>
    <s v="Patterson"/>
  </r>
  <r>
    <x v="92"/>
    <x v="2"/>
    <m/>
    <s v="Alison"/>
    <s v="Email"/>
    <s v="List, Don"/>
    <m/>
    <s v="HO3 Primary"/>
    <s v="Topanga"/>
    <s v="CA"/>
    <n v="9"/>
    <n v="1800000"/>
    <n v="3200000"/>
    <s v="TIV"/>
    <s v="2007 home, alarms, brush, 10 min response time."/>
    <x v="1"/>
    <m/>
    <m/>
    <m/>
    <s v="Patterson"/>
  </r>
  <r>
    <x v="92"/>
    <x v="2"/>
    <m/>
    <s v="Melissa"/>
    <s v="Email"/>
    <s v="Silva, Gabriel &amp; Wendy"/>
    <m/>
    <s v="HO3 Primary"/>
    <m/>
    <m/>
    <m/>
    <m/>
    <m/>
    <s v="Backdate"/>
    <s v="There was confusion at retail office and agent accidentally deleted an email from his associates in box so they missed the bind request.  5/11/17 request to go back to 5/8/17 with SNL."/>
    <x v="1"/>
    <m/>
    <m/>
    <m/>
    <s v="Patterson"/>
  </r>
  <r>
    <x v="93"/>
    <x v="0"/>
    <s v="MI"/>
    <s v="Leslie"/>
    <s v="Email"/>
    <s v="Hinshaw, John &amp; Julia"/>
    <m/>
    <s v="HO3 Primary"/>
    <s v="Woodside   "/>
    <s v="CA"/>
    <n v="2"/>
    <n v="2580500"/>
    <n v="4890500"/>
    <s v="TIV/Wood roof"/>
    <s v="1977 home w/roof fully updated in 1998. Agent asking about roof. This is in a low brush zone so wood roof is okay.  Scheduled jewelry is listed on app but not on email. Animals or exotic animals is marked yes with no explanation.  Online photos and info show large vineyard and large horse corrals."/>
    <x v="0"/>
    <s v="Wood roof okay. TIV okay. Be aware of $5M limit. No sched jewelry info so my approval does not include that. Need answer to animals. Look into vineyard and horse corral. Verify no business. No breeding, riding, boarding of others horses. Personal only."/>
    <m/>
    <m/>
    <s v="Patterson"/>
  </r>
  <r>
    <x v="93"/>
    <x v="7"/>
    <s v="VA"/>
    <s v="Charity"/>
    <s v="Email"/>
    <s v="Kerr, Michael"/>
    <m/>
    <s v="HO3 Primary"/>
    <s v="Windsor"/>
    <s v="VA"/>
    <n v="9"/>
    <n v="338000"/>
    <n v="574600"/>
    <s v="PC9"/>
    <s v="PC9 New 2017 home. No online photos. Online search shows 3.5 miles 6 min to volunteer Chuckatuck Fire Station."/>
    <x v="1"/>
    <m/>
    <m/>
    <m/>
    <s v="Patterson"/>
  </r>
  <r>
    <x v="93"/>
    <x v="2"/>
    <m/>
    <s v="Melissa"/>
    <s v="Email"/>
    <s v="Altshuler, David"/>
    <m/>
    <s v="HO3 Primary"/>
    <s v="Pacific Palisades"/>
    <s v="CA"/>
    <n v="1"/>
    <n v="3000000"/>
    <n v="3150000"/>
    <s v="Remove brush surcharge"/>
    <s v="Risk is not in a brush zone, but high brush zone is nearby. Agent originally added a brush s/c due to proximity to brush. Melissa asking to remove it."/>
    <x v="2"/>
    <s v="Since they added it, they can remove it.  I don't see a record of requiring it. I suggested a 1/2 surcharge. Risk is PC1, 5 min response time. Prem went up $610. This is a COC 2nd term and $3,150,000 TIV, approved."/>
    <m/>
    <m/>
    <s v="Patterson"/>
  </r>
  <r>
    <x v="93"/>
    <x v="2"/>
    <m/>
    <s v="Alex"/>
    <s v="Call"/>
    <s v="The Columbia Hotel Inc."/>
    <m/>
    <s v="HO3 Seasonal w/Rental"/>
    <m/>
    <m/>
    <m/>
    <m/>
    <m/>
    <s v="Corporate Name"/>
    <s v="Risk in corp name for tax purposes. The insured leases home back from corp and lives there as their primary. Agent wants to give this more of an HO3 rate (agree). Adding the rental endorsement. Issuing w/premises liab only. Insured will have their own HO4.`"/>
    <x v="1"/>
    <m/>
    <m/>
    <m/>
    <s v="Patterson"/>
  </r>
  <r>
    <x v="93"/>
    <x v="0"/>
    <s v="MI"/>
    <s v="Alexa"/>
    <s v="Email"/>
    <s v="Breeman, Jason &amp; Cariya"/>
    <m/>
    <s v="HO6 Primary"/>
    <m/>
    <m/>
    <n v="1"/>
    <n v="150000"/>
    <n v="660000"/>
    <s v="Prior losses"/>
    <s v="2008 condo w/ 2 prior water losses.  10/16 water leak from 3rd floor bath $19K; 11/16 water leak from outdoor sprinklers $15K. Agent quoting w/$25,000 water damage ded."/>
    <x v="0"/>
    <s v="Confirm reason for NRN"/>
    <m/>
    <m/>
    <s v="Patterson"/>
  </r>
  <r>
    <x v="93"/>
    <x v="10"/>
    <m/>
    <s v="Suzanne"/>
    <s v="Email"/>
    <s v="Lake House"/>
    <m/>
    <m/>
    <m/>
    <m/>
    <m/>
    <m/>
    <m/>
    <s v="House over water"/>
    <s v="Non-floating home extended over water.  Newer roof. Condition a little rough, may just need paint. "/>
    <x v="0"/>
    <s v="Make sure updates are good. Order EHP to get eyes inside. "/>
    <m/>
    <m/>
    <s v="Patterson"/>
  </r>
  <r>
    <x v="94"/>
    <x v="2"/>
    <m/>
    <s v="Kameron"/>
    <s v="Email"/>
    <s v="Hudachek, Robert"/>
    <m/>
    <s v="HO3 Primary"/>
    <s v="Lake Arrowhead"/>
    <m/>
    <m/>
    <m/>
    <m/>
    <s v="Dock"/>
    <s v="Is dock away from premises covered?"/>
    <x v="3"/>
    <s v="Close to a mile away and owned/used by another cabin owner. Advised we are not comfortable amending address to include - too far away and less control over who would use it."/>
    <s v="Note - policy was already issued. This just clarified we wouldn't cover the dock."/>
    <m/>
    <s v="Patterson"/>
  </r>
  <r>
    <x v="94"/>
    <x v="0"/>
    <s v="MI"/>
    <s v="Matt"/>
    <s v="Email"/>
    <s v="Sandbakken, Steven"/>
    <m/>
    <s v="HO3 Builders Risk"/>
    <s v="St. Paul"/>
    <s v="MN"/>
    <m/>
    <n v="250000"/>
    <n v="278000"/>
    <s v="Lift to replace foundation"/>
    <s v="1913 home being lifted to replace foundation."/>
    <x v="3"/>
    <s v="Concern w/ what gaps in covg there may be from contractor."/>
    <s v="Discussed w/Jeff   "/>
    <m/>
    <s v="Patterson"/>
  </r>
  <r>
    <x v="94"/>
    <x v="0"/>
    <s v="MI"/>
    <s v="Leslie"/>
    <s v="Email"/>
    <s v="Lieberman, Roger"/>
    <m/>
    <s v="HO3 Primary w/Rental"/>
    <s v="Sacramento"/>
    <s v="CA"/>
    <n v="2"/>
    <n v="1025000"/>
    <n v="1742500"/>
    <s v="Rating"/>
    <s v="Leslie checking on rating since this is primary with rental. In research, found 2 businesses using the insured location address."/>
    <x v="0"/>
    <s v="Check on business use - 2 businesses use the insured address and photos look like board room and waiting room."/>
    <m/>
    <m/>
    <s v="Patterson"/>
  </r>
  <r>
    <x v="94"/>
    <x v="0"/>
    <s v="MI"/>
    <s v="Leslie"/>
    <s v="Email"/>
    <s v="Brandt, Chad"/>
    <m/>
    <s v="HO3 Primary"/>
    <s v="Grand Rapids"/>
    <s v="MN"/>
    <m/>
    <n v="221600"/>
    <n v="465360"/>
    <s v="Business in home"/>
    <s v="1958 home w/updates. Insured has a massage therapy business in home. Reviewed website, looks fine. Includes Total Business Excl."/>
    <x v="1"/>
    <s v="Reminded agt about TBE limitations and make sure insured knows."/>
    <m/>
    <m/>
    <s v="Patterson"/>
  </r>
  <r>
    <x v="94"/>
    <x v="0"/>
    <s v="MI"/>
    <s v="Delta"/>
    <s v="Email"/>
    <s v="Amstutz, Austin"/>
    <m/>
    <s v="HO4 Primary"/>
    <s v="Norwalk "/>
    <s v="IA"/>
    <m/>
    <n v="150000"/>
    <n v="150000"/>
    <s v="Apartment in business"/>
    <s v="2016 building is insureds flat concrete work business. He has an apartment in it. Wants contents and liability."/>
    <x v="0"/>
    <s v="Add Total Business Exclusion. (Compliance verifying use of current form; or will update to create a new one.)"/>
    <m/>
    <m/>
    <s v="Patterson"/>
  </r>
  <r>
    <x v="94"/>
    <x v="0"/>
    <s v="MI"/>
    <s v="Leslie"/>
    <s v="Email"/>
    <s v="Chouest, Amy"/>
    <m/>
    <s v="HO3 Primary"/>
    <s v="New Orleans "/>
    <s v="LA"/>
    <n v="2"/>
    <n v="4000000"/>
    <n v="4250000"/>
    <s v="TIV/RC"/>
    <s v="1900 home updated in 2017 asking for RC.  Online photos limited. Indicates partial reno."/>
    <x v="0"/>
    <s v="Approved TIV. Advised Leslie to check with Danielle on their internal procedure with RC."/>
    <m/>
    <m/>
    <s v="Patterson"/>
  </r>
  <r>
    <x v="95"/>
    <x v="7"/>
    <s v="VA"/>
    <s v="Joanna"/>
    <s v="Email"/>
    <s v="Loper, John &amp; Tracy"/>
    <m/>
    <s v="HO3 Primary"/>
    <s v="Montepelier"/>
    <s v="VA"/>
    <n v="9"/>
    <n v="315000"/>
    <n v="535500"/>
    <s v="Prior loss"/>
    <s v="1972 home w/updates. Prior dog bit - insureds dog bit child going by on bike at different location.  Agt asking with or without liability."/>
    <x v="0"/>
    <s v="Still have dog? Claim closed? What forms do they apply.   5/17-still has dog, now in a country home. Applying animal exclusion MPL108 (excludes all animals)"/>
    <m/>
    <m/>
    <s v="Patterson"/>
  </r>
  <r>
    <x v="95"/>
    <x v="0"/>
    <s v="MI"/>
    <s v="Danielle"/>
    <s v="Email"/>
    <s v="Arnold, Mary &amp; Mankad, Raj"/>
    <m/>
    <s v="HO3 Primary"/>
    <m/>
    <s v="TX"/>
    <n v="2"/>
    <n v="150000"/>
    <n v="330000"/>
    <s v="Business on premise"/>
    <s v="1930 home w/updates. Insured has detached apartment/garage that has a studio insured uses to hold writing classes once a week with about 12 kids._x000a_They will have GL for the business._x000a_ "/>
    <x v="0"/>
    <s v="Business info. If we proceed, Total Business Exclusion and need pier/beam foundation inspected.  5/17 students go to oth str, no one in home. Also added subj to exclude the other structure."/>
    <m/>
    <m/>
    <s v="Patterson"/>
  </r>
  <r>
    <x v="95"/>
    <x v="0"/>
    <s v="MI"/>
    <s v="Danielle"/>
    <s v="Email"/>
    <s v="Estate of Sokhana Noeu"/>
    <m/>
    <s v="DP3 Rental"/>
    <s v="St Paul"/>
    <s v="MN"/>
    <n v="3"/>
    <n v="367000"/>
    <n v="440400"/>
    <s v="Business in home"/>
    <s v="1914 home w/updates. Duplex - 1/2 personal living; 1/2 rented to business. (Unsure if personal living is insured or rented to someone.) Auto shop next door. Also found Acoustech Drywall Contr at this addr."/>
    <x v="3"/>
    <s v="Asked for occupancy clarification. Investigate drywall business. Auto repair is separate address? Also asked in of on Cambodian Employment in 1/2 of duplex. If insured rents whole home, doesn't occupy themselves, this should go commercial. We will apply Total Business Exclusion.  5/19-This is a commercial exposure and would better serve insured to be quoted there."/>
    <m/>
    <m/>
    <s v="Patterson"/>
  </r>
  <r>
    <x v="95"/>
    <x v="2"/>
    <m/>
    <s v="Alison"/>
    <s v="Email"/>
    <s v="Pollack Investments"/>
    <m/>
    <s v="DP3 Vacant"/>
    <s v="Coronado"/>
    <s v="CA"/>
    <m/>
    <n v="500000"/>
    <n v="550000"/>
    <s v="Mid term builders risk"/>
    <s v="New build. Builder sold 85% complete to Pollack Investments who will finish and sell the home. Expect 3-6 month policy. Agent surcharged the vacant rate by 25%. Quoting w/50% earned premium"/>
    <x v="0"/>
    <s v="Corporate questionnaire. Prem liab okay if they want it.  https://www.zillow.com/homedetails/266-F-Ave-Coronado-CA-92118/17069694_zpid/"/>
    <m/>
    <m/>
    <s v="Patterson"/>
  </r>
  <r>
    <x v="96"/>
    <x v="8"/>
    <m/>
    <s v="Alia"/>
    <s v="Email"/>
    <s v="Certified Service Dog"/>
    <m/>
    <s v="HO4 Primary"/>
    <m/>
    <m/>
    <m/>
    <m/>
    <m/>
    <s v="Pit bull service dog"/>
    <s v="Alia asking about insuring an HO4 for a client with a pit bull that is certified as a service dog."/>
    <x v="4"/>
    <s v="Sent list of questions and info needed to review."/>
    <m/>
    <m/>
    <s v="Patterson"/>
  </r>
  <r>
    <x v="96"/>
    <x v="0"/>
    <s v="MI"/>
    <s v="Jill"/>
    <s v="Email"/>
    <s v="Hillen, Keith &amp; Mary"/>
    <m/>
    <s v="HO3 Secondary"/>
    <s v="Nevada City"/>
    <s v="CA"/>
    <m/>
    <n v="1800000"/>
    <n v="3753750"/>
    <s v="TIV"/>
    <s v="1981 home, excellent condition, nice per online photos. No URQ, unknown if PC9 or 10. 2 losses at other locations, reviewed, okay. Alarms. Per online photos, 5 stall horse barn and riding arena on property. Insd self employed. WBS per app. In Brush per RM, but one of those unacceptable ISO reports is also attached showing no brush."/>
    <x v="0"/>
    <s v="You are approved to release terms subject to:_x000a_• If URQ and information shows this is a PC9, okay to proceed if 15 minutes response time or less.  If PC10, please send to me so I can review information and approve final terms._x000a_• Confirmation no business at the residence premises (insured is self employed)_x000a_• Acceptable woodburning stove questionnaire_x000a_• Confirmation we are rating this in brush per RiskMeter (we don't use the ISO California Brush Fire report)_x000a_• Confirmation of brush clearance per our requirements to 150’_x000a_• Check on any horse or animal exposure.  There is a 5 stall horse barn and riding arena on the property._x000a_5/25/17 -- Adjusted Cov A to $1,800,000 from $2,125,000 and TIV to $3,753,750 from $4,143,750."/>
    <m/>
    <m/>
    <s v="Patterson"/>
  </r>
  <r>
    <x v="96"/>
    <x v="0"/>
    <s v="MI"/>
    <s v="Alexa"/>
    <s v="Email"/>
    <s v="Martineau, Robin"/>
    <m/>
    <s v="HO3 Primary"/>
    <s v="Fergus Falls "/>
    <s v="MN"/>
    <n v="5"/>
    <n v="153000"/>
    <n v="238900"/>
    <s v="Daycare in home"/>
    <s v="1946 home updated in 2000. Insured runs daycare in home licensed for 12 children. Has GL in place."/>
    <x v="0"/>
    <s v="• Excluding liability  _x000a_• Please do not add form BWH0141 as this risk does not qualify for the Burns &amp; Wilcox Daycare program_x000a_• GL must remain in place, controlled by agent_x000a_• Include Total Business Exclusion form – please make sure insured is aware of the restrictions of this form for an in home business.  If any loss occurs related to the business, claims will deny the loss.  (e.g. A bottle warmer used for a daycare child shorts out, starts a fire and the house burns to the ground. Claims would deny all damage to the home, contents, etc.)_x000a_"/>
    <m/>
    <m/>
    <s v="Patterson"/>
  </r>
  <r>
    <x v="96"/>
    <x v="7"/>
    <s v="VA"/>
    <s v="Charity"/>
    <s v="Email"/>
    <s v="Morame, Claudius EVN16010131"/>
    <m/>
    <s v="DP3 Rental"/>
    <m/>
    <m/>
    <m/>
    <m/>
    <m/>
    <s v="Repairs"/>
    <s v="Policy was cancelled due to repairs not made after inspection found issues. Insured has now repaired. Pol cancelled 5/2. Proof attached of repairs. Can agt reinstate."/>
    <x v="4"/>
    <s v="Charity said original insp was attached - I can't tell. Advised we could RW w/lapse unless there is a lien and there can't be a gap. Need signed statement."/>
    <m/>
    <m/>
    <s v="Patterson"/>
  </r>
  <r>
    <x v="96"/>
    <x v="4"/>
    <s v="CO"/>
    <s v="Allison"/>
    <s v="Email"/>
    <s v="Dallin, Ronald"/>
    <m/>
    <s v="DP3 Short Term Rental"/>
    <s v="Provo"/>
    <s v="UT"/>
    <n v="4"/>
    <n v="1555900"/>
    <n v="3267400"/>
    <s v="TIV"/>
    <s v="1986 home w/alarms. Short term rental w/5 night min. Was w/Travelers who nonrenewed end of April due to the rental. Had lapse of 3 weeks. 5% surcharge added."/>
    <x v="1"/>
    <s v="Multiple online sources describe rental and show previous sale of home. All look good.  Wood roof exclusion applies (not updated-31 years)"/>
    <m/>
    <m/>
    <s v="Patterson"/>
  </r>
  <r>
    <x v="97"/>
    <x v="0"/>
    <s v="MI"/>
    <s v="Leslie"/>
    <s v="Email"/>
    <s v="Equi Sport LLC"/>
    <m/>
    <s v="HO3 Primary"/>
    <s v="Ocala"/>
    <s v="FL"/>
    <m/>
    <n v="1300000"/>
    <n v="2800000"/>
    <s v="Horse business"/>
    <s v="Insured sells horses. Excluding liability which is insured w/Markel Equine. Wants $1M on barn"/>
    <x v="0"/>
    <s v="You are approved to release a quote subject to:_x000a_• Excluding liability as quoted _x000a_• Building exclusion for the barn_x000a_• Total Business Exclusion form_x000a_• FL is currently under moratorium due to fires.  If we proceed with terms, it would be subject to the moratorium being lifted._x000a_"/>
    <m/>
    <m/>
    <s v="Patterson"/>
  </r>
  <r>
    <x v="97"/>
    <x v="0"/>
    <s v="MI"/>
    <s v="Danielle"/>
    <s v="Email"/>
    <s v="Comolli, Kevin"/>
    <m/>
    <s v="HO3 Seasonal"/>
    <s v="Carmel"/>
    <s v="CA"/>
    <n v="3"/>
    <n v="3000000"/>
    <n v="4800000"/>
    <s v="TIV"/>
    <s v="2009 frame home. In brush. PPC is 3 or 10. Responding FD was verified with the FD. Paid, 2.4 miles, 7 min. There is a private hydrant on the property and FD confirmed it's storage capacity and flow. Appears this is acceptable as a PC3. Part flat roof. Agent applied $25K ded."/>
    <x v="1"/>
    <m/>
    <s v="http://www.montereyherald.com/article/zz/20130607/NEWS/130608651"/>
    <m/>
    <s v="Patterson"/>
  </r>
  <r>
    <x v="97"/>
    <x v="2"/>
    <m/>
    <s v="Alex"/>
    <s v="Email"/>
    <s v="Ma, Baojun"/>
    <m/>
    <s v="HO3 Primary"/>
    <s v="Laguna"/>
    <s v="CA"/>
    <m/>
    <n v="2000000"/>
    <n v="3240000"/>
    <s v="Prior losses"/>
    <s v="New purchase. Prior owner had a 1/15 $0 water loss and a 5/15 $36K water loss. New owner/insured has no info on what these were. Very nice online pics."/>
    <x v="0"/>
    <s v="1991 home, copper, $2M Cov A. Not the insured's losses. Offered option of terms as quoted w/$2500 AOP or offer with $10K water damage and drop after a year to $5K, then to AOP.  5/19-agt asked for ok to quote $10K and $50K AOP options. Approved."/>
    <m/>
    <m/>
    <s v="Patterson"/>
  </r>
  <r>
    <x v="98"/>
    <x v="0"/>
    <s v="MI"/>
    <s v="Alexa"/>
    <s v="Email"/>
    <s v="Schoening, Robert"/>
    <m/>
    <s v="HO3 Primary"/>
    <s v="McLelland"/>
    <s v="IA"/>
    <n v="9"/>
    <n v="431000"/>
    <n v="924000"/>
    <s v="Firearm Instruction Class on premises"/>
    <s v="Insured is a firearms instructor. Holds 24 classes per year w/10 students. 2-4 of these classes may be on his property held outside. Shooting takes place on property. Has GL in place. Agt quoting w/liability exclusion."/>
    <x v="0"/>
    <s v="• Excluding liability (as you quoted)_x000a_• Apply the Total Business Exclusion form.  I'm trying to envision how the 2-4 classes would always be held &quot;outside&quot;.  What about bad weather?  Need for restroom?  With the Total Business Exclusion, even if ended up that students were in the house, we have no exposure.  Remember that limitations are there that could result in denial of claims involving the home, contents, other structures, etc._x000a_• Completed app including answers to all underwriting questions_x000a_ALEXA SENT A FOLLOW UP EMAIL TO DISREGARD THIS REQUEST.  I HAD ALREADY REPLIED SO I LEFT THE NOTES."/>
    <s v="Considered if any phys dmg exposure exists from guns on premises. I suppose a student could mis-fire and shoot one of the buildings. Not the type of ammo that will cause &quot;explosions&quot;. If any students end up in the house and a loss occurs, TBE will exclude coverage."/>
    <m/>
    <s v="Patterson"/>
  </r>
  <r>
    <x v="98"/>
    <x v="0"/>
    <s v="MI"/>
    <s v="Danielle"/>
    <s v="Email"/>
    <s v="Hirsch, Alisha"/>
    <m/>
    <s v="HO3 Primary"/>
    <s v="Beverly Hills"/>
    <s v="CA"/>
    <n v="1"/>
    <n v="2000000"/>
    <n v="3200000"/>
    <s v="TIV"/>
    <s v="1960 home updated in 2010. Nice online photos, no concerns."/>
    <x v="1"/>
    <m/>
    <m/>
    <m/>
    <s v="Patterson"/>
  </r>
  <r>
    <x v="99"/>
    <x v="2"/>
    <s v="CA"/>
    <s v="Alison"/>
    <s v="Email"/>
    <s v="Oort, Ronald"/>
    <m/>
    <s v="HO3 Primary"/>
    <s v="Brentwood"/>
    <s v="CA"/>
    <n v="2"/>
    <n v="506000"/>
    <n v="806600"/>
    <s v="Open Dog Bite/Claim"/>
    <s v="Chinook dog bit friend of a dogsitter at end of 2016; open claim reserved, dog still in home; wants quote with $10K animal liab w/ specific dog excluded."/>
    <x v="0"/>
    <s v="claim still open, large reserves ($100K), dog still in home; approved subject to animal liab exclusion"/>
    <m/>
    <m/>
    <s v="Burdine"/>
  </r>
  <r>
    <x v="99"/>
    <x v="0"/>
    <s v="MI"/>
    <s v="Delta"/>
    <s v="Email"/>
    <s v="Shapiro, James"/>
    <m/>
    <s v="HO3 Secondary"/>
    <s v="Healdsburg"/>
    <s v="CA"/>
    <n v="10"/>
    <n v="2700000"/>
    <n v="4320000"/>
    <s v="TIV/PC"/>
    <s v="TIV $4.3. PC 9, no prior claims, 2017 build year, C/S alarms, water tank on premise, RM, acceptable PC questionnaire provided; response time 10 minutes"/>
    <x v="1"/>
    <s v="RM low, ded $25K, Water tank on premise, 2 fire depts w/in 5.5 miles; central alarms"/>
    <m/>
    <m/>
    <s v="Burdine"/>
  </r>
  <r>
    <x v="99"/>
    <x v="7"/>
    <s v="VA"/>
    <s v="Joana"/>
    <s v="Email"/>
    <s v="Riordan, Michael"/>
    <m/>
    <s v="HO3 Primary"/>
    <s v="Newark"/>
    <s v="MD"/>
    <n v="5"/>
    <n v="352000"/>
    <m/>
    <s v="Knob &amp; Tube wiring"/>
    <s v="1920 build, all other updates completed. Home in great condition. PC ok. Agt quoted with understanding that updates to be made w/in 30-45 days"/>
    <x v="0"/>
    <s v="approved subject to completion of updates w/in 45 days from issuance, and acceptable supp heat app"/>
    <m/>
    <m/>
    <s v="Burdine"/>
  </r>
  <r>
    <x v="100"/>
    <x v="0"/>
    <s v="MI"/>
    <s v="Delta"/>
    <s v="Email"/>
    <s v="Bush, Kevin"/>
    <m/>
    <s v="HO3 Primary"/>
    <s v="Oak Glen"/>
    <s v="CA"/>
    <n v="10"/>
    <n v="1457000"/>
    <n v="2983200"/>
    <s v="PC 10"/>
    <s v=" primary home located in CA. Built in 1996, frame construction, PC10, in brush, 5 minute response time, no c/a alarms and no losses."/>
    <x v="0"/>
    <s v="Subject to acceptable brush clearance; PC questionnaire provided-response time OK and tanks/pond on premises."/>
    <m/>
    <m/>
    <s v="Burdine"/>
  </r>
  <r>
    <x v="100"/>
    <x v="0"/>
    <s v="MI"/>
    <s v="Delta"/>
    <s v="Email"/>
    <s v="Hall, Harvey &amp; Lavonne"/>
    <m/>
    <s v="HO3 Primary"/>
    <s v="Bakersfield"/>
    <s v="CA"/>
    <n v="2"/>
    <n v="1859000"/>
    <n v="3903800"/>
    <s v="Prior losses"/>
    <s v="primary; Built in 2000, frame construction, PC2, not in brush, full c/s alarms and 2 losses . They are planning on installing video cameras for added security."/>
    <x v="0"/>
    <s v="not scheduling jewelry, theft ded  at $25K; adding cameras; in gated community; subject to adding the cameras and "/>
    <m/>
    <m/>
    <s v="Burdine"/>
  </r>
  <r>
    <x v="100"/>
    <x v="2"/>
    <s v="CA"/>
    <s v="Alex"/>
    <s v="Call"/>
    <s v="Harris, Robert"/>
    <m/>
    <s v="DP3"/>
    <s v="Villa Park"/>
    <s v="CA"/>
    <n v="4"/>
    <n v="750000"/>
    <n v="835000"/>
    <s v="prior loss"/>
    <s v="Prior large fire loss-vacant/for sale, should be short term policy; loss cause reported to be fault electric wiring (was 1960s with no updates), but now home completely redone and wiring 2017.  UPDATED: $15K of loss was from smoke/fire, remaining $400K was from asbestos abatement. Home completely redone, interior and exterior. Asbestos remediation confirmation provided. Home will also be a rental. "/>
    <x v="0"/>
    <s v="Advised OK to submit, but would need fire marshal report or cause &amp; origin report from prior carrier for review. Updated: confirmed loss cause, approved w/ 10% surcharge"/>
    <m/>
    <m/>
    <s v="Burdine"/>
  </r>
  <r>
    <x v="100"/>
    <x v="2"/>
    <s v="CA"/>
    <s v="Alex"/>
    <s v="Call"/>
    <s v="Barker, Greg &amp; Lisa"/>
    <m/>
    <s v="HO3 Primary"/>
    <s v="Grass Valley"/>
    <s v="CA"/>
    <m/>
    <n v="560000"/>
    <n v="962000"/>
    <s v="business on premises"/>
    <s v="CPA-75-100 clients over a period from about February to April come into insureds home for consultation. Agreed OK to submit for consideration with a total business exclusion. "/>
    <x v="0"/>
    <s v="Relatively low exposure, ok with liab as long as total business excluded"/>
    <m/>
    <m/>
    <s v="Burdine"/>
  </r>
  <r>
    <x v="101"/>
    <x v="7"/>
    <s v="VA"/>
    <s v="Charity"/>
    <s v="Email"/>
    <s v="Dana Rose, Sean and Betty Lennon"/>
    <m/>
    <s v="HO3 Secondary"/>
    <s v="King William"/>
    <s v="VA"/>
    <n v="10"/>
    <n v="405000"/>
    <n v="688500"/>
    <s v="PC 10"/>
    <s v="PC 10, no prior claims, 2017 build year, VA risk"/>
    <x v="1"/>
    <s v="Low TIV, VA risk, claim history OK"/>
    <m/>
    <m/>
    <s v="Burdine"/>
  </r>
  <r>
    <x v="101"/>
    <x v="7"/>
    <s v="VA"/>
    <s v="Charity"/>
    <s v="Email"/>
    <s v="Jessie R. &amp; Stephanie M. Moser"/>
    <m/>
    <s v="HO3 Secondary"/>
    <s v="Nellysford"/>
    <s v="VA"/>
    <n v="9"/>
    <n v="260000"/>
    <n v="442000"/>
    <s v="PC9"/>
    <s v="PC 9, 2016 build year, no prior claims"/>
    <x v="0"/>
    <s v="Approval, subject to confirmation that FD within acceptable distance and sufficient water trucks"/>
    <m/>
    <m/>
    <s v="Burdine"/>
  </r>
  <r>
    <x v="101"/>
    <x v="0"/>
    <s v="MI"/>
    <s v="Leslie"/>
    <s v="Email"/>
    <s v="Bush, Kevin"/>
    <m/>
    <s v="HO3 Primary"/>
    <s v="Oak Glen"/>
    <s v="CA"/>
    <n v="10"/>
    <n v="1457000"/>
    <n v="2982400"/>
    <s v="PC10"/>
    <s v=" primary home located in CA. Built in 1996, frame construction, PC10, in brush, 5 minute response time, no c/s alarms and no losses."/>
    <x v="0"/>
    <s v="Subject to acceptable brush clearance; PC questionnaire provided-response time OK and tanks/pond on premises"/>
    <s v="Advised Leslie same applicant as one submitted by Delta"/>
    <m/>
    <s v="Burdine"/>
  </r>
  <r>
    <x v="102"/>
    <x v="2"/>
    <m/>
    <s v="Melissa"/>
    <s v="Email"/>
    <s v="HUCAH150001008"/>
    <m/>
    <s v="HO3 Builders Risk"/>
    <m/>
    <m/>
    <m/>
    <m/>
    <m/>
    <s v="Occupancy"/>
    <s v="COC is almost complete, contents moving in. Interior cleanup, roof and railings still needed. Can they switch to secondary?"/>
    <x v="4"/>
    <s v="More info needed."/>
    <m/>
    <m/>
    <s v="Patterson"/>
  </r>
  <r>
    <x v="102"/>
    <x v="2"/>
    <m/>
    <s v="Alison"/>
    <s v="Email"/>
    <s v="Sallans, William"/>
    <m/>
    <s v="HO3 Primary"/>
    <s v="Encinitas"/>
    <s v="CA"/>
    <m/>
    <n v="490000"/>
    <n v="900000"/>
    <s v="Prior losses"/>
    <s v="1964 home, no updates noted. 3 prior losses:  2013-dog bite $300K - insured has no animals. 6/2014 $2K luggage flew off van. 3/2016 sewer backup (cause confirmed w/Safeco letter) $133K. No WBU being offered. "/>
    <x v="0"/>
    <s v="approve w/10% s/c. Also exclude roof if not updated and add $5K special water ded if plumbing not updated.  No animals-also, our animal form protects us. No WBU so no concern there - we are sure it is WBU and not water damage per prior carrier letter."/>
    <m/>
    <m/>
    <s v="Patterson"/>
  </r>
  <r>
    <x v="102"/>
    <x v="2"/>
    <m/>
    <s v="Alex"/>
    <s v="Call"/>
    <s v="Polycomp Trust"/>
    <m/>
    <s v="HO3 Primary"/>
    <m/>
    <m/>
    <m/>
    <m/>
    <m/>
    <s v="Trust name"/>
    <s v="Polycomp Trust is a self-directed IRA. "/>
    <x v="4"/>
    <s v="Advised if Alex wants to pursue further I can send to claims."/>
    <m/>
    <m/>
    <s v="Patterson"/>
  </r>
  <r>
    <x v="102"/>
    <x v="2"/>
    <m/>
    <s v="Alison"/>
    <s v="Email"/>
    <s v="3 Shadows LLC"/>
    <m/>
    <s v="DP3 Builders Risk"/>
    <s v="Beverly Hills"/>
    <s v="CA"/>
    <m/>
    <n v="3500000"/>
    <n v="4100000"/>
    <s v="Occupancy"/>
    <s v="Agent wants to rate as vacant/reno now and endorse to vacant/for sale when done."/>
    <x v="1"/>
    <m/>
    <m/>
    <m/>
    <s v="Patterson"/>
  </r>
  <r>
    <x v="102"/>
    <x v="7"/>
    <s v="VA"/>
    <s v="Charity"/>
    <s v="Email"/>
    <s v="Trevedi, Sharad"/>
    <m/>
    <s v="HO3 Primary"/>
    <s v="Palm Beach Gardens"/>
    <s v="FL"/>
    <m/>
    <n v="262000"/>
    <n v="471600"/>
    <s v="PC10"/>
    <s v="Risk is in Palm Beach County. "/>
    <x v="3"/>
    <s v="Currently under moratorium."/>
    <m/>
    <m/>
    <s v="Patterson"/>
  </r>
  <r>
    <x v="102"/>
    <x v="2"/>
    <m/>
    <s v="Melissa"/>
    <s v="Email"/>
    <s v="HUCAH150000517 "/>
    <m/>
    <s v="HO3 Primary"/>
    <m/>
    <m/>
    <m/>
    <m/>
    <m/>
    <s v="Proof of repair"/>
    <s v="Policy is renewing. Insured needs 30 more days to provide proof of repairs."/>
    <x v="1"/>
    <s v="This is a seasonal. This is a good agent. Insd needs more time to get the proof. Repairs are done."/>
    <m/>
    <m/>
    <s v="Patterson"/>
  </r>
  <r>
    <x v="102"/>
    <x v="0"/>
    <s v="MI"/>
    <s v="Jill"/>
    <s v="Email"/>
    <s v="Jones, George &amp; Barnum, William DBA…"/>
    <m/>
    <s v="DP3 Rental"/>
    <s v="Venice "/>
    <s v="CA"/>
    <n v="1"/>
    <n v="3000000"/>
    <n v="3305000"/>
    <s v="TIV"/>
    <s v="2017 home not in brush. Named insured is General Partnership. They want CPL and PI"/>
    <x v="0"/>
    <s v="Wondering why CPL and PI would come off a rental dwelling but if there is a good reason and they need it, it is okay."/>
    <s v="Discussed w/Louisa. 07/26/17-granted approval to increased Cov D to $365,000, and Cov C to $50K. Home has been changed to seasonal/partial tenant. K.Burdine"/>
    <m/>
    <s v="Patterson"/>
  </r>
  <r>
    <x v="102"/>
    <x v="0"/>
    <s v="MI"/>
    <s v="Jill"/>
    <s v="Email"/>
    <s v="Delgado, Frank"/>
    <m/>
    <s v="HO3 Primary "/>
    <s v="Oroville"/>
    <s v="CA"/>
    <n v="10"/>
    <n v="215000"/>
    <n v="325000"/>
    <s v="Response time"/>
    <s v="This is a renewal. Agent originally sent as a PC9 with 12 min response time. Inspection revealed PC10. Renewal UW found 8.1 miles and 21 min response time. Too late to NRN. "/>
    <x v="0"/>
    <s v="10% surcharge for response time. Reviewed FireLine - high 11. "/>
    <m/>
    <m/>
    <s v="Patterson"/>
  </r>
  <r>
    <x v="102"/>
    <x v="0"/>
    <s v="MI"/>
    <s v="Jill"/>
    <s v="Email"/>
    <s v="Lance, Brent"/>
    <m/>
    <s v="HO3 Primary"/>
    <s v="Big Bear City"/>
    <s v="CA"/>
    <n v="3"/>
    <n v="825000"/>
    <n v="2295000"/>
    <s v="Other structure limit"/>
    <s v="2006 home with Barn, detached garage w/apt, car port, $60K 36 panel solar system. 6 acres, 6 horses - both personal use. Agt offering x-liability. In brush."/>
    <x v="0"/>
    <s v="You are approved to release terms subject to:_x000a_• Confirmation there is no rental in the apartment.  (If there is rental, we can probably approve and appropriate forms can be added. Just let me know.)_x000a_• I'm approving with no liability (x-liability).  However, if you want to make a case for it, I can reconsider.  Our guideline is 5 and they have 6.  If exposure is low and no concern about current or future breeding, boarding, riding lessons, or horse sales, we could consider.  To determine exposure, it would be helpful to know:_x000a_o How many people in the household_x000a_o Do friends/neighbors/other family members ride_x000a_o Frequency of riding_x000a_o Is there a fenced area on the property where the horses are kept_x000a_o Any large amounts of hay stored in buildings_x000a_o Any 4H or horse shows?  If there are, how often are the horses taken off the property?  _x000a_o Do they expect the number of horses to change?_x000a_"/>
    <s v="Provided acceptable responses to questions. Gave Ok for liab. K.Burdine"/>
    <m/>
    <s v="Patterson"/>
  </r>
  <r>
    <x v="103"/>
    <x v="2"/>
    <m/>
    <s v="Melissa"/>
    <s v="Email"/>
    <s v="Miller, MA &amp; JA"/>
    <m/>
    <s v="HO3 Primary"/>
    <s v="Sky Forest"/>
    <s v="CA"/>
    <m/>
    <n v="297490"/>
    <n v="440000"/>
    <s v="Lapse"/>
    <s v="Do we want to reinstate or renew this existing policy?  HUCAH150000389  No claims history.  "/>
    <x v="0"/>
    <s v="good account? Relationship w/agent? Need copy of app, insp, dec to review. If approved, 5% s/c will apply-rewrite w/lapse only.  Too late to reinstate (expired 4/15/17)  Acct and info looks fine. Confusion on app - lists primary and tenant. Asked Melissa to confirm HO3. "/>
    <m/>
    <m/>
    <s v="Patterson"/>
  </r>
  <r>
    <x v="103"/>
    <x v="2"/>
    <m/>
    <s v="Alex"/>
    <s v="Call"/>
    <s v=" "/>
    <m/>
    <s v="HO3 Primary"/>
    <m/>
    <m/>
    <m/>
    <m/>
    <m/>
    <s v="Occupancy"/>
    <s v="Insured is buying home but will rent it out for 2-3 months before moving in. Okay to write as HO3 w/ higher rate for the rental.  "/>
    <x v="1"/>
    <m/>
    <m/>
    <m/>
    <s v="Patterson"/>
  </r>
  <r>
    <x v="103"/>
    <x v="2"/>
    <m/>
    <s v="Alex"/>
    <s v="Call"/>
    <m/>
    <m/>
    <s v="HO3 Builders Risk"/>
    <m/>
    <m/>
    <m/>
    <m/>
    <m/>
    <s v="Occupancy"/>
    <s v="Insured purchasing home now. Will be vacant until July or August, then renovation, then move in.  Can we write an HO3 COC. May be vacant for &gt;60 days."/>
    <x v="0"/>
    <s v="If it gets near 60 days call us and we will evaluate a possible extension of time for the 60 day restriction not to apply. Advised an alarm system may help. Likely it will be a short time like 10 days. Insd has to be in home by 9/1."/>
    <m/>
    <m/>
    <s v="Patterson"/>
  </r>
  <r>
    <x v="103"/>
    <x v="0"/>
    <m/>
    <s v="Danielle"/>
    <s v="Email"/>
    <s v="Boyacigiller, Nakiye"/>
    <m/>
    <s v="DP3 Rental"/>
    <s v="Atherton"/>
    <s v="CA"/>
    <n v="2"/>
    <n v="2400000"/>
    <n v="4480000"/>
    <s v="TIV"/>
    <s v="1997 home w/ alarms, no losses, not in brush. "/>
    <x v="0"/>
    <s v="• Confirm square footage and Cov A.  The home is 640 square feet per several online sources._x000a_• Confirmation the dwelling is not rented to a business.  Online sources show Economic Recovery Systems - Credit counseling service at this address (online review references &quot;going in&quot; to the business)  _x000a_https://www.google.com/#q=economic+recovery+systems+atherton+ca&amp;spf=1495808581354_x000a_"/>
    <m/>
    <m/>
    <s v="Patterson"/>
  </r>
  <r>
    <x v="103"/>
    <x v="0"/>
    <m/>
    <s v="Danielle"/>
    <s v="Email"/>
    <s v="Baginski, Michael"/>
    <m/>
    <s v="HO3 Primary"/>
    <s v="Pacific Palisades"/>
    <s v="CA"/>
    <n v="1"/>
    <n v="160000"/>
    <n v="3080000"/>
    <s v="TIV"/>
    <s v="1977 home updated in 2010. Not in brush. Alarms."/>
    <x v="1"/>
    <m/>
    <m/>
    <m/>
    <s v="Patterson"/>
  </r>
  <r>
    <x v="103"/>
    <x v="0"/>
    <s v="MI"/>
    <s v="Danielle"/>
    <s v="Email"/>
    <s v="Lyons, Gregory"/>
    <m/>
    <s v="HO3 Primary"/>
    <s v="Denver"/>
    <s v="CO"/>
    <n v="2"/>
    <n v="386000"/>
    <n v="832700"/>
    <s v="Occupancy"/>
    <s v="Insured cares for 2 mentally challenged individuals. Has GL for the coml liability."/>
    <x v="0"/>
    <s v="No covg modification for the 2 individuals. Reasonable exposure, and policy allows for 2 boarders. Asked for opportunity to revise terms if insd is licensed for &gt;2. Advised agt of 3 businesses found online using this address. Also, Zillow lists Mother in law apt."/>
    <m/>
    <m/>
    <s v="Patterson"/>
  </r>
  <r>
    <x v="103"/>
    <x v="2"/>
    <m/>
    <s v="Alex"/>
    <s v="Call"/>
    <s v="Grove, Mark &amp; Heather"/>
    <m/>
    <s v="HO3 Primary"/>
    <s v="Penn Valley"/>
    <s v="CA"/>
    <m/>
    <n v="263000"/>
    <n v="474000"/>
    <s v="Chapter 13 "/>
    <s v="Insured had bankruptcy 4 years ago. Winemaker, Mrs is music director. Not in brush. Was with RPS for 5 years. Wants to bind today. "/>
    <x v="1"/>
    <s v="Insurance score look pretty good. Group 10. Online photo shows basic ranch."/>
    <m/>
    <m/>
    <s v="Patterson"/>
  </r>
  <r>
    <x v="104"/>
    <x v="7"/>
    <s v="VA"/>
    <s v="Charity"/>
    <s v="Email"/>
    <s v="Dudley, Gregory"/>
    <m/>
    <s v="HO3 Primary"/>
    <s v="Bumpass"/>
    <s v="VA"/>
    <n v="9"/>
    <n v="170000"/>
    <n v="289000"/>
    <s v="Response time"/>
    <s v="PC9 with 8-9 minute response time. 2004 home."/>
    <x v="1"/>
    <m/>
    <m/>
    <m/>
    <s v="Patterson"/>
  </r>
  <r>
    <x v="104"/>
    <x v="7"/>
    <s v="VA"/>
    <s v="Charity"/>
    <s v="Email"/>
    <s v="Harris, Joshua"/>
    <m/>
    <s v="HO3 Seasonal"/>
    <s v="Jamesville"/>
    <s v="VA"/>
    <n v="10"/>
    <n v="242000"/>
    <n v="411400"/>
    <s v="PC10"/>
    <s v="1980 home updated in 2010. Googled nearest FD. 11.7 mi w/21 min response. 14.2 mi w/23 min response. Both are volunteer."/>
    <x v="3"/>
    <s v="Advised if she gets different info on an unprotected questionnaire, let us know."/>
    <m/>
    <m/>
    <s v="Patterson"/>
  </r>
  <r>
    <x v="104"/>
    <x v="7"/>
    <s v="VA"/>
    <s v="Charity"/>
    <s v="Email"/>
    <s v="Jahns, Matthew"/>
    <m/>
    <s v="HO3 Primary"/>
    <s v="Virginia Beach"/>
    <s v="VA"/>
    <n v="5"/>
    <n v="316000"/>
    <n v="537200"/>
    <s v="Prior loss"/>
    <s v="2016 home. Insd had a  broken pipe loss 11/14 at another location. Would we surcharge?"/>
    <x v="1"/>
    <s v="Advised we need full details of loss. We have the right to pend. Sent a list of questions."/>
    <s v="Per responses, loss unavoidable by insured and immediately mitigated. Agreed to proceed with no surcharge"/>
    <m/>
    <s v="Patterson"/>
  </r>
  <r>
    <x v="104"/>
    <x v="7"/>
    <s v="VA"/>
    <s v="Charity"/>
    <s v="Email"/>
    <m/>
    <m/>
    <s v="DP3 Rental"/>
    <m/>
    <m/>
    <m/>
    <m/>
    <m/>
    <s v="Personal injury"/>
    <s v="Can they offer Personal Injury on a home that is not owner/primary."/>
    <x v="4"/>
    <s v="Advised we typically do not.  They should look to their primary."/>
    <m/>
    <m/>
    <s v="Patterson"/>
  </r>
  <r>
    <x v="104"/>
    <x v="7"/>
    <s v="VA"/>
    <s v="Garry"/>
    <s v="Email"/>
    <s v="Strauss, Shannon &amp; James"/>
    <m/>
    <s v="HO3 Primary"/>
    <s v="Virginia Beach"/>
    <s v="VA"/>
    <n v="5"/>
    <n v="790000"/>
    <n v="1370300"/>
    <s v="TIV"/>
    <s v="1994 home."/>
    <x v="1"/>
    <s v="Advised Garry their authority is $2M. I still reviewed and approved/"/>
    <m/>
    <m/>
    <s v="Patterson"/>
  </r>
  <r>
    <x v="104"/>
    <x v="7"/>
    <s v="VA"/>
    <s v="Charity"/>
    <s v="Email"/>
    <s v="Taylor, Peter &amp; Patricia"/>
    <m/>
    <s v="HO3 Seasonal"/>
    <s v="Austinville"/>
    <s v="VA"/>
    <n v="10"/>
    <n v="1000000"/>
    <n v="1600000"/>
    <s v="PC10"/>
    <s v="2005 home. Online search shows nearest FD is 10.2 miles away w/20 min drive time. It is a volunteer FD so actual response time will be higher."/>
    <x v="3"/>
    <s v="Advised if she gets different info on an unprotected questionnaire, let us know."/>
    <m/>
    <m/>
    <s v="Patterson"/>
  </r>
  <r>
    <x v="104"/>
    <x v="0"/>
    <s v="MI"/>
    <s v="Danielle"/>
    <s v="Email"/>
    <s v="Vanderwaal, Patrice"/>
    <m/>
    <s v="HO3 Primary"/>
    <s v="Maplewood"/>
    <s v="MN"/>
    <n v="5"/>
    <n v="228900"/>
    <n v="351680"/>
    <s v="Daycare in home"/>
    <s v="1957 home updated. In home daycare w/10 kids. Insd has GL. Reviewed online-no concerns found. Agent asking for $300K liab."/>
    <x v="0"/>
    <s v="Subj to excluding liab, unless GL is in place and stays in place with Markel."/>
    <m/>
    <m/>
    <s v="Patterson"/>
  </r>
  <r>
    <x v="104"/>
    <x v="2"/>
    <m/>
    <s v="Alex"/>
    <s v="Call"/>
    <m/>
    <m/>
    <s v="HO3 Builders Risk"/>
    <m/>
    <m/>
    <m/>
    <m/>
    <m/>
    <s v="Term extension"/>
    <s v="We wrote a COC that the insured intended to move into. Now they have decided to sell and move after construction. They need 1 month more to finish, policy expires in 1 week."/>
    <x v="0"/>
    <s v="Very good agent for Alex. Agreed to offer options of 3 month fully earned or 1 month w/15% surcharge on annualized premium."/>
    <m/>
    <m/>
    <s v="Patterson"/>
  </r>
  <r>
    <x v="105"/>
    <x v="2"/>
    <m/>
    <s v="Alison"/>
    <s v="Email"/>
    <s v="Westgate Funding LLC"/>
    <m/>
    <s v="DP3 Rental"/>
    <s v="Los Angeles "/>
    <s v="CA"/>
    <n v="5"/>
    <n v="2700000"/>
    <n v="3560000"/>
    <s v="TIV"/>
    <s v="New 2017 home rented 52 weeks. Not in brush. Alarms. "/>
    <x v="0"/>
    <s v="LLC form  "/>
    <m/>
    <m/>
    <s v="Patterson"/>
  </r>
  <r>
    <x v="105"/>
    <x v="0"/>
    <s v="MI"/>
    <s v="Alexa"/>
    <s v="Email"/>
    <s v="Rock Homes LLC"/>
    <m/>
    <s v="DP3 Vacant"/>
    <s v="Franklin"/>
    <s v="MI"/>
    <n v="6"/>
    <n v="3000000"/>
    <n v="3050000"/>
    <s v="TIV"/>
    <s v="2017 home new construction by builder. No alarms. 3/16/17 vandalism to security cameras while home was vacant/for sale. Current policy expires 6/1/17 - requesting 6 mo policy w/$1000 AOP."/>
    <x v="0"/>
    <s v="• Installation of monitored central station fire and burglar alarm system prior to binding_x000a_• Minimum $10,000 AOP deductible_x000a_• Surcharge premium additional 20% due to the circumstances of the risk – vacant high value home with recent vandalism claim_x000a_• Offer a 3 month policy with the option for one renewal if there are no claims or concerns during the initial 3 month term._x000a__x000a_"/>
    <m/>
    <m/>
    <s v="Patterson"/>
  </r>
  <r>
    <x v="105"/>
    <x v="1"/>
    <s v="PA"/>
    <s v="Nichole"/>
    <s v="Email"/>
    <s v="Fdurborow, F.Palmer &amp; Shirley"/>
    <m/>
    <s v="Manufactured Home COC"/>
    <s v="Oxford"/>
    <s v="PA"/>
    <m/>
    <n v="150000"/>
    <n v="150000"/>
    <s v="Manufactured home"/>
    <s v="Insured is removing a mobile home and replacing w/a manufactured home on a perm foundation. COC. Insd is the contractor."/>
    <x v="3"/>
    <s v="Gave suggestion to Nichole to make sure this is a manufactured and not modular home.  Won't qualify with us due to insd is the GC, but maybe she can find a market."/>
    <m/>
    <m/>
    <s v="Patterson"/>
  </r>
  <r>
    <x v="105"/>
    <x v="4"/>
    <s v="CO"/>
    <s v="Allison"/>
    <s v="Email"/>
    <s v="Hahn "/>
    <s v="Bonnie"/>
    <s v="HO3 Secondary"/>
    <s v="Livermore "/>
    <s v="CO"/>
    <n v="10"/>
    <n v="80000"/>
    <n v="92500"/>
    <s v="PC10"/>
    <s v="1986 home w/no plumbing except running water for sink. WBS for heat but pretty much decoration only as it is used 4-6 weeks/year.150' clearance. No online photos. Dirt roads but accessible year round."/>
    <x v="2"/>
    <s v="Get WBS as app states it is for heat.  Inspection determined this is inaccessible year round, brushy, and 60 min response time. Adjusted rate with 50% s/c vs. original 20%."/>
    <m/>
    <m/>
    <s v="Patterson"/>
  </r>
  <r>
    <x v="105"/>
    <x v="2"/>
    <m/>
    <s v="Alison"/>
    <s v="Call"/>
    <m/>
    <m/>
    <s v="DP3 Rental"/>
    <s v="Beverly Hills"/>
    <s v="CA"/>
    <m/>
    <n v="1750000"/>
    <m/>
    <s v="Prior losses"/>
    <s v="3 large water losses in 5 years $116K heavy rain/water damage; $402K Kitchen water damage; $587K unknown.  "/>
    <x v="4"/>
    <s v="Lots of loss, but always open to review. Agent getting details on losses, what mitigation have they done, same tenants? If all losses could have been excluded w/water damage exclusion, consider offering with that. Alison will send when she has the info."/>
    <m/>
    <m/>
    <s v="Patterson"/>
  </r>
  <r>
    <x v="105"/>
    <x v="4"/>
    <s v="CO"/>
    <s v="Allison"/>
    <s v="Email"/>
    <s v="Rutan, Richard MPLCO00001047"/>
    <m/>
    <s v="HO3 Primary"/>
    <s v="Lakewood"/>
    <s v="CO"/>
    <m/>
    <n v="336600"/>
    <m/>
    <s v="Renewal terms"/>
    <s v="A hail loss came in after renewal terms were offered. Can agent surcharge in 2018?"/>
    <x v="1"/>
    <s v="Decent risk, agent applied 5% rate adj s/c based on competition. Not a negligence loss."/>
    <m/>
    <m/>
    <s v="Patterson"/>
  </r>
  <r>
    <x v="105"/>
    <x v="0"/>
    <s v="MI"/>
    <s v="Delta"/>
    <s v="Email"/>
    <s v="Detroit Renovations LLC"/>
    <m/>
    <s v="DP3 Rental"/>
    <s v="Detroit"/>
    <s v="MI"/>
    <n v="3"/>
    <n v="200000"/>
    <n v="220000"/>
    <s v="Insured is HGTV star"/>
    <s v="Nichole Curtis - HGTV Rehab Addict. We had another referral in June 2016 from Jill for this insured. Research shows she has homes in avg-below avg Detroit neighborhoods. Articles I researched previously indicate Curtis has had issues with pulling proper permits. Negative info about the building process.  Along with her celebrity and being a builder, liability and building condition are a concern.  We will pass on any risks for this insured."/>
    <x v="3"/>
    <m/>
    <m/>
    <m/>
    <s v="Patterson"/>
  </r>
  <r>
    <x v="105"/>
    <x v="1"/>
    <s v="PA"/>
    <s v="MacKenzie"/>
    <s v="Email"/>
    <s v="Frank, David "/>
    <m/>
    <s v="HO3 Primary"/>
    <s v="Sea Isle City"/>
    <s v="NJ"/>
    <m/>
    <n v="434000"/>
    <m/>
    <s v="Rate relief for renewal"/>
    <s v="Home has been quoted with 1% named storm but changed to 2%. Agent is moving business. Can we honor the 1%?"/>
    <x v="3"/>
    <s v="Send AAL questionnaire.  If they return, plug into AAL rater.  Need to confirm with Jeff to make any exception to the 2% required ded.//Got info, ran thru rater/CQ. Current rate=$2,120 w/2% premium. We need $1460 for the non-wind and $8806 for the wind rate. Not going to make the exception."/>
    <m/>
    <m/>
    <s v="Patterson"/>
  </r>
  <r>
    <x v="105"/>
    <x v="1"/>
    <s v="PA"/>
    <s v="Tamika"/>
    <s v="Email"/>
    <s v="Balster, Estate of Joan"/>
    <m/>
    <s v="DP3 Vacant"/>
    <s v="Mormora"/>
    <s v="NJ"/>
    <m/>
    <m/>
    <m/>
    <s v="30 day policy"/>
    <s v="Nonrenewed 6/18/17 due to 2 years vacant. Insd needs 30 days additional to complete sale."/>
    <x v="1"/>
    <s v="20% s/c on pro-rated premium. 30 day fully earned."/>
    <m/>
    <m/>
    <s v="Patterson"/>
  </r>
  <r>
    <x v="105"/>
    <x v="1"/>
    <s v="PA"/>
    <s v="Nichole"/>
    <s v="Email"/>
    <s v="Delgrosso, Jay"/>
    <m/>
    <s v="DP3 Rental"/>
    <m/>
    <s v="CT"/>
    <m/>
    <m/>
    <m/>
    <s v="Earthquake"/>
    <s v="Agent wants to know if we can add EQ to this policy?  (Not part of program)"/>
    <x v="3"/>
    <s v="Not creating rates for 1. We can if there is a market. (Discussed w/Jeff)"/>
    <m/>
    <m/>
    <s v="Patterson"/>
  </r>
  <r>
    <x v="105"/>
    <x v="0"/>
    <s v="MI"/>
    <s v="Danielle"/>
    <s v="Email"/>
    <s v="Brewer, Robert"/>
    <m/>
    <s v="HO3 Primary"/>
    <s v="Nevada City"/>
    <s v="CA"/>
    <n v="9"/>
    <n v="1792000"/>
    <n v="3720600"/>
    <s v="TIV"/>
    <s v="1998 frame home with alarms, no losses. No online photos. Confirmed response time of 13 minutes."/>
    <x v="1"/>
    <s v="6/20-branch asked for 10% credit - declined as this is CA brush zone, PC9, 13 min response."/>
    <s v="Approved increase of coverage B to $674,190 for: detached garage, rv storage garage, tool garage; subject to all being personal usage"/>
    <m/>
    <s v="Patterson"/>
  </r>
  <r>
    <x v="106"/>
    <x v="2"/>
    <s v="CA"/>
    <s v="Bobbi"/>
    <s v="Email"/>
    <s v="Asselin, Shawn &amp; Tabrizi-Asselin"/>
    <m/>
    <s v="HO3/COC"/>
    <s v="Pasadena"/>
    <s v="CA"/>
    <m/>
    <n v="1050000"/>
    <n v="1205000"/>
    <s v="Personal Prop on COC"/>
    <s v="HUCAH150002440 already issued, want to add $50K personal property for items in garage on property"/>
    <x v="1"/>
    <s v="Ded OK, limit reasonable"/>
    <m/>
    <m/>
    <s v="Burdine"/>
  </r>
  <r>
    <x v="106"/>
    <x v="0"/>
    <s v="MI"/>
    <s v="Jill"/>
    <s v="Email"/>
    <s v="Smith, Ron"/>
    <m/>
    <s v="HO3/Primary"/>
    <s v="Forest Ranch"/>
    <s v="CA"/>
    <n v="9"/>
    <n v="1100000"/>
    <n v="1760000"/>
    <s v="PC 9"/>
    <s v="Renewal of BWH103523-10181197, PC 9, appropriate brush clearance, response time 3 minutes per inspection provided, accessible year round, primary occupied"/>
    <x v="1"/>
    <s v="Home now has alarms, no other changes since approval; inspection provided and in great condition"/>
    <m/>
    <m/>
    <s v="Burdine"/>
  </r>
  <r>
    <x v="106"/>
    <x v="4"/>
    <s v="CO"/>
    <s v="Allison"/>
    <s v="Email"/>
    <s v="Muniz, Renata"/>
    <m/>
    <s v="HO3/Primary"/>
    <s v="Clifton"/>
    <s v="CO"/>
    <n v="3"/>
    <n v="216700"/>
    <n v="455100"/>
    <s v="Claims History"/>
    <s v="1979 build year, 3 claims: 08/2014-water heater leak ($2K), 04/2015-son/friends playing with matches, lit mattress on fire. Didn't fully extinguish as thought, and damaged neighbors home at night ($7K); 03/2017-basement flooded ($13K); $300K liab, surcharge for loss, higher water ded"/>
    <x v="3"/>
    <s v="Even w/ x-liab, since child in home not comfortable offering terms. New insured relationship with customer/agency"/>
    <m/>
    <m/>
    <s v="Burdine"/>
  </r>
  <r>
    <x v="106"/>
    <x v="4"/>
    <s v="CO"/>
    <s v="Allison"/>
    <s v="Email"/>
    <s v="Fairbanks, Mary"/>
    <m/>
    <s v="HO3/Secondary"/>
    <s v="Boulder"/>
    <s v="CO"/>
    <n v="10"/>
    <n v="106000"/>
    <n v="147000"/>
    <s v="TIV/accessibility"/>
    <s v="Written on pol MPLCO00001138, but delays in inspection as wasn't disclosed home is inaccessible from october-april. Log home, 1934 build date, in brush, 5 min response time in summer"/>
    <x v="3"/>
    <s v="Info not originally disclosed, home is in need of renovations, inspection confirmed in area prone to wildfires, older home, advised to cancel when able"/>
    <m/>
    <m/>
    <s v="Burdine"/>
  </r>
  <r>
    <x v="106"/>
    <x v="0"/>
    <s v="MI"/>
    <s v="Leslie"/>
    <s v="Email"/>
    <s v="Howard, Bobbi"/>
    <m/>
    <s v="HO3/Primary"/>
    <s v="Indianapolis"/>
    <s v="IN"/>
    <n v="3"/>
    <n v="133000"/>
    <n v="212000"/>
    <s v="Business in Home"/>
    <s v="insured operates a printing business out of. The insured has no employees, GL is in place, printing is outsourced and very little foot traffic.  Built in 1964"/>
    <x v="0"/>
    <s v="reviewed online sources, ok with business exposure. Sub to updates and total business exclusion"/>
    <m/>
    <m/>
    <s v="Burdine"/>
  </r>
  <r>
    <x v="107"/>
    <x v="0"/>
    <s v="MI"/>
    <s v="Danielle"/>
    <s v="Email"/>
    <s v="DHEERAJ VERMA"/>
    <m/>
    <s v="Builders Risk"/>
    <m/>
    <s v="TX"/>
    <m/>
    <n v="5000000"/>
    <n v="5000000"/>
    <s v="TIV"/>
    <s v="5% completed, expected completion Jan 2019, no alarms, no lights, no gated community, 5 acres"/>
    <x v="3"/>
    <s v="Declined based on stage of build and expected completion date (which likely will be pushed back)combined with max TIV for Coverage A only, declined"/>
    <m/>
    <m/>
    <s v="Burdine"/>
  </r>
  <r>
    <x v="108"/>
    <x v="5"/>
    <m/>
    <s v="Anella"/>
    <s v="Email"/>
    <s v="Post, Robert"/>
    <m/>
    <s v="HO3 Primary"/>
    <m/>
    <m/>
    <m/>
    <m/>
    <m/>
    <s v="Balusters"/>
    <s v="Are horizontal balusters okay? Photo shows what appears to be no more than 4&quot; apart."/>
    <x v="1"/>
    <m/>
    <m/>
    <m/>
    <s v="Patterson"/>
  </r>
  <r>
    <x v="108"/>
    <x v="0"/>
    <s v="MI"/>
    <s v="Leslie"/>
    <s v="Email"/>
    <s v="BBH Mountain Properties LLC"/>
    <m/>
    <s v="HO3 Primary w/Rental"/>
    <s v="Blue River"/>
    <s v="CO"/>
    <n v="9"/>
    <n v="870000"/>
    <n v="1170000"/>
    <s v="Unknown (?)"/>
    <s v="Reviewed risk. Asked Leslie to let me know if I missed something, but this did not appear to be over her authority. 1972 risk w/FRC. PC9 since no hydrant. Quoting subj to older home quest. Confirming updates and getting LLC quest."/>
    <x v="1"/>
    <m/>
    <m/>
    <m/>
    <s v="Patterson"/>
  </r>
  <r>
    <x v="108"/>
    <x v="6"/>
    <m/>
    <s v="Lisa"/>
    <s v="Email"/>
    <s v="Nikravesh, Michael"/>
    <m/>
    <s v="HO3 Seasonal/Rental"/>
    <s v="Big Bear"/>
    <s v="CA"/>
    <n v="3"/>
    <n v="564000"/>
    <n v="784000"/>
    <s v="Additional interest"/>
    <s v="1992 home. Big Bear Water District as AI ok. Agt quoted as PC3. Looks like it may be a 10."/>
    <x v="2"/>
    <s v="Need PC quest to verify PC. No PPC hit at address. RM shows station is 11-12 mi away.  6/6-clearly a PC3. Approved."/>
    <m/>
    <m/>
    <s v="Patterson"/>
  </r>
  <r>
    <x v="109"/>
    <x v="1"/>
    <s v="PA"/>
    <s v="Tamika"/>
    <s v="Email"/>
    <s v="Total Holdings LLC"/>
    <m/>
    <s v="DP3 Rental"/>
    <s v="Glassboro"/>
    <s v="NJ"/>
    <m/>
    <n v="250000"/>
    <n v="300000"/>
    <s v="Occupancy"/>
    <s v="2017 home insured rents to 4 grad students of Rowan university.  Built in 2017. Online pic shows prev home on the lot."/>
    <x v="0"/>
    <s v="• Confirm there is a vetting process in place to screen the students (such as background check, deposit)_x000a_• Confirm there is some limitation in place to the number of visitors (to avoid big parties on the private off campus property)_x000a_• Acceptable LLC form_x000a_• Add a generous surcharge for the increased liability and physical damage exposure_x000a_"/>
    <m/>
    <m/>
    <s v="Patterson"/>
  </r>
  <r>
    <x v="109"/>
    <x v="4"/>
    <s v="CO"/>
    <s v="Allison"/>
    <s v="Email"/>
    <s v="Paul Loughridge III"/>
    <m/>
    <s v="DP3 Vacant"/>
    <s v="Payson"/>
    <s v="AZ"/>
    <n v="4"/>
    <n v="273000"/>
    <n v="458000"/>
    <s v="Cov B"/>
    <s v="Cov B exceeds 50% of Cov A.  2 guest houses, 2 sheds. Agent wants VMM, no alarms. Inspection provided looks okay."/>
    <x v="0"/>
    <s v="Review neighborhood and make sure buildings are locked and VMM could be offered."/>
    <m/>
    <m/>
    <s v="Patterson"/>
  </r>
  <r>
    <x v="109"/>
    <x v="2"/>
    <m/>
    <s v="Bobbi"/>
    <s v="Email"/>
    <s v="Gianelli, Robert &amp; Helene"/>
    <m/>
    <s v="HO3 Primary"/>
    <s v="Los Angeles"/>
    <s v="CA"/>
    <m/>
    <n v="1650000"/>
    <n v="3000000"/>
    <s v="TIV"/>
    <s v="1993 home w/ alarms. Lex renewal. We are competitive."/>
    <x v="0"/>
    <s v="Debit the rate."/>
    <m/>
    <m/>
    <s v="Patterson"/>
  </r>
  <r>
    <x v="109"/>
    <x v="2"/>
    <m/>
    <s v="Alison"/>
    <s v="Email"/>
    <s v="Alder, Shannon"/>
    <m/>
    <s v="HO3 Primary"/>
    <s v="Shingle Springs"/>
    <s v="CA"/>
    <m/>
    <n v="220000"/>
    <n v="384000"/>
    <s v="Construction"/>
    <s v="2004 home.  2nd floor is either modular or manufactured/mobile. No evidence of it being man/mob.  Appears to be modular. It would be very unusual to crane lift a mobile home to a 2nd floor of a home like this.  Condition of home in online photos in and out looks very nice. Considering it modular."/>
    <x v="0"/>
    <s v="Confirm w/inspection that it is modular."/>
    <m/>
    <m/>
    <s v="Patterson"/>
  </r>
  <r>
    <x v="109"/>
    <x v="2"/>
    <m/>
    <s v="Alex"/>
    <s v="Email"/>
    <s v="Ullrich, Jeffrey &amp; Darlene"/>
    <m/>
    <s v="HO3 Primary"/>
    <s v="Studio City"/>
    <s v="CA"/>
    <n v="1"/>
    <n v="2331000"/>
    <n v="4195800"/>
    <s v="Prior loss"/>
    <s v="Home completely gutted and redone in 2015. Prior owner had a $300K+ water loss.  All systems replaced. No charge for prior loss.  Amazing online photos. Looks like a great home. Alarms will be activated when purchase is complete."/>
    <x v="1"/>
    <m/>
    <m/>
    <m/>
    <s v="Patterson"/>
  </r>
  <r>
    <x v="109"/>
    <x v="4"/>
    <s v="CO"/>
    <s v="Allison"/>
    <s v="Email"/>
    <s v="Graham, Richard"/>
    <m/>
    <s v="HO3 Seasonal"/>
    <s v="Colorado Springs CO  PC10"/>
    <s v="CO"/>
    <n v="10"/>
    <n v="440000"/>
    <n v="660000"/>
    <s v="Not accessible yr round"/>
    <s v="2003 log home seasonal. Road is dirt and not maintained in the winter. 20 min response time otherwise. Photos look good. FireLine is High 4 with light/med fuels and no access problems. Woodstove in pics looks close and no wall protection but can't see clearly."/>
    <x v="0"/>
    <s v="Approved subject to acceptable WBS quest."/>
    <m/>
    <m/>
    <s v="Patterson"/>
  </r>
  <r>
    <x v="109"/>
    <x v="2"/>
    <m/>
    <s v="Alex"/>
    <s v="Call"/>
    <s v="Lane, Michael &amp; Connie"/>
    <m/>
    <s v="HO3 Secondary/Rental"/>
    <m/>
    <m/>
    <m/>
    <m/>
    <m/>
    <s v="Rental barn"/>
    <s v="Insured has a 1600' barn which is rented to their caretaker who oversees seasonal property for reduced rent. "/>
    <x v="0"/>
    <s v="Agent will rate as 2 family, str rented to others, secondary 20+ rental rate."/>
    <m/>
    <m/>
    <s v="Patterson"/>
  </r>
  <r>
    <x v="109"/>
    <x v="4"/>
    <s v="CO"/>
    <s v="Allison"/>
    <s v="Email"/>
    <s v="VonDreele, Jim"/>
    <m/>
    <s v="DP3 Other Structure"/>
    <m/>
    <m/>
    <m/>
    <n v="75000"/>
    <m/>
    <s v="Other structure only"/>
    <s v="2000 barn w/ office. Insuring just the barn and liability Insd will be living on the property with their motor home. 22 acres. Fenced, gated driveway. Agent charging $1500 min prem."/>
    <x v="1"/>
    <m/>
    <m/>
    <m/>
    <s v="Patterson"/>
  </r>
  <r>
    <x v="109"/>
    <x v="2"/>
    <m/>
    <s v="Alison"/>
    <s v="Email"/>
    <s v="Medley, Penot &amp; Jennifer"/>
    <m/>
    <s v="HO3 Primary"/>
    <s v="Ojai"/>
    <s v="CA"/>
    <n v="4"/>
    <n v="1600000"/>
    <n v="3460000"/>
    <s v="TIV"/>
    <s v="1898 home gutted remodeled in 2013. 3 cottages. No alarms. Not in brush. PC4. Gated."/>
    <x v="0"/>
    <s v="Need alarms or 10K ded. If burglar only, $5K ded since it is gated, primary, not in brush. Confirm no rental."/>
    <m/>
    <m/>
    <s v="Patterson"/>
  </r>
  <r>
    <x v="110"/>
    <x v="8"/>
    <m/>
    <s v="Brittney"/>
    <s v="Email"/>
    <s v="Sheubrooks, Richard &amp; Muriel"/>
    <m/>
    <s v="HO3 Builders Risk"/>
    <m/>
    <m/>
    <m/>
    <m/>
    <m/>
    <s v="2 month extension"/>
    <s v="NCRUA014304 construction will be done 2 months after expiration, needs extension. "/>
    <x v="0"/>
    <s v="Profitable and good account.Pro-rate renewal prem +10%. 100% earned."/>
    <m/>
    <m/>
    <s v="Patterson"/>
  </r>
  <r>
    <x v="110"/>
    <x v="0"/>
    <s v="MI"/>
    <s v="Delta"/>
    <s v="Email"/>
    <s v="Martin, Nicholas"/>
    <m/>
    <s v="HO3 Primary"/>
    <s v="Pearland "/>
    <s v="TX"/>
    <n v="2"/>
    <n v="750000"/>
    <n v="1462500"/>
    <s v="High profile"/>
    <s v="2009 home w/full alarms in TX. Insured is a football player for Houston Texans NFL. No negative information online."/>
    <x v="1"/>
    <m/>
    <m/>
    <m/>
    <s v="Patterson"/>
  </r>
  <r>
    <x v="110"/>
    <x v="0"/>
    <s v="MI"/>
    <s v="Leslie"/>
    <s v="Email"/>
    <s v="WPW LLC"/>
    <m/>
    <s v="DP1 Rental"/>
    <s v="Bloomington"/>
    <s v="IN"/>
    <m/>
    <n v="200000"/>
    <n v="210000"/>
    <s v="Business on premise"/>
    <s v="Rental home that shares driveway with commercial building also owned by the insured. No oth str; no liab; agt to add Total Business Exclusion. Photos included look okay. Agt to verify updates as there is a discrepancy."/>
    <x v="1"/>
    <s v="Agt advised actually DP3, not DP1. Advised still OK to offer terms"/>
    <m/>
    <m/>
    <s v="Patterson"/>
  </r>
  <r>
    <x v="110"/>
    <x v="0"/>
    <s v="MI"/>
    <s v="Alexa"/>
    <s v="Email"/>
    <s v="Quiles, Emily &amp; Eric"/>
    <m/>
    <s v="HO3 Primary"/>
    <s v="Manhattan "/>
    <s v="KS"/>
    <s v=" "/>
    <n v="235000"/>
    <m/>
    <s v="Piano lessons in home"/>
    <s v="1972 home w/updates. Insured has piano lessons in home 50-80 clients/month. $500K liab. GL in place."/>
    <x v="1"/>
    <m/>
    <s v="Fits criteria per review of guidelines."/>
    <m/>
    <s v="Patterson"/>
  </r>
  <r>
    <x v="106"/>
    <x v="2"/>
    <s v="CA"/>
    <s v="Alex"/>
    <s v="Email"/>
    <s v="Peck, Zachary"/>
    <m/>
    <s v="HO3 Primary"/>
    <s v="Los Angeles"/>
    <s v="CA"/>
    <n v="2"/>
    <n v="750000"/>
    <m/>
    <s v="High profile"/>
    <s v="Grandson of Gregory Peck and son of Cheryl Tiegs (actors)"/>
    <x v="1"/>
    <s v="Reviewed internet, neither parent/grandparent still in lime light. Son is not in limelight"/>
    <m/>
    <m/>
    <s v="Burdine"/>
  </r>
  <r>
    <x v="110"/>
    <x v="3"/>
    <s v="KY"/>
    <s v="Janet"/>
    <s v="Email"/>
    <s v="Bullard, Sharon"/>
    <m/>
    <s v="HO3 Primary"/>
    <s v="Gulf Port"/>
    <s v="MS"/>
    <n v="3"/>
    <n v="113000"/>
    <n v="173000"/>
    <s v="Lapse"/>
    <s v="Client purchased year ago, paid cash, no insurance since"/>
    <x v="3"/>
    <s v="Declined due to length of time, reason for lapse"/>
    <s v="Ran credit, decent (mid 600s), but 2011 bankruptcy (now discharged). Not comfortable with sudden desire for insurance"/>
    <m/>
    <s v="Burdine"/>
  </r>
  <r>
    <x v="110"/>
    <x v="0"/>
    <s v="CA"/>
    <s v="Danielle"/>
    <s v="Email"/>
    <s v="O'Fallon, Melissa"/>
    <m/>
    <s v="HO3 Primary"/>
    <s v="Winthrop"/>
    <s v="MN"/>
    <m/>
    <n v="120000"/>
    <n v="204000"/>
    <s v="Daycare in home"/>
    <s v="Licensed for 12 kids, usually has 6-8 (1 overnight), CGL in place; Home was built in 1948 and updated in 2017 of frame construction.  PC6 with no alarms and no losses"/>
    <x v="0"/>
    <s v="Approved subject to not offering day care program since &gt;5 kids, total business exclusion (w/discussion of limitations), and x-liability, and maintenance of CGL pol"/>
    <m/>
    <m/>
    <s v="Burdine"/>
  </r>
  <r>
    <x v="111"/>
    <x v="7"/>
    <s v="VA"/>
    <s v="Charity"/>
    <s v="Email"/>
    <s v="Moses, Douglas &amp; Tina"/>
    <m/>
    <s v="HO3 Primary"/>
    <s v="Virginia Beach"/>
    <s v="VA"/>
    <m/>
    <n v="460000"/>
    <n v="782000"/>
    <s v="Claim History"/>
    <s v="3 prior claims: 12/2015: Lost ring ($3K), theft of bike on vacay ($3K), Liab ($83K)-Dog was excited to see a neighbor, jumped on him. Elderly, broke hip "/>
    <x v="0"/>
    <s v="Subject to $2500 AOP ded, animal liab excluded, and 15-20% surcharge (as quoted)"/>
    <m/>
    <m/>
    <s v="Burdine"/>
  </r>
  <r>
    <x v="111"/>
    <x v="0"/>
    <s v="MI"/>
    <s v="Jill"/>
    <s v="Email"/>
    <s v="JAMES NICHOLAS &amp; DAVID LYSINGE"/>
    <m/>
    <s v="HO3/Secondary"/>
    <s v="Santa Ysabel"/>
    <s v="CA"/>
    <n v="10"/>
    <n v="1000000"/>
    <n v="1700000"/>
    <s v="PC"/>
    <s v="2008 build year, secondary, per PC questionnaire water tank on premise, and 15 minute response time (road partially unpaved but still accessible), in brush,  AOP is $5K"/>
    <x v="0"/>
    <s v="subject to appropriate brush clearance/surcharge; also home on 100 acres so need to be sure response time accounts for that. If doesn't, needs to let us know for reconsideration."/>
    <m/>
    <m/>
    <s v="Burdine"/>
  </r>
  <r>
    <x v="112"/>
    <x v="1"/>
    <m/>
    <s v="Andrea"/>
    <s v="Email"/>
    <s v="Digiovanni, Gerard &amp; Audrey"/>
    <m/>
    <s v="DP3 Rental"/>
    <s v="West Dennis"/>
    <s v="MA"/>
    <m/>
    <n v="160000"/>
    <n v="180000"/>
    <s v="2 units"/>
    <s v="Policy written as DP3 w/2 units added together under Cov A. Appears unit 1 is seasonal w/rental and unit 2 is rental."/>
    <x v="0"/>
    <s v="Advised agt to write as HO3 w/ rental and add Cov B for 2nd unit. Rate as 2 family. If both are rental, no seasonal, DP3 w/Cov A unit 1, Cov B unit 2. Rate as 2 family."/>
    <m/>
    <m/>
    <s v="Patterson"/>
  </r>
  <r>
    <x v="112"/>
    <x v="2"/>
    <m/>
    <s v="Melissa"/>
    <s v="Email"/>
    <s v="Alford, Joseph &amp; Dawn"/>
    <m/>
    <s v="HO3 Primary"/>
    <m/>
    <m/>
    <m/>
    <m/>
    <m/>
    <s v="Renewal lapse"/>
    <s v="Issue with agents mail delivery. Pol renewed 5/31. Insd mailed payment 5/24. "/>
    <x v="0"/>
    <s v="Ok w/ signed no loss letter."/>
    <m/>
    <m/>
    <s v="Patterson"/>
  </r>
  <r>
    <x v="112"/>
    <x v="7"/>
    <s v="VA"/>
    <s v="Charity"/>
    <s v="Email"/>
    <s v="Butler, Kiemoni"/>
    <m/>
    <s v="HO3 EVN2160000283"/>
    <m/>
    <m/>
    <m/>
    <m/>
    <m/>
    <s v="Renewal lapse"/>
    <s v="Agency mis-typed eff date as 6/8, should have been 6/3."/>
    <x v="1"/>
    <s v="No signed no loss letter required since agency error."/>
    <m/>
    <m/>
    <s v="Patterson"/>
  </r>
  <r>
    <x v="112"/>
    <x v="0"/>
    <s v="MI"/>
    <s v="Delta"/>
    <s v="Email"/>
    <s v="DelRosario, Eleano"/>
    <m/>
    <s v="HO3 Primary"/>
    <s v="Laguna Hills"/>
    <s v="CA"/>
    <n v="3"/>
    <n v="2487000"/>
    <n v="4476600"/>
    <s v="TIV"/>
    <s v="1981 home w/ no updates, tile roof. Full alarms. No losses. App says canc/decl/nrn in last 3 years. Agents says not non-renewed."/>
    <x v="0"/>
    <s v="Verify no prior decline/cancel/nrn"/>
    <m/>
    <m/>
    <s v="Patterson"/>
  </r>
  <r>
    <x v="112"/>
    <x v="0"/>
    <s v="MI"/>
    <s v="Delta"/>
    <s v="Email"/>
    <s v="Leineke, Joel"/>
    <m/>
    <s v="HO3 Builders Risk"/>
    <s v="Bucks Lake"/>
    <s v="CA"/>
    <n v="10"/>
    <n v="950000"/>
    <n v="950000"/>
    <s v="Not accessible year round"/>
    <s v="New build so that is probably why RM won't pull. Ran neighboring property and it is in brush. Not accessible year round. PC10 w/15 min response."/>
    <x v="3"/>
    <s v="Additionally, prior cancel/nrn = yes on app. (not addressed w/agent)"/>
    <m/>
    <m/>
    <s v="Patterson"/>
  </r>
  <r>
    <x v="112"/>
    <x v="0"/>
    <s v="MI"/>
    <s v="Danielle"/>
    <s v="Email"/>
    <s v="Rosenthal, James E"/>
    <m/>
    <s v="HO3 Primary"/>
    <s v="Dayton"/>
    <s v="OH"/>
    <n v="3"/>
    <n v="185000"/>
    <n v="370000"/>
    <s v="Business on premise"/>
    <s v="1904 home updated. Insd operates Martial Arts studio in other structure. Coml policy in place. Online info re business ok. Looks like walkway goes along home to the back."/>
    <x v="0"/>
    <s v="Total business exclusion, exclude other structure."/>
    <m/>
    <m/>
    <s v="Patterson"/>
  </r>
  <r>
    <x v="112"/>
    <x v="0"/>
    <s v="MI"/>
    <s v="Danielle"/>
    <s v="Email"/>
    <s v="RJS Aspen LLC"/>
    <m/>
    <s v="DP3 Builders Risk"/>
    <s v="Aspen "/>
    <s v="CO"/>
    <m/>
    <n v="4600000"/>
    <n v="4650000"/>
    <s v="TIV"/>
    <s v="1987 home new purchase. Prev updated in 1994. Cosmetic renovations now and home will be sold. Pending Corp/LLC quest."/>
    <x v="0"/>
    <s v="Corp LLC Form"/>
    <m/>
    <m/>
    <s v="Patterson"/>
  </r>
  <r>
    <x v="112"/>
    <x v="0"/>
    <s v="MI"/>
    <s v="Leslie"/>
    <s v="Email"/>
    <s v="Cacdac, Ricardo"/>
    <m/>
    <s v="DP3 Rental"/>
    <s v="Rancho Mirage"/>
    <s v="CA"/>
    <n v="3"/>
    <n v="1800000"/>
    <n v="1990000"/>
    <s v="TIV"/>
    <s v="2002 home, insured just moved out to new home, this will be rented. Nice online photos."/>
    <x v="1"/>
    <m/>
    <m/>
    <m/>
    <s v="Patterson"/>
  </r>
  <r>
    <x v="113"/>
    <x v="0"/>
    <s v="MI"/>
    <s v="Jill"/>
    <s v="Email"/>
    <s v="Trembush, Peter BWH103298"/>
    <m/>
    <s v="HO3 Seasonal"/>
    <s v="Keene"/>
    <s v="CA"/>
    <n v="9"/>
    <n v="325904"/>
    <n v="490000"/>
    <s v="Response time"/>
    <s v="This renewal is being referred for response time of 25 minutes. This was discovered at inspection, but was not referred to Markel at that time.  Insd is a firefighter. Home looks like manufactured. Found 3 websites that list it as mobile/manufactured."/>
    <x v="3"/>
    <s v="Advised to check further and if this is a modular (not mobile/manufactured), since we've been on for a year, lower value, insd is a firefighter, would allow the exception. Need good proof this is modular. Advised manuf. on a foundation is not modular."/>
    <m/>
    <m/>
    <s v="Patterson"/>
  </r>
  <r>
    <x v="113"/>
    <x v="2"/>
    <m/>
    <s v="Alex"/>
    <s v="Call"/>
    <s v="Hotchkiss"/>
    <m/>
    <s v="HO3 Builders Risk"/>
    <m/>
    <m/>
    <m/>
    <n v="3000000"/>
    <m/>
    <s v="3rd COC renewal"/>
    <s v="Insured has been w/Zurich for 2 years w/a builders risk.  There was an issue with excavating massive blocks of lava rock from the property.  No GC or funding issues. Just major excavation project.  The insured is just now getting underway with construction and Zurich is pulling the plug. Expect to be done in 9-12 months. Prem will be set competitively."/>
    <x v="1"/>
    <m/>
    <m/>
    <m/>
    <s v="Patterson"/>
  </r>
  <r>
    <x v="113"/>
    <x v="6"/>
    <m/>
    <s v="Lisa"/>
    <s v="Call/Email"/>
    <s v="Tribolet, John &amp; Gina"/>
    <m/>
    <s v="HO3 Builders Risk"/>
    <s v="Kentfield"/>
    <s v="CA"/>
    <n v="1"/>
    <n v="2900000"/>
    <n v="2900000"/>
    <s v="Tail end construction"/>
    <s v="2016 home coming up for renewal, &quot;contract department&quot; not renewing. Insd needs 6 month pol to complete reno to interior plus the pool."/>
    <x v="2"/>
    <s v="Offered with /10% s/c and pool exclusion.  6/14 A+ found $246,452 water loss 1 1/2 years ago at another location. Terms are on hold.  6/15-discussed w/Jeff. We agreed to approve w/a surcharge for the loss."/>
    <s v="Gave approval for extension; issuing 3 month term. K.Burdine"/>
    <m/>
    <s v="Patterson"/>
  </r>
  <r>
    <x v="114"/>
    <x v="2"/>
    <m/>
    <s v="Alex"/>
    <s v="Email"/>
    <s v="Kharbouch, Karim "/>
    <m/>
    <s v="HO3 Primary"/>
    <s v="Calabasas"/>
    <s v="CA"/>
    <n v="2"/>
    <n v="2500000"/>
    <n v="4250000"/>
    <s v="High profile"/>
    <s v="Insured is recording artist French Montana.  Gated/guarded community w/ alarms. Agent suggesting okay with no liability."/>
    <x v="0"/>
    <s v="No liability; verify insur interest of AI noted on app."/>
    <m/>
    <m/>
    <s v="Patterson"/>
  </r>
  <r>
    <x v="114"/>
    <x v="0"/>
    <s v="MI"/>
    <s v="Jill"/>
    <s v="Email"/>
    <s v="Cover, Jean &amp; Suzanne"/>
    <m/>
    <s v="DP3 Rental"/>
    <s v="Grass Valley"/>
    <s v="CA"/>
    <n v="9"/>
    <n v="216800"/>
    <n v="242800"/>
    <s v="Response time"/>
    <s v="1974 home updated in 2010. In brush. 18 min response time. Visible to neighbors. Paid department. Pond on prem accessible to FD."/>
    <x v="0"/>
    <s v="Lower value, paid department, visible, brush cleared. 10% addl s/c.  Need WBS quest if there is one (photo appears to show a pipe)"/>
    <m/>
    <m/>
    <s v="Patterson"/>
  </r>
  <r>
    <x v="114"/>
    <x v="9"/>
    <s v="MA"/>
    <s v="Sean"/>
    <s v="Email"/>
    <s v="Creative Development Assoc LLP"/>
    <m/>
    <s v="DP3 Rental"/>
    <s v="Kingston "/>
    <s v="MA"/>
    <m/>
    <n v="1461000"/>
    <n v="1461000"/>
    <s v="Prior loss"/>
    <s v="1/2016 $200K pipe burst. Home was vacant at the time. Found when insd checked on it. 1999 home will now be tenant occupied."/>
    <x v="0"/>
    <s v="Additional surcharge for size of loss. (1999 home w/ plumbing loss seems to be a fluke). Also want completed app (uw questions); completed Corp/LLC form."/>
    <m/>
    <m/>
    <s v="Patterson"/>
  </r>
  <r>
    <x v="115"/>
    <x v="0"/>
    <s v="MI"/>
    <s v="Jill"/>
    <s v="Email"/>
    <s v="Pina, Luis &amp; Virginia"/>
    <m/>
    <s v="HO3 Primary"/>
    <s v="Alpine"/>
    <s v="CA"/>
    <n v="10"/>
    <n v="835000"/>
    <n v="1586500"/>
    <s v="PC10"/>
    <s v="2008 home w/tile roof in brush. 12 min response time 7.6 mi to paid fire department. "/>
    <x v="1"/>
    <m/>
    <m/>
    <m/>
    <s v="Patterson"/>
  </r>
  <r>
    <x v="115"/>
    <x v="2"/>
    <m/>
    <s v="Melissa"/>
    <s v="Email"/>
    <s v="Rich, Ed"/>
    <m/>
    <s v="HO3 Seasonal"/>
    <s v="Westlake Village"/>
    <s v="CA"/>
    <m/>
    <n v="473013"/>
    <n v="675000"/>
    <s v="Manufactured home"/>
    <s v="1975 home that agent is unsure if it is mobile/manuf or modular. All evidence points to mobile/manuf."/>
    <x v="3"/>
    <m/>
    <m/>
    <m/>
    <s v="Patterson"/>
  </r>
  <r>
    <x v="115"/>
    <x v="7"/>
    <s v="VA"/>
    <s v="Charity"/>
    <s v="Email"/>
    <s v="France, Kay"/>
    <m/>
    <s v="HO3 Primary"/>
    <s v="Virginia Beach"/>
    <s v="VA"/>
    <n v="10"/>
    <n v="170000"/>
    <n v="289000"/>
    <s v="PC10"/>
    <s v="1945 home w/all systems updated. Roof in 2015. "/>
    <x v="2"/>
    <s v="name/address of responding fire station, paid or volunteer, response time, all paved roads?  (Online photos show the home is visible to neighbors.)  6/15 Volunteer FD 5 min 1.7 mi paved."/>
    <m/>
    <m/>
    <s v="Patterson"/>
  </r>
  <r>
    <x v="115"/>
    <x v="2"/>
    <m/>
    <s v="Alex"/>
    <s v="Email"/>
    <s v="Diehl, Jack"/>
    <m/>
    <s v="HO3 Builders Risk"/>
    <s v=" "/>
    <s v="CA"/>
    <m/>
    <n v="600000"/>
    <m/>
    <s v="Insured may be GC"/>
    <s v="Agent reports that insured says they are the &quot;owner/builder&quot;. However, they have hired a contractor to manage the construction project.  He is pulling permits and hiring subs. Isn't this a GC."/>
    <x v="0"/>
    <s v="Verify if there is anything in the contract between insd and the contractor that relieves the contractor of responsibility for subs and subrogation.  If not, we should be okay."/>
    <m/>
    <m/>
    <s v="Patterson"/>
  </r>
  <r>
    <x v="115"/>
    <x v="0"/>
    <s v="MI"/>
    <s v="Danielle"/>
    <s v="Email"/>
    <s v="Huff, Gary &amp; Ava"/>
    <m/>
    <s v="HO3 Primary"/>
    <s v="Modesto"/>
    <s v="CA"/>
    <n v="4"/>
    <n v="1600000"/>
    <n v="3200000"/>
    <s v="Prior loss"/>
    <s v="2017 home with alarms. 4/26/16 insd son had 3 passengers on golf cart. Female fell off and fractured skull. Open loss. Insured still has the golf cart per app. Assume son still in hh-nothing to contrary stated."/>
    <x v="0"/>
    <s v="Approved excluding liability.  Insured business Huff Construction at a different location per internet search."/>
    <s v="Discussed w/Kirsten at length. Even if golf cart was gone, son is still there."/>
    <m/>
    <s v="Patterson"/>
  </r>
  <r>
    <x v="115"/>
    <x v="0"/>
    <s v="MI"/>
    <s v="Danielle"/>
    <s v="Email"/>
    <s v="Jeffery, Kirstin"/>
    <m/>
    <s v="HO3 Primary"/>
    <s v="La Jolla"/>
    <s v="CA"/>
    <n v="2"/>
    <n v="1706600"/>
    <n v="3071880"/>
    <s v="Prior losses"/>
    <s v="1928 home: fully updated in 1996; 2006 (partial elec, plumbing, heating). Roof updated in 2016 with wood shingle.  1/16 water loss-roof leak $20K. 5/16 broken pipe $5K.  Not in a brush zone per RM. $5K water ded applied."/>
    <x v="1"/>
    <m/>
    <m/>
    <m/>
    <s v="Patterson"/>
  </r>
  <r>
    <x v="115"/>
    <x v="0"/>
    <s v="MI"/>
    <s v="Danielle"/>
    <s v="Email"/>
    <s v="Crevoiserat, Jeffrey"/>
    <m/>
    <s v="DP3 Rental"/>
    <s v="Encino "/>
    <s v="CA"/>
    <n v="3"/>
    <n v="1900000"/>
    <s v=" "/>
    <s v="TIV"/>
    <s v="2016 frame home tenant occupied. $5K AOP; $10K VMM ded."/>
    <x v="2"/>
    <s v="6/26/17 terms revised from $2,940,000 TIV to $2,390,000. Approve."/>
    <m/>
    <m/>
    <s v="Patterson"/>
  </r>
  <r>
    <x v="115"/>
    <x v="8"/>
    <m/>
    <s v="Brittney"/>
    <s v="Email"/>
    <s v="Nesbitt, Jeremy &amp; Kara"/>
    <m/>
    <s v="HO3 Primary"/>
    <s v="Georgetown "/>
    <s v="SC"/>
    <n v="9"/>
    <m/>
    <m/>
    <s v="Change PC?"/>
    <s v="Letters included asking for change from PC9 to 4."/>
    <x v="4"/>
    <s v="Additional info needed."/>
    <m/>
    <m/>
    <s v="Patterson"/>
  </r>
  <r>
    <x v="115"/>
    <x v="2"/>
    <m/>
    <s v="Alex"/>
    <s v="Email"/>
    <s v="Barlow, Tim"/>
    <m/>
    <s v="HO3 Primary"/>
    <s v="Carlsbad"/>
    <s v="CA"/>
    <m/>
    <n v="320000"/>
    <n v="576000"/>
    <s v="Equine exposure"/>
    <s v="Insured boards horses, but the equine liability is insured with Markel."/>
    <x v="0"/>
    <s v="Insurance must stay with Markel. Offer void if it moves to another carrier. There are policy form exclusions and limitations to coverage for the barns. Advise insured accordingly. "/>
    <m/>
    <m/>
    <s v="Patterson"/>
  </r>
  <r>
    <x v="116"/>
    <x v="0"/>
    <s v="MI"/>
    <s v="Jill"/>
    <s v="Email"/>
    <s v="Langman, David"/>
    <m/>
    <s v="HO3 Secondary"/>
    <s v="Beverly Hills"/>
    <s v="CA"/>
    <n v="1"/>
    <n v="3640000"/>
    <n v="4640000"/>
    <s v="TIV"/>
    <s v="1984 home /w 2005 roof. Not in brush. Alarms. DP3 app submitted but noted as owner occupied secondary. Insd is pres of a property management co. Online shows this property for rent."/>
    <x v="2"/>
    <s v="Asked numerous questions to verify occupancy.  Turns out this is a secondary rental. Insd has owned since 02. Stays there 15-20 weeks a year. Rented for 3 night minimum other weeks. Approved w/ rental rating.  7/19/17 revised TIV per Jill's request"/>
    <m/>
    <m/>
    <s v="Patterson"/>
  </r>
  <r>
    <x v="116"/>
    <x v="2"/>
    <m/>
    <s v="Alex"/>
    <s v="Call"/>
    <s v="Nishiuchi, Meri"/>
    <m/>
    <s v="DP3 Vacant"/>
    <s v="Santa Ana"/>
    <s v="CA"/>
    <m/>
    <n v="1700000"/>
    <n v="1940000"/>
    <s v="Occupancy"/>
    <s v="Insured is in the process of evicting her sister after a Trust lawsuit settlement gave her this home that her sister had been occupying. Sister was hiding assets from family trust. Insd lives in Japan. Attorney is handling checking on the home and selling it.  They will get their payment from the proceeds of the sale. Expect a 6 month policy. 1968 home w/updates. Alarms. Good agent. Sister to be out 6/20; insured taking ownership 6/27. Was primary residence of sister insured w/Chubb 6/2/17-6/2/18. Lawsuit actually settled in 2013 for $10M. It has taken this time to sort things out. Property will go up for sale on 6/27."/>
    <x v="2"/>
    <s v="Discussed security required - need camera and water flow sensors added to central station. Need info on sister's state of mind and how the eviction will play out. Require inspection prior to effective date to confirm no damage. Surcharge 20%. Add existing damage exclusion. Require attorney to inspect bi-weekly for 1 month, then weekly. Consider requiring insured realtor to be present at all house showings. (to ensure sister doesn't come in, and house is secured after showings.)  Main concern is whether sister will damage the house. How can we protect as much as possible.  //  6/19/17 Mother lives in Taiwan. Niece currently occupies home but has found place to live and is leaving voluntarily. Sounds like little/no worry about anyone damaging the home. Struck out requirements above that we will no longer ask for based on new info. // Attorneys can't get into home until after 6/27. Agreed they can inspect and take photos then (post tenant move out)."/>
    <m/>
    <m/>
    <s v="Patterson"/>
  </r>
  <r>
    <x v="116"/>
    <x v="2"/>
    <m/>
    <s v="Bobbi"/>
    <s v="Call"/>
    <s v="Chackel, David"/>
    <m/>
    <s v="HO3 Builders Risk"/>
    <s v="Santa Ynez"/>
    <s v="CA"/>
    <m/>
    <n v="425000"/>
    <n v="625000"/>
    <s v="Mid term builders risk"/>
    <s v="1 year Zurich policy expires in July for this builders risk which is for the retail agent's father. Will rewrite an annual HO3 policy."/>
    <x v="2"/>
    <s v="Bobbi checking on why it is taking more than a year - any concerns? 6/20 - ground up construction taking longer. No issues. 3 months to wrap up. 2 horses will move in-personal use.  15% s/c"/>
    <m/>
    <m/>
    <s v="Patterson"/>
  </r>
  <r>
    <x v="116"/>
    <x v="2"/>
    <m/>
    <s v="Melissa"/>
    <s v="Email"/>
    <m/>
    <m/>
    <s v="HO3 Primary"/>
    <s v="Sherman Oaks "/>
    <s v="CA"/>
    <n v="2"/>
    <n v="1894568"/>
    <n v="3894568"/>
    <s v="TIV"/>
    <s v="2007 home not in brush. Older inspection in file - all looks good."/>
    <x v="1"/>
    <m/>
    <m/>
    <m/>
    <s v="Patterson"/>
  </r>
  <r>
    <x v="116"/>
    <x v="2"/>
    <m/>
    <s v="Alison"/>
    <s v="Email"/>
    <s v="Brill, Eric &amp; Ana"/>
    <m/>
    <s v="HO3 Primary"/>
    <s v="Rolling Hills Estate"/>
    <s v="CA"/>
    <m/>
    <n v="750000"/>
    <n v="1762500"/>
    <s v="Tree limb on carport"/>
    <s v="Insured has a unique established healthy tree with a limb that is overhanging the carport. This is an attached open on 3 sides carport - low value but attached to the house. This is for Alison's best retail agent. Arborist has examined and says it is healthy. Removing it will cause the tree to fall over. ."/>
    <x v="0"/>
    <s v="Can arborist supply a statement about the health, longevity, and how much the tree grows, along with other photos. Flat roof exception $5K ded if &lt;10 years."/>
    <s v="Guidelines in process of changing. This offer seemed closest based on our proposed changes."/>
    <m/>
    <s v="Patterson"/>
  </r>
  <r>
    <x v="116"/>
    <x v="0"/>
    <s v="MI"/>
    <s v="Delta"/>
    <s v="Email"/>
    <s v="Cordano, James"/>
    <m/>
    <s v="HO3 Secondary"/>
    <s v="Carmel by the Sea"/>
    <s v="CA"/>
    <n v="2"/>
    <n v="2000000"/>
    <n v="3400000"/>
    <s v="TIV"/>
    <s v="1932 home fully updated. Recently renovated. Not in brush. Has c/s fire alarm only. "/>
    <x v="2"/>
    <s v="Add c/s theft, Trust/LLC form, confirm no rental (insured is real est developer per online search)//Lowered Coverages. No rental, added cs theft alarm"/>
    <m/>
    <m/>
    <s v="Patterson"/>
  </r>
  <r>
    <x v="116"/>
    <x v="2"/>
    <m/>
    <s v="Melissa"/>
    <s v="Email"/>
    <s v="Matheny, Zachary"/>
    <m/>
    <s v="HO3 Primary"/>
    <s v="Los Angeles"/>
    <s v="CA"/>
    <n v="2"/>
    <n v="2040000"/>
    <n v="2340000"/>
    <s v="Additional Insured"/>
    <s v="Agent wants ok to add AI which is family trust formed to purchase this property. Noticed online that risk has a flat roof. "/>
    <x v="0"/>
    <s v="Flat roof surcharge"/>
    <m/>
    <m/>
    <s v="Patterson"/>
  </r>
  <r>
    <x v="116"/>
    <x v="6"/>
    <m/>
    <s v="Kirk"/>
    <s v="Email"/>
    <s v="Guerin, Michael"/>
    <m/>
    <s v="HO3 Primary"/>
    <s v="Calabasas"/>
    <s v="CA"/>
    <n v="4"/>
    <n v="3095400"/>
    <n v="4869240"/>
    <s v="TIV"/>
    <s v="2017 new build. CS Burglar, not fire per app. Not all uw questions answered. PPC is 4, but there are alternatives and app says 5 mi to FD."/>
    <x v="4"/>
    <s v="Subjectivities will be installation of a central station fire alarm (app says it is just local), and all uw questions on the app completed.  Advised agt of $5M max. Asked for FD name and address."/>
    <s v="FD is 2.6 miles away. Drive map in file."/>
    <m/>
    <s v="Patterson"/>
  </r>
  <r>
    <x v="116"/>
    <x v="1"/>
    <m/>
    <s v="Tamika"/>
    <s v="Call"/>
    <s v="McNeil, Justine"/>
    <m/>
    <s v="HO3 Primary"/>
    <s v="Philadelphia"/>
    <s v="PA"/>
    <m/>
    <m/>
    <m/>
    <s v="Flat roof"/>
    <s v="Roof is new. We don't have revised guidelines yet but I have been offering $5K water ded if roof replaced in last 10 years."/>
    <x v="0"/>
    <s v="$5K ded. Very nice neighborhood per Tamika."/>
    <m/>
    <m/>
    <s v="Patterson"/>
  </r>
  <r>
    <x v="116"/>
    <x v="0"/>
    <s v="MI"/>
    <s v="Delta"/>
    <s v="Email"/>
    <s v=" Anderholt Trust LLC"/>
    <m/>
    <s v="HO3 Primary"/>
    <s v="Mountain Center"/>
    <s v="CA"/>
    <n v="4"/>
    <n v="1750000"/>
    <n v="3500000"/>
    <s v="TIV"/>
    <s v="2005 home in brush, CS burglar only. Stable on prop per insp. "/>
    <x v="2"/>
    <s v="6/20 Now has CS fire too. LLC form ok. 2 horses-personal only. Signed statement of no loss in file."/>
    <m/>
    <m/>
    <s v="Patterson"/>
  </r>
  <r>
    <x v="117"/>
    <x v="1"/>
    <m/>
    <s v="Lisa"/>
    <s v="Email"/>
    <s v="Steele, Evan &amp; Shari"/>
    <m/>
    <s v="HO3 Builders Risk"/>
    <s v="Saddle River"/>
    <s v="NJ"/>
    <n v="9"/>
    <n v="3000000"/>
    <m/>
    <s v="TIV"/>
    <s v="New builders risk, not coastal.  COI and  builders risk app in file ok."/>
    <x v="1"/>
    <m/>
    <m/>
    <m/>
    <s v="Patterson"/>
  </r>
  <r>
    <x v="117"/>
    <x v="1"/>
    <m/>
    <s v="Lisa"/>
    <s v="Email"/>
    <s v="Tobia-Fasulo, Gaye"/>
    <m/>
    <s v="HO3 Primary"/>
    <s v="West Orange "/>
    <s v="NJ"/>
    <n v="3"/>
    <n v="600000"/>
    <n v="1035000"/>
    <s v="Prior loss"/>
    <s v="2013 $600+K fire loss. During rebuild, pipes were stolen in 2015. Then agent said insured couldn't get ins for 5 years after a fire.  Home now rebuilt. Online photos look good."/>
    <x v="2"/>
    <s v="No loss statement, fire marshal report, discuss pricing w/Lisa."/>
    <m/>
    <m/>
    <s v="Patterson"/>
  </r>
  <r>
    <x v="117"/>
    <x v="2"/>
    <m/>
    <s v="Melissa"/>
    <s v="Email"/>
    <s v="Kurkian, Margaret"/>
    <m/>
    <s v="HO3 Primary"/>
    <s v="Sherman Oaks "/>
    <s v="CA"/>
    <n v="2"/>
    <n v="1689243"/>
    <n v="3189243"/>
    <s v="TIV"/>
    <s v="1996 home prev w/Lex, agt wants to move. Small amount of jewelry and silver will be scheduled."/>
    <x v="0"/>
    <s v="Confirm if pp is scheduled of they are insuring under Incr Special Limits form."/>
    <m/>
    <m/>
    <s v="Patterson"/>
  </r>
  <r>
    <x v="117"/>
    <x v="2"/>
    <m/>
    <s v="Alison"/>
    <s v="Email"/>
    <s v="Kagen, Karen &amp; Michael"/>
    <m/>
    <s v="HO3 Primary"/>
    <s v="Los Angeles"/>
    <s v="CA"/>
    <n v="3"/>
    <n v="723000"/>
    <n v="1300400"/>
    <s v="Prior losses"/>
    <s v="1952 home w/all systems updated. New plumbing pipes in 2014 after HWT flooded home. Burglary in 7/16 $4417. This is an important agent for Alison. Farmers nonrenewed"/>
    <x v="2"/>
    <s v="Advised plumbing and water loss are okay. Need info on theft to determine what they did to mitigate or if special terms are needed. 6/20-loss was break in to car at gym"/>
    <m/>
    <m/>
    <s v="Patterson"/>
  </r>
  <r>
    <x v="117"/>
    <x v="1"/>
    <m/>
    <s v="Tamika"/>
    <s v="Email"/>
    <s v="Barna-Dowling, Heather"/>
    <m/>
    <s v="HO3 Seasonal w/rental"/>
    <s v="Jim Thorpe"/>
    <s v="PA"/>
    <m/>
    <m/>
    <m/>
    <s v="Step hazard"/>
    <s v="Rear wall behind home has steps on it with inadequate railing. Historic section built by Army Corps of Engineers"/>
    <x v="2"/>
    <s v="Remove non-historic steps, or put an adequate barrier and sign to deter access.// 6/21 reviewed photo and asked for more photos."/>
    <m/>
    <m/>
    <s v="Patterson"/>
  </r>
  <r>
    <x v="117"/>
    <x v="6"/>
    <m/>
    <s v="Lisa"/>
    <s v="Email"/>
    <s v="Legionarios Del Trabajo"/>
    <m/>
    <s v="DP3 Rental"/>
    <s v="San Joaquin"/>
    <s v="CA"/>
    <m/>
    <n v="230000"/>
    <m/>
    <s v="Corporate Name"/>
    <s v="Insured owns this rental home in many partner names but it is strictly used as a rental for long term tenants. No business on property."/>
    <x v="1"/>
    <m/>
    <m/>
    <m/>
    <s v="Patterson"/>
  </r>
  <r>
    <x v="117"/>
    <x v="4"/>
    <s v="CO"/>
    <s v="Alison"/>
    <s v="Email"/>
    <s v="Wolff, Gregory &amp; Tonya"/>
    <m/>
    <s v="HO3 Secondary"/>
    <s v="Conifer"/>
    <s v="CO"/>
    <m/>
    <m/>
    <m/>
    <s v="3 mortgagees"/>
    <s v="Insured has the loan for the property split up between 3 different IRA's who hold different portions of ownership. "/>
    <x v="1"/>
    <s v="This looks like financial management vs. financial crisis."/>
    <m/>
    <m/>
    <s v="Patterson"/>
  </r>
  <r>
    <x v="118"/>
    <x v="1"/>
    <m/>
    <s v="Nichole"/>
    <s v="Email"/>
    <s v="Arms  RUA18452"/>
    <m/>
    <s v="DP3 Vacant"/>
    <m/>
    <m/>
    <m/>
    <m/>
    <m/>
    <s v="Estate sale"/>
    <s v="Estate sale being held at this property for 3 days. Company running the sale has liab ins. "/>
    <x v="1"/>
    <s v="Nothing in pol language that excludes coverage."/>
    <m/>
    <m/>
    <s v="Patterson"/>
  </r>
  <r>
    <x v="118"/>
    <x v="2"/>
    <m/>
    <s v="Melissa"/>
    <s v="Email"/>
    <s v="Mortazavi HUCAH 150000729"/>
    <m/>
    <s v="HO3 Primary"/>
    <s v="Laguna Beach "/>
    <s v="CA"/>
    <m/>
    <m/>
    <m/>
    <s v="Flat roof"/>
    <s v="2016 home w/ metal roof. Agent says 2006 flat roof. Clarified it is 2016. Insp says flat."/>
    <x v="1"/>
    <s v="$5K ded approved - looks like very nice home!"/>
    <m/>
    <m/>
    <s v="Patterson"/>
  </r>
  <r>
    <x v="118"/>
    <x v="1"/>
    <m/>
    <s v="Lisa"/>
    <s v="Email"/>
    <m/>
    <m/>
    <s v="HO3 Builders Risk"/>
    <m/>
    <m/>
    <m/>
    <m/>
    <m/>
    <s v="ID Fraud"/>
    <s v="Can ID Fraud be added to a Builders Risk?"/>
    <x v="1"/>
    <s v="This is more personal than risk related. Don't see a reason not to add."/>
    <m/>
    <m/>
    <s v="Patterson"/>
  </r>
  <r>
    <x v="118"/>
    <x v="0"/>
    <s v="MI"/>
    <s v="Jill"/>
    <s v="Email"/>
    <s v="Stretch, Nancy"/>
    <m/>
    <s v="HO3 Secondary"/>
    <s v="Echo Lake"/>
    <s v="CA"/>
    <n v="10"/>
    <n v="243000"/>
    <n v="359280"/>
    <s v="Inaccessible year round"/>
    <s v="1944 home updated, not in brush. No PC Quest. Inaccessible year round."/>
    <x v="0"/>
    <s v="• Acceptable PCQ showing response time meets 15 minute criteria.  (Due to lower value, we are okay with an inaccessible period, also not in brush)  10% s/c for inaccessibility_x000a_• Confirmation home is winterized when not in use_x000a_• Steps in photo need a railing added_x000a_"/>
    <m/>
    <m/>
    <s v="Patterson"/>
  </r>
  <r>
    <x v="118"/>
    <x v="0"/>
    <s v="MI"/>
    <s v="Jill"/>
    <s v="Email"/>
    <s v="Mitchell, Tift"/>
    <m/>
    <s v="DP1 Vacant Builders Risk"/>
    <s v="Charleston"/>
    <s v="SC"/>
    <m/>
    <n v="285000"/>
    <m/>
    <s v="1872 year built"/>
    <s v="1872 year built - had hurricane Matthew damage. Loss is pending due to disagreement with ins co. $37K in reserve. Insd gutting to studs. Average condition per photo online. Insd is a real estate agent and his co sign is in yard in online photo."/>
    <x v="0"/>
    <s v="DP1 vacant rating"/>
    <s v="Came in on an HO3 app. "/>
    <m/>
    <s v="Patterson"/>
  </r>
  <r>
    <x v="118"/>
    <x v="2"/>
    <m/>
    <s v="Alex"/>
    <s v="Call"/>
    <s v="Dauphinias, William  HUCAH1510000558"/>
    <m/>
    <s v="HO3 Builders Risk"/>
    <m/>
    <m/>
    <m/>
    <m/>
    <m/>
    <s v="Extend COC"/>
    <s v="Insured received a 1 month extension from us past 1 year. They recently were getting ready to get occupancy permit and the sprinklers malfunctioned causing a flood loss to 2 of 3 floors. GC is going after sub for damage and system repair. Need additional time. "/>
    <x v="0"/>
    <s v="Issue 1 year term eff 7/2/17 with ability to pro-rate cancellation."/>
    <m/>
    <m/>
    <s v="Patterson"/>
  </r>
  <r>
    <x v="118"/>
    <x v="2"/>
    <m/>
    <s v="Alison"/>
    <s v="Email/Call"/>
    <s v="Rosenblum, Michael"/>
    <m/>
    <s v="HO3 Builders Risk"/>
    <s v="Culver City"/>
    <s v="CA"/>
    <m/>
    <n v="450000"/>
    <n v="450000"/>
    <s v="New COC"/>
    <s v="Was with admitted carrier who discovered construction and got off the risk. Alison wasn't sure if this was &quot;mid-term renovation&quot;."/>
    <x v="1"/>
    <s v="Advised these do not need to be submitted. We are concerned with ones where a carrier gets off due to bad risk, or it goes beyond a year. Ok'd her approving these with 10% s/c."/>
    <m/>
    <m/>
    <s v="Patterson"/>
  </r>
  <r>
    <x v="118"/>
    <x v="0"/>
    <s v="MI"/>
    <s v="Jill"/>
    <s v="Email"/>
    <s v="Willis, Nelson"/>
    <m/>
    <s v="HO3 Primary w/rental"/>
    <s v="Santa Barbara"/>
    <s v="CA"/>
    <n v="5"/>
    <n v="2100000"/>
    <n v="4200000"/>
    <s v="TIV"/>
    <s v="1949 home updated. No alarms. Guest house rented out to long term tenant. App says WBS. In brush."/>
    <x v="0"/>
    <s v="• Confirmation of whether there is a woodburning stove, and if so, complete and acceptable questionnaire is required_x000a_• EHP supplement - we will review RC on back end (per procedures)_x000a_• Addition of central station fire and burglar alarms, or information explaining protection and why they would not be necessary.  This looks somewhat rural.  We typically like to see alarms for $2M TIV and above, or explanation why they are not needed._x000a_"/>
    <m/>
    <m/>
    <s v="Patterson"/>
  </r>
  <r>
    <x v="118"/>
    <x v="0"/>
    <s v="MI"/>
    <s v="Delta"/>
    <s v="Email"/>
    <s v="Dipesa, Susant"/>
    <m/>
    <s v="HO3 Builders Risk"/>
    <s v="Scituate"/>
    <s v="MA"/>
    <n v="4"/>
    <n v="750000"/>
    <m/>
    <s v="Raised home"/>
    <s v="Home will be raised, addition removed, interior rebuilt. Not moving to another location. Contractor is insured."/>
    <x v="0"/>
    <s v="10% s/c for raising. Asked for info and s/c on 1/27/15 loss on app - wind driven rain. No detail. "/>
    <m/>
    <m/>
    <s v="Patterson"/>
  </r>
  <r>
    <x v="118"/>
    <x v="0"/>
    <s v="MI"/>
    <s v="Jill"/>
    <s v="Email"/>
    <s v="Niemi, Nathan"/>
    <m/>
    <s v="HO3 Builders Risk"/>
    <s v="Ann Arbor"/>
    <s v="MI"/>
    <m/>
    <n v="870000"/>
    <m/>
    <s v="Replace foundation"/>
    <s v="1939 home will be updated during reno. Adding 1200 SF addn and replace foundation. "/>
    <x v="0"/>
    <s v="1. Need construction site to be lighted and fenced. Replacing foundation could involve open hole? If they can't do this, offer X-liability  2. App says prior cancel because of &quot;remold&quot;. Thinking they mean remodel, but want to make sure this isn't a comment about mold."/>
    <m/>
    <m/>
    <s v="Patterson"/>
  </r>
  <r>
    <x v="119"/>
    <x v="1"/>
    <m/>
    <s v="Tamika"/>
    <s v="Call"/>
    <s v="Gary Ruel Trust"/>
    <m/>
    <s v="HO3 Primary"/>
    <m/>
    <m/>
    <m/>
    <m/>
    <m/>
    <s v="Occupancy"/>
    <s v="Family left home to adult child in name of trust.  Individual is disabled. Brother of individual has trust in his name and he is caretaker for home. Okay to write HO-3."/>
    <x v="1"/>
    <s v="Owner occupied situation. Home taken care of by family member."/>
    <m/>
    <m/>
    <s v="Patterson"/>
  </r>
  <r>
    <x v="119"/>
    <x v="4"/>
    <s v="CO"/>
    <s v="Allison"/>
    <s v="Email"/>
    <s v="Bolin Spruce Way LLC"/>
    <m/>
    <s v="DP3 Builders Risk"/>
    <s v="Vail"/>
    <s v="CO"/>
    <n v="2"/>
    <n v="2400000"/>
    <n v="2500000"/>
    <s v="Occupancy"/>
    <s v="Duplex where one side is finished and up for sale, other still under construction and will be up for sale.  LLC for asset protection."/>
    <x v="2"/>
    <s v="LLC form.  .21 pricing - asked her to take a look at it.  Usually like to add 10% for tail end.  //  6/22 contractor has carried no insurance! Suggested 12% surcharge which brings prem in just below $6K."/>
    <m/>
    <m/>
    <s v="Patterson"/>
  </r>
  <r>
    <x v="119"/>
    <x v="0"/>
    <s v="MI"/>
    <s v="Delta"/>
    <s v="Email"/>
    <s v="Wauhtal, David Paul"/>
    <m/>
    <s v="HO3 Primary"/>
    <s v="Wichita"/>
    <s v="KS"/>
    <m/>
    <n v="386000"/>
    <n v="694800"/>
    <s v="Business in home"/>
    <s v="Insured moving a 1 chair beauty shop into her home. 40-65 clients/month. InHome Business program with $10K property. Has a GL in place. 1916 home updated. Nice online photos."/>
    <x v="1"/>
    <s v="Meets UW guidelines."/>
    <m/>
    <m/>
    <s v="Patterson"/>
  </r>
  <r>
    <x v="119"/>
    <x v="0"/>
    <s v="MI"/>
    <s v="Leslie"/>
    <s v="Email"/>
    <s v="Wagner, Eric"/>
    <m/>
    <s v="HO3 Primary"/>
    <s v="Grass Valley"/>
    <s v="CA"/>
    <n v="9"/>
    <n v="1550000"/>
    <n v="3000000"/>
    <s v="15% credit"/>
    <s v="1994 home w/roof updated in 2010. On 8 acres. PC9. FD 2.5 miles away. Volunteer and paid both. 8 min response time. In brush zone. Has woodburning stove. Agent wants to apply 15% credit to meet competitor."/>
    <x v="0"/>
    <s v="Risk is acceptable with WBS quest. However since PC9 and in brush, we cannot approve any credit."/>
    <s v="Sent cc to Danielle."/>
    <m/>
    <s v="Patterson"/>
  </r>
  <r>
    <x v="119"/>
    <x v="6"/>
    <m/>
    <s v="Lisa"/>
    <s v="Email"/>
    <s v="Apex Investments LLC"/>
    <m/>
    <s v="DP3 Builders Risk"/>
    <s v="San Francisco"/>
    <s v="CA"/>
    <n v="2"/>
    <n v="3800000"/>
    <n v="3800000"/>
    <s v="Tail end construction"/>
    <s v="New build (flat roof $10K ded). 3 months left to do interior work only and then 3 months to sell. Insd wants 6 mo policy. Const started 1/21/14 per app. Not in brush."/>
    <x v="0"/>
    <s v="Is there a reason they need to move from their current carrier?  Is this another situation where the current carrier wants to write an annual policy and they only want a 6 month policy?   Could you please share the current renewal pricing?  A Homeowners app was submitted.  Would risk be written as an HO-3 Builders Risk or a DP-3?  Could we find out why construction has taken so long?  Leaning toward declining. Subj are completed app and big surcharge.  // 6/21 current insurer is nonrenewing due to 2 terms-won't offer 3rd. Agreed subj to complete app and match expiring. Prior carrier wrote for $16,509 for a year. Agent quoted us at $9,384 for a year.  76% surcharge."/>
    <m/>
    <m/>
    <s v="Patterson"/>
  </r>
  <r>
    <x v="119"/>
    <x v="2"/>
    <m/>
    <s v="Alison"/>
    <s v="Call"/>
    <s v="Devista LLC"/>
    <m/>
    <s v="DP3 Vacant"/>
    <s v="Los Angeles"/>
    <s v="CA"/>
    <m/>
    <m/>
    <m/>
    <s v="Flat roof"/>
    <s v="New flat roof. Can we go with $5K ded?"/>
    <x v="1"/>
    <s v="Home for sale. Photo in file. Very nice. Brand new renovation - new roof."/>
    <m/>
    <m/>
    <s v="Patterson"/>
  </r>
  <r>
    <x v="120"/>
    <x v="4"/>
    <s v="CO"/>
    <s v="Allison"/>
    <s v="Email"/>
    <s v="Skibaum LLC"/>
    <m/>
    <s v="HO3 Builders Risk"/>
    <s v="Edwards"/>
    <s v="CO"/>
    <n v="5"/>
    <n v="3200000"/>
    <n v="3200000"/>
    <s v="TIV"/>
    <s v="1995 home undergoing $650K renovations. IN LLC name. Few days of no coverage due to paying cash. Wants a $25K ded rate too."/>
    <x v="0"/>
    <s v="Get LLC form and signed no loss. Online pics look good. App has water backup, but agt did not quote during construction. Got $25K factor/credit from Bethany.  .82. Add 4% credit to the 10K rate"/>
    <m/>
    <m/>
    <s v="Patterson"/>
  </r>
  <r>
    <x v="120"/>
    <x v="0"/>
    <s v="MI"/>
    <s v="Delta"/>
    <s v="Email"/>
    <s v="Gross, Jack"/>
    <m/>
    <s v="DP3 Vacant"/>
    <s v="Englewood"/>
    <s v="NJ"/>
    <n v="4"/>
    <n v="3300000"/>
    <n v="3300000"/>
    <s v="TIV"/>
    <s v="1992 home updated. Full alarms. $10K ded; 2% wind/hail ded. Online photos show a very unique/custom home built by renowned builder.  Don't see any flat roof. Home is vacant and for sale."/>
    <x v="0"/>
    <s v="10% surcharge for unique/custom. (Open to discuss if this kicks us out of being competitive. It is a nice home.)"/>
    <m/>
    <m/>
    <s v="Patterson"/>
  </r>
  <r>
    <x v="120"/>
    <x v="0"/>
    <s v="MI"/>
    <s v="Jill"/>
    <s v="Email"/>
    <s v="Trevithick, Karla"/>
    <m/>
    <s v="DP1 Other Structure"/>
    <s v="Hayden"/>
    <s v="CO"/>
    <n v="10"/>
    <n v="60000"/>
    <n v="66000"/>
    <s v="PC10"/>
    <s v="2016 masonry structure only. 14 min response time. FD is 5.8 miles away. Not paved but accessible, visible. Pond freezes over but there are tankers and a well."/>
    <x v="1"/>
    <m/>
    <m/>
    <m/>
    <s v="Patterson"/>
  </r>
  <r>
    <x v="120"/>
    <x v="5"/>
    <s v="MI"/>
    <s v="Anella"/>
    <s v="Email"/>
    <m/>
    <m/>
    <s v="HO3 Primary"/>
    <m/>
    <s v="NC"/>
    <m/>
    <m/>
    <m/>
    <s v="Diving board"/>
    <s v="Risk has a diving board per inspection. Agent wants to know if there is a pool exclusion."/>
    <x v="3"/>
    <s v="Must send cancellation unless diving board can be removed.  No pool excl and can't exclude liab."/>
    <m/>
    <m/>
    <s v="Patterson"/>
  </r>
  <r>
    <x v="120"/>
    <x v="6"/>
    <m/>
    <s v="Lisa"/>
    <s v="Email"/>
    <s v="Tibuk, Kerem &amp; Duygu"/>
    <m/>
    <s v="HO3 Primary"/>
    <s v="Malibu"/>
    <s v="CA"/>
    <n v="4"/>
    <n v="1856000"/>
    <n v="3433600"/>
    <s v="TIV"/>
    <s v="1980 home w/updates. No alarms - agt quoted $10K ded. Not in brush. PPC says 4 with alternatives. App says 9; 5 miles to FD. Hydrant. Agt quoted 4."/>
    <x v="0"/>
    <s v="I want to verify PC to approve final terms. Asked for name &amp; addr of responding FD. If after hours (which is in 30 min), Lisa can review and approve."/>
    <m/>
    <m/>
    <s v="Patterson"/>
  </r>
  <r>
    <x v="121"/>
    <x v="2"/>
    <m/>
    <s v="Bobbi"/>
    <s v="Email"/>
    <s v="Voorhees, Bert"/>
    <m/>
    <s v="DP3 Rental"/>
    <s v="Tujunga"/>
    <s v="CA"/>
    <n v="10"/>
    <n v="700000"/>
    <n v="1050000"/>
    <s v="Response time"/>
    <s v="PC10 with 20 min response, but automatic aid in place w/ FD w/8min response. Concrete wall home w/ glass roof."/>
    <x v="3"/>
    <s v="IM to Jeff. EM to agent - how does the risk fit w/ISO's auto aid criteria? Discussed. Decided if ISO recognized, PC would be lower. Safe bet is to decline."/>
    <m/>
    <m/>
    <s v="Patterson"/>
  </r>
  <r>
    <x v="121"/>
    <x v="2"/>
    <m/>
    <s v="Bobbi"/>
    <s v="Email"/>
    <s v="Pokrajac, Steven &amp; Cori"/>
    <m/>
    <s v="HO3 Primary"/>
    <s v="Monrovia"/>
    <s v="CA"/>
    <m/>
    <n v="1093982"/>
    <n v="1900000"/>
    <s v="Open claim"/>
    <s v="1992 home, nice online photos. Open claim due to neighbor blaming insured and other defendants for a mudslide. We should not have any exposure with this open loss.  Issues that caused the mudslide have been fixed. Excellent account for 10 years w/retailer."/>
    <x v="0"/>
    <s v="Keep rates not too far off expiring."/>
    <m/>
    <m/>
    <s v="Patterson"/>
  </r>
  <r>
    <x v="121"/>
    <x v="1"/>
    <m/>
    <s v="MacKenzie"/>
    <s v="Email"/>
    <s v="Lester, Angela &amp; Morrow, Brett"/>
    <m/>
    <s v="HO3 Builders Risk"/>
    <s v="Doylestown"/>
    <s v="PA"/>
    <m/>
    <n v="480200"/>
    <m/>
    <s v="Mid term builders risk"/>
    <s v="New build that Hull has insured as a BR for a year. Needs 6 months more to complete. With Lex.60% complete - need to install drywall, elec, plumbing. 2nd insd and contractor are both Brett Morrow. Per Mackenzie, this is an error. The contractor is Unique Construction."/>
    <x v="2"/>
    <s v="Can't insure risk where insured is acting as their own GC. Turns out that was incorrect.  I then asked  Why so long? Why moving now? What is expiring prem?) BR quest said new construction. Insp shows this is a reno and they planned to work on it for 2 years according to the quest. Per agt building new primary. Existing prim will become guest house/studio. More questions.//Ultimately approved dwelling only, no liab. This house IS ground up construction. 6 mo terms approved."/>
    <m/>
    <m/>
    <s v="Patterson"/>
  </r>
  <r>
    <x v="121"/>
    <x v="1"/>
    <m/>
    <s v="Tamika"/>
    <s v="Call"/>
    <s v="Northeast Real Holdings LLC"/>
    <m/>
    <s v="HO3 Primary"/>
    <m/>
    <m/>
    <m/>
    <m/>
    <m/>
    <s v="Business in home"/>
    <s v="Insured has a signmaking business next door to primary dwelling. Separate address, GL. There is a front room in his dwelling that he uses as a mini showroom. 5 customers a week on average. Insd doesn't know if GL extends. "/>
    <x v="0"/>
    <s v="Approved X-liability.  Don't see need to add Total Business Exclusion because there really isn't a physical damage exposure with the public traffic."/>
    <m/>
    <m/>
    <s v="Patterson"/>
  </r>
  <r>
    <x v="121"/>
    <x v="1"/>
    <m/>
    <s v="Tamika"/>
    <s v="Call"/>
    <m/>
    <m/>
    <s v="HO3 Primary"/>
    <m/>
    <s v="NJ"/>
    <m/>
    <n v="290000"/>
    <m/>
    <s v="Prior losses"/>
    <s v="This is a builders risk which has damage still under repair from loss in 2016. Agent to determine extent of damage/repair left. 5/31/16 elec stove fire $57K; during clean up there was a theft $0 paid jewelry - didn't meet deductible and wasn't scheduled. 7/25/16 lightning $3800."/>
    <x v="4"/>
    <s v="If all checks out, agent will offer builders risk with personal property and high theft deductible."/>
    <m/>
    <m/>
    <s v="Patterson"/>
  </r>
  <r>
    <x v="121"/>
    <x v="2"/>
    <m/>
    <s v="Alison"/>
    <s v="Call"/>
    <s v="Sassounian, Farhad &amp; Shilla"/>
    <m/>
    <s v="HO3 Primary"/>
    <s v="Studio City"/>
    <s v="CA"/>
    <m/>
    <n v="1140000"/>
    <m/>
    <s v="Prior loss"/>
    <s v="8/25/12 $81K water loss due to filter under sink leaking when no one was home. 1967 home updated in 98. Unsure if galvanized."/>
    <x v="0"/>
    <s v="Did no review full submission.  Agent applying $10,000 water damage ded."/>
    <m/>
    <m/>
    <s v="Patterson"/>
  </r>
  <r>
    <x v="121"/>
    <x v="2"/>
    <m/>
    <s v="Alison"/>
    <s v="Call/Email"/>
    <s v="Spalding, William &amp; Stephanie"/>
    <m/>
    <s v="HO3 Primary"/>
    <s v="Malibu"/>
    <s v="CA"/>
    <n v="4"/>
    <n v="2815000"/>
    <n v="3478000"/>
    <s v="Occupancy"/>
    <s v="Parents are buying home for their daughter (agt getting details of age and situation). Should this be DP3 rental or HO3 and include daughters name"/>
    <x v="0"/>
    <s v="Discussed situation is case by case. In this case, sounds like owner occupied situation. Agt to verify if college student, special needs, etc and add subjectivities accordingly.  Pol language supports &quot;family members&quot; as named insureds."/>
    <m/>
    <m/>
    <s v="Patterson"/>
  </r>
  <r>
    <x v="122"/>
    <x v="0"/>
    <s v="MI"/>
    <s v="Leslie"/>
    <s v="Email"/>
    <s v="Wagner, Edna"/>
    <m/>
    <s v="HO3 Primary"/>
    <s v="Greensburg"/>
    <s v="IN"/>
    <m/>
    <n v="150000"/>
    <n v="255000"/>
    <s v="Commercial property adjacent"/>
    <s v="This is a row house between 2 commercial businesses. Prior vandalism 2015 $1400. Water from fridge 2015 $3000."/>
    <x v="2"/>
    <s v="What are the neighboring businesses? Details on vandalism?//6/27. Businesses sound fine and insd has installed lighted (theft of copper from AC unit)"/>
    <m/>
    <m/>
    <s v="Patterson"/>
  </r>
  <r>
    <x v="122"/>
    <x v="4"/>
    <s v="CO"/>
    <s v="Allison"/>
    <s v="Email"/>
    <s v="Lafayette Scott Street LLC"/>
    <m/>
    <s v="DP1 Builders Risk"/>
    <s v="San Francisco"/>
    <s v="CA"/>
    <m/>
    <n v="3780000"/>
    <n v="3780000"/>
    <s v="Condition"/>
    <s v="1908 build. Waiting for permits and will be renovated. Fire fighter injured on the property when a stair broke."/>
    <x v="3"/>
    <s v="Prev submitted by Hull with a B&amp;W inspection on 5/11/17. We declined due to condition. "/>
    <m/>
    <m/>
    <s v="Patterson"/>
  </r>
  <r>
    <x v="122"/>
    <x v="4"/>
    <s v="CO"/>
    <s v="Allison"/>
    <s v="Email"/>
    <s v="Walper, Tom"/>
    <m/>
    <s v="HO3 Builders Risk"/>
    <s v="Rancho Santa Fe"/>
    <s v="CA"/>
    <m/>
    <n v="1765517"/>
    <n v="2326551"/>
    <s v="Insured as GC"/>
    <s v="1974 risk w/updates. Roof exclusion applies until replaced. 6 month reno expected. Insured is GC hiring licensed subs."/>
    <x v="0"/>
    <s v="Current guidelines allow insured as GC if liability is excluded. Approved this and advised new guidelines will be sent.  2nd request to consider and I stuck to the answer. No liability."/>
    <m/>
    <m/>
    <s v="Patterson"/>
  </r>
  <r>
    <x v="122"/>
    <x v="2"/>
    <m/>
    <s v="Alex"/>
    <s v="Call"/>
    <s v="Kellerhouse"/>
    <m/>
    <s v="HO3 Builders Risk"/>
    <m/>
    <s v="CA"/>
    <m/>
    <m/>
    <m/>
    <s v="Farming on premises"/>
    <s v="Vacant land with no house, COC ground up. Area will be fenced during construction. Insured has grapefruit and avocado on property. Someone rents this from them and picks it. They have a GL with insured as addl insured. No liab - it is extended from their current primary. Will add total business exclusion."/>
    <x v="1"/>
    <m/>
    <m/>
    <m/>
    <s v="Patterson"/>
  </r>
  <r>
    <x v="122"/>
    <x v="2"/>
    <m/>
    <s v="Alex"/>
    <s v="Call"/>
    <s v="Pullman, Bryan"/>
    <m/>
    <s v="HO3 Primary"/>
    <m/>
    <s v="CA"/>
    <m/>
    <n v="500000"/>
    <m/>
    <s v="Minor renovation left"/>
    <s v="Was a COC for 6 months then rewritten, but insured/contractor had some interior work left and new carrier was not happy and got off the risk. All that remains now is paint and a few fixtures on ground floor. They will be &quot;finishing&quot; the attic with drywall, floor and paint.  Didn't feel this was more that an average homeowner may do. Plumbing and wiring is complete.  (Even if some attic wiring is done, at least insured is a elec contractor.)"/>
    <x v="1"/>
    <m/>
    <m/>
    <m/>
    <s v="Patterson"/>
  </r>
  <r>
    <x v="122"/>
    <x v="0"/>
    <s v="MI"/>
    <s v="Jill"/>
    <s v="Email"/>
    <s v="KNCT Castle Rock Lake Properties"/>
    <m/>
    <s v="HO3 Secondary w/Rental"/>
    <s v="Mauston"/>
    <s v="WI"/>
    <n v="10"/>
    <n v="1715000"/>
    <n v="2429500"/>
    <s v="PC10 Not accessible year round"/>
    <s v="2008 log home.  Nice online photos. FD is volunteer. 10.5 miles away. 16-20 min drive time. Not accessible year round. Alarms. VMGA rate .35."/>
    <x v="0"/>
    <s v="Approved with 110% s/c (2.10 factor) .73 rate. Per Danielle recently, competitors charge .60-.80 for high response time/inaccessible"/>
    <s v="Reviewed w/Jeff, he's okay with doing it."/>
    <m/>
    <s v="Patterson"/>
  </r>
  <r>
    <x v="122"/>
    <x v="2"/>
    <m/>
    <s v="Alison"/>
    <s v="Email"/>
    <s v="Yehoda, Yaron"/>
    <m/>
    <s v="DP3 Vacant"/>
    <s v="Studio City"/>
    <s v="CA"/>
    <m/>
    <n v="3000000"/>
    <n v="3300000"/>
    <s v="Vacant  "/>
    <s v="2017 risk new purchase currently vacant. Beautiful online photos. 10% surcharge added by agent. 2nd home for the insured."/>
    <x v="1"/>
    <m/>
    <m/>
    <m/>
    <s v="Patterson"/>
  </r>
  <r>
    <x v="123"/>
    <x v="0"/>
    <s v="MI"/>
    <s v="Jill"/>
    <s v="Email"/>
    <s v="Phillips, Jacqueline"/>
    <m/>
    <s v="HO3 Primary"/>
    <s v="Robertsville"/>
    <s v="MO"/>
    <m/>
    <n v="1648072"/>
    <n v="2803082"/>
    <s v="Business on premises"/>
    <s v="Originally agent excluded liability due to animals on the property. Then they were told there was a B&amp;B. Approval sought. My google search revealed this is a full blown event venue with events open to the public and tickets on Eventbrite for some events. It is a B&amp;B also. Online show possibility for a runway on the property. On and off for sale since 2012. (Moral hazard)"/>
    <x v="3"/>
    <s v="Relayed all URL's showing these various events.  This is too much for a homeowners policy."/>
    <m/>
    <m/>
    <s v="Patterson"/>
  </r>
  <r>
    <x v="123"/>
    <x v="2"/>
    <s v=" "/>
    <s v="Alison"/>
    <s v="Email"/>
    <s v="Khandabi, Moussa"/>
    <m/>
    <s v="DP3 Rental"/>
    <s v="Beverly Hills"/>
    <s v="CA"/>
    <n v="1"/>
    <n v="2900000"/>
    <n v="3505000"/>
    <s v="TIV"/>
    <s v="2001 rental home with alarms. Previously quoted - increase in Cov A over last year - insd thought underinsured.  May not use alarms. Agent quoting 2 ded."/>
    <x v="0"/>
    <s v="Online photos - possible flat roof. If updated in 15 years, allow $5K ded if they have c/s alarms. Otherwise $10K ded."/>
    <m/>
    <m/>
    <s v="Patterson"/>
  </r>
  <r>
    <x v="123"/>
    <x v="7"/>
    <s v="VA"/>
    <s v="Charity"/>
    <s v="Email"/>
    <s v="Goodwyn, Dora A"/>
    <m/>
    <s v="DP3 Rental"/>
    <s v="Church Road"/>
    <s v="VA"/>
    <n v="10"/>
    <n v="155000"/>
    <n v="186000"/>
    <s v="PC10"/>
    <s v="1968 home updated. No detail on PC10."/>
    <x v="4"/>
    <s v="Asked for name/addr of FD, response, paid/volunteer, etc."/>
    <m/>
    <m/>
    <s v="Patterson"/>
  </r>
  <r>
    <x v="123"/>
    <x v="7"/>
    <s v="VA"/>
    <s v="Charity"/>
    <s v="Email"/>
    <s v="Reinking, Darrell"/>
    <m/>
    <s v="HO3 Rental"/>
    <s v="Suffolk"/>
    <s v="VA"/>
    <n v="10"/>
    <n v="270000"/>
    <n v="486000"/>
    <s v="PC10"/>
    <s v="1978 home updated in 2000. No detail on PC10."/>
    <x v="4"/>
    <s v="Asked for name/addr of FD, response, paid/volunteer, etc."/>
    <m/>
    <m/>
    <s v="Patterson"/>
  </r>
  <r>
    <x v="124"/>
    <x v="0"/>
    <s v="MI"/>
    <s v="Danielle"/>
    <s v="Email"/>
    <s v="Crevoiserat, Jeffrey"/>
    <m/>
    <s v="HO3 Secondary w/Rental"/>
    <s v="Encino "/>
    <s v="CA"/>
    <n v="1"/>
    <n v="1900000"/>
    <n v="2390000"/>
    <s v="TIV"/>
    <s v="2016 home not in brush no alarms. Approved same risk for another retailer of Burns on 6/14/17. "/>
    <x v="2"/>
    <s v="Sent duplicate submission info to Danielle. Approved subj to conf of year built. Noticed some online sources show this as 1926. Did not see that before.  6/30/17 asked to put in name of LLC. Form ok, approved."/>
    <m/>
    <m/>
    <s v="Patterson"/>
  </r>
  <r>
    <x v="124"/>
    <x v="1"/>
    <m/>
    <s v="Tamika"/>
    <s v="Email"/>
    <s v="Akhtar, Gurinder"/>
    <m/>
    <s v="HO3 Builders Risk"/>
    <s v="Beaumont"/>
    <s v="TX"/>
    <m/>
    <n v="1500000"/>
    <m/>
    <s v="Mid term builders risk"/>
    <s v="New build started in 2/2017; will be completed 12/2017.65% done. Roof, floor, cabinets, paint left."/>
    <x v="2"/>
    <s v="Where currently insured, why moving? Risk was uninsured. Thought builder took care of it."/>
    <m/>
    <m/>
    <s v="Patterson"/>
  </r>
  <r>
    <x v="124"/>
    <x v="6"/>
    <m/>
    <s v="Lisa"/>
    <s v="Email"/>
    <s v="Brenlar LLC"/>
    <m/>
    <s v="HO3 Secondary"/>
    <s v="The Sea Ranch"/>
    <s v="CA"/>
    <n v="4"/>
    <n v="2800000"/>
    <n v="3410000"/>
    <s v="TIV"/>
    <s v="2005 w/$10K ded. Metal roof. Not in brush. Alarms. Looks clean."/>
    <x v="1"/>
    <m/>
    <m/>
    <m/>
    <s v="Patterson"/>
  </r>
  <r>
    <x v="124"/>
    <x v="0"/>
    <s v="MI"/>
    <s v="Delta"/>
    <s v="Email"/>
    <s v="McCool, Adria"/>
    <m/>
    <s v="HO3 Seasonal w/rental"/>
    <s v="Venice "/>
    <s v="CA"/>
    <n v="2"/>
    <n v="3500000"/>
    <n v="3700000"/>
    <s v="TIV"/>
    <s v="2017 home (replaced bungalow showing in online photos). No alarms but $10K AOP quoted. App UW questions blank"/>
    <x v="0"/>
    <s v="completed app"/>
    <m/>
    <m/>
    <s v="Patterson"/>
  </r>
  <r>
    <x v="124"/>
    <x v="1"/>
    <m/>
    <s v="Tamika"/>
    <s v="Email"/>
    <s v="Kelley, Stanley"/>
    <m/>
    <s v="DP3 Rental"/>
    <s v="Oaklyn"/>
    <s v="NJ"/>
    <m/>
    <n v="344304"/>
    <n v="378734"/>
    <s v="Electrical condition"/>
    <s v="Retired physician owns 2 family home. Online pics look okay. There is one circuit of knob &amp; tube wiring. Contractor removing 2nd week of July. 1945 home w/ updates."/>
    <x v="3"/>
    <s v="Has an electrician deemed the existing knob/tube safe until they can get out there?  Is it an active circuit?  What circuit is it?  Is that circuit currently in use? What is running off or connected to the circuit?  Other than the knob/tube, is there an updated breaker box?  Any idea when that was updated?  Any fuses?// Replacing many outlets &amp; switches, plus breaker panel is Zinsco (fire hazard)"/>
    <m/>
    <m/>
    <s v="Patterson"/>
  </r>
  <r>
    <x v="124"/>
    <x v="2"/>
    <m/>
    <s v="Bobbi"/>
    <s v="Email"/>
    <s v="Nervo, Miriam"/>
    <m/>
    <s v="HO3 Seasonal w/rental"/>
    <s v="Los Angeles"/>
    <s v="CA"/>
    <m/>
    <n v="1500000"/>
    <n v="2250000"/>
    <s v="Nonrenewal"/>
    <s v="Lloyds is nonrenewing for losses.  Any questions? 1925 home updated owned by high profile EDM DJ pair. Leaking pipe loss and suit by prior tenant for them not fixing known electrical issue."/>
    <x v="3"/>
    <s v="Decline to  liability, physical damage, and morale hazards."/>
    <m/>
    <m/>
    <s v="Patterson"/>
  </r>
  <r>
    <x v="124"/>
    <x v="0"/>
    <s v="MI"/>
    <s v="Alexa"/>
    <s v="Email"/>
    <s v="White, Scott"/>
    <m/>
    <s v="HO3 Primary"/>
    <s v="Fishers"/>
    <s v="IN"/>
    <n v="4"/>
    <n v="2100000"/>
    <n v="3927000"/>
    <s v="TIV"/>
    <s v="2002 home w/ alarms. New purchase. Good online photos. Insd is property management co owner."/>
    <x v="1"/>
    <m/>
    <m/>
    <m/>
    <s v="Patterson"/>
  </r>
  <r>
    <x v="124"/>
    <x v="2"/>
    <m/>
    <s v="Alison"/>
    <s v="Email/Call"/>
    <s v="La Puesta LLC"/>
    <m/>
    <s v="HO3 Seasonal w/Rental and Builders Risk"/>
    <s v="Big Sur"/>
    <s v="CA"/>
    <n v="9"/>
    <n v="450000"/>
    <n v="765000"/>
    <s v="Location address"/>
    <s v="1977 home with updates. Location address is vague. On water side of PCH, Hwy 1 near Rocky Creek Bridge.  Prof appraisal uses this address as did the MLS. Only house in the vicinity. 2 FD's are within 15 min response. 5.5 mi and 9 mi away. In LLC with one member. 60 day COC - roof, cabinets, floor, heat, paint, fence by  GC.  Write as COC, endorse to 2nd/rent when done. Flat roof-$5K water damage ded (new). Home is completely visible from the street and the bridge location. Would be easy for FD to identify. "/>
    <x v="2"/>
    <s v="Subject to written confirmation from the FD that they can locate this address. Rate as PC10. Confirmation of response time. Assuming non brush location. If &gt;15 minute response time discuss additional surcharge.//6/29 Retailer spoke to FD, fully documented. This is PC9, 15 min response. no problem finding the home. Sent approval"/>
    <m/>
    <m/>
    <s v="Patterson"/>
  </r>
  <r>
    <x v="124"/>
    <x v="2"/>
    <m/>
    <s v="Alex"/>
    <s v="Call"/>
    <m/>
    <m/>
    <s v="HO3 Builders Risk"/>
    <m/>
    <s v="CA"/>
    <m/>
    <m/>
    <m/>
    <s v="Liability coverage"/>
    <s v="Insured is living in home during renovation and wants CPL and med pay. There is an exposure w/the workers. "/>
    <x v="1"/>
    <s v="We should go after Workers Comp is there is an injury. Insured living in their home needs this coverage.  Med Pay is limited to $5000 even if it did come back on us. Okay with the standard coverages."/>
    <m/>
    <m/>
    <s v="Patterson"/>
  </r>
  <r>
    <x v="124"/>
    <x v="2"/>
    <m/>
    <s v="Alex"/>
    <s v="Call"/>
    <s v="Fioravanti"/>
    <m/>
    <s v="HO3 Primary"/>
    <m/>
    <s v="CA"/>
    <m/>
    <m/>
    <m/>
    <s v="Loss Surcharge"/>
    <s v="There was a PAF loss at prior property.  PAF is on a stand alone policy. They believe babysitter took jewelry - 2016 mysterious disappearance loss. Should this be charged?"/>
    <x v="1"/>
    <s v="Yes. It is a reflection on the insured's history and should be charged."/>
    <m/>
    <m/>
    <s v="Patterson"/>
  </r>
  <r>
    <x v="125"/>
    <x v="4"/>
    <s v="CO"/>
    <s v="Allison"/>
    <s v="Email"/>
    <s v="Brown, Edward J &amp; Deborah Ann"/>
    <m/>
    <s v="HO3 Secondary"/>
    <s v="Coto De Caza"/>
    <s v="CA"/>
    <n v="5"/>
    <n v="1695000"/>
    <n v="3429000"/>
    <s v="TIV"/>
    <s v="1990 home w/updates purchased for daughter to live in full time, insureds visit seasonally. Chubb NRN due to brush. In brush zone. Rater says &lt;150 clearance. Online Zillow shows horses and vineyard."/>
    <x v="0"/>
    <s v="subject to _x000a_• 150’ brush clearance.  Rater says &lt;150’, maybe that is just for rating purposes.  In CA, we are strict about the 150’ clearance._x000a_• Please ask about horses and horse exposure, riding lessons, breeding, boarding:  https://www.zillow.com/homedetails/30861-Via-Colinas-Coto-De-Caza-CA-92679/25617343_zpid/.  Depending on number of horses and activity, we may have to revise terms._x000a_• Please also ask about a vineyard – Zillow states 1600 vines.  Do they still have them?  Any sales, tasting, hiring someone to maintain, leasing to someone to maintain?  We may need to do some additional underwriting or add a total business exclusion._x000a_"/>
    <m/>
    <m/>
    <s v="Patterson"/>
  </r>
  <r>
    <x v="125"/>
    <x v="0"/>
    <s v="MI"/>
    <s v="Alexa"/>
    <s v="Email"/>
    <s v="Johnson, Meredith M"/>
    <m/>
    <s v="HO3 Seasonal"/>
    <s v="Fishlake"/>
    <s v="UT"/>
    <n v="10"/>
    <n v="175000"/>
    <n v="315000"/>
    <s v="PC10"/>
    <s v="1944 home updated in 2014. No alarms. 30-40 min response, not accessible. Zip 84701 not on moratorium list. Y answer to UW question on app.  .74 pricing. $2500 ded. Notes say excellent condition and no woodstove."/>
    <x v="0"/>
    <s v="not within 20 mi of an active fire. Resolve Y answer to &quot;Any brush, flood, forest fire, landslide&quot;"/>
    <m/>
    <m/>
    <s v="Patterson"/>
  </r>
  <r>
    <x v="125"/>
    <x v="0"/>
    <s v="MI"/>
    <s v="Alexa"/>
    <s v="Email"/>
    <s v="De LaGarza, Dolores"/>
    <m/>
    <s v="HO3 Seasonal w/rental"/>
    <s v="Laredo "/>
    <s v="TX"/>
    <n v="3"/>
    <n v="89000"/>
    <n v="189000"/>
    <s v="2 dwellings on property"/>
    <s v="Seasonal 2016 home on rear, front home is duplex rented long/short term. Photo condition looks good. Rail missing on rental home deck. Was with Fair Plan."/>
    <x v="0"/>
    <s v="You are approved to release terms with a 50% surcharge on the $1000 rate for a total premium of $1500, subject to:_x000a_• Confirmation that the reason the risk was with Fair Plan was due to coastal exposure and not condition or other concern._x000a_• Front rental home upper level deck appears to be missing a large section of railing.  This must be repaired immediately and proof provided to you._x000a_"/>
    <m/>
    <m/>
    <s v="Patterson"/>
  </r>
  <r>
    <x v="125"/>
    <x v="0"/>
    <s v="MI"/>
    <s v="Danielle"/>
    <s v="Email"/>
    <s v="Casey, Michael"/>
    <m/>
    <s v="HO3 Primary"/>
    <s v="Oregon House"/>
    <s v="CA"/>
    <n v="9"/>
    <n v="310000"/>
    <n v="544000"/>
    <s v="Off grid"/>
    <s v="2009 home w/log siding. Nice photos provided. 1592 SF. Runs off solar and backup batteries. Prim heat is gas forced air w/woodstove. Photo looks ok. In brush. Insd owns pest control business. FD 2.2 miles away. New purchase."/>
    <x v="0"/>
    <s v="Business is at a separate location.  Subject to:_x000a_• Completed and acceptable woodburning stove questionnaire_x000a_• Confirmation of 150' brush clearance_x000a_• Confirmation that the home is winterized with pipes drained when not in use.  This is in an area that is subject to freezing temps.  One concern with off grid homes is the ability to maintain heat when no one is there._x000a_• I would like to see if you can apply a 5-10% surcharge (based on competitive position) due to the additional exposure_x000a_"/>
    <m/>
    <m/>
    <s v="Patterson"/>
  </r>
  <r>
    <x v="125"/>
    <x v="5"/>
    <m/>
    <s v="Craig"/>
    <s v="Email"/>
    <s v="Woodfin, Courtney &amp; Christopher"/>
    <m/>
    <s v="HO3 Primary"/>
    <m/>
    <m/>
    <m/>
    <m/>
    <m/>
    <s v="Lapse"/>
    <s v="We approved risk w/lapse 6 weeks ago.  Coverage was not pursued and now they want to bind."/>
    <x v="3"/>
    <s v="Told Craig if there is a good story we can consider. Otherwise we wish to pass."/>
    <s v="Discussed w/Tim"/>
    <m/>
    <s v="Patterson"/>
  </r>
  <r>
    <x v="125"/>
    <x v="0"/>
    <s v="MI"/>
    <s v="Jill"/>
    <s v="Email"/>
    <s v="Johnson, Boyd"/>
    <m/>
    <s v="HO3 Primary"/>
    <s v="Nevada City"/>
    <s v="CA"/>
    <n v="9"/>
    <n v="275000"/>
    <n v="588500"/>
    <s v="Off grid"/>
    <s v="1976 home w/ some updates. Shares address with another individual who has a home on the property. They both own land, but structures owned individually."/>
    <x v="0"/>
    <s v="• Rush inspection to confirm condition and upkeep_x000a_• Verify no business conducted on the premises.  I found this for Jon Klingelhofer:  https://www.google.com/#q=jon+klingelhofer+construction+nv&amp;spf=1498773224669  Since they are sharing the same address, we need to be clear on the exposure to determine if there is any concern about our insured's section of the property._x000a_• Your note says plumbing and roof are updated, but the app says heating and plumbing.  If that is the case we would need to apply the roof exclusion to this 41 year old roof._x000a_• With off grid homes, one of our concerns is freezing pipes if the insured is away.  What precautions do they follow to ensure pipes do nto freeze?_x000a_• Complete and acceptable woodburning stove application_x000a_• Could you please tell me the current pricing?  We will want to apply a surcharge for the additional exposures of sharing the property with others, possible overlapping coverage, and off grid systems._x000a_"/>
    <s v="07/11/17 update from Danielle: Jon has used his home address and landline for his business correspondence for 40 years.  He is a home builder specializing in Victorian restoration and his work takes place elsewhere_x000a__x000a_Roof is galvanized steel.  I have had the panels replaced as needed on an ongoing basis_x000a__x000a_any exposed water pipes in the crawl space under the house are wrapped in foam insulation.  the house is insulated.  Rest of subjectivities will be confirmed later. Burdine gave approval to continue with quote, and advised that need to be sure to take other winterization measures as well, not just pipe wrapping_x000a_"/>
    <m/>
    <s v="Patterson"/>
  </r>
  <r>
    <x v="125"/>
    <x v="0"/>
    <s v="MI"/>
    <s v="Jill"/>
    <s v="Email"/>
    <s v="Solaris Property Group LLC  BWD104421"/>
    <m/>
    <s v="DP3 Rental"/>
    <s v="Greenwood"/>
    <s v="IN"/>
    <n v="5"/>
    <n v="2500000"/>
    <n v="2655000"/>
    <s v="TIV"/>
    <s v="This is a Markel renewal that did not get referred at NB.  2004 masonry home. 4/1/15 wind/hail $30K. Roof replace. Inspection in file.  2 electrical hazards identified in photos that were not listed as recs. Tape over breakers in one panel, no panel cover on another.  There are 3 panels."/>
    <x v="0"/>
    <s v="LLC form in file. Get electrical hazards corrected."/>
    <m/>
    <m/>
    <s v="Patterson"/>
  </r>
  <r>
    <x v="126"/>
    <x v="2"/>
    <m/>
    <s v="Alex"/>
    <s v="Email"/>
    <s v="Kirkland"/>
    <m/>
    <s v="HO3 Builders Risk"/>
    <m/>
    <s v="CA"/>
    <m/>
    <m/>
    <m/>
    <s v="Motorhome on property"/>
    <s v="Insured is living in a motor home on the 20 acre property during construction. Do we have any concern with premises liability. Ground up construction of home at the front, motor home is at the back."/>
    <x v="1"/>
    <m/>
    <m/>
    <m/>
    <s v="Patterson"/>
  </r>
  <r>
    <x v="126"/>
    <x v="2"/>
    <m/>
    <s v="Alison"/>
    <s v="Email"/>
    <s v="Gerson"/>
    <m/>
    <s v="HO3 Seasonal"/>
    <s v="Malibu"/>
    <s v="CA"/>
    <m/>
    <n v="2300000"/>
    <n v="3910000"/>
    <s v="TIV/Flat roof"/>
    <s v="1994 home. Roof is flat and original. Beautiful Malibu beach home. $5K AOP deductible."/>
    <x v="2"/>
    <s v="If roof truly is original, need ACV roof and 10% s/c (keeping in line w/guidelines we are developing) Could work on the s/c if this makes us uncompetitive.  //7/6 reviewed terms regarding roof. Approved option of $10K water ded and not ACV."/>
    <m/>
    <m/>
    <s v="Patterson"/>
  </r>
  <r>
    <x v="126"/>
    <x v="0"/>
    <s v="MI"/>
    <s v="Danielle"/>
    <s v="Email"/>
    <s v="Brown, Charles BWH104677"/>
    <m/>
    <s v="HO3 Primary"/>
    <s v="Carbondale"/>
    <s v="CO"/>
    <n v="5"/>
    <n v="2107280"/>
    <n v="3424200"/>
    <s v="TIV/Prior loss"/>
    <s v="This is a Markel renewal that did not get referred at NB.  2003 home with alarms. Caretaker home appears to be insured but app says separate property address. Insp shows water damage in basement. No note if this is repaired. Prior loss was to caretaker home $140K water damage. (Utilities not turned on in error - insd didn't realize it was a separate addr.)"/>
    <x v="2"/>
    <s v="Asked Danielle about caretaker home. Separate address should be separate property?  Asked if water damage in main home basement is repaired?// 7/19/17 caretaker home on same property. Approved pending confirmation of water damage repair."/>
    <m/>
    <m/>
    <s v="Patterson"/>
  </r>
  <r>
    <x v="126"/>
    <x v="0"/>
    <s v="MI"/>
    <s v="Danielle"/>
    <s v="Email"/>
    <s v="Wall, William &amp; Teresa"/>
    <m/>
    <s v="HO3 Primary"/>
    <s v="Irving"/>
    <s v="TX"/>
    <n v="4"/>
    <n v="150000"/>
    <n v="255000"/>
    <s v="Business on premise"/>
    <s v="1962 home w/updates. Insd has Cool 2 Inc. business on property. House is fenced off. No foot traffic. 4 employees. They rent out tents, tables, equipment, generators for events. Reviewed aerial photo of property and business website online. 2012 roof loss noted on app - no detail."/>
    <x v="0"/>
    <s v="• Add the Total Business Exclusion form_x000a_• Add a Building Exclusion for specifically listing any structures on the property that are used and/or insured commercially_x000a_• Obtain information on the 2012 roof claim noted on the app - what happened? What was the total amount of damage?  Have all repairs been made?  (This is outside the surcharge period, but we still want to know.)_x000a_"/>
    <m/>
    <m/>
    <s v="Patterson"/>
  </r>
  <r>
    <x v="127"/>
    <x v="0"/>
    <s v="MI"/>
    <s v="Leslie"/>
    <s v="Email"/>
    <s v="Follett, Kelly"/>
    <m/>
    <s v="HO3 Secondary"/>
    <s v="Olympic Valley"/>
    <s v="CA"/>
    <n v="2"/>
    <n v="2000000"/>
    <n v="3100000"/>
    <s v="TIV"/>
    <s v="Secondary home, 2017  build, in brush, PC 2, hydrant w/1000 feet, no losses"/>
    <x v="0"/>
    <s v="acceptable brush clearance, no losses, and confirmation of occupancy (app says occupied daily)"/>
    <m/>
    <m/>
    <s v="Burdine"/>
  </r>
  <r>
    <x v="128"/>
    <x v="1"/>
    <m/>
    <s v="Andrea"/>
    <s v="Email"/>
    <s v="Nikoletta LLC"/>
    <m/>
    <s v="HO3 Secondary w/Rental"/>
    <s v="Wells"/>
    <s v="ME"/>
    <n v="5"/>
    <n v="308800"/>
    <n v="383800"/>
    <s v="Earthquake"/>
    <s v="2015 home in Maine. Agent wants earthquake. We only have it in SC."/>
    <x v="3"/>
    <s v="Risk okay, but can't add earthquake for one risk."/>
    <m/>
    <m/>
    <s v="Patterson"/>
  </r>
  <r>
    <x v="128"/>
    <x v="1"/>
    <m/>
    <s v="MacKenzie"/>
    <s v="Email"/>
    <s v="Red Brick Rehab LLC"/>
    <m/>
    <s v="HO3 Builders Risk"/>
    <s v="Philadelphia"/>
    <s v="PA"/>
    <m/>
    <n v="313000"/>
    <m/>
    <s v="3rd COC renewal"/>
    <s v="1926 home being rehabbed. 6 month terms issued. We have been on risk 1 1/2 years so far. Photos look good.  However a loss has occurred. Extensive vandalism in the spring. (This is now July). Also advised risk appears to have been and still is underinsured."/>
    <x v="3"/>
    <s v="Extensive loss occurred in the spring and has not been reported."/>
    <s v="ADDL QUESTIONS IF WE DID FOR SOME REASON MOVE FOREWARD:  How did the loss occur?  What was the total amount of damage?  What steps have been taken to mitigate future losses?_x000a_Is the insured planning on living in the home when it is complete?  (Verifying if HO-3 form is correct)_x000a_Current premium?_x000a_Need to do an RCE based on what the completed structure will be like and insure for 100% of the completed value (should always be that way from the start of the policy).  It appears $313,000 is going to be too low._x000a_Really concerned with the open windows in the photos?  How are they protecting rain, birds, vandals, etc. from getting in?_x000a__x000a_"/>
    <m/>
    <s v="Patterson"/>
  </r>
  <r>
    <x v="128"/>
    <x v="6"/>
    <m/>
    <s v="Kirk"/>
    <s v="Email"/>
    <s v="Ardron, Gerard &amp; Marigold"/>
    <m/>
    <s v="HO3 Secondary w/Rental"/>
    <s v="Salinas"/>
    <s v="CA"/>
    <n v="3"/>
    <n v="2500000"/>
    <n v="3560000"/>
    <s v="TIV"/>
    <s v="1999 home not in brush. Tile roof per app, but online photo shows mostly flat. No updates to roof per app. $2500 AOP on app. No alarms yet."/>
    <x v="0"/>
    <s v="$10K water damage ded. Need c/s fire and burglar alarms."/>
    <m/>
    <m/>
    <s v="Patterson"/>
  </r>
  <r>
    <x v="128"/>
    <x v="2"/>
    <m/>
    <s v="Alison/Bobbi"/>
    <s v="Email/Call"/>
    <s v="Kenneth &amp; Molora Vadnais Living Trust"/>
    <m/>
    <s v="DP3 Vacant"/>
    <s v="Santa Barbara"/>
    <s v="CA"/>
    <m/>
    <n v="4269600"/>
    <n v="5000000"/>
    <s v="TIV"/>
    <s v="1925 home updated, nice condition but will have MFRC. RC came in at Cov A $5.2M but agent estimates MFRC at $800/SF=$4.2M. Can they insure for 100% MFRC.  Not in brush. System updates, breakers. Beautiful online pictures. Custom features."/>
    <x v="1"/>
    <s v="Policy forms support. Co-ins is figured against MFRC so I see no reason why we can't insured for MFRC."/>
    <m/>
    <m/>
    <s v="Patterson"/>
  </r>
  <r>
    <x v="128"/>
    <x v="2"/>
    <m/>
    <s v="Alex"/>
    <s v="Call"/>
    <s v="Lan Liu"/>
    <m/>
    <s v="HO3 Builders Risk"/>
    <m/>
    <s v="CA"/>
    <m/>
    <m/>
    <m/>
    <s v="No address"/>
    <s v="Insured building ground up COC. No address yet - it is Lot 49. In gated community. Mail going to neighbor. Insd lives in China."/>
    <x v="0"/>
    <s v="subject to confirmation that responding FD can find the location."/>
    <m/>
    <m/>
    <s v="Patterson"/>
  </r>
  <r>
    <x v="129"/>
    <x v="2"/>
    <m/>
    <s v="Alison"/>
    <s v="Email"/>
    <s v="Rice, Chris"/>
    <m/>
    <s v="DP3 Builders Risk"/>
    <s v="Los Angeles"/>
    <s v="CA"/>
    <m/>
    <n v="700000"/>
    <n v="770000"/>
    <s v="Policy form"/>
    <s v="1926 home w/partial updates. New purchase will be renovated (extent not determined). MIL will live in part of house and other part will be rented.  Ho-3 or DP-3?"/>
    <x v="0"/>
    <s v="DP3 since it's MIL and tenants. HO4's for all as needed. MFRC and plumb/heat/elec inspection since partial update."/>
    <m/>
    <m/>
    <s v="Patterson"/>
  </r>
  <r>
    <x v="129"/>
    <x v="0"/>
    <s v="MI"/>
    <s v="Jill"/>
    <s v="Email"/>
    <s v="Currey, Janice"/>
    <m/>
    <s v="HO3 Primary"/>
    <s v="Malibu"/>
    <s v="CA"/>
    <m/>
    <n v="1066000"/>
    <n v="1858600"/>
    <s v="ERC"/>
    <s v="1964 home w/partial updates in 1983. Agent asking for okay to add ERC."/>
    <x v="0"/>
    <s v="Advised Jill this is something within their authority to decide on and we are auditing on the back end."/>
    <m/>
    <m/>
    <s v="Patterson"/>
  </r>
  <r>
    <x v="129"/>
    <x v="0"/>
    <s v="MI"/>
    <s v="Jill"/>
    <s v="Email"/>
    <s v="Lance, Brent"/>
    <m/>
    <s v="HO3 Primary"/>
    <s v="Idyllwild"/>
    <s v="CA"/>
    <n v="3"/>
    <n v="110000"/>
    <n v="1870000"/>
    <s v="5 horses"/>
    <s v="2006 home in brush. Prev approved risk on 5/25/17. That home sale fell through and this is a different property. "/>
    <x v="0"/>
    <s v="As long as horse situation is the same (personal only, no breed, board, sales, riding lessons) then liab is still okay."/>
    <m/>
    <m/>
    <s v="Patterson"/>
  </r>
  <r>
    <x v="129"/>
    <x v="0"/>
    <s v="MI"/>
    <s v="Jill"/>
    <s v="Email"/>
    <s v="Sheely, Kathleen"/>
    <m/>
    <s v="HO3 Primary"/>
    <s v="Plymouth"/>
    <s v="IN"/>
    <n v="9"/>
    <n v="246000"/>
    <n v="470600"/>
    <s v="Business on premise"/>
    <s v="2002 home w/alarms. PC9 10 min response.  Business on prem is concrete flatwork company. 7 employees but many go to job site.  Aerial photo shows separation. Total Business Excl is included."/>
    <x v="0"/>
    <s v="Exclude any commercial other structures. Confirm no other business on prem. Found an online source connecting Kathleen to &quot;Dream Maker Homes LLC&quot;."/>
    <s v="Agt confirmed no other business exposure (Dream Maker LLC is not an active business, but insured still has name registered just in case). Gave OK to release terms with a lower ded, higher loss of use; but subject to total business exclusion/other structure exclusion as needed"/>
    <m/>
    <s v="Patterson"/>
  </r>
  <r>
    <x v="129"/>
    <x v="0"/>
    <s v="MI"/>
    <s v="Delta"/>
    <s v="Email"/>
    <s v="Ali, Syeda &amp; Uddin, Khaja"/>
    <m/>
    <s v="HO3 Primary"/>
    <s v="Bradbury"/>
    <s v="CA"/>
    <n v="3"/>
    <n v="2300000"/>
    <n v="3910000"/>
    <s v="TIV"/>
    <s v="2001 home in brush w/alarms. App UW questions not completed.  Online photos and description look good. "/>
    <x v="0"/>
    <s v="completed app"/>
    <m/>
    <m/>
    <s v="Patterson"/>
  </r>
  <r>
    <x v="129"/>
    <x v="0"/>
    <s v="MI"/>
    <s v="Alexa"/>
    <s v="Email"/>
    <s v="Martinez, Cliff"/>
    <m/>
    <s v="HO3 Primary"/>
    <s v="Topanga"/>
    <s v="CA"/>
    <n v="4"/>
    <n v="1047000"/>
    <n v="2572000"/>
    <s v="High profile"/>
    <s v="1957 home updated in 2000 in brush no alarms. Insured is a music composer, was drummer for Red Hot Chili Peppers and Captain Beefheart."/>
    <x v="0"/>
    <s v="Not &quot;too famous&quot;. Has caretaker frequently staying on premises - ok w/no alarm. Prev approved 12/2016. No changes in online concerns."/>
    <m/>
    <m/>
    <s v="Patterson"/>
  </r>
  <r>
    <x v="129"/>
    <x v="0"/>
    <s v="MI"/>
    <s v="Danielle"/>
    <s v="Email"/>
    <s v="Sitkovetsky, Aleksander"/>
    <m/>
    <s v="HO3 Primary"/>
    <s v="Malibu"/>
    <s v="CA"/>
    <n v="4"/>
    <n v="2582235"/>
    <n v="4490493"/>
    <s v="TIV"/>
    <s v="1993 home w/ alarms. Not in brush per RM. Close to it, but online Zillow photos look okay. No concern w/insd name or business. "/>
    <x v="1"/>
    <m/>
    <m/>
    <m/>
    <s v="Patterson"/>
  </r>
  <r>
    <x v="130"/>
    <x v="2"/>
    <m/>
    <s v="Alex"/>
    <s v="Email"/>
    <s v="Michaelson, Marc"/>
    <m/>
    <s v="HO3 Primary"/>
    <m/>
    <m/>
    <m/>
    <m/>
    <m/>
    <s v="Deductible"/>
    <s v="Agent inquiring about $25K AOP deductible. Wants to save $."/>
    <x v="3"/>
    <s v="Advised agent it reaches a point of diminishing returns where we can only give a few points for $10K to $25K AOP. If they really want, let me know and I will work w/Bethany on a number."/>
    <m/>
    <m/>
    <s v="Patterson"/>
  </r>
  <r>
    <x v="130"/>
    <x v="2"/>
    <m/>
    <s v="Alison"/>
    <s v="Email"/>
    <s v="3 Shadows LLC"/>
    <m/>
    <s v="DP3 Vacant"/>
    <m/>
    <s v="CA"/>
    <s v=" "/>
    <n v="3500000"/>
    <n v="4800000"/>
    <s v="Contents"/>
    <s v="Agents wants to add $700,000 personal property to vacant home up for sale. Insured staging with their own property. Theft coverage is n/a. Central station alarms. $10K ded already in place."/>
    <x v="0"/>
    <s v="C/S alarms in place and $10K ded.  Comfortable since no theft coverage. High value home."/>
    <m/>
    <m/>
    <s v="Patterson"/>
  </r>
  <r>
    <x v="130"/>
    <x v="0"/>
    <s v="MI"/>
    <s v="Jill"/>
    <s v="Email"/>
    <s v="Acosta, Rolando  BWH108556"/>
    <m/>
    <s v="HO3 Primary"/>
    <s v="Alliance "/>
    <s v="NE"/>
    <m/>
    <n v="283400"/>
    <n v="500000"/>
    <s v="Business on premise"/>
    <s v="2007 home. Trucking business and 30 cattle on premises. Appears to be about 40' from dwelling with separate drive per aerial view. Unknown use of cattle. Agent applying Total Business Excl, Animal Exclusion, and requiring GL."/>
    <x v="2"/>
    <s v="Additional questions:_x000a_• 30 cattle - what are they used for?  Are they related to the trucking business, or a separate business?  Are cattle bought and sold?  Amy slaughtered or other processing activities on premises?_x000a_• How far apart is the trucking business garage from the dwelling?  (It looks about 40 feet in the online aerial view - please confirm)_x000a_• What are the actual activities of the trucking business_x000a_• Are they hauling products?  What kind? Anything hazardous? Any storage of hauled items on property?_x000a_• Is the truck repair on the premises for repair of their fleet or is this a mechanic operation? (Asking to determine the extent of fire hazard near the dwelling)_x000a_If terms are offered they will be subject to:_x000a_• Specific exclusion of all buildings and barns used for the trucking business and the cattle (using the Building Exclusion form)_x000a_• Total Business exclusion_x000a_• Animal exclusion_x000a_• GL policy in place_x000a_• All uw questions on the app answered (some are blank)_x000a_• PCQ_x000a_• Confirmation no employees ever go into or around the dwelling//Received addl info and agreed to remain on risk subject to items listed._x000a_"/>
    <m/>
    <m/>
    <s v="Patterson"/>
  </r>
  <r>
    <x v="130"/>
    <x v="1"/>
    <m/>
    <s v="Tamika"/>
    <s v="Call"/>
    <m/>
    <m/>
    <s v="DP3 Vacant"/>
    <m/>
    <m/>
    <m/>
    <m/>
    <m/>
    <s v="Occupancy"/>
    <s v="Insured is a doctor in the process of retiring. This risk was written as a vacant dwelling, but it is actually used as his medical practice with 3-4 patients per week, no residential use other than he eats lunch there on the day(s) he sees patients. Agent non-renewed. Retailer wants to know how we can stay on it. Tamika did refer this commercially, they reached out but agent has not replied there. Trying to keep this policy."/>
    <x v="3"/>
    <s v="Risk is not being used as a dwelling. It is commercial medical office. Should be insured commercially. "/>
    <m/>
    <m/>
    <s v="Patterson"/>
  </r>
  <r>
    <x v="130"/>
    <x v="2"/>
    <m/>
    <s v="Alison"/>
    <s v="Email"/>
    <s v="Zhou, Xuhua"/>
    <m/>
    <s v="HO3 Primary"/>
    <s v="Pacific Palisades"/>
    <s v="CA"/>
    <m/>
    <n v="3500000"/>
    <n v="4350000"/>
    <s v="TIV"/>
    <s v="2016 dwelling we wrote as vacant, now purchased by new owner."/>
    <x v="1"/>
    <s v="See Yehoda approval. No adverse info on new insured."/>
    <m/>
    <m/>
    <s v="Patterson"/>
  </r>
  <r>
    <x v="131"/>
    <x v="0"/>
    <s v="MI"/>
    <s v="Jill"/>
    <s v="Email"/>
    <s v="Hill, Richard"/>
    <m/>
    <s v="DP3 Rental"/>
    <s v="Kapaa"/>
    <s v="HI"/>
    <n v="10"/>
    <n v="1800000"/>
    <n v="3060000"/>
    <s v="TIV/PC 10"/>
    <s v="Frame, built in 2008, tenant occupied, no losses, wood shake roof, located in HI PC 10-response time 15 minutes, hydrant w/in 100 0 feet, $19,184 premium"/>
    <x v="0"/>
    <m/>
    <s v="Making sure not in Brush Zone (can't find notes if HI is in brush, but per Google some current wildfires); if in brush, need to be sure roof is fire resistant shakes"/>
    <m/>
    <s v="K.Burdine"/>
  </r>
  <r>
    <x v="131"/>
    <x v="0"/>
    <s v="MI"/>
    <s v="Jill"/>
    <s v="Email"/>
    <s v="THE DANA R STONE REVOCABLE TRU"/>
    <m/>
    <s v="DP3 rental"/>
    <s v="Tahoma"/>
    <s v="CA"/>
    <n v="4"/>
    <n v="2100000"/>
    <n v="3780000"/>
    <s v="TIV"/>
    <s v="Frame, PC4, built in 1999, marked as tenant (appears to be only used as str), no brush, no losses, located in CA; log home, held in two trusts"/>
    <x v="1"/>
    <s v="RM OK, log home and trust questionnaires OK. "/>
    <m/>
    <m/>
    <s v="K.Burdine"/>
  </r>
  <r>
    <x v="131"/>
    <x v="5"/>
    <s v="NC"/>
    <s v="Anella"/>
    <s v="Email"/>
    <s v="Perrone, Toni"/>
    <m/>
    <s v="HO3 Secondary"/>
    <s v="Manteo"/>
    <s v="NC"/>
    <n v="5"/>
    <n v="459500"/>
    <n v="919000"/>
    <s v="Marshland not in guidelines"/>
    <s v="Secondary home, 2001 build year, built on 10.5 acres of marshland"/>
    <x v="4"/>
    <s v="Questioning accessibility and if prone to flooding and to confirm address as current provided shows business area on google. Asked for photos if available"/>
    <m/>
    <m/>
    <s v="K.Burdine"/>
  </r>
  <r>
    <x v="131"/>
    <x v="0"/>
    <s v="MI"/>
    <s v="Jill"/>
    <s v="Email"/>
    <s v="Taylor, Jayceon"/>
    <m/>
    <s v="HO3 Primary"/>
    <s v="Calabasa"/>
    <s v="CA"/>
    <m/>
    <n v="1300000"/>
    <m/>
    <s v="High Profile"/>
    <s v="Rapper-The Game, attached list of legal issues (most recent 2016), currently renting home but in process of buying"/>
    <x v="3"/>
    <s v="Too high profile; still very involved in entertainment/music industry. For example, recently had a reality show (2015) on a major network where females competed to date him"/>
    <m/>
    <m/>
    <s v="K.Burdine"/>
  </r>
  <r>
    <x v="131"/>
    <x v="6"/>
    <s v="CA"/>
    <s v="Kirk"/>
    <s v="Email"/>
    <s v="Cavanaugh, Donald"/>
    <m/>
    <s v="HO3 Primary"/>
    <s v="Palm Springs"/>
    <s v="CA"/>
    <n v="3"/>
    <n v="1720000"/>
    <n v="3462600"/>
    <s v="TIV/Prior  Non-renewal"/>
    <s v="2 prior theft claims, out of brush, alarms in home, 2001 build; Travelers NR due to 2 theft losses-provided info-1 in 2013-power was out, someone came in home and insured scared off-$3,075 paid. 1 in 2016-insured left door open for a guest, has since installed electronic locks that he can change codes on if a guest uses-paid $1400"/>
    <x v="0"/>
    <s v="subject to confirmation no business on premise, all uw app questions answered, and prefer higher theft ded, but OK keeping with lower ded since mitigation was put in place"/>
    <s v="Melissa's notes from original referral:2001 home not in brush, full c/s alarms. Online info looks fine. 2 prior theft losses - break in to home per app. 7/13 $3K computer, watches; 5/16 $1,400 computer and satchel. Checked Trulia, not a high crime area (although many have occurred). Wouldn't figure a $3.5M TIV risk to be a smash and grab target. No online concerns with name or prop addr. mLooking for any evidence or morale hazard. Should have done something to keep this from happening.  • The app says these were both home break ins.  Could you please get some details about what happened.  It was this house, correct?  How did the losses occur, what time of day, anyone home, did they have alarms at the time?_x000a_• What has been done to prevent future similar losses?_x000a_• If we move forward it will be subject to:_x000a_Confirmation of no business taking place on the premises (app says self employed, agent has CL policies, just wanted to make sure)_x000a_• All UW questions on app must be answered (some are blank)_x000a_Considered running an A+ and insurance score, but loss amounts are small. May do this when the answers come back."/>
    <m/>
    <s v="K.Burdine"/>
  </r>
  <r>
    <x v="131"/>
    <x v="0"/>
    <s v="CA"/>
    <s v="Danielle"/>
    <s v="Email"/>
    <s v="Woods, Carl"/>
    <m/>
    <s v="HO3 Primary"/>
    <m/>
    <s v="CA"/>
    <m/>
    <m/>
    <n v="5000000"/>
    <s v="TIV/Renewal"/>
    <s v="BWH104709-35753198 CARL WOODS-renewal."/>
    <x v="0"/>
    <s v="Reviewed 2016 approval; gave OK to renew as total business exclusion still endorsed on pol. Advised approved subject to agent still in control of comm policy"/>
    <m/>
    <m/>
    <s v="K.Burdine"/>
  </r>
  <r>
    <x v="131"/>
    <x v="0"/>
    <s v="MI"/>
    <s v="Jill"/>
    <s v="Email"/>
    <s v="Park, Chanwang"/>
    <m/>
    <s v="HO3 Primary"/>
    <s v="Carmel"/>
    <s v="IN"/>
    <n v="5"/>
    <n v="200000"/>
    <n v="3600000"/>
    <s v="TIV"/>
    <s v="Built in 2005, brick veneer, primary, PC5, no alarms, no losses, located in IN, reviewed google. Insured is a anesthesiologist "/>
    <x v="0"/>
    <s v="Per app and photos, pool has diving board. Unclear from photos if pool fenced. Advised subject to pool exclusion"/>
    <m/>
    <m/>
    <s v="K.Burdine"/>
  </r>
  <r>
    <x v="132"/>
    <x v="0"/>
    <s v="MI"/>
    <s v="Jill"/>
    <s v="Email"/>
    <s v="Benson, Steve &amp; Darleene"/>
    <m/>
    <s v="HO3 Primary"/>
    <s v="Colfax"/>
    <s v="CA"/>
    <s v="8B"/>
    <n v="850000"/>
    <n v="1700000"/>
    <s v="PC 9"/>
    <s v="Built in 1990, roof updated 2013, in brush zone, frame, no losses, RM, Unprotected questionnaire provided"/>
    <x v="1"/>
    <s v="Questionnaire OK, water tank on premises, response time OK. Declined use of discretionary credit due to PC and Brush"/>
    <m/>
    <m/>
    <s v="K.Burdine"/>
  </r>
  <r>
    <x v="132"/>
    <x v="0"/>
    <s v="MI"/>
    <s v="Alexa"/>
    <s v="Email"/>
    <s v="Hu, Wei; Ge, Zhe Yong"/>
    <m/>
    <s v="HO3/Secondary"/>
    <s v="New Castle"/>
    <s v="WA"/>
    <n v="2"/>
    <n v="2118214"/>
    <n v="3918696"/>
    <s v="TIV"/>
    <s v="Seasonal, WA, 2006 built, frame, no alarms, no losses. New US home purchase by applicant, will be returning to China for a couple of months then use this home as primary"/>
    <x v="1"/>
    <s v="Approve, suggest alarm installation (central alarms noted on app)"/>
    <s v="Agt f/u that alarms are in home"/>
    <m/>
    <s v="K.Burdine"/>
  </r>
  <r>
    <x v="132"/>
    <x v="4"/>
    <s v="CO"/>
    <s v="Allison"/>
    <s v="Email"/>
    <s v="Becker, Michelle"/>
    <m/>
    <s v="HO3/Primary"/>
    <s v="Quarry"/>
    <s v="CO"/>
    <n v="7"/>
    <n v="520000"/>
    <n v="1040000"/>
    <s v="Bankruptcy"/>
    <s v="Primary,2004 build, prior dog bit claim $20K, dog no longer in home, but have new german sheppard pup so quoted with animal exclusion; prior bankruptcy discharged in 2016"/>
    <x v="0"/>
    <s v="Approve, subject to 10% surcharge for prior history and animal exclusion as quoted"/>
    <m/>
    <m/>
    <s v="K.Burdine"/>
  </r>
  <r>
    <x v="133"/>
    <x v="0"/>
    <m/>
    <s v="Rachel"/>
    <s v="Email"/>
    <s v="Marshall, Brenda"/>
    <m/>
    <s v="HO3/Primary"/>
    <s v="Tulsa"/>
    <s v="OK"/>
    <n v="5"/>
    <n v="192000"/>
    <n v="393600"/>
    <s v="Business on Premise"/>
    <s v="1965 home, PC 5 w/alarms; 2 losses-11/1/15-water-paid $6418 and 07/14/16-wind/hail-$0 paid Trucking business conducted on premises"/>
    <x v="0"/>
    <s v="x-liab and total business exclusion. Advised if want liab need more info on trucking business on premises"/>
    <s v="Granted approval again on 12/06/2017 after receiving request from Danielle to approve again. K.Burdine"/>
    <m/>
    <s v="K.Burdine"/>
  </r>
  <r>
    <x v="133"/>
    <x v="7"/>
    <s v="VA"/>
    <s v="Charity"/>
    <s v="Email"/>
    <s v="Legum, Stacy"/>
    <m/>
    <s v="HO3/Primary"/>
    <s v="Windsor"/>
    <s v="VA"/>
    <n v="10"/>
    <n v="365000"/>
    <n v="620500"/>
    <s v="Protection Class"/>
    <s v="Risk is 8 miles from Fire Station. Home also is on 7 acres with 3 horses that are used for personal use only. There is a home office where business is conducted(HVAC business), no clients are on the property. There is a trampoline on the premises with a safety net and anchored to the ground with sand bags. "/>
    <x v="0"/>
    <s v="subject to: response time w/in 15 minutes, no employees on premise, trampoline exclusion"/>
    <m/>
    <m/>
    <s v="K.Burdine"/>
  </r>
  <r>
    <x v="133"/>
    <x v="0"/>
    <s v="MI"/>
    <s v="Jill"/>
    <s v="Email"/>
    <s v="Brewer, Robert"/>
    <m/>
    <s v="HO3/Primary"/>
    <s v="Nevada City"/>
    <s v="CA"/>
    <n v="8"/>
    <n v="1755000"/>
    <n v="3951500"/>
    <s v="TIV"/>
    <s v="In brush, PC 8, Primary, frame, c/s alarms, built in 1996, no losses;"/>
    <x v="0"/>
    <s v="Confirmed from google that insured didn't build home, but did pull permits for detached structures; premium OK; Nationwide NR-advised to be sure no property/applicant concerns"/>
    <s v="Advised Jill same applicant as one sent by Danielle in May/June"/>
    <m/>
    <s v="K.Burdine"/>
  </r>
  <r>
    <x v="133"/>
    <x v="2"/>
    <s v="CA"/>
    <s v="Alison"/>
    <s v="Email"/>
    <s v="Greenberg, Randy and Sarah"/>
    <m/>
    <s v="DP3/Rental"/>
    <s v="Los Angeles"/>
    <s v="CA"/>
    <n v="2"/>
    <n v="2000000"/>
    <n v="3535000"/>
    <s v="TIV"/>
    <s v="1991 build, in brush, no losses"/>
    <x v="1"/>
    <s v="approved w/ brush surcharge"/>
    <m/>
    <m/>
    <s v="K.Burdine"/>
  </r>
  <r>
    <x v="134"/>
    <x v="0"/>
    <s v="CA"/>
    <s v="Alexa"/>
    <s v="Email"/>
    <s v="Moegling, Rainer"/>
    <m/>
    <s v="HO3/Primary"/>
    <s v="Laguna Beach "/>
    <s v="CA"/>
    <n v="3"/>
    <n v="3650000"/>
    <n v="3900000"/>
    <s v="TIV"/>
    <s v="2008, frame construction, PC3, with alarms, and one loss. Prior loss from 01/17 should be closed soon, no repairs started (roof/water). Lloyds NR 07/05/17"/>
    <x v="4"/>
    <s v="No explanation given for NR; advised repairs need to be underway prior to releasing terms"/>
    <m/>
    <m/>
    <s v="K.Burdine"/>
  </r>
  <r>
    <x v="134"/>
    <x v="0"/>
    <s v="MI"/>
    <s v="Danielle"/>
    <s v="Email"/>
    <s v="Jacobson, Sandra &amp; Ronald"/>
    <m/>
    <s v="HO3/Primary"/>
    <s v="Prescott"/>
    <s v="AZ"/>
    <n v="10"/>
    <n v="726000"/>
    <n v="1574850"/>
    <s v="TIV/PC"/>
    <s v="built in 2000 of frame construction.  PC10, 6 minute response time, with full c/s alarms. They have an open dog bit claim 11/11/16; reserve amount is $10,000. Insured was hiking with dog and dog was scared by other hiker that came around a bend and nibbled the ankle of the other hiker."/>
    <x v="0"/>
    <s v="PCQ Ok, approved with animal exclusion."/>
    <m/>
    <m/>
    <s v="K.Burdine"/>
  </r>
  <r>
    <x v="134"/>
    <x v="0"/>
    <s v="MI"/>
    <s v="Delta"/>
    <s v="Email"/>
    <s v="Keshen, Mary Ann"/>
    <m/>
    <s v="DP3/Rental"/>
    <s v="Malibu"/>
    <s v="CA"/>
    <n v="4"/>
    <n v="2650000"/>
    <n v="3241000"/>
    <s v="TIV"/>
    <s v="Home was built in 1994 of frame construction. PC4, not in brush, No C/S Alarms, No losses."/>
    <x v="2"/>
    <s v="Corp LLC Form Acceptable, PC Ok, premium OK. Per agt &quot;We would of course watch and check for the Wildfires if this were to bind.&quot;//8/1/17 agt wanted to reduce deductible - declined due to no alarms."/>
    <m/>
    <m/>
    <s v="K.Burdine"/>
  </r>
  <r>
    <x v="134"/>
    <x v="0"/>
    <s v="MI"/>
    <s v="Delta"/>
    <s v="Email"/>
    <s v="Bradley, Bill"/>
    <m/>
    <s v="HO3/Primary"/>
    <s v="Bermuda Dunes"/>
    <s v="CA"/>
    <n v="4"/>
    <n v="1107000"/>
    <n v="2269350"/>
    <s v="Business"/>
    <s v="primary home located in CA.  Home was built in 2000 of frame construction. PC4, not in brush, no losses, no alarms. There is a business exposure. There is one driveway, 2 buildings on the property. One building is used as an office for Bradley Electric. The other building is where the applicant lives. Little foot traffic. It is rare a client would come to the office. Usually the only people at this office are him, his office manager and his estimator."/>
    <x v="0"/>
    <s v="Home acceptable, business separated. OK w/ total business and other structure exclusion"/>
    <m/>
    <m/>
    <s v="K.Burdine"/>
  </r>
  <r>
    <x v="135"/>
    <x v="2"/>
    <m/>
    <s v="Alison"/>
    <s v="Email"/>
    <s v="Manavi, Farshad"/>
    <m/>
    <s v="HO3 Primary w/rental"/>
    <s v="Beverly Hills"/>
    <s v="CA"/>
    <n v="1"/>
    <n v="1900000"/>
    <n v="3458000"/>
    <s v="TIV"/>
    <s v="1925 home w/MFRC. No info yet on updates. Agt quoted w/$5K ded. Roof updated in 91. Found a &quot;unit B&quot; online. "/>
    <x v="0"/>
    <s v="Verify what this unit B is and if it changes application detail."/>
    <m/>
    <m/>
    <s v="Patterson"/>
  </r>
  <r>
    <x v="135"/>
    <x v="7"/>
    <s v="VA"/>
    <s v="Charity"/>
    <s v="Email"/>
    <s v="Tubbahji, Samar"/>
    <m/>
    <s v="HO3 Primary"/>
    <s v="Clifton"/>
    <s v="VA"/>
    <n v="5"/>
    <n v="425000"/>
    <n v="790000"/>
    <s v="Prior losses"/>
    <s v="1989 dwelling w/ 3 prior losses. 4/17 water leak pipes $13K; 5/16 hail damage $14K; 11/15 frozen pipes $34k.  Agent checking on what has been done to mitigate. Wants terms pending."/>
    <x v="0"/>
    <s v="Pending info on what has been done to mitigate. If nothing, advised we probably won't offer terms."/>
    <m/>
    <m/>
    <s v="Patterson"/>
  </r>
  <r>
    <x v="135"/>
    <x v="0"/>
    <m/>
    <s v="Jill"/>
    <s v="Email"/>
    <s v="Hickey, Geneva"/>
    <m/>
    <s v="HO3 Primary"/>
    <s v="Oracle"/>
    <s v="AZ"/>
    <n v="9"/>
    <n v="399000"/>
    <n v="778050"/>
    <s v="Response time"/>
    <s v="1923 home on historical registry.  Site of Buffalo Bill Cody gold mine. Branch wants RC. Several outbuildings."/>
    <x v="2"/>
    <s v="1.  This is the site of a gold mine once run by Buffalo Bill Cody.  Are tours offered?  _x000a_2.  Guest house is rented out per website:_x000a_http://www.highjinksranch.net/accomodations.html  Is this still the case?_x000a_3.  Accommodations for passing hikers:_x000a_http://www.highjinksranch.net/az-trail.html  Is this still the case?_x000a__x000a_If we proceed, it will be subject to:_x000a__x000a_• Protection class should be “9”.  8B converts to a 9._x000a_• Excluding building that has travel trailer built into it - does not qualify for our program_x000a_• Exclude barn per agent note_x000a_• Woodburning stove questionnaire for unit in Casita building_x000a_• Since this is a significant historical site, we would not be comfortable offering replacement cost.  If we proceed, functional replacement cost could be offered._x000a_• Please provide annual premium.  We will want to add a surcharge for the extended response time._x000a_• Determine if there are any animals or farming on the premises._x000a_//7/20/17  Answers to all provided and proceeded w/terms."/>
    <s v="07/21 advised to add a 20-25% surcharge for response time. K.Burdine"/>
    <m/>
    <s v="Patterson"/>
  </r>
  <r>
    <x v="135"/>
    <x v="6"/>
    <m/>
    <s v="Lisa"/>
    <s v="Call"/>
    <s v="Pham, Ashley HUCAH150002467"/>
    <m/>
    <s v="DP3 Rental"/>
    <m/>
    <m/>
    <m/>
    <m/>
    <m/>
    <s v="Builders Risk"/>
    <s v="Agent found out from inspection that duplex is half rented, half under reno. Can they write DP3 coverage needed for the side that is rented?  "/>
    <x v="1"/>
    <m/>
    <m/>
    <m/>
    <s v="Patterson"/>
  </r>
  <r>
    <x v="135"/>
    <x v="2"/>
    <m/>
    <s v="Alison"/>
    <s v="Email"/>
    <m/>
    <m/>
    <m/>
    <m/>
    <m/>
    <m/>
    <m/>
    <m/>
    <s v="6 renters"/>
    <s v="Small homeowners which agent found online is renting individual rooms. Turns out it is to 6 individuals. Agent wants to decline."/>
    <x v="3"/>
    <m/>
    <m/>
    <m/>
    <s v="Patterson"/>
  </r>
  <r>
    <x v="136"/>
    <x v="2"/>
    <m/>
    <s v="Bobbi"/>
    <s v="Email"/>
    <s v="Campbell, Barton &amp; Susetter HUCAH150000817"/>
    <m/>
    <s v="HO3 Primary"/>
    <m/>
    <m/>
    <m/>
    <m/>
    <m/>
    <s v="Roof age"/>
    <s v="1970 home with roof exclusion. Renewal coming up. Roof is metal tile and per inspection looks like in good condition. Agent wants to add covg back for roof."/>
    <x v="0"/>
    <s v="If we get a roofer statement, can consider adding ACV roof."/>
    <s v="Statement rec'd. 5-10 years left. Gave Ok for ACV, advised be sure insured aware needs to replace w/in that time frame. K.Burdine"/>
    <m/>
    <s v="Patterson"/>
  </r>
  <r>
    <x v="136"/>
    <x v="4"/>
    <s v="CO"/>
    <s v="Allison"/>
    <s v="Email"/>
    <s v="Ainslie, Bradford &amp; Erika"/>
    <m/>
    <s v="HO3 Secondary w/Rental"/>
    <s v="Denver"/>
    <s v="CO"/>
    <n v="3"/>
    <n v="2000000"/>
    <n v="2750000"/>
    <s v="Alarm"/>
    <s v="2000 home w/ no alarm, required for this TIV. Appears to have $5K ded."/>
    <x v="0"/>
    <s v="Asked for 7500 or 10000 ded."/>
    <m/>
    <m/>
    <s v="Patterson"/>
  </r>
  <r>
    <x v="136"/>
    <x v="7"/>
    <s v="VA"/>
    <s v="Charity"/>
    <s v="Email"/>
    <s v="The Beuchert Family Trust"/>
    <m/>
    <s v="DP3 Rental"/>
    <s v="Hughesville"/>
    <s v="MD"/>
    <n v="9"/>
    <n v="595000"/>
    <n v="719000"/>
    <s v="PC9"/>
    <s v="1965 home updated. Volunteer FD within 2 miles per google."/>
    <x v="0"/>
    <s v="Confirm responding FD. 15 min or less ok."/>
    <m/>
    <m/>
    <s v="Patterson"/>
  </r>
  <r>
    <x v="136"/>
    <x v="2"/>
    <m/>
    <s v="Alex"/>
    <s v="Call"/>
    <s v="Morady"/>
    <m/>
    <s v="HO3 Primary"/>
    <s v="Malibu"/>
    <s v="CA"/>
    <m/>
    <n v="2336000"/>
    <m/>
    <s v="Valuation"/>
    <s v="Inspection shows $2.9M. Agent produced MSB 360 showing $2.336M. Should value be changed?"/>
    <x v="0"/>
    <s v="Review details. If similar, no gaps, okay to go with $2.336. Can ask vendor to re-run using different valuation vendor."/>
    <m/>
    <m/>
    <s v="Patterson"/>
  </r>
  <r>
    <x v="136"/>
    <x v="2"/>
    <m/>
    <s v="Alex"/>
    <s v="Call"/>
    <s v="Western Equity Partners"/>
    <m/>
    <s v="DP3 Builders Risk"/>
    <m/>
    <m/>
    <m/>
    <m/>
    <m/>
    <s v="Named insured "/>
    <s v="NI is 4 individuals acting together to purchase, reno and sell.  They individually own other houses as well.  This is not a conglomerate.  Okay to keep on PL?"/>
    <x v="1"/>
    <m/>
    <m/>
    <m/>
    <s v="Patterson"/>
  </r>
  <r>
    <x v="136"/>
    <x v="0"/>
    <s v="MI"/>
    <s v="Jill"/>
    <s v="Email/Call"/>
    <s v="Rose, Jeffery BWH72635164"/>
    <m/>
    <s v="HO3 Primary"/>
    <s v="Fairplay "/>
    <s v="CO"/>
    <m/>
    <m/>
    <m/>
    <s v="Cosmetic hail form"/>
    <s v="Since inception and for 2 renewals, the policy has not had the cosmetic hail form. Jill just caught it. Asking her to look into what happened at branch or SRD. System ok now? Everyone on board w/applying? She is asking if we have to add it or can we continue without."/>
    <x v="0"/>
    <s v="Remove 7.455 credit to get back to square one, then apply a 3% surcharge. This gets to about 10.5 surcharge. Hailscore is 1, so okay to proceed with surchage in place of form. Very nice overall log style home."/>
    <m/>
    <m/>
    <s v="Patterson"/>
  </r>
  <r>
    <x v="136"/>
    <x v="2"/>
    <s v=" "/>
    <s v="Alex"/>
    <s v="Call/Email"/>
    <s v="Campbell   "/>
    <m/>
    <s v="HO3 Primary"/>
    <m/>
    <m/>
    <m/>
    <m/>
    <m/>
    <s v="Business use other structure"/>
    <s v="Insured has an off premises retail store and stores antique items (inventory) in her barn on premises.  Property is insured elsewhere, needs barn coverage."/>
    <x v="0"/>
    <s v="Full submission coming. Policy itself covers this. Add Total Business Excl."/>
    <m/>
    <m/>
    <s v="Patterson"/>
  </r>
  <r>
    <x v="136"/>
    <x v="0"/>
    <s v="MI"/>
    <s v="Jill"/>
    <s v="Email"/>
    <s v="Ford    "/>
    <s v="Gwen"/>
    <s v="DP3 Rental"/>
    <s v="Dandridge"/>
    <s v="TN"/>
    <n v="10"/>
    <n v="200000"/>
    <n v="220000"/>
    <s v="Business use other structure"/>
    <s v="Short term renal to ministry members.  (??) Broadcast for local TV from garage. No crew, insured &amp; camera only."/>
    <x v="3"/>
    <s v="Could you please expand on this a little more:  &quot;short term rental rented to members of a ministry&quot;.  Is this for ministry use or residential?  Is it for missionaries, or is it a halfway house or something like that?  I'm sure there are other questions, this is just a little vague._x000a__x000a_Regarding the broadcast out of the garage:_x000a_• Is there any equipment that would increase the fire hazard (which might affect the main dwelling)?_x000a_• Is there a website?_x000a__x000a_As you noted, we would be applying the Total Business Exclusion, but just want a feel for the overall exposure before we go forward._x000a_//7/20/17 This is a commercial risk w/rental. Suggested Jill pursue a church BOP or commercial policy."/>
    <m/>
    <m/>
    <s v="Patterson"/>
  </r>
  <r>
    <x v="136"/>
    <x v="1"/>
    <m/>
    <s v="Tamika"/>
    <s v="Email"/>
    <s v="Falco"/>
    <m/>
    <s v="HO3 Primary"/>
    <s v="Madison"/>
    <s v="NJ"/>
    <m/>
    <n v="551000"/>
    <m/>
    <s v="Open claim"/>
    <s v="1900 dwelling w/2013 updates. 3 losses: 2013 fire - subro against contractor - fire during renovation. 3/15 toilet overflow $31K; 11/16 family member tripped on sidewalk. Open. May be Madison Twp. Still fighting. Sidewalk area repaired."/>
    <x v="0"/>
    <s v="You are approved to release terms with liability subject to:_x000a_• RC okay if home has been gutted and renovated per guidelines.  If updated only, then MFRC would apply._x000a_• No water backup coverage.  (Not sure if you were including – I see it on the app)_x000a_• Surcharge for 2 losses_x000a_"/>
    <m/>
    <m/>
    <s v="Patterson"/>
  </r>
  <r>
    <x v="136"/>
    <x v="0"/>
    <s v="MI"/>
    <s v="Jill"/>
    <s v="Email"/>
    <s v="Maurer, David"/>
    <m/>
    <s v="HO8 Primary"/>
    <s v="Fairbanks"/>
    <s v="IA"/>
    <n v="6"/>
    <n v="250000"/>
    <n v="535000"/>
    <s v="Business on premise"/>
    <s v="1921 home updated. Tree trimming business - administrative work on premises. No traffic. Add total business excl. Has GL."/>
    <x v="2"/>
    <s v="Online source shows insd addr as business addr. Where do employees meet and where is equip stored. Total Business Excl ok, may need building excl.  // 7/24/17 addl info from Danielle - employees come to prem and business equip and trucks are stored in a pole barn 60' from home. Approved with TBE and building excl. GL must remain in place."/>
    <m/>
    <m/>
    <s v="Patterson"/>
  </r>
  <r>
    <x v="137"/>
    <x v="2"/>
    <m/>
    <s v="Melissa"/>
    <s v="Email"/>
    <s v="Cohanim, Ilana HUCAH15000000848"/>
    <m/>
    <s v="DP3 Builders Risk"/>
    <m/>
    <m/>
    <m/>
    <m/>
    <m/>
    <s v="Prior loss"/>
    <s v="Agent reviewing for renewal terms and wanted claim detail and advice on how to proceed. "/>
    <x v="0"/>
    <s v="Advised ok if occupied. If for sale, vacant or still builders risk, would not offer renewal terms. $41K loss 9/16 for VMM at dwelling."/>
    <m/>
    <m/>
    <s v="Patterson"/>
  </r>
  <r>
    <x v="137"/>
    <x v="2"/>
    <m/>
    <s v="Alison"/>
    <s v="Call"/>
    <s v="Kreymer, Mark"/>
    <m/>
    <s v="DP3 Rental"/>
    <m/>
    <m/>
    <m/>
    <m/>
    <m/>
    <s v="Triplex Liability"/>
    <s v="Agent has a triplex which has turned out to be 3 separate units w/3 separate addresses. Discussed writing as 3 separate DP policies w/liability charge for each."/>
    <x v="1"/>
    <m/>
    <m/>
    <m/>
    <s v="Patterson"/>
  </r>
  <r>
    <x v="137"/>
    <x v="0"/>
    <s v="MI"/>
    <s v="Danielle"/>
    <s v="Email"/>
    <s v="Hidden Valley Properties BWD107998"/>
    <m/>
    <s v="DP3 Rental"/>
    <s v="Easton"/>
    <s v="KS"/>
    <n v="10"/>
    <n v="234674"/>
    <n v="350000"/>
    <s v="Treehouse "/>
    <s v="Existing DP3. House is rented. Now added treehouse which will be rented separately. $50K, high off ground, doesn't look like all balusters are in place. "/>
    <x v="3"/>
    <s v="Not comfortable with this construction or height. Especially since it is a rental. Other programs have treehouses as ineligible. Since existing, will require excluding treehouse, removing liab, or moving risk. Pro-rata cancel ok."/>
    <m/>
    <m/>
    <s v="Patterson"/>
  </r>
  <r>
    <x v="137"/>
    <x v="2"/>
    <m/>
    <s v="Alex"/>
    <s v="Email"/>
    <s v="Taus, Jason &amp; Michelle"/>
    <m/>
    <s v="HO3 Secondary"/>
    <s v="Groveland"/>
    <s v="CA"/>
    <n v="4"/>
    <n v="250000"/>
    <n v="375000"/>
    <s v="Wildfire within 20 miles"/>
    <s v="Detwiler Fire (Mariposa County) is 17 miles away and heading away from the risk. Can we bind eff 7/27 which is date closing takes place."/>
    <x v="2"/>
    <s v="Only 7% contained - new fire. Agent rarely asks for these exceptions but too soon to consider this one. Agent will monitor and resubmit if they still need an exception next week.//7/24 sent again. Fire 50% contained and admitted markets are lifting moratoriums. Online site shows fire 5 miles closer to property. Extensive damage, evac orders till in place. Advised Alex I can't send this to management. Decline stands.//Fire cleared and risk was bound 8/30/17"/>
    <m/>
    <m/>
    <s v="Patterson"/>
  </r>
  <r>
    <x v="138"/>
    <x v="0"/>
    <s v="MI"/>
    <s v="Leslie"/>
    <s v="Email"/>
    <s v="Peirce, Will"/>
    <m/>
    <s v="HO3 Primary"/>
    <s v="Rockport"/>
    <s v="TX"/>
    <m/>
    <n v="450000"/>
    <n v="695000"/>
    <s v="Business on Premise"/>
    <s v="Boat and RV storage on premises.  Total business exclusion applied.  Located within 3-400 ft of home. GL is in place and excluding Other Structures.  No employees, no foot traffic.   We currently write the GL Policy."/>
    <x v="0"/>
    <s v="maintenance of GL pol through agency, acceptable PC (not listed on app), TBE and other structure exclusion as quoted"/>
    <m/>
    <m/>
    <s v="K.Burdine"/>
  </r>
  <r>
    <x v="138"/>
    <x v="0"/>
    <s v="MI"/>
    <s v="Jill"/>
    <s v="Email"/>
    <s v="Vintage Properties LLC"/>
    <m/>
    <s v="HO3 Secondary"/>
    <s v="Santa Fe"/>
    <s v="NM"/>
    <n v="10"/>
    <n v="1800000"/>
    <n v="3060000"/>
    <s v="TIV/PC"/>
    <s v="Renewal policy BWH104178-5982201 (no prior referral done).Frame, built in 2004, no losses, located in NM"/>
    <x v="0"/>
    <s v="Reviewed inspection-flat roof, but AOP $5K and no flat roof ded guidelines for burns, OK w/secondary rating for home occupied by adult daughter all year; PCQ questionnaire notes response time as 19-21 minutes, but notes at the bottom that another station within 2 miles. Approved with 50% surcharge 2017 renewal, 50% at 2018, as premium too low. IF response time within 15 minutes no surcharge needed"/>
    <s v="used .60/100, and need about $10K more than current premium"/>
    <m/>
    <s v="K.Burdine"/>
  </r>
  <r>
    <x v="138"/>
    <x v="0"/>
    <s v="MI"/>
    <s v="Jill"/>
    <s v="Email"/>
    <s v="Santana"/>
    <s v="Alejandro &amp; Sharon"/>
    <s v="DP3 Rental"/>
    <s v="Multnomah"/>
    <s v="OR"/>
    <n v="3"/>
    <n v="300000"/>
    <n v="405000"/>
    <s v="Business on Premises"/>
    <s v="home is rented out to Blooming Rose Pre-school LLC. There is a Scottsdale GL policy currently in place for the pre-school operations; 1942 build, partial updates to wiring and plumbing."/>
    <x v="0"/>
    <s v="reviewed website/facebook page of school. Appears to be a school only up to 15 kids in school; x-liab, TBE, and FRC settlement option if residential use. If comm only, advised better fit on comm pol"/>
    <m/>
    <m/>
    <s v="K.Burdine"/>
  </r>
  <r>
    <x v="138"/>
    <x v="0"/>
    <s v="MI"/>
    <s v="Jill"/>
    <s v="Email"/>
    <m/>
    <m/>
    <s v="DP3 Builders Risk"/>
    <m/>
    <s v="CA"/>
    <m/>
    <m/>
    <m/>
    <s v="COC or renovation"/>
    <s v="Agent inquiring about whether a CA risk is ground up or renovation. One wall is being left. "/>
    <x v="0"/>
    <s v="Watch out for demolition! We could write after it is done. "/>
    <m/>
    <m/>
    <s v="Patterson"/>
  </r>
  <r>
    <x v="138"/>
    <x v="1"/>
    <m/>
    <s v="Tamika"/>
    <s v="Email"/>
    <s v="Rider"/>
    <s v="Evelyn"/>
    <s v="HO3 Primary"/>
    <s v="Franklin"/>
    <s v="NJ"/>
    <m/>
    <n v="250000"/>
    <m/>
    <s v="Pending foreclosure"/>
    <s v="Hospitalization left insured with months of unpaid bills resulting in foreclosure."/>
    <x v="3"/>
    <s v="Ins score reveals other issues."/>
    <m/>
    <m/>
    <s v="Patterson"/>
  </r>
  <r>
    <x v="139"/>
    <x v="0"/>
    <s v="MI"/>
    <s v="Alexa"/>
    <s v="Email"/>
    <s v="The Adami-Robertson Family Trust"/>
    <m/>
    <s v="HO3 Primary"/>
    <s v="Los Angeles"/>
    <s v="CA"/>
    <n v="1"/>
    <n v="2700000"/>
    <n v="4860000"/>
    <s v="TIV"/>
    <s v="2017  build, frame construction, alarms, no losses; coming off COC policy. PVC roof. $5K AOP ded"/>
    <x v="0"/>
    <s v="PC good, reviewed PVC roof for residents-likely flat roof, but very strong surface. AOP Ok , premium appropriate. Approval to release terms with appropriate brush guidelines"/>
    <m/>
    <m/>
    <s v="K.Burdine"/>
  </r>
  <r>
    <x v="139"/>
    <x v="0"/>
    <s v="MI"/>
    <s v="Alexa"/>
    <s v="Email"/>
    <s v="Mahanian"/>
    <s v="Robert"/>
    <s v="DP3 Rental"/>
    <s v="Los Angeles"/>
    <s v="CA"/>
    <n v="1"/>
    <n v="2350000"/>
    <n v="1800000"/>
    <s v="TIV"/>
    <s v="full time tenant occupied dwelling located in CA, home was built in 1936, frame construction, fully updated in 2006,  PC1, no c/s alarms, and no losses., wood roof (ACV roof endorsement)"/>
    <x v="0"/>
    <s v="ERC OK since full updates in 2006; subject to no home business being conducted on premises. From google search, he is a owner of a robocall company that has been sued in the past. Doesn't have any personal issues though"/>
    <m/>
    <m/>
    <s v="K.Burdine"/>
  </r>
  <r>
    <x v="140"/>
    <x v="2"/>
    <m/>
    <s v="Alison"/>
    <s v="Email"/>
    <s v="Felix"/>
    <s v="Robert"/>
    <s v="DP3 Rental"/>
    <s v="Yorba Linda"/>
    <s v="CA"/>
    <n v="3"/>
    <n v="1200000"/>
    <n v="1570000"/>
    <s v="Occupancy"/>
    <s v="Risk will be rented back to sellers for 6 months. Agent asking if we can do HO3 Seasonal w/rental"/>
    <x v="0"/>
    <s v="Risk acceptable, but want to do on DP3 as it will be clearly rented for a full 6 months. Agent came back to discuss.  I reviewed w/Jeff and we agreed good exposure. If they want a 1 year policy HO3 w/rental, then okay."/>
    <m/>
    <m/>
    <s v="Patterson"/>
  </r>
  <r>
    <x v="140"/>
    <x v="0"/>
    <s v="MI"/>
    <s v="Danielle"/>
    <s v="Email"/>
    <s v="Potter"/>
    <s v="Kristen"/>
    <s v="HO3 Seasonal"/>
    <s v="Lake Arrowhead"/>
    <s v="CA"/>
    <n v="4"/>
    <n v="2171000"/>
    <n v="3691000"/>
    <s v="TIV"/>
    <s v="1980 home w/updated roof. Alarms, in brush. Online shows this individual as possible actress, but not a concern, not that high profile. "/>
    <x v="0"/>
    <s v="Confirm year of construction - online and app shows 1938. Email shows 1980. Possibly gut/remodel?"/>
    <m/>
    <m/>
    <s v="Patterson"/>
  </r>
  <r>
    <x v="140"/>
    <x v="0"/>
    <s v="MI"/>
    <s v="Danielle"/>
    <s v="Email"/>
    <s v="Zhang "/>
    <s v="Bonda"/>
    <s v="DP3 Rental"/>
    <s v="Rancho Santa Fe"/>
    <s v="CA"/>
    <n v="3"/>
    <n v="3500000"/>
    <n v="4910000"/>
    <s v="TIV"/>
    <s v="1986 home w/full updates, no losses, not in brush. "/>
    <x v="1"/>
    <m/>
    <m/>
    <m/>
    <s v="Patterson"/>
  </r>
  <r>
    <x v="140"/>
    <x v="1"/>
    <m/>
    <s v="Tamika"/>
    <s v="Call/Email"/>
    <s v="Lemberger"/>
    <s v="Nosson"/>
    <s v="HO3 w/rental"/>
    <s v="Staten Island"/>
    <s v="NY"/>
    <m/>
    <n v="340000"/>
    <n v="430000"/>
    <s v="Occupancy"/>
    <s v="Insured rents rooms to 4 students. No kitchen facilities. He has access to all rooms. "/>
    <x v="2"/>
    <s v="• Are these undergrad or graduate students?_x000a_• What college?_x000a_• We are told they don’t get kitchen privileges.  How do they eat or drink?  Do they have appliances in their individual rooms?_x000a_• Is this the insured’s full time primary residence?_x000a_• What is the insured’s occupation and is he generally around outside of his work hours or is he traveling?  (I wondered if maybe he was never around and he’s making pretty good money renting out rooms to students.)  _x000a_• What is the named insured so I can note my log.  _x000a_• As we discussed, there is a competitor premium of $4,800 (appx $0.90).  Our quoted rental premium is well below this and we are looking at an owner occupied policy.  You suggested a premium of about $3,800, which is about $1,000 more than quoted, correct?_x000a_//7/27/17 insured is a teacher renting to rabbinical students. they eat at school, all meals. Confirmed several rabbinical colleges in area."/>
    <s v="Should be a higher caliber of student even though undergrad."/>
    <m/>
    <s v="Patterson"/>
  </r>
  <r>
    <x v="141"/>
    <x v="2"/>
    <m/>
    <s v="Melissa"/>
    <s v="Email"/>
    <s v="Haugh"/>
    <s v="Lucille   HUCAH150002573  "/>
    <m/>
    <m/>
    <m/>
    <m/>
    <m/>
    <m/>
    <s v="Flat roof"/>
    <s v="Request to apply lower deductible to partial flat roof updated in 2010. "/>
    <x v="0"/>
    <s v="Approved if truly replaced. $2,500 ded and 10% s/c or $5,000 ded."/>
    <m/>
    <m/>
    <s v="Patterson"/>
  </r>
  <r>
    <x v="141"/>
    <x v="2"/>
    <m/>
    <s v="Melissa"/>
    <s v="Email"/>
    <s v="Blameuser"/>
    <s v="Robin  HUCAH150002356 "/>
    <m/>
    <m/>
    <m/>
    <m/>
    <m/>
    <m/>
    <s v="Railing"/>
    <s v="Home has steps with no railing. Wall on one side, dirt bank on the other. "/>
    <x v="1"/>
    <m/>
    <m/>
    <m/>
    <s v="Patterson"/>
  </r>
  <r>
    <x v="141"/>
    <x v="2"/>
    <m/>
    <s v="Alison"/>
    <s v="Email"/>
    <s v="Loftus"/>
    <s v="James &amp; Cecilia"/>
    <s v="DP3 Rental"/>
    <s v="Malibu"/>
    <s v="CA"/>
    <n v="3"/>
    <n v="3848000"/>
    <n v="4466000"/>
    <s v="TIV"/>
    <s v="2010 home w/ alarms in high brush.  Insd is an emergency medicine doctor. Online info/photos ok.  Flat roof. $10K ded quoted. "/>
    <x v="1"/>
    <m/>
    <m/>
    <m/>
    <s v="Patterson"/>
  </r>
  <r>
    <x v="141"/>
    <x v="0"/>
    <s v="MI"/>
    <s v="Leslie"/>
    <s v="Email"/>
    <s v="Damiani"/>
    <s v="Joel"/>
    <s v="DP3 Builders Risk"/>
    <s v="Honolulu"/>
    <s v="HI"/>
    <n v="3"/>
    <n v="958000"/>
    <n v="1053800"/>
    <s v="Distance to coast"/>
    <s v="2017 newly built condo. Additional construction on interior. Only appx 1000' to coast. Guidelines say &lt;2000' is ineligible."/>
    <x v="1"/>
    <s v="Approved w/ 2% deductible, same as &gt;2000'. Also 10% surcharge. Discussed w/Jeff. Okay since it is a condo. Subj to:  BR supplement and GL cert. Quote says Named Storm $0. Need to fix."/>
    <s v=" "/>
    <m/>
    <s v="Patterson"/>
  </r>
  <r>
    <x v="141"/>
    <x v="0"/>
    <s v="MI"/>
    <s v="Rachel"/>
    <s v="Email"/>
    <s v="Zalyan"/>
    <s v="Edgar"/>
    <s v="DP3 Rental"/>
    <s v="Encino "/>
    <s v="CA"/>
    <n v="3"/>
    <n v="2500000"/>
    <n v="3250000"/>
    <s v="TIV"/>
    <s v="2001 dwelling. Insd is realtor. $275/SF Cov A. Online photos and info okay. Not in brush, has alarms."/>
    <x v="0"/>
    <s v="RCE at inspection to confirm. Cov A seems low."/>
    <m/>
    <m/>
    <s v="Patterson"/>
  </r>
  <r>
    <x v="141"/>
    <x v="2"/>
    <m/>
    <s v="Bobbi"/>
    <s v="Email/Call"/>
    <s v="Dold"/>
    <s v="Peter &amp; Lesley"/>
    <s v="HO3 Seasonal w/Rental"/>
    <s v="Big Bear Lake"/>
    <s v="CA"/>
    <n v="4"/>
    <n v="760000"/>
    <n v="870000"/>
    <s v="Backdate"/>
    <s v="Retailer bound coverage on 7/5 for escrow closing. His bind request went to his draft email folder.  There have been no losses.  There is a small fire but it is over 20 miles away per notes in file. Risk looks fine. "/>
    <x v="0"/>
    <s v="Quote is for 6/13, but approved bind as of 7/5 with signed and dated statement of no loss.//Agent asked if they could forego signed no loss. Verified NO with Louisa."/>
    <m/>
    <m/>
    <s v="Patterson"/>
  </r>
  <r>
    <x v="141"/>
    <x v="2"/>
    <m/>
    <s v="Alison"/>
    <s v="Email"/>
    <s v="Zethraeus"/>
    <s v="Gary"/>
    <s v="HO3 Primary w/rental"/>
    <s v="Malibu"/>
    <s v="CA"/>
    <n v="4"/>
    <n v="2025000"/>
    <n v="3094000"/>
    <s v="TIV"/>
    <s v="1982 home where main house and/or guest house may be rented, although this is considered the insured's primary. He has a seasonal as well. Agent restricting coverages, rating as a 3 family and adding 10% surcharge."/>
    <x v="0"/>
    <s v="Found a business at this location. Approve/subj to confirming no business. (May be old info - new purchase)"/>
    <m/>
    <m/>
    <s v="Patterson"/>
  </r>
  <r>
    <x v="141"/>
    <x v="0"/>
    <m/>
    <s v="Alexa"/>
    <s v="Email"/>
    <s v="Pierre-Paul"/>
    <s v="Jason"/>
    <s v="HO3 Secondary"/>
    <s v="Montclair"/>
    <s v="NJ"/>
    <n v="2"/>
    <n v="1100000"/>
    <n v="1870000"/>
    <s v="High profile"/>
    <s v="Insured is DE for NY Giants. Had 2015 fireworks incident involving injury."/>
    <x v="0"/>
    <s v="Exclude liab and PI due to high profile/target risk."/>
    <s v="Referred to Louisa to discuss high profile. Louisa agrees to exclude liab and pers inj."/>
    <m/>
    <s v="Patterson"/>
  </r>
  <r>
    <x v="142"/>
    <x v="6"/>
    <s v="CA"/>
    <s v="Lisa"/>
    <s v="Email"/>
    <s v="Stovall"/>
    <s v="Pierre &amp; Sonia"/>
    <s v="HO3/Primary"/>
    <s v="El Dorado"/>
    <s v="CA"/>
    <n v="4"/>
    <n v="381000"/>
    <n v="681200"/>
    <s v="&gt;90 day lapse"/>
    <s v="Primary, 1982 build, some updates, no brush, PC 4, non-renewed from state farm 2 years ago, hasn't had insurance since. Agency providing him with quotes 2 years ago, and he never followed through"/>
    <x v="3"/>
    <s v="Too great of a lapse with no legitimate reason"/>
    <m/>
    <m/>
    <s v="Burdine"/>
  </r>
  <r>
    <x v="142"/>
    <x v="2"/>
    <m/>
    <s v="Alison"/>
    <s v="Email"/>
    <s v="Elelsi LLC"/>
    <m/>
    <s v="HO3 Seasonal w/rental"/>
    <s v="Lake Arrowhead"/>
    <s v="CA"/>
    <m/>
    <n v="556200"/>
    <n v="667440"/>
    <s v="Capped zip code"/>
    <s v="Risk is in Lake Arrowhead (42352) which is currently capped at $50M. Agent is trying to get this increased, but meanwhile is asking for an exception. My records show 47,103,972 which still gives them room. I believe they closed it short of the max.  1990 home w/water loss from prior owner. Discrepancy w/SF, therefore Cov A could be off. "/>
    <x v="0"/>
    <s v="You are approved to release terms subject to:_x000a_• Confirmation of square footage.  App shows 1800 SF.  Online source shows 1236 SF.  This could affect Cov A.  https://www.zillow.com/homedetails/516-Hillside-Dr-Lake-Arrowhead-CA-92352/2094441363_zpid/_x000a_• The online photos look like there may be some overhanging branches.  Please confirm brush is cleared as required to 150’._x000a_• Please order plumbing/heat/electrical inspection (due to prior loss)_x000a_• Verify prior loss amount paid.  App shows $91,000.  Email notes $9,371.  It is okay either way, I just want to make sure notes are accurate._x000a_• Since it sounds like we are the only ones willing to write, please quote accordingly._x000a_• PC9 or less with 15 minute response time_x000a_"/>
    <m/>
    <m/>
    <s v="Patterson"/>
  </r>
  <r>
    <x v="142"/>
    <x v="2"/>
    <m/>
    <s v="Melissa"/>
    <s v="Email"/>
    <s v="Munakash"/>
    <s v="Robert &amp; Jennifer"/>
    <s v="HO3 Primary"/>
    <m/>
    <m/>
    <m/>
    <m/>
    <m/>
    <s v="Prior loss"/>
    <s v="It is renewing 7/28 with Lex, however, Lex has removed Sect. II liability due to a claim. The loss date was 3/1/2011 for insider trading. The underwriter provided the following description:_x000a_ _x000a_“The SEC filed suit against our insured for insider trading; our insured misappropriated information from a friend that GSI Commerce would be acquired by Ebay; suit alleges insured traded while inn possession of this information”_x000a_ _x000a_The claim was denied by AIG on 8/16/2016.  "/>
    <x v="3"/>
    <s v="When integrity is questioned I don't feel comfortable writing the risk at all."/>
    <m/>
    <m/>
    <s v="Patterson"/>
  </r>
  <r>
    <x v="142"/>
    <x v="2"/>
    <m/>
    <s v="Alison"/>
    <s v="Call/Email"/>
    <s v="Cliffside Holdings LLC"/>
    <m/>
    <s v="DP3 Rental"/>
    <s v="Malibu"/>
    <s v="CA"/>
    <m/>
    <m/>
    <m/>
    <s v="2 dwellings on same property"/>
    <s v="Insured buying 2 homes on same property and inheriting a tenant whose rent is calculated into the sale. Should this be 1 policy or 2? How are loss of rents covered?"/>
    <x v="0"/>
    <s v="May be renovating within a year. Unknown since this is new. Decided best long term decision is 2 separate policies. Provided policy language re loss of rents."/>
    <m/>
    <m/>
    <s v="Patterson"/>
  </r>
  <r>
    <x v="143"/>
    <x v="7"/>
    <s v="VA"/>
    <s v="Charity"/>
    <s v="Email"/>
    <s v="Siegmund"/>
    <s v="Ellen"/>
    <s v="HO3 Primary"/>
    <s v="Berlin"/>
    <s v="MD"/>
    <n v="10"/>
    <n v="350000"/>
    <n v="595000"/>
    <s v="PC10"/>
    <s v="1998 home. Google notes nearest FD is Berlin Fire co. 5.4 miles. 9 minute drive time. Website appears to be paid department.  Online photos are okay."/>
    <x v="0"/>
    <s v="Confirm Berlin Fire Co. 5.4 miles away is responding FD."/>
    <m/>
    <n v="12"/>
    <s v="Patterson"/>
  </r>
  <r>
    <x v="143"/>
    <x v="1"/>
    <m/>
    <s v="Sonia"/>
    <s v="Email"/>
    <s v="Chang"/>
    <s v="Joseph"/>
    <s v="HO3 Builders Risk"/>
    <m/>
    <m/>
    <m/>
    <m/>
    <m/>
    <s v="3rd COC renewal"/>
    <s v="Policy coming up for 3rd term. 6 months left to go on builders risk. Interior work left."/>
    <x v="0"/>
    <s v="Asked agt why the delay. If no issues, just a long time, add 10%. If concern, refer back."/>
    <m/>
    <n v="10"/>
    <s v="Patterson"/>
  </r>
  <r>
    <x v="143"/>
    <x v="0"/>
    <s v="MI"/>
    <s v="Alexa"/>
    <s v="Email"/>
    <s v="Balswick"/>
    <s v="Jerry &amp; Carolyn"/>
    <s v="HO3 Seasonal"/>
    <s v="Sonora"/>
    <s v="CA"/>
    <n v="9"/>
    <n v="1270698"/>
    <n v="2414327"/>
    <s v="TIV"/>
    <s v="2002 frame home in brush, 7 acres with c/s fire alarm. Response time 15 min minimum. Could be 17 w/traffic."/>
    <x v="0"/>
    <s v="7% surcharge for borderline response time"/>
    <s v="I am comfortable proceeding because of some positives about the situation:_x000a_• Medium brush per RiskMeter; High 12 w/medium fuels per FireLine_x000a_• Other fire stations within 5 miles of home_x000a_• Risk is seasonal but has central station fire alarms_x000a_• Additional surcharge being applied_x000a_25 miles from Detwiler fire per my measurement"/>
    <n v="29"/>
    <s v="Patterson"/>
  </r>
  <r>
    <x v="143"/>
    <x v="2"/>
    <m/>
    <s v="Melissa"/>
    <s v="Call/Email"/>
    <s v="Gaynon    HUCAH150002500 "/>
    <s v="Paul &amp; Sandra"/>
    <s v="HO3 Primary"/>
    <s v="LaCanada-Flintridge"/>
    <s v="CA"/>
    <m/>
    <n v="1959469"/>
    <m/>
    <s v="Existing damage"/>
    <s v="1951 home w/updates. Nice home, shows pride of ownership. There are a few maintenance items. The agency would like to give the insured the opportunity to fix. Copy of inspection in file."/>
    <x v="0"/>
    <s v="Good agent. They are applying water damage excl and mold excl until all repairs are made. Existing damage excl always goes on. 30 days to fix. Will get photos and proof of prof contractor repair."/>
    <m/>
    <n v="27"/>
    <s v="Patterson"/>
  </r>
  <r>
    <x v="143"/>
    <x v="2"/>
    <m/>
    <s v="Alex"/>
    <s v="Call"/>
    <s v="Nunez"/>
    <m/>
    <s v="DP3 Tenant"/>
    <m/>
    <s v="CA"/>
    <s v=" "/>
    <n v="150000"/>
    <m/>
    <s v="2nd dwelling on property  (5 risks on same call)"/>
    <s v="Insured has a primary home on same prop as this tenant dwelling. Insured w/Safeco - they will not insure or extend liab. Agent will exclude other structures if needed so we don't insure the primary and any related structures. If the tenant dwelling has none, they will issue w/no Cov B."/>
    <x v="1"/>
    <m/>
    <m/>
    <n v="13"/>
    <s v="Patterson"/>
  </r>
  <r>
    <x v="143"/>
    <x v="2"/>
    <m/>
    <s v="Alex"/>
    <s v="Call"/>
    <s v="Anson   HUCAH150002385"/>
    <s v="Weston &amp; Bailey, Susan"/>
    <s v="HO3 Primary"/>
    <m/>
    <s v="CA"/>
    <m/>
    <m/>
    <m/>
    <s v="Tree in deck"/>
    <s v="1922 home updated, good condition except some roof damage which is in the process of being repaired -excluding until done - contractor scheduled for tomorrow. There is an 80 year old tree growing through deck and near house. They have maintained it. Can we write?"/>
    <x v="0"/>
    <s v="Retain an arborist to confirm safety of tree and that growth won't damage deck or home. Determine growth rate for long term assurance.//8/21 received arborist report. Tree needs to be removed.//8/22 Can they have more than 30 days - yes since they are wokring on it."/>
    <m/>
    <n v="32"/>
    <s v="Patterson"/>
  </r>
  <r>
    <x v="143"/>
    <x v="2"/>
    <m/>
    <s v="Alex"/>
    <s v="Call"/>
    <s v="Russell"/>
    <s v="John"/>
    <s v="HO3 Primary"/>
    <m/>
    <s v="CA"/>
    <m/>
    <m/>
    <m/>
    <s v="Non compliance inspection"/>
    <s v="Risk bound in April. Insured went to Alaska in mid-May for 3 months, known trip. Insp co wasted time scheduling and now can't do interior insp. Neighbor can't be reached. Retailer is difficult, but insured is innocent in this.1975 home w/07 updates, all pex plumbing. Can we stay on until 9/15 inspection."/>
    <x v="0"/>
    <s v="Okay to wait, already past 30 days. If any issues or if insured doesn't cooperate w/9/15 insp, send mid-term cancellation"/>
    <m/>
    <n v="13"/>
    <s v="Patterson"/>
  </r>
  <r>
    <x v="143"/>
    <x v="2"/>
    <m/>
    <s v="Alex"/>
    <s v="Call"/>
    <s v="Huynh"/>
    <m/>
    <s v="DP3 Rental"/>
    <m/>
    <s v="CA"/>
    <m/>
    <m/>
    <n v="3200000"/>
    <s v="No alarms"/>
    <s v="Nice risk but it has no c/s alarm. Does $10K AOP apply since it is a rental risk and insured can't confirm whether alarms will be used?"/>
    <x v="0"/>
    <s v="Fire/smoke detectors don't require activation by a tenant , they are always active. We would require them at a minimum. Could forego burglar since no guaranty of use. $10K ded applies if no alarms."/>
    <m/>
    <n v="13"/>
    <s v="Patterson"/>
  </r>
  <r>
    <x v="143"/>
    <x v="2"/>
    <m/>
    <s v="Alex"/>
    <s v="Call"/>
    <s v="Little"/>
    <s v="Audrey"/>
    <s v="HO3 Primary"/>
    <m/>
    <s v="CA"/>
    <m/>
    <m/>
    <n v="900000"/>
    <s v="10 prior losses"/>
    <s v="Insured has multiple mysterious disappearance/theft losses close together with $0 paid. Apparently babysitter or nephew took items from her. Was insured w/USAA, Safeco, then Lloyds. There were thefts w/ all the carriers in addition to other types of losses. Insured added alarm to her closet where someone was taking items. Apparently she called every time she found one thing missing."/>
    <x v="3"/>
    <s v="Claim frequency. Question of state of mind. Morale hazard."/>
    <m/>
    <n v="13"/>
    <s v="Patterson"/>
  </r>
  <r>
    <x v="143"/>
    <x v="0"/>
    <s v="MI"/>
    <s v="Danielle"/>
    <s v="Email"/>
    <s v="Chang-Haywood"/>
    <s v="Rosa"/>
    <s v="HO3 Primary"/>
    <m/>
    <s v="OK"/>
    <n v="3"/>
    <n v="100000"/>
    <n v="200000"/>
    <s v="Business on premises"/>
    <s v="Home was built in 1952 and updated of masonry construction.  PC3 with no alarms and no losses. Storage facility on premises(home behind). GL in place, and quoted with TBE"/>
    <x v="0"/>
    <s v="Reviewed online photos, home pretty close to business. Due to potential amount of traffic on premise (about 10 per month per questionnaire) and type of risk, OK with x-liab and tbe"/>
    <m/>
    <m/>
    <s v="K.Burdine"/>
  </r>
  <r>
    <x v="143"/>
    <x v="0"/>
    <s v="MI"/>
    <s v="Leslie"/>
    <s v="Email"/>
    <s v="Smith"/>
    <s v="Stephen"/>
    <s v="HO3 Secondary"/>
    <m/>
    <s v="CO"/>
    <n v="4"/>
    <n v="2658000"/>
    <n v="3971000"/>
    <s v="TIV"/>
    <s v="Submitting this secondary home located in Colorado. Built in 1975, PC 4,  updated in 2017 and roof updated in 2012. No losses, RC, AOP $10K, brush OK"/>
    <x v="1"/>
    <s v="Approved, online photos OK, google search OK."/>
    <m/>
    <m/>
    <s v="K.Burdine"/>
  </r>
  <r>
    <x v="143"/>
    <x v="7"/>
    <s v="VA"/>
    <s v="Charity"/>
    <s v="Email"/>
    <s v="Olsen"/>
    <s v="Nels &amp; Kristen"/>
    <s v="HO3 Secondary"/>
    <m/>
    <s v="MD"/>
    <n v="4"/>
    <n v="2142000"/>
    <n v="2606288"/>
    <s v="TIV"/>
    <s v="online submission, Built in 1948, updates in 2004, AOP $10K, central alarms/sprinklers in home, no losses"/>
    <x v="0"/>
    <s v="Approved subject to confirmation of Cov A amount w/ RCE if not already completed. Market value around $4.5 mil for this home per online review, so want to be sure not an applicant generated Cov A amount."/>
    <m/>
    <m/>
    <s v="K.Burdine"/>
  </r>
  <r>
    <x v="143"/>
    <x v="6"/>
    <s v="CA"/>
    <s v="Kirk"/>
    <s v="Email"/>
    <s v="Draine"/>
    <s v="Kathryn &amp; Les"/>
    <s v="DP3/Vacant"/>
    <m/>
    <s v="CA"/>
    <m/>
    <n v="2753700"/>
    <n v="3029070"/>
    <s v="TIV"/>
    <s v="vacant, for sale. No brush, no losses, aop $5K."/>
    <x v="1"/>
    <s v="submission OK, online search OK"/>
    <m/>
    <m/>
    <s v="K.Burdine"/>
  </r>
  <r>
    <x v="143"/>
    <x v="0"/>
    <s v="MI"/>
    <s v="Alexa"/>
    <s v="Email"/>
    <s v="Zynda"/>
    <s v="Heather M"/>
    <s v="HO3 Primary"/>
    <s v="Kronenwetter"/>
    <s v="WI"/>
    <n v="1"/>
    <n v="403000"/>
    <n v="644800"/>
    <s v="Business on premises"/>
    <s v="1995 new purchase w/large outbuilding. Will be animal rescue and K9 training. Agt quoted w/animal exclusion, total business excl, other structure excl."/>
    <x v="2"/>
    <s v="Additional questions to determine eligibility. Also found another business using this address.//7.31.17 additional information received. Exposure acceptable w/subjectivities quoted."/>
    <m/>
    <n v="34"/>
    <s v="Patterson"/>
  </r>
  <r>
    <x v="143"/>
    <x v="1"/>
    <m/>
    <s v="MacKenzie"/>
    <s v="Email"/>
    <s v="Patterson    63759621 "/>
    <s v="L. Ruth"/>
    <s v="HO3 Secondary"/>
    <s v="Avalon"/>
    <s v="NJ"/>
    <n v="5"/>
    <n v="838440"/>
    <n v="1038440"/>
    <s v="EIFS"/>
    <s v="1993 EIFS home insured for 3 years no losses. Inspected in 2015 - EIFS identified. Beautiful online photos. Can we renew?"/>
    <x v="0"/>
    <s v="1997 is cutoff for water-managed (draining) EIFS. Advised we need a professional inspection to ensure good condition, no rot, no mold. Don't do without it. Hidden damage can occur."/>
    <m/>
    <n v="27"/>
    <s v="Patterson"/>
  </r>
  <r>
    <x v="143"/>
    <x v="0"/>
    <s v="MI"/>
    <s v="Alexa"/>
    <s v="Email"/>
    <s v="Williams "/>
    <s v="John"/>
    <s v="HO3 Builders Risk"/>
    <s v="Kane"/>
    <s v="IL"/>
    <n v="4"/>
    <n v="320000"/>
    <n v="320000"/>
    <s v="Insured as GC"/>
    <s v="1958 log home being renovated by the insured who is not a contractor. No GC."/>
    <x v="3"/>
    <s v="We require a licensed and insured GC for any construction or renovation."/>
    <m/>
    <n v="10"/>
    <s v="Patterson"/>
  </r>
  <r>
    <x v="143"/>
    <x v="1"/>
    <m/>
    <s v="Lisa"/>
    <s v="Email"/>
    <s v="Schementi"/>
    <s v="Michael"/>
    <s v="DP3 Rental"/>
    <s v="Ocean Grove"/>
    <s v="NJ"/>
    <m/>
    <n v="625000"/>
    <n v="754000"/>
    <s v="Age of home"/>
    <s v="1890 dwelling - 3 fam rental. Written for prev owner in 2015 before we required confirmation of full gut. Photos look very good. No losses. Inspection shows updated systems."/>
    <x v="1"/>
    <m/>
    <m/>
    <n v="15"/>
    <s v="Patterson"/>
  </r>
  <r>
    <x v="143"/>
    <x v="5"/>
    <m/>
    <s v="Lauren"/>
    <s v="Email"/>
    <s v="Creasey    BHX100046"/>
    <s v="David R"/>
    <s v="HO3 Primary"/>
    <s v="Atlantic "/>
    <s v="NC"/>
    <m/>
    <m/>
    <m/>
    <s v="Inspection compliance"/>
    <s v="Inspection noted siding repair was needed. Insured has contracted with someone but it will take 30-45 days to complete. Copy of contract received. Other repair completed nicely."/>
    <x v="1"/>
    <m/>
    <m/>
    <n v="12"/>
    <s v="Patterson"/>
  </r>
  <r>
    <x v="144"/>
    <x v="0"/>
    <s v="MI"/>
    <s v="Leslie"/>
    <s v="Email"/>
    <s v="Dunn"/>
    <s v="Becky  "/>
    <s v="HO3 Primary"/>
    <s v="Cape Girardeeau"/>
    <s v="MO"/>
    <n v="9"/>
    <n v="450000"/>
    <n v="740000"/>
    <s v="Business on premises"/>
    <s v="1992 home no updates.  Shingle roof in good condn per app. Prior decline/cancel/nrn question not answered. Prior covg, prior losses not answered. Agent quoting w/no liab. GL in place. Per aerial and online photos, there is not a separate building. It appears the business is conducted in the basement of the house. Biz has separate driveway and entrance. "/>
    <x v="2"/>
    <s v="Want to see website and confirm location. But looking good to go.  GL in place. No liab on policy. Not including Total Business Excl as that will cause gaps in home and contents coverage if a loss occurs. Don't see a dog business increasing the physical damage exposure to the dwelling, so okay with it in the house w/no exclusions. Roof exclusion requested.//8/1 reviewed addl info all ok, notes in file."/>
    <m/>
    <n v="39"/>
    <s v="Patterson"/>
  </r>
  <r>
    <x v="144"/>
    <x v="2"/>
    <m/>
    <s v="Alison"/>
    <s v="Call"/>
    <s v="Liese"/>
    <m/>
    <s v="HO3 Secondary "/>
    <m/>
    <s v="CA"/>
    <n v="10"/>
    <n v="400000"/>
    <m/>
    <s v="Woodstove primary heat"/>
    <s v="2008 home used seasonally w/WBS as primary heat. Acceptable installation. Any chance we could consider?"/>
    <x v="3"/>
    <s v="IS there a furnace at all? How often and when do they go there?  (Concerns: Stoking up the stove since there is no backup. Pipes freezing.)  //Follow up info: someone using house year round. No other heat. Scottsdale has on a DP1 for $7300."/>
    <m/>
    <n v="17"/>
    <s v="Patterson"/>
  </r>
  <r>
    <x v="144"/>
    <x v="2"/>
    <m/>
    <s v="Alison"/>
    <s v="Call"/>
    <s v="Blair"/>
    <s v="Richard "/>
    <s v="HO3 Primary"/>
    <m/>
    <s v="CA"/>
    <m/>
    <n v="340000"/>
    <m/>
    <s v="Business on premises"/>
    <s v="Primary home, vacation rental and studio on property. Art studio used by insured and as &quot;open studio&quot; with visitors able to drive by and stop in and 2x year they have studio events. Sales of art and books via internet. There is signage. In reality only 10 visitors per year come. Coml carrier won't cover building (?). No employees. "/>
    <x v="3"/>
    <s v="This should be commercial. Exposure sounds like it could fluctuate. HO3 language excludes this building so even if we wanted to forego the Total Business Excl, the policy excludes."/>
    <m/>
    <n v="15"/>
    <s v="Patterson"/>
  </r>
  <r>
    <x v="145"/>
    <x v="7"/>
    <s v="VA"/>
    <s v="Charity"/>
    <s v="Email"/>
    <s v="Eskridge"/>
    <s v="William"/>
    <s v="HO3 Primary"/>
    <s v="Tangier"/>
    <s v="VA"/>
    <n v="10"/>
    <n v="243000"/>
    <n v="291400"/>
    <s v="Island"/>
    <s v="1969 home w/updates located on Tangier Island. Volunteer FD on island w/5 min response time. (1 tanker/1 pumper) Located mid-island. Agent quoting with .59 rate. 1 hr ferry ride."/>
    <x v="2"/>
    <s v="Refer to Jeff for input on island and need pricing from Bethany. Per Jeff, we can price for the wind and addl s/c for repair increased cost. //  .59 rate confirmed by Bethany &amp; Jeff."/>
    <m/>
    <n v="41"/>
    <s v="Patterson"/>
  </r>
  <r>
    <x v="145"/>
    <x v="7"/>
    <s v="VA"/>
    <s v="Charity"/>
    <s v="Email"/>
    <s v="Marsh    "/>
    <s v="Arbutus"/>
    <s v="HO3 Primary"/>
    <s v="Ewell"/>
    <s v="MD"/>
    <n v="10"/>
    <n v="154000"/>
    <n v="261800"/>
    <s v="Island"/>
    <s v="1975 home w/updates located on Smith Island. Volunteer FD on island w/9 min response time (2 tankers/2 pumpers) Located on western part of island. Agt quoting w/.61 rate. 45 min ferry ride. Somerset county.  .247 PC1-8 base rate remainder of state."/>
    <x v="2"/>
    <s v="Approved at .61 rate. Notes in file re adequate premium reviewed w/Bethany &amp; Jeff."/>
    <m/>
    <n v="43"/>
    <s v="Patterson"/>
  </r>
  <r>
    <x v="145"/>
    <x v="2"/>
    <m/>
    <s v="Alison"/>
    <s v="Email"/>
    <s v="CICI #4 Real Estate HUCAH15000279"/>
    <m/>
    <s v="DP3 Rental"/>
    <s v="Malibu"/>
    <s v="CA"/>
    <m/>
    <n v="1907000"/>
    <n v="1530000"/>
    <s v="Inspection delay"/>
    <s v="Tenant is high profile and has asked for delay in inspecting until 9/18/17. Risk eff 7/24/17. May not have within 60 days. 2015 insp received. Looks fine."/>
    <x v="0"/>
    <s v="Send DNOC if insp completion gets delayed past 60. Take action post-60 if needed."/>
    <m/>
    <n v="12"/>
    <s v="Patterson"/>
  </r>
  <r>
    <x v="145"/>
    <x v="2"/>
    <m/>
    <s v="Alison"/>
    <s v="Email"/>
    <s v="Cole"/>
    <s v="Andrea"/>
    <s v="HO3 Primary"/>
    <s v="Ojai"/>
    <s v="CA"/>
    <n v="4"/>
    <n v="907000"/>
    <n v="160000"/>
    <s v="2 horses"/>
    <s v="2006 home w/2 horses, personal use. Also a barn. Agent hasn't discussed w/me before so she was checking."/>
    <x v="0"/>
    <s v="Verify no breeding, boarding, riding lessons, no commercial. Brief review of documentation as this is within agent's authority"/>
    <m/>
    <n v="12"/>
    <s v="Patterson"/>
  </r>
  <r>
    <x v="145"/>
    <x v="2"/>
    <m/>
    <s v="Alison"/>
    <s v="Call"/>
    <s v="Unknown"/>
    <m/>
    <s v="HO3 Primary"/>
    <m/>
    <s v="CA"/>
    <m/>
    <m/>
    <m/>
    <s v="Open claims"/>
    <s v="Insd has 2 open water claims w/Kemper and has hired a public adjuster. He is suing Kemper. Pipe and AC leakage. Not all damage repaired"/>
    <x v="3"/>
    <s v="Insured is suing his own co and hasn't made repairs since Jan 2017."/>
    <m/>
    <n v="7"/>
    <s v="Patterson"/>
  </r>
  <r>
    <x v="145"/>
    <x v="0"/>
    <s v="MI"/>
    <s v="Delta"/>
    <s v="Email"/>
    <s v="Bell"/>
    <s v="Pamela"/>
    <s v="HO3 Primary"/>
    <s v="Wichita"/>
    <s v="KS"/>
    <n v="3"/>
    <n v="180000"/>
    <n v="360000"/>
    <s v="Daycare in home"/>
    <s v="1950 home fully updated. Daycare has 10 kids at a time (17 registered). Will have GL. Lapse due to mistaken non-pay since 11/2016. Agt applied $2500 ded and surcharge. Adding total business exclusion."/>
    <x v="0"/>
    <s v="If GL is with Markel, we can write w/liab and TBE. If elsewhere, exclude liab and add TBE. Need signed no loss."/>
    <m/>
    <n v="12"/>
    <s v="Patterson"/>
  </r>
  <r>
    <x v="145"/>
    <x v="0"/>
    <s v="MI"/>
    <s v="Jill"/>
    <s v="Email"/>
    <s v="Aguilar "/>
    <s v="Dorothy"/>
    <s v="HO3 Primary"/>
    <s v="Las Cruces"/>
    <s v="NM"/>
    <m/>
    <n v="125000"/>
    <n v="240000"/>
    <s v="Business on premises"/>
    <s v="1947 home updated. Insd has an upholstery business on premises. No GL. Prior carrier cancelled due to discovery of business and lender force placed."/>
    <x v="4"/>
    <s v="Need addl business info to proceed. Outlined in email."/>
    <m/>
    <n v="15"/>
    <s v="Patterson"/>
  </r>
  <r>
    <x v="146"/>
    <x v="0"/>
    <s v="MI"/>
    <s v="Jill"/>
    <s v="Email"/>
    <s v="Noe"/>
    <s v="Patricia"/>
    <s v="HO3 Primary"/>
    <m/>
    <s v="TX"/>
    <m/>
    <n v="145000"/>
    <n v="265000"/>
    <s v="Federal Pacific Stab-Lok panel"/>
    <s v="1974 home w/ no elec updates and FPSL panel.  Rest of risk looks okay."/>
    <x v="3"/>
    <s v="Fire hazard. Provided online info. If replaced w/licensed contractor, rest of risk is okay."/>
    <m/>
    <n v="10"/>
    <s v="Patterson"/>
  </r>
  <r>
    <x v="146"/>
    <x v="2"/>
    <m/>
    <s v="Alison"/>
    <s v="Email"/>
    <s v="Piazza HUCAH150002729"/>
    <s v="David &amp; Stephanie"/>
    <s v="HO3 Secondary w/Rental"/>
    <m/>
    <m/>
    <m/>
    <m/>
    <m/>
    <s v="Bike/bicycle and kayak on rental property"/>
    <s v="Is there coverage?  Referred back to Burns policy from 3/24/17 for answers."/>
    <x v="1"/>
    <m/>
    <m/>
    <n v="17"/>
    <s v="Patterson"/>
  </r>
  <r>
    <x v="146"/>
    <x v="0"/>
    <s v="MI"/>
    <s v="Jill"/>
    <s v="Email"/>
    <s v="Cowles"/>
    <s v="Ginger"/>
    <s v="HO3 Primary"/>
    <s v="Elkhorn"/>
    <s v="NE"/>
    <m/>
    <n v="280000"/>
    <n v="530000"/>
    <s v="Daycare in home"/>
    <s v="2003 dwelling with daycare on premises. Excluding liability and obtaining GL. Also quoting with Total Business Exclusion."/>
    <x v="0"/>
    <s v="I am assuming the daycare takes place within the home itself.  If that is the case, you are approved to release terms subject to:_x000a__x000a_• Please do not add BWH0141_x000a_• GL obtained and maintained_x000a_• Excluding liability_x000a_• Include Total Business Exclusion - please make sure insured is aware of the severe restrictions of this form for an in home business.  If any loss occurs related to the business, claims will deny the loss.  (e.g. A bottle warmer used for a daycare child shorts out, starts a fire and the house burns to the ground. Claims would deny all damage to the home and contents.)_x000a__x000a_Your email says “on premises”.  If it takes place in a separate building, terms would still be the same but we would add a subjectivity:  Building exclusion applies for building where daycare takes place._x000a_"/>
    <m/>
    <n v="14"/>
    <s v="Patterson"/>
  </r>
  <r>
    <x v="146"/>
    <x v="0"/>
    <s v="MI"/>
    <s v="Rachel"/>
    <s v="Email"/>
    <s v="Milam"/>
    <s v="Gilbert"/>
    <s v="HO3 Primary"/>
    <s v="San Rafael"/>
    <s v="CA"/>
    <n v="3"/>
    <n v="1800000"/>
    <n v="3060000"/>
    <s v="TIV"/>
    <s v="1947 home w/complete updates. No alarms. $2500 ded. Nice online photos._x000a__x000a_"/>
    <x v="2"/>
    <s v="1. Please forward a copy of the RiskMeter._x000a_2. Usually with risks over $2,000,000 TIV, we like to see a higher deductible (like $10,000).  Bill &amp; Danielle asked that we leave the underwriting in your hands and not stipulate this in the guidelines.  We still like to understand your thoughts.  Could you tell me what aspects of this risk give you a comfort level with the $2,500 deductible.    Got RM and discussed ded w/Danielle. Approved $5K if no alarms. $2500 if it turns out they have them._x000a__x000a_"/>
    <m/>
    <n v="40"/>
    <s v="Patterson"/>
  </r>
  <r>
    <x v="146"/>
    <x v="0"/>
    <s v="MI"/>
    <s v="Rachel"/>
    <s v="Email"/>
    <s v="Begala   BWH105269"/>
    <s v="Kristian"/>
    <s v="HO3 Primary"/>
    <s v="Allegan"/>
    <s v="MI"/>
    <n v="1"/>
    <n v="171910"/>
    <n v="317910"/>
    <s v="14 chickens"/>
    <s v="1969 home w/1 water loss 2016 $2925. $2500 water damage ded applied. Insured has 14 penned chickens on property. "/>
    <x v="0"/>
    <s v="Confirm no business, no buying/selling, no egg sales without further review."/>
    <m/>
    <n v="10"/>
    <s v="Patterson"/>
  </r>
  <r>
    <x v="146"/>
    <x v="2"/>
    <m/>
    <s v="Bobbi"/>
    <s v="Email"/>
    <s v="Hall"/>
    <s v="Stephanie"/>
    <s v="HO3 Primary"/>
    <s v="Altadena"/>
    <s v="CA"/>
    <n v="3"/>
    <n v="1850000"/>
    <n v="3500000"/>
    <s v="TIV"/>
    <s v="2002 home. $90K water loss w/prior owner. Professionally repaired, dried, broken pipe replaced w/ stainless steel braided hose; also replaced other supply hoses in the home w/this hose. Insd is MD. Agt added $10K ded. Agt added 5% s/c due to proximity to brush."/>
    <x v="0"/>
    <s v="Verify alarms. Okay with prior water loss - steps taken, newer home. Suggested 10% s/c."/>
    <m/>
    <n v="18"/>
    <s v="Patterson"/>
  </r>
  <r>
    <x v="147"/>
    <x v="2"/>
    <m/>
    <s v="Alex"/>
    <s v="Call"/>
    <s v="West Coast Properties LLC"/>
    <m/>
    <s v="DP3 Rental"/>
    <m/>
    <m/>
    <m/>
    <n v="750000"/>
    <m/>
    <s v="Occupancy"/>
    <s v="4 unit home currently occupied by 2 tenants. 2 units under reno. Then those will be rented out, 2 tenants will move out and the other 2 units will undergo reno. Expect it to take a year.  $100K LOU agt will explain that it covers rental, not the vacants. Flat roof 10% s/c and $10K ded. 15% s/c for reno. vacant rate."/>
    <x v="1"/>
    <m/>
    <m/>
    <n v="10"/>
    <s v="Patterson"/>
  </r>
  <r>
    <x v="147"/>
    <x v="0"/>
    <s v="MI"/>
    <s v="Delta"/>
    <s v="Email"/>
    <s v="Montero"/>
    <s v="Humberto"/>
    <s v="HO3 Seasonal"/>
    <s v="Julian"/>
    <s v="CA"/>
    <n v="9"/>
    <n v="300000"/>
    <n v="380000"/>
    <s v="Response time"/>
    <s v="2005 frame home in brush w/ no alarms, seasonal. 20 minute response time. Reviewed address of FD and it appears to be 11 min/5.9 miles. UPQ states something about 20 minutes - not sure if that is all or one tanker response time."/>
    <x v="0"/>
    <s v="Risk looks good. Approve if response time truly is &lt;15 min. If over 15, refer back w/details. Advised not sure we could make an exception.  Fireline is Extreme 13. Heavy fuels, Moderate slope, very limited access. Part of 2003 Cedar fire. Copy of FL in temp file. RM shows moderate."/>
    <m/>
    <n v="22"/>
    <s v="Patterson"/>
  </r>
  <r>
    <x v="147"/>
    <x v="0"/>
    <s v="MI"/>
    <s v="Leslie"/>
    <s v="Email"/>
    <s v="Fox"/>
    <s v="Karen"/>
    <s v="HO3 Seasonal"/>
    <s v="Calistoga"/>
    <s v="CA"/>
    <n v="6"/>
    <n v="200000"/>
    <n v="300000"/>
    <s v="TIV"/>
    <s v="2000 home w/hydrant on property. Low brush. Reviewed online photos - all ok."/>
    <x v="1"/>
    <m/>
    <s v="(per PC Bulletin by Tim C, hydrant on prop is acceptable). "/>
    <n v="15"/>
    <s v="Patterson"/>
  </r>
  <r>
    <x v="148"/>
    <x v="2"/>
    <m/>
    <s v="Bobbi"/>
    <s v="Email"/>
    <s v="Reifman  HUCAH150000874"/>
    <s v="Irving"/>
    <s v="HO3 Primary"/>
    <s v="Los Angeles"/>
    <s v="CA"/>
    <n v="4"/>
    <n v="2500000"/>
    <n v="4000000"/>
    <s v="TIV"/>
    <s v="1961 home updated/rebuilt in 2011. Flat roof. $5K AOP. Surcharging for large contractor error loss. Approved renewal to match expiring $10,634."/>
    <x v="1"/>
    <s v="Subj to match expiring prem"/>
    <m/>
    <n v="18"/>
    <s v="Patterson"/>
  </r>
  <r>
    <x v="148"/>
    <x v="6"/>
    <m/>
    <s v="Kirk"/>
    <s v="Call"/>
    <s v="Goel"/>
    <s v="Ashish"/>
    <s v="HO3 Primary"/>
    <m/>
    <m/>
    <m/>
    <m/>
    <m/>
    <s v="Plumbing"/>
    <s v="1950 home partially updated. Home has &quot;cast iron plumbing 10%&quot;. We assume it is drain lines, but not sure. "/>
    <x v="0"/>
    <s v="Okay if it is drain lines. If supply lines, it is a concern. Insd willing to get licensed plumber to inspect. Kirk will proceed with that."/>
    <m/>
    <n v="12"/>
    <s v="Patterson"/>
  </r>
  <r>
    <x v="148"/>
    <x v="2"/>
    <m/>
    <s v="Kelly"/>
    <s v="Email"/>
    <s v="Shantz"/>
    <s v="Duncan"/>
    <s v="HO3 Seasonal"/>
    <s v="Running Springs"/>
    <s v="CA"/>
    <m/>
    <n v="816000"/>
    <n v="966000"/>
    <s v="Corporate Name"/>
    <s v="2012 home in name of insured and his development co name. He and wife are part of the LLC. Can home be written in corp name?"/>
    <x v="0"/>
    <s v="Ok if titled owner. Then w/prem liab only and no PI. Need answer to prior cancel/decl/nrn question.//8/4-prior decl is SL-2's. This is n/a! Green Constructor is a titled owner. Approved."/>
    <m/>
    <n v="26"/>
    <s v="Patterson"/>
  </r>
  <r>
    <x v="148"/>
    <x v="3"/>
    <m/>
    <s v="Janet"/>
    <s v="Email/Call"/>
    <s v="Osterberg"/>
    <s v="Bruce"/>
    <s v="HO3 Primary"/>
    <s v="Gulfport"/>
    <s v="MS"/>
    <m/>
    <n v="250000"/>
    <n v="370000"/>
    <s v="Closed territory"/>
    <s v="1998 home quoted by agent at the end of June for an 8/3 effective date. They received bind request. Also includes a $125K fine arts schedule"/>
    <x v="0"/>
    <s v="No to the schedule. Gave Jamie Gregory info. Jeff's email to agt advises we will honor existing quotes. Gave heads up to Jamie."/>
    <m/>
    <n v="34"/>
    <s v="Patterson"/>
  </r>
  <r>
    <x v="148"/>
    <x v="0"/>
    <s v="MI"/>
    <s v="Jill"/>
    <s v="Email"/>
    <s v="Hendrix"/>
    <s v="Rodney &amp; Joanne"/>
    <s v="HO3 Primary"/>
    <s v="Mesa"/>
    <s v="AZ"/>
    <n v="2"/>
    <n v="400000"/>
    <n v="680000"/>
    <s v="Prior losses"/>
    <s v="2004 home w/ 3 prior water losses and a withdrawn liab loss. 3 losses from 2015. Plumber has inspected system and approved. Liab loss was daughter who feel, claim withdrawn. Found music business on prop location."/>
    <x v="2"/>
    <s v="Ok w/$5K ded. Investigate business (insd listed on the website and insd addr). Need detail.  //  Guitar and piano lessons in home. Appears to meet In Home Business guidelines. Approved subj to meeting."/>
    <m/>
    <n v="46"/>
    <s v="Patterson"/>
  </r>
  <r>
    <x v="149"/>
    <x v="0"/>
    <s v="MI"/>
    <s v="Alexa"/>
    <s v="Email"/>
    <s v="Moreno"/>
    <s v="Tara"/>
    <s v="DP3 Rental"/>
    <s v="Berthoud"/>
    <s v="CO"/>
    <n v="2"/>
    <n v="225000"/>
    <n v="275000"/>
    <s v="Home is subdivision model"/>
    <s v="2017 home purchased by realtor insureds and leased back to builder as model. Alarms/camera. Employee present, otherwise locked. Agt proposing TBE &amp; full coverage."/>
    <x v="2"/>
    <s v="• I see the insured's are realtors.  What do they intend to do with the home after the year is up?_x000a_• Are the insured’s involved as the property realtors and/or do they have any business involvement or connection with the builders?_x000a_• Is the builder's office in this dwelling, or is it just used as a model?_x000a_• What occupancy was used in the rating?  Tenant or vacant?_x000a_• What is being insured under Cov C?_x000a__x000a_This may be leaning toward a commercial exposure, I'm trying to evaluate if I can fit it into our program.  If we can, I'd probably propose issuing excluding liability because of the exposure and public traffic.  I’d also propose not applying the Total Business Exclusion.  I’m concerned that the TBE is going to really limit the coverage because everything that would happen (other than weather) could be attributed to the business.    //  8/7 approved subj to rate as vacant, no liab, agt call on TBE_x000a_"/>
    <s v="Concern that this is a realtor trying to find cheap model home insurance. Quote is for $760. Way to cheap for this exposure."/>
    <n v="38"/>
    <s v="Patterson"/>
  </r>
  <r>
    <x v="149"/>
    <x v="2"/>
    <m/>
    <s v="Alison"/>
    <s v="Email"/>
    <s v="Jackson"/>
    <s v="Robert &amp; Tara"/>
    <s v="HO3 Primary"/>
    <s v="Santa Ynez"/>
    <s v="CA"/>
    <n v="10"/>
    <n v="2433000"/>
    <n v="5000000"/>
    <s v="TIV"/>
    <s v="1985 home w/ alarms &amp; updates in 1998. Low brush. 20 acres, no farming, no horses. Prior wind loss and water $175K in 8/16. Sink overflow. Chubb NRN. Can't open all attachments"/>
    <x v="4"/>
    <s v="• What was the cause of loss?  (App says sink overflow…any more detail?)_x000a_• What has been done to mitigate future loss?_x000a_• Where is the house situated on the 20 acres?  Near the front?  Fully accessible driveway?  (Trying to evaluate if the 20 acres would affect response time.)_x000a_• Please feel free to send me a copy of your quote with proposed water damage deductible and rate._x000a_• I can’t open any of the ATT 1-5 documents.  Could you please reattach in maybe a different format so I can open and review.  _x000a_Low brush. Looking for mitigation and no incr in response time."/>
    <m/>
    <n v="19"/>
    <s v="Patterson"/>
  </r>
  <r>
    <x v="150"/>
    <x v="0"/>
    <s v="MI"/>
    <s v="Delta"/>
    <s v="Email"/>
    <s v="Bleriot"/>
    <s v="Nichole"/>
    <s v="HO3 Primary"/>
    <s v="Breckenridge"/>
    <s v="CO"/>
    <n v="9"/>
    <n v="1800000"/>
    <n v="2880000"/>
    <s v="TIV"/>
    <s v="2017 frame dwelling w/full alarms. 10 min response time, accessible. "/>
    <x v="1"/>
    <m/>
    <s v="No CO research yet from Bethany to confirm how we are handling w/Burns. Online photos show ok brush clearance, trees are trimmed up."/>
    <n v="15"/>
    <s v="Patterson"/>
  </r>
  <r>
    <x v="150"/>
    <x v="0"/>
    <s v="MI"/>
    <s v="Jill"/>
    <s v="Email"/>
    <s v="Gomez-Cuetara"/>
    <s v="Florencio &amp; Roya"/>
    <s v="HO3 Primary"/>
    <m/>
    <m/>
    <m/>
    <m/>
    <m/>
    <s v="Addl Interest"/>
    <s v="Insd filed chapter 11 and wants Govt AI name added. Approval attached is for a different insured. Can't find an approval in file."/>
    <x v="3"/>
    <s v="Need to check app to see how bankruptcy quest was answered. Run ins score and check date. //8/8 addl info requested. //8/10 asked agt to mid term cancel or nonrenew to get us off this risk as quickly as legally possible due to concern w/financial condition. Refused to add AI (sometimes this causes risk to move)"/>
    <s v="Husband's score 762, no bankruptcy. Lots of large and dismissed debt. Wife's score is 729 w/ recent business bankruptcy. $90K judgements. Much dismissed debt. (yes, 62 min is correct as of 8/10)"/>
    <n v="62"/>
    <s v="Patterson"/>
  </r>
  <r>
    <x v="150"/>
    <x v="5"/>
    <s v="NC"/>
    <s v="Anella"/>
    <s v="Email"/>
    <s v="Ketchum"/>
    <s v="Paul &amp; Nancy"/>
    <s v="HO3 Secondary w/Rental"/>
    <s v="North Topsail Beach"/>
    <s v="NC"/>
    <n v="4"/>
    <n v="230000"/>
    <n v="414000"/>
    <s v="Prior bankruptcy"/>
    <s v="1994 home rented 30 weeks. Prior bankruptcy discharged in 2009. Home shows for sale for at least 2 years. Don't know if insd is selling or just buying."/>
    <x v="1"/>
    <s v="This is a new purchase per phone conversation with Craig Smith. "/>
    <s v="Reviewed w/Tim. Agreed if new purchase, they've apparently turned credit around."/>
    <n v="14"/>
    <s v="Patterson"/>
  </r>
  <r>
    <x v="151"/>
    <x v="0"/>
    <s v="MI"/>
    <s v="Jill &amp; Jeff"/>
    <s v="Email"/>
    <s v="Ohman"/>
    <s v="Laura &amp; Trudy"/>
    <s v="DP3 Rental"/>
    <s v="Big Bear"/>
    <s v="CA"/>
    <n v="3"/>
    <n v="2060000"/>
    <n v="2818080"/>
    <s v="TIV"/>
    <s v="1980 home updated in 2013. Not in brush, $5K AOP. Nice online photos. STR quest confirms no seasonal use. Insd owns 3 properties total in the area."/>
    <x v="2"/>
    <s v="DP3. Online shows up for sale 5/27/17. Did insd buy or are they selling (may be an indication of financial concern)"/>
    <s v="Run ins score if home is for sale.  Jeff Leone sent duplicate submission.//8/9 ins score is very good. Approved."/>
    <n v="25"/>
    <s v="Patterson"/>
  </r>
  <r>
    <x v="151"/>
    <x v="7"/>
    <s v="VA"/>
    <s v="Garry"/>
    <s v="Email"/>
    <s v="Rice"/>
    <s v="William"/>
    <s v="HO3 Primary"/>
    <s v="Gordonsville"/>
    <s v="VA"/>
    <n v="10"/>
    <n v="206215"/>
    <n v="350567"/>
    <s v="Response time"/>
    <s v="2005 home. Volunteer FD is 16 min away. Quoted w/prem of $1575  (.45)"/>
    <x v="0"/>
    <s v="Apply 20% s/c for .54 rate."/>
    <m/>
    <n v="16"/>
    <s v="Patterson"/>
  </r>
  <r>
    <x v="151"/>
    <x v="0"/>
    <s v="MI"/>
    <s v="Alexa"/>
    <s v="Email"/>
    <s v="Ellsworth"/>
    <s v="Anthony Skeen"/>
    <s v="HO3 Primary"/>
    <m/>
    <m/>
    <m/>
    <m/>
    <m/>
    <s v="Brush clearance"/>
    <s v="Policy originally issued in 2016. Burns sent DNOC for inadequate clearance. They provided photos from agent and note from insured saying they cleared to 100'. Advised this was not adequate.  Agent now asking to offer renewal terms."/>
    <x v="3"/>
    <s v="What addl info was received that proved adequate clearance? No new info is in the file sent after my declination on 12/2.//8/9 Leslie pointed out this is not a brush zone. Advised DNOC should not have been issued.  Okay to renew."/>
    <m/>
    <n v="41"/>
    <s v="Patterson"/>
  </r>
  <r>
    <x v="151"/>
    <x v="0"/>
    <s v="MI"/>
    <s v="Delta"/>
    <s v="Email"/>
    <s v="Deer Ridge Lodge LLC"/>
    <m/>
    <s v="DP3 Vacant"/>
    <s v="Snowmass Village"/>
    <s v="CO"/>
    <n v="5"/>
    <n v="3000000"/>
    <n v="3000000"/>
    <s v="TIV"/>
    <s v="1990 home w/ alarms &amp; no losses. Agt will require alarm cert and LLC. Online photos good."/>
    <x v="1"/>
    <m/>
    <s v="Insured is a Snowmass realtor. "/>
    <n v="9"/>
    <s v="Patterson"/>
  </r>
  <r>
    <x v="151"/>
    <x v="0"/>
    <s v="MI"/>
    <s v="Delta"/>
    <s v="Email"/>
    <s v="530 Divide Drive LLC"/>
    <m/>
    <s v="DP3 Vacant"/>
    <s v="Snowmass Village"/>
    <s v="CO"/>
    <n v="5"/>
    <n v="5000000"/>
    <n v="5000000"/>
    <s v="TIV"/>
    <s v="1998 home w/updates and alarms, no losses. Agt aware of $5M TIV Limit."/>
    <x v="1"/>
    <m/>
    <m/>
    <n v="8"/>
    <s v="Patterson"/>
  </r>
  <r>
    <x v="151"/>
    <x v="7"/>
    <s v="VA"/>
    <s v="Charity"/>
    <s v="Email"/>
    <s v="Mainland"/>
    <s v="Kirt &amp; Mary"/>
    <s v="HO3 Primary"/>
    <s v="Purcellville"/>
    <s v="VA"/>
    <n v="10"/>
    <n v="1300000"/>
    <n v="2700000"/>
    <s v="PC10"/>
    <s v="2017 home. 14 min 7 mi to responding paid FD. Agt quoting .350. PC1-9 rate is .20. "/>
    <x v="1"/>
    <m/>
    <m/>
    <n v="12"/>
    <s v="Patterson"/>
  </r>
  <r>
    <x v="151"/>
    <x v="0"/>
    <s v="MI"/>
    <s v="Alexa"/>
    <s v="Email"/>
    <s v="Gore Creek Properties LLC"/>
    <m/>
    <s v="DP3 Vacant"/>
    <s v="Vail"/>
    <s v="CO"/>
    <n v="2"/>
    <n v="4000000"/>
    <n v="4400000"/>
    <s v="TIV"/>
    <s v="2015 home w/fire alarm, no burglar alarm. $10K ded quoted. Half duplex sold, this is now up for sale. Staged, but not insured's contents."/>
    <x v="1"/>
    <m/>
    <m/>
    <n v="14"/>
    <s v="Patterson"/>
  </r>
  <r>
    <x v="151"/>
    <x v="2"/>
    <m/>
    <s v="Alex"/>
    <s v="Call/Email"/>
    <s v="Trevino "/>
    <s v="Josie"/>
    <s v="DP3 Tenant"/>
    <s v="Victorville"/>
    <s v="CA"/>
    <n v="4"/>
    <n v="172000"/>
    <n v="216000"/>
    <s v="Prior loss"/>
    <s v="Prior tenant's adult child w/mental illness started a fire -2015 - $100K. That tenant moved out."/>
    <x v="2"/>
    <s v="Agent may quote, but proof of loss (fire marshal or carrier report) needed prior to bind. Markel to review.//8/11 fire report reviewed, okay."/>
    <m/>
    <n v="21"/>
    <s v="Patterson"/>
  </r>
  <r>
    <x v="151"/>
    <x v="2"/>
    <m/>
    <s v="Alison"/>
    <s v="Call"/>
    <s v="Cairns"/>
    <m/>
    <s v="HO3 Seasonal"/>
    <s v="Big Bear"/>
    <s v="CA"/>
    <m/>
    <n v="210000"/>
    <m/>
    <s v="Zinsco Breakers"/>
    <s v="1920 home updated to c/b however they are Zinsco. This is a new purchase -it was pointed out in the inspection. Closing is proceeding. Insured getting an electrician to fix. Also has a HWT issue - getting a plumber. May have a roof issue - getting a contractor."/>
    <x v="0"/>
    <s v="Breaker panel to be replaced within 14 days or DNOC - agnt to advise of hazard of Zinsco. Don't move in until replaced. Excluding water until HWT is fixed. Excluding roof until determined condition is okay."/>
    <m/>
    <n v="27"/>
    <s v="Patterson"/>
  </r>
  <r>
    <x v="151"/>
    <x v="2"/>
    <m/>
    <s v="Alison"/>
    <s v="Call"/>
    <s v="TBD - agent emailing"/>
    <m/>
    <s v="HO3 Primary"/>
    <s v="Santa Maria"/>
    <s v="CA"/>
    <m/>
    <m/>
    <m/>
    <s v="Liability hazard"/>
    <s v="Insured sets up a large model railroad in yard 2-3X year w/buildings. Advertises to churches, sr center, neighbors, children. Juice &amp; cookies served. Sign-in, helpers. "/>
    <x v="0"/>
    <s v="Insured must get an event policy for each event. Referred to Jamie Gregory for possible schedule of the railroad."/>
    <m/>
    <n v="30"/>
    <s v="Patterson"/>
  </r>
  <r>
    <x v="151"/>
    <x v="4"/>
    <s v="CO"/>
    <s v="Allison"/>
    <s v="Email"/>
    <s v="Ryan"/>
    <s v="Barry &amp; Candice"/>
    <s v="HO3 Primary"/>
    <s v="Newport Beach"/>
    <s v="CA"/>
    <n v="2"/>
    <n v="1800000"/>
    <n v="3240000"/>
    <s v="Prior loss"/>
    <s v="1988 home w/2008 roof. Alarms. Prior $163K loss 2/17 due to heavy rain storm. No note on cause. All tearout done. Just deciding on finish contractor. Should be done in next few months."/>
    <x v="4"/>
    <s v="What caused the rain damage to get inside?"/>
    <m/>
    <n v="10"/>
    <s v="Patterson"/>
  </r>
  <r>
    <x v="152"/>
    <x v="0"/>
    <s v="MI"/>
    <s v="Alexa"/>
    <s v="Email"/>
    <s v="Perlmutter"/>
    <s v="Daniel"/>
    <s v="DP3 Rental"/>
    <s v="Charleston"/>
    <s v="SC"/>
    <n v="2"/>
    <n v="525000"/>
    <n v="595000"/>
    <s v="Rate relief   "/>
    <s v="1987 dwelling and duplex on same property all rented. Agt wants to match All Risks quote $3581. Wind prem is $2,345. VMGA=$3679. Attritional is .22. To match AR, .21 rate."/>
    <x v="0"/>
    <s v="Verify construction info of duplex. Inspect both the dwelling and duplex. Rate as 3 family (although I believe no diff). $3581 or close is acceptable."/>
    <m/>
    <n v="30"/>
    <s v="Patterson"/>
  </r>
  <r>
    <x v="152"/>
    <x v="0"/>
    <s v="MI"/>
    <s v="Leslie"/>
    <s v="Email"/>
    <s v="Cambridge"/>
    <s v="Grant"/>
    <s v="DP3 Vacant"/>
    <s v="Pasadena"/>
    <s v="CA"/>
    <n v="2"/>
    <n v="300000"/>
    <n v="3600000"/>
    <s v="TIV"/>
    <s v="1923 home updated in 2014. Very nice online photos. Will be vacant with remodel starting at end of year and then it will be primary."/>
    <x v="2"/>
    <s v="Wasn't clear on what requested terms were. Approved DP3 Vacant w/FRC, then endorse to builders risk when constr starts."/>
    <m/>
    <n v="29"/>
    <s v="Patterson"/>
  </r>
  <r>
    <x v="152"/>
    <x v="2"/>
    <m/>
    <s v="Melissa"/>
    <s v="Email"/>
    <s v="Akpulat"/>
    <s v="Karabet"/>
    <s v="HO3 Primary"/>
    <s v="Encino "/>
    <s v="CA"/>
    <m/>
    <n v="2454448"/>
    <n v="4500000"/>
    <s v="Inspection"/>
    <s v="Would we waive inspection since they got one in 2016? 1976 home w/updates. Good inspection, photos look good. Not in brush. Alarms and sprinkler."/>
    <x v="2"/>
    <s v="Need to confirm cov A and submit for full review. We didn't get all the required info.///8/10 all info received and looks good."/>
    <m/>
    <n v="28"/>
    <s v="Patterson"/>
  </r>
  <r>
    <x v="152"/>
    <x v="2"/>
    <m/>
    <s v="Bobbi"/>
    <s v="Email"/>
    <s v="Lepe"/>
    <s v="Raul &amp; Bethany"/>
    <s v="HO3 Primary"/>
    <s v="Mission Viejo"/>
    <s v="CA"/>
    <m/>
    <n v="800000"/>
    <m/>
    <s v="Inspection"/>
    <s v="Insured forgot key and insp co is now wanting to charge $100 to go back to do interior. Can they waive?"/>
    <x v="0"/>
    <s v="As long as OHQ and RCE are ok."/>
    <m/>
    <n v="18"/>
    <s v="Patterson"/>
  </r>
  <r>
    <x v="152"/>
    <x v="0"/>
    <s v="MI"/>
    <s v="Alexa"/>
    <s v="Email/Call"/>
    <s v="Grabler"/>
    <s v="Peter &amp; Wendy"/>
    <s v="HO3 Builders Risk"/>
    <s v="Palm Beach Gardens"/>
    <s v="FL"/>
    <m/>
    <n v="2200000"/>
    <n v="2200000"/>
    <s v="Wind ded"/>
    <s v="1990 home masonry w/alarms 2 miles from the coast. Agent would like to quote 10% wind ded."/>
    <x v="0"/>
    <s v="Completed app (none attached)"/>
    <s v="reviewed w/ Jeff. If not frame, not old, and ok ded, ok to quote. Jeff ok'd 10% ded."/>
    <n v="28"/>
    <s v="Patterson"/>
  </r>
  <r>
    <x v="152"/>
    <x v="4"/>
    <s v="CO"/>
    <s v="Allison"/>
    <s v="Email"/>
    <s v="Pratt"/>
    <s v="Ruby"/>
    <s v="HO3 Builders Risk"/>
    <s v="Canon City"/>
    <s v="CO"/>
    <m/>
    <n v="200000"/>
    <n v="200000"/>
    <s v="Insured is GC"/>
    <s v="Home started in 2014. 1 1/2 years left. Insured is contractor, working on home in their spare time - retired. Photos show some plywood covering, some Tyvek. SF now getting off. "/>
    <x v="3"/>
    <s v="Concerned with length of time and owner/builder. Considered other options like if they brought in a GC, but no guaranty of the quality of the work done so far."/>
    <m/>
    <n v="30"/>
    <s v="Patterson"/>
  </r>
  <r>
    <x v="152"/>
    <x v="0"/>
    <s v="MI"/>
    <s v="Danielle"/>
    <s v="Email"/>
    <s v="Sieger Property Development LLC"/>
    <m/>
    <s v="DP3 Vacant"/>
    <s v="Truckee"/>
    <s v="CA"/>
    <n v="5"/>
    <n v="4000000"/>
    <n v="4030000"/>
    <s v="TIV"/>
    <s v="2017 new construction currently vacant and appears to be for sale. Alarms. Medium brush."/>
    <x v="2"/>
    <s v="Confirm 150' brush clearance. Need LLC form.//Dani asked us to consider .22-.23 rate to match competitor. Advised in brush we really can't reduce rate. Quote is .27 now."/>
    <s v="Note:  Have not received instruction or direction yet on writing high value in brush zone. This is PC5. Seems like this is okay based on initial direction from Jeff."/>
    <n v="24"/>
    <s v="Patterson"/>
  </r>
  <r>
    <x v="153"/>
    <x v="5"/>
    <m/>
    <s v="Lauren"/>
    <s v="Email"/>
    <s v="Schramel"/>
    <s v="Nathaniel "/>
    <s v="HO3 Primary"/>
    <s v="Ocracoke"/>
    <s v="NC"/>
    <m/>
    <n v="115000"/>
    <n v="200000"/>
    <s v="Business on premises"/>
    <s v="1950 home w/updates. Business on property. Insd owns building and rents it to a gift shop/massage studio. "/>
    <x v="4"/>
    <m/>
    <s v="Checking w/Tim"/>
    <n v="26"/>
    <s v="Patterson"/>
  </r>
  <r>
    <x v="153"/>
    <x v="0"/>
    <s v="MI"/>
    <s v="Delta"/>
    <s v="Email"/>
    <s v="Fulco"/>
    <s v="Frank Carl"/>
    <s v="HO3 Primary"/>
    <s v="Sedalia"/>
    <s v="CO"/>
    <n v="10"/>
    <n v="864000"/>
    <n v="1523200"/>
    <s v="TIV"/>
    <s v="2003 brick veneer home with alarms. FD is 6.1 miles away. 10 min. Confirmed online."/>
    <x v="1"/>
    <m/>
    <m/>
    <n v="11"/>
    <s v="Patterson"/>
  </r>
  <r>
    <x v="153"/>
    <x v="0"/>
    <s v="MI"/>
    <s v="Delta"/>
    <s v="Email"/>
    <s v="Hawk LLC"/>
    <m/>
    <s v="DP3 Vacant"/>
    <s v="Mill Valley"/>
    <s v="CA"/>
    <n v="5"/>
    <n v="1700000"/>
    <n v="2210000"/>
    <s v="TIV"/>
    <s v="2017 new build vacant and for sale. Nice online pics. Not in brush, no alarms, $5K ded. Has 50% ERC. $500/SF seems adequate."/>
    <x v="0"/>
    <s v="LLC form"/>
    <m/>
    <n v="15"/>
    <s v="Patterson"/>
  </r>
  <r>
    <x v="153"/>
    <x v="0"/>
    <s v="MI"/>
    <s v="Jeff"/>
    <s v="Email"/>
    <s v="Young"/>
    <s v="Gail"/>
    <s v="DP3 Rental"/>
    <s v="Solona Beach"/>
    <s v="CA"/>
    <n v="1"/>
    <n v="1100000"/>
    <n v="2110000"/>
    <s v="TIV"/>
    <s v="1961 home w/full updates. 2 prior water losses described. $25K water ded. No loss trend."/>
    <x v="0"/>
    <s v="Verify adequate cov B. Online indicates 1600 SF guest house, only $200K cov B."/>
    <m/>
    <n v="13"/>
    <s v="Patterson"/>
  </r>
  <r>
    <x v="153"/>
    <x v="0"/>
    <s v="MI"/>
    <s v="Jill"/>
    <s v="Email"/>
    <s v="Gonzalez"/>
    <s v="Roberto"/>
    <s v="HO3 Primary"/>
    <s v="St Peters"/>
    <s v="MO"/>
    <m/>
    <n v="422100"/>
    <n v="1000000"/>
    <s v="4 losses"/>
    <s v="1984 frame home w/4 losses since 2014 when written (not referred) and now one new loss to roof. $25K water damage applied."/>
    <x v="4"/>
    <s v="Need addl loss info. Looks like a trend. Any m mitigation. How was roof replaced in 2016 and now there is a new loss? Can't find current loss in system."/>
    <m/>
    <n v="28"/>
    <s v="Patterson"/>
  </r>
  <r>
    <x v="153"/>
    <x v="2"/>
    <m/>
    <s v="Alex"/>
    <s v="Email"/>
    <s v="Richman"/>
    <s v="Allen"/>
    <s v="HO3 Secondary w/Rental"/>
    <s v="Alpine Meadows"/>
    <s v="CA"/>
    <n v="4"/>
    <n v="710000"/>
    <n v="881000"/>
    <s v="Prior loss"/>
    <s v="1967 frame dwelling. $250K prior water loss-2nd floor bath pipe break. Total gut &amp; remodel. Usu I would s/c 10% due to size of loss. Since gut/reno, would reduce to 5%. Then saw there is a leak detection system added. Decided against required s/c."/>
    <x v="0"/>
    <s v="S/C if there is room to do it."/>
    <m/>
    <n v="15"/>
    <s v="Patterson"/>
  </r>
  <r>
    <x v="153"/>
    <x v="0"/>
    <s v="MI"/>
    <s v="Jeff"/>
    <s v="Email"/>
    <s v="Schrobsdorff"/>
    <s v="Phyllis"/>
    <s v="DP3 Rental"/>
    <s v="San Francisco"/>
    <s v="CA"/>
    <n v="1"/>
    <n v="1935900"/>
    <n v="2333080"/>
    <s v="TIV"/>
    <s v="1900 home w/updates. Nice online photos. Lapse since 5/2/17. No explanation. Not in brush. "/>
    <x v="0"/>
    <s v="EHP and confirm RC ok w/inspection. Get reason for lapse and signed no loss."/>
    <m/>
    <n v="21"/>
    <s v="Patterson"/>
  </r>
  <r>
    <x v="153"/>
    <x v="0"/>
    <s v="MI"/>
    <s v="Jill"/>
    <s v="Email"/>
    <s v=" Wilkins"/>
    <s v="Jimmy"/>
    <s v="HO3 Primary"/>
    <s v="Cardiff by the Sea"/>
    <s v="CA"/>
    <n v="1"/>
    <n v="633000"/>
    <n v="1130000"/>
    <s v="High profile"/>
    <s v="1964 home w/updates in 2010. Insured is pro skateboarder. Has a skateboard ramp in his yard. Fenced per online photos. $1M liab quoted."/>
    <x v="0"/>
    <s v="Excluding liab. Can't control guests use of skateboard ramp. Insd is 24 year old single individual. Would allow liab if he didn't have the ramp."/>
    <m/>
    <n v="17"/>
    <s v="Patterson"/>
  </r>
  <r>
    <x v="154"/>
    <x v="2"/>
    <m/>
    <s v="Melissa"/>
    <s v="Call/Email"/>
    <s v="Binafard"/>
    <s v="Babak and Farahmand, Haleh"/>
    <s v="HO3 Primary"/>
    <m/>
    <m/>
    <m/>
    <m/>
    <m/>
    <s v="Flat roof"/>
    <s v="1960 home updated in 2001. Home has flat roof. Nice condition. Comp roll. Agreed to allow $5000 full water damage ded as this was how it was originally issued. Agt didn't know of flat roof and they missed fixing the ded when the insp came in. "/>
    <x v="1"/>
    <s v="Roof guidelines still under discussion."/>
    <m/>
    <n v="10"/>
    <s v="Patterson"/>
  </r>
  <r>
    <x v="154"/>
    <x v="4"/>
    <s v="CO"/>
    <s v="Allison"/>
    <s v="Email"/>
    <s v="Neumiller"/>
    <s v="Neil"/>
    <s v="HO6 Secondary w/Rental"/>
    <s v="Steamboat Springs"/>
    <s v="CO"/>
    <n v="3"/>
    <n v="200000"/>
    <n v="3000000"/>
    <s v="TIV"/>
    <s v="Beautiful condo in Steamboat Springs rented for 15 weeks a year. High end. $7500-$30,000 for 5 days. Management co. Climbing wall in condo so excluding liab.  Not in brush. Alarms."/>
    <x v="0"/>
    <s v="No scheduled items. Confirm only residential use. "/>
    <s v="Found online info about insured building a property to rent for weddings. Make sure it isn't happening. May be okay since x-liab. We would need to evaluate."/>
    <n v="32"/>
    <s v="Patterson"/>
  </r>
  <r>
    <x v="154"/>
    <x v="0"/>
    <s v="MI"/>
    <s v="Jeff"/>
    <s v="Email"/>
    <s v="Wilkins   BWH104238"/>
    <s v="Barbara"/>
    <s v="HO3 Primary w/rental"/>
    <m/>
    <m/>
    <m/>
    <m/>
    <m/>
    <s v="Occupancy"/>
    <s v="Two homes on the same property. How to insure?"/>
    <x v="0"/>
    <s v="We’ve handled this situation a couple of different ways.  We prefer not to add the two Cov A’s together as we feel it could really create confusion at claim time.  You can:_x000a_• Switch the homes around – insure the higher valued one under Cov A and the lower under Cov B_x000a_• Write two separate policies, one for each home_x000a_"/>
    <m/>
    <n v="10"/>
    <s v="Patterson"/>
  </r>
  <r>
    <x v="154"/>
    <x v="0"/>
    <s v="MI"/>
    <s v="Danielle"/>
    <s v="Email"/>
    <s v="Su"/>
    <s v="Yur-Fang"/>
    <s v="DP3 Builders Risk"/>
    <s v="Pacific Palisades"/>
    <s v="CA"/>
    <n v="1"/>
    <n v="3200000"/>
    <n v="3520000"/>
    <s v="Rating"/>
    <s v="2003 dwelling undergoing cosmetic reno. Then will be vacant. Eventually will be occupied 9 months a year when kids are in school. Bal of time will be in Taiwan. Request to rate as reno and then en to vacant."/>
    <x v="0"/>
    <s v="• Acceptable answer (No) to question #8 on the app.  This is the fraud/arson question and it is currently blank._x000a_• Complete and acceptable LLC form._x000a_$400 psf."/>
    <s v="Lots of sale history online. This is a new purchase per app."/>
    <n v="18"/>
    <s v="Patterson"/>
  </r>
  <r>
    <x v="154"/>
    <x v="0"/>
    <s v="MI"/>
    <s v="Danielle"/>
    <s v="Email"/>
    <s v="Martinez   BWH109293"/>
    <s v="Debbi"/>
    <s v="HO3 Primary"/>
    <s v="Pine Valley"/>
    <s v="CA"/>
    <m/>
    <m/>
    <m/>
    <s v="Brush clearance"/>
    <s v="Inspection showed brush issue. Insured provided clearance photos. Agt asking for 2nd opinion if I think it is acceptable."/>
    <x v="2"/>
    <s v="Appear insufficient. Provided extensive Cal Fire forms and info to support clearance requirements."/>
    <m/>
    <n v="22"/>
    <s v="Patterson"/>
  </r>
  <r>
    <x v="154"/>
    <x v="0"/>
    <s v="MI"/>
    <s v="Leslie"/>
    <s v="Email"/>
    <s v="Niedzielski"/>
    <s v="Vince"/>
    <s v="HO3 Primary"/>
    <s v="San Diego"/>
    <s v="CA"/>
    <n v="10"/>
    <n v="1575900"/>
    <n v="2800000"/>
    <s v="PC10"/>
    <s v="2015 home in high brush. Online confirmation that response time is 14 minutes. UPQ attached and acceptable. Photos show well cleared of brush."/>
    <x v="0"/>
    <s v="Need an app before binding. None was attached. Agent adding $500 to quote. Brings closer to Lex premium (around 10% less)"/>
    <m/>
    <n v="15"/>
    <s v="Patterson"/>
  </r>
  <r>
    <x v="154"/>
    <x v="0"/>
    <s v="MI"/>
    <s v="Leslie"/>
    <s v="Email"/>
    <s v="Asubar"/>
    <s v="Steven &amp; Concepcion"/>
    <s v="HO3 Primary"/>
    <s v="Vancouver"/>
    <s v="WA"/>
    <m/>
    <n v="250000"/>
    <n v="450000"/>
    <n v="4"/>
    <s v="1995 home; new pipes installed under the home, new furnace, new roof and new fence. Has 6 losses since 12/11/14. 2 wind; 2 are related, furnace breakdown/freeze, water line failed, water leak on roof."/>
    <x v="4"/>
    <s v="Long list of additional questions to evaluate the loss history."/>
    <m/>
    <n v="21"/>
    <s v="Patterson"/>
  </r>
  <r>
    <x v="155"/>
    <x v="0"/>
    <s v="MI"/>
    <s v="Delta"/>
    <s v="Email"/>
    <s v="Sullivan"/>
    <s v="James &amp; Kelly"/>
    <s v="HO3 Primary"/>
    <s v="S. Yarmouth"/>
    <s v="MA"/>
    <n v="3"/>
    <n v="1600000"/>
    <n v="3280000"/>
    <s v="TIV/COV B"/>
    <s v="primary home MA. Home was built in 2017, frame construction, PC3, with full c/s alarms and no losses. Cov B limit high ($400,000)due to newly built barn. App states no animals, but agt will confirm"/>
    <x v="0"/>
    <s v="Google search OK, new build, OK with Coverage B w/ description-agt to confirm that no farm animals/personal use only."/>
    <m/>
    <m/>
    <s v="Burdine"/>
  </r>
  <r>
    <x v="155"/>
    <x v="0"/>
    <s v="MI"/>
    <s v="Jill"/>
    <s v="Email"/>
    <s v="B &amp; B INN LLC OF MILL CREEK GA"/>
    <s v="B &amp; B INN LLC OF MILL CREEK GA"/>
    <s v="HO3 Primary"/>
    <s v="Winamac"/>
    <s v="IN"/>
    <n v="7"/>
    <n v="1905700"/>
    <n v="3906685"/>
    <s v="TIV/Bed &amp; Breakfast"/>
    <s v="Built in 1996, frame, no losses, PC7, primary, located in IN; Bed in breakfast with pool"/>
    <x v="4"/>
    <s v="pool makes ineligible; questioned if comm pol in place, if willing to exclude liab, if used for event planning (as suggest on provided comm app), how many room rented (appears more than 4), and if partially owner occupied for further consideration"/>
    <m/>
    <m/>
    <s v="K.Burdine"/>
  </r>
  <r>
    <x v="155"/>
    <x v="1"/>
    <s v="PA"/>
    <s v="Andrea"/>
    <s v="Email"/>
    <s v="Foster Properties Unlimited LLC"/>
    <s v="Foster Properties Unlimited LLC"/>
    <s v="HO3 Secondary/Rental"/>
    <m/>
    <s v="WV"/>
    <n v="0.9"/>
    <m/>
    <m/>
    <s v="Protection Class"/>
    <s v="three properties, short term rentals, agent that Nichole is trying to grow, one PCQ provided -10-20 response time"/>
    <x v="0"/>
    <s v="Requested separate PCQs if able; also advised if purely rental, no owner occupancy at any point through year, need to be rated as a rental. Advised prefer 15 min response time, but after reviewing new PCQ may be considered w/ appropriate surcharge; advised would need LLC questionnaire if we continue"/>
    <s v="approved w/ condition: acceptable LLC quest; will quote as rental, will surcharge 20% for each property at 20 min response time; separate PCQ or indication on the 1 which addresses it applies to"/>
    <m/>
    <s v="K.Burdine"/>
  </r>
  <r>
    <x v="155"/>
    <x v="0"/>
    <s v="MI"/>
    <s v="Jill"/>
    <s v="Email"/>
    <s v="Llewellyn"/>
    <s v="Matthew"/>
    <s v="HO3/Secondary"/>
    <m/>
    <s v="IL"/>
    <n v="10"/>
    <n v="701000"/>
    <n v="1331900"/>
    <s v="PC 10/TIV"/>
    <s v="REFERRING DUE TO TIV $1,331,900 PC 10 &amp; NOT ACCESSIBLE YEAR ROUND, 40 ACRES (NO BUSINESS USE, PC10, brick veneer, secondary, c/s alarm, built in 2011, no losses, located in IL"/>
    <x v="0"/>
    <s v="Per PCQ, 10 min response time, gravel road to home may be inaccessible if bad weather. Advised OK to release terms with 30% surcharge for possible inaccessibility "/>
    <m/>
    <m/>
    <s v="K.Burdine"/>
  </r>
  <r>
    <x v="156"/>
    <x v="0"/>
    <s v="MI"/>
    <s v="Leslie"/>
    <s v="Email"/>
    <s v="Anjam"/>
    <s v="Zafir"/>
    <s v="Builders Risk"/>
    <m/>
    <s v="CA"/>
    <n v="10"/>
    <m/>
    <m/>
    <s v="PC 10/TIV"/>
    <s v="insured needs builders risk, just received home back from settlement w/ex-wife, and property wasn't well cared for. Renovations include: painting, windows, roof, floors. No walls. Home is accessible year round. Inspection was attached. No losses, CS alarm, premium $14,816. No GC as types of work easily subbed out"/>
    <x v="1"/>
    <s v="Confirmed with LT that OK with BR instead of vacant, even though no GC being used. OK w/ premium and inspection reviewed"/>
    <m/>
    <m/>
    <s v="K.Burdine"/>
  </r>
  <r>
    <x v="156"/>
    <x v="0"/>
    <s v="MI"/>
    <s v="Rachel"/>
    <s v="Email"/>
    <m/>
    <m/>
    <s v="DP1-Stand Alone"/>
    <s v="Sebago"/>
    <s v="ME"/>
    <m/>
    <n v="20000"/>
    <n v="20000"/>
    <s v="Stand alone other structure"/>
    <s v="They own an expensive dock that comes out of the water in the winter, but their homeowners won't cover the dock. It cost $20k "/>
    <x v="0"/>
    <s v="Confirmed that dock on insured residence/not used by others. Reviewed with LT and agreed to offer x-liab since on same property as HO policy."/>
    <m/>
    <m/>
    <s v="K.Burdine"/>
  </r>
  <r>
    <x v="157"/>
    <x v="2"/>
    <s v="CA"/>
    <s v="Melissa"/>
    <s v="Email"/>
    <s v="Sagita Ventures LTD"/>
    <s v="Sagita Ventures LTD"/>
    <s v="HO3/Primary"/>
    <s v="Thousand Oaks"/>
    <s v="CA"/>
    <n v="4"/>
    <n v="3676000"/>
    <n v="4616000"/>
    <s v="TIV"/>
    <s v="Lex renewal; 2009 build, alarms, inspection/RM provided"/>
    <x v="0"/>
    <s v="Subject to acceptable LLC questionnaire"/>
    <m/>
    <m/>
    <s v="K.Burdine"/>
  </r>
  <r>
    <x v="157"/>
    <x v="1"/>
    <s v="PA"/>
    <s v="Andrea"/>
    <s v="Email"/>
    <s v="Jaindl"/>
    <s v="David &amp; Jacquelyn"/>
    <s v="HO3/Secondary"/>
    <s v="Paupack"/>
    <s v="PA"/>
    <n v="9"/>
    <n v="1300000"/>
    <n v="2340000"/>
    <s v="PC 9/TIV"/>
    <s v="2013 build, inland, PCQ provided"/>
    <x v="1"/>
    <s v="all info acceptable"/>
    <m/>
    <m/>
    <s v="K.Burdine"/>
  </r>
  <r>
    <x v="158"/>
    <x v="0"/>
    <s v="MI"/>
    <s v="Delta"/>
    <s v="Email"/>
    <s v="BERGSCHLOSS LLC"/>
    <s v="BERGSCHLOSS LLC"/>
    <s v="DP3/Vacant"/>
    <s v="West Des Moines"/>
    <s v="IA"/>
    <n v="4"/>
    <n v="1177000"/>
    <n v="1294700"/>
    <s v="TIV?"/>
    <s v="Home was built in 2017 of frame construction, PC4 , full C/S alarms and no losses. Home is currently a model home for  a new builder. Insured leasing to builder for two years, then will become their secondary."/>
    <x v="0"/>
    <s v="x-liab due to traffic from being model home"/>
    <m/>
    <m/>
    <s v="K.Burdine"/>
  </r>
  <r>
    <x v="158"/>
    <x v="0"/>
    <s v="MI"/>
    <s v="Danielle"/>
    <s v="Email"/>
    <s v="Miller"/>
    <s v="Carolyn"/>
    <s v="DP3/Vacant"/>
    <s v="Wilson"/>
    <s v="WY"/>
    <n v="5"/>
    <n v="2124000"/>
    <n v="2124000"/>
    <s v="TIV"/>
    <s v="Vacant home, no losses, PC OK"/>
    <x v="1"/>
    <s v="all info acceptable"/>
    <m/>
    <m/>
    <s v="K.Burdine"/>
  </r>
  <r>
    <x v="158"/>
    <x v="4"/>
    <s v="CO"/>
    <s v="Allison"/>
    <s v="Email"/>
    <s v="Johnson"/>
    <s v="Betty"/>
    <s v="DP3/Rental"/>
    <s v="Breckenridge"/>
    <s v="CO"/>
    <n v="2"/>
    <n v="1117600"/>
    <n v="2237400"/>
    <s v="TIV/Wood roof"/>
    <s v="Attached is the rater, apps, riskmeter, and some photos.  There is no loss history.    The home is surrounded by aspen trees, and not too far from Main Street Breckenridge.  It’s in a Low Propensity to Burn area, but there are trees within 100 feet.  I’ve included a roof exclusion, and the wildfire form.  Which I’ll talk to the agent about trimming trees within 10 vertical feet of the roof."/>
    <x v="0"/>
    <s v="Approval subject to addressing brush/trees prior to issuance. Also, updated 1978 (1965 build) so requested inspection to include interior to review all systems"/>
    <m/>
    <m/>
    <s v="K.Burdine"/>
  </r>
  <r>
    <x v="158"/>
    <x v="0"/>
    <s v="MI"/>
    <s v="Danielle"/>
    <s v="Email"/>
    <s v="Vargas"/>
    <s v="Samuel &amp; Joshua"/>
    <s v="HO3/Primary"/>
    <s v="Hollister"/>
    <s v="CA"/>
    <n v="4"/>
    <n v="984000"/>
    <n v="1672800"/>
    <s v="PC 9"/>
    <s v="Attached is a primary home quote for the above named insured located in CA.  Home was built in 2002 of frame construction.  PC9 with alarms and no losses."/>
    <x v="1"/>
    <s v="all info acceptable"/>
    <m/>
    <m/>
    <s v="K.Burdine"/>
  </r>
  <r>
    <x v="158"/>
    <x v="6"/>
    <s v="CA"/>
    <s v="Lisa"/>
    <s v="Email"/>
    <s v="Barnes"/>
    <s v="Harrison"/>
    <s v="DP3/Rental"/>
    <s v="Malibu"/>
    <s v="CA"/>
    <n v="4"/>
    <n v="1780000"/>
    <n v="3560000"/>
    <s v="TIV"/>
    <s v="1991 build, no brush, no losses, fulltime rental, PC 4"/>
    <x v="1"/>
    <s v="all info acceptable"/>
    <m/>
    <m/>
    <s v="K.Burdine"/>
  </r>
  <r>
    <x v="159"/>
    <x v="0"/>
    <s v="MI"/>
    <s v="Jeff"/>
    <s v="Email"/>
    <s v="Steiner"/>
    <s v="James"/>
    <s v="HO3 Builders Risk"/>
    <s v="Centre Hall"/>
    <s v="PA"/>
    <n v="9"/>
    <n v="1375000"/>
    <n v="1512500"/>
    <s v="TIV"/>
    <s v="2017 new construction. Photo shows risk partially constructed. No info on prior carrier or how long under construction, etc."/>
    <x v="2"/>
    <s v="From the photo provided, it looks like construction has already started.  How long has construction been in progress?  Where has risk been insured?  If uninsured, please advise why.  If previously insured, please advise why coverage is being moved from current carrier.  When is construction estimated to be completed?  Any reason for delay if beyond 1 year?  Is there a licensed and insured general contractor managing the construction?  Is $1,375,000 the estimated cost of the completed structure?//8/22 all answers ok. approved w/5-10% s/c if possible. //8/30 mistake - no prior COC covg. Agent quoting w/20% surcharge. Approved. "/>
    <s v="823 and 807 ins scores."/>
    <n v="29"/>
    <s v="Patterson"/>
  </r>
  <r>
    <x v="159"/>
    <x v="2"/>
    <m/>
    <s v="Alex"/>
    <s v="Call"/>
    <s v="CA Building Structure"/>
    <m/>
    <s v="DP3 Rental"/>
    <m/>
    <m/>
    <m/>
    <m/>
    <m/>
    <s v="Occupancy"/>
    <s v="Insured has purchased a dwelling in his business name. He and other employees stay here when they are doing solar panel jobs in the area. "/>
    <x v="0"/>
    <s v="No business use, average # of employees (no more than expected on STR risk). Residential only."/>
    <m/>
    <n v="17"/>
    <s v="Patterson"/>
  </r>
  <r>
    <x v="159"/>
    <x v="2"/>
    <m/>
    <s v="Alison"/>
    <s v="Email"/>
    <s v="Puopolo"/>
    <s v="Matthew"/>
    <s v="HO3 Primary"/>
    <s v="Pacific Palisades"/>
    <s v="CA"/>
    <n v="2"/>
    <n v="2706000"/>
    <n v="4517800"/>
    <s v="TIV"/>
    <s v="1997 home w/alarms. Nice online photos. Home has a pool w/built in cement slide per photos."/>
    <x v="0"/>
    <s v="Reminded of $5M TIV."/>
    <m/>
    <n v="16"/>
    <s v="Patterson"/>
  </r>
  <r>
    <x v="159"/>
    <x v="11"/>
    <s v="MA"/>
    <s v="Mary "/>
    <s v="Email"/>
    <s v="May"/>
    <s v="Carol &amp; Keith"/>
    <s v="HO3 Secondary w/Rental"/>
    <s v="East Boothbay"/>
    <s v="ME"/>
    <n v="9"/>
    <n v="303081"/>
    <n v="600000"/>
    <s v="Pricing"/>
    <s v="1945 Risk currently w/Lex $1411 premium. Agent wants to match. Updated home used as seasonal rental - no student. Tenants are screened. 528' from water. Current pricing $2050. 30% credit."/>
    <x v="4"/>
    <s v="Referred to Jeff for pricing review. $907 in wind premium. That leaves $508 for non-wind or about 8.7 ROL. We can go with it per Jeff &amp; Bethany. "/>
    <m/>
    <n v="14"/>
    <s v="Patterson"/>
  </r>
  <r>
    <x v="159"/>
    <x v="0"/>
    <s v="MI"/>
    <s v="Danielle"/>
    <s v="Email"/>
    <s v="Huang "/>
    <s v="Edwyn Charles"/>
    <s v="HO6 Primary/Bldrs Risk"/>
    <m/>
    <m/>
    <m/>
    <m/>
    <m/>
    <s v="Builders Risk"/>
    <s v="Agent wants to add $200,000 schedule of shoes worn one time for promotions and then displayed around his condo.  This was referred and approved by Markel Specialty. // 8/23 found out condo will be under construction. Checked on regularly."/>
    <x v="1"/>
    <s v="Provided referral info to Markel Specialty."/>
    <m/>
    <n v="29"/>
    <s v="Patterson"/>
  </r>
  <r>
    <x v="159"/>
    <x v="2"/>
    <s v="CA"/>
    <s v="Alex"/>
    <s v="Call/Email"/>
    <s v="Pendola"/>
    <s v="Greg &amp; Marcie"/>
    <s v="HO3 Primary"/>
    <s v="Calabasas"/>
    <s v="CA"/>
    <n v="4"/>
    <n v="986000"/>
    <n v="2000000"/>
    <s v="Prior losses"/>
    <s v="1987 home w/updates. no online photos.  4 prior losses for leaky windows and water damage. $15-$50,000 each. Insured has replaced all windows.//8/22 App shows leak from light fixture as well. Repair doc shows roof repair as well as replaced windows. Agent quoting w/$1000 ded as insd has made these extensive repairs to mitigate.  (($55K in repairs)"/>
    <x v="0"/>
    <s v="Please refer for review.//8/22 reviewed all info.  Asked for $5K water damage deductible. If we go a year w/no losses, can re-assess."/>
    <m/>
    <n v="28"/>
    <s v="Patterson"/>
  </r>
  <r>
    <x v="159"/>
    <x v="1"/>
    <s v="PA"/>
    <s v="Andrea"/>
    <s v="Email"/>
    <s v="Helfrich"/>
    <s v="Joseph Jr."/>
    <s v="HO3 Builders Risk"/>
    <s v="Lawrence"/>
    <s v="MA"/>
    <n v="4"/>
    <n v="400000"/>
    <n v="400000"/>
    <s v="No licensed GC"/>
    <s v="Tail end construction (only 30 days left) and insured's father is the GC w/construction supervisor and other hired subs. Current company found out about reno and cancelled."/>
    <x v="3"/>
    <s v="We have a GC situation that doesn’t really fit our criteria and a home that is nearing completion.  Both of these factors increase our exposure."/>
    <m/>
    <n v="18"/>
    <s v="Patterson"/>
  </r>
  <r>
    <x v="159"/>
    <x v="0"/>
    <s v="MI"/>
    <s v="Jill"/>
    <s v="Email"/>
    <m/>
    <m/>
    <s v="DP1 Stand Alone Other Str"/>
    <m/>
    <m/>
    <m/>
    <m/>
    <m/>
    <s v="Stand alone other structure"/>
    <s v="Shipping container on fenced/secured vacant lot. Would this be other structures?"/>
    <x v="4"/>
    <s v="Asked addl questions to determine if this was other structure on HO-3 or as a DP-1 stand alone; Could consider."/>
    <m/>
    <n v="18"/>
    <s v="Patterson"/>
  </r>
  <r>
    <x v="160"/>
    <x v="0"/>
    <s v="MI"/>
    <s v="Jill"/>
    <s v="Email"/>
    <s v="Willson "/>
    <s v="Ashlyn &amp; Miller, Cody"/>
    <s v="HO3 Primary"/>
    <s v="Los Angeles"/>
    <s v="CA"/>
    <n v="1"/>
    <n v="250000"/>
    <n v="425000"/>
    <s v="High profile"/>
    <s v="1954 home w/updates. Insured is young singer/songwriter. No adverse info. Quote includes $1M liab/$1M PI."/>
    <x v="2"/>
    <s v="Reviewed online info - ok. // 8/23 Danielle asked for 25%/50% ERC. OK as long as Cov A is 100% ITV."/>
    <s v="Jeff reviewing - approved. Case by case basis on the Personal Injury. In this case, okay."/>
    <n v="23"/>
    <s v="Patterson"/>
  </r>
  <r>
    <x v="160"/>
    <x v="2"/>
    <s v="CA"/>
    <s v="Alison"/>
    <s v="Email"/>
    <s v="Kitselman"/>
    <s v="Kent"/>
    <s v="HO3 Primary"/>
    <s v="Templeton"/>
    <s v="CA"/>
    <n v="10"/>
    <n v="1600000"/>
    <n v="3080000"/>
    <s v="TIV"/>
    <s v="2000 home w/alarms in high RM brush zone. High6 FireLine. 19 min drive time from 2 FD's. 20 acre lot w/chickens and olives which are harvested by insd or caretaker. GL will be in place. Guest house w/WBS."/>
    <x v="3"/>
    <s v="Decline due to response time over 15 min. Reviewed emergency response requirements for CA emergency vehicles. Ran Fireline."/>
    <m/>
    <n v="25"/>
    <s v="Patterson"/>
  </r>
  <r>
    <x v="160"/>
    <x v="0"/>
    <s v="MI"/>
    <s v="Jill"/>
    <s v="Email"/>
    <s v="Schmidt"/>
    <s v="Danelle"/>
    <s v="HO3 Primary"/>
    <s v="Beatrice "/>
    <s v="NE"/>
    <n v="3"/>
    <n v="149900"/>
    <n v="300000"/>
    <s v="Daycare/Open loss"/>
    <s v="1978 home with wind damage to shingles-adjuster has visited - open loss, not repaired yet. Daycare on premises that does not qualify. Agent quoting w/Business exclusion, liab excluded, existing dmg excl, roof excl."/>
    <x v="0"/>
    <s v="Can't write now due to open claim but can consider after claim is closed (or near closed) once all damage is assessed and repaired.  Would write X-liab and with Total business excl."/>
    <m/>
    <n v="17"/>
    <s v="Patterson"/>
  </r>
  <r>
    <x v="160"/>
    <x v="0"/>
    <s v="MI"/>
    <s v="Jill"/>
    <s v="Email"/>
    <s v="Sutton"/>
    <s v="Troy"/>
    <s v="HO3 Primary"/>
    <s v="Sterling"/>
    <s v="KS"/>
    <n v="10"/>
    <n v="150000"/>
    <n v="250000"/>
    <s v="Business on premises"/>
    <s v="1935 home w/updates. Insured operates dog breeding and boarding operation. No note of GL. Diagram in file. Kennel is attached to home. Agent offering with Total Business exclusion. $71K of oth str but Cov B is $15K. Reviewed online info - sounds reputable."/>
    <x v="0"/>
    <s v="• Apply Total Business Exclusion_x000a_• Exclude liability _x000a_• Review condition of other structures and apply Building Exclusions for all structures we are not insuring.  App notes $71,000 of other structures. Cov B is $15,000.  Concern with condition noted for structures in photo page 1, 2, and 16.  Any structures in good condition that we are insuring should be insured to 100% replacement cost.  _x000a_"/>
    <m/>
    <n v="31"/>
    <s v="Patterson"/>
  </r>
  <r>
    <x v="160"/>
    <x v="1"/>
    <s v="PA"/>
    <s v="Andrea"/>
    <s v="Email"/>
    <s v="John R Harrison LLC"/>
    <m/>
    <s v="HO3 Primary"/>
    <s v="Warwick"/>
    <s v="MD"/>
    <m/>
    <n v="1400000"/>
    <n v="3220000"/>
    <s v="TIV"/>
    <s v="1989 home w/ no updates and no alarms per app. Was assisted living facility, no primary residence."/>
    <x v="0"/>
    <s v="• We are assuming no current use as assisted living, not a bed &amp; breakfast_x000a_• Apply roof exclusion – 27 year old roof with no update info.  If roof has been replaced in last 25 years, you don’t have to exclude._x000a_• Protection class is not PC9 or 10 – if so refer with response time info_x000a_• We require c/s burglar and fire alarms for TIV over $2,000,000; or in lieu of alarms, a $10,000 AOP deductible can be applied_x000a_"/>
    <m/>
    <n v="17"/>
    <s v="Patterson"/>
  </r>
  <r>
    <x v="160"/>
    <x v="0"/>
    <s v="MI"/>
    <s v="Jill"/>
    <s v="Email"/>
    <s v="Scott"/>
    <s v="Rhea"/>
    <s v="HO3 Primary"/>
    <s v="Los Angeles"/>
    <s v="CA"/>
    <m/>
    <n v="1930000"/>
    <n v="3088000"/>
    <s v="TIV"/>
    <s v="1975 risk updated. In brush. Burglar alarm; no fire alarm. $10K ded applied. Clearance to 200' per app. Treehouse and guesthouse per online source. $1M liability."/>
    <x v="2"/>
    <s v="APPROVED 8/28/171.  No rentals, just a guest house_x000a_2.  There no more tree house._x000a_3.  Insured with CA Fair Plan due to brush only._x000a_1. Increase Loss of Use to $300,000_x000a_2.  Decrease liability to $100,000_x000a_3.  Increase Ord Law 5%_x000a__x000a_11/14/17 Agent asked to add $50 limited animal liab. No concerns"/>
    <m/>
    <n v="21"/>
    <s v="Patterson"/>
  </r>
  <r>
    <x v="160"/>
    <x v="0"/>
    <s v="MI"/>
    <s v="Jill"/>
    <s v="Email"/>
    <s v="Wilkins      "/>
    <s v="Eric"/>
    <s v="HO3 Primary"/>
    <s v="Coarsegold"/>
    <s v="CA"/>
    <n v="9"/>
    <n v="940000"/>
    <n v="1830000"/>
    <s v="Acreage"/>
    <s v="1972 home with updates in brush. On 40 acres. Nice online photos. Confirmed 5-6 minute response time. Accessible. "/>
    <x v="0"/>
    <s v="Confirm accessible on the 40 acres by emergency veh, and response time not impacted by 40 acres"/>
    <m/>
    <n v="19"/>
    <s v="Patterson"/>
  </r>
  <r>
    <x v="160"/>
    <x v="2"/>
    <s v="CA"/>
    <s v="Alison"/>
    <s v="Call"/>
    <s v="PGA Investments"/>
    <m/>
    <s v="DP3 Builders Risk"/>
    <m/>
    <m/>
    <m/>
    <n v="600000"/>
    <m/>
    <s v="Update question"/>
    <s v="1930 home bought as is. Condition fine, but insured doesn't know if there are breakers, fuses or k&amp;t. Plans to close paying cash, get in there with GC and gut/reno. "/>
    <x v="0"/>
    <s v="Suggested to find out how quickly he will get in there. If it will sit, it's a concern. Don't run utilities and equip off wiring until it is assessed. If any fuses or k&amp;t, gut quickly. Alison will investigate."/>
    <m/>
    <n v="10"/>
    <s v="Patterson"/>
  </r>
  <r>
    <x v="161"/>
    <x v="4"/>
    <s v="CO"/>
    <s v="Allison"/>
    <s v="Email"/>
    <s v="Cummings"/>
    <s v="Greg   "/>
    <s v="DP3 Vacant"/>
    <s v="Vail"/>
    <s v="CO"/>
    <n v="5"/>
    <n v="2000000"/>
    <n v="2060000"/>
    <s v="TIV"/>
    <s v="New build up for sale, alarms, checked on regularly by insd or realtor. Added VMM and WBU since it is alarmed and new."/>
    <x v="1"/>
    <m/>
    <m/>
    <n v="12"/>
    <s v="Patterson"/>
  </r>
  <r>
    <x v="161"/>
    <x v="0"/>
    <s v="MI"/>
    <s v="Delta"/>
    <s v="Email"/>
    <s v="Mitzner"/>
    <s v="Dianna"/>
    <s v="HO3 Primary"/>
    <s v="Markleeville"/>
    <s v="CA"/>
    <n v="4"/>
    <n v="2181000"/>
    <n v="3925000"/>
    <s v="TIV"/>
    <s v="2005 home with alarms. Nice online photos. No adverse insured info. Trees around home appear trimmed up in online photos. Risk is in brush zone."/>
    <x v="1"/>
    <m/>
    <m/>
    <n v="23"/>
    <s v="Patterson"/>
  </r>
  <r>
    <x v="161"/>
    <x v="0"/>
    <s v="MI"/>
    <s v="Leslie"/>
    <s v="Email/Call"/>
    <s v="Itz"/>
    <s v="David &amp; Juliana"/>
    <s v="HO3 Builders Risk"/>
    <s v="Ribera"/>
    <s v="NM"/>
    <n v="10"/>
    <n v="1000000"/>
    <n v="1400000"/>
    <s v="Response time"/>
    <s v="2007 risk w/30-45 minute volunteer FD response time. Insd may be GC-app and BR quest conflict-Leslie will verify. Pricing is .20/TIV. Flat roof. $10K ded. Was a B&amp;B-new purchase."/>
    <x v="2"/>
    <s v="Need competitor pricing. Danielle indicated .60-.80 for longer response times. Our rate of $2106 considers 15 min.//Went with .60 TIV rate //8/30 revised terms to $1M Cov A from $700,000"/>
    <m/>
    <n v="54"/>
    <s v="Patterson"/>
  </r>
  <r>
    <x v="162"/>
    <x v="0"/>
    <s v="MI"/>
    <s v="Danielle"/>
    <s v="Email"/>
    <s v="Jamieson"/>
    <s v="Christopher"/>
    <s v="HO3 Seasonal"/>
    <s v="Mercer"/>
    <s v="WI"/>
    <n v="10"/>
    <n v="160000"/>
    <n v="160000"/>
    <s v="Response time"/>
    <s v="1925 risk fully updated in 2017. No alarms. 22 minute drive time by volunteer fire dept. Not paved, not visible, accessible. 2 woodstoves-have quest on 1. $1029 prem (.64) 9+ families (relatives) use the home."/>
    <x v="0"/>
    <s v="WBS quest, EHQ, 30% surcharge."/>
    <m/>
    <n v="33"/>
    <s v="Patterson"/>
  </r>
  <r>
    <x v="162"/>
    <x v="2"/>
    <s v="CA"/>
    <s v="Alison"/>
    <s v="Email"/>
    <s v="Elihu"/>
    <s v="Albert"/>
    <s v="HO3 Primary"/>
    <s v="Los Angeles"/>
    <s v="CA"/>
    <m/>
    <m/>
    <n v="4680000"/>
    <s v="TIV"/>
    <s v="1999 home with 3 losses - wind, pipe burst, rain damage to roof. Insured is business owner. Search reveals lawsuits and lost copyright infringement suit."/>
    <x v="3"/>
    <s v="Moral hazard"/>
    <m/>
    <n v="44"/>
    <s v="Patterson"/>
  </r>
  <r>
    <x v="162"/>
    <x v="0"/>
    <s v="MI"/>
    <s v="Jill"/>
    <s v="Email"/>
    <s v="Goddard"/>
    <s v="Douglas H"/>
    <s v="HO3 Primary"/>
    <s v="San Bernardino"/>
    <s v="CA"/>
    <n v="3"/>
    <n v="1700000"/>
    <n v="1970000"/>
    <s v="Cannabis operation"/>
    <s v="1990 home w/ 19 Arabian horses (personal use). Land leased to cannabis grow operation. 46 acres."/>
    <x v="3"/>
    <s v="Currently not entertaining risks w/cannabis operations. "/>
    <m/>
    <n v="10"/>
    <s v="Patterson"/>
  </r>
  <r>
    <x v="162"/>
    <x v="1"/>
    <s v="NJ"/>
    <s v="Lisa"/>
    <s v="Email"/>
    <m/>
    <m/>
    <s v="HO3 Primary"/>
    <s v="Roseland"/>
    <s v="NJ"/>
    <m/>
    <m/>
    <m/>
    <s v="Aluminum wiring"/>
    <s v="1970 home w/aluminum wiring. Insured purchasing 9/20. Electrician is pigtailing copper wire. "/>
    <x v="3"/>
    <s v="Reviewed https://www.cpsc.gov/s3fs-public/516.pdf and declined to agent."/>
    <m/>
    <n v="18"/>
    <s v="Patterson"/>
  </r>
  <r>
    <x v="162"/>
    <x v="6"/>
    <s v="CA"/>
    <s v="Lisa"/>
    <s v="Email"/>
    <s v="Dehqanzada"/>
    <s v="Aria &amp; Jennifer"/>
    <s v="HO3 Primary"/>
    <s v="Shingle Springs"/>
    <s v="CA"/>
    <n v="9"/>
    <n v="900000"/>
    <n v="1570000"/>
    <s v="TIV"/>
    <s v="2015 home in brush w/tile roof. Online pics look good. No UPQ. "/>
    <x v="0"/>
    <s v="Acceptable UPQ and drive time &lt;15 min by paid FD."/>
    <m/>
    <n v="19"/>
    <s v="Patterson"/>
  </r>
  <r>
    <x v="162"/>
    <x v="0"/>
    <s v="MI"/>
    <s v="Jill"/>
    <s v="Email"/>
    <s v="Blanch"/>
    <s v="Joshua"/>
    <s v="HO3 Primary"/>
    <m/>
    <s v="MO"/>
    <n v="3"/>
    <n v="185600"/>
    <n v="370000"/>
    <s v="Business in home"/>
    <s v="1956 home w/some updates. Insured has business in basement - sells clothes to appx 20 walk ins per month and also online."/>
    <x v="4"/>
    <s v="Need page 1 of app to review address and see if there is any online info. Business name? Employees? May be able to proceed X liab and need uw questions answered on app."/>
    <m/>
    <n v="17"/>
    <s v="Patterson"/>
  </r>
  <r>
    <x v="163"/>
    <x v="0"/>
    <s v="MI"/>
    <s v="Jill"/>
    <s v="Email"/>
    <s v="Newton"/>
    <s v="Richard &amp; New, Lindy"/>
    <s v="HO3 Primary w/rental"/>
    <s v="Flagstaff"/>
    <s v="AZ"/>
    <n v="5"/>
    <n v="510000"/>
    <n v="711000"/>
    <s v="Business in home"/>
    <s v="2004 dwelling. Main home will be rented out short term or Vacation rental. Insured will live in connected guest house and run his contractor office out of it. No employees, no foot traffic. Agt applying business exclusion."/>
    <x v="0"/>
    <s v="Total business exclusion. Confirm no business storage in any other structures. Also STRQ as noted. WBS on 2 pellet stoves"/>
    <m/>
    <n v="23"/>
    <s v="Patterson"/>
  </r>
  <r>
    <x v="163"/>
    <x v="2"/>
    <s v="CA"/>
    <s v="Alex"/>
    <s v="Call"/>
    <m/>
    <m/>
    <m/>
    <m/>
    <s v="CA"/>
    <m/>
    <m/>
    <m/>
    <s v="Scheduled Personal Property"/>
    <s v="Alex was inquiring about scheduling a $3,000 bicycle that a 7th grader rides to school. It is locked in a bike rack with other bikes and left outside. Lex and Lloyds will write. He said a $75-$100 rate would be okay."/>
    <x v="3"/>
    <s v="Discussed w/Jeff &amp; Louisa and they agreed we are not interested."/>
    <m/>
    <n v="12"/>
    <s v="Patterson"/>
  </r>
  <r>
    <x v="163"/>
    <x v="0"/>
    <s v="MI"/>
    <s v="Jill"/>
    <s v="Email"/>
    <s v="Gummer"/>
    <s v="Mary W (Mamie)"/>
    <s v="HO3 Primary"/>
    <s v="Los Angeles"/>
    <s v="CA"/>
    <n v="1"/>
    <n v="638000"/>
    <n v="1130000"/>
    <s v="High profile"/>
    <s v="1944 home updated. Roof will be replaced when purchased. Not in brush. Online shows nice home but all wood accents are 135 year old barn wood."/>
    <x v="0"/>
    <s v="• Please apply Functional Replacement Cost due to this information:  https://www.zillow.com/homedetails/2566-Verbena-Dr-Los-Angeles-CA-90068/20805801_zpid/ &quot;Custom wood finishes using 135 year old wood from a barn in Northern California&quot;._x000a_• Woodburning stove questionnaire for freestanding fireplace shown in online photo._x000a_• Please apply roof exclusion until roof is replaced_x000a_• Complete acceptable answers to UW questions - Not all questions are answered_x000a_"/>
    <s v="Reviewed w/Louisa. We are okay with liability. Not too famous."/>
    <n v="25"/>
    <s v="Patterson"/>
  </r>
  <r>
    <x v="163"/>
    <x v="5"/>
    <s v="NC"/>
    <s v="Anella"/>
    <s v="Email"/>
    <s v="Mears"/>
    <s v="James"/>
    <s v="HO3 "/>
    <m/>
    <s v="NC"/>
    <m/>
    <n v="177000"/>
    <m/>
    <s v="Lapse"/>
    <s v="New quote with lapse from 7/17/17 to 8/24/17. Insured thought they had renewed their prior policy."/>
    <x v="0"/>
    <s v="Signed no loss. Verify location is not Suffolk, VA."/>
    <m/>
    <n v="12"/>
    <s v="Patterson"/>
  </r>
  <r>
    <x v="164"/>
    <x v="0"/>
    <s v="MI"/>
    <s v="Jill"/>
    <s v="Email"/>
    <s v="Wisckol  BWH105463"/>
    <s v="Kim"/>
    <s v="HO3 Secondary"/>
    <s v="Hope Valley"/>
    <s v="CA"/>
    <n v="10"/>
    <n v="800000"/>
    <n v="1200000"/>
    <s v="Response time"/>
    <s v="2016 risk in brush with resp time over 15 min. Renewal that was not referred at NB. Full sprinkler system in home w/direct alarm to FD. Insp shows no balusters (addressed), elec panel cover missing, WBS."/>
    <x v="0"/>
    <s v="Check on elec panel and wbs. Why not referred at NB?"/>
    <s v="Declined request for additional credit to decrease $972 renewal premium increase. KB 09/06/2017"/>
    <n v="27"/>
    <s v="Patterson"/>
  </r>
  <r>
    <x v="164"/>
    <x v="6"/>
    <s v="CA"/>
    <s v="Lisa"/>
    <s v="Email"/>
    <s v="Johnson"/>
    <s v="Derek"/>
    <s v="HO3 Primary"/>
    <s v="Carnelian Bay"/>
    <s v="CA"/>
    <n v="4"/>
    <n v="550000"/>
    <n v="1100000"/>
    <s v="Lapse"/>
    <s v="2006 home in brush with lapse. Unclear how long. SF prior carrier nonrenewed due to bike theft claim. "/>
    <x v="4"/>
    <s v="• Is this a new purchase, or how long has the insured owned the home?_x000a_• Am I understanding that there is a lapse in coverage on this home as well as on another location that is a full time rental?  Could you tell me the reason for lapse of coverage?  Has it been lapsed since 2/2017?_x000a_• Tell me about the lapse on the other rental home.  Reason, how long, what is the TIV of that risk._x000a_• Notes on app say that SF cancelled over a bike theft claim?  That seems unusual.  Was there more than one claim?  Could we get the SF loss runs?_x000a_• What is the distance of this home to any current wildfires?_x000a_Between you and me, there are some red flags on this risk:_x000a_• It’s usually a bad sign when someone has multiple policies lapse, and on top of it a theft loss.  _x000a_• Info provided shows the home is up for sale for a price lower than what was paid 10 years ago. (A concern if this is not a new purchase.)_x000a_If we do go forward an additional surcharge may apply._x000a_A+ shows no losses. // 8/30/17 Add 10% surcharge to to lapse mindset. Insured is buying this home - new purchase. Existing home lapsed 2/17 - they are living there now. Will turn into rental."/>
    <s v="Ins Score 800"/>
    <n v="35"/>
    <s v="Patterson"/>
  </r>
  <r>
    <x v="164"/>
    <x v="2"/>
    <s v="CA"/>
    <s v="Alison"/>
    <s v="Email"/>
    <s v="ARDR Realty"/>
    <m/>
    <s v="DP3 Vacant/Builders Risk"/>
    <s v="Newport Beach"/>
    <s v="CA"/>
    <m/>
    <n v="3900000"/>
    <n v="3900000"/>
    <s v="TIV"/>
    <s v="New construction. Very little info, but no concerns with what is presented. Insured will rent dwelling upon completion. One attachment makes it sound like there is demolition."/>
    <x v="0"/>
    <s v="Only okay if no asbestos abatement or demo. Need app and riskmeter"/>
    <m/>
    <n v="16"/>
    <s v="Patterson"/>
  </r>
  <r>
    <x v="164"/>
    <x v="2"/>
    <s v="CA"/>
    <s v="Alison"/>
    <s v="Call"/>
    <s v="Rauch"/>
    <m/>
    <s v="HO3 Primary"/>
    <s v="Tarzana"/>
    <s v="CA"/>
    <m/>
    <n v="1100000"/>
    <m/>
    <s v="Vines on wall"/>
    <s v="1962 home updated in 2000. All admitted carriers declined due to vines growing all over garage. Stucco finish."/>
    <x v="0"/>
    <s v="If vines are on a trellis and not growing on the actual wall, it would be okay. If any part of the vines are attached to the wall, I reviewed concerns with water damage and damage to stucco."/>
    <m/>
    <n v="10"/>
    <s v="Patterson"/>
  </r>
  <r>
    <x v="164"/>
    <x v="2"/>
    <s v="CA"/>
    <s v="Alison"/>
    <s v="Call"/>
    <s v="Corella"/>
    <s v="John"/>
    <s v="HO3 Primary"/>
    <m/>
    <m/>
    <m/>
    <m/>
    <m/>
    <s v="Floor heat"/>
    <s v="1970 dwelling w/&quot;floor heat&quot;. No info on what this means. 50 years old original."/>
    <x v="0"/>
    <s v="If this is in cement elec floor heat, should be okay. Suggest heat contractor inspection due to age. If other, let me know.//8/30 turns out to be gas heater in the floor, radiates throughout house. Inspected today by hvac contractor and all is in good condn."/>
    <m/>
    <n v="14"/>
    <s v="Patterson"/>
  </r>
  <r>
    <x v="164"/>
    <x v="2"/>
    <s v="CA"/>
    <s v="Alison"/>
    <s v="Call"/>
    <s v="Doud"/>
    <s v="Joseph"/>
    <s v="HO3 Primary"/>
    <m/>
    <m/>
    <m/>
    <m/>
    <m/>
    <s v="Horse at another location"/>
    <s v="Insured's daughter keeps her horse at grandparents house. She is only rider. Goes to rodeo once a month."/>
    <x v="0"/>
    <s v="We can write the risk if there are no other issues but it does not appear the animal liab form extends liab to an insured animal in someone elses control."/>
    <m/>
    <n v="10"/>
    <s v="Patterson"/>
  </r>
  <r>
    <x v="164"/>
    <x v="2"/>
    <s v="CA"/>
    <s v="Alex"/>
    <s v="Call"/>
    <s v="Roberts"/>
    <m/>
    <s v="HO3 Primary"/>
    <s v="Hidden Valley Lake"/>
    <s v="CA"/>
    <m/>
    <m/>
    <m/>
    <s v="Construction"/>
    <s v="Insured is referring to their home as manufactured. Agent shared photos and online reference. Reviewed neighborhood and other homes. Does not at all appear to be manufactured. Maybe modular. Agent will proceed and have inspector check carefully."/>
    <x v="0"/>
    <s v="Inspector carefully check.  Looks like a site built home in and out. All online sources refer to it as site built."/>
    <m/>
    <n v="8"/>
    <s v="Patterson"/>
  </r>
  <r>
    <x v="165"/>
    <x v="0"/>
    <s v="MI"/>
    <s v="Jill"/>
    <s v="Email"/>
    <s v="Freeman"/>
    <s v="Brenda"/>
    <s v="HO3 Primary"/>
    <s v="Lake Arrowhead"/>
    <s v="CA"/>
    <n v="4"/>
    <n v="2300000"/>
    <n v="4370000"/>
    <s v="TIV"/>
    <s v="1979 home updated no alarms, no brush. Quoted with $2500 ded. "/>
    <x v="0"/>
    <s v="Please apply $5000 ded due to no alarms."/>
    <m/>
    <n v="18"/>
    <s v="Patterson"/>
  </r>
  <r>
    <x v="165"/>
    <x v="6"/>
    <s v="CA"/>
    <s v="Lisa"/>
    <s v="Email"/>
    <s v="Dolan"/>
    <s v="Dan"/>
    <s v="HO3 Primary"/>
    <s v="Murrieta"/>
    <s v="CA"/>
    <n v="10"/>
    <n v="810000"/>
    <n v="1296000"/>
    <s v="PC10"/>
    <s v="2006 home low brush tile roof. UW question blank: &quot;Conv of fraud, bribery, arson&quot;. No UPQ"/>
    <x v="4"/>
    <s v="Need UPQ to determine response time and location details. If ok, subj to UW question. Online pics ok."/>
    <m/>
    <n v="23"/>
    <s v="Patterson"/>
  </r>
  <r>
    <x v="165"/>
    <x v="1"/>
    <s v="PA"/>
    <s v="Tamika"/>
    <s v="Call/Email"/>
    <s v="Thompson"/>
    <s v="Michael &amp; Aldora"/>
    <s v="HO3 Builders Risk"/>
    <s v="Piscataway"/>
    <s v="NJ"/>
    <m/>
    <n v="2100000"/>
    <m/>
    <s v="Mid term builders risk"/>
    <s v="Renovation project started in 2015 stalled 6 months ago because insured's mother became ill. They used house funds to loan her $500K. She didn't understand they wanted repayment. They sued her. Litigation nearing the end. Unknown outcome. Unknown if funds are needed to restart construction. Dwelling is roughed in w/tarpaper and most windows boarded. Mrs is homemaker; Mr is trucker for Costco. They currently live in neighborhood. 2 mortgages Wells Fargo and Bayview Loan Servicing. Agents says constr is slated to pick up in September whether they get money or not. Curr carrier Franklin Mutual is nonrenewing eff 9/26. Tamika did not quote yet.  "/>
    <x v="3"/>
    <s v="What if litigation is not successful and they don't get the money back? How are they resuming construction?  Concern w/Cov A vs Mkt Val, google earth shows it in same condition for 10 months. Financial concern w/situation._x000a_"/>
    <s v="Ins score: 684/687 Michael’s occupation reported on app does not match credit report._x000a_Michael has 6 med bills in collection recently._x000a_Wells Fargo opened 8/05 $288K, pays late, past due now._x000a_Bayview opened 6/07 $125K, current//9/8/17 explained general information to Tamika and that we are not interested in writing this. // 10/10/17 Called back for reconsideration. Had more facts. Went through facts and photos. Then agt Tamika realized insured was acting as their own GC, so that kicked it out for us."/>
    <n v="95"/>
    <s v="Patterson"/>
  </r>
  <r>
    <x v="165"/>
    <x v="9"/>
    <s v="MA"/>
    <s v="Barbara"/>
    <s v="Email"/>
    <s v="Chase"/>
    <s v="Clifford &amp; Danielle"/>
    <s v="HO3 Builders Risk"/>
    <s v="Tuftonboro "/>
    <s v="NH"/>
    <n v="10"/>
    <n v="5000000"/>
    <n v="9000000"/>
    <s v="TIV"/>
    <s v="New construction in PC 9/10. Didn't dig too far. Nothing adverse on app."/>
    <x v="3"/>
    <s v="Outside our TIV max of $5M and may be outside appetite for newness of program. Cc'd Chris."/>
    <m/>
    <n v="12"/>
    <s v="Patterson"/>
  </r>
  <r>
    <x v="166"/>
    <x v="2"/>
    <s v="CA"/>
    <s v="Alex"/>
    <s v="Call"/>
    <s v="Lanigan"/>
    <m/>
    <s v="HO3 Builders Risk"/>
    <m/>
    <m/>
    <m/>
    <m/>
    <m/>
    <s v="Tail end construction/Open loss"/>
    <s v="Owner occupied renovation w/several months left. Insured moving in now. Any rate relief since insured is going to be living there and reno is not extensive?  1910 risk was gutted to studs in 1995. Due to open loss, agent changed mind about rate credit originally requested. Claim due to clogged/dripping sink on 2nd floor. $33K reserve."/>
    <x v="2"/>
    <s v="Tear out from water loss 100% complete and under repair. No undiscovered damage. Insd bought home appx 1 year ago and it has been under reno since. Online pics and info are okay and confirm this.  Applied addl 10% for tail end construction.//Alex called back. He thought I understood the construction situation. He had already revealed an indication without the addl 10% s/c. Pondered and felt we could do it at the quoted rate. It is owner occupied and rebuilt.  .22 rate and we may keep it."/>
    <m/>
    <n v="27"/>
    <s v="Patterson"/>
  </r>
  <r>
    <x v="166"/>
    <x v="2"/>
    <s v="CA"/>
    <s v="Alex"/>
    <s v="Call"/>
    <s v="Latos"/>
    <m/>
    <s v="HO3 Secondary"/>
    <m/>
    <m/>
    <m/>
    <n v="1500000"/>
    <m/>
    <s v="Occupancy"/>
    <s v="Insured rents to brother and occasionally visits. Brother has HO4. Agent wants to write on HO3 w/ low contents, no loss of use, premises only coverage."/>
    <x v="0"/>
    <s v="Agreed as a family member is typically a good exposure. By insured definition, family members are included as insureds. Nice home. Brother has been there over a year."/>
    <m/>
    <n v="8"/>
    <s v="Patterson"/>
  </r>
  <r>
    <x v="166"/>
    <x v="0"/>
    <s v="MI"/>
    <s v="Jill"/>
    <s v="Email"/>
    <s v="Bauer"/>
    <s v="Kevin"/>
    <s v="HO3 Primary"/>
    <s v="Monrovia"/>
    <s v="CA"/>
    <m/>
    <n v="100000"/>
    <n v="1800000"/>
    <s v="Liability hazard"/>
    <s v="1963 home updated in brush. Prior carrier Fair Plan. Insd has batting cage on property that is used by son and sometimes children from son's baseball team."/>
    <x v="0"/>
    <s v="Exclude liab. Verify why w/Fair plan. Ok if due to brush."/>
    <m/>
    <n v="12"/>
    <s v="Patterson"/>
  </r>
  <r>
    <x v="167"/>
    <x v="2"/>
    <s v="CA"/>
    <s v="Melissa"/>
    <s v="Email"/>
    <s v="Goodfriend"/>
    <s v="Scott &amp; Laurie"/>
    <s v="HO3 Primary"/>
    <s v="Santa Barbara"/>
    <s v="CA"/>
    <m/>
    <n v="655000"/>
    <n v="1179000"/>
    <s v="Prior claim "/>
    <s v="1959 home w/plumbing and roof update. Prior lawsuit from city to upgrade plumbing.  $30,245 paid 6/21/16."/>
    <x v="0"/>
    <s v="Found several articles online about high copper levels found in drinking water and the city forcing residents to replace pipes. I could not find this specific address, but it does sound like a CA thing. Copy of prior carrier claim doc in file. Subj to full underwriting including RM, OHQ, EHP, s/c for lapse."/>
    <m/>
    <n v="27"/>
    <s v="Patterson"/>
  </r>
  <r>
    <x v="167"/>
    <x v="1"/>
    <s v="NJ"/>
    <s v="MacKenzie"/>
    <s v="Email"/>
    <s v="21 63rd Condo Assoc"/>
    <m/>
    <s v="DP3 Rental"/>
    <s v="Sea Isle City"/>
    <s v="NJ"/>
    <m/>
    <n v="794000"/>
    <n v="863300"/>
    <s v="Existing damage"/>
    <s v="1987 2 fam rental home updated in 2006. Water damage loss from leaking windows; curr carrier nonrenewing as they no longer write multi fam homes. Agt proposing to write builders risk and then convert to 2 fam."/>
    <x v="3"/>
    <s v="Due to existing water damage - demo/repair hasn't started. If more is found we could be on the hook."/>
    <m/>
    <n v="16"/>
    <s v="Patterson"/>
  </r>
  <r>
    <x v="167"/>
    <x v="0"/>
    <s v="MI"/>
    <s v="Jeff"/>
    <s v="Email"/>
    <s v="Poppert"/>
    <s v="Tyler"/>
    <s v="DP3 Builders Risk"/>
    <s v="Guatay"/>
    <s v="CA"/>
    <m/>
    <n v="1500000"/>
    <n v="2600000"/>
    <s v="TIV"/>
    <s v="2017 new build in brush with 3 months of renovation left - mostly cosmetic interior. $10K ded. $4589 for 3 mo pol ($18K+ annually). N side is only 135' cleared. App indicates lapse. "/>
    <x v="4"/>
    <s v="How long has coverage been lapsed?  Has this been insured as a builders risk or uninsured?  Why did coverage lapse?  Any reason a previous builders risk carrier did not continue coverage?  Subj to possible surcharge based on answers and 150' brush clearance."/>
    <s v="9/6 purposely uninsured (??) Running insurance score.//Score okay. Some small med liens and tax liens that go back a few years. Apply 15% surcharge and brush clearance."/>
    <n v="39"/>
    <s v="Patterson"/>
  </r>
  <r>
    <x v="168"/>
    <x v="5"/>
    <s v="NC"/>
    <s v="Anella"/>
    <s v="Email"/>
    <s v="Lewicki"/>
    <s v="Thoms"/>
    <s v="HO3 Primary"/>
    <s v="Newport   "/>
    <s v="NC"/>
    <m/>
    <n v="136000"/>
    <n v="250000"/>
    <s v="Prior loss"/>
    <s v="2016 home w/ $115K prior fire loss. Fire Marshal report indicates unknown cause. Electrical meter is being tested. (as of 12/2015 report). Quoted, they have bind request, wasn't referred prior to quoting."/>
    <x v="3"/>
    <s v="Declined due to no clear cause/origin of the fire and the fact that American Modern non-renewed it. If AM decided to get off this for only a single loss (despite the fact that it's a large fire) then it feels as though there may be more to the story. Didn't get the final report showing results of electrical meter test."/>
    <s v="Discussed with Tim"/>
    <n v="20"/>
    <s v="Patterson"/>
  </r>
  <r>
    <x v="168"/>
    <x v="2"/>
    <s v="CA"/>
    <s v="Bobbi"/>
    <s v="Email"/>
    <s v="Van Veen"/>
    <s v="Berto &amp; Betty"/>
    <s v="HO3 Builders Risk"/>
    <s v="Twain Harte"/>
    <s v="CA"/>
    <m/>
    <n v="350000"/>
    <n v="350000"/>
    <s v="Insured contractor"/>
    <s v="New 2017 build. In brush. Insured is a contractor and is participating in the building.  This is ground up construction."/>
    <x v="4"/>
    <s v="Asked questions about extent and contracts."/>
    <m/>
    <n v="13"/>
    <s v="Patterson"/>
  </r>
  <r>
    <x v="168"/>
    <x v="0"/>
    <s v="MI"/>
    <s v="Jill"/>
    <s v="Email"/>
    <s v="Unknown"/>
    <m/>
    <s v="DP1 Stand Alone Other Str"/>
    <m/>
    <s v="KY"/>
    <m/>
    <m/>
    <m/>
    <s v="Stand alone other structure"/>
    <s v="Airplane hangar"/>
    <x v="4"/>
    <s v="Submit with full details and pricing."/>
    <m/>
    <n v="10"/>
    <s v="Patterson"/>
  </r>
  <r>
    <x v="168"/>
    <x v="0"/>
    <s v="MI"/>
    <s v="Jeff"/>
    <s v="Email"/>
    <s v="Horner   BWH105083"/>
    <s v="Mary   "/>
    <s v="HO3 Renewal "/>
    <s v="Cobb"/>
    <s v="CA"/>
    <m/>
    <n v="298000"/>
    <n v="506600"/>
    <s v="ERC"/>
    <s v="Renewal looking to add ERC. 1958 home w/updates. Not in brush. Says PC6, but app looks like it should be a 9 - no hydrant within 1000'"/>
    <x v="0"/>
    <s v="Check w/Dani. Check brush clearance and PC - looks like it should be a 9."/>
    <m/>
    <n v="23"/>
    <s v="Patterson"/>
  </r>
  <r>
    <x v="168"/>
    <x v="2"/>
    <s v="CA"/>
    <s v="Alex"/>
    <s v="Call"/>
    <s v="Say"/>
    <s v="Geza"/>
    <s v="HO3 w/rental"/>
    <s v="Catalina"/>
    <s v="CA"/>
    <m/>
    <m/>
    <m/>
    <s v="Lapse"/>
    <s v="Quoted renewal eff 7/28. Agent followed up with insured but no reply. Now insured wants policy. Alex proposing renew with lapse with SNL."/>
    <x v="1"/>
    <m/>
    <m/>
    <n v="8"/>
    <s v="Patterson"/>
  </r>
  <r>
    <x v="168"/>
    <x v="2"/>
    <s v="CA"/>
    <s v="Alex"/>
    <s v="Call"/>
    <s v="LOP Rentals LLC"/>
    <m/>
    <s v="HO3 Primary"/>
    <m/>
    <m/>
    <m/>
    <m/>
    <m/>
    <s v="Occupancy"/>
    <s v="Risk in the name of LLC which is brother and sister who inherited home when father died. Alex proposing to write as HO3 since brother Charles is living there. "/>
    <x v="1"/>
    <s v=" This is an owner occupied exposure."/>
    <m/>
    <n v="10"/>
    <s v="Patterson"/>
  </r>
  <r>
    <x v="168"/>
    <x v="2"/>
    <s v="CA"/>
    <s v="Bobbi"/>
    <s v="Email"/>
    <s v="Rios"/>
    <s v="Mauricio &amp; Heather"/>
    <s v="HO3-Secondary"/>
    <s v="Cedar Glenn"/>
    <s v="CA"/>
    <m/>
    <n v="380000"/>
    <n v="384000"/>
    <s v="Actor"/>
    <s v="actor, secondary home"/>
    <x v="1"/>
    <s v="Online info OK, very low key, no large projects recently (or ever from what I can locate) restricted liab on secondary home anyway."/>
    <m/>
    <m/>
    <s v="Burdine"/>
  </r>
  <r>
    <x v="169"/>
    <x v="0"/>
    <s v="MI"/>
    <s v="Leslie"/>
    <s v="Email"/>
    <s v="Duley"/>
    <s v="John"/>
    <s v="HO3 Primary"/>
    <s v="Newport Beach"/>
    <s v="CA"/>
    <m/>
    <n v="10000"/>
    <n v="480000"/>
    <s v="Prior loss"/>
    <s v="Condo in CA, not in brush. $300K prior liab loss. Son and friend in dingy that was hit going to insured's yacht. No info on whether son was at fault or negligent."/>
    <x v="2"/>
    <s v="Allowed x-liab. If they want liab, let us know more of the story about son being at fault or negligent.//9/8 more info indicates okay to write premises liability only. No boat or umbrella. // 9/12  another request received to add liab. Sent copy of the 9/8 approval to add prem liab. Discussed w/Rachel and this is not available. I was responding to reasonableness of the request and didn't check forms. Revised terms back to x-liab."/>
    <m/>
    <n v="29"/>
    <s v="Patterson"/>
  </r>
  <r>
    <x v="169"/>
    <x v="11"/>
    <s v="MA"/>
    <s v="Austin"/>
    <s v="Email"/>
    <s v="Kessler"/>
    <s v="Adam &amp; Debra"/>
    <s v="HO3 Secondary"/>
    <s v="Nantucket"/>
    <s v="MA"/>
    <m/>
    <n v="3000000"/>
    <m/>
    <s v="Cov A"/>
    <s v="Existing policy written at $2M. Agent wants to increase to $3M midterm. "/>
    <x v="0"/>
    <s v="Valid RCE. Couple of inspection items noted - roof condition and tape across breaker. Asked agent to ensure they are addressed."/>
    <m/>
    <n v="15"/>
    <s v="Patterson"/>
  </r>
  <r>
    <x v="169"/>
    <x v="0"/>
    <s v="MI"/>
    <s v="Jill"/>
    <s v="Email"/>
    <s v="Odland"/>
    <s v="Derrick"/>
    <s v="DP3-Rental"/>
    <s v="South Lake Tahoe"/>
    <s v="CA"/>
    <n v="4"/>
    <n v="1700000"/>
    <n v="2210000"/>
    <s v="TIV"/>
    <s v="BWD105548-renewal w/ no prior approval,_x000a_Frame, tenant, built in 2012, no losses, PC4, in brush, located in CA, inspection attached_x000a_"/>
    <x v="0"/>
    <s v="Per online review, home now has indoor pool in spa. Advised OK to renew, but needs to be sure properly secured. "/>
    <s v=" requested reason why was not originally sent before binding"/>
    <m/>
    <s v="Burdine"/>
  </r>
  <r>
    <x v="170"/>
    <x v="0"/>
    <s v="MI"/>
    <s v="Rachel"/>
    <s v="Email"/>
    <s v="Holland  "/>
    <s v="Judah"/>
    <s v="HO3 Secondary"/>
    <s v="Tiburon"/>
    <s v="CA"/>
    <n v="3"/>
    <n v="2285555"/>
    <n v="3885445"/>
    <s v="TIV"/>
    <s v="2007 risk not in brush w/alarms. Online photos and info okay. No indication of rental use."/>
    <x v="1"/>
    <m/>
    <m/>
    <n v="18"/>
    <s v="Patterson"/>
  </r>
  <r>
    <x v="171"/>
    <x v="0"/>
    <s v="MI"/>
    <s v="Jill"/>
    <s v="Email"/>
    <s v="Smith"/>
    <s v="Nathan  "/>
    <s v="HO3 Primary"/>
    <s v="Malibu"/>
    <s v="CA"/>
    <n v="9"/>
    <n v="903000"/>
    <n v="1625400"/>
    <s v="TIV"/>
    <s v="1986 home w/updates, roof in 2009 per app. 12 min drive time by paid FD confirmed via google. PCQ says 100' brush clearance. Google search shows some kind of business at address. This appears to be new purchase per nice online info and pics."/>
    <x v="0"/>
    <s v="• A favorable HO Acord app PRIOR to binding - confirming no lapse, no losses, occupation, etc. (as you noted)_x000a_• Confirmation of 150' brush clearance (PCQ says 100')_x000a_• Please obtain details and refer back for review if there is a business on the property.  I found info about some kind of business at this address when I was reviewing the risk online:  https://www.google.com/search?q=+calamity+malibu+ca&amp;oq=+calamity+malibu+ca&amp;gs_l=psy-ab.3...17386.19776.0.20657.10.10.0.0.0.0.142.1142.0j9.9.0..3..0...1.1.64.psy-ab..1.6.801...0j0i67k1j0i7i30k1.pagTZK43ftA_x000a_"/>
    <m/>
    <n v="28"/>
    <s v="Patterson"/>
  </r>
  <r>
    <x v="171"/>
    <x v="2"/>
    <s v="CA"/>
    <s v="Alex"/>
    <s v="Email"/>
    <s v="Snyder"/>
    <s v="Tom &amp; Shelly"/>
    <s v="HO3 Primary"/>
    <s v="Westlake Village"/>
    <s v="CA"/>
    <n v="4"/>
    <n v="2200000"/>
    <n v="3200000"/>
    <s v="TIV"/>
    <s v="2006 risk in gated community w/alarms. Nice online photos. Low brush."/>
    <x v="1"/>
    <s v="No online concerns"/>
    <m/>
    <n v="18"/>
    <s v="Patterson"/>
  </r>
  <r>
    <x v="171"/>
    <x v="1"/>
    <s v="PA"/>
    <s v="Andrea"/>
    <s v="Email"/>
    <s v="Thrall"/>
    <s v="Thomas"/>
    <s v="HO6 Rental"/>
    <s v="Atlantic City"/>
    <s v="NJ"/>
    <m/>
    <n v="30000"/>
    <n v="50000"/>
    <s v="Policy form"/>
    <s v="Agent inquiring if 2 condo units in a multi-unit building can be together on one policy or separate. They've been on an HO-6 together. "/>
    <x v="0"/>
    <s v="Need new apps with all info completed and update info."/>
    <m/>
    <n v="14"/>
    <s v="Patterson"/>
  </r>
  <r>
    <x v="171"/>
    <x v="0"/>
    <s v="MI"/>
    <s v="Delta/Leslie"/>
    <s v="Email"/>
    <s v="Kaleka"/>
    <s v="Virender &amp; Kuljeet"/>
    <s v="HO3 Primary"/>
    <s v="Madera"/>
    <s v="CA"/>
    <n v="10"/>
    <n v="2000000"/>
    <n v="3400000"/>
    <s v="TIV"/>
    <s v="2006 home not in brush with full alarms. App says PC 8/9. 5 mi; 750'.  Email cover says 8. Flat roof. $5000 deductible. PPC I ran shows PC10."/>
    <x v="0"/>
    <s v="PCQ, requote at PC10, 15 minute response time//9/11 Got PCQ-can't read name of primary responding FD. Agent noted PC9 on the PCQ - verifying with Leslie as we show it should be PC10. // 9/14/17 Info provided confirms this should be PC10, not PC8 or 9 as noted in the submission and PCQ.  11 minute response time, 6.9 miles."/>
    <m/>
    <n v="26"/>
    <s v="Patterson"/>
  </r>
  <r>
    <x v="171"/>
    <x v="1"/>
    <s v="PA"/>
    <s v="Tamika"/>
    <s v="Email"/>
    <s v="Frangieh"/>
    <s v="Sultaneh"/>
    <s v="DP3 Rental"/>
    <s v="Coatesville"/>
    <s v="PA"/>
    <n v="9"/>
    <n v="275000"/>
    <n v="330000"/>
    <s v="Construction"/>
    <s v="1931 risk updated in 2005. Decent online photos. Risk was a commercial building with 2 units on 1st floor and apartment on 2nd with attic loft. This is now zoned residential one family. Lower level used for tenant storage. Tenant living on 2nd floor with attic on 3rd. Large parking lot remains. Agent confirmed residential zoning."/>
    <x v="0"/>
    <s v="completed app, pic of Franklin stove - need questionnaire."/>
    <m/>
    <n v="31"/>
    <s v="Patterson"/>
  </r>
  <r>
    <x v="171"/>
    <x v="0"/>
    <s v="MI"/>
    <s v="Jill"/>
    <s v="Call"/>
    <s v="Richards"/>
    <s v="Byron"/>
    <s v="DP1 Stand Alone Other Str"/>
    <m/>
    <m/>
    <m/>
    <m/>
    <m/>
    <s v="Eligibility"/>
    <s v="Steel airplane hangar owned by insured is located at a small regional airport. Used for storage, nothing hazardous. Insured used to own a plane. No concerning exposures in the area. Good security."/>
    <x v="1"/>
    <m/>
    <m/>
    <n v="12"/>
    <s v="Patterson"/>
  </r>
  <r>
    <x v="171"/>
    <x v="2"/>
    <s v="CA"/>
    <s v="Bobbi"/>
    <s v="Call"/>
    <s v="Siegel"/>
    <m/>
    <s v="HO3 Builders Risk"/>
    <m/>
    <m/>
    <m/>
    <m/>
    <m/>
    <s v="Contents for COC"/>
    <s v="Insured is having house gutted. There is a detached garage that will remain untouched. Insured will store $70K of contents in it. Garage is locked. Insured is renting house in the neighborhood. No one has access to garage except insured."/>
    <x v="1"/>
    <m/>
    <m/>
    <n v="10"/>
    <s v="Patterson"/>
  </r>
  <r>
    <x v="171"/>
    <x v="7"/>
    <s v="VA"/>
    <s v="Garry"/>
    <s v="Email"/>
    <s v="Smith"/>
    <s v="Johnnie"/>
    <s v="HO3 Primary"/>
    <s v="Clinton"/>
    <s v="MD"/>
    <n v="5"/>
    <n v="215000"/>
    <n v="408000"/>
    <s v="Daycare in home"/>
    <s v="1989 home updated. In home daycare 6 kids,, licensed for 12. GL in place. 2 prior wind losses $2K 11/14; 7K 5/16."/>
    <x v="0"/>
    <s v="Okay excluding liability. Found and reviewed Safe Haven Child Care online.  Professional, nothing concerning (x-liab)."/>
    <m/>
    <n v="25"/>
    <s v="Patterson"/>
  </r>
  <r>
    <x v="171"/>
    <x v="0"/>
    <s v="MI"/>
    <s v="Jeff"/>
    <s v="Email"/>
    <s v="Epstein"/>
    <s v="Jeff"/>
    <s v="HO3 Primary"/>
    <s v="Santa Rosa Valley"/>
    <s v="CA"/>
    <n v="10"/>
    <n v="1100000"/>
    <n v="2120000"/>
    <s v="TIV"/>
    <s v="1980 dwelling w/tile roof. Email says PC9. PCQ says PC10. PPC says 10W which is 10. 13 min drive time by paid FD. 6.9 miles away with hydrant. $43K water damage claim in 2015 - pipes replaced per app. Agent applied $25K water damage ded. Jeff to correct rating to in brush. There is a garage w/apartment but it is not rented."/>
    <x v="0"/>
    <s v="Correct rate to in brush, correct update info, rate as PC10.  "/>
    <m/>
    <n v="27"/>
    <s v="Patterson"/>
  </r>
  <r>
    <x v="172"/>
    <x v="2"/>
    <s v="CA"/>
    <s v="Alex"/>
    <s v="Email"/>
    <s v="Stradella Land LLC"/>
    <m/>
    <s v="HO3 Primary"/>
    <s v="Los Angeles"/>
    <s v="CA"/>
    <n v="4"/>
    <n v="3825000"/>
    <n v="3825000"/>
    <s v="TIV"/>
    <s v="Builders risk ground up construction. Property will be fenced. GC managing project.  Low brush, although there is brush nearby per RM."/>
    <x v="0"/>
    <s v="Acceptable LLC form"/>
    <m/>
    <n v="18"/>
    <s v="Patterson"/>
  </r>
  <r>
    <x v="172"/>
    <x v="0"/>
    <s v="MI"/>
    <s v="Alexa"/>
    <s v="Email"/>
    <s v="Merrill"/>
    <s v="Douglas  "/>
    <s v="HO3 Primary"/>
    <s v="Denver "/>
    <s v="CO"/>
    <n v="2"/>
    <n v="2000000"/>
    <n v="3800000"/>
    <s v="Prior loss"/>
    <s v="1935 home updated in 2001. Roof fully replaced in 1995 (wood shake). Alarms. 6/24/15 CAT wind/hail loss. $142,458 paid by Chubb to replace roof. It has not been done as insured is waiting for Tesla solar shingles to come to market in his area. Lapse for non pay since 11/16."/>
    <x v="3"/>
    <s v="3 year FireLine score is 10 (100% likelihood of hail damage every 3 years).  2 years since loss-damage not repaired. Negligible FireLine score."/>
    <m/>
    <n v="32"/>
    <s v="Patterson"/>
  </r>
  <r>
    <x v="172"/>
    <x v="0"/>
    <s v="MI"/>
    <s v="Leslie"/>
    <s v="Email"/>
    <s v="McCray"/>
    <s v="Ron"/>
    <s v="HO3 Primary"/>
    <s v="Colfax"/>
    <s v="CA"/>
    <n v="9"/>
    <n v="950000"/>
    <n v="1900000"/>
    <s v="TIV"/>
    <s v="2006 home in brush w/200'clearance on 20 acres. 5 min response time. In ground pool leaks - applying existing damage excl. Insd will be replacing. Prior CA/NRN question on app is &quot;yes&quot;, no explanation. Insd is CEO of Sac Ice."/>
    <x v="0"/>
    <s v="Reason for yes answer? Consider pool exclusion. Confirm no business - provided web info."/>
    <m/>
    <n v="24"/>
    <s v="Patterson"/>
  </r>
  <r>
    <x v="173"/>
    <x v="5"/>
    <s v="NC"/>
    <s v="Lauren"/>
    <s v="Email"/>
    <s v="Mears"/>
    <s v="James  BHX100079"/>
    <s v="HO3 Primary"/>
    <m/>
    <m/>
    <m/>
    <m/>
    <m/>
    <s v="Balusters"/>
    <s v="Inspection shows horizontal balusters. Are we okay with those? Appear to be no more than 4&quot; apart. "/>
    <x v="0"/>
    <s v="Confirm no more than 4&quot; space."/>
    <m/>
    <n v="10"/>
    <s v="Patterson"/>
  </r>
  <r>
    <x v="173"/>
    <x v="0"/>
    <s v="MI"/>
    <s v="Jill"/>
    <s v="Email"/>
    <s v="Cacti Towers LLC"/>
    <m/>
    <s v="HO3 Secondary"/>
    <s v="Rio Grande City"/>
    <s v="TX"/>
    <n v="6"/>
    <n v="600000"/>
    <n v="1500000"/>
    <s v="Cov B"/>
    <s v="1977 home updated in 2010 w/2012 metal roof update. New purchase. 10 other structures including carports, guest houses, bathrooms, storage barn, equip canopy, greenhouse."/>
    <x v="0"/>
    <m/>
    <m/>
    <n v="26"/>
    <s v="Patterson"/>
  </r>
  <r>
    <x v="173"/>
    <x v="2"/>
    <s v="CA"/>
    <s v="Alex"/>
    <s v="Call"/>
    <s v="Law Offices"/>
    <m/>
    <m/>
    <m/>
    <s v="CA"/>
    <m/>
    <m/>
    <m/>
    <s v="Occupancy"/>
    <s v="Insured purchased a &quot;home&quot; using as an office. ADM market declined, can we quote in E&amp;S."/>
    <x v="3"/>
    <s v="This would be a commercial exposure since there is no residential use."/>
    <m/>
    <n v="9"/>
    <s v="Patterson"/>
  </r>
  <r>
    <x v="173"/>
    <x v="2"/>
    <s v="CA"/>
    <s v="Melissa"/>
    <s v="Email"/>
    <s v="Habibi"/>
    <s v="Mehdi  HUCAH1500001013"/>
    <s v="HO3 Primary"/>
    <s v="Los Angeles"/>
    <s v="CA"/>
    <n v="2"/>
    <n v="1922000"/>
    <n v="3000000"/>
    <s v="TIV"/>
    <s v="1988 home being rewritten from Lex. Full inspection in file. Old app will be replaced. No riskmeter. HWT appears gas powered."/>
    <x v="0"/>
    <s v="Current app, risk meter and rate, clear 3' to gas appliances."/>
    <m/>
    <n v="24"/>
    <s v="Patterson"/>
  </r>
  <r>
    <x v="173"/>
    <x v="2"/>
    <s v="CA"/>
    <s v="Bobbi"/>
    <s v="Call"/>
    <s v="Czeschin"/>
    <m/>
    <s v="HO3 Primary w/rental"/>
    <s v="Mammoth Lakes"/>
    <s v="CA"/>
    <m/>
    <m/>
    <m/>
    <s v="Occupancy"/>
    <s v="3 structures on premises. Primary home and 2 fourplexes that occupy full time long term tenants. "/>
    <x v="0"/>
    <s v="3 separate policies all with separate liability charges."/>
    <m/>
    <n v="7"/>
    <s v="Patterson"/>
  </r>
  <r>
    <x v="173"/>
    <x v="2"/>
    <s v="CA"/>
    <s v="Alex"/>
    <s v="Call/Email"/>
    <s v="Lonsbury"/>
    <s v="Mark"/>
    <s v="HO3 Primary"/>
    <s v="Idyllwild"/>
    <s v="CA"/>
    <m/>
    <n v="357000"/>
    <n v="650000"/>
    <s v="Lapse"/>
    <s v="1969 home, no update info. Was with Markel last year and lapsed 2/26/17. "/>
    <x v="3"/>
    <s v="Ins score reveals bankruptcy that was not disclosed. On this app, not all uw questions are answered and no update info on 1969 home."/>
    <m/>
    <n v="21"/>
    <s v="Patterson"/>
  </r>
  <r>
    <x v="173"/>
    <x v="2"/>
    <s v="CA"/>
    <s v="Alex"/>
    <s v="Call/Email"/>
    <s v="Kate"/>
    <s v="Nina"/>
    <s v="HO3 Primary"/>
    <s v="Crestline"/>
    <s v="CA"/>
    <m/>
    <m/>
    <m/>
    <s v="High profile"/>
    <s v="Insured is friends with Kat Von D and describes herself as an actress. Mostly insignificant movies. Not much online info. Online photos show baluster concern."/>
    <x v="1"/>
    <s v="Subj to acceptable balusters.  Agent has positive info noted in email in file. Agt knows business manager. Insd is moving to find a more quite lifestyle."/>
    <m/>
    <n v="18"/>
    <s v="Patterson"/>
  </r>
  <r>
    <x v="174"/>
    <x v="0"/>
    <s v="MI"/>
    <s v="Jill"/>
    <s v="Email"/>
    <s v="Ribelin"/>
    <s v="Roy"/>
    <s v="HO3 Primary"/>
    <s v="Austin"/>
    <s v="TX"/>
    <n v="4"/>
    <n v="191000"/>
    <n v="360000"/>
    <s v="Open claim"/>
    <s v="1954 home updated. Open claim from Hurricane Harvey. Shingles blown off, no flood damage. Jill proposing with roof excl and existing damage excl."/>
    <x v="3"/>
    <s v="Concerned with storm so recent. Suggest stay with Scottsdale exp 3/11/18. "/>
    <m/>
    <n v="22"/>
    <s v="Patterson"/>
  </r>
  <r>
    <x v="174"/>
    <x v="7"/>
    <s v="VA"/>
    <s v="Charity"/>
    <s v="Emaiol"/>
    <s v="Arusy"/>
    <s v="Eitan"/>
    <s v="HO3 Primary"/>
    <s v="Silver Spring"/>
    <s v="MD"/>
    <n v="6"/>
    <n v="480000"/>
    <n v="816000"/>
    <s v="Prior losses"/>
    <s v="1964 home updated. Risk has 5 prior losses. 3 of them were from an issue with tree roots growing in plumbing 5/16-6/16. Plumbing replaced in entire home. Tree issue fixed.  5/13/16 wind $675. 4/17 water $866 window sill leak. Windows have been updated. Write w/20% surcharge?"/>
    <x v="0"/>
    <s v="Approved w/50% surcharge and suggested 2500 ded."/>
    <m/>
    <n v="23"/>
    <s v="Patterson"/>
  </r>
  <r>
    <x v="174"/>
    <x v="0"/>
    <s v="MI"/>
    <s v="Danielle"/>
    <s v="Email"/>
    <s v="Sterling"/>
    <s v="Donald"/>
    <s v="HO3 Primary"/>
    <s v="Beverly Hills"/>
    <s v="CA"/>
    <m/>
    <n v="1956830"/>
    <n v="3618196"/>
    <s v="High profile"/>
    <s v="1923 risk updated. Insd has negative record including sexual harassment and discrimination suits. Consider with and without liab."/>
    <x v="3"/>
    <s v="Not comfortable with the history and feel this is a physical damage exposure as well as a liab exposure."/>
    <s v="Discussing w/Louisa&gt;&gt;Jeff - Declined"/>
    <n v="40"/>
    <s v="Patterson"/>
  </r>
  <r>
    <x v="174"/>
    <x v="0"/>
    <s v="MI"/>
    <s v="Danielle"/>
    <s v="Email"/>
    <s v="Sterling"/>
    <s v="Donald"/>
    <s v="HO3 Primary"/>
    <s v="Los Angeles"/>
    <s v="CA"/>
    <m/>
    <n v="1229823"/>
    <n v="2347787"/>
    <s v="High profile"/>
    <s v="1928 risk updated. Insd has negative record including sexual harassment and discrimination suits. Consider with and without liab."/>
    <x v="3"/>
    <m/>
    <s v="Discussing w/Louisa&gt;&gt;Jeff - Declined"/>
    <n v="41"/>
    <s v="Patterson"/>
  </r>
  <r>
    <x v="174"/>
    <x v="0"/>
    <s v="MI"/>
    <s v="Leslie"/>
    <s v="Email"/>
    <s v="Burroughs"/>
    <s v="Robert &amp; Andrea"/>
    <s v="DP1 Primary"/>
    <s v="Odessa"/>
    <s v="MO"/>
    <m/>
    <n v="155000"/>
    <n v="159000"/>
    <s v="Earth home"/>
    <s v="1983 home w/ updated roof. Prev inspection in file is okay. Outbuildings excluded. Contents excluded. No water damage since quoting as DP1. Usage unclear. DP1, but app says secondary and rental."/>
    <x v="0"/>
    <s v="Answer to prior ca/nrn question. Confirm occupancy. (Does not make a difference to terms, just need to note file.)"/>
    <m/>
    <n v="19"/>
    <s v="Patterson"/>
  </r>
  <r>
    <x v="175"/>
    <x v="7"/>
    <s v="VA"/>
    <s v="Charity"/>
    <s v="Email"/>
    <s v="Estate of Linda Gerace"/>
    <s v="Estate of Linda Gerace"/>
    <s v="DP3-Rental"/>
    <s v="Mount Airy"/>
    <s v="MD"/>
    <n v="9"/>
    <n v="463000"/>
    <n v="555000"/>
    <s v="PC"/>
    <s v="1972 build-plumbing.roof updated, MFRC applied"/>
    <x v="1"/>
    <s v="no concerns"/>
    <m/>
    <m/>
    <s v="Burdine"/>
  </r>
  <r>
    <x v="175"/>
    <x v="4"/>
    <s v="CO"/>
    <s v="Ashley"/>
    <s v="Email"/>
    <s v="Piuma Properties"/>
    <m/>
    <s v="HO3 Primary"/>
    <s v="Malibu"/>
    <s v="CA"/>
    <n v="4"/>
    <n v="200000"/>
    <n v="3150000"/>
    <s v="TIV"/>
    <s v="2009 home w/central alarms and sprinkler. In high brush, but aerial view looks okay. Agent will enforce 150' clearance and get corp quest for LLC."/>
    <x v="1"/>
    <m/>
    <m/>
    <n v="21"/>
    <s v="Patterson"/>
  </r>
  <r>
    <x v="175"/>
    <x v="0"/>
    <s v="MI"/>
    <s v="Jill"/>
    <s v="Email"/>
    <s v="Day"/>
    <s v="Dennis &amp; Janice"/>
    <s v="HO3 Primary"/>
    <m/>
    <m/>
    <m/>
    <m/>
    <m/>
    <s v="Rate relief"/>
    <s v="VMGA rate $3334. Scottsdale rate $2377. (We have $10K backup) "/>
    <x v="3"/>
    <s v="Ran CQ rater, can't beat our rate."/>
    <s v="Reviewed with Bethany. Ran Tiger. Worked with Tiger over 2 days. Issue w/CQ rater. Resolved, but not getting a favorable rate. Much back and forth."/>
    <n v="58"/>
    <s v="Patterson"/>
  </r>
  <r>
    <x v="176"/>
    <x v="4"/>
    <s v="CO"/>
    <s v="Ashley"/>
    <s v="Email"/>
    <s v="1738 Golf Lane LLC"/>
    <m/>
    <s v="HO6 Secondary    "/>
    <s v="Vail"/>
    <s v="CO"/>
    <n v="2"/>
    <n v="1000000"/>
    <n v="1250000"/>
    <s v="TIV"/>
    <s v="1983 risk updated. Insd uses as secondary, never rented. Insured is a businessman in the community. No adverse info at all."/>
    <x v="0"/>
    <s v="See file."/>
    <m/>
    <n v="18"/>
    <s v="Patterson"/>
  </r>
  <r>
    <x v="176"/>
    <x v="1"/>
    <s v="PA"/>
    <s v="Tamika"/>
    <s v="Email"/>
    <s v="Davis"/>
    <s v="Marshal &amp; Cara"/>
    <s v="HO3 Primary"/>
    <s v="Furlong"/>
    <s v="PA"/>
    <n v="9"/>
    <n v="650000"/>
    <n v="655000"/>
    <s v="Open claim"/>
    <s v="New construction. Insd is an attorney and has an open defamation liability claim filed against his business. No details. Also 2 prior water losses and a loss in 2012 for guests spilling drinks $2400 paid."/>
    <x v="3"/>
    <s v="Need details of liab loss. Leaning toward no as 2012 drink spill loss raises red flag for claims conscious insured. 2 water losses not a concern as they sounded legit and this is a new build. Researched online looking for the defamation case. Insd is a business law atty for real estate, non profit, and corporate law."/>
    <s v="Agent replied to my proposal saying they found an alternative offer excluding liab, I can close the file."/>
    <n v="26"/>
    <s v="Patterson"/>
  </r>
  <r>
    <x v="176"/>
    <x v="0"/>
    <s v="MI"/>
    <s v="Jill"/>
    <s v="Email"/>
    <s v="Vincent "/>
    <s v="John"/>
    <s v="HO3 Primary"/>
    <s v="Santa Barbara"/>
    <s v="CA"/>
    <n v="2"/>
    <n v="3000000"/>
    <n v="5000000"/>
    <s v="TIV"/>
    <s v="2013 home in medium brush with alarms.  No adverse online info. Online photos looks good."/>
    <x v="0"/>
    <s v="Remind agent of $5M TIV limit."/>
    <m/>
    <n v="19"/>
    <s v="Patterson"/>
  </r>
  <r>
    <x v="176"/>
    <x v="6"/>
    <s v="CA"/>
    <s v="Kirk"/>
    <s v="Call"/>
    <s v="Morgan"/>
    <s v="Janell &amp; Mark"/>
    <s v="HO3 Primary"/>
    <s v="Placerville"/>
    <s v="CA"/>
    <m/>
    <m/>
    <m/>
    <s v="Business on premises"/>
    <s v="Insured grows veggies and crops and sells them at farm market. No employees. Owns 7 acres, but only part of this is garden. Was on a hobby farm policy with QBE."/>
    <x v="0"/>
    <s v="Apply Total Business Exclusion. Suggest small GL for business. Agent will recommend UFI policy to retailer."/>
    <m/>
    <n v="14"/>
    <s v="Patterson"/>
  </r>
  <r>
    <x v="176"/>
    <x v="2"/>
    <s v="CA"/>
    <s v="Alex"/>
    <s v="Call"/>
    <s v="Dashnaw"/>
    <m/>
    <s v="HO3 Primary"/>
    <m/>
    <m/>
    <m/>
    <n v="380000"/>
    <m/>
    <s v="Scheduled Personal Property"/>
    <s v="Insured purchased a $25,686 engagement ring and wants to add to policy. No losses. Insured for 1 year with Markel."/>
    <x v="1"/>
    <s v="Agt authority is $25K. Ring will be won all the time. Makes sense with Cov A. Agt has appraisal."/>
    <m/>
    <n v="13"/>
    <s v="Patterson"/>
  </r>
  <r>
    <x v="176"/>
    <x v="0"/>
    <s v="MI"/>
    <s v="Jill"/>
    <s v="Email"/>
    <s v="Jackson"/>
    <s v="Lakesha"/>
    <s v="HO3 Primary"/>
    <s v="Milwaukee"/>
    <s v="WI"/>
    <n v="2"/>
    <n v="80000"/>
    <n v="140000"/>
    <s v="Daycare"/>
    <s v="1919 home minor updates, roof exclusion, no losses. Lapse since 7/13/17. Daycare for 8 kids. May be getting GL. Consider with liab and TBE."/>
    <x v="3"/>
    <s v="Due to lapse. (Also advised Jill of concern with insurance score. Adverse information)"/>
    <s v="Score under 600 with judgements and collections"/>
    <n v="28"/>
    <s v="Patterson"/>
  </r>
  <r>
    <x v="176"/>
    <x v="1"/>
    <s v="PA"/>
    <s v="Tamika"/>
    <s v="Email"/>
    <s v="Miller"/>
    <s v="Nancy"/>
    <s v="DP3 Vacant"/>
    <s v="Teaneck"/>
    <s v="NJ"/>
    <m/>
    <n v="570000"/>
    <n v="595000"/>
    <s v="Occupancy"/>
    <s v="Agent says new purchase, may be renovated, currently has a desk and works there. No running water. Electric only. 1935 home with some updates. Online photos show 2014 purchase which is supported by app included from 2014. Ins score poor."/>
    <x v="3"/>
    <s v="Agents says new purchase, but the app shows purchase date of 7/2014 which matches what I find online.  In fact, the attached app is from 2014, which must be when the insured purchased.  FYI - Insurance score is poor.  Risk is currently vacant and appears to have been for almost 3 years.  Currently used for business purposes.  Possible plan to apply for a loan for renovations, but no guaranty this will happen. (May not be able to with their score, and it hasn't happened yet.)_x000a__x000a_Based on current use as business, the fact it has been vacant possibly for 3 years, and the fact that we don't have solid plans in process to renovate for occupancy, I would say this best belongs on a commercial policy._x000a__x000a_My guess is it might be in the midst of renovation and they ran out of money.  (No running water?)  Or they've been applying for loans and have been unsuccessful and decided to use it as an office vs. leaving it empty.  _x000a_"/>
    <m/>
    <n v="31"/>
    <s v="Patterson"/>
  </r>
  <r>
    <x v="177"/>
    <x v="0"/>
    <s v="MI"/>
    <s v="Jill"/>
    <s v="Email"/>
    <s v="Wagner"/>
    <s v="Michelle &amp; Augustus"/>
    <s v="HO3 Builders Risk"/>
    <s v="White Bear Lake"/>
    <s v="MN"/>
    <n v="3"/>
    <n v="422500"/>
    <n v="465000"/>
    <s v="Open fire loss"/>
    <s v="1996 home w/ $352K open fire loss, and 2 2015 losses - pipe burst $14K, hail $16K. Fire dept report says cause is undetermined and there would be further investigation. "/>
    <x v="3"/>
    <s v="Researched online.  Ran insurance score - extremely adverse info - called Jill to discuss"/>
    <s v="650-690 scores. 3 bankruptcies, late mortgage payment, repo."/>
    <n v="51"/>
    <s v="Patterson"/>
  </r>
  <r>
    <x v="177"/>
    <x v="2"/>
    <s v="CA"/>
    <s v="Alison"/>
    <s v="Call"/>
    <s v="West Of LLC"/>
    <m/>
    <s v="DP3 Rental"/>
    <s v="Newport Beach"/>
    <s v="CA"/>
    <m/>
    <m/>
    <m/>
    <s v="Named insured "/>
    <s v="West Of is an LLC entity formed for ownership of the one rental property.  JKS-CMSV LLC is an entity that is managing the leasing. There was a request to add them as Addl Insd. Alison talked to them to clarify and they agreed Addl Int is ok. Both entities have the same members."/>
    <x v="1"/>
    <s v="Story went on and on and on and changed multiple times. Final info is that JKS LLC will not be listed at all. This is STR and no business use. Advised Alison not to proceed any further trying to nail down JKS interest since they are not going to be listed. It won't change the form."/>
    <m/>
    <n v="35"/>
    <s v="Patterson"/>
  </r>
  <r>
    <x v="177"/>
    <x v="4"/>
    <s v="CO"/>
    <s v="Allison"/>
    <s v="Email"/>
    <s v="Myers"/>
    <s v="Christopher &amp; Patricia"/>
    <s v="HO3 Primary"/>
    <s v="Denver"/>
    <s v="CO"/>
    <n v="2"/>
    <n v="2273000"/>
    <n v="4273000"/>
    <s v="TIV"/>
    <s v="2000 home w/roof replaced after $44K CAT hail claim 6/21/15. Also 11/16 $72K water backup in toilet. No backup quoted. All damages repaired. Insd is owner of Lodo's Bar &amp; Grill chain in CO. Also has SPP which I will refer to Jamie Gregory. NRN due to losses."/>
    <x v="0"/>
    <s v="No scheduled jewelry.  Ran hail score. 3 year is a 10.  However, this is a newer roof, we are generously surcharging, and we have a 1% wind/hail deductible (per guidelines).  "/>
    <m/>
    <n v="40"/>
    <s v="Patterson"/>
  </r>
  <r>
    <x v="177"/>
    <x v="2"/>
    <s v="CA"/>
    <s v="Alex"/>
    <s v="Call/Email"/>
    <s v="Blandford"/>
    <s v="Jeff &amp; Lori"/>
    <s v="HO3 Primary"/>
    <s v="Coronado "/>
    <s v="CA"/>
    <n v="4"/>
    <n v="2800000"/>
    <n v="3080000"/>
    <s v="In process construction"/>
    <s v="New ground up that the insureds thought the contractor was insuring. He was not. 60% complete, started in Jan. Expect 6-8 months. Home is locked, secured, fenced. Licensed GC. Agent added 10% s/c for mid-term. Rate is appx $5858 + s/c."/>
    <x v="0"/>
    <m/>
    <m/>
    <n v="23"/>
    <s v="Patterson"/>
  </r>
  <r>
    <x v="178"/>
    <x v="0"/>
    <s v="MI"/>
    <s v="Jill"/>
    <s v="Email"/>
    <s v="Sinclair"/>
    <s v="Cynthia"/>
    <s v="HO3 Primary"/>
    <s v="Stillwater"/>
    <s v="MN"/>
    <n v="6"/>
    <n v="470000"/>
    <m/>
    <s v="Business on premises"/>
    <s v="1948 home with only roof update. Many app questions re systems are blank. Insd has weddings and events on premises but not in the house. Aerial photo provided, but not sure what it is depicting. Prior hail loss 6/17 $3698. "/>
    <x v="4"/>
    <s v="Asked all the business questions. If we proceed, subj are:  • Apply Total Business Exclusion_x000a_• It seems we should be applying functional replacement cost due clear info on app that there have been no updates_x000a_• Prior to binding, obtain all missing answers on app about wiring, plumbing and heating.  Most of the fields are blank, and some of these are eligibility issues._x000a_• Order EHP to ensure non-updated systems are operational and safe_x000a_9/20 - info came back. sounds okay. website reviewed. replied w/terms."/>
    <m/>
    <n v="43"/>
    <s v="Patterson"/>
  </r>
  <r>
    <x v="178"/>
    <x v="2"/>
    <s v="CA"/>
    <s v="Alex"/>
    <s v="Call"/>
    <s v="Bass"/>
    <m/>
    <m/>
    <m/>
    <s v="CA"/>
    <m/>
    <n v="1200000"/>
    <m/>
    <s v="Construction"/>
    <s v="Insured is adding 2 interior walls in a basement. Do they need a COC"/>
    <x v="1"/>
    <s v="This is pretty basic.  At most a couple of outlets would be run. Insured having work done by a contractor. No COC needed."/>
    <m/>
    <n v="5"/>
    <s v="Patterson"/>
  </r>
  <r>
    <x v="178"/>
    <x v="2"/>
    <s v="CA"/>
    <s v="Alex"/>
    <s v="Call/Email"/>
    <s v="Maconick"/>
    <s v="Rupert"/>
    <s v="HO3 Primary"/>
    <s v="Los Angeles"/>
    <s v="CA"/>
    <n v="4"/>
    <n v="835000"/>
    <m/>
    <s v="Lapse"/>
    <s v="2 month lapse. 1962 home. Insd owns an ad agency. He didn't pay renewal. "/>
    <x v="0"/>
    <s v="Signed no loss.  Ins Score is great."/>
    <m/>
    <n v="15"/>
    <s v="Patterson"/>
  </r>
  <r>
    <x v="178"/>
    <x v="2"/>
    <s v="CA"/>
    <s v="Alex"/>
    <s v="Call"/>
    <s v="Young"/>
    <m/>
    <s v="HO3 Primary"/>
    <m/>
    <s v="CA"/>
    <m/>
    <n v="340000"/>
    <m/>
    <s v="Prior losses"/>
    <s v="$360K total loss . Insd was a witness to a restraining order violation and the offender burned down their house in 4/2016. COC almost done.  Wants a policy when it's complete in October.  2nd loss was $70K water damage. While roof was in process there was rain damage. Agt will be surcharging for 2 losses plus 10% addl due to size of loss. "/>
    <x v="4"/>
    <s v="Need fire marshal report and police report proving the story. Also asked what security there will be. Offender is in process of being arrested. "/>
    <m/>
    <n v="12"/>
    <s v="Patterson"/>
  </r>
  <r>
    <x v="179"/>
    <x v="0"/>
    <s v="CA"/>
    <s v="Jill"/>
    <s v="Email"/>
    <s v="Nasri"/>
    <s v="Sira"/>
    <s v="HO3 Primary"/>
    <s v="Las Vegas "/>
    <s v="NV"/>
    <n v="2"/>
    <n v="2518000"/>
    <n v="4784200"/>
    <s v="Prior losses"/>
    <s v="12/16 $50K and 6/17 $32K pipe break losses.  Home is 1994. Extensive repairs/tearout completed. Pipes repaired/replaced. Agt quoting $25K water damage ded."/>
    <x v="1"/>
    <s v="No concerning online info. Full claim detail in file. Good deductible."/>
    <m/>
    <n v="24"/>
    <s v="Patterson"/>
  </r>
  <r>
    <x v="179"/>
    <x v="2"/>
    <s v="CA"/>
    <s v="Alison"/>
    <s v="Email"/>
    <s v="Hakim"/>
    <s v="Said &amp; Julia"/>
    <s v="HO3 Builders Risk"/>
    <s v="Beverly Hills"/>
    <s v="CA"/>
    <n v="1"/>
    <n v="3000000"/>
    <n v="3300000"/>
    <s v="TIV"/>
    <s v="1926 builders risk. Julia is the daughter and will occupy the home upon completion. Rate is coming in around .31. Non brush. "/>
    <x v="0"/>
    <s v="Agt may apply some discretionary credit.  I would suggest only a small amount as this is a builders risk and currently an older home. Very nice online photos."/>
    <m/>
    <n v="22"/>
    <s v="Patterson"/>
  </r>
  <r>
    <x v="179"/>
    <x v="4"/>
    <s v="CO"/>
    <s v="Allison"/>
    <s v="Email"/>
    <s v="Vensel"/>
    <s v="Eric &amp; Theresa"/>
    <s v="HO3 Secondary w/Rental"/>
    <s v="Aspen"/>
    <s v="CO"/>
    <n v="10"/>
    <n v="3243600"/>
    <n v="4742440"/>
    <s v="TIV"/>
    <s v="High brush per RiskMeter outside Aspen.  FireLine is Moderate 3. 16-20 min response time from paid FD.  Alarms.  PC10.  Lex is quoting $21,893.  Our rater comes in at $17,354 (.37).  "/>
    <x v="0"/>
    <s v="If we got up around $20K it would be .42.  It’s an amazing property  https://www.realtor.com/realestateandhomes-detail/79-Wind-River-Rd_Carbondale_CO_81623_M19974-24241#photo22.// 9/22 Agent asking if we can do .38 to  beat the AIG direct rate by 17%"/>
    <s v="Referred rate to Jeff for review. He agreed anything between technical rate of .37 and Lex is okay with him."/>
    <n v="44"/>
    <s v="Patterson"/>
  </r>
  <r>
    <x v="180"/>
    <x v="8"/>
    <s v="NC"/>
    <s v="Karen"/>
    <s v="Email"/>
    <s v="Ferguson"/>
    <s v="Esther"/>
    <s v="HO3 Builders Risk"/>
    <s v="Charleston"/>
    <s v="SC"/>
    <m/>
    <m/>
    <m/>
    <s v="Roof age"/>
    <s v="3 story dwelling/condo with roof last replaced in 1987. Karen says it is in great shape per Zillow. They applied roof exclusion but retailer wants it removed on this newly written risk eff 9/22/17. "/>
    <x v="0"/>
    <s v="Can consider removing excl when the insp comes back (must come to me for review). Meanwhile, I am willing to allow ACV roof vs Excl due to business Charlotte writes with us and that this is one of their great agents."/>
    <m/>
    <n v="32"/>
    <s v="Patterson"/>
  </r>
  <r>
    <x v="180"/>
    <x v="2"/>
    <s v="CA"/>
    <s v="Alex"/>
    <s v="Call"/>
    <s v="532 Huntley LLC"/>
    <m/>
    <s v="DP3 Rental"/>
    <s v="Los Angeles"/>
    <s v="CA"/>
    <m/>
    <m/>
    <m/>
    <s v="No prior coverage"/>
    <s v="2 duplexes 1913 updated in 1990, ready to be updated again. We prev insured for 9/15-9/16 term. Uninsured since then. Homes were good condition then. Insd busy with many property deals and lost track of ins. Has assistant now. "/>
    <x v="0"/>
    <s v="Signed no loss and 15% surcharge."/>
    <m/>
    <n v="14"/>
    <s v="Patterson"/>
  </r>
  <r>
    <x v="180"/>
    <x v="0"/>
    <s v="MI"/>
    <s v="Jill"/>
    <s v="Email"/>
    <s v="Montoya"/>
    <s v="Janiece"/>
    <s v="HO8 Primary"/>
    <s v="Denver"/>
    <s v="CO"/>
    <m/>
    <n v="156000"/>
    <n v="320000"/>
    <s v="Prior losses"/>
    <s v="11/16 and 1/17 water backup. 7/16 leaking pipe. Agent writing on HO-8 (named perils excludes water)"/>
    <x v="1"/>
    <m/>
    <m/>
    <n v="18"/>
    <s v="Patterson"/>
  </r>
  <r>
    <x v="180"/>
    <x v="0"/>
    <s v="MI"/>
    <s v="Jill"/>
    <s v="Email"/>
    <s v="Perez"/>
    <s v="Victor"/>
    <s v="HO3 Secondary"/>
    <s v="Glenbrook"/>
    <s v="NV"/>
    <n v="3"/>
    <n v="1000000"/>
    <n v="1200000"/>
    <s v="Pricing"/>
    <s v="1974 frame secondary with no losses, no alarms. Full update to FLAT roof in 2010. VMGA=$3048 (.25) . Lloyds=$2595 (.21). appx 15% credit. They are quoting HO5."/>
    <x v="3"/>
    <s v="Asked Delta if VMGA had any credit applied yet (since agent has discretionary)// Declined to match the rate due to 1974 secondary w/flat roof. No online info or photos to give me any additional comfort level."/>
    <m/>
    <n v="22"/>
    <s v="Patterson"/>
  </r>
  <r>
    <x v="180"/>
    <x v="4"/>
    <s v="CO"/>
    <s v="Allison"/>
    <s v="Call"/>
    <s v="Daly"/>
    <s v="Melanie &amp; Timothy"/>
    <s v="HO3 Primary"/>
    <s v="Evergreen"/>
    <s v="CO"/>
    <m/>
    <n v="540000"/>
    <m/>
    <s v="Open loss"/>
    <s v="1988 home remodeled. Prior NRN due to brush (admitted). Expires tomorrow.  On 9/11, the insured's German shepherd bit someone. Mrs is an attorney. There were no marks, person said they were okay, went home and filed suit. No reserve yet. $500K liab requested. Agent says good insured and good risk otherwise."/>
    <x v="0"/>
    <s v="Approved with either animal excl or limited animal liab form.  Compliance has confirmed (and Jeff too) that we are comfortable with our limited animal liab form even if excluded dog or dog that bit. Open liab claim is not a worry that it could come back to us. "/>
    <m/>
    <n v="10"/>
    <s v="Patterson"/>
  </r>
  <r>
    <x v="180"/>
    <x v="0"/>
    <s v="MI"/>
    <s v="Jill"/>
    <s v="Email"/>
    <s v="Republic National Inc"/>
    <m/>
    <s v="DP3 Secondary/Rental"/>
    <s v="Apopka "/>
    <s v="FL"/>
    <m/>
    <n v="211000"/>
    <n v="265000"/>
    <s v="Corporate Name"/>
    <s v="1970 dwelling owned by corporation (commercial land surveyors). Owner stays here seasonally along with other family members and employees when they work in the area. "/>
    <x v="0"/>
    <s v="Total business exclusion. Prem liab only."/>
    <m/>
    <n v="24"/>
    <s v="Patterson"/>
  </r>
  <r>
    <x v="181"/>
    <x v="0"/>
    <s v="MI"/>
    <s v="Jill"/>
    <s v="Email"/>
    <s v="Lance"/>
    <s v="Brent  BWD110048"/>
    <s v="HO3 Primary"/>
    <m/>
    <m/>
    <m/>
    <n v="1300500"/>
    <n v="3510500"/>
    <s v="Change from prior referral"/>
    <s v="See July 7 email and prior May 25 entry on this log about this risk.  Insured is now moving in and requesting increased limits"/>
    <x v="1"/>
    <m/>
    <m/>
    <n v="13"/>
    <s v="Patterson"/>
  </r>
  <r>
    <x v="181"/>
    <x v="0"/>
    <s v="MI"/>
    <s v="Jill"/>
    <s v="Email"/>
    <s v="Johnston"/>
    <s v="Jeffrey"/>
    <s v="DP3 Rental"/>
    <s v="Lincoln"/>
    <s v="NE"/>
    <m/>
    <n v="284000"/>
    <n v="340800"/>
    <s v="Business on premises"/>
    <s v="1948 or 1970 dwelling tenant occupied by insured business partner. New purchase. LLC formed in May 2017. Insured will be building a commercial kitchen in the detached garage. He and tenant/partner will produce hot sauce for sale at local markets. No sales from garage."/>
    <x v="4"/>
    <s v="See 9/22/email for list of questions re business.  If we are able to proceed it will be subject to:_x000a_• Total Business Exclusion form_x000a_• No other structures coverage or exclusion of the detached garage using the Building Exclusion form_x000a_• GL in place_x000a_• Roof exclusion is roof has not been replaced in last 25 years (no update per app)_x000a_• Possible 10-20% surcharge due to increased exposure to the dwelling from the business on the premises._x000a_"/>
    <s v="Must have at least 15 feet separation from the dwelling and confirmation of proper commercial suppression equipment."/>
    <n v="53"/>
    <s v="Patterson"/>
  </r>
  <r>
    <x v="181"/>
    <x v="0"/>
    <s v="MI"/>
    <s v="Jill"/>
    <s v="Email"/>
    <s v="Rombalski"/>
    <s v="Megan &amp; Rom, Jordan"/>
    <s v="HO3 Primary"/>
    <s v="Tucson"/>
    <s v="AZ"/>
    <n v="3"/>
    <n v="150000"/>
    <n v="300000"/>
    <s v="Business on premises"/>
    <s v="1984 home updated. 1 prior loss 7/17 water heater leaked-closed/repaired. Insd has salon in the garage. (Not known if attached or detached) Has business policy. Zoned commercial."/>
    <x v="2"/>
    <s v="• Entrance to salon is separate from the entrance to the dwelling_x000a_• No tanning beds if the garage is attached or within 15 feet of the dwelling_x000a_• No more than 2 chairs if the garage is attached or within 15 feet of the dwelling_x000a_• Exclude the garage structure if it is detached using the Building Exclusion_x000a_• Apply Total Business Exclusion_x000a_// 9/25 heard back. Attached, separate, no tanning, 1 chair. Approved w/TBE."/>
    <m/>
    <n v="38"/>
    <s v="Patterson"/>
  </r>
  <r>
    <x v="181"/>
    <x v="1"/>
    <s v="PA"/>
    <s v="Tamika"/>
    <s v="Call"/>
    <s v="Jarrell"/>
    <s v="Tina &amp; Glen"/>
    <s v="HO3 Builders Risk"/>
    <s v="Mt. Bethel"/>
    <s v="PA"/>
    <n v="9"/>
    <n v="292000"/>
    <n v="321000"/>
    <s v="Contents for COC"/>
    <s v="Ground up construction. Insd has a barn and cottage on the property. $100K contents being stored in them. (They have $210K, but we are only going to give $100K.)  They will be moving back into the home after construction."/>
    <x v="0"/>
    <s v="Structures in good condition. Locked and secured. .47 rate competitive with other markets."/>
    <m/>
    <n v="14"/>
    <s v="Patterson"/>
  </r>
  <r>
    <x v="181"/>
    <x v="1"/>
    <s v="PA"/>
    <s v="Tamika"/>
    <s v="Call/Email"/>
    <s v="Regen"/>
    <s v="Kevin"/>
    <s v="HO3 Primary"/>
    <m/>
    <m/>
    <m/>
    <m/>
    <m/>
    <s v="Open Loss"/>
    <s v="Details coming. Insured buying a new townhouse. Prior loss is from insured's 17 y/o autistic son. Cooking a pop tart,, it caught on fire. He put the toaster in the trash can to put it out. $236K damage. *Insured has hired a caregiver. Son will be supervised at all times. Central Alarms. Open claim is only for permit reimbursement and holdback for contents RC $2K total. Prior carrier is State Farm and they nonrenewed due to loss."/>
    <x v="0"/>
    <s v="Gave indication we can approve if fire marshal report checks out and everything is okay with the submission. Reviewed app, all looks okay. Subj to:   • Surcharge for loss + 10% additional surcharge because it is a large loss_x000a_• Please forward fire marshal report so I can review_x000a_• Rate as PC9_x000a_• Son has full time supervision by caregiver or insured_x000a_"/>
    <m/>
    <n v="32"/>
    <s v="Patterson"/>
  </r>
  <r>
    <x v="182"/>
    <x v="0"/>
    <s v="MI"/>
    <s v="Jill"/>
    <s v="Email"/>
    <s v="The Estate of Richard Fagher"/>
    <m/>
    <s v="HO3 Primary"/>
    <s v="Akron"/>
    <s v="OH"/>
    <n v="4"/>
    <n v="2022000"/>
    <n v="3437400"/>
    <s v="TIV"/>
    <s v="1990 dwelling w/some updates.  Home for sale, son living there. Father passed away) Alarms. Online photo shows diving board."/>
    <x v="0"/>
    <s v="Apply pool exclusion or remove diving board.  Sent photo."/>
    <m/>
    <n v="25"/>
    <s v="Patterson"/>
  </r>
  <r>
    <x v="182"/>
    <x v="0"/>
    <s v="MI"/>
    <s v="Jill"/>
    <s v="Email"/>
    <s v="Merkel"/>
    <s v="Timothy &amp; Beth"/>
    <s v="HO3 Builders Risk"/>
    <s v="Muncie"/>
    <s v="IN"/>
    <n v="10"/>
    <n v="1300000"/>
    <n v="2595500"/>
    <s v="TIV/Large loss"/>
    <s v="1992 dwelling that suffered a total fire loss on 7/28/17. Fire marshal report in file-undetermined cause. Also 3/16 $48K hail loss. "/>
    <x v="3"/>
    <s v="Provided confidential list of concerns to Jill."/>
    <s v="750-is ins scores. Doesn't appear over-extended. However, 5 adults live in the house and work at the restaurant. $1.3M RC; $589K Market value. House for sale for a year prior to the fire. Value $675K reduced over the year to $499,900, plus the renovated and replaced appliances. Appears hard to sell. Alarm on when all left for work - no smoke detectors per report. Fire reported by neighbor at noon. Also found PMB Aircraft parts at the property owned by Mike Bristow. Not sure who this is. Didn't mention it since we are declining. Spent a lot of time on this risk because the scores were decent and I wanted to provide a helpful declination."/>
    <n v="65"/>
    <s v="Patterson"/>
  </r>
  <r>
    <x v="182"/>
    <x v="4"/>
    <s v="CO"/>
    <s v="Allison"/>
    <s v="Email"/>
    <s v="Great Lake Plumbing Co"/>
    <s v="MPLCO00001106"/>
    <s v="DP3 Rental"/>
    <m/>
    <m/>
    <m/>
    <m/>
    <m/>
    <s v="Existing damage"/>
    <s v="Insured pursuing lawsuit for siding, trim and fascia that was supposed to have a lifetime warranty and there is damage. Can we renew the risk?"/>
    <x v="0"/>
    <s v="Provided there is no water/weather infiltration, okay to renew.  If there is an issue, nonrenew."/>
    <m/>
    <n v="18"/>
    <s v="Patterson"/>
  </r>
  <r>
    <x v="182"/>
    <x v="1"/>
    <s v="PA"/>
    <s v="Tamika"/>
    <s v="Call"/>
    <s v="Blank"/>
    <s v="Benvel"/>
    <s v="HO3 Primary"/>
    <s v="Lancaster"/>
    <s v="PA"/>
    <n v="9"/>
    <n v="291000"/>
    <n v="391000"/>
    <s v="Generator"/>
    <s v="Applicant is Amish and power is from a gas powered generator. "/>
    <x v="2"/>
    <s v="Very little info at this time. Just looking for market open to the scenario. Our concern would be that the system would be left unattended and pipes would freeze. Considering Amish lifestyle (farming, wife/kids at home more frequently) that is not as much a concern. Feel this could be an okay risk if everything else checks out. Needs to be updated electrical system, etc. //9/26 updates in 2010. PPC shows 6/6Y which could be 6 or 9. Agent quoted 8. Changed to 9 and gave premium of $1819."/>
    <m/>
    <n v="26"/>
    <s v="Patterson"/>
  </r>
  <r>
    <x v="182"/>
    <x v="0"/>
    <s v="MI"/>
    <s v="Jeff"/>
    <s v="Email"/>
    <s v="Watkins Property Management"/>
    <m/>
    <s v="HO6 Rental"/>
    <s v="Carmel"/>
    <s v="IN"/>
    <m/>
    <n v="250000"/>
    <n v="359000"/>
    <s v="Occupancy"/>
    <s v="2006 condo with 4 units. Insd has a property management co office in one and rents 3 others on a short term basis. Can't tell if owner lives here or just has their office here. Separate access to office. Has commercial policy in place. Quoted with Total Business Exclusion"/>
    <x v="0"/>
    <s v="Must have owner occupancy to qualify. Otherwise, this is office and rental and should go commercial.  Could not tell from description if owner lived here."/>
    <s v="This is a condo exposure, so .21 rate is okay."/>
    <n v="22"/>
    <s v="Patterson"/>
  </r>
  <r>
    <x v="183"/>
    <x v="0"/>
    <s v="MI"/>
    <s v="Matt"/>
    <s v="Email "/>
    <s v="Haldeman"/>
    <s v="Noel &amp; Mary Ellen"/>
    <s v="HO3 Primary"/>
    <s v="N Wildwood"/>
    <s v="NJ"/>
    <n v="3"/>
    <n v="465000"/>
    <n v="790500"/>
    <s v="Pricing"/>
    <s v="2005 frame dwelling visible to neighbors. 2% wind/hail. Lloyds $1951. Agent wants to match which would require a 12% total credit."/>
    <x v="3"/>
    <s v="Request Withdrawn by Jill - insured went elsewhere.  Nice home per online info. Approved 12-13% credit.// Later in the day I got another referral for what looks like the same risk from Jill. Replied to her with a copy and asked for more info."/>
    <m/>
    <n v="28"/>
    <s v="Patterson"/>
  </r>
  <r>
    <x v="183"/>
    <x v="0"/>
    <s v="MI"/>
    <s v="Matt"/>
    <s v="Email"/>
    <s v="Eberle"/>
    <s v="Karl"/>
    <s v="HO3 Secondary"/>
    <s v="Iliamna"/>
    <s v="AK"/>
    <n v="10"/>
    <n v="960000"/>
    <n v="1104000"/>
    <s v="Response time"/>
    <s v="1980 home with updates. No alarms. 1 mile from DF with no hydrants, but response time estimated to be over 15 minutes from volunteer fire department. Pricing is .53."/>
    <x v="2"/>
    <s v="With Chubb 11/17 renewal.// 9/28 addl info from Matt. Remote Eskimo village accessibly by plane or boat to island.  However it is confirmed that the volunteer FD is on the same landmass with 15 minute response. Advised pricing is solid. Make sure we have good Cov A value."/>
    <m/>
    <n v="37"/>
    <s v="Patterson"/>
  </r>
  <r>
    <x v="183"/>
    <x v="2"/>
    <s v="CA"/>
    <s v="Bobbi"/>
    <s v="Email"/>
    <s v="About House"/>
    <m/>
    <s v="DP3 Rental"/>
    <m/>
    <m/>
    <m/>
    <n v="280000"/>
    <n v="316000"/>
    <s v="Policy term"/>
    <s v="Home is in contract and will be closing a few days after the expiration date. Agent wants to quote a 30 day pro rated premium. "/>
    <x v="0"/>
    <s v="Fully earned."/>
    <m/>
    <n v="16"/>
    <s v="Patterson"/>
  </r>
  <r>
    <x v="183"/>
    <x v="0"/>
    <s v="MI"/>
    <s v="Jill"/>
    <s v="Email"/>
    <s v="Rhodes"/>
    <s v="Michael"/>
    <s v="DP3 Rental"/>
    <s v="Kansas City"/>
    <s v="KS"/>
    <n v="3"/>
    <n v="284000"/>
    <n v="340800"/>
    <s v="Business on premises"/>
    <s v="1970 home w/updated roof. Prior hail loss. Dwelling is a rental and occupied with full time tenant. There is a detached structure with an office. Insured employee goes there 2-3 days week to pay bills for Commercial Landscaping business. GL in place."/>
    <x v="0"/>
    <s v="TBE, Exclude oth str or $0, not comfortable with credit, GL remain in place."/>
    <s v="I was just over 6 hours turnaround on this one.  I worked an audit in the morning and in the afternoon when I went to work referrals, I had internet issues. "/>
    <n v="22"/>
    <s v="Patterson"/>
  </r>
  <r>
    <x v="183"/>
    <x v="0"/>
    <s v="MI"/>
    <s v="Jill"/>
    <s v="Email"/>
    <s v="Greenberg"/>
    <s v="Lorraine"/>
    <s v="DP3 Rental"/>
    <s v="Long Grove"/>
    <s v="IL"/>
    <n v="3"/>
    <n v="2997000"/>
    <n v="3946250"/>
    <s v="TIV"/>
    <s v="1992 dwelling, no losses. Nice online photos. Wiring and heat updated in 07. "/>
    <x v="1"/>
    <m/>
    <s v=" "/>
    <n v="18"/>
    <s v="Patterson"/>
  </r>
  <r>
    <x v="184"/>
    <x v="0"/>
    <s v="MI"/>
    <s v="Alexa"/>
    <s v="Email"/>
    <s v="Starr"/>
    <s v="Johnathan"/>
    <s v="HO3 Secondary"/>
    <s v="Little Grass Valley"/>
    <s v="CA"/>
    <n v="9"/>
    <n v="1071000"/>
    <n v="2091200"/>
    <s v="TIV"/>
    <s v="2017 new construction almost complete. Local alarms only with sprinklers and cameras outside.  No online photos. Inspection provided - looks good. List of construction remaining is minimal. Even if insured is doing (lic contractor), it is minimal cosmetic."/>
    <x v="3"/>
    <s v="WBS quest.  //  9/28 risk is 12 miles from controlled burn Eureka fire. Unable to bind until 100% contained. //10/2 additional request received to consider since insured is without coverage. "/>
    <s v="Discussed w/Louisa.  // 10/2 Referred to Louisa"/>
    <n v="49"/>
    <s v="Patterson"/>
  </r>
  <r>
    <x v="184"/>
    <x v="0"/>
    <s v="MI"/>
    <s v="Alexa"/>
    <s v="Email"/>
    <s v="Richardson"/>
    <s v="Matthew"/>
    <s v="HO3 Primary"/>
    <s v="Myrtle Beach"/>
    <s v="SC"/>
    <n v="1"/>
    <n v="550000"/>
    <n v="990000"/>
    <s v="Deductible"/>
    <s v="1958 dwelling with updates. Nice online photos. Online sources say 1938. MFRC quoted.Alarms. Mortgage requires 2% ded. (We require 3%)"/>
    <x v="2"/>
    <s v="Advise agent to check YOC - online sources show 1938. Referred to product for quoting and review of deductible request. // Obtained premium from product and relayed to agent.  11% surcharge on VMGA rate."/>
    <s v="Bethany relayed about an 8% surcharge. I increased to 11%."/>
    <n v="36"/>
    <s v="Patterson"/>
  </r>
  <r>
    <x v="184"/>
    <x v="0"/>
    <s v="MI"/>
    <s v="Delta"/>
    <s v="Email"/>
    <s v="Cooper"/>
    <s v="Matthew  BWH100194"/>
    <s v="HO3 Primary"/>
    <s v="Santa Barbara"/>
    <s v="CA"/>
    <n v="5"/>
    <n v="1690000"/>
    <n v="3211400"/>
    <s v="Renewal with new loss"/>
    <s v="2005 home in brush. Approved last year. Has new water loss since - 12/16 fridge line leaked. $14K paid. Agt quoting with $10K water damage ded. $5K AOP"/>
    <x v="1"/>
    <m/>
    <m/>
    <n v="25"/>
    <s v="Patterson"/>
  </r>
  <r>
    <x v="184"/>
    <x v="2"/>
    <s v="CA"/>
    <s v="Melissa"/>
    <s v="Email"/>
    <s v="Kebert"/>
    <s v="Sandra &amp; Dewey  HUCAH150002721"/>
    <s v="HO3 Primary"/>
    <m/>
    <m/>
    <m/>
    <m/>
    <m/>
    <s v="Pool damage"/>
    <s v="Inspection revealed concrete damage along side of pool. Agt required repair. It is taking a while to get estimates. Agt asking for extension and will add pool exclusion."/>
    <x v="0"/>
    <s v="Advise insured of the excl. It excludes liab for their spa as well as pool and surrounding deck. Sent copy of form. Since it specifically excludes the deck, we are okay allowing all the time they want with the exclusion in place."/>
    <m/>
    <n v="16"/>
    <s v="Patterson"/>
  </r>
  <r>
    <x v="184"/>
    <x v="6"/>
    <s v="CA"/>
    <s v="Lisa"/>
    <s v="Email"/>
    <s v="Theurer"/>
    <s v="Gerd &amp; Laurie"/>
    <s v="HO3 Secondary w/Rental"/>
    <s v="Big Bear"/>
    <s v="CA"/>
    <n v="10"/>
    <n v="1500000"/>
    <n v="2459000"/>
    <s v="TIV"/>
    <s v="2007 ranch with multiple buildings rented out for weddings, etc per website. VRBO says guests can bring their own horses and use the stable. Risk presented as a secondary vacation rental with 2 structures and a barn for storage. Google search shows 20 min response time. Not in brush."/>
    <x v="3"/>
    <s v="Needs a ranch or commercial policy. Response time not eligible."/>
    <m/>
    <n v="47"/>
    <s v="Patterson"/>
  </r>
  <r>
    <x v="184"/>
    <x v="2"/>
    <s v="CA"/>
    <s v="Alex"/>
    <s v="Call"/>
    <s v="Littlefield"/>
    <s v="Renewal"/>
    <m/>
    <m/>
    <s v="CA"/>
    <m/>
    <m/>
    <n v="5000000"/>
    <s v="TIV"/>
    <s v="Insured has completed renovation and is now asking for increased coverages which put the risk over $5M TIV.  How do they handle, it's too late to legally NRN."/>
    <x v="0"/>
    <s v="Offer renewal with full amount of Cov A only and offer competing quotes. Suggest to increase rate."/>
    <m/>
    <n v="10"/>
    <s v="Patterson"/>
  </r>
  <r>
    <x v="184"/>
    <x v="0"/>
    <s v="MI"/>
    <s v="Leslie"/>
    <s v="Email"/>
    <s v="Becovic"/>
    <s v="Husein &amp; Ese"/>
    <s v="DP3 Vacant"/>
    <s v="Phoenix"/>
    <s v="AZ"/>
    <n v="3"/>
    <n v="2028000"/>
    <n v="2200000"/>
    <s v="TIV/Loss"/>
    <s v="1984 dwelling currently vacant. Had 2013 water loss (pool pipe leaked flooding basement) over $100K. Added $25K water ded. Nice inspection and online info. Roof updated in 2012. $10K AOP."/>
    <x v="2"/>
    <s v="Addl req to add PI, ID Fraud, ERC."/>
    <m/>
    <n v="23"/>
    <s v="Patterson"/>
  </r>
  <r>
    <x v="184"/>
    <x v="2"/>
    <s v="CA"/>
    <s v="Alison"/>
    <s v="Email"/>
    <s v="Kappeler"/>
    <s v="Nan &amp; John"/>
    <s v="HO3 Primary"/>
    <s v="Huntington Beach "/>
    <s v="CA"/>
    <n v="2"/>
    <n v="823000"/>
    <n v="1400000"/>
    <s v="Open claim"/>
    <s v="2003 home nonrenewed by 21st Century due to 2 claims. 1 pipe burst. 1 open dog bite 8/2017."/>
    <x v="0"/>
    <s v="Blank answer to Q#8, confirm damage repaired."/>
    <m/>
    <n v="17"/>
    <s v="Patterson"/>
  </r>
  <r>
    <x v="184"/>
    <x v="4"/>
    <s v="CO"/>
    <s v="Allison"/>
    <s v="Email"/>
    <s v="O'Connor"/>
    <s v="Lawrence Richard"/>
    <s v="HO3 Secondary w/Rental"/>
    <s v="Mountain Village"/>
    <s v="CO"/>
    <n v="5"/>
    <n v="3000000"/>
    <n v="3625000"/>
    <s v="TIV"/>
    <s v="1990 dwelling used seasonally with up to 12 weeks of STR. Brush clearance. Insured coming from Chubb due to addition of STR.  .20 rate. Would like a touch more, but current prem is $2665 with Chubb. Agent will increase if competition is higher. Believe roof to be asphalt. Will resubmit if woodshake (some online pics look like woodshake)"/>
    <x v="1"/>
    <m/>
    <m/>
    <n v="24"/>
    <s v="Patterson"/>
  </r>
  <r>
    <x v="185"/>
    <x v="0"/>
    <s v="MI"/>
    <s v="Leslie"/>
    <s v="Email"/>
    <s v="Salo"/>
    <s v="Christopher A &amp; Heidi M"/>
    <s v="HO3 Primary"/>
    <s v="Stockbridge "/>
    <s v="MI"/>
    <n v="9"/>
    <n v="548100"/>
    <n v="970000"/>
    <s v="Business on premises"/>
    <s v="1994 home w/updates. Insured operates non-profit ziplining camp on his adjoining property with separate address. Fully insured commercially.  There is a pole barn on that business property used for business.  It was added onto and those additions are on the insured property. Part of the pole barn is used as conference center and restrooms. AO nonrenewed. "/>
    <x v="0"/>
    <s v="• Commercial policies must remain in place_x000a_• Specifically exclude the barn building used by the business that is partially on the insured property (Use the building exclusion)_x000a_• Okay to insure personal use structures on the insured property_x000a_• Confirm none of the zip line courses are located on the insured property._x000a_• Apply Total Business Exclusion (as you noted)_x000a_"/>
    <s v="Separate address and exclusions protect us."/>
    <n v="49"/>
    <s v="Patterson"/>
  </r>
  <r>
    <x v="185"/>
    <x v="7"/>
    <s v="VA"/>
    <s v="Charity"/>
    <s v="Email"/>
    <s v="Watson"/>
    <s v="Ruth"/>
    <s v="DP3 Rental"/>
    <s v="Madison"/>
    <s v="VA"/>
    <n v="10"/>
    <n v="300000"/>
    <n v="390000"/>
    <s v="PC10"/>
    <s v="1997 quonset hut renovated to be rental dwelling. Purchase of dwelling and 19 acres $289K. Agent asking for $300K Cov A. App says $30K. Quonset huts have low PSF. Response time over 15 min by volunteer FD and gravel roads."/>
    <x v="4"/>
    <s v="Asked agent to check:  • Confirm interior renovation was professionally completed (especially concerned with wiring, plumbing, heating)_x000a_• Confirm no business use or business storage – residential use only_x000a_• Cov A_x000a_• Google shows a 14 minute drive time between the property and the FD.  This is a volunteer FD, gravel roads, so the response time will be over 15 minutes.  We would need to apply a surcharge to the premium for this.  I can determine the amount when we settle on a Cov A._x000a_"/>
    <m/>
    <n v="35"/>
    <s v="Patterson"/>
  </r>
  <r>
    <x v="185"/>
    <x v="0"/>
    <s v="MI"/>
    <s v="Jill"/>
    <s v="Email"/>
    <s v="Holt"/>
    <s v="Craig"/>
    <s v="HO3 Secondary"/>
    <s v="Lake Almanor"/>
    <s v="CA"/>
    <n v="3"/>
    <n v="2000000"/>
    <n v="3350000"/>
    <s v="TIV"/>
    <s v="Beautiful 2006 home on the lake. $5K AOP, no alarms noted. In brush, trees are trimmed up. Some kind of stove in living room per online photo."/>
    <x v="0"/>
    <s v="WBS questionnaire if applicable. Confirm brush clearance. Forested area.  "/>
    <m/>
    <n v="28"/>
    <s v="Patterson"/>
  </r>
  <r>
    <x v="185"/>
    <x v="1"/>
    <s v="PA"/>
    <s v="Tamika"/>
    <s v="Call"/>
    <s v="4 Lemoye Dr Assoc LLC"/>
    <m/>
    <s v="HO3 Secondary"/>
    <s v="Cape May"/>
    <s v="NJ"/>
    <n v="4"/>
    <n v="6000000"/>
    <m/>
    <s v="Builders Risk"/>
    <s v="1900 dwelling with updates within 1000' of water. Electrician scheduled to come in this afternoon after 1:00 closing to remove fuses and knob &amp; tube and replace w/breakers and new wire. Reno involves this and HVAC only. No other renovations planned. .60-.65 rate. "/>
    <x v="1"/>
    <s v="We have a rule, no reno within 2 miles of coast. Online photos show very nice exterior. Somewhat dated interior but good condition. Seems like a good risk with a good rate. //9/28 risk is not knob &amp; tube, it is circuit breakers. Change is to HVAC only. Does not need to be builders risk. Will be secondary only."/>
    <m/>
    <n v="23"/>
    <s v="Patterson"/>
  </r>
  <r>
    <x v="185"/>
    <x v="4"/>
    <s v="CO"/>
    <s v="Allison"/>
    <s v="Email"/>
    <s v="Stevenson"/>
    <s v="John"/>
    <s v="HO3 Secondary"/>
    <s v="Norwood"/>
    <s v="CO"/>
    <n v="10"/>
    <n v="200000"/>
    <n v="4440000"/>
    <s v="TIV"/>
    <s v="2000 home, alarms, not in brush per RM, zip code match 6 high FireLine. Hail score =1. 20 min response time for volunteer FD 3.8 miles away (10 min google drive time). Lex $13,817, a $2K incr over expiring. We are at $14,138. Alison wants to apply a 10% credit for $12,742  .29.  Animal mounts going elsewhere."/>
    <x v="1"/>
    <s v="Reviewed w/Jeff   "/>
    <m/>
    <n v="50"/>
    <s v="Patterson"/>
  </r>
  <r>
    <x v="185"/>
    <x v="2"/>
    <s v="CA"/>
    <s v="Lisa"/>
    <s v="Email"/>
    <s v="Facter"/>
    <s v="Jeff"/>
    <s v="HO3 Secondary"/>
    <s v="Laguna Beach "/>
    <s v="CA"/>
    <n v="3"/>
    <n v="2900000"/>
    <n v="4450000"/>
    <s v="TIV"/>
    <s v="1996 unique and custom Rock Home, new purchase. Concrete and metal structure. Pricing .19. Not in brush. On beach."/>
    <x v="3"/>
    <s v="Reviewed w/Louisa who reviewed w/Jeff. We feel too custom. It will quickly get over $5M."/>
    <m/>
    <n v="46"/>
    <s v="Patterson"/>
  </r>
  <r>
    <x v="186"/>
    <x v="0"/>
    <s v="MI"/>
    <s v="Jill"/>
    <s v="Email"/>
    <s v="Lupatkin"/>
    <s v="Bruce"/>
    <s v="HO3 Secondary"/>
    <s v="Arroyo Grande"/>
    <s v="CA"/>
    <n v="10"/>
    <n v="2200000"/>
    <n v="4400000"/>
    <s v="TIV"/>
    <s v="1996 risk with local alarm only in brush. Quoted as PC9, no PPC, this looks like PC10. FD is 8 miles away. 15-20 min response. Quest says there is a hydrant."/>
    <x v="3"/>
    <s v="Response time &gt;15, high value, in brush."/>
    <m/>
    <n v="23"/>
    <s v="Patterson"/>
  </r>
  <r>
    <x v="186"/>
    <x v="2"/>
    <s v="CA"/>
    <s v="Bobbi"/>
    <s v="Email"/>
    <s v="Dipaolo"/>
    <s v="Marcelo"/>
    <s v="HO3 Primary"/>
    <s v="Woodland Hills"/>
    <s v="CA"/>
    <n v="2"/>
    <n v="526000"/>
    <n v="980000"/>
    <s v="Prior losses"/>
    <s v="1966 home not in brush.  Prior losses: 10/14 water $0, 11/14 toilet malfunction $115K, 1/17 sewer backup $20K. $5K AOP ded. Flat roof updated in 2000 per app."/>
    <x v="0"/>
    <s v="Apply $10K water ded due to losses. Order a roof inspection to verify age."/>
    <m/>
    <n v="19"/>
    <s v="Patterson"/>
  </r>
  <r>
    <x v="186"/>
    <x v="2"/>
    <s v="CA"/>
    <s v="Alison"/>
    <s v="Email"/>
    <s v="Parker"/>
    <s v="Clark"/>
    <s v="HO3 Builders Risk"/>
    <s v="Los Angeles "/>
    <s v="CA"/>
    <n v="2"/>
    <n v="4000000"/>
    <n v="4000000"/>
    <s v="TIV"/>
    <s v="2017 New ground up COC, starting after demolition of current dwelling is complete. Will be primary so quoting as HO3. 18-24 month construction w/licensed contractor. Not in brush. "/>
    <x v="1"/>
    <m/>
    <m/>
    <n v="11"/>
    <s v="Patterson"/>
  </r>
  <r>
    <x v="186"/>
    <x v="0"/>
    <s v="MI"/>
    <s v="Jill"/>
    <s v="Email"/>
    <s v="Milam"/>
    <s v="Gilbert"/>
    <s v="HO3 Primary"/>
    <s v="San Rafael"/>
    <s v="CA"/>
    <n v="4"/>
    <n v="1800000"/>
    <n v="3060000"/>
    <s v="High profile"/>
    <s v="1940 updated home. Not in brush.  "/>
    <x v="3"/>
    <s v="Online review shows this insured is a high profile rapper in addition to ownership of a clothing and cannabis store.  Too high profile."/>
    <m/>
    <n v="36"/>
    <s v="Patterson"/>
  </r>
  <r>
    <x v="186"/>
    <x v="0"/>
    <s v="MI"/>
    <s v="Jill"/>
    <s v="Email"/>
    <s v="Trotts "/>
    <s v="Michael"/>
    <s v="HO3 Builders Risk"/>
    <s v="Hamilton"/>
    <s v="IN"/>
    <n v="4"/>
    <n v="1500000"/>
    <n v="1500000"/>
    <s v="Prior losses"/>
    <s v="New construction with large prior loss. 2/17 painter rags combusted $685K loss. 12/16 freezing pipes $16K. Agent getting info on loss, who is contractor, subro?"/>
    <x v="3"/>
    <s v="Resubmit with full info. Fire marshal report. Can consider - not insured's fault. // 10/2 - contractor who caused 2 losses is same contractor they are still using.  "/>
    <m/>
    <n v="29"/>
    <s v="Patterson"/>
  </r>
  <r>
    <x v="187"/>
    <x v="2"/>
    <s v="CA"/>
    <s v="Alex"/>
    <s v="Email"/>
    <s v="Wang"/>
    <s v="Johnathan"/>
    <s v="HO3 Primary"/>
    <m/>
    <m/>
    <m/>
    <m/>
    <m/>
    <s v="Backdate"/>
    <s v="Insured closed on 9/28/17 but didn't come in to agents office to sign papers until 9/30/17. (Didn't realize signature was needed to bind) Agent sent to Alex on Saturday. "/>
    <x v="0"/>
    <s v="Agreed to backdate with signed statement of no losses."/>
    <m/>
    <n v="8"/>
    <s v="Patterson"/>
  </r>
  <r>
    <x v="187"/>
    <x v="0"/>
    <s v="MI"/>
    <s v="Jill"/>
    <s v="Email"/>
    <s v="Dollar"/>
    <s v="Tim  BWH106295"/>
    <s v="HO3 Primary"/>
    <s v="Osceola"/>
    <s v="MO"/>
    <n v="10"/>
    <n v="921903"/>
    <n v="1521903"/>
    <s v="Response time"/>
    <s v="Prior approval last year. Slight Cov A increase so resubmitted for review. 20 min response time."/>
    <x v="0"/>
    <s v="Pool exclusion per inspection."/>
    <m/>
    <n v="18"/>
    <s v="Patterson"/>
  </r>
  <r>
    <x v="187"/>
    <x v="2"/>
    <s v="CA"/>
    <s v="Alison"/>
    <s v="Call/Email"/>
    <s v="Robie"/>
    <s v="Stephen"/>
    <s v="HO3 Primary"/>
    <s v="Newport Beach"/>
    <s v="CA"/>
    <m/>
    <n v="925000"/>
    <n v="1700000"/>
    <s v="Prior losses"/>
    <s v="11/11 $100K water loss - kitchen pipes replaced. 6/16 $11K hot water pipe burst under kitchen.  10/16 $8K washing machine pipe burst flooded garage. "/>
    <x v="4"/>
    <s v="Asked questions about repairs in 2011. Would probably consider water damage exclusion or at least a $25K ded."/>
    <m/>
    <n v="32"/>
    <s v="Patterson"/>
  </r>
  <r>
    <x v="187"/>
    <x v="2"/>
    <s v="CA"/>
    <s v="Alison"/>
    <s v="Call"/>
    <s v="Ahouraian"/>
    <s v="Manijeh"/>
    <s v="HO3 Primary"/>
    <m/>
    <s v="CA"/>
    <m/>
    <m/>
    <m/>
    <s v="Prior losses"/>
    <s v="Good risk given 5% credit to win for great agent. After A+ run, 2 $0 losses found. One was leak under bath that turned out to be under ded and was repaired. Another involved pool water damaging plants and furniture. Details will be developed."/>
    <x v="0"/>
    <s v="Discussed that since both losses will be surcharged. Since $0 confirmed, we will still allow the $5 credit."/>
    <m/>
    <n v="19"/>
    <s v="Patterson"/>
  </r>
  <r>
    <x v="188"/>
    <x v="0"/>
    <s v="MI"/>
    <s v="Delta"/>
    <s v="Email"/>
    <s v="Soussel"/>
    <s v="James"/>
    <s v="HO3 Primary"/>
    <s v="Tempe"/>
    <s v="AZ"/>
    <m/>
    <n v="3000000"/>
    <n v="3500000"/>
    <s v="Mid term builders risk"/>
    <s v="New build 50% complete. No losses, no alarms yet. Perimeter is locked chain, gated community. BR supplement does not note reason for moving risk mid-construction._x000a_"/>
    <x v="2"/>
    <s v="You are approved to offer a quote subject to:_x000a_• Explanation of why we are starting a policy when the construction is 50% complete_x000a_• Was the home previously insured?  With which carrier, and why is the insured changing carriers_x000a_• Answer to these questions may affect eligibility_x000a_• 10% additional surcharge applies to VMGA rate since we are coming in mid-construction_x000a_//10/5 Agent taking over business for insd. Curr w/Zurich in good standing. Looking for 10/7 renewal alternative terms. Approved w/10% s/c. Asked to make sure Cov A is accurate."/>
    <s v="Likely we will approve with a surcharge, so I originally offered this with subjectivities."/>
    <n v="34"/>
    <s v="Patterson"/>
  </r>
  <r>
    <x v="188"/>
    <x v="0"/>
    <s v="MI"/>
    <s v="Jill"/>
    <s v="Email"/>
    <s v="Gotuaco"/>
    <s v="Margaret"/>
    <s v="HO6 Primary"/>
    <s v="San Francisco"/>
    <s v="CA"/>
    <m/>
    <n v="125000"/>
    <n v="260600"/>
    <s v="Year of construction"/>
    <s v="Risk originally submitted to Burns as 1975, which is the year the condo was converted.  Actual YOC is 1889. Reviewed inspection and EHP."/>
    <x v="0"/>
    <s v="Correct YOC at renewal"/>
    <m/>
    <n v="22"/>
    <s v="Patterson"/>
  </r>
  <r>
    <x v="188"/>
    <x v="1"/>
    <s v="PA"/>
    <s v="MacKenzie"/>
    <s v="Email"/>
    <s v="Finguerra"/>
    <s v="Kurt &amp; Cheryl"/>
    <s v="HO3 Primary"/>
    <m/>
    <m/>
    <m/>
    <m/>
    <m/>
    <s v="Renewal with new loss"/>
    <s v="Renewal was quoted with $10K water ded due to $17K pipe break to water heater on 8/9/17. 1988 dwelling. Only loss in 9 years. Agent surcharged for loss.  Would we be okay with $5K water ded?"/>
    <x v="0"/>
    <s v="Looks fine.  Pointed out issue on inspection - gas grill and bbq grill on small porch."/>
    <m/>
    <n v="16"/>
    <s v="Patterson"/>
  </r>
  <r>
    <x v="188"/>
    <x v="0"/>
    <s v="MI"/>
    <s v="Jill"/>
    <s v="Email"/>
    <s v="Helltown Holdings LLC"/>
    <s v="BWD106512"/>
    <s v="DP3 Rental"/>
    <s v="Chico"/>
    <s v="CA"/>
    <n v="10"/>
    <n v="410000"/>
    <n v="476000"/>
    <s v="Response time"/>
    <s v="This is a renewal that was never referred at NB (branch exceeded authority). PC10, 25 min response time, rental in brush."/>
    <x v="3"/>
    <s v="Requested nonrenewal due to brush and 25 min response time."/>
    <m/>
    <n v="25"/>
    <s v="Patterson"/>
  </r>
  <r>
    <x v="188"/>
    <x v="2"/>
    <s v="CA"/>
    <s v="Alex"/>
    <s v="Call"/>
    <s v="Khodorkovsky"/>
    <m/>
    <s v="HO3 Primary"/>
    <m/>
    <m/>
    <m/>
    <m/>
    <m/>
    <s v="Backdate"/>
    <s v="Risk expired on 9/29. Alex followed up on 9/28 and again yesterday.  Apparently the agent is no longer with the agency and the emails did not get handled properly. Alex asked about renewal w/o lapse."/>
    <x v="0"/>
    <s v="Can either write with new date or backdate and get SNL. Not insured's fault."/>
    <m/>
    <n v="10"/>
    <s v="Patterson"/>
  </r>
  <r>
    <x v="188"/>
    <x v="4"/>
    <s v="CO"/>
    <s v="Allison"/>
    <s v="Email"/>
    <s v="Fugger"/>
    <s v="Ed"/>
    <s v="DP3 Vacant"/>
    <s v="Denver"/>
    <s v="CO"/>
    <n v="2"/>
    <n v="2000000"/>
    <n v="2300000"/>
    <s v="TIV"/>
    <s v="1930 dwelling w/updates.  Remodeling will start in the spring. Needs vacant policy until then. Closing 10/4/17 per agent. App says 10/14."/>
    <x v="0"/>
    <s v="Online photos show possible flat roof. Requested $10K water damage ded."/>
    <s v="approved w/alarms; inspection revealed no alarms. Advised OK to retain w/no alarms but must increase AOP and theft deductible to a minimum of $10,000 "/>
    <n v="23"/>
    <s v="Patterson"/>
  </r>
  <r>
    <x v="188"/>
    <x v="1"/>
    <s v="PA"/>
    <s v="Tamika"/>
    <s v="Call/Email"/>
    <s v="37 Navajo Place LLC"/>
    <m/>
    <s v="HO3 Rental"/>
    <s v="Wildwood"/>
    <s v="NJ"/>
    <m/>
    <n v="600000"/>
    <n v="710000"/>
    <s v="Occupancy"/>
    <s v="4 family dwelling, 1 unit occupied by owner along with a rented cottage. Agent asking to insure as homeowners 5 family. Usually this would go commercial."/>
    <x v="0"/>
    <s v="Reviewed w/Jeff. We like the risk, nice house. Unit 5 is separate, it's 2 structures. Along with that, one of the units is owner occupied. Agreed to write with 3% surcharge on the technical rate for 4 family."/>
    <m/>
    <n v="55"/>
    <s v="Patterson"/>
  </r>
  <r>
    <x v="189"/>
    <x v="0"/>
    <s v="MI"/>
    <s v="Delta"/>
    <s v="Email"/>
    <s v="Ramsey"/>
    <s v="Stephen"/>
    <s v="HO3 Secondary"/>
    <s v="Edwards"/>
    <s v="CO"/>
    <n v="10"/>
    <n v="2500000"/>
    <n v="3750000"/>
    <s v="TIV"/>
    <s v="2016 risk with full alarms and sprinkler. PC quest says 8 minute response."/>
    <x v="0"/>
    <s v="My Google search shows FD is 12.7 miles away with 16 min drive time. Paid dept. Approved terms w/25% surcharge bringing rate to about .30. Advised if I have info wrong, to advise correct FD address."/>
    <m/>
    <n v="38"/>
    <s v="Patterson"/>
  </r>
  <r>
    <x v="189"/>
    <x v="0"/>
    <s v="MI"/>
    <s v="Danielle"/>
    <s v="Email"/>
    <s v="Glasco"/>
    <s v="Grace &amp; Goulding, Chris"/>
    <s v="HO3 Primary"/>
    <s v="Nevada City"/>
    <s v="CA"/>
    <n v="9"/>
    <n v="758000"/>
    <n v="1609200"/>
    <s v="TIV"/>
    <s v="2005 home in brush, no alarms. Confirmed 2.7 mile, 8 min response time."/>
    <x v="0"/>
    <s v="Reference to a business &quot;Dian Glasco Multi Media&quot;. Home office okay. Refer back if other."/>
    <m/>
    <n v="26"/>
    <s v="Patterson"/>
  </r>
  <r>
    <x v="189"/>
    <x v="0"/>
    <s v="MI"/>
    <s v="Delta"/>
    <s v="Email"/>
    <s v="Nelson"/>
    <s v="Jeffrey"/>
    <s v="HO3 Secondary"/>
    <s v="Granby"/>
    <s v="CO"/>
    <n v="10"/>
    <n v="2900000"/>
    <n v="3130000"/>
    <s v="TIV"/>
    <s v="2017 home 8 miles from the FD. 13 min drive time per Google. Volunteer FD, response time will be longer. App/quest/email says PC9. 8 miles from FD is PC10. 35 acres. 34 acres leased to C Lazy U Ranch which is a Dude Ranch in this community. Owners of homes are giving &quot;membership&quot;. Separate road. House is 10,000 feef from ranch. App questions-many marked with &quot;x&quot;."/>
    <x v="2"/>
    <s v="Asked for PC10, rerated. Decided to allow 13 min drive time since FD is paid and there are alarms.  Aerial photos provided on 10/5.  Great separation, separate roads to get to both properties.  Insd not affiliated w/the ranch at all, they just lease land.  Agent will exclude structures: &quot;All structures owned by and used by C Lazy U ranch on the adjoining 34 acres&quot;._x000a__x000a_Subject to:_x000a_• App has several underwriting questions answered with an &quot;X&quot;.  Please have answers corrected to Y or N._x000a_• Apply Total Business Exclusion  _x000a_"/>
    <s v=".28 rate. Was going to increase to .30. Since FD is paid and they have alarms, felt we could leave it. Drive time is 13 min."/>
    <n v="62"/>
    <s v="Patterson"/>
  </r>
  <r>
    <x v="189"/>
    <x v="0"/>
    <s v="MI"/>
    <s v="Leslie"/>
    <s v="Email"/>
    <s v="Cieslikowski"/>
    <s v="Carl &amp; Cathy"/>
    <s v="HO3 Primary"/>
    <s v="Grass Valley"/>
    <s v="CA"/>
    <n v="10"/>
    <n v="710000"/>
    <n v="1426500"/>
    <s v="Animals and Business on Premises"/>
    <s v="1999 risk rated PC9 by retail agent. Leslie caught and changed to 10. In brush. PC Quest shows 4 miles/7 min. Google shows 8.7 miles/17 min. Insd will have llamas, sheep, cattle for grazing. Will also rent 2 RV spaces."/>
    <x v="3"/>
    <s v="Response time &gt;15, in brush."/>
    <s v="Addl questions if I have wrong info regarding response time.  We could still have some exposure with the animals if there is any breeding or sales with people coming on the property.  Is there any of this, or is it strictly for grazing?_x000a_Could we please get some more information on the plans to rent RV storage space?  Will this allow in and out privileges?  Will they just be parked off season with 1-2 expected visits from the owners?  Is there a separate policy for the building rented out for RV storage?  What else is that structure used for?_x000a_What other structures are included in the $310,000?  We would need to exclude any used for the animals if there is breeding or sales.  We may need to exclude the building rented out for RV storage.  _x000a_"/>
    <n v="51"/>
    <s v="Patterson"/>
  </r>
  <r>
    <x v="189"/>
    <x v="0"/>
    <s v="MI"/>
    <s v="Delta"/>
    <s v="Email"/>
    <s v="Williams "/>
    <s v="Barry &amp; Candice"/>
    <s v="HO3 Secondary"/>
    <s v="Malibu"/>
    <s v="CA"/>
    <m/>
    <n v="2500000"/>
    <n v="3150000"/>
    <s v="High profile"/>
    <s v="1974 home, very nice per online pics. One loss - boat collision $7K. Unknown alarms. Insured is actor who played Greg Brady."/>
    <x v="0"/>
    <s v="You are approved to release terms subject to:_x000a_• Please exclude liability.  We are comfortable with the property, but uncomfortable offering liability due to insured being high profile._x000a_• Please advise what the $16,175 APPL loss was on 8/5/14.  If anything of concern or indication of negligence or fault, we want to revisit terms_x000a_• Home is up for sale per app and online sources - please confirm there is seasonal use, being regularly checked on, and is not vacant_x000a_• Central station burglar alarms are required_x000a_• Please ensure all underwriting questions are answered - several are blank.  Please resubmit if there are any yes answers of concern_x000a_"/>
    <s v="Discussed w/Louisa.  Insd doesn't appear to be a concern, but due to high profile, we are excluding liab. Ran IS because house has been for lease and sale for many years. It's &gt;900. "/>
    <n v="47"/>
    <s v="Patterson"/>
  </r>
  <r>
    <x v="189"/>
    <x v="2"/>
    <s v="CA"/>
    <s v="Alex"/>
    <s v="Call/Email"/>
    <s v="Tomta"/>
    <s v="Odette"/>
    <s v="HO3 Primary"/>
    <s v="Chatsworth"/>
    <s v="CA"/>
    <n v="4"/>
    <n v="712000"/>
    <n v="1139000"/>
    <s v="Prior losses"/>
    <s v="1976 dwelling with various water losses. Quoted with $50K water damage deductible and surcharge about 20% in addition to s/c for the claims.  2/16 slab leak $86K - pipes re-routed. Agt verifying extent. 10/16 pipe leak near tennis court $2435.  2/17 roof leak $181. Assume repairs made-agt verifying."/>
    <x v="0"/>
    <s v="Confirm repairs. Reroute of damaged pipes in slab. $5K premium."/>
    <m/>
    <n v="28"/>
    <s v="Patterson"/>
  </r>
  <r>
    <x v="189"/>
    <x v="2"/>
    <s v="CA"/>
    <s v="Alison"/>
    <s v="Call"/>
    <s v="Prieve"/>
    <s v="Jason &amp; Michelle"/>
    <s v="HO3 Primary"/>
    <s v="Mission Viejo"/>
    <s v="CA"/>
    <n v="2"/>
    <n v="474000"/>
    <n v="750000"/>
    <s v="Prior losses"/>
    <s v="1994 dwelling.  Agent quoted and 3 losses were revealed. Bind request came in and 4th loss was discovered. 1.       03/01/15 – dishwasher line broke, damage to flooring and cabinetry in kitchen, but carrier declined to pay, $00 paid out_x000a_2.       09/11/15 – AC condenser unit leaked into wall, due to faulty installation (overflow line was not long enough,) $2,581.00 paid out_x000a_3.       09/11/16 – AC unit leak again, but after this, they installed an automatic shut-off valve on the AC unit to avoid any future problems, $00 paid out_x000a_4.       1/27/2017 – Pipe burst - $38,601_x000a_Agent will surcharge for 4 losses and apply a water damage deductible.  $50K required."/>
    <x v="3"/>
    <s v="The dishwasher line and the pipe burst are the real pipe concerns. $25K will mitigate future losses.  The AC leak is different and has been mitigated by insured w/ a shut-off. // Lex came back w/$25K ded and lower price. I withdrew terms 10/5/17."/>
    <m/>
    <n v="29"/>
    <s v="Patterson"/>
  </r>
  <r>
    <x v="190"/>
    <x v="0"/>
    <s v="CA"/>
    <s v="Matt"/>
    <s v="Email"/>
    <s v="Hightower"/>
    <s v="Jason B &amp; Julie A Sanchez"/>
    <s v="HO3 Primary"/>
    <s v="Lake Arrowhead"/>
    <s v="CA"/>
    <n v="9"/>
    <n v="440000"/>
    <m/>
    <s v="High profile"/>
    <s v="1991 Dwelling with updated plumbing in 2010. Low brush. PC4 per ISO PPC. App says no prior coverage - can't tell if this is a new purchase."/>
    <x v="0"/>
    <s v="Liab okay, insured not too famous. Why no prior coverage - may need to apply 5% s/c for lapse, 10% for long lapse."/>
    <m/>
    <n v="22"/>
    <s v="Patterson"/>
  </r>
  <r>
    <x v="190"/>
    <x v="0"/>
    <s v="CA"/>
    <s v="Rachel"/>
    <s v="Email"/>
    <s v="Howard"/>
    <s v="Booth"/>
    <s v="HO3 Secondary"/>
    <s v="Grassy Sounds"/>
    <s v="NJ"/>
    <n v="3"/>
    <n v="250000"/>
    <n v="425000"/>
    <s v="High profile"/>
    <s v="1941 dwelling with current updates. Could not find online photo. Home will be raised by licensed contractor. No mention of builders risk. Insd is a director/producer."/>
    <x v="0"/>
    <s v="Verify builders risk. Confirm this is frame, not something unique like houseboat. (Address brings up a marina. Other unique dwellings in that area.) Is it being raised over water? If so, resubmit with full details of contractor plan."/>
    <s v=".46 rate. Probably builders risk. "/>
    <n v="30"/>
    <s v="Patterson"/>
  </r>
  <r>
    <x v="190"/>
    <x v="0"/>
    <s v="CA"/>
    <s v="Jill"/>
    <s v="Email"/>
    <s v="Wheeler"/>
    <s v="James"/>
    <s v="HO3 Primary"/>
    <s v="Tiburon"/>
    <s v="CA"/>
    <n v="3"/>
    <n v="1700000"/>
    <n v="3060000"/>
    <s v="TIV"/>
    <s v="1974 home w/some updates. Wood shake roof updated in 2005-agent applying ACV roof. Not in brush, so roof okay. Online photos okay."/>
    <x v="1"/>
    <m/>
    <m/>
    <n v="21"/>
    <s v="Patterson"/>
  </r>
  <r>
    <x v="190"/>
    <x v="0"/>
    <s v="CA"/>
    <s v="Jill"/>
    <s v="Email"/>
    <s v="Central Palm Properties LLC"/>
    <m/>
    <s v="HO6 Seasonal w/rental"/>
    <s v="Oakland"/>
    <s v="MD"/>
    <n v="6"/>
    <n v="200000"/>
    <n v="225000"/>
    <s v="Open loss"/>
    <s v="1988 seasonal rental condo. 2 night min rental.  Good condition.  Open liab loss at different location in CA."/>
    <x v="1"/>
    <s v=" "/>
    <s v="Property with mold/liability claim is a 1940 dwelling. This is a newer condo.  We don't do roof exclusions on condos where we are insuring interior only."/>
    <n v="24"/>
    <s v="Patterson"/>
  </r>
  <r>
    <x v="190"/>
    <x v="5"/>
    <s v="NC"/>
    <s v="Anella"/>
    <s v="Email"/>
    <s v="Sovia"/>
    <s v="Becky  "/>
    <s v="HO3 Primary"/>
    <s v="Nags Head"/>
    <s v="NC"/>
    <n v="4"/>
    <n v="398000"/>
    <n v="600000"/>
    <s v="Short term rental"/>
    <s v="Primary home on top floor with bottom floor rented out for AirBnB with separate entrance. Online photo shows 2 story home. Rented 10 weeks/year. 2001 home."/>
    <x v="1"/>
    <m/>
    <s v="Reviewed w/Tim"/>
    <n v="25"/>
    <s v="Patterson"/>
  </r>
  <r>
    <x v="190"/>
    <x v="5"/>
    <s v="NC"/>
    <s v="Lauren"/>
    <s v="Email"/>
    <s v="Medlin"/>
    <s v="Frances"/>
    <s v="HO3 Secondary/Rental"/>
    <s v="Nags Head"/>
    <s v="NC"/>
    <n v="4"/>
    <n v="333200"/>
    <n v="500000"/>
    <s v="Lapse"/>
    <s v="2005 home rented 22 weeks. Lapse since 8/25/17. Cancelled w/prior carrier and agent just realized it. Online photos show commercial area."/>
    <x v="3"/>
    <s v="6 week lapse - 2 moratoriums since then and this is seasonal.  No way to surcharge"/>
    <s v="Even with Signed No Loss, I would require an in/ext inspection to confirm no storm damage."/>
    <n v="28"/>
    <s v="Patterson"/>
  </r>
  <r>
    <x v="190"/>
    <x v="0"/>
    <s v="MI"/>
    <s v="Jill"/>
    <s v="Email"/>
    <s v="DeMartini Inc."/>
    <m/>
    <s v="DP3 Rental"/>
    <s v="Incline Village"/>
    <s v="NV"/>
    <n v="2"/>
    <n v="3000000"/>
    <n v="4100000"/>
    <s v="TIV"/>
    <s v="1994 dwelling. Nice online photos. In corporate name - needs to be premises liability. LLC form provided. "/>
    <x v="1"/>
    <s v="Since this is only husband and wife who incorporated for property ownership, we restrict to prem liab, we are okay.  "/>
    <s v="Guidelines state:  &quot;Occupant of the property must be the principal of the corporation when writing corporate owned property.  Premises liability limitation form is required if writing liability.&quot;  Since this is only husband and wife who incorporated for property ownership, we restrict to prem liab, we are okay.  Found some online articles about this insured's name for a City Supervisor - mild news. No indication this is the same person-not overly concerned w/the reports."/>
    <n v="34"/>
    <s v="Patterson"/>
  </r>
  <r>
    <x v="190"/>
    <x v="2"/>
    <s v="CA"/>
    <s v="Alex"/>
    <s v="Call"/>
    <s v="Izmirian"/>
    <m/>
    <s v="HO3 Secondary"/>
    <m/>
    <m/>
    <m/>
    <m/>
    <m/>
    <s v="Occupancy"/>
    <s v="New 2017 build expiring w/Zurich 10/9/17. All that is left is to seal floors, install blinds and appliances, clean, inspect. Occupancy permit expected 11/10/17. Does this need to be COC?"/>
    <x v="0"/>
    <s v="Okay to write as secondary, no COC - minor items left. Check rating w/other competitors to get our best rate."/>
    <m/>
    <n v="10"/>
    <s v="Patterson"/>
  </r>
  <r>
    <x v="190"/>
    <x v="1"/>
    <s v="PA"/>
    <s v="Tamika"/>
    <s v="Call"/>
    <s v="Capstone Ins is agt-name TBD"/>
    <m/>
    <s v="DP1 Vacant   "/>
    <s v="Ewing"/>
    <s v="NJ"/>
    <m/>
    <n v="500000"/>
    <m/>
    <s v="Prior loss"/>
    <s v="7 bedroom dwelling across from a college, currently vacant while insured decides if he might want to rent. Online photos look good. Claim in Aug 2017, break in, turned off water, stole copper. No security improvement. Police ramped up drive by. Has someone monitoring the property. Dwelling is winterized and good condition. Tamika already advised if risk is rented it must go commercial."/>
    <x v="0"/>
    <s v="Agreed to write as a DP1 with no theft or VMM. Condition of home must be good. On DP1, we won't have a concern about any of the worst case scenario losses (except arson). Decent client for decent agent."/>
    <m/>
    <n v="25"/>
    <s v="Patterson"/>
  </r>
  <r>
    <x v="191"/>
    <x v="2"/>
    <s v="CA"/>
    <s v="Alison"/>
    <s v="Email"/>
    <s v="Moss"/>
    <s v="Glen L &amp; Jeri C"/>
    <s v="HO3 Builders Risk"/>
    <s v="Newport Beach "/>
    <s v="CA"/>
    <m/>
    <n v="2800000"/>
    <n v="3080000"/>
    <s v="TIV"/>
    <s v="New construction.  There were 2 structures at the location but they have already been demolished.  One year by licensed GC. Primary home is extending liab."/>
    <x v="1"/>
    <m/>
    <m/>
    <n v="17"/>
    <s v="Patterson"/>
  </r>
  <r>
    <x v="191"/>
    <x v="0"/>
    <s v="MI"/>
    <s v="Jill"/>
    <s v="Email"/>
    <s v="Thomas   BWH100181"/>
    <s v="Richard &amp; Lisa"/>
    <s v="HO3 Secondary w/Rental"/>
    <s v="Wishon"/>
    <s v="CA"/>
    <n v="10"/>
    <n v="253000"/>
    <n v="450000"/>
    <s v="Response time"/>
    <s v="1953 risk updated in brush no alarms. Was not referred by branch at NB. Over 15 min response time. Was issued as PC4, it is PC10. "/>
    <x v="3"/>
    <s v="Not comfortable with response time. &gt;15 min drive time, volunteer FD, no alarms, secondary. Cc'd Danielle - another referral issue."/>
    <m/>
    <n v="23"/>
    <s v="Patterson"/>
  </r>
  <r>
    <x v="191"/>
    <x v="0"/>
    <s v="MI"/>
    <s v="Jill"/>
    <s v="Email"/>
    <s v="Bilbrey"/>
    <s v="Michael"/>
    <s v="HO3 Primary"/>
    <s v="Edwardsville"/>
    <s v="IL"/>
    <n v="10"/>
    <n v="2021000"/>
    <n v="4073850"/>
    <s v="TIV"/>
    <s v="1999 home with brand new wood shake roof. Central alarm per app. No alarm per PCQ. Online photos show animals and barn. Online check of insd name shows insured who is atty using home address and another attorney. Response time close to 15 min on 64 acres. Volunteer FD. 7.9 mi. 12 min drive time."/>
    <x v="2"/>
    <s v="Confirm 64 acres doesn't affect response. Alarms? Photos of animals? Business? Coml kitchen in barn?  If we proceed - not all uw questions are answered/All questions appropriately answered. Gave approval to release as long as all UW questions correctly answered. Kburdine"/>
    <s v="I'm okay with the losses - you have surcharged as well as applied a $25,000 AOP.  They have a new woodshake roof.  Even with a prior hail loss, a new roof should be somewhat resistant.  I checked the hail score and it is acceptable (2 in 3 years; 4 in 4 years)_x000a__x000a_"/>
    <n v="45"/>
    <s v="Patterson"/>
  </r>
  <r>
    <x v="191"/>
    <x v="0"/>
    <s v="MI"/>
    <s v="Jill"/>
    <s v="Email"/>
    <s v="West"/>
    <s v="David"/>
    <s v="HO3 Primary"/>
    <s v="Rothsay"/>
    <s v="MN"/>
    <n v="8"/>
    <n v="270500"/>
    <n v="486900"/>
    <s v="Business"/>
    <s v="Built in 1940/updated, PC8, frame, primary, no losses, located in MN, Has light touch massage therapy business, has separate GL policy for the business"/>
    <x v="0"/>
    <s v="Agt quoted with total business exclusion, so approved subject to GL remaining in place and applicant aware of limitations of TBE"/>
    <m/>
    <m/>
    <s v="Burdine"/>
  </r>
  <r>
    <x v="191"/>
    <x v="4"/>
    <s v="CO"/>
    <s v="Alison"/>
    <s v="Email"/>
    <s v="Denmore, LLC"/>
    <s v="Denmore, LLC"/>
    <s v="DP1-Rental"/>
    <s v="Boulder"/>
    <s v="CO"/>
    <n v="4"/>
    <n v="175000"/>
    <n v="350000"/>
    <s v="139 acres/lapse"/>
    <s v="Approved in April, but insured did not secure coverage at that time for unknown reason. Now interested in pursuing quote again. Agt applied 10% surcharge to quote due to the lapse"/>
    <x v="3"/>
    <s v="Declined due to 6 month lapse, and unclear why sudden decision to insure. Advised should there have in fact been coverage in place since April, could reconsider"/>
    <m/>
    <m/>
    <s v="Burdine"/>
  </r>
  <r>
    <x v="192"/>
    <x v="0"/>
    <s v="MI"/>
    <s v="Danielle"/>
    <s v="Email"/>
    <s v="Sullivan"/>
    <s v="Michael"/>
    <s v="HO3 Secondary"/>
    <s v="Pioneer"/>
    <s v="CA"/>
    <n v="9"/>
    <n v="1308000"/>
    <n v="2423820"/>
    <s v="TIV"/>
    <s v="2006 home rated last year as 8B. SRD discovered it should be a 9 and should have been referred. 7 minute response time by FD. In brush. Multiple FD's with name listed on PCQ. RM shows several FD's."/>
    <x v="1"/>
    <m/>
    <m/>
    <m/>
    <s v="Patterson"/>
  </r>
  <r>
    <x v="192"/>
    <x v="2"/>
    <s v="CA"/>
    <s v="Alex"/>
    <s v="Email"/>
    <s v="Izmirian"/>
    <m/>
    <s v="HO3 Secondary"/>
    <s v="Mammoth Lakes"/>
    <s v="CA"/>
    <m/>
    <n v="1500000"/>
    <n v="2000000"/>
    <s v="TIV"/>
    <s v="New risk that does not presently have alarms and TIV is just over $2M. Getting within 30 days. Agent proposing to quote with and without alarm credit and possibly proceed with issuing with credit if it is coming close to inception. $2500 AOP"/>
    <x v="1"/>
    <m/>
    <m/>
    <m/>
    <s v="Patterson"/>
  </r>
  <r>
    <x v="193"/>
    <x v="2"/>
    <s v="CA"/>
    <s v="Alison"/>
    <s v="Email"/>
    <s v="Gillis"/>
    <s v="John"/>
    <s v="HO3 Primary"/>
    <s v="Fallbrook"/>
    <s v="CA"/>
    <n v="4"/>
    <n v="936000"/>
    <n v="1684800"/>
    <s v="Occupancy"/>
    <s v="1989 risk out of brush on 3 acres. Insured's trust is buying. Adult son who is a trust beneficiary will occupy the home as primary residence. Can they write as HO3? Trust as AI. Son may take on fostering up to 6 dogs, and grow shitake mushrooms for a business. Not happening now. Details to follow."/>
    <x v="0"/>
    <s v="HO3 ok with trust as AI. Provided info on how we may be able to handle businesses with exclusions."/>
    <m/>
    <m/>
    <s v="Patterson"/>
  </r>
  <r>
    <x v="193"/>
    <x v="0"/>
    <s v="MI"/>
    <s v="Jill"/>
    <s v="Email"/>
    <s v="Walderbach"/>
    <s v="Daniel"/>
    <s v="HO3 Primary"/>
    <m/>
    <s v="IA"/>
    <m/>
    <n v="223400"/>
    <n v="446800"/>
    <s v="Business on Premises"/>
    <s v="1958 home updated in 2010. Insured runs gunsmith and locksmith business out of home w/5-10 visitors per month. Has a GL."/>
    <x v="3"/>
    <s v="Not comfortable with this exposure even with TBE."/>
    <m/>
    <m/>
    <s v="Patterson"/>
  </r>
  <r>
    <x v="193"/>
    <x v="0"/>
    <s v="MI"/>
    <s v="Jill"/>
    <s v="Email"/>
    <s v="Wright"/>
    <s v="Carol Jean"/>
    <s v="HO3 Primary"/>
    <s v="Bakersfield"/>
    <s v="CA"/>
    <n v="2"/>
    <n v="280000"/>
    <n v="476000"/>
    <s v="Business on Premises"/>
    <s v="1950 home updated. Not in brush. Dog grooming business in house and garage with kennels. Customers bring to home, but they pick up some. Customers use house entrance. Liab is excluded. $28K other structures. Quoted with TBE. Working on a GL."/>
    <x v="0"/>
    <s v="Ok w/TBE. Exclude garage w/kennels if it is detached. UW questions (some are blank)"/>
    <m/>
    <m/>
    <s v="Patterson"/>
  </r>
  <r>
    <x v="194"/>
    <x v="0"/>
    <s v="MI"/>
    <s v="Delta"/>
    <s v="Email"/>
    <s v="Carol Hafner Revocable Trust"/>
    <m/>
    <s v="HO3 Primary"/>
    <s v="Hilton Head"/>
    <s v="SC"/>
    <n v="3"/>
    <n v="750000"/>
    <n v="1020000"/>
    <s v="Verify premium"/>
    <s v="1998 home 2.09 miles from coast. Alarms. Pool w/exclusion. CQ shows $2110. Is this right?"/>
    <x v="1"/>
    <s v="Verified w/Bethany. Rate is correct."/>
    <m/>
    <m/>
    <s v="Patterson"/>
  </r>
  <r>
    <x v="194"/>
    <x v="5"/>
    <s v="NC"/>
    <s v="Anella"/>
    <s v="Email"/>
    <s v="TBD"/>
    <m/>
    <s v="HO3 Primary"/>
    <m/>
    <m/>
    <m/>
    <m/>
    <m/>
    <s v="Occupancy"/>
    <s v="Seller/applicant is renting back her house for 6 months. Can an HO be written?"/>
    <x v="3"/>
    <s v="New owner needs a DP3. Seller/applicant needs an HO4."/>
    <m/>
    <m/>
    <s v="Patterson"/>
  </r>
  <r>
    <x v="194"/>
    <x v="6"/>
    <s v="CA"/>
    <s v="Lisa"/>
    <s v="Email"/>
    <s v="Sarti"/>
    <s v="Ed"/>
    <s v="HO3 Builders Risk"/>
    <s v="Inverness"/>
    <s v="CA"/>
    <n v="3"/>
    <n v="4300000"/>
    <n v="4300000"/>
    <s v="TIV"/>
    <s v="New construction 2017 risk in brush. Insd is doctor. PC3 confirmed - hydrant per app. "/>
    <x v="0"/>
    <s v="completed and acceptable builders risk quest."/>
    <m/>
    <m/>
    <s v="Patterson"/>
  </r>
  <r>
    <x v="194"/>
    <x v="1"/>
    <s v="PA"/>
    <s v="Tamika"/>
    <s v="Email"/>
    <s v="Demarest"/>
    <s v="Emily"/>
    <s v="HO3 Builders Risk"/>
    <s v="Philadelphia"/>
    <s v="PA"/>
    <n v="1"/>
    <n v="1366000"/>
    <n v="1466000"/>
    <s v="Age of home"/>
    <s v="1867, completed updated but wiring won't be complete until w/in 30 days of closing (prior updates partial). Agt requiring updates w/in 30 day timeframe. Will have option to change to primary after remodeling completed"/>
    <x v="0"/>
    <s v="Contingent upon confirming all updates before offering RCV, and acceptable Builders Risk Supp"/>
    <m/>
    <m/>
    <s v="Burdine"/>
  </r>
  <r>
    <x v="194"/>
    <x v="0"/>
    <s v="MI"/>
    <s v="Alexa"/>
    <s v="Email"/>
    <s v="Mohr"/>
    <s v="Jurgen"/>
    <s v="HO3 Primary"/>
    <s v="Buena Vista"/>
    <s v="CO"/>
    <n v="10"/>
    <n v="372400"/>
    <n v="659400"/>
    <s v="PC"/>
    <s v="a primary home located in CO. Home was built in 2007 of frame construction, PC9 , no alarms. 15-18 minute drive time."/>
    <x v="4"/>
    <s v="From docs, home over 5 miles from FD. Requested updated premium rated as PC 10 instead of 9"/>
    <s v="May consider risk with appropriate premium once PC 10 updated"/>
    <m/>
    <s v="Burdine"/>
  </r>
  <r>
    <x v="194"/>
    <x v="0"/>
    <s v="MI"/>
    <s v="Rachel"/>
    <s v="Email"/>
    <s v="Branson"/>
    <s v="Michael"/>
    <s v="HO3 Secondary"/>
    <s v="Pacific"/>
    <s v="MT"/>
    <n v="9"/>
    <n v="983000"/>
    <n v="1934700"/>
    <s v="PC"/>
    <s v="Home was built in 2003. It is built of 100% frame construction. PC10. No losses."/>
    <x v="1"/>
    <s v="Response time, PCQ OK"/>
    <m/>
    <m/>
    <s v="Burdine"/>
  </r>
  <r>
    <x v="195"/>
    <x v="0"/>
    <s v="MI"/>
    <s v="Jill"/>
    <s v="Email"/>
    <s v="McMillan"/>
    <s v="Ross"/>
    <s v="HO3 Secondary"/>
    <s v="Big Sandy"/>
    <s v="TN"/>
    <n v="10"/>
    <n v="775000"/>
    <n v="1278750"/>
    <s v="PC"/>
    <s v="Built 1993 with full updates in 2010, and roof updated in 2012, c/s alarms, no losses, frame, secondary, located in TN"/>
    <x v="3"/>
    <s v="Nearest FD 13.1 miles away, response time too great"/>
    <m/>
    <m/>
    <s v="Burdine"/>
  </r>
  <r>
    <x v="195"/>
    <x v="0"/>
    <s v="MI"/>
    <s v="Jill"/>
    <s v="Email"/>
    <s v="Halstead"/>
    <s v="Joy"/>
    <s v="HO3 Primary"/>
    <m/>
    <s v="WI"/>
    <n v="6"/>
    <n v="235489"/>
    <n v="400329"/>
    <s v="Business/Bankruptcy"/>
    <s v="Built in 1989/updated, PC6, frame, no losses within last 3 years, primary, located in WI.The insured operates a group home out of her house under name of Compassions Connection LLC, insured with Philadelphia. There are 2 group home residents. The insured had a bankruptcy due to medical reasons in 2014. Her HO3 cancelled for non-payment last month. But the agent is requiring her to pay the full amount prior to binding if we can quote"/>
    <x v="3"/>
    <s v="Financial concerns/lapse"/>
    <s v="Ran report, poor financials"/>
    <m/>
    <s v="Burdine"/>
  </r>
  <r>
    <x v="195"/>
    <x v="0"/>
    <s v="MI"/>
    <s v="Delta"/>
    <s v="Email"/>
    <s v="Hurd"/>
    <s v="Charles"/>
    <s v="DP3 Vacant"/>
    <s v="Austin"/>
    <s v="TX"/>
    <n v="2"/>
    <n v="2700000"/>
    <n v="3020000"/>
    <s v="TIV"/>
    <s v="vacant home located in TX. Brick Veneer construction, built in 2004, PC2, no losses and no C/S alarms. Premium: $15,349"/>
    <x v="1"/>
    <s v="Home for sale, photos very nice, premium OK"/>
    <m/>
    <m/>
    <s v="Burdine"/>
  </r>
  <r>
    <x v="195"/>
    <x v="0"/>
    <s v="MI"/>
    <s v="Jill"/>
    <s v="Email"/>
    <s v="Peterson"/>
    <s v="James"/>
    <s v="HO3-Secondary"/>
    <s v="Towson"/>
    <s v="MD"/>
    <n v="5"/>
    <n v="277500"/>
    <n v="499500"/>
    <s v="Coastal?"/>
    <s v="1/23/16 $8,950 claim on primary home for damage from snow to gutters. Claim closed and damages repaired. Built in 1998, PC5, Worcester county, Territory 2, less than 1 mile from coast, frame, secondary, VMGA $1,791"/>
    <x v="1"/>
    <s v="coastal ded appropriate per chart, online review OK"/>
    <m/>
    <m/>
    <s v="Burdine"/>
  </r>
  <r>
    <x v="196"/>
    <x v="4"/>
    <s v="CO"/>
    <s v="Allison"/>
    <s v="Email"/>
    <s v="Ivanisov"/>
    <s v="Alexender &amp; Oxana"/>
    <s v="HO3-Primary"/>
    <s v="Sunol"/>
    <s v="CA"/>
    <n v="4"/>
    <n v="1950000"/>
    <n v="3430000"/>
    <s v="TIV"/>
    <s v="Home 50 miles from wildfire, lot of land/water in between home and nearest fire, 1979, remodeled 2014, quoted with alarm and wildfire mit warranties, hydrant in front of home, FD 1.7 miles"/>
    <x v="1"/>
    <s v="reviewed google crisis map, appears agt correct w/ attachment showing distance from nearest fires. Discussed w/ LT and confirmed distance acceptable. Acceptable photos online."/>
    <m/>
    <m/>
    <s v="Burdine"/>
  </r>
  <r>
    <x v="196"/>
    <x v="0"/>
    <s v="MI"/>
    <s v="Jill"/>
    <s v="Email"/>
    <s v="STOFFLE"/>
    <s v="Connie"/>
    <s v="HO3-Primary"/>
    <s v="Holt"/>
    <s v="MO"/>
    <n v="5"/>
    <n v="235000"/>
    <n v="578000"/>
    <s v="Business on Premises"/>
    <s v="This insured and her late husband opened their large barn up as LLC to rent our for venues such as weddings. There is a separate driveway/entrance to this barn. All on the same address though. Insured has a commercial property &amp; CGL for this barn."/>
    <x v="0"/>
    <s v="TBE (as quoted); since same address also x-liab and other structure exclusion"/>
    <m/>
    <m/>
    <s v="Burdine"/>
  </r>
  <r>
    <x v="196"/>
    <x v="0"/>
    <s v="MI"/>
    <s v="Jill"/>
    <s v="Email"/>
    <s v="Bates"/>
    <s v="Brian"/>
    <s v="HO3/Primary"/>
    <s v="Fort Wayne"/>
    <s v="IN"/>
    <n v="2"/>
    <n v="975000"/>
    <n v="1750000"/>
    <s v="Roof "/>
    <s v="PC2, frame, c/s alarms, built in 1974/will confirm full updates, no losses, located in IN; Wood shake roof put on in 1989 and resealed/patched in 2016 with a new 8yr warranty.  I don't have a copy of the warranty, but I am told we can get it if need be.  Could we write this wood shake roof with an ACV loss settlement on the roof if we get a copy of the warranty?"/>
    <x v="0"/>
    <s v="subject to warranty for ACV loss on roof"/>
    <m/>
    <m/>
    <s v="Burdine"/>
  </r>
  <r>
    <x v="197"/>
    <x v="2"/>
    <s v="CA"/>
    <s v="Alison"/>
    <s v="Email"/>
    <s v="Leonard"/>
    <s v="Marie"/>
    <s v="HO3 Primary"/>
    <s v="La Habra"/>
    <s v="CA"/>
    <m/>
    <m/>
    <m/>
    <s v="Near active wildfire"/>
    <s v="Risk is 11 miles from a 65% contained wildfire. Can they bind?"/>
    <x v="3"/>
    <s v="Any risk within 20 miles is not eligible. Fire must be 100% contained."/>
    <m/>
    <m/>
    <s v="Patterson"/>
  </r>
  <r>
    <x v="197"/>
    <x v="2"/>
    <s v="CA"/>
    <s v="Alison"/>
    <s v="Email"/>
    <s v="Jayne"/>
    <s v="William"/>
    <s v="HO3 Primary"/>
    <s v="Los Angeles"/>
    <s v="CA"/>
    <m/>
    <n v="550000"/>
    <n v="900000"/>
    <s v="High profile"/>
    <s v="1922 home w/ updates. Not in brush. No alarms. $1M liab. Insd is actor, director, musician, producer. Most gigs were in 80's and 90's. Not much recently."/>
    <x v="1"/>
    <s v="Not too famous."/>
    <m/>
    <m/>
    <s v="Patterson"/>
  </r>
  <r>
    <x v="197"/>
    <x v="0"/>
    <s v="MI"/>
    <s v="Danielle"/>
    <s v="Email"/>
    <s v="Amstutz"/>
    <s v="Edward  BWH106100R1"/>
    <s v="HO3 Primary"/>
    <m/>
    <m/>
    <m/>
    <m/>
    <m/>
    <s v="Animal Liability"/>
    <s v="We previously approved this risk with animal liab exclusion. Insd operates a farm camp where animal care is interactive. Many types of farm animals. Has GL (it was w/Markel last year-unconfirmed if still there)."/>
    <x v="0"/>
    <s v="Leave as is with Animal Exclusion. Need to confirm PC. App says 7. Looks like 9 or 10."/>
    <s v="Asking Bethany opinion on forms. Looks to me we should leave as is. Bethany agrees."/>
    <m/>
    <s v="Patterson"/>
  </r>
  <r>
    <x v="197"/>
    <x v="0"/>
    <s v="MI"/>
    <s v="Jill"/>
    <s v="Email"/>
    <s v="Choren"/>
    <s v="John &amp; Suzanne"/>
    <s v="DP3 Vacant"/>
    <s v="Oconomowoc"/>
    <s v="WI"/>
    <n v="9"/>
    <n v="700000"/>
    <n v="875000"/>
    <s v="Response time"/>
    <s v="1962 dwelling w/partial updates. PC9 per agent, but risk is listed as 13 miles from FD. Referred to Danielle. Woodstove quest ok - not in use. 49 acres. Online photos look okay. Flat roof per pics and app says built up. $5K ded."/>
    <x v="0"/>
    <s v="Verifying PC and response time. Conflicts with what I found online.. Update: Per agent, meant &quot;3&quot; not 13 miles. So FD appears correct. Also stated roads are paved and drive will be plowed as required. . Approved subject to accessibility OK. Burdine"/>
    <s v="May need to discuss this one with Danielle when info is clarified."/>
    <m/>
    <s v="Patterson"/>
  </r>
  <r>
    <x v="197"/>
    <x v="1"/>
    <s v="PA"/>
    <s v="MacKenzie"/>
    <s v="Email"/>
    <s v="Bernard"/>
    <s v="Brian &amp; Haag, Wendy"/>
    <s v="HO3 Secondary"/>
    <m/>
    <m/>
    <n v="5"/>
    <n v="1438910"/>
    <n v="1748910"/>
    <s v="EIFS"/>
    <s v="1995 risk with EIFS. Appears no drainage system. Had risk since 2009 w/one withdrawn loss. Discussed w/Ray in 2016, but never finalized surcharge. Agent proposing 5% surcharge."/>
    <x v="0"/>
    <s v="Okay with 10% s/c (60.4% s/c on tech rate.)"/>
    <m/>
    <m/>
    <s v="Patterson"/>
  </r>
  <r>
    <x v="197"/>
    <x v="2"/>
    <s v="CA"/>
    <s v="Alison"/>
    <s v="Email"/>
    <s v="Aftalion"/>
    <m/>
    <s v="DP3 Rental"/>
    <s v="Los Angeles"/>
    <s v="CA"/>
    <m/>
    <m/>
    <m/>
    <s v="Occupancy"/>
    <s v="4 tri-plexes on property. Can they be written on separate policies? Inspection attached. Loopnet commercial info online."/>
    <x v="3"/>
    <s v="Send this to commercial. Loopnet shows 19 units total. Looks like an apartment community."/>
    <m/>
    <m/>
    <s v="Patterson"/>
  </r>
  <r>
    <x v="197"/>
    <x v="4"/>
    <s v="CO"/>
    <s v="Allison"/>
    <s v="Email"/>
    <s v="Tatton"/>
    <s v="Rhett &amp; Andrea"/>
    <s v="HO6 Secondary w/Rental"/>
    <s v="Park City"/>
    <s v="UT"/>
    <m/>
    <n v="26000"/>
    <n v="62000"/>
    <s v="Occupancy"/>
    <s v="Condo that is allowed to be rented for 1 night. Will we allow?  2007 risk."/>
    <x v="3"/>
    <s v="If it is primarily rented 2 nights and 1 night is just to fill a few openings, we could consider. (95% 2 nights pretty good). Otherwise, if open to 1 night always, we should decline.// Primarily 1 night rental - listed that way on AirBnB site per Allison. Declined."/>
    <m/>
    <m/>
    <s v="Patterson"/>
  </r>
  <r>
    <x v="198"/>
    <x v="0"/>
    <s v="CO"/>
    <s v="Danielle"/>
    <s v="Email"/>
    <s v="Pruitt"/>
    <s v="Jasika"/>
    <s v="DP1 Rental"/>
    <s v="Los Angeles"/>
    <s v="CA"/>
    <n v="1"/>
    <n v="132000"/>
    <n v="264000"/>
    <s v="Other Structure"/>
    <s v="Guest house rented out. 1914 updated in 2013. Actress with a few films and TV shows."/>
    <x v="2"/>
    <s v="Insd not too famous. Trying to determine if there is another primary home on the property.// Per Danielle, prim home on prop that would not insure this one. Approved X-Liab (due to prim home on prop).// Per Danielle 10/18, agent needs liability, primary is excluding. Advised her to add the Building Exclusion to specifically exclude the primary home and any structures insured on that policy. We would be okay then."/>
    <m/>
    <m/>
    <s v="Patterson"/>
  </r>
  <r>
    <x v="198"/>
    <x v="0"/>
    <s v="MI"/>
    <s v="Danielle"/>
    <s v="Email"/>
    <s v="Winegardner"/>
    <s v="William"/>
    <s v="DP3 Vacant"/>
    <s v="Lenoir City "/>
    <s v="TN"/>
    <n v="10"/>
    <n v="3500000"/>
    <n v="3850000"/>
    <s v="TIV"/>
    <s v="1992 home w/updates. Nice online photos. PC 10. 7 min response time per quest. 6.1 miles. Google shows 11 min drive time. Volunteer FD. Online source shows for sale. Occupied by property managers per app."/>
    <x v="1"/>
    <s v="Advised of probable 15 min response time."/>
    <m/>
    <m/>
    <s v="Patterson"/>
  </r>
  <r>
    <x v="198"/>
    <x v="0"/>
    <s v="MI"/>
    <s v="Jill"/>
    <s v="Email"/>
    <s v="Fuerguson"/>
    <s v="William F"/>
    <s v="DP1 Secondary"/>
    <s v="Ely "/>
    <s v="MN"/>
    <n v="10"/>
    <n v="100000"/>
    <n v="180000"/>
    <s v="Not accessible"/>
    <s v="1954 frame cabin, updated in 1996. Elec baseboard heat. Access by boat, no vehicle. FD has access by boat and water pumped from lake. VMGA $1214. Agt to get pumper info and wbs quest."/>
    <x v="2"/>
    <s v="Subj to winterized, WBS quest, 35% surcharge."/>
    <s v="Forwarded to Bethany for rate review. Bethany approved with .90 rate"/>
    <m/>
    <s v="Patterson"/>
  </r>
  <r>
    <x v="198"/>
    <x v="1"/>
    <s v="PA"/>
    <s v="Tamika"/>
    <s v="Call/Email"/>
    <s v="TBD"/>
    <m/>
    <s v="HO3 Primary"/>
    <m/>
    <m/>
    <m/>
    <m/>
    <m/>
    <s v="Business on premises"/>
    <s v="We talked today about an applicant buying a home. They will be leasing their attached garage to a travel agency business.  "/>
    <x v="4"/>
    <s v="Asked all the business questions.  If we proceed, TBE."/>
    <m/>
    <m/>
    <s v="Patterson"/>
  </r>
  <r>
    <x v="198"/>
    <x v="0"/>
    <s v="MI"/>
    <s v="Jill"/>
    <s v="Email"/>
    <s v="Elston"/>
    <s v="Mark"/>
    <s v="HO3 Secondary"/>
    <s v="Fallon"/>
    <s v="NV"/>
    <n v="10"/>
    <n v="220000"/>
    <n v="364000"/>
    <s v="Response time"/>
    <s v="1995 risk 20 miles/25 min from FD. Mostly volunteer. FT Caretaker. Quoted at $1666."/>
    <x v="0"/>
    <s v="Looking for rate around .75 for lengthy response time. 75% surcharge on VMGA rate=$2730."/>
    <m/>
    <m/>
    <s v="Patterson"/>
  </r>
  <r>
    <x v="199"/>
    <x v="6"/>
    <s v="CA"/>
    <s v="Lisa"/>
    <s v="Email"/>
    <s v="Wenham"/>
    <s v="Kenneth"/>
    <s v="HO3 Primary"/>
    <s v="Shingle Springs"/>
    <s v="CA"/>
    <n v="9"/>
    <n v="1217000"/>
    <n v="1673900"/>
    <s v="TIV"/>
    <s v="2017 home. No online photos. Scottsdale rated in brush. RM shows not in brush."/>
    <x v="1"/>
    <m/>
    <m/>
    <m/>
    <s v="Patterson"/>
  </r>
  <r>
    <x v="199"/>
    <x v="0"/>
    <s v="MI"/>
    <s v="Danielle"/>
    <s v="Email"/>
    <s v="Orosco"/>
    <s v="Chris R &amp; Lisa A"/>
    <s v="HO3 Secondary"/>
    <s v="Tahoe City"/>
    <s v="CA"/>
    <n v="4"/>
    <n v="3300000"/>
    <n v="4880000"/>
    <s v="TIV"/>
    <s v="1980 home updated. Central alarm only. $5K ded. No online photos."/>
    <x v="1"/>
    <m/>
    <s v="Handled file just over 6 hours. Had a doc appt mid-day and came back to a claim issue exploding with SCU. "/>
    <m/>
    <s v="Patterson"/>
  </r>
  <r>
    <x v="199"/>
    <x v="0"/>
    <s v="MI"/>
    <s v="Alexa"/>
    <s v="Email"/>
    <s v="Christiane   BWH106779"/>
    <s v="Niels &amp; Marie"/>
    <s v="HO3 Primary"/>
    <s v="Pasadena"/>
    <s v="CA"/>
    <n v="1"/>
    <n v="2372691"/>
    <n v="3205091"/>
    <s v="TIV"/>
    <s v="2000 primary home w/ c/s burglar alarm. Approved last year. Agent requesting renewal terms."/>
    <x v="0"/>
    <s v="Reviewed submission, don't see anything different. Advised agent no need to refer renewals if no change to risk or guidelines. Asked if something changed to let me know."/>
    <m/>
    <m/>
    <s v="Patterson"/>
  </r>
  <r>
    <x v="199"/>
    <x v="2"/>
    <s v="CA"/>
    <s v="Alex"/>
    <s v="Call"/>
    <s v="138 Cypress LLC"/>
    <s v=" "/>
    <s v="DP3 Vacant Reno"/>
    <m/>
    <m/>
    <m/>
    <n v="1300000"/>
    <m/>
    <s v="Age of home"/>
    <s v="1913 home w/partial updates along the way with latest in 1980. Agent will be renovating including updates to systems. Agt quoting with FRC and roof exclusion. $10K ded"/>
    <x v="1"/>
    <m/>
    <m/>
    <m/>
    <s v="Patterson"/>
  </r>
  <r>
    <x v="199"/>
    <x v="4"/>
    <s v="CO"/>
    <s v="Allison"/>
    <s v="Email"/>
    <s v="Grage"/>
    <s v="Ralph"/>
    <s v="HO3 Primary"/>
    <s v="Colorado Springs "/>
    <s v="CO"/>
    <m/>
    <n v="1804000"/>
    <n v="2202800"/>
    <s v="Loss surcharge"/>
    <s v="Insured had a roof hail loss, replaced $17K roof out of pocket. Prior carrier had a $35 expense payment, that's it. Claim is closed. Agreed to allow 15% credit to offset claim surcharge. Did not want to remove it for tracking purposes."/>
    <x v="0"/>
    <s v="Up to 15% credit. Call if more is needed to offset."/>
    <m/>
    <m/>
    <s v="Patterson"/>
  </r>
  <r>
    <x v="200"/>
    <x v="0"/>
    <s v="MI"/>
    <s v="Danielle"/>
    <s v="Email"/>
    <s v="Starkey   BWH106402"/>
    <s v="Taylor &amp; Myra"/>
    <s v="HO3 Secondary"/>
    <s v="Aransas"/>
    <s v="TX"/>
    <n v="10"/>
    <n v="226728"/>
    <n v="527970"/>
    <s v="Response time"/>
    <s v="Renewal that appears may not have been referred at NB (from Danielle) X-wind. 15-20 min response time. 1996 stucco."/>
    <x v="0"/>
    <s v=".32 rate excluding wind is adequate for this response time.  11/10 - agent found out there is a Harvey wind loss. (Likely will be denied per notes on 17C4773). Asked agent to ensure damages are repaired."/>
    <s v="I show 7.9 miles to the property from the volunteer FD.  Shows 13 min drive time."/>
    <m/>
    <s v="Patterson"/>
  </r>
  <r>
    <x v="200"/>
    <x v="0"/>
    <s v="MI"/>
    <s v="Jeff"/>
    <s v="Email"/>
    <s v="Huff"/>
    <s v="Trisha &amp; Danny"/>
    <s v="HO3 Primary"/>
    <s v="Pollock Pines"/>
    <s v="CA"/>
    <n v="10"/>
    <n v="581000"/>
    <n v="1045800"/>
    <s v="Response time"/>
    <s v="1980 frame dwelling. Has log siding. 15 min drive time by paid FD. 6.3 miles. No barriers. Full time residence, Mrs is homemaker. Med brush per RM. Photos shows cabin in woods with trees trimmed up. Many UW questions blank."/>
    <x v="0"/>
    <s v="Fireline shows &quot;High 6, medium fuels, mod slope, no access issues.&quot;  Drive time by paid FD right at 15 minutes. Slight rate adjustment - 5% surcharge gets us to $0.58. Need uw questions answered."/>
    <m/>
    <m/>
    <s v="Patterson"/>
  </r>
  <r>
    <x v="200"/>
    <x v="1"/>
    <s v="NJ"/>
    <s v="Lisa"/>
    <s v="Email"/>
    <s v="Congregation Berditchev Lakewood Inc."/>
    <m/>
    <s v="Commercial Builders Risk"/>
    <m/>
    <m/>
    <m/>
    <n v="1200000"/>
    <m/>
    <s v="Occupancy"/>
    <s v="This is a single family home being renovated to be a synagogue."/>
    <x v="3"/>
    <s v="This should be written on a commercial policy."/>
    <m/>
    <m/>
    <s v="Patterson"/>
  </r>
  <r>
    <x v="200"/>
    <x v="0"/>
    <s v="MI"/>
    <s v="Jill"/>
    <s v="Email"/>
    <s v="Hsu"/>
    <s v="Hubert"/>
    <s v="DP3 Rental"/>
    <s v="Beverly Hills"/>
    <s v="CA"/>
    <n v="1"/>
    <n v="3750000"/>
    <n v="4600000"/>
    <s v="TIV"/>
    <s v="1924 home w/ partial updates. Alarms. 12 month tenant. Owner lives outside US, has full time property management company handling the rental. Insd is an attorney."/>
    <x v="0"/>
    <s v="Acceptable OHQ. Breakers, no knob &amp; tube, no aluminum (blank on app). Acceptable RiskMeter with associated rating."/>
    <m/>
    <m/>
    <s v="Patterson"/>
  </r>
  <r>
    <x v="200"/>
    <x v="6"/>
    <s v="CA"/>
    <s v="Kirk"/>
    <s v="Email"/>
    <s v="Friedrich"/>
    <s v="Steven &amp; Carmon"/>
    <s v="HO3 Primary"/>
    <s v="Greenwood"/>
    <s v="CA"/>
    <n v="9"/>
    <n v="1500000"/>
    <n v="2200000"/>
    <s v="TIV"/>
    <s v="2013 dwelling in brush, no alarms $5K ded. No online photos. Insured sued Marvel Comics for a character he says he created. No other adverse news."/>
    <x v="0"/>
    <s v="Alarm criteria - need alarms or incr ded."/>
    <m/>
    <m/>
    <s v="Patterson"/>
  </r>
  <r>
    <x v="200"/>
    <x v="2"/>
    <s v="CA"/>
    <s v="Alison"/>
    <s v="Call"/>
    <s v="TBD"/>
    <m/>
    <s v="HO3 Primary"/>
    <m/>
    <m/>
    <m/>
    <n v="770000"/>
    <m/>
    <s v="Employees"/>
    <s v="Elderly insured has 3 FT and 2 PT caretakers who are mostly fam members. WC limits to 2. Can they write excluding liability. 2 small water losses ($1400 and $2500). Written by HUB, their biggest agent."/>
    <x v="0"/>
    <s v="Okay without liability.  Also said beware of SPP.  There isn't any."/>
    <m/>
    <m/>
    <s v="Patterson"/>
  </r>
  <r>
    <x v="200"/>
    <x v="2"/>
    <s v="CA"/>
    <s v="Alison"/>
    <s v="Call"/>
    <s v="TBD"/>
    <m/>
    <s v="DP3 Vacant"/>
    <m/>
    <m/>
    <m/>
    <m/>
    <m/>
    <s v="Trust"/>
    <s v="2 named insureds and 2 trusts who co-own home. In name of Trusts, but agent wants to write in individuals names with Trust as AI.  Reviewed DP AI form and it limits to Cov A &amp; B."/>
    <x v="0"/>
    <m/>
    <m/>
    <m/>
    <s v="Patterson"/>
  </r>
  <r>
    <x v="200"/>
    <x v="2"/>
    <s v="CA"/>
    <s v="Alex"/>
    <s v="Call/Email"/>
    <s v="Jhin"/>
    <s v="Hyo &amp; Kyo"/>
    <s v="HO3 Primary"/>
    <s v="Malibu"/>
    <s v="CA"/>
    <n v="4"/>
    <n v="2200000"/>
    <n v="3420000"/>
    <s v="Liability claim"/>
    <s v="Insured's neighbor disputed the placement of our insured's fence. There was a claim filed, but no lawsuit, 0 paid, now closed. The dispute is settled. Neighbors are in good standing. 2 week lapse. Carrier no longer writing and insured forgot about the renewal. 1982 home with updates. New flat roof in 2010."/>
    <x v="0"/>
    <s v="Agent sending over due to &gt;$3M TIV. Will confirm there is no concern of neighbor vandalizing property or causing issues.//10/20 info received. Okay. Agent applying lapse surcharge and 5% surcharge as we are pricing well."/>
    <m/>
    <m/>
    <s v="Patterson"/>
  </r>
  <r>
    <x v="200"/>
    <x v="0"/>
    <s v="MI"/>
    <s v="Jill"/>
    <s v="Email"/>
    <s v="HILLMAN"/>
    <s v="SCOT T &amp; ADRIANNE"/>
    <s v="HO3 Secondary"/>
    <s v="Cayucos"/>
    <s v="CA"/>
    <n v="4"/>
    <n v="3500000"/>
    <n v="5000000"/>
    <s v="TIV"/>
    <s v="Frame, secondary, no losses, PC4, built in 1983, no brush, located in CA;VMGA PREMIUM $11,197"/>
    <x v="1"/>
    <s v="online photos, info OK. Advised agt that $5Mil is absolute max TIV, so should inspection return higher value then would need to get off risk."/>
    <s v=" From online link, appears Cov A came from Market value, doesn't appear RC will have to be increased"/>
    <m/>
    <s v="Burdine"/>
  </r>
  <r>
    <x v="201"/>
    <x v="0"/>
    <s v="MI"/>
    <s v="Delta"/>
    <s v="Email"/>
    <s v="Fleishman"/>
    <s v="Robert &amp; Tamara"/>
    <s v="HO3 Secondary"/>
    <s v="Laguna Beach "/>
    <s v="CA"/>
    <n v="3"/>
    <n v="2000000"/>
    <n v="3000000"/>
    <s v="TIV"/>
    <s v="2017 home not in brush, full alarms. $5K ded. Roof appears flat. Nice online photos."/>
    <x v="1"/>
    <m/>
    <m/>
    <m/>
    <s v="Patterson"/>
  </r>
  <r>
    <x v="201"/>
    <x v="0"/>
    <s v="MI"/>
    <s v="Jill"/>
    <s v="Email"/>
    <s v="Elwes"/>
    <s v="Cary &amp; Lisa"/>
    <s v="HO3 Primary"/>
    <s v="Malibu"/>
    <s v="CA"/>
    <n v="4"/>
    <n v="1150000"/>
    <n v="2250000"/>
    <s v="High profile"/>
    <s v="Insured is actor (Princess Bride, TV, movies, not much recently). Married w/child. No controversial info. 1978 unpdated.In brush. Nice online photos."/>
    <x v="1"/>
    <m/>
    <s v="Reviewed w/Louisa. Liab okay since no current roles. Family."/>
    <m/>
    <s v="Patterson"/>
  </r>
  <r>
    <x v="201"/>
    <x v="0"/>
    <s v="MI"/>
    <s v="Jill"/>
    <s v="Email"/>
    <s v="Kurtz"/>
    <s v="Margaret"/>
    <s v="HO3 Primary"/>
    <s v="Greer"/>
    <s v="AZ"/>
    <n v="9"/>
    <n v="1085000"/>
    <n v="2176000"/>
    <s v="TIV"/>
    <s v="1995 home with 2 prior water losses: 5/17 water heater $1005; 6/17 sink flood $1783. $5K ded applied."/>
    <x v="1"/>
    <s v="Acceptable deductible."/>
    <m/>
    <m/>
    <s v="Patterson"/>
  </r>
  <r>
    <x v="202"/>
    <x v="1"/>
    <s v="PA"/>
    <s v="Tamika"/>
    <s v="Call"/>
    <s v="Gam &amp; Pops LLC"/>
    <m/>
    <s v="DP3 Rental"/>
    <s v="Warrington"/>
    <s v="PA"/>
    <m/>
    <n v="360000"/>
    <n v="420000"/>
    <s v="Rate relief"/>
    <s v="1966 dwelling updated. Has homeowner installed WBS per quest. No losses. Agt quoted with USLI, but they sent a declination which the agt says they didn't get. Wonders if we can help with reducing $1500 prem to $673 for one year. Admitted qualified. Willing to provide SNL and new eff date."/>
    <x v="0"/>
    <s v="Approved with rate of $975, lowest Bethany felt we could go with their max 10% and discount for great ins score."/>
    <m/>
    <m/>
    <s v="Patterson"/>
  </r>
  <r>
    <x v="202"/>
    <x v="4"/>
    <s v="CO"/>
    <s v="Allison"/>
    <s v="Email"/>
    <s v="Everett"/>
    <s v="Ralph &amp; Siri"/>
    <s v="HO3 Secondary"/>
    <s v="Placerville"/>
    <s v="CO"/>
    <n v="10"/>
    <n v="695000"/>
    <n v="903500"/>
    <s v="Response Time"/>
    <s v="Log home,  photos online at https://www.zillow.com/homedetails/4710-San-Juan-Vista-Rd-Placerville-CO-81430/124652354_zpid/.  This will be a new purchase for the insured.  The home is a little off the grid, but is accessible year round and the roads are maintained all winter.  However, the insured’s only plan to use the home in the summer months, so they won’t be using the woodstove often.  They will winterize it each winter which they are going to do right after they purchase.  They have solar panels and propane generator for power.  Response time 25-30 minutes"/>
    <x v="3"/>
    <s v="Due to response time double guideline requirement, primary wood stove, etc."/>
    <m/>
    <m/>
    <s v="Burdine"/>
  </r>
  <r>
    <x v="202"/>
    <x v="2"/>
    <s v="CA"/>
    <s v="Alison"/>
    <s v="Email"/>
    <s v="Lela M Souza, Trustee of the A-Survivor's Trust"/>
    <s v="Lela M Souza, Trustee of the A-Survivor's Trust"/>
    <s v="HO3 Secondary"/>
    <s v="Santa Maria"/>
    <s v="CA"/>
    <m/>
    <m/>
    <m/>
    <s v="Farming"/>
    <s v="Home currently under farm policy, but farm policy removing property since personal use; farm liab policy still in place; family members regularly occupy home"/>
    <x v="0"/>
    <s v="x-liab due to farming operations, OK with prop only based on online photos"/>
    <m/>
    <m/>
    <s v="Burdine"/>
  </r>
  <r>
    <x v="203"/>
    <x v="2"/>
    <s v="CA"/>
    <s v="Alex"/>
    <s v="Call"/>
    <s v="4955 Marmol LLC"/>
    <m/>
    <s v="HO3 Builders Risk"/>
    <m/>
    <m/>
    <m/>
    <n v="890000"/>
    <m/>
    <s v="Prior loss"/>
    <s v="Prior owners had a total fire loss. Our applicant purchased the dwelling in the burned out condition and will be rebuilding it, ground up. "/>
    <x v="2"/>
    <s v="Confirm the applicant has no connection to prior owner. Order immediate inspection to ensure it is ground up construction./10/25 more info: the home is not burned to the ground. No idea what caused fire. We need a fire marshal report. Covg is not bound. Holding 10/13 eff date. Allow up to 30 days from that date with signed loss if we agree to write. 10/26 more info. Home changed hands a couple of times since loss (people renoing and then deciding not to.) Confirmed elec is off and will be fully replaced.  Asked agt to confirm no furnace issue and then ok to bind."/>
    <m/>
    <m/>
    <s v="Patterson"/>
  </r>
  <r>
    <x v="203"/>
    <x v="2"/>
    <s v="CA"/>
    <s v="Alex"/>
    <s v="Call"/>
    <s v="Jeffries Realty LLC"/>
    <m/>
    <s v="HO3 Builders Risk"/>
    <m/>
    <s v="CA"/>
    <m/>
    <m/>
    <m/>
    <s v="Wiring concern"/>
    <s v="1907 dwelling updated in 1970 will be updated and sold. Agent was told there are circuit breakers. Just found out there is active knob &amp; tube wiring. They will be disconnecting but not removing it as one of the first items in the coc."/>
    <x v="0"/>
    <s v="It is active; is it providing electricity to anything? If so, call me back to discuss. If not, okay to proceed allowing 2 weeks to disconnect it.//10/25 more info:  the knob &amp; tube is not providing electricity to anything. Only the fridge is plugged in and not to a k&amp;t circuit. Allow 'til 11/8 to get signed statement from contractor that k&amp;t is disconnected and no longer used."/>
    <m/>
    <m/>
    <s v="Patterson"/>
  </r>
  <r>
    <x v="204"/>
    <x v="2"/>
    <s v="CA"/>
    <s v="Alex"/>
    <s v="Call"/>
    <s v="Colich"/>
    <s v="Tom &amp; Judy "/>
    <s v="HO3 Primary"/>
    <m/>
    <s v="CA"/>
    <m/>
    <m/>
    <m/>
    <s v="Updating"/>
    <s v="Insured said all reno was done, change to primary. Agent did, now they say there are some additional changes being made. Re surface ceilings and remove/re-drywall a fireplace area. Will be renovating a detached poolhouse in the future. Okay to leave as primary, but add 10-15% surcharge for the work.  It's pretty minor, and we don't require a COC for a poolhouse."/>
    <x v="2"/>
    <s v="Alex will send copy of quote.//10/26 advised 12.5% s/c added."/>
    <m/>
    <m/>
    <s v="Patterson"/>
  </r>
  <r>
    <x v="204"/>
    <x v="2"/>
    <s v="CA"/>
    <s v="Alison"/>
    <s v="Call"/>
    <s v="TBD"/>
    <m/>
    <s v="DP3 Rental"/>
    <m/>
    <s v="CA"/>
    <m/>
    <n v="345000"/>
    <m/>
    <s v="Lapse"/>
    <s v="1953 dwelling that has been uninsured for 6 months. Agent sending for review."/>
    <x v="4"/>
    <s v="Probably okay with a 5-10% surcharge over the 90 day lapse surcharge already built into the rater."/>
    <s v="(We got cut off while talking. Agent to submit with details.)"/>
    <m/>
    <s v="Patterson"/>
  </r>
  <r>
    <x v="205"/>
    <x v="1"/>
    <s v="NJ"/>
    <s v="Lisa"/>
    <s v="Email"/>
    <s v="Occhiogrosso"/>
    <s v="Joseph &amp; Marie"/>
    <s v="HO3 Builders Risk"/>
    <s v="Ocean "/>
    <s v="NJ"/>
    <m/>
    <m/>
    <m/>
    <s v="COC question"/>
    <s v="In middle of construction, builder went bankrupt. Some very small number of items left to be done. Insured will be the GC for any little things left. They need to get a home warranty to get their Occupanyc Permit. Home has passed town inspection. "/>
    <x v="1"/>
    <s v="Since town inspected and only a bit of work left."/>
    <m/>
    <m/>
    <s v="Patterson"/>
  </r>
  <r>
    <x v="205"/>
    <x v="2"/>
    <s v="CA"/>
    <s v="Alison"/>
    <s v="Email"/>
    <s v="TBD"/>
    <m/>
    <s v="HO3 Primary"/>
    <s v="Beverly Hills"/>
    <s v="CA"/>
    <m/>
    <n v="1500000"/>
    <m/>
    <s v="Loss surcharge"/>
    <s v="1965 home updated in 98. 100% copper. Agt originally quoted with 10% s/c. Now they found a loss. $20K toilet overflow (2nd floor). Has alarms, $5K water dmg ded."/>
    <x v="0"/>
    <s v="Agreed to have agent surcharge for loss, remove their credit and add just enough to match prem. New employee bound without running A+ so they really wanted to match."/>
    <m/>
    <m/>
    <s v="Patterson"/>
  </r>
  <r>
    <x v="205"/>
    <x v="10"/>
    <s v="LA"/>
    <s v="Suzanne"/>
    <s v="Email"/>
    <s v="Vidrine"/>
    <s v="Kyle"/>
    <s v="DP3 Rental"/>
    <s v="Baton Rouge"/>
    <s v="LA"/>
    <m/>
    <m/>
    <m/>
    <s v="Usage"/>
    <s v="4plex townhome "/>
    <x v="4"/>
    <s v="Requested additional info. Advised if applicant owns outside, and only unit owns, shouldn't be a problem. But from attachment name (says condo.townhome) and online pics concerned this may be a condo or apt complex which would be ineligible"/>
    <m/>
    <m/>
    <s v="Burdine"/>
  </r>
  <r>
    <x v="205"/>
    <x v="0"/>
    <s v="CA"/>
    <s v="Jill"/>
    <s v="Email"/>
    <s v="Schulze"/>
    <s v="Walther"/>
    <s v="HO3 Secondary"/>
    <s v="Apache"/>
    <s v="AZ"/>
    <n v="10"/>
    <n v="1200000"/>
    <n v="1820000"/>
    <s v="PC/TIV"/>
    <s v="Frame, secondary, built in 2006, PC10, no losses, located in AZ"/>
    <x v="1"/>
    <s v="PCQ OK, response time w/15 minutes. Photos OK"/>
    <m/>
    <m/>
    <s v="Burdine"/>
  </r>
  <r>
    <x v="205"/>
    <x v="0"/>
    <s v="CA"/>
    <s v="Matthew"/>
    <s v="Email"/>
    <s v="Roth"/>
    <s v="Blane"/>
    <s v="HO3 Primary"/>
    <s v="Alta"/>
    <s v="CA"/>
    <n v="10"/>
    <n v="955000"/>
    <n v="1910000"/>
    <s v="PC"/>
    <s v="Near prior fire (10 miles) but the fire is now 100% contained.  Home was built in 2002 of frame construction.PC10 with no alarm, but visible to neighbors and accessible all year (however road is unpaved), and no losses.There is not a wood shake roof but there is wood siding. There is a 14 minute response, quoting at a $5k deductible and .60 rate"/>
    <x v="1"/>
    <s v="Response time OK. Reviewed with MP and confirmed no active fires in area. System was rating at .495 rate but agt took upon himself to quote at higher. Approved at higher"/>
    <m/>
    <m/>
    <s v="Burdine"/>
  </r>
  <r>
    <x v="205"/>
    <x v="6"/>
    <s v="CA"/>
    <s v="Kirk"/>
    <s v="Email"/>
    <s v="Warrington"/>
    <s v="Joshua"/>
    <s v="HO3 Primary"/>
    <s v="Camino"/>
    <s v="CA"/>
    <m/>
    <m/>
    <m/>
    <s v="Loss Payees"/>
    <s v="3 loans on prop need to be listed; It looks like this has a 1st, 2nd, and 3rd loan.  I checked with the lender and all three loans are with the California Housing Finance Agency.  The first is a regular FHA loan.  The second and third are also with them but are “silent” loans.  The second is a MyHome loan and the third is a Zip loan.  They are zero interest loans not payable until the home is sold.  They are given to borrowers to help with the down and closing costs.  They just sit there not accruing interest until the home is sold.  "/>
    <x v="1"/>
    <s v="Approved. Researched loan types and confirmed don't indicate financial hardship"/>
    <m/>
    <m/>
    <s v="Burdine"/>
  </r>
  <r>
    <x v="205"/>
    <x v="0"/>
    <s v="CA"/>
    <s v="Jill"/>
    <s v="Email"/>
    <s v="Heidt"/>
    <s v="Frederick"/>
    <s v="HO3 Secondary"/>
    <s v="Lenoir"/>
    <s v="NC"/>
    <n v="9"/>
    <n v="900000"/>
    <n v="1800000"/>
    <s v="PC"/>
    <s v="Quoted as a PC 9, Frame, secondary, built in 2015, no losses, located in NC, 15-16 minute response time, FD 6.4 miles away"/>
    <x v="0"/>
    <s v="approval to offer terms on this risk, however it must be rated as a PC 10 since the fire department is over 5 miles from the property."/>
    <m/>
    <m/>
    <s v="Burdine"/>
  </r>
  <r>
    <x v="206"/>
    <x v="0"/>
    <s v="CA"/>
    <s v="Leslie"/>
    <s v="Email"/>
    <s v="Newton"/>
    <s v="Peter"/>
    <s v="DP3 Builders Risk"/>
    <s v="Pacific Palisades"/>
    <s v="CA"/>
    <n v="1"/>
    <n v="4000000"/>
    <n v="4000000"/>
    <s v="TIV"/>
    <s v="New construction ground up, not in brush. Prev home on the property demolished already."/>
    <x v="1"/>
    <s v="Straight forward builders risk."/>
    <m/>
    <m/>
    <s v="Patterson"/>
  </r>
  <r>
    <x v="206"/>
    <x v="2"/>
    <s v="CA"/>
    <s v="Alison"/>
    <s v="Call/Email"/>
    <s v="Brant"/>
    <s v="Deborah"/>
    <s v="HO3 Primary"/>
    <s v="La Jolla"/>
    <s v="CA"/>
    <n v="3"/>
    <n v="842000"/>
    <n v="1500000"/>
    <s v="Prior loss"/>
    <s v="1962 home with prior losses. 2/1/2016 – wind damage to exterior and roof - $5,725; 6/11/2016 – theft – home burglarized $35,629;       1/3/2017 – water – bathroom plumbing - $7,511. Agent quoted w/$5K AOP and $10K wter damage. CS alarms added since burglary and insured keeps their items in a &quot;secret hiding spot&quot;. Asking to insure 3 watches totaling $36K. Need current appraisal on one of them. Declined by their stand alone market._x000a_"/>
    <x v="2"/>
    <s v="Numerous questions. Not sure if we can do since prior loss. May refer to Jamie Gregory.//agreed to issue//11/9/17 agent asked for 16% credit to match Lex. Declined, but offered to desk bind for 3 days."/>
    <m/>
    <m/>
    <s v="Patterson"/>
  </r>
  <r>
    <x v="206"/>
    <x v="0"/>
    <s v="MI"/>
    <s v="Delta"/>
    <s v="Email"/>
    <s v="Glasso"/>
    <s v="Dian &amp; Chris"/>
    <s v="HO3 Primary"/>
    <s v="Nevada   "/>
    <s v="CA"/>
    <n v="10"/>
    <n v="691000"/>
    <n v="1525600"/>
    <s v="Response time"/>
    <s v="2005 home in brush. 15 minute drive time by combination fire department. Medium brush. .49 rate $7471 VMGA premium. Found possible business on premises although app says both are retired. No online photos of home found."/>
    <x v="0"/>
    <s v="Add 5% surcharge to get from .49 to .51. in case actual response time may be slightly over. 15 minute drive time. Check on business."/>
    <m/>
    <m/>
    <s v="Patterson"/>
  </r>
  <r>
    <x v="206"/>
    <x v="2"/>
    <s v="CA"/>
    <s v="Alison"/>
    <s v="Call"/>
    <s v="TBD"/>
    <m/>
    <s v="DP3 Rental"/>
    <m/>
    <s v="CA"/>
    <m/>
    <m/>
    <m/>
    <s v="Occupancy"/>
    <s v="1986 primary home and guest house on property. Both had separate addresses. 733 and 733 1/2.  Write on one policy or separate. They really only want the guest house insured."/>
    <x v="1"/>
    <s v="Okay to write separately."/>
    <m/>
    <m/>
    <s v="Patterson"/>
  </r>
  <r>
    <x v="206"/>
    <x v="0"/>
    <s v="CA"/>
    <s v="Jill"/>
    <s v="Email"/>
    <s v="Faridnia "/>
    <s v="FARSHID &amp; ELHAM "/>
    <s v="HO3 Primary"/>
    <s v="Los Angeles"/>
    <s v="CA"/>
    <n v="1"/>
    <n v="2000000"/>
    <n v="3400000"/>
    <s v="TIV"/>
    <s v="In brush, frame, PC1, primary, c/s alarm, no losses, COC was just completed"/>
    <x v="0"/>
    <s v="Approved subject to brush surcharge/guidelines"/>
    <m/>
    <m/>
    <s v="Burdine"/>
  </r>
  <r>
    <x v="206"/>
    <x v="0"/>
    <s v="CA"/>
    <s v="Jill"/>
    <s v="Email"/>
    <s v="ROBERT LUFKIN &amp; ZHENG LI"/>
    <s v="ROBERT LUFKIN &amp; ZHENG LI"/>
    <s v="HO3 Secondary"/>
    <s v="Santa Monica"/>
    <s v="CA"/>
    <n v="2"/>
    <n v="2000000"/>
    <n v="3600000"/>
    <s v="Prior nonrenewal"/>
    <s v="PC2, not in brush, built in 1995, frame, secondary, c/s alarms, no losses, located in CA. 1000 feet from coast. Mercury NR for coastal exposure"/>
    <x v="1"/>
    <s v="reviewed coastal guidelines. All met."/>
    <m/>
    <m/>
    <s v="Burdine"/>
  </r>
  <r>
    <x v="206"/>
    <x v="0"/>
    <s v="CA"/>
    <s v="Jill"/>
    <s v="Email"/>
    <s v="Stevens"/>
    <s v="Joe"/>
    <s v="HO3 Secondary"/>
    <m/>
    <m/>
    <n v="9"/>
    <n v="234000"/>
    <n v="330800"/>
    <s v="Price match"/>
    <s v="1970 home in brush. Agt wants to match $1582 Scottsdale quote. Our rate is $1818."/>
    <x v="3"/>
    <s v="Advised we won't rate match since in brush. Also pointed out concerning Federal Pacific Stab Lok type electrical panel."/>
    <m/>
    <m/>
    <s v="Patterson"/>
  </r>
  <r>
    <x v="206"/>
    <x v="0"/>
    <s v="CA"/>
    <s v="Jill"/>
    <s v="Email"/>
    <s v="Prescott"/>
    <s v="Steven &amp; Rochelle"/>
    <s v="HO3 Primary"/>
    <s v="Weston"/>
    <s v="MO"/>
    <n v="5"/>
    <n v="275000"/>
    <n v="550000"/>
    <s v="Business on premises"/>
    <s v="Total business exclusion - Purchasing a home on 8 acres &amp; using an outbuilding for his business.  He has a construction business, a couple of employees working for him in the building, no foot traffic, business currently insured with Travelers"/>
    <x v="1"/>
    <s v="Ok with online review, and separation of business. "/>
    <m/>
    <m/>
    <s v="Burdine"/>
  </r>
  <r>
    <x v="207"/>
    <x v="4"/>
    <s v="CO"/>
    <s v="Allison"/>
    <s v="Email"/>
    <s v="Celayeta   6417674"/>
    <s v="Brian &amp; Tracey"/>
    <s v="HO3 Secondary"/>
    <m/>
    <m/>
    <m/>
    <m/>
    <m/>
    <s v="Pier &amp; Beam foundation"/>
    <s v="Approved this risk for not being accessible year round. Inspection shows nice home, but the foundation is pier and beam. $200K cov a. "/>
    <x v="0"/>
    <s v="Asked agent to have insured confirm no issues. Suggested structural engineer to confirm. Advised we would not cover."/>
    <m/>
    <m/>
    <s v="Patterson"/>
  </r>
  <r>
    <x v="207"/>
    <x v="2"/>
    <s v="CA"/>
    <s v="Alison"/>
    <s v="Call/Email"/>
    <s v="Dream Property Group, LLC"/>
    <s v="HUCAH150003398"/>
    <s v="DP3 Vacant"/>
    <s v="Pacific Palisades"/>
    <s v="CA"/>
    <m/>
    <m/>
    <m/>
    <s v="Demolition"/>
    <s v="Insured took out a $500K policy on a home.  Hull was under the impression it was a COC renovation.  Now they found out that is going to be torn down in 8-9 months and then a new one built. It is vacant. Market value is $11M.  There is a lender.  They wanted $2M on it, but since it was originally bound at $500k, Hull is refusing to increase. 1500 SF home."/>
    <x v="3"/>
    <s v="Agent sending full file for review. Previously we said we wouldn't insure a property where the home basically had no value - it will be torn down! // 10/31 Reviewed w/ Jeff and declined. Note that a policy was already in force before info was obtained. Agent offered opportunity to cancel if they placed it quickly elsewhere."/>
    <m/>
    <m/>
    <s v="Patterson"/>
  </r>
  <r>
    <x v="208"/>
    <x v="2"/>
    <s v="CA"/>
    <s v="Alison"/>
    <s v="Call"/>
    <s v="Creekside Ranch Trust"/>
    <m/>
    <s v="DP3 Builders Risk"/>
    <s v="Malibu"/>
    <s v="CA"/>
    <m/>
    <m/>
    <m/>
    <s v="4 structures"/>
    <s v="Dwelling with guest house, back building, and garage. Insured will be renovating main house and maybe others in April 2018. Meanwhile, this is vacant. May eventually rent out the guest house. Can they put all structures on one policy."/>
    <x v="2"/>
    <s v="Check condition and exclude any of concern. Okay to cover main as Cov A and rest as Cov B. //10/31 per retailer photos structures are in questionable condition. Agt sending for opinion. // 11/3/17 removing liability because there are 3 employees.  2 gardeners/1 caretaker who lives in a motor home on premises.//11/6/17  caretaker is a friend who lives in a &quot;trailer&quot;, they are not paid. Not sure if this trailer is a mobile home or what-agt will check more. Ok to include liab and workers comp if there are only 2 employees."/>
    <m/>
    <m/>
    <s v="Patterson"/>
  </r>
  <r>
    <x v="208"/>
    <x v="2"/>
    <s v="CA"/>
    <s v="Alison"/>
    <s v="Call"/>
    <s v="George &amp; Gracie LLC"/>
    <m/>
    <s v="DP3 Builders Risk"/>
    <m/>
    <m/>
    <m/>
    <m/>
    <m/>
    <s v="Guest house renovation"/>
    <s v="Insured owns and insures a primary home elsewhere. They are renovating their guest house and the carrier won't insure it. Can we?"/>
    <x v="0"/>
    <s v="Write as DP3 reno. Try to get liab excluded and extended from primary. But if carrier won't, then write liab, but specifically exclude the primary and any other structures using building exclusion so we don't have any liab there."/>
    <m/>
    <m/>
    <s v="Patterson"/>
  </r>
  <r>
    <x v="208"/>
    <x v="9"/>
    <s v="MA"/>
    <s v="Brendan"/>
    <s v="Email"/>
    <s v="Barkyoumb"/>
    <s v="Sandra &amp; Ronald"/>
    <s v="DP3 Rental"/>
    <m/>
    <m/>
    <m/>
    <m/>
    <m/>
    <s v="Animals   "/>
    <s v="1890 dwelling gutted and remodeled. 3 family owner occupied.  Insured has a pony and 2 goats."/>
    <x v="0"/>
    <s v="As long as access is limited to tenants. $10K only."/>
    <m/>
    <m/>
    <s v="Patterson"/>
  </r>
  <r>
    <x v="208"/>
    <x v="12"/>
    <s v="MI"/>
    <s v="Cheryl"/>
    <s v="Email"/>
    <s v="Metz"/>
    <s v="Stephanie"/>
    <s v="HO3 Primary"/>
    <s v="Hastings"/>
    <s v="MI"/>
    <m/>
    <n v="240000"/>
    <n v="480000"/>
    <s v="Losses and Age of Home"/>
    <s v="1900 home w/some updates. Average new purchase. 3 prior losses - 2 form a rental and 1 from primary which is sold. Agent proposing FRC."/>
    <x v="0"/>
    <s v="FRC, roof and mold exclusion. Consider HO-8"/>
    <m/>
    <m/>
    <s v="Patterson"/>
  </r>
  <r>
    <x v="208"/>
    <x v="2"/>
    <s v="CA"/>
    <s v="Alison"/>
    <s v="Call"/>
    <s v="Ronda Cashman Evans Trust"/>
    <m/>
    <s v="HO3 Builders Risk"/>
    <s v="Malibu"/>
    <s v="CA"/>
    <m/>
    <n v="1700000"/>
    <m/>
    <s v="Roof update"/>
    <s v="1978 dwelling with unknown roof updates.  Should roof be excluded? It is being replaced during reno."/>
    <x v="0"/>
    <s v="Exclude roof. Remove exclusion when proof of replacement is received."/>
    <m/>
    <m/>
    <s v="Patterson"/>
  </r>
  <r>
    <x v="208"/>
    <x v="2"/>
    <s v="CA"/>
    <s v="Alison"/>
    <s v="Call"/>
    <s v="Brookman"/>
    <s v="Sidney"/>
    <s v="HO3 Secondary"/>
    <s v="Malibu"/>
    <s v="CA"/>
    <m/>
    <m/>
    <m/>
    <s v="Prior losses"/>
    <s v="2 losses from prior owner. Do we need to be concerned with $191 smoke loss and $31K physical damage. "/>
    <x v="1"/>
    <s v="No concern seems obvious. Okay to quote for new owner with no surcharges."/>
    <m/>
    <m/>
    <s v="Patterson"/>
  </r>
  <r>
    <x v="208"/>
    <x v="2"/>
    <s v="CA"/>
    <s v="Alex"/>
    <s v="Call"/>
    <s v="Kremesec"/>
    <s v="Kenneth"/>
    <s v="DP3 Builders Risk"/>
    <s v="Rohnert Park"/>
    <s v="CA"/>
    <m/>
    <n v="250000"/>
    <n v="280000"/>
    <s v="Active wildfire"/>
    <s v="Dwelling is 10 miles from the 99% contained Tubbs fire in Santa Rosa area. Can we make an exception?  "/>
    <x v="0"/>
    <s v="Sent to Jeff for review - he approved. Subject to lapse surcharge and signed no loss stmt."/>
    <m/>
    <m/>
    <s v="Patterson"/>
  </r>
  <r>
    <x v="208"/>
    <x v="2"/>
    <s v="CA"/>
    <s v="Alex"/>
    <s v="Call"/>
    <s v="Friedmann"/>
    <s v="Jeffrey"/>
    <s v="DP3 Builders Risk"/>
    <s v="Sherman Oaks "/>
    <s v="CA"/>
    <n v="2"/>
    <n v="4750000"/>
    <m/>
    <s v="Occupancy"/>
    <s v="Insured is purchasing 11/6 and renting back to current owner for 3 months. Then renovating to sell for 9 months. Agent wants to present a blended rated policy that won't have to be endorsed except for policy forms and limits when reno starts (Lloyds does this.)"/>
    <x v="0"/>
    <s v="Agent decided against blended rate due to big price difference between rental and vacant reno. Noticed ivy on walls in online photos - must be removed. // 11/2 Alex asked if they kept the vines w/a $50K water damage ded would we accept.  I looked at pics and agreed. Vines are on a small part of house and on garage."/>
    <m/>
    <m/>
    <s v="Patterson"/>
  </r>
  <r>
    <x v="208"/>
    <x v="1"/>
    <s v="PA"/>
    <s v="Tamika"/>
    <s v="Email"/>
    <s v="Berberian"/>
    <s v="Alexander &amp; Sheri Saltzman"/>
    <s v="DP3 Vacant/Short Sale"/>
    <s v="Arnold"/>
    <s v="MD"/>
    <n v="3"/>
    <n v="221000"/>
    <n v="226000"/>
    <s v="Occupancy"/>
    <s v="1982 dwelling vacant and up for short sale. "/>
    <x v="3"/>
    <s v="Insurance scores are a concern. Possible moral hazard."/>
    <m/>
    <m/>
    <s v="Patterson"/>
  </r>
  <r>
    <x v="208"/>
    <x v="1"/>
    <s v="PA"/>
    <s v="MacKenzie"/>
    <s v="Email"/>
    <s v="Maria"/>
    <s v="Rose"/>
    <s v="HO3 Primary"/>
    <s v="Margate City"/>
    <s v="NJ"/>
    <m/>
    <n v="1107000"/>
    <n v="1684600"/>
    <s v="EIFS siding"/>
    <s v="RUA3385 renewal policy. Most recent inspection noted 70% EIFS siding. No claims, 8th year renewal, quoted with surcharge, 1964 build"/>
    <x v="0"/>
    <s v="Approved, requested inspection by qualified EIFS siding inspector by 2018 renewal. Absolute mold endorsement is on pol as well"/>
    <m/>
    <m/>
    <s v="Burdine"/>
  </r>
  <r>
    <x v="209"/>
    <x v="0"/>
    <s v="MI"/>
    <s v="Jill"/>
    <s v="Email"/>
    <s v="Rivkin"/>
    <s v="Vladimir"/>
    <m/>
    <s v="Healdsburg"/>
    <s v="CA"/>
    <m/>
    <m/>
    <m/>
    <s v="Near active wildfire"/>
    <s v="Fires are 99 % contained. Can they bind?"/>
    <x v="1"/>
    <m/>
    <s v="Verified w/Jeff"/>
    <m/>
    <s v="Patterson"/>
  </r>
  <r>
    <x v="210"/>
    <x v="1"/>
    <s v="PA"/>
    <s v="Tamika"/>
    <s v="Email"/>
    <s v="Metcoff"/>
    <s v="Norman &amp; Irene"/>
    <s v="HO6 Condo"/>
    <m/>
    <s v="NJ"/>
    <m/>
    <n v="10000"/>
    <m/>
    <s v="Active claim"/>
    <s v="Insured wants quotes on increasing Cov A. Agent wants to know if it is okay to increase."/>
    <x v="0"/>
    <s v="Quality risk, get a valid Cov A and quote that. (Insd asking for $20K &amp; 50K)"/>
    <m/>
    <m/>
    <s v="Patterson"/>
  </r>
  <r>
    <x v="209"/>
    <x v="0"/>
    <s v="MI"/>
    <s v="Jill"/>
    <s v="Email"/>
    <s v="Moore"/>
    <s v="Mike"/>
    <s v="HO3 Secondary"/>
    <m/>
    <s v="CA"/>
    <n v="10"/>
    <n v="1100000"/>
    <n v="2200000"/>
    <s v="PC 10"/>
    <s v="Frame, built in 1995, secondary, no losses, located in CA"/>
    <x v="1"/>
    <s v="photos/brush OK."/>
    <m/>
    <m/>
    <s v="Burdine"/>
  </r>
  <r>
    <x v="209"/>
    <x v="0"/>
    <s v="MI"/>
    <s v="Delta"/>
    <s v="Email"/>
    <s v="Jayjack"/>
    <s v="Andrew"/>
    <s v="HO3 Secondary"/>
    <m/>
    <s v="OH"/>
    <n v="10"/>
    <n v="76000"/>
    <n v="114000"/>
    <s v="PC 10"/>
    <s v="Attached is a secondary risk located in OH. Frame construction, built in 2000, PC10, 14-18 min drive time, no alarms, no losses. The company they currently have coverage with is no longer writing in OH."/>
    <x v="1"/>
    <s v="Online photos and PCQ Ok. OK with possible 18 min drive time since to lower value"/>
    <m/>
    <m/>
    <s v="Burdine"/>
  </r>
  <r>
    <x v="209"/>
    <x v="0"/>
    <s v="MI"/>
    <s v="Danielle"/>
    <s v="Email"/>
    <s v="Martin"/>
    <s v="David"/>
    <s v="HO3 Primary"/>
    <m/>
    <s v="CA"/>
    <n v="3"/>
    <n v="2349301"/>
    <n v="3440161"/>
    <s v="TIV"/>
    <s v="primary home submission for the above named insured located in CA(HO3 in a brush zone).  Home was built in 2005 of frame construction.  PC3 with alarms and no losses. Adding - $10,000 animal liability, "/>
    <x v="0"/>
    <s v="Approved subject to acceptable responses on animal question on app as currently blank."/>
    <m/>
    <m/>
    <s v="Burdine"/>
  </r>
  <r>
    <x v="209"/>
    <x v="4"/>
    <s v="CO"/>
    <s v="Allison"/>
    <s v="Email"/>
    <s v="Standell"/>
    <s v="Douglas  "/>
    <s v="HO3 Primary"/>
    <s v="Denver"/>
    <s v="CO"/>
    <n v="2"/>
    <m/>
    <m/>
    <s v="Flat Roof"/>
    <s v="Attached is the recently reviewed inspection, apps, and rater.  This is a 6 month builder’s risk, and the expected completion date is the end of January.  Then it will be a primary home.  Flat roof, updated in 2013, wanting to waive ded"/>
    <x v="1"/>
    <s v="approved. Home in great condition, roof as well, updated in last 9 years"/>
    <m/>
    <m/>
    <s v="Burdine"/>
  </r>
  <r>
    <x v="209"/>
    <x v="0"/>
    <s v="CA"/>
    <s v="Leslie"/>
    <s v="Email"/>
    <s v="Saca"/>
    <s v="Diana"/>
    <s v="HO3 Secondary"/>
    <m/>
    <s v="CA"/>
    <n v="10"/>
    <n v="3250000"/>
    <n v="4975000"/>
    <s v="TIV"/>
    <s v="Attached is a secondary risk located in CA. Frame construction, built in 2017, PC10,in brush, 14 min drive time, no c/s alarms, one loss in 10/10/17.  Please note that the loss was paid by the insured and was less than $1k, the heat damaged the mail box and the keypad for the gate."/>
    <x v="1"/>
    <s v="Reminded of $5M TIV. Checked and confirmed fire in fact 100% contained."/>
    <m/>
    <m/>
    <s v="Burdine"/>
  </r>
  <r>
    <x v="210"/>
    <x v="0"/>
    <s v="MI"/>
    <s v="Jeff"/>
    <s v="Email"/>
    <s v="Troy"/>
    <s v="Amanda"/>
    <s v="HO3 primary"/>
    <s v="St. Louis"/>
    <s v="MO"/>
    <n v="3"/>
    <n v="429867"/>
    <n v="816741"/>
    <s v="Pier &amp; Beam foundation"/>
    <s v="Attached is a home in Saint Louis, frame construction on a hillside, on piers.  PC3 with no alarms and no losses."/>
    <x v="0"/>
    <s v="Advised of concerns with pier foundation. Discussed that issues are often ongoing and therefore excluded. Home is in great condition, approved with strong recommendation to have structural engineer check to ensure integrity of structure"/>
    <m/>
    <m/>
    <s v="Burdine"/>
  </r>
  <r>
    <x v="210"/>
    <x v="2"/>
    <s v="CA"/>
    <s v="Alison"/>
    <s v="Email"/>
    <s v="Karapetian"/>
    <s v="Armen"/>
    <s v="HO3 primary"/>
    <s v="Whittier"/>
    <s v="CA"/>
    <m/>
    <n v="760000"/>
    <n v="1444000"/>
    <s v="Prior Losses"/>
    <s v="There have been 3 prior losses, 1 within the past 3 years. The recent one had a large payout (02/2017 $100K-theft and damage to flooring). The other 2 losses in 2014 had a $0 payout (1 theft from car). The agent advised that some other homes in the area were also burglarized. The insured did have CS alarms at that time, however, the burglars cut through the glass on the rear sliding door to gain entry. They have since also installed cameras and a ring doorbell system"/>
    <x v="0"/>
    <s v="Theft ded of $25K. "/>
    <m/>
    <m/>
    <s v="Burdine"/>
  </r>
  <r>
    <x v="210"/>
    <x v="2"/>
    <s v="CA"/>
    <s v="Alex"/>
    <s v="Email"/>
    <s v="Polacheck"/>
    <s v="Brent &amp; Jody"/>
    <s v="HO3 Primary"/>
    <s v="Calabasas"/>
    <s v="CA"/>
    <m/>
    <n v="2455000"/>
    <n v="4910000"/>
    <s v="Prior Losses/Non-renewal"/>
    <s v="water damage claims.  I have quoted with the normal loss s/c and with a $50K WD deductible as that is the program’s max.  The insured has mitigated against future plumbing issues with installing a water shutoff valve.  It looks like the claim in regards to the balcony was a freak accident.  "/>
    <x v="0"/>
    <s v="Subject to water dmg exclusion; shutoff didn't address freak accident (water on outside of home caused collapse of balcony)."/>
    <m/>
    <m/>
    <s v="Burdine"/>
  </r>
  <r>
    <x v="210"/>
    <x v="0"/>
    <s v="MI"/>
    <s v="Rachel"/>
    <s v="Email"/>
    <s v="Baumann"/>
    <s v="Jennifer"/>
    <s v="HO3 Secondary"/>
    <m/>
    <s v="MI"/>
    <n v="9"/>
    <n v="400000"/>
    <n v="960000"/>
    <s v="Business on Premises"/>
    <s v="referring due to this home having a small vineyard on the property currently leased out till the end of 2018 which is used by Welch's Grape Juice Company. 1979 with full updates to heating and roof in 2017 and a partial update to the wiring in 1997. It is built of 100% frame construction. PC9. No losses._x000a__x000a__x000a__x000a_"/>
    <x v="0"/>
    <s v="approved this risk, with a total business exclusion, liability exclusion, and other structure exclusion (if any other structures are used in the business). , if they do in fact want the premises liability included on the policy, we would need additional information regarding the business. For example: foot traffic, what specific activities are taking place, are there any employees, do they plan on continuing to renew the lease after the 2018 expiration etc."/>
    <m/>
    <m/>
    <s v="Burdine"/>
  </r>
  <r>
    <x v="211"/>
    <x v="0"/>
    <s v="MI"/>
    <s v="Jill"/>
    <s v="Email"/>
    <s v="Dunham"/>
    <s v="Nathan  "/>
    <s v="HO3 Primary"/>
    <s v="Grass Valley"/>
    <s v="CA"/>
    <n v="4"/>
    <n v="1643893"/>
    <n v="3793406"/>
    <s v="Increased other structures"/>
    <s v="Increased other structures due to 2 detached structures on the property; detached garage with living space, storage shed w/ rental living space, 42 solar panels"/>
    <x v="0"/>
    <s v="add rental endorsement: MPLH0179; per photos there is a large pond insured owns on prop, advised to be sure doesn't rent shown boats to anyone else"/>
    <m/>
    <m/>
    <s v="Burdine"/>
  </r>
  <r>
    <x v="211"/>
    <x v="9"/>
    <s v="MA"/>
    <s v="Brendan"/>
    <s v="Email"/>
    <s v="TBD"/>
    <m/>
    <s v="DP3 Rental"/>
    <m/>
    <m/>
    <m/>
    <m/>
    <m/>
    <s v="Multiple dwellings"/>
    <s v="Insured has 3-3family dwellings. Can they be put on one policy w/ a schedule? 1 rater or multiple?"/>
    <x v="0"/>
    <s v="Okay on one policy if they can handle. Need separate raters, can't combine."/>
    <m/>
    <m/>
    <s v="Patterson"/>
  </r>
  <r>
    <x v="211"/>
    <x v="6"/>
    <s v="CA"/>
    <s v="Lisa"/>
    <s v="Email"/>
    <s v="Dahlstrom"/>
    <s v="Janet"/>
    <m/>
    <m/>
    <m/>
    <m/>
    <m/>
    <m/>
    <s v="Backdate"/>
    <s v="Retail agent bound eff 11/1 and inadvertently did not send bind request to Lisa. They are a top agent and this is not a common thing."/>
    <x v="1"/>
    <s v="Insured isn't at fault. Insured confirmed no losses."/>
    <m/>
    <m/>
    <s v="Patterson"/>
  </r>
  <r>
    <x v="211"/>
    <x v="2"/>
    <s v="CA"/>
    <s v="Bobbi"/>
    <s v="Call"/>
    <s v="TBD"/>
    <m/>
    <s v="DP3 Vacant Reno"/>
    <s v="Malibu"/>
    <s v="CA"/>
    <m/>
    <n v="600000"/>
    <m/>
    <s v="Personal Prop on COC"/>
    <s v="Insured has a partially furnished home that after reno is complete will be their secondary. No alarms. Nice neighborhood on Malibu beach. $150,000 Cov C requested."/>
    <x v="0"/>
    <s v="Our rule is $50K binding authority w/o alarm-submit higher amounts. Since in nice hood on beach, approved subject to the $150K being larger items. Nothing small that could easily be carried off."/>
    <m/>
    <m/>
    <s v="Patterson"/>
  </r>
  <r>
    <x v="211"/>
    <x v="0"/>
    <s v="MI"/>
    <s v="Jill"/>
    <s v="Email"/>
    <s v="CNC Financial LLC"/>
    <m/>
    <s v="DP3 Rental"/>
    <s v="Topeka"/>
    <s v="KS"/>
    <m/>
    <m/>
    <m/>
    <s v="Business on premises"/>
    <s v="1975 dwelling with auto conditioning and storage business in a separate structure far from the home. Will have GL."/>
    <x v="2"/>
    <s v="Asked business questions. Need to ensure phys dmg and liab exposures don't test the limits of our exclusion.// 11/7/17  • Acceptable Corporate/LLC questionnaire_x000a_• Specifically exclude any structures used commercially_x000a_• Apply Total Business Exclusion form_x000a_allowed liability since there a separation and separate drives."/>
    <m/>
    <m/>
    <s v="Patterson"/>
  </r>
  <r>
    <x v="212"/>
    <x v="0"/>
    <s v="MI"/>
    <s v="Danielle"/>
    <s v="Email"/>
    <s v="Pounders"/>
    <s v="Patrick"/>
    <s v="HO3 Secondary"/>
    <s v="Menlo Park"/>
    <s v="CA"/>
    <n v="9"/>
    <n v="800000"/>
    <n v="1680000"/>
    <s v="TIV"/>
    <s v="1976 home w/no updates. Roof exclusion. PC9 4 min response time, accessible. In brush."/>
    <x v="1"/>
    <s v="Agent asked for ERC. Per their chart we should not approve. Asked to advise if additional circumstances."/>
    <m/>
    <m/>
    <s v="Patterson"/>
  </r>
  <r>
    <x v="212"/>
    <x v="2"/>
    <s v="CA"/>
    <s v="Alison"/>
    <s v="Email"/>
    <s v="Arrowhead Properties Limited"/>
    <m/>
    <s v="HO3 Secondary"/>
    <s v="Helendale"/>
    <s v="CA"/>
    <n v="10"/>
    <n v="379000"/>
    <n v="700000"/>
    <s v="Prior loss"/>
    <s v="12/17/16 fire $343K where homeless people burned down the house."/>
    <x v="4"/>
    <s v="• Several key uw questions are blank.  Could you let me know what the answers are?  (And of course you will want to make sure to get a fully completed signed app if we proceed.)_x000a_• Could you please get a copy of the fire marshal report?_x000a_• Could I have the names of the individuals that are part of Arrowhead Properties?  Also their dates of birth?  We want to look a little more at the financial situation._x000a_• Could I please see a copy of the Corp/LLC questionnaire if they have completed it?                               • Could you please send us a copy of the Protection Class questionnaire?_x000a__x000a_"/>
    <m/>
    <m/>
    <s v="Patterson"/>
  </r>
  <r>
    <x v="213"/>
    <x v="0"/>
    <s v="MI"/>
    <s v="Jill"/>
    <s v="Email"/>
    <s v="Vallabhaneni"/>
    <s v="Rao"/>
    <s v="HO3 Primary"/>
    <s v="St Louis"/>
    <s v="MO"/>
    <m/>
    <n v="2485000"/>
    <n v="3731000"/>
    <s v="TIV"/>
    <s v="2008 home w/2 prior losses $50K hail in 2016 and $10K water damage loss. Agent applies $10K AOP ded and there is a 2% wind/hail ($50K-ish). Nice online pictures."/>
    <x v="0"/>
    <s v="3 year Hail score is 9. Due to high ded and newer roof, we should be okay."/>
    <m/>
    <m/>
    <s v="Patterson"/>
  </r>
  <r>
    <x v="213"/>
    <x v="1"/>
    <s v="PA"/>
    <s v="MacKenzie"/>
    <s v="Email"/>
    <s v="Sanabria"/>
    <s v="Kay"/>
    <s v="HO3 Primary"/>
    <s v="Jackson"/>
    <s v="MO"/>
    <n v="5"/>
    <n v="280000"/>
    <n v="280000"/>
    <s v="Lapse"/>
    <s v="Lapse for several months - husband passed away and insured was unaware she needed to renew coverage. 9 mi from water. Diving board-exclusion applied.  1999 dwelling - nice home per photo."/>
    <x v="1"/>
    <s v="15% surcharge applied."/>
    <m/>
    <m/>
    <s v="Patterson"/>
  </r>
  <r>
    <x v="212"/>
    <x v="0"/>
    <s v=" MI"/>
    <s v="Jeff"/>
    <s v="Email"/>
    <s v="Jorger"/>
    <s v="Michael"/>
    <s v="HO3 Primary"/>
    <m/>
    <s v="MN"/>
    <m/>
    <n v="254826"/>
    <n v="433203"/>
    <s v="Business"/>
    <s v="tuck under garage, plastic forming machinist with workshop in garage; GL in place for business operation; quoted with TBE"/>
    <x v="1"/>
    <s v="received acceptable info regarding business (no employees, no customers, just a large machine to make plastic covers)."/>
    <m/>
    <m/>
    <s v="Burdine"/>
  </r>
  <r>
    <x v="213"/>
    <x v="0"/>
    <s v="MI"/>
    <s v="Jill"/>
    <s v="Email"/>
    <s v="Soberanes"/>
    <s v="Suzanne"/>
    <s v="HO3 Primary"/>
    <s v="Walnut Creek"/>
    <s v="CA"/>
    <m/>
    <n v="800000"/>
    <n v="800000"/>
    <s v="Business on premises"/>
    <s v="Total Business Exclusion - Insured runs equestrian center on property One employee, Lisa Soberanes (Suzanne's sister), 15-20 horses GL Limits $2MM Umbrella $1MM Liability $400,000 Fire Coverage"/>
    <x v="1"/>
    <s v="Ok with risk; x-liab w/ GL in place for business exposure"/>
    <m/>
    <m/>
    <s v="Burdine"/>
  </r>
  <r>
    <x v="213"/>
    <x v="0"/>
    <s v="MI"/>
    <s v="Jill"/>
    <s v="Email"/>
    <s v="Theobald"/>
    <s v="Matthew"/>
    <s v="DP1 Other Structure"/>
    <m/>
    <m/>
    <m/>
    <n v="11000"/>
    <n v="31000"/>
    <s v="Cov C &gt;10%"/>
    <s v="Pump and filtration is $20K, pump house is $11K. Okay?"/>
    <x v="1"/>
    <m/>
    <m/>
    <m/>
    <s v="Patterson"/>
  </r>
  <r>
    <x v="214"/>
    <x v="0"/>
    <s v="MI"/>
    <s v="Delta"/>
    <s v="Email"/>
    <s v="Dorsey"/>
    <s v="Susan"/>
    <s v="HO3 Primary"/>
    <s v="Woodside"/>
    <s v="CA"/>
    <n v="10"/>
    <n v="1390000"/>
    <n v="2780000"/>
    <s v="TIV"/>
    <s v="1952 updated home. 15 min response time from paid department. In brush. Verified FireLine is High 9. Photos show light forested area."/>
    <x v="1"/>
    <m/>
    <m/>
    <m/>
    <s v="Patterson"/>
  </r>
  <r>
    <x v="214"/>
    <x v="2"/>
    <s v="CA"/>
    <s v="Melissa"/>
    <s v="Email"/>
    <s v="Valadao   HUCAH150002848"/>
    <s v="John"/>
    <s v="HO3 Primary"/>
    <m/>
    <s v="CA"/>
    <m/>
    <m/>
    <m/>
    <s v="PC Assignment"/>
    <s v="Risk has a water tank. Could it be a PC4? There is a tank near the home for public use."/>
    <x v="0"/>
    <s v="This is a PC9.  ISO has this as a 4/4X(4/9). If ISO approved the tanks, it would be a 4."/>
    <m/>
    <m/>
    <s v="Patterson"/>
  </r>
  <r>
    <x v="215"/>
    <x v="0"/>
    <s v="MI"/>
    <s v="Jeff"/>
    <s v="Email"/>
    <s v="Ip"/>
    <s v="Tze Hung &amp; Melissa Locke"/>
    <s v="HO3 Primary"/>
    <s v="Los Angeles"/>
    <s v="CA"/>
    <n v="1"/>
    <n v="2100000"/>
    <n v="3270000"/>
    <s v="TIV"/>
    <s v="2001 home, nice online photos. No losses. $5K AOP flat roof."/>
    <x v="1"/>
    <m/>
    <m/>
    <m/>
    <s v="Patterson"/>
  </r>
  <r>
    <x v="215"/>
    <x v="0"/>
    <s v="MI"/>
    <s v="Matt"/>
    <s v="Email"/>
    <s v="Evans"/>
    <s v="David"/>
    <s v="HO3 Primary"/>
    <s v="Ramona"/>
    <s v="CA"/>
    <n v="10"/>
    <n v="1580000"/>
    <n v="2700000"/>
    <s v="PC10"/>
    <s v="2008 in PC10 w/5-6 min response time. (12-15 min per google - still ok).  No hydrant. High brush. 10,000 gallon tank 500' from home."/>
    <x v="1"/>
    <s v="Quoted in March. Agent added 10% surcharge for lapse.   Will verify not near brush."/>
    <m/>
    <m/>
    <s v="Patterson"/>
  </r>
  <r>
    <x v="215"/>
    <x v="0"/>
    <s v="MI"/>
    <s v="Jill"/>
    <s v="Email"/>
    <s v="Hiltbrand"/>
    <s v="Jeffrey"/>
    <s v="HO3 Secondary"/>
    <m/>
    <s v="UT"/>
    <n v="10"/>
    <n v="578000"/>
    <n v="793600"/>
    <s v="Response time"/>
    <s v="PC10 &amp; not accessible year round, appears to be 30 min response time; Secondary, log home, no losses, built in 2001, located in UT"/>
    <x v="3"/>
    <s v="Response time may be less based on my research, but volunteer FD, not accessible year round"/>
    <m/>
    <m/>
    <s v="Burdine"/>
  </r>
  <r>
    <x v="215"/>
    <x v="1"/>
    <s v="PA"/>
    <s v="Tamika"/>
    <s v="Email"/>
    <s v="Marion"/>
    <s v="Mackie"/>
    <s v="HO3 Primary"/>
    <m/>
    <s v="NJ"/>
    <m/>
    <n v="204000"/>
    <n v="269800"/>
    <s v="Open claim"/>
    <s v="DOL 10/3/17 – wind blew some shingles off the roof - $1,697  is being paid on the claim.  The insured is just waiting for the carrier to release the check for payment. Loss surcharge included"/>
    <x v="1"/>
    <s v="Quote includes roof exclusion, existing damage exclusion"/>
    <m/>
    <m/>
    <s v="Burdine"/>
  </r>
  <r>
    <x v="215"/>
    <x v="1"/>
    <s v="PA"/>
    <s v="Tamika"/>
    <s v="Email"/>
    <m/>
    <m/>
    <s v="DP3 Vacant"/>
    <s v="Brigantine"/>
    <s v="NJ"/>
    <m/>
    <m/>
    <m/>
    <s v="Short Sale"/>
    <s v="vacant for up for short sale.  Prior coverage was cancelled for non pay of premium on 10/5/17 by the finance company.  Photos of the house are on Zillow.  Nice house. "/>
    <x v="3"/>
    <s v="Offered to further consider after reviewing insurance score, but agt advised would just decline"/>
    <m/>
    <m/>
    <s v="Burdine"/>
  </r>
  <r>
    <x v="216"/>
    <x v="8"/>
    <s v="NC"/>
    <s v="Kim"/>
    <s v="Email"/>
    <s v="Harris"/>
    <s v="Jason &amp; Jennifer"/>
    <s v="HO3 Secondary"/>
    <s v="Wrightsville Beach"/>
    <s v="NC"/>
    <n v="3"/>
    <n v="1500000"/>
    <n v="2110000"/>
    <s v="Rate relief"/>
    <s v="2008 home. Renewal $10,382. Ironshore coming in at $9,404. Can we match?"/>
    <x v="2"/>
    <s v="Reviewed w/Bethany and she felt we were getting adequate rate to allow the match."/>
    <m/>
    <m/>
    <s v="Patterson"/>
  </r>
  <r>
    <x v="216"/>
    <x v="0"/>
    <s v="MI"/>
    <s v="Jill"/>
    <s v="Email"/>
    <s v="Wertheim   BWD107102"/>
    <s v="Mark"/>
    <s v="DP3 Builders Risk"/>
    <s v="Murietta"/>
    <s v="CA"/>
    <n v="2"/>
    <n v="3700000"/>
    <n v="3710000"/>
    <s v="TIV"/>
    <s v="2006 home, renovating to move in. Work done by lic GC. Online looks nice. In brush.  Construction not complete after 1 year term. Agent wants to renew."/>
    <x v="1"/>
    <s v="Extending by a month or two, okay."/>
    <s v=" "/>
    <m/>
    <s v="Patterson"/>
  </r>
  <r>
    <x v="216"/>
    <x v="2"/>
    <s v="CA"/>
    <s v="Alex"/>
    <s v="Call"/>
    <s v="Wall "/>
    <s v="Angus"/>
    <s v="HO3 Builders Risk"/>
    <s v="Pacific Palisades"/>
    <s v="CA"/>
    <m/>
    <m/>
    <m/>
    <s v="High profile"/>
    <s v="Applicant is a film editor. Reviewed online info.  Home was featured in &quot;The Last Boy Scout&quot; movie."/>
    <x v="1"/>
    <s v="Not too famous.  Home in movie is not a concern."/>
    <m/>
    <m/>
    <s v="Patterson"/>
  </r>
  <r>
    <x v="216"/>
    <x v="0"/>
    <s v="MI"/>
    <s v="Jill"/>
    <s v="Email"/>
    <s v="Peterson   BWH106983"/>
    <s v="Charles"/>
    <s v="HO3 Primary"/>
    <s v="Temecula "/>
    <s v="CA"/>
    <n v="10"/>
    <n v="850000"/>
    <n v="1670000"/>
    <s v="PC10"/>
    <s v="1977 home. No updates indicated. Online source shows stable, horses, corrals, guest house. 14 min response time per my check - FD is 7.6 miles away."/>
    <x v="0"/>
    <s v="Agent wants to renew. Reviewed details and they meet current requirements."/>
    <s v=" "/>
    <m/>
    <s v="Patterson"/>
  </r>
  <r>
    <x v="217"/>
    <x v="4"/>
    <s v="CO"/>
    <s v="Allison"/>
    <s v="Email"/>
    <s v="Maguire"/>
    <s v="Julie &amp; Jens Proche"/>
    <s v="HO3 Primary"/>
    <s v="Denver"/>
    <s v="CO"/>
    <n v="2"/>
    <n v="600000"/>
    <n v="910000"/>
    <s v="Dog bite"/>
    <s v="2006 home. Prior dog bite and insured is keeping the dog. Agent wants to quote with Animal Liability and remove the prior bite history exclusion."/>
    <x v="0"/>
    <s v="We can write with Limited Animal Liability but cannot remove the prior bite exclusion."/>
    <m/>
    <m/>
    <s v="Patterson"/>
  </r>
  <r>
    <x v="217"/>
    <x v="5"/>
    <s v="NC"/>
    <s v="Anella"/>
    <s v="Email"/>
    <s v="Realtor"/>
    <s v="Marsha   "/>
    <s v="HO3 Primary"/>
    <s v="Oak Island"/>
    <s v="NC"/>
    <n v="5"/>
    <n v="250000"/>
    <m/>
    <s v="Log cabin"/>
    <s v="1979 full log cabin w/galvanized metal roof. Updated in 2012. "/>
    <x v="0"/>
    <s v="Asked Tim for input.  If kit log home, okay to quote but get good estimator. Value seems low. We figure around $175/psf. If hand hewn, not eligible."/>
    <m/>
    <m/>
    <s v="Patterson"/>
  </r>
  <r>
    <x v="218"/>
    <x v="0"/>
    <s v="MI"/>
    <s v="Jill"/>
    <s v="Email"/>
    <s v="Peterhans"/>
    <s v="Andre &amp; Donna Gallagher"/>
    <s v="HO3 Primary"/>
    <s v="San Luis Obispo"/>
    <s v="CA"/>
    <n v="10"/>
    <n v="1651000"/>
    <n v="3467100"/>
    <s v="TIV"/>
    <s v="2017 home in brush full alarms. PCQ says 9 minute response time 6.1 miles. Confirmed 11 minute drive time on Google.  Online photos ok. "/>
    <x v="0"/>
    <s v="Adequate brush clearance (PCQ says not cleared to 200')"/>
    <m/>
    <m/>
    <s v="Patterson"/>
  </r>
  <r>
    <x v="218"/>
    <x v="2"/>
    <s v="CA"/>
    <s v="Alex"/>
    <s v="Call"/>
    <s v="Oakley"/>
    <s v="Natasha"/>
    <s v="HO3 Primary"/>
    <s v="Los Angeles"/>
    <s v="CA"/>
    <m/>
    <n v="1000000"/>
    <m/>
    <s v="High profile"/>
    <s v="Insured achieved fame as a blogger and on instagram. She and close friend have &quot;Bikini A Day&quot; business. No adverse news."/>
    <x v="0"/>
    <s v="Excluding liability.  Insured could be a target risk - public and lavish lifestyle."/>
    <m/>
    <m/>
    <s v="Patterson"/>
  </r>
  <r>
    <x v="218"/>
    <x v="2"/>
    <s v="CA"/>
    <s v="Bobbi"/>
    <s v="Email"/>
    <s v="Akhlaghpour"/>
    <s v="Mary"/>
    <s v="HO3 Primary"/>
    <s v="Woodland Hills"/>
    <s v="CA"/>
    <m/>
    <n v="1184691"/>
    <n v="1750000"/>
    <s v="Bankruptcy"/>
    <s v="Insured has a Chapter 11 business bankruptcy and needs US Trustee listed on their policy. Lexington won't take the risk and agent is looking to place elsewhere.  "/>
    <x v="3"/>
    <s v="Pass on a bankruptcy. Also advised we would not add US Trustee if we had been on the risk."/>
    <m/>
    <m/>
    <s v="Patterson"/>
  </r>
  <r>
    <x v="217"/>
    <x v="0"/>
    <s v="MI"/>
    <s v="Danielle"/>
    <s v="Email"/>
    <s v="Meixner"/>
    <s v="Ajay"/>
    <s v="HO3 Primary"/>
    <m/>
    <s v="CA"/>
    <n v="9"/>
    <n v="3500000"/>
    <n v="630000"/>
    <s v="PC"/>
    <s v="primary home for the above named insured located in CA.  Home was built in 1993 and roof updated in 2013 of frame construction.  No alarms and no losses.  PC9 home on 41 acres and the responding fire station only having 1 pumper of 500 gallons. they have a mutual aid agreement with El Dorado Station 72 at 7200 Florian St Cool CA 95613 and they have 2 pumpers, 200 gallons, 1250 GPM and 1 tanker, 2500 gallons. The responding time for the El Dorado Station is 20 minutes._x000a_"/>
    <x v="0"/>
    <s v="Approved, online photos OK, google search OK. Response time of primary response acceptable; requested extra 10% surcharge (if competitive) to account for 1 tanker, possible need for mutual aid"/>
    <m/>
    <m/>
    <s v="Burdine"/>
  </r>
  <r>
    <x v="217"/>
    <x v="0"/>
    <s v="MI"/>
    <s v="Danielle"/>
    <s v="Email"/>
    <s v="UKOENINN"/>
    <s v="Akan"/>
    <s v="HO3 Primary"/>
    <m/>
    <s v="WI"/>
    <n v="1"/>
    <n v="464000"/>
    <n v="951200"/>
    <s v="Business on Premises"/>
    <s v="Business on premises (Divine Adult Family Home LLC) does have GL and professional liability coverage.  They provide live in care and daily activities(getting dresses, eating, bathing, reminder to take medication, but no meds are given to clients). This is an overnight facility. Home was built in 1994 and roof updated in_x000a_2010 of frame construction.  PC1 with no alarms and no losses._x000a_ "/>
    <x v="3"/>
    <s v="Too much prop and liab risk, even w/ exclusions; suggest comm better product for needs"/>
    <m/>
    <m/>
    <s v="Burdine"/>
  </r>
  <r>
    <x v="217"/>
    <x v="1"/>
    <s v="CA"/>
    <s v="Lisa"/>
    <s v="Email"/>
    <s v="Friedlinghaus"/>
    <s v="Ryan &amp; Megan"/>
    <s v="HO3 Primary"/>
    <s v="Bell Canyon"/>
    <s v="CA"/>
    <n v="5"/>
    <n v="2154040"/>
    <n v="4300000"/>
    <s v="Renewal-TIV"/>
    <s v="HUCAH150001490-renewal"/>
    <x v="1"/>
    <s v="renewal OK-ISO, RM, Inspection acceptable"/>
    <m/>
    <m/>
    <s v="Burdine"/>
  </r>
  <r>
    <x v="217"/>
    <x v="0"/>
    <s v="MI"/>
    <s v="Alexa"/>
    <s v="Email"/>
    <s v="Hart"/>
    <s v="Candace"/>
    <s v="HO3 Secondary"/>
    <m/>
    <s v="DE"/>
    <n v="5"/>
    <n v="325000"/>
    <n v="585000"/>
    <s v="Price match"/>
    <s v="Home is a secondary home in DE, 1.2 miles to coast,  Built in 2011 of frame construction.  PC5, no alarms. VMGA Premium - $1701 (with taxes and fees $1958.03). Total Premium to Match $1,022.79 (policy premium would need to be $792 before taxes/fees) Would need 60.03% discount"/>
    <x v="3"/>
    <m/>
    <s v="Confirmed with Bethany current rating is appropriate, can not discount 60%"/>
    <m/>
    <s v="Burdine"/>
  </r>
  <r>
    <x v="218"/>
    <x v="0"/>
    <s v="MI"/>
    <s v="Jill"/>
    <s v="Email"/>
    <s v="ABACHERLI"/>
    <s v="Ronald &amp; Carolyn"/>
    <s v="HO3 Primary"/>
    <m/>
    <s v="CA"/>
    <n v="10"/>
    <n v="1500000"/>
    <n v="2169230"/>
    <s v="TIV/PC"/>
    <s v="Brush zone, no losses, primary home, frame construction, located in CA"/>
    <x v="1"/>
    <s v="RM, response time, inspection, OK"/>
    <m/>
    <m/>
    <s v="Burdine"/>
  </r>
  <r>
    <x v="219"/>
    <x v="2"/>
    <s v="CA"/>
    <s v="Alex"/>
    <s v="Call"/>
    <s v="Christer"/>
    <s v="Charlene"/>
    <s v="DP3 Vacant"/>
    <s v="Riverside"/>
    <s v="CA"/>
    <m/>
    <n v="390600"/>
    <m/>
    <s v="Existing damage"/>
    <s v="Dwelling inherited from parents. Bro was caretaker. Insd just went to look at home to put up for sale and found bro hasn't done anything for 4 years. Dry rot to exterior sills, needs paint. Agent wants to quote w/water damage exclusion."/>
    <x v="0"/>
    <s v="Okay with water damage exclusion. Overall, home looks pretty good. Exclusion will also take care of the flat roof. Interior inspection rush!"/>
    <m/>
    <m/>
    <s v="Patterson"/>
  </r>
  <r>
    <x v="219"/>
    <x v="2"/>
    <s v="CA"/>
    <s v="Alex"/>
    <s v="Call"/>
    <s v="Bernstein"/>
    <s v="Paul"/>
    <s v="DP3 Rental"/>
    <m/>
    <s v="CA"/>
    <m/>
    <m/>
    <m/>
    <s v="Other Structure"/>
    <s v="Granny unit on property used as a full time rental. Primary home insured w/state farm. They are excluding the granny unit and liab."/>
    <x v="0"/>
    <s v="Exclude the primary and any associated other structures. Okay to quote with liab. "/>
    <m/>
    <m/>
    <s v="Patterson"/>
  </r>
  <r>
    <x v="219"/>
    <x v="2"/>
    <s v="CA"/>
    <s v="Alex"/>
    <s v="Call"/>
    <s v="Martinez    "/>
    <s v="Ernest"/>
    <s v="DP3 Rental"/>
    <m/>
    <s v="CA"/>
    <m/>
    <m/>
    <m/>
    <s v="Existing damage"/>
    <s v="Dwelling has a small crack in the stucco. Safeco is nonrenewing due to crack and due to the tenant's large supply of plastic recycling bottles that makes the prop look bad.  They are getting rid of the bottles. Agent wants to quote with water damage exclusion."/>
    <x v="1"/>
    <m/>
    <m/>
    <m/>
    <s v="Patterson"/>
  </r>
  <r>
    <x v="219"/>
    <x v="1"/>
    <s v="PA"/>
    <s v="Tamika"/>
    <s v="Call"/>
    <s v="TBD"/>
    <m/>
    <s v="HO3 Primary"/>
    <m/>
    <s v="PA"/>
    <m/>
    <m/>
    <m/>
    <s v="Fuses"/>
    <s v="We have been on this risk for 7 years, originally written by the agent in 2005 w/Scottsdale.  They did an interior inspection and found FUSES!  The insured says a lic elec says the fuses are fully functional.  Original app said breakers"/>
    <x v="0"/>
    <s v="Give 60 days to replace the fuses w/breakers…or if they won't do it, nonrenew."/>
    <m/>
    <m/>
    <s v="Patterson"/>
  </r>
  <r>
    <x v="219"/>
    <x v="1"/>
    <s v="PA"/>
    <s v="Tamika"/>
    <s v="Call"/>
    <s v="TBD"/>
    <m/>
    <s v="DP3 Rental"/>
    <s v="East Charlburg"/>
    <s v="PA"/>
    <m/>
    <n v="235000"/>
    <m/>
    <s v="Occupancy"/>
    <s v="2 structures on one parcel, owned by daughter who lives in FL. Primary home is rented out. Barn is converted to living and occupied by insd father. $57K value so can't go on stand alone.  Father is an independent trucker and sometimes keeps a trailer or two on prop and does paperwork in his residence.  There is a historic Flour Mill on the property that they can't tear down. Currently no info on age, value, condition."/>
    <x v="0"/>
    <s v="Include TBE. Okay on one policy. Check inspection for the Flour Mill and exclude if any issues."/>
    <m/>
    <m/>
    <s v="Patterson"/>
  </r>
  <r>
    <x v="220"/>
    <x v="2"/>
    <s v="CA"/>
    <s v="Alison"/>
    <s v="Call"/>
    <s v="Stuart"/>
    <s v="Sean"/>
    <s v="HO3 Primary"/>
    <m/>
    <m/>
    <m/>
    <m/>
    <m/>
    <s v="High profile"/>
    <s v="Insured is a movie producer. Reviewed online information. No famous movies."/>
    <x v="1"/>
    <s v="Okay with liability. Not too famous."/>
    <m/>
    <m/>
    <s v="Patterson"/>
  </r>
  <r>
    <x v="220"/>
    <x v="0"/>
    <s v="MI"/>
    <s v="Jill"/>
    <s v="Email"/>
    <s v="Brown "/>
    <s v="Arlene"/>
    <s v="HO3 Seasonal"/>
    <s v="Lower Lake"/>
    <s v="CA"/>
    <n v="10"/>
    <n v="271446"/>
    <m/>
    <s v="Response time"/>
    <s v="Originally issued as PC9 with 10 minute response time. At renewal, SRD found PC10 and 18 min response time. I declined and asked for non-renewal. Branch came back with different responding FD address. "/>
    <x v="3"/>
    <s v="I called the fire department listed on the PCQ and they couldn't confirm what we needed. I ran a PPC and it showed a completely different FD, further away, as the responding FD. Sent info to Jill"/>
    <s v="Agt advised retail called FD and confirmed address. Advised that need something in writing confirming they respond to our exact insured location before reconsidering. Agt then advised that would offer renewal at very high premium (to meet state requirements of NR), and will also quote w/other carriers"/>
    <m/>
    <s v="Patterson"/>
  </r>
  <r>
    <x v="221"/>
    <x v="0"/>
    <s v="MI"/>
    <s v="Jill"/>
    <s v="Email"/>
    <s v="Vileisis"/>
    <s v="Birute"/>
    <s v="HO3 Primary"/>
    <s v="Malibu"/>
    <s v="CA"/>
    <n v="10"/>
    <n v="600000"/>
    <n v="1290000"/>
    <s v="Response time"/>
    <s v="1978 home w/some updates. Full alarms. In brush, no RiskMeter attached. 15-16 min response time by paid and volunteer FD. Ran FireLine - High 12."/>
    <x v="3"/>
    <s v="Borderline response time. High brush per FireLine."/>
    <m/>
    <m/>
    <s v="Patterson"/>
  </r>
  <r>
    <x v="219"/>
    <x v="0"/>
    <s v="MI"/>
    <s v="Jeff"/>
    <s v="Email"/>
    <s v="Kim"/>
    <s v="Tae Eun"/>
    <s v="HO3 Primary"/>
    <s v="Long Grove"/>
    <s v="IL"/>
    <n v="4"/>
    <n v="3286000"/>
    <n v="3749450"/>
    <s v="Prior Claims"/>
    <s v="Attached is a home built in 2000, PC4 of masonry construction with CS alarms. They are being non- renewed by State Farm due to the below losses. 4/12/14 - hail cat loss $1,400 paid out, closed. 4/25/14, home in neighborhood exploded causing damage to insured's home and about 50 other homes, 11,984 paid out, closed. 2/22/17, sewer backup loss, $33,621 paid out, claim closed, the insured has repaired all of the damages and installed a water detector in their basement."/>
    <x v="0"/>
    <s v="Subject to the backup exclusion and $10k water dmg ded as quoted; reviewed news articles, confirmed explosion was no fault of insured"/>
    <m/>
    <m/>
    <s v="Burdine"/>
  </r>
  <r>
    <x v="221"/>
    <x v="0"/>
    <s v="MI"/>
    <s v="Jill"/>
    <s v="Email"/>
    <s v="AZEVEDO"/>
    <s v="Manuel &amp; Rosa"/>
    <s v="DP3 COC"/>
    <m/>
    <s v="NJ"/>
    <n v="4"/>
    <n v="220000"/>
    <n v="220000"/>
    <s v="COC question"/>
    <s v="This is a COC risk where they are lifting the home 3 ft"/>
    <x v="3"/>
    <s v="Too much risk while home is being lifted"/>
    <m/>
    <m/>
    <s v="Burdine"/>
  </r>
  <r>
    <x v="221"/>
    <x v="1"/>
    <s v="PA"/>
    <s v="Nichole"/>
    <s v="Email"/>
    <s v="Novitt"/>
    <s v="Anita"/>
    <s v="HO3 Secondary"/>
    <s v="Belmar"/>
    <s v="NJ"/>
    <n v="4"/>
    <n v="662194"/>
    <n v="1161394"/>
    <s v="Prior loss"/>
    <s v="1903 dwelling updated in 2016, roof in 2011. Water claim 2/2016. Power outage and multiple radiators burst. Boiler kept sending water when power came back on. Major water loss. Unknown $ amount."/>
    <x v="0"/>
    <s v="Agent added 10% credit. I asked for 10% debit instead."/>
    <m/>
    <m/>
    <s v="Patterson"/>
  </r>
  <r>
    <x v="221"/>
    <x v="1"/>
    <s v="PA"/>
    <s v="Tamika"/>
    <s v="Call/Email"/>
    <s v="TBD"/>
    <m/>
    <s v="DP3 Vacant"/>
    <s v="Philadelphia"/>
    <s v="PA"/>
    <m/>
    <n v="1000000"/>
    <m/>
    <s v="ACV okay?"/>
    <s v="Beautiful updated home with ornate woodwork and interior trims. Insured relocating from MO and wants to insure ACV only. Online photos show good condition."/>
    <x v="1"/>
    <m/>
    <m/>
    <m/>
    <s v="Patterson"/>
  </r>
  <r>
    <x v="221"/>
    <x v="4"/>
    <s v="CO"/>
    <s v="Allison"/>
    <s v="Email/Call"/>
    <s v="Fagg"/>
    <s v="Jeffrey &amp; Nancy"/>
    <s v="HO3 Secondary"/>
    <s v="Heber City"/>
    <s v="UT"/>
    <n v="10"/>
    <n v="416000"/>
    <n v="707200"/>
    <s v="Response Time"/>
    <s v="2007 home winterized and not used in winter. 44 min possible response time and not accessible in winter. Good agent. Quoted .36 with 5% surcharge."/>
    <x v="3"/>
    <s v="Sent to Bethany with proposal of .80 rate $5,657."/>
    <s v="Jeff reviewed, declined base on response time."/>
    <m/>
    <s v="Patterson"/>
  </r>
  <r>
    <x v="221"/>
    <x v="4"/>
    <s v="CO"/>
    <s v="Allison"/>
    <s v="Email"/>
    <s v="Meaker"/>
    <s v="Bruce &amp; Barry"/>
    <s v="DP3 Builders Risk/Rental"/>
    <s v="Montroce"/>
    <s v="CO"/>
    <n v="6"/>
    <n v="375000"/>
    <n v="415000"/>
    <s v="Prior Loss"/>
    <s v="loss at this property on 6/06/2017-tenants having a meth lab in the home ($0 payout).   All of the remediation has been done, and the home has been cleared for renovation/construction. In We are looking to write a builder’s risk.  They are using an insured contractor to complete the work, and get GL cert prior to binding. "/>
    <x v="0"/>
    <s v="firm rental vetting process prior to becoming a rental, and you have approval to release the quoted terms with this contingency along with the 15% surcharge."/>
    <m/>
    <m/>
    <s v="Burdine"/>
  </r>
  <r>
    <x v="222"/>
    <x v="0"/>
    <s v="MI"/>
    <s v="Danielle"/>
    <s v="Email"/>
    <s v="Jones"/>
    <s v="Christopher"/>
    <s v="HO3 Primary"/>
    <s v="Hanford"/>
    <s v="CA"/>
    <n v="9"/>
    <n v="1364560"/>
    <n v="2729129"/>
    <s v="TIV"/>
    <s v="Home was built in 2000 of frame construction.PC9 risk - 8 minute response time/accessible year round and no hydrant within 1000 feet. Home is not equipped with alarms and has no losses"/>
    <x v="1"/>
    <s v="Photos, PCQ OK."/>
    <m/>
    <m/>
    <s v="Burdine"/>
  </r>
  <r>
    <x v="222"/>
    <x v="0"/>
    <s v="MI"/>
    <s v="Alexa"/>
    <s v="Email"/>
    <s v="Snider"/>
    <s v="Jones"/>
    <s v="DP3 Rental"/>
    <s v="Cape Girardeau"/>
    <s v="MO"/>
    <n v="6"/>
    <n v="200000"/>
    <n v="220000"/>
    <s v="Prior Loss"/>
    <s v="1984 (Home updated-except wiring), no alarms, one loss-sept 2016-drunk man climbed on roof and fell off"/>
    <x v="0"/>
    <s v="Confirmation that area of roof closed off as stated"/>
    <m/>
    <m/>
    <s v="Burdine"/>
  </r>
  <r>
    <x v="223"/>
    <x v="2"/>
    <s v="CA"/>
    <s v="Alison"/>
    <s v="Email"/>
    <s v="Tooma"/>
    <s v="Tom &amp; Marta"/>
    <s v="DP3 Vacant"/>
    <s v="Laguna Beach "/>
    <s v="CA"/>
    <m/>
    <m/>
    <n v="3300000"/>
    <s v="TIV"/>
    <s v="Coming off COC, vacant/up for sale"/>
    <x v="1"/>
    <s v="Insured lives close to home, easy to monitor, photos OK"/>
    <m/>
    <m/>
    <s v="Burdine"/>
  </r>
  <r>
    <x v="223"/>
    <x v="0"/>
    <s v="CA"/>
    <s v="Jill"/>
    <s v="Email"/>
    <s v="King"/>
    <s v="Kathleen"/>
    <s v="HO3 Primary"/>
    <s v="Raytown"/>
    <s v="MO"/>
    <n v="4"/>
    <n v="242000"/>
    <n v="411200"/>
    <s v="Business on Premises"/>
    <s v="1955 build, partially updated, no losses, insured hair dresses-one chair/6 customers week. Quoted w/ no liab and TBE"/>
    <x v="1"/>
    <s v="Approved as quoted; inspection photos/online review OK"/>
    <m/>
    <m/>
    <s v="Burdine"/>
  </r>
  <r>
    <x v="223"/>
    <x v="2"/>
    <s v="CA"/>
    <s v="Bobbi"/>
    <s v="Email"/>
    <s v="Pandukht"/>
    <s v="Kira"/>
    <s v="HO3 Primary"/>
    <s v="Silverado"/>
    <s v="CA"/>
    <n v="3"/>
    <m/>
    <m/>
    <s v="Brush clearance"/>
    <s v="Wanted to check if 150 brush clearance necessary; RM high, so advised brush guidelines do apply"/>
    <x v="0"/>
    <s v="Acceptable brush clearance"/>
    <m/>
    <m/>
    <s v="Burdine"/>
  </r>
  <r>
    <x v="223"/>
    <x v="5"/>
    <s v="NC"/>
    <s v="Lauren"/>
    <s v="Email"/>
    <s v="TBM LLC"/>
    <s v="TBM LLC"/>
    <s v="HO3 Primary"/>
    <s v="Southern Shores"/>
    <s v="NC"/>
    <m/>
    <n v="244300"/>
    <n v="439740"/>
    <s v="NC X-Wind"/>
    <s v="Primary, wind excluded, PC OK, no claims, agent just checking to be sure OK"/>
    <x v="1"/>
    <s v="quote OK"/>
    <m/>
    <m/>
    <s v="Burdine"/>
  </r>
  <r>
    <x v="223"/>
    <x v="4"/>
    <s v="CO"/>
    <s v="Allison"/>
    <s v="Email"/>
    <s v="Colbert Properties LLC"/>
    <s v="Colbert Properties LLC"/>
    <s v="HO3 Secondary/Rental"/>
    <s v="Steamboat Springs"/>
    <s v="CO"/>
    <n v="4"/>
    <n v="180450"/>
    <n v="322630"/>
    <s v="Lapse"/>
    <s v="Originally quoted w/ 5% credit, but at bind discovered 90+ day lapse; so adding 5% surcharge"/>
    <x v="0"/>
    <s v="Lapse at 9 months, didn't realize as prior agent left the company; approved with $2500 ded and surcharge"/>
    <m/>
    <m/>
    <s v="Burdine"/>
  </r>
  <r>
    <x v="224"/>
    <x v="2"/>
    <s v="CA"/>
    <s v="Bobbi"/>
    <s v="Email"/>
    <s v="Pearson"/>
    <s v="Dennis &amp; Christine"/>
    <s v="HO3 Primary"/>
    <s v="Silverado"/>
    <s v="CA"/>
    <n v="3"/>
    <n v="1728000"/>
    <n v="3108800"/>
    <s v="TIV"/>
    <s v="in brush"/>
    <x v="0"/>
    <s v="approved subject to appropriate brush guidelines"/>
    <m/>
    <m/>
    <s v="Burdine"/>
  </r>
  <r>
    <x v="224"/>
    <x v="11"/>
    <s v="MA"/>
    <s v="Mary "/>
    <s v="Email"/>
    <s v="Blake"/>
    <s v="Julie"/>
    <s v="HO3 Primary"/>
    <s v="Harwich"/>
    <s v="MA"/>
    <m/>
    <n v="632000"/>
    <n v="1074400"/>
    <s v="Foreclosure"/>
    <s v="applicant coming off foreclosure, needs insurance in order to have it discharged"/>
    <x v="3"/>
    <s v="Due to recent foreclosure + lapse in coverage"/>
    <m/>
    <m/>
    <s v="Burdine"/>
  </r>
  <r>
    <x v="225"/>
    <x v="0"/>
    <s v="MI"/>
    <s v="Matthew"/>
    <s v="Email"/>
    <s v="Israel Ben"/>
    <s v="Moyal"/>
    <s v="DP3 Vacant"/>
    <s v="Houston"/>
    <s v="TX"/>
    <n v="1"/>
    <n v="3000000"/>
    <n v="3260000"/>
    <s v="TIV"/>
    <s v="2017 build, PC 1 (ISO attached), full c/s alarms"/>
    <x v="1"/>
    <s v="online photos OK; advised agt to be sure to use appropriate exclusions and/or deductibles for Harris County; from Map appears to be over a mile from coast"/>
    <m/>
    <m/>
    <s v="Burdine "/>
  </r>
  <r>
    <x v="225"/>
    <x v="0"/>
    <s v="MI"/>
    <s v="Jill"/>
    <s v="Email"/>
    <s v="Jones"/>
    <s v="Jeffrey"/>
    <s v="HO3 Secondary"/>
    <s v="Trail"/>
    <s v="OR"/>
    <n v="10"/>
    <n v="236664"/>
    <n v="256664"/>
    <s v="Liability exposure"/>
    <s v="1972 dwelling on 127 acres. Walking bridge on property with No trespassing signs and barbed wire."/>
    <x v="0"/>
    <s v="Concerned with condition and part is insured built. Also concerned with barbed wire."/>
    <s v="Checked with Louisa. Burdine-Agt came back 12/6, retail very upset (Large agt). Renewal was already offered, and concern was discovered during bind. Agt advised would complain to Markel and CA DOI if renewal offer not honored, and suggested instead renew as offered and send NR for next term. Also, advised that it is inspected regularly by city or county engineers and meets all inspector codes and  is in better condition today then has been in the past (agt has been on prop many times over 25+ years). Agreed to renew as suggested, with NR next term if doesn't exclude liab. "/>
    <m/>
    <s v="Patterson"/>
  </r>
  <r>
    <x v="225"/>
    <x v="2"/>
    <s v="CA"/>
    <s v="Alex"/>
    <s v="Call"/>
    <s v="Parker"/>
    <s v="Christopher"/>
    <s v="HO3 Primary"/>
    <m/>
    <s v="CA"/>
    <m/>
    <m/>
    <m/>
    <s v="Construction"/>
    <s v="Home was built on the base of a 1920 bridge. It is only slightly elevated. Professionally constructed. Beautiful online photos."/>
    <x v="1"/>
    <m/>
    <m/>
    <m/>
    <s v="Patterson"/>
  </r>
  <r>
    <x v="226"/>
    <x v="6"/>
    <s v="CA"/>
    <s v="Lisa"/>
    <s v="Email"/>
    <s v="McCombs"/>
    <s v="Donald"/>
    <s v="DP3/Tenant"/>
    <s v="Aptos"/>
    <s v="CA"/>
    <m/>
    <n v="500000"/>
    <n v="538000"/>
    <s v="Lapse &gt;90 days"/>
    <s v="During bind request, revealed &gt;90 day lapses; $100K fire loss at another prop in 10/2017 (assume Santa Rosa fire)"/>
    <x v="0"/>
    <s v="10% surcharge, statement of no loss, and confirmation that loss is in fact from Santa Rosa"/>
    <m/>
    <m/>
    <s v="Burdine"/>
  </r>
  <r>
    <x v="226"/>
    <x v="4"/>
    <s v="CO"/>
    <s v="Allison"/>
    <s v="Email"/>
    <s v="Harrison"/>
    <s v="Charles"/>
    <s v="HO3 Secondary Builders Risk"/>
    <s v="Castle Valley"/>
    <s v="UT"/>
    <n v="10"/>
    <n v="1400000"/>
    <n v="1900100"/>
    <s v="Inaccessible year round"/>
    <s v="Risk was bound with info of 15 min response time. Turns out to be 30 min and inaccessible year round. Builders risk. 2012 log home with finishing being done to 2nd floor."/>
    <x v="0"/>
    <s v="Reviewed w/Bethany. Quote was .46 rate. We offered .70 and all subjectivities agent noted, plus need acceptable woodstove questionnaire."/>
    <m/>
    <m/>
    <s v="Patterson"/>
  </r>
  <r>
    <x v="226"/>
    <x v="2"/>
    <s v="CA"/>
    <s v="Alison"/>
    <s v="Email"/>
    <s v="Somogyi"/>
    <s v="Christi"/>
    <s v="HO3 Primary"/>
    <s v="Santa Ana"/>
    <s v="CA"/>
    <n v="5"/>
    <n v="500000"/>
    <n v="1000000"/>
    <s v="Open claim"/>
    <s v="Pending liab loss. Claimant tripped on sidewalk which was heaved by tree roots. Repair made. HOA and another owner are responsible, not our insured. Still open, going to trial soon."/>
    <x v="0"/>
    <s v="Since repair made, no further hazard. "/>
    <m/>
    <m/>
    <s v="Patterson"/>
  </r>
  <r>
    <x v="227"/>
    <x v="1"/>
    <s v="CA"/>
    <s v="Lisa"/>
    <s v="Email"/>
    <s v="301 Orange Street LLC "/>
    <s v="301 Orange Street LLC "/>
    <s v="DP3 Builders Risk"/>
    <s v="Newark"/>
    <s v="NJ"/>
    <m/>
    <m/>
    <n v="350000"/>
    <s v="Proximity to commercial prop"/>
    <s v="This is next to a business – car shop. It is NOT part of the property of the 3 family; gut/rehab"/>
    <x v="0"/>
    <s v="Confirmation that owners of property have no ownership in the car shop next door; appropriate use of flat roof guidelines per online pics of home"/>
    <m/>
    <m/>
    <s v="Burdine"/>
  </r>
  <r>
    <x v="227"/>
    <x v="0"/>
    <s v="MI"/>
    <s v="Jill"/>
    <s v="Email"/>
    <s v="Davis"/>
    <s v="Rodger"/>
    <s v="HO3 Builders Risk"/>
    <s v="Hillsborough"/>
    <s v="CA"/>
    <n v="2"/>
    <n v="3570000"/>
    <n v="5000000"/>
    <s v="TIV"/>
    <s v="Frame, PC2, built in 1967, no brush, no losses, CFSB, located in CA.  Wood roof -2008 ( WILL add ACV loss settlement endt); NR by prior due to renovations; will be completed in next 6 months, in prop during reno"/>
    <x v="1"/>
    <s v="RM, ISO, application, &amp; BR Supp, online review all OK. Reminded that if any increases to coverage needed after renovations or inspection, property no longer eligible due to max TIV"/>
    <s v="Advised OK to remove alarms during construction phase (keep setting off alarms), but requested higher ded's if able.  12/13/17"/>
    <m/>
    <s v="Burdine"/>
  </r>
  <r>
    <x v="228"/>
    <x v="1"/>
    <s v="PA"/>
    <s v="Tamika"/>
    <s v="Call/Email"/>
    <s v="Chan"/>
    <s v="Leng"/>
    <s v="DP3 Vacant/Builders Risk"/>
    <s v="Philadelphia"/>
    <s v="PA"/>
    <s v=" "/>
    <m/>
    <m/>
    <s v="Condition"/>
    <s v="40 year old row house in average condition. Some plumbing issues. 60 amp plumbing. Insured to repair/replace upon purchase. "/>
    <x v="0"/>
    <s v="Allow with water exclusion. This will take care of the shingles on the roof over the walk and the plumbing."/>
    <m/>
    <m/>
    <s v="Patterson"/>
  </r>
  <r>
    <x v="228"/>
    <x v="4"/>
    <s v="CO"/>
    <s v="Allison"/>
    <s v="Email"/>
    <s v="Hosley"/>
    <s v="Gary &amp; Reed Engel"/>
    <s v="DP3 Builders Risk"/>
    <s v="Littleton  "/>
    <s v="CO"/>
    <m/>
    <n v="281300"/>
    <n v="309430"/>
    <s v="Prior loss"/>
    <s v="1976 dwelling that will be gutted and remodeled.  Prior $328K fire loss on 4/23/17 - electrical fire between renters when insured was working. Nonrenewed by prior carrier.  Agent quoting w/50% surcharge."/>
    <x v="3"/>
    <s v="Running photos by Bethany before proceeding. Rates don't contemplate this type of exposure and increased hazard. "/>
    <m/>
    <m/>
    <s v="Patterson"/>
  </r>
  <r>
    <x v="228"/>
    <x v="0"/>
    <s v="MI"/>
    <s v="Jill"/>
    <s v="Email"/>
    <s v="Speck"/>
    <s v="Daniel"/>
    <s v="HO3 Primary"/>
    <s v="Nevada"/>
    <s v="CA"/>
    <n v="9"/>
    <n v="1014000"/>
    <n v="1825200"/>
    <s v="TIV"/>
    <s v="1990 home updated in 2014. In brush. Acceptable PCQ."/>
    <x v="1"/>
    <s v="Confirmed 6 minute response time."/>
    <m/>
    <m/>
    <s v="Patterson"/>
  </r>
  <r>
    <x v="228"/>
    <x v="0"/>
    <s v="MI"/>
    <s v="Jill"/>
    <s v="Email"/>
    <s v="Zephier"/>
    <s v="Ward"/>
    <s v="HO3 Primary"/>
    <m/>
    <s v="SD"/>
    <n v="6"/>
    <n v="200000"/>
    <n v="340000"/>
    <s v="Open claim"/>
    <s v="Loss 06/24/2017-should be settled in December, prior prop has fire loss. Loss cause: kids playing w/fireworks, 1910 build on new prop (updates)"/>
    <x v="0"/>
    <s v="Subject to children that played with fireworks not moving to new prop (ex: prior loss children in that neighborhood). If are moving, advised to resubmit for further review"/>
    <m/>
    <m/>
    <s v="Burdine"/>
  </r>
  <r>
    <x v="228"/>
    <x v="0"/>
    <s v="MI"/>
    <s v="Jill"/>
    <s v="Email"/>
    <s v="Yorkshire"/>
    <s v="Adam"/>
    <s v="HO3 Primary"/>
    <s v="Santa Cuarita"/>
    <s v="CA"/>
    <n v="4"/>
    <n v="1600000"/>
    <n v="3010000"/>
    <s v="TIV"/>
    <s v="PC4, built in 1979, frame, primary, c/s alarm, in brush, located in CA"/>
    <x v="1"/>
    <s v="Advised if no updates be sure appropriate settlement used"/>
    <m/>
    <m/>
    <s v="Burdine"/>
  </r>
  <r>
    <x v="228"/>
    <x v="4"/>
    <s v="CO"/>
    <s v="Allison"/>
    <s v="Email"/>
    <s v="Brooks Spring LLC"/>
    <s v="Brooks Spring LLC"/>
    <s v="HO3 Secondary"/>
    <s v="Montroce"/>
    <s v="CO"/>
    <n v="10"/>
    <m/>
    <n v="110000"/>
    <s v="Coverage A"/>
    <s v="This property has two small hunting cabins on it that are used as secondary homes.  Primarily during hunting season.  They are only 328 square feet and 210 square feet.  Then there’s a well house.  The insured really wants to insure the buildings since they are fairly nice and newer dwellings.  They both have electricity, water, and heating, PCQ says 30 min response, map shows over 1 hour"/>
    <x v="3"/>
    <s v="Discussed w/ PM. Rate ($900) not adequate for risk and unusual that now seeking insurance (pics from 2008); response time to great"/>
    <m/>
    <m/>
    <s v="Burdine"/>
  </r>
  <r>
    <x v="229"/>
    <x v="0"/>
    <s v="MI"/>
    <s v="Rachel"/>
    <s v="Email"/>
    <s v="LMJ Enterprises"/>
    <m/>
    <s v="DP3 Rental"/>
    <s v="Monroe"/>
    <s v="WA"/>
    <m/>
    <n v="250000"/>
    <n v="475000"/>
    <s v="Occupancy"/>
    <s v="Risk is 2/3 rental and 1/3 flower shop. "/>
    <x v="3"/>
    <s v="This belongs on a commercial policy - no owner occupancy."/>
    <m/>
    <m/>
    <s v="Patterson"/>
  </r>
  <r>
    <x v="229"/>
    <x v="8"/>
    <s v="NC"/>
    <s v="Shana"/>
    <s v="Email"/>
    <s v="Johnson"/>
    <s v="Walter Joseph &amp; Kathryn"/>
    <s v="HO3 Secondary w/Rental"/>
    <s v="Saint Helena Island"/>
    <s v="SC"/>
    <n v="4"/>
    <n v="450000"/>
    <n v="600000"/>
    <s v="Rate relief"/>
    <s v="1987 frame home. Agent quoted at $4,503 and wanted to match $3,281."/>
    <x v="0"/>
    <s v="We can write, but we can't meet the $3,281 request."/>
    <s v="Bethany and Kylie rated this out for us."/>
    <m/>
    <s v="Patterson"/>
  </r>
  <r>
    <x v="230"/>
    <x v="1"/>
    <s v="NJ"/>
    <s v="Lisa"/>
    <s v="Email"/>
    <s v="Paterson Development Group LLC"/>
    <m/>
    <s v="DP3 Rental"/>
    <s v="Paterson"/>
    <s v="NJ"/>
    <m/>
    <n v="485000"/>
    <n v="598500"/>
    <s v="Commercial next door"/>
    <s v="1920 3 family home with updates. Next door to auto  shop. Agent confirming it is not on the deed and no insured ownership."/>
    <x v="1"/>
    <m/>
    <m/>
    <m/>
    <s v="Patterson"/>
  </r>
  <r>
    <x v="230"/>
    <x v="12"/>
    <s v="MI"/>
    <s v="Cheryl"/>
    <s v="Email"/>
    <s v="Brown "/>
    <s v="Alan"/>
    <s v="HO3 Primary"/>
    <s v="Detroit"/>
    <s v="MI"/>
    <n v="2"/>
    <n v="5362000"/>
    <n v="9000000"/>
    <s v="Condition"/>
    <s v="1917 home w/updates. New purchase. Ornate home in solid condition with some dry rot, cracks, and water damage. Overall has potential. Insured is repairing. Cancelled by Lloyds due to condition and no central station fire alarm."/>
    <x v="3"/>
    <s v="TIV too high. Reviewed possible terms w/Cheryl if we could have taken it. "/>
    <m/>
    <m/>
    <s v="Patterson"/>
  </r>
  <r>
    <x v="230"/>
    <x v="1"/>
    <s v="NJ"/>
    <s v="Lisa"/>
    <s v="Email"/>
    <s v="Hamilton"/>
    <s v="Anne T"/>
    <s v="HO3 Primary"/>
    <s v="Highlands"/>
    <s v="NJ"/>
    <n v="5"/>
    <n v="531000"/>
    <n v="950000"/>
    <s v="Prior loss"/>
    <s v="1923 risk w/updates. Agent advised of Sandy loss over 3 years. All damage is repaired. Payment from prior carrier not settled yet due to battle w/FEMA."/>
    <x v="1"/>
    <s v="Okay since all repairs made."/>
    <m/>
    <m/>
    <s v="Patterson"/>
  </r>
  <r>
    <x v="230"/>
    <x v="0"/>
    <s v="MI"/>
    <s v="Jill"/>
    <s v="Email"/>
    <s v="Wilhelm"/>
    <s v="James"/>
    <s v="HO3 Primary"/>
    <s v="Sarasota"/>
    <s v="FL"/>
    <m/>
    <n v="700000"/>
    <n v="1400000"/>
    <s v="Rate    "/>
    <s v="2007 risk in Sarasota 1 mi from coast coming in with what seems like a low rate. Agent increased rate 50% and wants to know if that is okay."/>
    <x v="0"/>
    <s v="Reviewed with Product Management who sent to Tiger. Odd rate coming in for all. Advised to go ahead with 50% s/c provided we are within range of competition. Thanked Jill for questioning!"/>
    <m/>
    <m/>
    <s v="Patterson"/>
  </r>
  <r>
    <x v="230"/>
    <x v="2"/>
    <s v="CA"/>
    <s v="Alison"/>
    <s v="Email"/>
    <s v="Williams "/>
    <s v="Jacklyn"/>
    <s v="HO3 Secondary"/>
    <s v="Ojai"/>
    <s v="CA"/>
    <m/>
    <n v="1100000"/>
    <m/>
    <s v="Effective date"/>
    <s v="1967 risk w/roof update. Agent bound on 11/10 but didn't get docs in until today and the wildfire in CA is within 5 miles. Lapsed risk w/Lex. For big agent in Malibu."/>
    <x v="1"/>
    <m/>
    <s v="Reviewed w/ Louisa by phone and per her suggestion, emailed Jeff w/full info. He agreed risk bound 11/10/17. "/>
    <m/>
    <s v="Patterson"/>
  </r>
  <r>
    <x v="229"/>
    <x v="4"/>
    <s v="CO"/>
    <s v="Allison"/>
    <s v="Email"/>
    <s v="Bookmyer"/>
    <s v="Scott &amp; Kelly"/>
    <s v="DP3 Vacant"/>
    <s v="Cherry Hills"/>
    <s v="CO"/>
    <n v="2"/>
    <n v="4133000"/>
    <n v="4566300"/>
    <s v="TIV"/>
    <s v="Current rental, now vacant. Will do renovations in about 6 months. Requested Ho3 vacant"/>
    <x v="0"/>
    <s v=" Approved as DP3 vacant, will need to rewrite to builders risk when ready"/>
    <m/>
    <m/>
    <s v="Burdine"/>
  </r>
  <r>
    <x v="229"/>
    <x v="1"/>
    <s v="PA"/>
    <s v="Tamika"/>
    <s v="Email"/>
    <m/>
    <m/>
    <s v="HO3 Secondary"/>
    <s v="Clarington"/>
    <s v="PA"/>
    <n v="10"/>
    <m/>
    <m/>
    <s v="PC"/>
    <s v="First described as campsite; later clarified no comm use, personal only; 11 miles from FD, no hydrants"/>
    <x v="4"/>
    <s v="Advised per pics and most recent descript sounds to be more of a secondary risk; can further consider w/ additional info (wood stove questionnaire and PCQ)"/>
    <m/>
    <m/>
    <s v="Burdine"/>
  </r>
  <r>
    <x v="230"/>
    <x v="0"/>
    <s v="MI"/>
    <s v="Jill/Danielle"/>
    <s v="Email"/>
    <s v="Estate of William G. Helis"/>
    <s v="Estate of William G. Helis"/>
    <s v="DP3 Vacant"/>
    <s v="New Orleans"/>
    <s v="LA"/>
    <n v="2"/>
    <n v="2707800"/>
    <n v="3519800"/>
    <s v="Extended Vacancy"/>
    <s v="PC2, built in 1934/some updates, masonry, no losses, located in LA. Vacant since owner passed away in 1988. Daughter wants to keep house as is. Lives in CA. Well maintained prop-confirmed that 24/7 security at the house itself, property is gated, caretaker checks on house 5 days a week, home has been updated as recently as 2010"/>
    <x v="0"/>
    <s v="Per agt, home will be vacant indefinitely. Discussed w./ Melissa. May be comfortable as long as they re-underwrite every year as required. Requesting current quoted premium//premium $28,928 premium in VMGA (CQ wind premium is $18,754 and original property premium is $9,976). Approval granted w/ annual reunderwriting"/>
    <m/>
    <m/>
    <s v="Burdine"/>
  </r>
  <r>
    <x v="230"/>
    <x v="0"/>
    <s v="MI"/>
    <s v="Jill"/>
    <s v="Email"/>
    <s v="Black"/>
    <s v="John Monroe"/>
    <s v="HO3 Primary"/>
    <s v="Charleston"/>
    <s v="MO"/>
    <n v="6"/>
    <n v="350000"/>
    <n v="595000"/>
    <s v="Open loss"/>
    <s v="Thanksgiving 2016 loss-still open for ALE. Insured not rebuilding, buying this new prop. Claim cause: fire loss-Insured cleaned out the smoker after Thanksgiving and put the ashes in the bed of the truck in the garage.  All occupants of the home were present. Total payout: $771,500"/>
    <x v="3"/>
    <s v="Based on cause of loss (insured negligence), date, and size advised not comfortable insuring at this time"/>
    <m/>
    <m/>
    <s v="Burdine"/>
  </r>
  <r>
    <x v="231"/>
    <x v="0"/>
    <s v="MI"/>
    <s v="Jill"/>
    <s v="Email"/>
    <s v="BOEHLKE BOTTLED GAS CORP"/>
    <s v="BOEHLKE BOTTLED GAS CORP"/>
    <s v="DP3 Rental"/>
    <s v="Mequon"/>
    <s v="WI"/>
    <n v="6"/>
    <n v="481000"/>
    <n v="501000"/>
    <s v="Commercial next door"/>
    <s v="Commercial prop next door, owned by same company as this home. TBE quoted"/>
    <x v="0"/>
    <s v="Acceptable as long as different addresses, as it appears to be"/>
    <m/>
    <m/>
    <s v="Burdine"/>
  </r>
  <r>
    <x v="231"/>
    <x v="0"/>
    <s v="MI"/>
    <s v="Danielle"/>
    <s v="Email"/>
    <s v="Dumoulin"/>
    <s v="Daniel"/>
    <s v="HO3 Primary"/>
    <s v="Kokomo"/>
    <s v="IN"/>
    <n v="9"/>
    <n v="1880400"/>
    <n v="3383720"/>
    <s v="TIV"/>
    <s v="primary home for the above named insured located in IN.  Home was built in 2000 of brick veneer construction.  PC9 with alarms and no losses"/>
    <x v="0"/>
    <s v="no loss statement needed. Per app, cancelled in November (over 30 days)"/>
    <m/>
    <m/>
    <s v="Burdine"/>
  </r>
  <r>
    <x v="231"/>
    <x v="5"/>
    <s v="NC"/>
    <s v="Lauren"/>
    <s v="Email"/>
    <s v="Genovese"/>
    <s v="Michael &amp; Barbara"/>
    <s v="HO3 Primary"/>
    <s v="Corolla"/>
    <s v="NC"/>
    <m/>
    <n v="421000"/>
    <n v="757800"/>
    <s v="NC X-Wind"/>
    <s v="1992 roof; agt advised insured will update after closing"/>
    <x v="0"/>
    <s v="Roof update"/>
    <m/>
    <m/>
    <s v="Burdine"/>
  </r>
  <r>
    <x v="231"/>
    <x v="0"/>
    <s v="MI"/>
    <s v="Rachel"/>
    <s v="Email"/>
    <s v="Lowe"/>
    <s v="Ryan &amp; Erin"/>
    <s v="HO3 Secondary"/>
    <s v="Ladera Ranch"/>
    <s v="CA"/>
    <n v="10"/>
    <n v="3000000"/>
    <n v="4850000"/>
    <s v="PC/TIV"/>
    <s v="secondary home for the above applicant located in CA. Home was built in 2010.100% frame construction. PC9. No losses, ISO, PCQ, APP attached"/>
    <x v="0"/>
    <s v="Rating as PC 10 (FD over 5 miles) and installing central alarms or increasing AOP ded"/>
    <m/>
    <m/>
    <s v="Burdine"/>
  </r>
  <r>
    <x v="231"/>
    <x v="0"/>
    <s v="MI"/>
    <s v="Rachel"/>
    <s v="Email"/>
    <s v="THE RIVERA-CORUM LIV"/>
    <s v="THE RIVERA-CORUM LIV"/>
    <s v="HO3 Secondary/Rental"/>
    <s v="Placerville"/>
    <s v="CA"/>
    <n v="10"/>
    <n v="160000"/>
    <n v="272000"/>
    <s v="Response Time "/>
    <s v="renewal policy-BWH100719R1-secondary rental home for the above applicant located in CA, in brush. Home was built in 1950 with full updates to heating, wiring, roofing and plumbing in 2007. It is built of 100% frame construction. PC10. No losses. Response time 17 minutes;"/>
    <x v="0"/>
    <s v="there is a closer volunteer FD that is on call to assist should there be a report; lower valued, renews 12/22/2017…subject to issues noted on attached inspection being addressed(e.g. brush clearance)"/>
    <m/>
    <m/>
    <s v="Burdine"/>
  </r>
  <r>
    <x v="232"/>
    <x v="0"/>
    <s v="MI"/>
    <s v="Danielle"/>
    <s v="Email"/>
    <s v="Boething"/>
    <s v="Marjory"/>
    <s v="HO3 Primary"/>
    <s v="Calabasaa"/>
    <s v="CA"/>
    <n v="4"/>
    <n v="3105000"/>
    <n v="5000000"/>
    <s v="TIV"/>
    <s v="Home was built in 1971 and updated in 2006 and roof in 2010 of frame construction.  PC4 with alarms and one water loss, brush"/>
    <x v="1"/>
    <s v="checked, home not near any fires"/>
    <m/>
    <m/>
    <s v="Burdine"/>
  </r>
  <r>
    <x v="232"/>
    <x v="2"/>
    <s v="CA"/>
    <s v="Alison"/>
    <s v="Email"/>
    <s v="Morrison"/>
    <s v="Patrick"/>
    <s v="HO3 Primary"/>
    <s v="Topanga"/>
    <s v="CA"/>
    <n v="4"/>
    <n v="1406000"/>
    <n v="4200000"/>
    <s v="TIV"/>
    <s v="other structures 1,840,000"/>
    <x v="1"/>
    <s v="no comm use of other structures, pc ok, photos ok"/>
    <m/>
    <m/>
    <s v="Burdine"/>
  </r>
  <r>
    <x v="233"/>
    <x v="2"/>
    <s v="CA"/>
    <s v="Alison"/>
    <s v="Email"/>
    <s v="Whitman"/>
    <s v="Pam"/>
    <s v="HO3 Primary"/>
    <s v="Malibu"/>
    <s v="CA"/>
    <m/>
    <n v="2647200"/>
    <n v="3726640"/>
    <s v="TIV"/>
    <s v="agt exceeded max TIV for county, wants consideration. Not in brush, but very close to high brush zones"/>
    <x v="3"/>
    <s v="Declined due to high TIV, very close to brush, fires in general area, not comfortable w/exception"/>
    <m/>
    <m/>
    <s v="Burdine"/>
  </r>
  <r>
    <x v="233"/>
    <x v="0"/>
    <s v="MI"/>
    <s v="Jill"/>
    <s v="Email"/>
    <s v="Peterson"/>
    <s v="Samuel "/>
    <s v="HO3 Primary"/>
    <m/>
    <s v="CA"/>
    <n v="2"/>
    <n v="2710000"/>
    <n v="4910000"/>
    <s v="TIV"/>
    <s v="PC2, no brush, frame, built in 2017, primary, no losses, located in CA"/>
    <x v="1"/>
    <s v="RM, ISO, pics OK"/>
    <m/>
    <m/>
    <s v="Burdine"/>
  </r>
  <r>
    <x v="233"/>
    <x v="5"/>
    <s v="NC"/>
    <s v="Lauren"/>
    <s v="Email"/>
    <s v="Watson"/>
    <s v="S"/>
    <s v="HO3 Primary"/>
    <m/>
    <s v="NC"/>
    <m/>
    <m/>
    <m/>
    <s v="Air BNB"/>
    <s v="primary residence and they rent the apartment over their detached garage out through airbnb"/>
    <x v="1"/>
    <s v="risk acceptable"/>
    <m/>
    <m/>
    <s v="Burdine"/>
  </r>
  <r>
    <x v="233"/>
    <x v="0"/>
    <s v="MI"/>
    <s v="Jill"/>
    <s v="Email"/>
    <s v="PACS COLORADO LLC"/>
    <s v="PACS COLORADO LLC"/>
    <s v="HO3 Secondary"/>
    <s v="Keystone"/>
    <s v="CO"/>
    <n v="2"/>
    <n v="2400000"/>
    <n v="4560000"/>
    <s v="TIV"/>
    <s v="Built in 1995, PC2, frame, secondary, c/s alarms, no losses, located in CO"/>
    <x v="1"/>
    <s v="photos, ISO OK"/>
    <m/>
    <m/>
    <s v="Burdine"/>
  </r>
  <r>
    <x v="233"/>
    <x v="2"/>
    <s v="CA"/>
    <s v="Alex"/>
    <s v="Call/Email"/>
    <s v="Sahba"/>
    <m/>
    <s v="Builders Risk"/>
    <m/>
    <m/>
    <m/>
    <m/>
    <n v="1700000"/>
    <s v="Mid term builders risk"/>
    <s v="Agt quoted ground up in Feb, but insured didn't take as thought GC GL would cover. After GL advised didn't, now seeking cov. Foundation, framing, roofing, windows, rough heating and Air conditioning and plumbing are done.  Surcharging 20%"/>
    <x v="0"/>
    <s v="20% surcharge"/>
    <m/>
    <m/>
    <s v="Burdine"/>
  </r>
  <r>
    <x v="233"/>
    <x v="0"/>
    <s v="MI"/>
    <s v="Jill"/>
    <s v="Email"/>
    <s v="Zoeher"/>
    <s v="Alice"/>
    <s v="DP3 Rental"/>
    <s v="San Diego"/>
    <s v="CA"/>
    <n v="2"/>
    <n v="351000"/>
    <n v="421200"/>
    <s v="Business of premises"/>
    <s v="PC2, frame, tenant, no losses, built in 1941/updated, not a brush zone, located in CA. Agent disclosed the tenant will be doing Piano Lessons Mon- Thurs. and on Saturday, tenant usually has 2-3 lessons a day; TBE in place"/>
    <x v="0"/>
    <s v="approval to release with the total business exclusion in place. subject to the tenant also residing in the same property. If it is used strictly for piano lessons, then the property is ineligible."/>
    <m/>
    <m/>
    <s v="Burdine"/>
  </r>
  <r>
    <x v="233"/>
    <x v="2"/>
    <s v="CA"/>
    <s v="Alison"/>
    <s v="Email"/>
    <s v="McLean"/>
    <s v="Kirk &amp; Jennifer"/>
    <s v="DP3 Builders Risk"/>
    <s v="Newport Beach"/>
    <s v="CA"/>
    <n v="2"/>
    <n v="1700000"/>
    <n v="1870000"/>
    <s v="Mid term builders risk"/>
    <s v="This insured has had a rental policy in place, however, the home is under construction. The agent just found out today; fully enclosed but working on interior"/>
    <x v="0"/>
    <s v="Approved, advised need a 20% surcharge; RM and photos OK"/>
    <m/>
    <m/>
    <s v="Burdine"/>
  </r>
  <r>
    <x v="233"/>
    <x v="2"/>
    <s v="CA"/>
    <s v="Alison"/>
    <s v="Email"/>
    <s v="Drolson"/>
    <s v="Kaitlin"/>
    <s v="HO3 Primary"/>
    <s v="Escondido"/>
    <s v="CA"/>
    <m/>
    <n v="655000"/>
    <n v="1113500"/>
    <s v="Business on premises"/>
    <s v="Insured renting out stables on property: max 3 horses, stables only (no foot traffic)"/>
    <x v="0"/>
    <s v="TBE, other structure exclusion for stables, and animal exclusion"/>
    <m/>
    <m/>
    <s v="Burdine"/>
  </r>
  <r>
    <x v="233"/>
    <x v="0"/>
    <s v="MI"/>
    <s v="Delta"/>
    <s v="Email"/>
    <s v="Cawelti"/>
    <s v="Holt &amp; Andria"/>
    <s v="HO3 Primary"/>
    <s v="Wood Fords"/>
    <s v="CA"/>
    <n v="10"/>
    <n v="781000"/>
    <n v="1327700"/>
    <s v="PC"/>
    <s v="primary home located in CA. Frame construction, built in 2003, PC 10, Drive time is 15 minutes, not in brush, no losses, no c/s alarms."/>
    <x v="0"/>
    <s v="PCQ,drivetime, RM OK. Advised to be sure no concerns w/ animals as requested $50K in animal liab but no animals mentioned on app"/>
    <m/>
    <m/>
    <s v="Burdine"/>
  </r>
  <r>
    <x v="234"/>
    <x v="7"/>
    <s v="VA"/>
    <s v="Charity"/>
    <s v="Email"/>
    <s v="Edwards"/>
    <s v="Dennis"/>
    <s v="HO3 Primary"/>
    <s v="Piney Point"/>
    <s v="MD"/>
    <n v="10"/>
    <n v="384000"/>
    <n v="652800"/>
    <s v="PC"/>
    <s v="PC 10"/>
    <x v="4"/>
    <s v="requested PCQ for review. Only quote attached"/>
    <m/>
    <m/>
    <s v="Burdine"/>
  </r>
  <r>
    <x v="234"/>
    <x v="0"/>
    <s v="MI"/>
    <s v="Danielle"/>
    <s v="Email"/>
    <s v="Johnson"/>
    <s v="Brynne"/>
    <s v="HO3 Primary"/>
    <s v="Grass Valley"/>
    <s v="CA"/>
    <n v="3"/>
    <n v="450000"/>
    <n v="900000"/>
    <s v="Business on Premises"/>
    <s v="Home was built in 1962 and roof updated in 2010.  Looking for HO3 with FRC settlement.  PC3 with no alarms and no losses. Insured has inhome business - Dog Grooming, no employees.  Insured's have a completely separate entrance for the business which is in their basement."/>
    <x v="0"/>
    <s v="Subject to TBE and x-liab based on level of exposure"/>
    <m/>
    <m/>
    <s v="Burdine"/>
  </r>
  <r>
    <x v="234"/>
    <x v="2"/>
    <s v="CA"/>
    <s v="Alison"/>
    <s v="Email"/>
    <s v="Zarnegin"/>
    <s v="Bo "/>
    <s v="DP3 Rental"/>
    <s v="Beverly Hills"/>
    <s v="CA"/>
    <n v="3"/>
    <n v="2038200"/>
    <s v=" "/>
    <s v="$25K ded?"/>
    <s v="1939 home w/updates, approved in 2016 when it was vacant. Now rented.  "/>
    <x v="1"/>
    <m/>
    <s v=" "/>
    <m/>
    <s v="Patterson"/>
  </r>
  <r>
    <x v="235"/>
    <x v="2"/>
    <s v="CA"/>
    <s v="Alison"/>
    <s v="Email/Call"/>
    <s v="Hildebrand"/>
    <s v="Madison"/>
    <s v="HO3 Primary"/>
    <s v="Malibu"/>
    <s v="CA"/>
    <n v="4"/>
    <n v="850000"/>
    <n v="1660000"/>
    <s v="Exception to cap"/>
    <s v="Malibu risk where agency has exceeded cap. Submitting for exception. 1959 home w/ some updates. RM is not in brush, but brush is within 500' (heavy). FireLine shows high 12 w/heavy fuel and med-heavy surrounding fuel."/>
    <x v="3"/>
    <s v="Too close to brushy area."/>
    <s v=" "/>
    <m/>
    <s v="Patterson"/>
  </r>
  <r>
    <x v="236"/>
    <x v="2"/>
    <s v="CA"/>
    <s v="Kelly"/>
    <s v="Email"/>
    <s v="Weitz"/>
    <s v="Christopher"/>
    <s v="Secondary"/>
    <s v="Malibu"/>
    <s v="CA"/>
    <m/>
    <n v="520470"/>
    <n v="700000"/>
    <s v="High profile"/>
    <s v="Risk written 1/2017 without uw approval. Insured is a film producer.  There was a liability policy with Hudson.  There was a work comp loss which occurred on 11/15/16. Files w/WC board on 5/30/17, still open.  Employee of subcontractor was injured during construction.  There was a GC."/>
    <x v="1"/>
    <s v="Not too high profile.  Loss seems like it will be successfully defended as insured is not the employer. Subject to confirmation that construction is complete (so that claimant is no longer working on insured's home)."/>
    <m/>
    <m/>
    <s v="Patterson"/>
  </r>
  <r>
    <x v="237"/>
    <x v="0"/>
    <s v="MI"/>
    <s v="Jill"/>
    <s v="Email"/>
    <s v="Schlee"/>
    <s v="LARE &amp; JANET "/>
    <s v="DP3 Rental"/>
    <s v="Milwaukee"/>
    <s v="WI"/>
    <n v="2"/>
    <n v="403000"/>
    <n v="423000"/>
    <s v="Open claim"/>
    <s v="NR by Badger Mutual eff 12/12 due to open claim. DOL 09/2016-plaster fell on tenants head. Won't provide reserve info to Broker, but $13K in medical bills thus far. Tenant still in home, but plan to evict once claim closed"/>
    <x v="3"/>
    <s v="Declined due to open claim, claimant still in home. Concerned if another claim is reported in interim or during eviction"/>
    <m/>
    <m/>
    <s v="Burdine"/>
  </r>
  <r>
    <x v="237"/>
    <x v="0"/>
    <s v="MI"/>
    <s v="Jill"/>
    <s v="Email"/>
    <s v="Bates"/>
    <s v="Ray"/>
    <s v="HO3 Primary"/>
    <s v="Lake Wales"/>
    <s v="FL"/>
    <n v="10"/>
    <n v="414000"/>
    <n v="745200"/>
    <s v="Response Time"/>
    <s v="Built in 1998, frame, primary, no losses, located in Polk County, FL; PC 10 16 min response time; VMGA Premium $4,798"/>
    <x v="1"/>
    <s v="Photos Ok, PCQ Ok, premium acceptable"/>
    <m/>
    <m/>
    <s v="Burdine"/>
  </r>
  <r>
    <x v="237"/>
    <x v="0"/>
    <s v="MI"/>
    <s v="Jill"/>
    <s v="Email"/>
    <s v="Pontes"/>
    <s v="Stephen &amp; Lisa"/>
    <s v="HO3 Primary"/>
    <s v="Janesville"/>
    <s v="CA"/>
    <n v="7"/>
    <n v="550000"/>
    <n v="1100000"/>
    <s v="Zip Line on prop"/>
    <s v="frame, built in 1994, primary, no losses, in brush, located in CA; Zip line on the property - once inspected will be used by family &amp; friends"/>
    <x v="0"/>
    <s v="Approved subj to x-liab due to recreational device"/>
    <m/>
    <m/>
    <s v="Burdine"/>
  </r>
  <r>
    <x v="235"/>
    <x v="0"/>
    <s v="MI"/>
    <s v="Danielle"/>
    <s v="Email"/>
    <s v="VanBeurden"/>
    <s v="William &amp; Lise"/>
    <s v="HO3 Secondary"/>
    <s v="Clovis"/>
    <s v="CA"/>
    <n v="9"/>
    <n v="1917300"/>
    <n v="2992490"/>
    <s v="PC/TIV"/>
    <s v="Home was built in 1988 and updated in 2008 and wiring in 2000.  Frame construction, PC9 and alarms."/>
    <x v="1"/>
    <s v="Photos, PCQ OK."/>
    <m/>
    <m/>
    <s v="Burdine"/>
  </r>
  <r>
    <x v="235"/>
    <x v="2"/>
    <s v="CA"/>
    <s v="Alison"/>
    <s v="Email"/>
    <s v="Estate of Kurtis Gunderson "/>
    <s v=" "/>
    <s v="DP3 Rental"/>
    <s v="Patterson"/>
    <s v="CA"/>
    <m/>
    <m/>
    <m/>
    <s v="Foreclosure"/>
    <s v="Mr. PH passed away, Mrs.PH failed to make payments, but now court appointed administrator has money to pay back payment. Once paid, and insurance in force, can remove foreclosure. They have a current tenant, and also a buyer in place to buy the home once foreclosure removed."/>
    <x v="4"/>
    <s v="Advised can consider further. If we do end up securing the property, it would be subject to a rush inspection to be sure all is in fact. To further review, can you provide an address, the VMGA premium, brush, and ISO info on the property"/>
    <m/>
    <m/>
    <s v="Burdine"/>
  </r>
  <r>
    <x v="235"/>
    <x v="0"/>
    <s v="CA"/>
    <s v="Rachel"/>
    <s v="Email"/>
    <s v="JTB &amp; COS PROPERTIES, L.L.C."/>
    <s v=" "/>
    <s v="HO3 Secondary"/>
    <m/>
    <s v="UT"/>
    <n v="4"/>
    <n v="50000"/>
    <n v="435000"/>
    <s v="Content Limit"/>
    <s v="Attached is a seasonal home for the above applicant located in UT. Home was built in 2000, no updates. It is built of 100% frame construction. PC4. No losses. $350,000 in contents"/>
    <x v="0"/>
    <s v="however due to the higher contents limit and no burglar alarm in the home a $10K theft deductible will be required."/>
    <m/>
    <m/>
    <s v="Burdine"/>
  </r>
  <r>
    <x v="236"/>
    <x v="2"/>
    <s v="CA"/>
    <s v="Alison"/>
    <s v="Email"/>
    <s v="Safarian"/>
    <s v="Artine"/>
    <s v="HO3 Primary"/>
    <s v="Glendale"/>
    <s v="CA"/>
    <m/>
    <n v="1700000"/>
    <n v="3955000"/>
    <s v="Lapse"/>
    <s v="Lapsed 10/11 w/ Travelers, quoted with surcharge"/>
    <x v="4"/>
    <s v="While reviewing this address, it appears to be within 20 miles of a fire that isn’t quite 100% contained (Creek Fire and another unnamed fire).  Advised to check back after 100% contained for further consideration, with a no loss statement"/>
    <s v="Agreed ok to offer terms, with contingency in place prior to binding: no damage to home, no loss statement signed, fire 100% contained"/>
    <m/>
    <s v="Burdine"/>
  </r>
  <r>
    <x v="238"/>
    <x v="2"/>
    <s v="CA"/>
    <s v="Alison"/>
    <s v="Email"/>
    <s v="Brown "/>
    <s v="Gary &amp; Pam"/>
    <s v="HO3 Secondary"/>
    <s v="Lake Arrowhead"/>
    <s v="CA"/>
    <n v="4"/>
    <n v="579825"/>
    <n v="927808"/>
    <s v="Zip Code"/>
    <s v="We are under $50 mil – I believe it is currently around $48,300,000 and the TIV on this one is under $1 million"/>
    <x v="0"/>
    <s v="Confirming will not breach the zip code cap"/>
    <m/>
    <m/>
    <s v="Burdine"/>
  </r>
  <r>
    <x v="238"/>
    <x v="0"/>
    <s v="MI"/>
    <s v="Danielle"/>
    <s v="Email"/>
    <s v="Ware"/>
    <s v="Britt"/>
    <s v="HO3 Primary"/>
    <s v="Murrells Inlet"/>
    <s v="SC"/>
    <n v="10"/>
    <n v="1500000"/>
    <n v="1950000"/>
    <s v="PC 10"/>
    <s v="Home was built in1994 and updated in 2017 of frame construction.  PC10 with local alarm and no losses."/>
    <x v="1"/>
    <s v="Photos, PCQ OK."/>
    <m/>
    <m/>
    <s v="Burdine"/>
  </r>
  <r>
    <x v="238"/>
    <x v="0"/>
    <s v="MI"/>
    <s v="Leslie"/>
    <s v="Email"/>
    <s v="Hining"/>
    <s v="Michael"/>
    <s v="HO3 Primary"/>
    <s v="Oak Park"/>
    <s v="IL"/>
    <m/>
    <n v="305000"/>
    <n v="685250"/>
    <s v="Business on premises"/>
    <s v="Insured is a music instructor with 5-8 students per day.  Max is about 24.  Classes are held in the basement Wednesday - Saturday.  He does carry a separate BOP policy.  Total Business Exclusion"/>
    <x v="0"/>
    <s v="Maintenance of comm pol and TBE; online review OK"/>
    <m/>
    <m/>
    <s v="Burdine"/>
  </r>
  <r>
    <x v="239"/>
    <x v="0"/>
    <s v="MI"/>
    <s v="Danielle"/>
    <s v="Email"/>
    <s v="Bookmyer (AKA The Freiburg Pact LLC)"/>
    <s v="Scott &amp; Kelly"/>
    <s v="DP3 Vacant"/>
    <s v="Cherry Hills"/>
    <s v="CO"/>
    <n v="2"/>
    <n v="4133000"/>
    <n v="4566300"/>
    <s v="TIV"/>
    <s v="Current rental, now vacant. Will do renovations in about 6 months. Agent asking to match SCU competing quote which we approved on 12/4/17."/>
    <x v="0"/>
    <s v="Approved with VMGA rate. Advised we can't match Markel competitor quotes."/>
    <m/>
    <m/>
    <s v="Patterson"/>
  </r>
  <r>
    <x v="239"/>
    <x v="2"/>
    <s v="CA"/>
    <s v="Alison"/>
    <s v="Email"/>
    <s v="Kathleen"/>
    <s v="Peter &amp; Nicholas Whitney"/>
    <s v="DP3 Rental"/>
    <m/>
    <m/>
    <m/>
    <m/>
    <m/>
    <s v="Occupancy"/>
    <s v="Agent would like to write 2 rentals on one policy. Main dwelling is a vacation rental. Detached structure is 300 SF annual rental."/>
    <x v="1"/>
    <s v="Advised agent I am comfortable with how they handle. They are free to get a 2nd opinion, but I'm okay with them proceeding without referral."/>
    <m/>
    <m/>
    <s v="Patterson"/>
  </r>
  <r>
    <x v="239"/>
    <x v="2"/>
    <s v="CA"/>
    <s v="Alison"/>
    <s v="Email/Call"/>
    <s v="Behr"/>
    <s v="Wolfgang"/>
    <s v="DP3 Rental/Reno"/>
    <s v="Malibu"/>
    <s v="CA"/>
    <n v="4"/>
    <n v="2000000"/>
    <n v="2200000"/>
    <s v="TIV"/>
    <s v="This is the 4th 3 mo renewal. Insured is renovating and Cov A needs to be increased. Agency already over their cap."/>
    <x v="0"/>
    <s v="In the future, make sure room is left for these situations."/>
    <m/>
    <m/>
    <s v="Patterson"/>
  </r>
  <r>
    <x v="239"/>
    <x v="1"/>
    <s v="NJ"/>
    <s v="Lisa"/>
    <s v="Email"/>
    <s v="Denger"/>
    <s v="Marc &amp; Elisheva Denger"/>
    <s v="DP3 Builders Risk"/>
    <m/>
    <m/>
    <m/>
    <m/>
    <m/>
    <s v="Construction start date"/>
    <s v="This is new construction builders risk but not starting until February. They want coverage in place now because of plans, permits, etc."/>
    <x v="0"/>
    <s v="Ensure no demolition of existing home. Basically we are insuring a vacant lot for a while."/>
    <m/>
    <m/>
    <s v="Patterson"/>
  </r>
  <r>
    <x v="240"/>
    <x v="12"/>
    <s v="MI"/>
    <s v="John"/>
    <s v="Email"/>
    <s v="Kirkendall"/>
    <s v="Roger &amp; Alice"/>
    <s v="HO3 Primary"/>
    <s v="Oak Park"/>
    <s v="OH"/>
    <m/>
    <n v="147000"/>
    <n v="250000"/>
    <s v="Prior losses"/>
    <s v="1900 home updated. Agent pre-screening before quoting. 4 prior losses. 3/14 Fire $2994. 12/13 Refrig prod $519. 9/13 &amp; 4/13 Theft $348 and $1030. Currently lapsed for non pay since 11/15. "/>
    <x v="3"/>
    <s v="Poor ins score, curr non pay, prior losses."/>
    <s v="458 score with judgements, liens and collections."/>
    <m/>
    <s v="Patterson"/>
  </r>
  <r>
    <x v="240"/>
    <x v="1"/>
    <s v="PA"/>
    <s v="Nichole"/>
    <s v="Email"/>
    <s v="Samjord Properties"/>
    <m/>
    <s v="DP3 Vacant"/>
    <s v="Annapolis"/>
    <s v="MD"/>
    <m/>
    <m/>
    <m/>
    <s v="Force placed policies"/>
    <s v="Agent has 2 applications for 2 properties in MD. They are &quot;force placed&quot;.  Asked for more info, but advised if the lender is force placing, that is not a kind of policy we write."/>
    <x v="4"/>
    <m/>
    <m/>
    <m/>
    <s v="Patterson"/>
  </r>
  <r>
    <x v="240"/>
    <x v="2"/>
    <s v="CA"/>
    <s v="Melissa"/>
    <s v="Email"/>
    <s v="Ross   HUCAH150003568"/>
    <s v="Douglas  "/>
    <s v="HO3 Primary"/>
    <s v="La Canada-Flintridge"/>
    <s v="CA"/>
    <m/>
    <n v="2467000"/>
    <n v="3300000"/>
    <s v="TIV"/>
    <s v="Risk is not in brush zone. Quoted value was under $3M. Policy was issued. Inspection value is over $3M which requires approval.  (This is not the $3M TIV cap)."/>
    <x v="1"/>
    <s v="Very nice home, not in brush."/>
    <m/>
    <m/>
    <s v="Patterson"/>
  </r>
  <r>
    <x v="240"/>
    <x v="0"/>
    <s v="MI"/>
    <s v="Jill"/>
    <s v="Email"/>
    <s v="Glosso"/>
    <s v="David"/>
    <s v="HO3 Primary"/>
    <s v="Shingle Springs"/>
    <s v="CA"/>
    <n v="4"/>
    <n v="505000"/>
    <n v="1220000"/>
    <s v="Horses and lessons"/>
    <s v="1997 home w/updates. Insured has 4 personal horse and 2 personal ponies. 5 acres. Personal use. Occasional horseback riding lessons. No boarding."/>
    <x v="2"/>
    <s v="Online search shows more going on than riding. Purchase shows new so possibly prior owner business. Questions to Jill. If we proceed it will be subject to:_x000a_• Animal exclusion_x000a_• Total business exclusion_x000a_• Possibly the Building exclusion for any buildings and fencing used in the business._x000a_This is all previous owner. Current owner's partner conducts no more than 5 lessons/week. Has liab pol. They may keep a friends horse occasionally.. Approved as noted above."/>
    <m/>
    <m/>
    <s v="Patterson"/>
  </r>
  <r>
    <x v="241"/>
    <x v="2"/>
    <s v="CA"/>
    <s v="Alex"/>
    <s v="Call/Email"/>
    <s v="LRVC, LLC"/>
    <m/>
    <s v="HO3 Primary"/>
    <s v="Valley Center"/>
    <s v="CA"/>
    <m/>
    <n v="425000"/>
    <n v="750000"/>
    <s v="Business on Premises"/>
    <s v="1960 dwelling with updates. Agent bound as primary homeowners. Risk is full time tenant caretaker.  There is also a business on premises that is a storefront and warehouse for organic fruit and nut operation."/>
    <x v="3"/>
    <s v="Policy was issued in September. Needs to be cancelled asap."/>
    <m/>
    <m/>
    <s v="Patterson"/>
  </r>
  <r>
    <x v="242"/>
    <x v="0"/>
    <s v="MI"/>
    <s v="Jill"/>
    <s v="Email"/>
    <s v="Boutelle"/>
    <s v="Barbara"/>
    <s v="HO3 Primary"/>
    <s v="Del Mar"/>
    <s v="CA"/>
    <n v="3"/>
    <n v="3000000"/>
    <n v="5000000"/>
    <s v="TIV"/>
    <s v="Built in 1991, PC3, frame, primary, no brush, located in CA"/>
    <x v="1"/>
    <s v="Photos/info OK. Reminded that if any increases needed, prop no longer eligible since max TIV"/>
    <m/>
    <m/>
    <s v="Burdine"/>
  </r>
  <r>
    <x v="240"/>
    <x v="2"/>
    <s v="CA"/>
    <s v="Bobbi"/>
    <s v="Email"/>
    <s v="Wolf"/>
    <s v="Josh"/>
    <s v="HO3 Builders Risk"/>
    <s v="Los Angeles"/>
    <s v="CA"/>
    <m/>
    <n v="3091000"/>
    <n v="4155000"/>
    <s v="Extra Coverages on COC"/>
    <s v="Currently w/ Lex, want to move to Markel-renovations to include addition of living space and garage. Home occupied fully during renovations, wants personal liab instead of premise, GC has been hired"/>
    <x v="0"/>
    <s v="approval to offer terms with personal liability, mold, water backup, personal injury, ID fraud and Coverage C/D as long as the GC has a GL policy in place."/>
    <m/>
    <m/>
    <s v="Burdine"/>
  </r>
  <r>
    <x v="240"/>
    <x v="2"/>
    <s v="CA"/>
    <s v="Bobbi"/>
    <s v="Email"/>
    <s v="Diggins &amp; Fitgerald"/>
    <s v="Lawrence &amp; Kelly"/>
    <s v="HO3 Builders Risk"/>
    <s v="Long Beach"/>
    <s v="CA"/>
    <m/>
    <n v="250000"/>
    <n v="350000"/>
    <s v="No electrical updates"/>
    <s v="COC submission for a home that will be the insured’s primary upon completion. The home is old (built 1929) and currently has knob and tube wiring. The agent advised all electrical and plumbing will replaced shortly after escrow closes"/>
    <x v="0"/>
    <s v="approval with complete updates w/in 30 days after closing"/>
    <m/>
    <m/>
    <s v="Burdine"/>
  </r>
  <r>
    <x v="240"/>
    <x v="0"/>
    <s v="MI"/>
    <s v="Jill"/>
    <s v="Email"/>
    <s v="Park"/>
    <s v="Jonathan"/>
    <s v="HO3 Primary"/>
    <m/>
    <s v="NY"/>
    <n v="3"/>
    <n v="2000000"/>
    <n v="3600000"/>
    <s v="TIV"/>
    <s v="PC3, frame, primary, no losses, built in 1998/updated, updated in NY"/>
    <x v="0"/>
    <s v=" approval to release as quoted. Please be sure no art-dealings are taking place inside the premise (based on the co-applicants job title)."/>
    <m/>
    <m/>
    <s v="Burdine"/>
  </r>
  <r>
    <x v="243"/>
    <x v="0"/>
    <s v="MI"/>
    <s v="Jill"/>
    <s v="Email"/>
    <s v="Walt "/>
    <s v="Robert"/>
    <s v="HO3 Primary"/>
    <s v="Saratoga"/>
    <s v="CA"/>
    <n v="2"/>
    <n v="2682000"/>
    <n v="4559400"/>
    <s v="TIV/Losses"/>
    <s v="2000 home with 2 large plumbing losses. Quoted $5K AOP. Not in brush. 2016 fitting burst in 2nd floor master bath. $226,410. 2015 toilet valve had slow leak in 2nd floor guest bathroom $68,018."/>
    <x v="2"/>
    <s v="Apply 10% additional s/c for large loss.  $25K water damage ded. // 12/28/17 agt asked for increased limits - re-approval from TIV $3,884,500"/>
    <m/>
    <m/>
    <s v="Patterson"/>
  </r>
  <r>
    <x v="243"/>
    <x v="12"/>
    <s v="MI"/>
    <s v="Lori"/>
    <s v="Email"/>
    <s v="Meadows"/>
    <s v="Brenda Mingo"/>
    <s v="HO3 Primary"/>
    <s v="Charlotte"/>
    <s v="NC"/>
    <n v="1"/>
    <n v="150000"/>
    <n v="270000"/>
    <s v="Lapse"/>
    <s v="1968 dwelling with unknown updates. Underwriter &quot;guessed&quot; at dates. 1 year lapse due to nonrenewed and agency did not replace in error.  Rated as PC7-underwriter &quot;guessed&quot;. Not all UW questions answered."/>
    <x v="0"/>
    <s v="Addl 10% for lapse. Signed no loss. Add roof excl (suppl says roof it 26-50 years old). I ran PPC - it is PC1 - advised UW not to guess. All UW questions need to be answered."/>
    <m/>
    <m/>
    <s v="Patterson"/>
  </r>
  <r>
    <x v="243"/>
    <x v="12"/>
    <s v="MI"/>
    <s v="Lori"/>
    <s v="Email"/>
    <s v="Long"/>
    <s v="George &amp; Mary Jo"/>
    <s v="DP3 Vacant/For Sale"/>
    <s v="Loveland"/>
    <s v="OH"/>
    <n v="2"/>
    <n v="422000"/>
    <n v="850000"/>
    <s v="Lapse"/>
    <s v="2001 dwelling. Insured moved to TX and in error, covg lapsed 3/15/17 - forgot to pay bill. App requests $300K contents. No info on alarms. "/>
    <x v="0"/>
    <s v="Signed no loss.  Only $50K contents approved. Call if more needed with explanation and alarm info."/>
    <m/>
    <m/>
    <s v="Patterson"/>
  </r>
  <r>
    <x v="243"/>
    <x v="12"/>
    <s v="MI"/>
    <s v="Lori"/>
    <s v="Email"/>
    <s v="Zayed"/>
    <s v="Mahmoud"/>
    <s v="HO3 Primary"/>
    <s v="Westlake   "/>
    <s v="OH"/>
    <n v="3"/>
    <n v="486090"/>
    <n v="1000000"/>
    <s v="Lapse"/>
    <s v="1982 dwelling w/partial updates.  30 day lapse for non pay. 3 prior losses. 1/15 Freezing/weather $8832. 11/1/15 water/non weather $7780. 3/8/17 wind &amp; hail $11,515."/>
    <x v="0"/>
    <s v="Signed no loss. UW questions all need to be answered."/>
    <m/>
    <m/>
    <s v="Patterson"/>
  </r>
  <r>
    <x v="243"/>
    <x v="2"/>
    <s v="CA"/>
    <s v="Alison"/>
    <s v="Email"/>
    <s v="DB Charleston, LLS"/>
    <m/>
    <s v="DP3 Vacant"/>
    <s v="Los Angeles"/>
    <s v="CA"/>
    <n v="2"/>
    <n v="975000"/>
    <n v="1071500"/>
    <s v="Wildfire &lt;20 miles"/>
    <s v="1969 vacant frame dwelling.  8.25 miles from Creek fire (I measured). Fire is 98% contained, no longer under control of CalFire. They are clearing remaining issue.  "/>
    <x v="1"/>
    <s v="Agreed to bind since fire is highly contained per multiple sources and 8.25 miles away."/>
    <m/>
    <m/>
    <s v="Patterson"/>
  </r>
  <r>
    <x v="243"/>
    <x v="6"/>
    <s v="CA"/>
    <s v="Lisa"/>
    <s v="Email"/>
    <s v="Christian   "/>
    <s v="Brad"/>
    <s v="DP3 Rental"/>
    <s v="Healdsburg"/>
    <s v="CA"/>
    <n v="4"/>
    <n v="1455000"/>
    <n v="1996000"/>
    <s v="Acreage"/>
    <s v="2000 home in brush. Online photos okay. Home has been custom updated since purchase. Hot tub with no cover some distance from the dwelling."/>
    <x v="0"/>
    <s v="Get hot tub cover. Confirm no business. Photos show vineyard near the home. Need info if it is theirs."/>
    <m/>
    <m/>
    <s v="Patterson"/>
  </r>
  <r>
    <x v="243"/>
    <x v="4"/>
    <s v="CO"/>
    <s v="Allison"/>
    <s v="Email"/>
    <s v="Thomas     "/>
    <s v="Dennis"/>
    <s v="HO3 Secondary"/>
    <s v="Woodside"/>
    <s v="CA"/>
    <n v="2"/>
    <n v="1400000"/>
    <n v="2125000"/>
    <s v="Brush clearance"/>
    <s v="2008 dwelling in brush. Insured has 3 lab dogs. Brush clearance only 30 feet. Can an exception be made."/>
    <x v="3"/>
    <s v="We are strict with our CA brush clearance. So is CAL Fire. Clear, then we can consider. Also, reminder to check for active fires."/>
    <m/>
    <m/>
    <s v="Patterson"/>
  </r>
  <r>
    <x v="243"/>
    <x v="2"/>
    <s v="CA"/>
    <s v="Bobbi"/>
    <s v="Email"/>
    <s v="Abidi"/>
    <s v="Asad &amp; Hina"/>
    <s v="HO3 Primary"/>
    <s v="Los Angeles"/>
    <s v="CA"/>
    <m/>
    <m/>
    <m/>
    <s v="Wildfire &lt;20 miles"/>
    <s v="Potential new risk appx. 15 miles to the Creek Fire (98% contained). Can they bind? Don't have bind request yet."/>
    <x v="0"/>
    <s v="As long as it is at least 98% contained when the bind comes in they can bind. If the fire flares and containment % is reduced, re-evaluate."/>
    <m/>
    <m/>
    <s v="Patterson"/>
  </r>
  <r>
    <x v="244"/>
    <x v="6"/>
    <s v="CA"/>
    <s v="Lisa"/>
    <s v="Email"/>
    <s v="Doyle"/>
    <s v="David &amp; Kelly"/>
    <s v="HO3 Primary"/>
    <s v="Twain Harte"/>
    <s v="CA"/>
    <n v="9"/>
    <n v="1250800"/>
    <n v="2501600"/>
    <s v="TIV"/>
    <s v="2007 home in brush w/central burglar alarm. $10K deductible applied. NRN by prior carrier. "/>
    <x v="0"/>
    <s v="Need acceptable reason for NRN."/>
    <m/>
    <m/>
    <s v="Patterson"/>
  </r>
  <r>
    <x v="244"/>
    <x v="2"/>
    <s v="CA"/>
    <s v="Alison"/>
    <s v="Email"/>
    <s v="Manboubi-Fardi"/>
    <s v="Jonathan"/>
    <s v="DP3 Vacant/For Sale"/>
    <s v="Beverly Hills"/>
    <s v="CA"/>
    <n v="2"/>
    <n v="3000000"/>
    <n v="3100000"/>
    <s v="TIV"/>
    <s v="1928 dwelling updated in 2000. Not in brush zone. All UW questions answered 'no'."/>
    <x v="3"/>
    <s v="Googled insured and found a bankruptcy court doc from 2014. Ran ins score and found another bankruptcy in 2013."/>
    <s v="Score is 632 with adverse info, bankruptcy, collection. $3M of open debt."/>
    <m/>
    <s v="Patterson"/>
  </r>
  <r>
    <x v="244"/>
    <x v="0"/>
    <s v="MI"/>
    <s v="Matt"/>
    <s v="Email"/>
    <s v="Bancheri"/>
    <s v="Joseph "/>
    <s v="HO3 Primary"/>
    <s v="Ventnor City"/>
    <s v="NJ"/>
    <n v="3"/>
    <n v="350000"/>
    <n v="700000"/>
    <s v="House over water"/>
    <s v="1923 home updated in 2007. Extends over canal about 1/2 mile from ocean. Boats can park under a portion of the home. Extensive pilings. Appears to be professionally done and similar to other homes in the area. Agent suggested excluding liab due to boats parking under home."/>
    <x v="1"/>
    <s v="https://www.zillow.com/homedetails/5502-Edgewater-Ave-Ventnor-City-NJ-08406/37843546_zpid/  Looks stable, nice home."/>
    <m/>
    <m/>
    <s v="Patterson"/>
  </r>
  <r>
    <x v="245"/>
    <x v="0"/>
    <s v="MI"/>
    <s v="Jill"/>
    <s v="Email"/>
    <s v="Campbell"/>
    <s v="Jack"/>
    <s v="HO3 Secondary"/>
    <s v="Malibu"/>
    <s v="CA"/>
    <n v="4"/>
    <n v="1891000"/>
    <n v="3592900"/>
    <s v="Prior loss"/>
    <s v="1970 home not in brush. Scottsdale nonrenewing due to 2/8/17 loss - storm caused roof to cave. Risk is in Malibu. Repairs not completed. Agt proposing to add roof exclusion and existing dmg exclusion. Inspection provided - flat roof."/>
    <x v="3"/>
    <s v="Asked numerous questions about maintenance, what happened, why so long to repair, who is doing the repair. This is an attached townhouse w/flat roof. Provided weather history showing .38&quot; rain (4/10&quot;) and 10 mph winds on 2/7-2/8.//received answers. Feel there is a maintenance issue and an HOA issue. Declined."/>
    <m/>
    <m/>
    <s v="Patterson"/>
  </r>
  <r>
    <x v="245"/>
    <x v="0"/>
    <s v="MI"/>
    <s v="Jill"/>
    <s v="Email"/>
    <s v="Ellsworth"/>
    <s v="Tony"/>
    <s v="DP3Tenant"/>
    <s v="Ramona"/>
    <s v="CA"/>
    <n v="10"/>
    <n v="1549159"/>
    <n v="1920159"/>
    <s v="TIV"/>
    <s v="2000 dwelling not in brush. 13 min drive time. FD is 6.9 miles away. Inspection and photos provided."/>
    <x v="0"/>
    <s v="Found a couple of issues w/the inspection that inspector didn't address - open breaker slots. Chicken coup. Inspector noted bridge needs railing - confirming it is repaired. App is mostly blank."/>
    <m/>
    <m/>
    <s v="Patterson"/>
  </r>
  <r>
    <x v="245"/>
    <x v="0"/>
    <s v="MI"/>
    <s v="Delta"/>
    <s v="Email"/>
    <s v="Elston"/>
    <s v="Mark"/>
    <s v="DP3 Rental"/>
    <s v="Fallon"/>
    <s v="NV"/>
    <n v="10"/>
    <n v="220000"/>
    <n v="364000"/>
    <s v="Response time"/>
    <s v="1995 risk 20 miles/25 min from FD. Mostly volunteer. FT Caretaker. Quoted at $1770.  Risk quoted in October as an HO3; resubmitted as a DP3."/>
    <x v="0"/>
    <s v="Ok w/WBS quest and rate around $2730."/>
    <m/>
    <m/>
    <s v="Patterson"/>
  </r>
  <r>
    <x v="245"/>
    <x v="0"/>
    <s v="MI"/>
    <s v="Jeff"/>
    <s v="Email"/>
    <s v="Madden"/>
    <s v="Michael"/>
    <s v="DP3 Vacant"/>
    <s v="Pueblo"/>
    <s v="CO"/>
    <n v="4"/>
    <n v="203100"/>
    <n v="203100"/>
    <s v="Open loss"/>
    <s v="1997 vacant dwelling.  Wind claim 4/17 - roof replaced. Current open liab loss. Handrail was loose and pulled off wall - claimant fell. "/>
    <x v="0"/>
    <s v="Subj to confirmation that the damaged rail was repaired by a licensed contractor and there are no other liability issues inside or outside the home."/>
    <m/>
    <m/>
    <s v="Patterson"/>
  </r>
  <r>
    <x v="245"/>
    <x v="2"/>
    <s v="CA"/>
    <s v="Alex"/>
    <s v="Email"/>
    <s v="Wise"/>
    <s v="Andrew"/>
    <s v="DP3 Vacant"/>
    <s v="San Francisco"/>
    <s v="CA"/>
    <n v="2"/>
    <n v="3600000"/>
    <n v="3600000"/>
    <s v="TIV"/>
    <s v="1900 dwelling will be vacant for 4-6 months. Then will be endorsed to builders risk and $1M added. Insured lives in London and won't be moving in until all work is done. $5K AOP covers the flat roof. Closing today."/>
    <x v="0"/>
    <s v="Provided this is not a brush zone."/>
    <m/>
    <m/>
    <s v="Patterson"/>
  </r>
  <r>
    <x v="245"/>
    <x v="0"/>
    <s v="MI"/>
    <s v="Jill"/>
    <s v="Email"/>
    <s v="Karvelas"/>
    <s v="Brian &amp; Lizeth"/>
    <s v="HO3 Primary"/>
    <s v="Grass Valley"/>
    <s v="CA"/>
    <n v="10"/>
    <n v="1015000"/>
    <n v="1877750"/>
    <s v="TIV"/>
    <s v="2017 home in medium brush. Agt quoted as PC10. 7 min drive time. Photos show very nice home on the top of a hill."/>
    <x v="1"/>
    <s v="Nice home, reasonable drive time."/>
    <m/>
    <m/>
    <s v="Patterson"/>
  </r>
  <r>
    <x v="245"/>
    <x v="0"/>
    <s v="MI"/>
    <s v="Jill"/>
    <s v="Email"/>
    <s v="Landrum"/>
    <s v="Harry &amp; Concetta"/>
    <s v="HO3 Primary"/>
    <s v="Mullica Hill"/>
    <s v="NJ"/>
    <n v="2"/>
    <n v="501000"/>
    <n v="1100000"/>
    <s v="Business in home"/>
    <s v="1994 home w/heating update. Insd has optometrist business in home w/separate entrance. Has BOB and WC. 50 patients/week. Agt quoted with Total Business Exclusion."/>
    <x v="0"/>
    <s v="Okay excluding liability.  Medical exposure and heavy foot traffic in the home itself.  Concern of large loss that we would have to defend."/>
    <m/>
    <m/>
    <s v="Patterson"/>
  </r>
</pivotCacheRecords>
</file>

<file path=xl/pivotCache/pivotCacheRecords3.xml><?xml version="1.0" encoding="utf-8"?>
<pivotCacheRecords xmlns="http://schemas.openxmlformats.org/spreadsheetml/2006/main" xmlns:r="http://schemas.openxmlformats.org/officeDocument/2006/relationships" count="430">
  <r>
    <x v="0"/>
    <x v="0"/>
    <s v="MI"/>
    <s v="Nicole"/>
    <m/>
    <s v="Mead"/>
    <s v="Raymond"/>
    <s v="HO3 Primary"/>
    <s v="Casper"/>
    <s v="WY"/>
    <s v="82604"/>
    <n v="1"/>
    <n v="771200"/>
    <n v="1388160"/>
    <x v="0"/>
    <s v="2001 building that was a 60x120 shop w/ office and garage space for drilling business.  Business is sold.  Building now used as a residence and storage. No business on premises."/>
    <x v="0"/>
    <s v="Online photos okay. No concerns w/occupancy."/>
    <s v="Handle 12/28, but I already closed the 2018 log."/>
    <m/>
    <s v="Patterson"/>
  </r>
  <r>
    <x v="0"/>
    <x v="0"/>
    <s v="MI"/>
    <s v="Danielle"/>
    <m/>
    <s v="Cantu"/>
    <s v="Sara"/>
    <s v="HO3 Primary"/>
    <s v="Rio Grande"/>
    <s v="TX"/>
    <s v="78582"/>
    <n v="10"/>
    <n v="2300000"/>
    <n v="3600000"/>
    <x v="1"/>
    <s v="2013 home, no losses, lapsed for non pay 9/16/18. Client lost track of it during a very busy period. Insured's are professionals. J score. "/>
    <x v="1"/>
    <s v="Apply 5% surcharge for lapse. Ok to add ERC and PI."/>
    <s v="Handle 12/28, but I already closed the 2018 log."/>
    <m/>
    <s v="Patterson"/>
  </r>
  <r>
    <x v="1"/>
    <x v="1"/>
    <s v="PA"/>
    <s v="Tamika"/>
    <m/>
    <s v="Insana"/>
    <s v="Carmen"/>
    <s v="DP3 Builders Risk"/>
    <s v="Glassboro"/>
    <s v="NJ"/>
    <s v="08028"/>
    <n v="4"/>
    <n v="352000"/>
    <n v="387200"/>
    <x v="2"/>
    <s v="Prior fire loss, total loss - $238,000. Per agent, fire started in a bush by a passerby with a can of gasoline. Multiple fires were started in the area that night. Home is in process of being constructed. "/>
    <x v="2"/>
    <s v="Online reports confirm this was arson. Online search shows that this dwelling was previously a 10 room rental for a fraternity next to a university. Online shows rent available July 2019, if fraternity or 10 family dwelling, both of which are ineligible. "/>
    <m/>
    <m/>
    <s v="Busse"/>
  </r>
  <r>
    <x v="1"/>
    <x v="2"/>
    <s v="MI"/>
    <s v="Barbara"/>
    <m/>
    <s v="Zachem Family Trust"/>
    <m/>
    <s v="DP3 Rental"/>
    <s v="Ledyard"/>
    <s v="CT"/>
    <s v="06339"/>
    <s v="5Y"/>
    <n v="382768"/>
    <n v="397768"/>
    <x v="3"/>
    <s v="1891 dwelling with updates to roof and systems from 1990-2003, no mention if gutted. Three other structures that are in poor condition, which is reason for non-renewal with other carrier. Structures will be demoed or burned by control burn. Asked if RCV or ACV should be used. "/>
    <x v="1"/>
    <s v="Approval subject to full exclusion of the outbuildings will be needed. Will require ACV since no mention of completely gutted, older updates, and not above average condition. "/>
    <m/>
    <m/>
    <s v="Busse"/>
  </r>
  <r>
    <x v="1"/>
    <x v="2"/>
    <s v="MI"/>
    <s v="Barbara"/>
    <m/>
    <s v="Nash"/>
    <s v="William"/>
    <s v="HO3 Primary"/>
    <s v="Fairfield"/>
    <s v="CT"/>
    <s v="06824"/>
    <n v="3"/>
    <n v="550000"/>
    <n v="905000"/>
    <x v="4"/>
    <s v="1960 home with updates in 2000 to systems and roof. Insured runs a dentistry out of home. No poor reviews online. Sending business questionnaire to get full details. Insured has BOP policy with $2M/$4M limits. 1 prior water loss 10/2018, $1,229 paid. Fully repaired, no concerns regarding loss. "/>
    <x v="1"/>
    <s v="Appears to be OK to approve with TBE, but will wait to confirm after reviewing business questionnaire. UPDATE: Rec'd further info regarding business - expected about 5 appointments per day. Seems a bit high, but CGL limits seem adequate to allow for this. Approved subject to TBE and maintain CGL policy"/>
    <m/>
    <m/>
    <s v="Busse"/>
  </r>
  <r>
    <x v="1"/>
    <x v="3"/>
    <s v="IL"/>
    <s v="Tasha"/>
    <m/>
    <s v="Betta"/>
    <s v="Giancarlo"/>
    <s v="HO3 Primary"/>
    <s v="Montreal"/>
    <s v="MO"/>
    <s v="65591"/>
    <n v="10"/>
    <n v="435000"/>
    <n v="870000"/>
    <x v="5"/>
    <s v="2008 log home, in a PC10. ISO comes back with this as PC 10W. Response times are less than 10 minutes. The home is on 40 acres, and there is a cave on the property that has been fully explored. No losses. Being non-renewed due to exposure (log and unprotected). "/>
    <x v="1"/>
    <s v="Will approve as long as it is confirmed there are no tours or any other related ventures with the cave. If confirmed, approval to release subject to an acceptable unprotected questionnaire and active central station fire alarms. "/>
    <m/>
    <m/>
    <s v="Busse"/>
  </r>
  <r>
    <x v="0"/>
    <x v="0"/>
    <s v="MI"/>
    <s v="Rachel"/>
    <m/>
    <s v="Rodriguez"/>
    <s v="Albert"/>
    <s v="HO3 Primary"/>
    <s v="Montgomery"/>
    <s v="TX"/>
    <s v="77316"/>
    <n v="2"/>
    <n v="400000"/>
    <n v="760000"/>
    <x v="4"/>
    <s v="1977 home with updates to heating and roof in 2017. Business on premises is wife runs a hair salon at the home. No other locations, no employees. About 5 customers a week. Insured seems to have reputable experience and no negative info found online. "/>
    <x v="0"/>
    <s v="Approve subject to TBE and CGL is in place and maintained for salon business"/>
    <m/>
    <m/>
    <s v="Busse"/>
  </r>
  <r>
    <x v="0"/>
    <x v="0"/>
    <s v="MI"/>
    <s v="David"/>
    <m/>
    <s v="Parrish"/>
    <s v="James"/>
    <s v="HO3 Primary"/>
    <s v="Spring"/>
    <s v="TX"/>
    <s v="77379"/>
    <n v="1"/>
    <n v="700000"/>
    <n v="1190000"/>
    <x v="2"/>
    <s v="1983 home with updates to all systems and roof in 2018. 2 prior large losses, neither of which appeared to be fault of insured. 2016 loss was due to drunk driver that crashed into the home $172k, 2017 loss was a water loss about $200k - They purchased new home and were doing reno, water was off, pool guy came and turned water on (was not supposed to), plumber came to do work and when started working water came out and flooded home in mater of minutes. Claim is still open due to fact that prior carrier is trying to subrogate. All repairs have been made 100%. "/>
    <x v="0"/>
    <s v="Approved - losses are not fault of insured and pose no moral/morale hazard concern. Damages have been repaired."/>
    <m/>
    <m/>
    <s v="Busse"/>
  </r>
  <r>
    <x v="0"/>
    <x v="4"/>
    <s v="CA"/>
    <s v="Alison"/>
    <m/>
    <s v="Choumas"/>
    <s v="Patricia"/>
    <s v="HO3 Primary"/>
    <s v="Newport Beach"/>
    <s v="CA"/>
    <s v="92660"/>
    <n v="3"/>
    <n v="1800000"/>
    <n v="2580000"/>
    <x v="2"/>
    <s v="1965 home with updates to systems in 2015, roof 2011. No brush exposure. Large water loss in 2016 - $196k paid. Only details given were &quot;water damage due to appliance.&quot;"/>
    <x v="1"/>
    <s v="Approved subject to a $25,000 Special Water deductible. AOP is already at $10,000"/>
    <m/>
    <m/>
    <s v="Busse"/>
  </r>
  <r>
    <x v="0"/>
    <x v="2"/>
    <s v="MI"/>
    <s v="Barbara"/>
    <m/>
    <s v="Eliason"/>
    <s v="Brian"/>
    <s v="HO3 Seas/Sec"/>
    <s v="Hillsborough"/>
    <s v="NH"/>
    <s v="03244"/>
    <s v="9?"/>
    <n v="1012500"/>
    <n v="2025000"/>
    <x v="5"/>
    <s v="1790 home, no mention of previous updates. High value, and there appears to be discrepancies as to what the value actually is. PC was currently rated as 9 but could possibly be 10, as app says FD is over 6 miles. "/>
    <x v="2"/>
    <s v="Declined due to combination of high value and age of the home. Also, being a PC 9 or 10, not near comfortable enough to consider. Confusion with value, which is understood due to age, but not something we want to pursue. "/>
    <m/>
    <m/>
    <s v="Busse"/>
  </r>
  <r>
    <x v="0"/>
    <x v="5"/>
    <s v="CA"/>
    <s v="Kirk"/>
    <m/>
    <s v="Groom"/>
    <s v="Kathleen"/>
    <s v="HO3 Primary"/>
    <s v="Paradise"/>
    <s v="CA"/>
    <s v="95969"/>
    <n v="3"/>
    <n v="612000"/>
    <n v="1224000"/>
    <x v="2"/>
    <s v="Open claim from Camp Fire. The only damages that have been noticed so far are smoke damages. Insured was having company come out to confirm if there are any other damages. No repair has yet been started. UPDATE 1/9/19: hull came back indicating the repairs have now been made and are complete, no damage to insulation or interior of property. Asking if we can reconsider"/>
    <x v="2"/>
    <s v="Declined due to open claim. Extent of damages has not even been confirmed yet, repairs have not been started. UPDATE 1/9/19: Discussed with Jeff 1/9/2019 - Had this risk been in any other area, we would be able to consider. However, given that it is in Paradise there are many other ongoing concerns - market value of homes, building moratoriums, etc. As such, we will not be accepting risks in Paradise. "/>
    <m/>
    <m/>
    <s v="Busse"/>
  </r>
  <r>
    <x v="0"/>
    <x v="0"/>
    <s v="MI"/>
    <s v="Jill"/>
    <m/>
    <s v="Jackson"/>
    <s v="Anthony"/>
    <s v="HO3 Primary"/>
    <s v="Collierville"/>
    <s v="TN"/>
    <s v="38017"/>
    <n v="10"/>
    <n v="2200000"/>
    <n v="4804220"/>
    <x v="6"/>
    <s v="1998 home no losses. High TIV and is PC 10. The insurance score is also O. Fire department is a little over 5 miles away. "/>
    <x v="2"/>
    <s v="Declined due to the combination of the high TIV and being PC 10. Insurance score helped confirm reason for decline. Being a PC 10, the rest of the risk has to be close to perfect, and especially being close to our own TIV max, we will not move forward. "/>
    <m/>
    <m/>
    <s v="Busse"/>
  </r>
  <r>
    <x v="0"/>
    <x v="0"/>
    <s v="MI"/>
    <s v="Lindsay"/>
    <m/>
    <s v="Hawkins Marital Trust"/>
    <m/>
    <s v="DP3 Vacant"/>
    <s v="Goddard"/>
    <s v="KS"/>
    <s v="67052"/>
    <n v="2"/>
    <n v="2007000"/>
    <n v="3411900"/>
    <x v="4"/>
    <s v="2007 dwelling that is connected by a breezeway to an office building, which has separate parcel. The office is an insurance company with about 20 employees that services policies in other states, so little to no outside foot traffic. The office and its employees do not have access to the home, as it is separated via a locked door. Trust beneficiaries stop in at home almost daily, and occasionally let a guest stay there. Agent advised they would already have TBE, and also exclude liability and med pay. "/>
    <x v="1"/>
    <s v="Approval subject to a TBE and liability/med pay exclusion as noted by the agent. Advised this also needs to be rated as a DP3 vacant, as it was currently listed as HO3 secondary. Agent pushed back saying the beneficiaries stay at the dwelling at least 6 nights out of the year, confirmed with Jeff that is not enough time to consider secondary and we will still need it rated as DP3 vacant. "/>
    <m/>
    <m/>
    <s v="Busse"/>
  </r>
  <r>
    <x v="2"/>
    <x v="0"/>
    <s v="MI"/>
    <s v="Lindsay"/>
    <m/>
    <s v="Duren"/>
    <s v="Bart"/>
    <s v="HO3 Primary"/>
    <s v="Fresno"/>
    <s v="CA"/>
    <s v="93722"/>
    <n v="3"/>
    <n v="624000"/>
    <n v="1248000"/>
    <x v="2"/>
    <s v="2004 home, 5 losses - 8/2015 water damage - pipe under slab in kitchen burst $52k, 12/2017 water damage cement roof flashing leaked $753, 2/2018 water damage cement roof flashing leaked $952, 8/2018 theft car broke into $846, 10/2018 water damage sink leaked no payout, fixed by installation company. Insurance score S."/>
    <x v="3"/>
    <s v="Google search shows a daycare at this property, no mention of such in referral. First need to confirm this information. Regarding losses, they are roof or appliance related, so water backup is not an issue. Will most likely want $5k AOP with $25k water deductible as requested by agent. Then, an additional 15% surcharge to account for all 5 losses. "/>
    <m/>
    <m/>
    <s v="Busse"/>
  </r>
  <r>
    <x v="3"/>
    <x v="2"/>
    <s v="MA"/>
    <s v="Barbara"/>
    <m/>
    <s v="Gheen"/>
    <s v="Brendan &amp; Toni"/>
    <s v="DP3 Vacant"/>
    <s v="Cape May"/>
    <s v="NJ"/>
    <s v="08260"/>
    <n v="5"/>
    <n v="258000"/>
    <n v="258000"/>
    <x v="7"/>
    <s v="1930 dwelling undergoing &quot;cosmetic&quot; updates. Agt asking if it should be builders risk. Insured is the GC per app. 3 fam per online info; single family per submission. Agt also asked if this barrier island is eligible."/>
    <x v="2"/>
    <s v="Asked numerous questions re condition, work being done. If more than minor and insd is GC, risk is ineligible. May have asbestos siding. Location ok per 2/18 email updated guidelines. Provided copy. // 1/16 Barbara confirmed asbestos siding - ineligible. Borderline on whether this should have a GC.  Rear cottage would have needed to be excluded."/>
    <m/>
    <m/>
    <s v="Patterson"/>
  </r>
  <r>
    <x v="3"/>
    <x v="2"/>
    <s v="MA"/>
    <s v="Barbara"/>
    <m/>
    <s v="Mendez"/>
    <s v="Minaya &amp; Narahin Nova"/>
    <s v="HO3 Primary"/>
    <s v="Waterbury"/>
    <s v="CT"/>
    <s v="06704"/>
    <n v="2"/>
    <n v="300000"/>
    <n v="510000"/>
    <x v="2"/>
    <s v="1995 dwelling listed online and on app as a condo, but HO3 app submitted. 4 prior losses, 1 closed w/no pmt. 10/18 water dmg plumbing closed no pmt; 3/18 wind $749. 4/16 water dmg other $687. 3/16 weight of ice/snow $12K."/>
    <x v="3"/>
    <s v="Need more loss detail to determine if agts quoted $5K water ded/$2500 AOP is adequate. Charged for 3 losses. Make sure no pmt expected for 10/18 loss. New roof in 2018."/>
    <m/>
    <m/>
    <s v="Patterson"/>
  </r>
  <r>
    <x v="3"/>
    <x v="6"/>
    <s v="MI"/>
    <s v="Cheryl"/>
    <m/>
    <s v="Stokes"/>
    <s v="Albert L Sr &amp; Nellie"/>
    <s v="HO3 Primary"/>
    <s v="Valdosta"/>
    <s v="GA"/>
    <s v="31601"/>
    <n v="8"/>
    <n v="228000"/>
    <n v="390000"/>
    <x v="4"/>
    <s v="1999 home. Insd is farmer. Has corn and hay and appx. 48 head of cattle. Rated as PC8. "/>
    <x v="1"/>
    <s v="Animal and business exclusion will take care of our biggest concerns. Also need farm policy to be maintained. Verify PC. Probably an 8B."/>
    <m/>
    <m/>
    <s v="Patterson"/>
  </r>
  <r>
    <x v="3"/>
    <x v="2"/>
    <s v="MA"/>
    <s v="Barbara"/>
    <m/>
    <s v="Nolan"/>
    <s v="Nancy"/>
    <s v="HO3 Primary"/>
    <s v="Plymouth"/>
    <s v="MA"/>
    <s v="02360"/>
    <m/>
    <n v="728000"/>
    <n v="1460000"/>
    <x v="2"/>
    <s v="2016 home rebuilt after 2015 non-suspicious total fire. Subsequent hose break under sink 7/18 $104K paid."/>
    <x v="3"/>
    <s v="Need to review C&amp;O report. Advised agt if ok, we would exclude mold. Need conf of loss repaired and claim closed. Only s/c for 3 years. Fire loss 7/2015."/>
    <m/>
    <m/>
    <s v="Patterson"/>
  </r>
  <r>
    <x v="4"/>
    <x v="7"/>
    <s v="LA"/>
    <s v="Hillary"/>
    <m/>
    <s v="TBD"/>
    <m/>
    <s v="HO3 Primary"/>
    <s v="Lacombe"/>
    <s v="LA"/>
    <m/>
    <m/>
    <m/>
    <m/>
    <x v="4"/>
    <s v="Only info provided is that risk is in Lacombe LA and has 6 beehives."/>
    <x v="4"/>
    <s v="Asked additional info about species of bees and whether this is a business. May apply Total Biz Excl or liab surcharge.// Honey bees only. Personal use only - no business. 10% surcharge applied."/>
    <m/>
    <m/>
    <s v="Patterson"/>
  </r>
  <r>
    <x v="4"/>
    <x v="4"/>
    <s v="CA"/>
    <s v="Tina"/>
    <m/>
    <s v="Shaolian"/>
    <s v="Mansour"/>
    <s v="HO3 Primary"/>
    <s v="Tarzana"/>
    <s v="CA"/>
    <s v="91356"/>
    <n v="2"/>
    <n v="1113840"/>
    <n v="1700000"/>
    <x v="2"/>
    <s v="1964 home updated. Not in brush. 2 prior losses &gt;4 years ago. Water/roof and backup. No backup quoted. Mold was quoted."/>
    <x v="1"/>
    <s v="No s/c needed. Advised to use discretionary credit. No backup, no mold. Get new app. Roof replaced."/>
    <m/>
    <m/>
    <s v="Patterson"/>
  </r>
  <r>
    <x v="4"/>
    <x v="6"/>
    <s v="MI"/>
    <s v="John"/>
    <m/>
    <s v="VanHoeck"/>
    <s v="Jim &amp; Joann &amp; Marie Trojanowski"/>
    <s v="DP3 Vacant"/>
    <m/>
    <m/>
    <m/>
    <m/>
    <n v="188000"/>
    <n v="247000"/>
    <x v="4"/>
    <s v="1940 home w/plumbing and roof updates. Currently vacant, will be rented. 3 applicants. Another farmer leases 80 acres for farming. Will have farm policy in place. "/>
    <x v="1"/>
    <s v="Add Total Business Excl. With that and farm policy in place, exposure should be minimal. Don't feel addl s/c needed. Check on updates to wire/heat. Need info on insurable interest. Write as DP3 vacant until occupancy changes."/>
    <m/>
    <m/>
    <s v="Patterson"/>
  </r>
  <r>
    <x v="4"/>
    <x v="8"/>
    <s v="CO"/>
    <s v="Alison"/>
    <m/>
    <s v="Canales"/>
    <s v="Susana"/>
    <s v="HO6"/>
    <s v="Vail"/>
    <s v="CO"/>
    <s v="81657"/>
    <n v="2"/>
    <n v="1900000"/>
    <n v="2300000"/>
    <x v="6"/>
    <s v="2007 condo in vail with alarms. Used as secondary w/2 night or more short term rental. Prem liab. Agt confirmed PC w/online mapping check."/>
    <x v="0"/>
    <s v="Clean risk. Common to have these high values in Vail."/>
    <m/>
    <m/>
    <s v="Patterson"/>
  </r>
  <r>
    <x v="4"/>
    <x v="0"/>
    <s v="MI"/>
    <s v="Jill"/>
    <m/>
    <s v="Kohn"/>
    <s v="Judd"/>
    <s v="HO3 Primary"/>
    <m/>
    <s v="IL"/>
    <m/>
    <n v="3"/>
    <n v="630990"/>
    <n v="1250438"/>
    <x v="2"/>
    <s v="1958 home w/ updates. Plumbing completely updated in 2008 per app. 4 water losses. 7/18 shower leak $13K, 6/18 sump pump $13K, 2/18 water heater $43K, 4/17 pipe leak $4K. No water backup. Insd had pro come out. They installed a water alarm with automatic shutoff."/>
    <x v="4"/>
    <s v="Agreed to $25K water dmg ded, 10% s/c. no mold, no backup. Losses mitigated with alarm and shutoff. Asked for plumbing inspection w/regular insp and referral back to Markel if any concerns."/>
    <m/>
    <m/>
    <s v="Patterson"/>
  </r>
  <r>
    <x v="5"/>
    <x v="3"/>
    <s v="NC"/>
    <s v="Brendon"/>
    <m/>
    <s v="Wiggins"/>
    <s v="George"/>
    <s v="HO3 Primary"/>
    <s v="Emerson"/>
    <s v="AR"/>
    <s v="71740"/>
    <n v="9"/>
    <n v="128000"/>
    <n v="230000"/>
    <x v="0"/>
    <s v="1950 home updated. Insured has 100 acres, not used for farming or livestock. Personal hunting only. No membership or leasing."/>
    <x v="1"/>
    <s v="Occ=Agriculture?  No online info. As long as it is confirmed there is no farming, okay. Personal hunting can happen on any acreage."/>
    <m/>
    <m/>
    <s v="Patterson"/>
  </r>
  <r>
    <x v="5"/>
    <x v="9"/>
    <s v="TN"/>
    <s v="John"/>
    <m/>
    <s v="Rieben"/>
    <s v="Tanaya"/>
    <s v="HO3 Primary"/>
    <s v="Leesburg"/>
    <s v="VA"/>
    <s v="20875"/>
    <n v="5"/>
    <n v="983301"/>
    <n v="1383301"/>
    <x v="2"/>
    <s v="2008 home w/ 3 prior water losses. 2 were frozen pipes from same storm but in diff locations. $28K and $8K paid in 3/14.  7/16 loss - heat pump installation issue $45K paid. Agt quoting w/$10K water ded. They provided inspection copy. Nice looking home."/>
    <x v="3"/>
    <s v="Advised we could consider $10K water ded if no mold covg. 2 losses were from same occurrence and heat pump was an install issue. However…the inspection has considerable issues that we may not be able to overcome. Listed them for the agt. PC, animals, dog, diving rock, underground tank, business on premises."/>
    <s v="Extremely high ins score."/>
    <m/>
    <s v="Patterson"/>
  </r>
  <r>
    <x v="5"/>
    <x v="4"/>
    <s v="CA"/>
    <s v="Michelle"/>
    <m/>
    <s v="Assi"/>
    <s v="Kaream"/>
    <s v="HO3 Primary"/>
    <s v="Del Mar"/>
    <s v="CA"/>
    <s v="92014"/>
    <n v="2"/>
    <n v="1477000"/>
    <n v="2658600"/>
    <x v="2"/>
    <s v="1973 home w/ 3 losses. 2 are window leaks during storms, shown to be an installation issue. 1/16 $23K paid. 1/17 $3K paid. 10/18 $115K paid for fire around the fireplace fire box. Box was defective. Not in brush."/>
    <x v="2"/>
    <s v="High value, 3 installation issues, 1973 home. What comes next?"/>
    <m/>
    <m/>
    <s v="Patterson"/>
  </r>
  <r>
    <x v="5"/>
    <x v="4"/>
    <s v="CA"/>
    <s v="Alison"/>
    <m/>
    <s v="Haber"/>
    <s v="Sherry"/>
    <s v="HO3 Primary"/>
    <s v="Newport Beach"/>
    <s v="CA"/>
    <s v="92660"/>
    <m/>
    <n v="1400000"/>
    <n v="2040000"/>
    <x v="2"/>
    <s v="1989 home w/ 3 losses.  3/17 $25K water heater broke. 3/18 toilet leak $7K 7/18 house sitter left hose on, damaged neighbor's prop. Possible original wood shake roof."/>
    <x v="1"/>
    <s v="$25K water damage ded. 7/18 loss is liab. Should mitigate any future issues. Home is 30 years old. "/>
    <s v="Good ins score."/>
    <m/>
    <s v="Patterson"/>
  </r>
  <r>
    <x v="5"/>
    <x v="6"/>
    <s v="MI"/>
    <s v="Lori"/>
    <m/>
    <s v="Westlake"/>
    <s v="David &amp; Irma"/>
    <s v="HO3 Primary"/>
    <s v="Orient"/>
    <s v="OH"/>
    <s v="43146"/>
    <n v="3"/>
    <n v="261000"/>
    <n v="507600"/>
    <x v="2"/>
    <s v="1966 home with updates to heating in 2017 and roof 2016. 4 losses within lasts 3 years, 3 paid. 4/2016 wind loss causing roof damage and further water leaking $20k, 12/2017 heat pump froze $9k, 12/2017 Wind damage, damage to chimney $1100. High insurance score. "/>
    <x v="1"/>
    <s v="The number of wind claims seemed odd for the area. As such, approved subject to a $5k AOP, then a $10k water ded and surcharge for the 3 losses. "/>
    <s v="Very good insurance score"/>
    <m/>
    <s v="Busse"/>
  </r>
  <r>
    <x v="5"/>
    <x v="0"/>
    <s v="MI"/>
    <s v="Lindsay"/>
    <m/>
    <s v="Hansen"/>
    <s v="Jerry"/>
    <s v="HO3 Seas/Sec"/>
    <s v="Oakley"/>
    <s v="UT"/>
    <s v="84055"/>
    <n v="10"/>
    <n v="1407000"/>
    <n v="2397700"/>
    <x v="5"/>
    <s v="1995 log home, not hand hewn. No updates noted. No alarms, no losses, wood stove as primary heat source. PC10 with FD 10.3 miles, response time 20-25 minutes, not accessible year-round"/>
    <x v="2"/>
    <s v="Had this been a lower TIV we may have been able to consider. However, given TIV, wood stove as primary heat source and not accessible year-round, we feel we would not be able to get an adequate rate. "/>
    <m/>
    <m/>
    <s v="Busse"/>
  </r>
  <r>
    <x v="5"/>
    <x v="0"/>
    <s v="MI"/>
    <s v="Lindsay"/>
    <m/>
    <s v="Khalaf"/>
    <s v="Azzam"/>
    <s v="HO3 Primary"/>
    <s v="Lincoln"/>
    <s v="NE"/>
    <s v="68504"/>
    <n v="2"/>
    <n v="221000"/>
    <n v="419900"/>
    <x v="4"/>
    <s v="1920 home, new purchase, partial updates to systems 2011-2013 and full roof in 2011. No Losses, wanting to offer FRC. On property is the home, private garage, and a commercial building. Insured runs an auto sales business out of comm building. Has a CGL for business. "/>
    <x v="1"/>
    <s v="It looked as if the insured had lived at the property for over a year now, so gave approval subject to confirmation there is no lapse in coverage. Further more, TBE, exclude commercial building, and completed and acceptable OHQ."/>
    <m/>
    <m/>
    <s v="Busse"/>
  </r>
  <r>
    <x v="5"/>
    <x v="2"/>
    <s v="MA"/>
    <s v="Barbara"/>
    <m/>
    <s v="McCarrick"/>
    <s v="Jack &amp; Laura"/>
    <s v="HO3 Seas/Sec"/>
    <s v="Mystic"/>
    <s v="CT"/>
    <s v="06355"/>
    <n v="4"/>
    <n v="412000"/>
    <n v="782800"/>
    <x v="8"/>
    <s v="1844 Historic home, no tours confirmed by agent. Mentioned no updates were given, however agent provided photos and systems in basement appear to be &quot;newer&quot; and the interior of the homes seems as if it was redone at some point. "/>
    <x v="1"/>
    <s v="Given that that home looks as if it was updated, we feel more comfortable. Home is in good condition. Approved subject to OHQ, interior inspection and EHP. Barbara asked for coverage on refrigerated foods, advised there is a section on &quot;refrigerated property&quot; in the Equip Breakdown endmt. "/>
    <m/>
    <m/>
    <s v="Busse"/>
  </r>
  <r>
    <x v="6"/>
    <x v="0"/>
    <s v="MI"/>
    <s v="Lindsay"/>
    <m/>
    <s v="Duren"/>
    <s v="Bart"/>
    <s v="HO3 Primary"/>
    <s v="Fresno"/>
    <s v="CA"/>
    <s v="93722"/>
    <n v="3"/>
    <n v="624000"/>
    <n v="1248000"/>
    <x v="2"/>
    <s v="2004 home. Referred for 5 losses, 4 paid. 8/17 water pipe under slab burst $52k, 12/17 cement roof flashing leaked $753, 2/18 same as 2017 claim $952, 80/2018 car broke into $846, 10/2018 sink leaked no payout installation co fixed it. S insurance score."/>
    <x v="1"/>
    <s v="Approved subject to $5,000 AOP, $25,000 water ded, exclude mold, and surcharge for the 4 paid losses. "/>
    <s v="S insurance score, very low. Has a recent history of frequent  smaller claims both water and non-water related."/>
    <m/>
    <s v="Busse"/>
  </r>
  <r>
    <x v="6"/>
    <x v="8"/>
    <s v="CO"/>
    <s v="Ashley"/>
    <m/>
    <s v="Stonehocker"/>
    <s v="Robin &amp; Michael"/>
    <s v="HO3 Builders Risk"/>
    <s v="Golden"/>
    <s v="CO "/>
    <s v="80403"/>
    <n v="9"/>
    <n v="2703585"/>
    <n v="2703585"/>
    <x v="6"/>
    <s v="New build which has been under constr for 10 months. Agt did inspection and Cov A increased greatly. PC9-Volunteer FD is .7 miles from home.Sprinklers being installed. 60% complete. Nice home."/>
    <x v="1"/>
    <s v="Cosmetic roof, completed app to be submitted (not included). Add rail, per inspection needs temp rail. 15% s/c to make up for not getting this day 1."/>
    <m/>
    <m/>
    <s v="Patterson"/>
  </r>
  <r>
    <x v="7"/>
    <x v="1"/>
    <s v="PA"/>
    <s v="Tamika"/>
    <m/>
    <s v="Lee"/>
    <s v="Thomas"/>
    <s v="DP3 Rental"/>
    <s v="Philadelphia"/>
    <s v="PA"/>
    <s v="19143"/>
    <m/>
    <n v="463740"/>
    <n v="500000"/>
    <x v="2"/>
    <s v="1925 dwelling w/updates. 4 family rental unit in Philly. Google pics average.  All similar 4 family dwellings. Across street from large park. Insd purchased in 1/2018. Shortly after, someone threw a fire bomb into the apt during the night. No injuries. Burn and smoke damage. Insd lives in New York."/>
    <x v="2"/>
    <s v="Not comfortable with the loss."/>
    <m/>
    <m/>
    <s v="Patterson"/>
  </r>
  <r>
    <x v="6"/>
    <x v="5"/>
    <s v="CA"/>
    <s v="Lisa"/>
    <m/>
    <s v="2012 O'Connor Family Trust"/>
    <m/>
    <s v="HO3 Builders Risk"/>
    <s v="San Francisco"/>
    <s v="CA"/>
    <s v="94127"/>
    <n v="1"/>
    <n v="1446000"/>
    <n v="1446000"/>
    <x v="7"/>
    <s v="1951 renovation started in 7/2017. Delay due to issue with permits. All professional construction. Not in brush. Final TIV should be below $3M. Currently 60^ complete w/only interior left. Expect 6 months to finish."/>
    <x v="1"/>
    <s v="25% surcharge for mid-term construction. Asked agt to verify rate. Advised of requirement to use WildFireRiskScore. This one is a 6 (I ran)."/>
    <m/>
    <m/>
    <s v="Patterson"/>
  </r>
  <r>
    <x v="6"/>
    <x v="0"/>
    <s v="MI"/>
    <s v="Jill"/>
    <m/>
    <s v="Gflats LLC"/>
    <m/>
    <s v="DP3 Rental"/>
    <s v="San Francisco"/>
    <s v="CA"/>
    <s v="94117"/>
    <n v="1"/>
    <n v="3500000"/>
    <n v="3870000"/>
    <x v="6"/>
    <s v="1900 dwelling w/updates. 2 prior water losses. Quoted in February 2018 and again December 2018 (see log). Insd never accepted terms or took out a policy. 10% lapse s/c applied."/>
    <x v="2"/>
    <s v="3rd submission from this insured. They've had a lapse since 2/2018. Seems like a morale hazard. This is a $3.8M home, tenant occupied and they've had prev losses.  Concern with this situation being left uninsured all this time and us handling multiple submissions."/>
    <m/>
    <m/>
    <s v="Patterson"/>
  </r>
  <r>
    <x v="8"/>
    <x v="4"/>
    <s v="CA"/>
    <s v="Alison"/>
    <m/>
    <s v="Kaplan"/>
    <m/>
    <s v="HO3 Seas/Sec w/Rental"/>
    <s v="Squaw Valley"/>
    <s v="CA"/>
    <s v="96146"/>
    <n v="2"/>
    <n v="1675000"/>
    <n v="1965000"/>
    <x v="3"/>
    <s v="1977 home w/updates. However roof is 2002 woodshake. WRS is 82."/>
    <x v="2"/>
    <s v="Woodshake in higher brush zone."/>
    <m/>
    <m/>
    <s v="Patterson"/>
  </r>
  <r>
    <x v="8"/>
    <x v="4"/>
    <s v="CA"/>
    <s v="Alison"/>
    <m/>
    <s v="Delonge"/>
    <s v="Thomas"/>
    <s v="HO3 Primary"/>
    <s v="Encinitas"/>
    <s v="CA"/>
    <s v="92024"/>
    <n v="3"/>
    <n v="550000"/>
    <n v="880000"/>
    <x v="9"/>
    <s v="1946 home updated. Nice online photos. Insd new purchase. May eventually demo or reno. Agt reviewed these options w/the retailer and they have options if the insd decides to demo (since we don't cover). One loss at another location. Special water ded due to year built. Agt will inspect."/>
    <x v="0"/>
    <s v="Reviewed online for any concerns. No issues. Agt issuing x-liab."/>
    <m/>
    <m/>
    <s v="Patterson"/>
  </r>
  <r>
    <x v="8"/>
    <x v="5"/>
    <s v="CA"/>
    <s v="Melissa"/>
    <m/>
    <s v="Valva"/>
    <s v="Marilyn"/>
    <s v="HO3 Primary"/>
    <s v="Magalia"/>
    <s v="CA"/>
    <s v="95954"/>
    <n v="4"/>
    <n v="516000"/>
    <n v="800000"/>
    <x v="2"/>
    <s v="2005 home w/$17K loss 11/18 from the camp fire. However, loss run does not confirm that this is loss of use or CAT, which is what the insd is reporting.. Loss shows still open."/>
    <x v="3"/>
    <s v="Get fire marshal or c&amp;o. Need to confirm cause."/>
    <m/>
    <m/>
    <s v="Patterson"/>
  </r>
  <r>
    <x v="8"/>
    <x v="0"/>
    <s v="MI"/>
    <s v="David"/>
    <m/>
    <s v="Sawicki"/>
    <s v="Mark"/>
    <s v="HO3 Builders Risk"/>
    <s v="Berkley"/>
    <s v="MI"/>
    <s v="48072"/>
    <n v="5"/>
    <n v="403291"/>
    <n v="700000"/>
    <x v="7"/>
    <s v="1943 home undergoing extensive renovation. Licensed GC. No light/fence per BR app. Online pics show average or better condition. Insured currently residing in home."/>
    <x v="1"/>
    <s v="Confirm avg or better. Need to have light/fence per guidelines."/>
    <m/>
    <m/>
    <s v="Patterson"/>
  </r>
  <r>
    <x v="8"/>
    <x v="8"/>
    <s v="CO"/>
    <s v="Allison"/>
    <m/>
    <s v="Beshore"/>
    <s v="Eric &amp; Ann"/>
    <s v="HO3 Seas/Sec w/Rental"/>
    <s v="Silverthorne"/>
    <s v="CO2"/>
    <m/>
    <n v="2"/>
    <n v="1052000"/>
    <n v="1683200"/>
    <x v="10"/>
    <s v="1996 home PC2. Had for 1 year. Water leak detection system installed. Agt looking to apply total of 12% credit. Has central station alarms and water leak detection and shutoff.  "/>
    <x v="0"/>
    <s v="Newer home. No losses. Nice online pics. We'll win this over Lex for going 2% more.  Excellent mitigation system."/>
    <m/>
    <m/>
    <s v="Patterson"/>
  </r>
  <r>
    <x v="8"/>
    <x v="0"/>
    <s v="MI"/>
    <s v="Jeff"/>
    <m/>
    <s v="Long"/>
    <s v="Robert"/>
    <s v="HO3 Primary"/>
    <s v="Little Rock"/>
    <s v="AR"/>
    <s v="72223"/>
    <n v="1"/>
    <n v="150000"/>
    <n v="300000"/>
    <x v="4"/>
    <s v="1961 home w/roof update only. Business on prem - screen printing and sales. Lapse for 18 mos. Due to non pay. T score. Wind/hail $1,000 prior loss."/>
    <x v="2"/>
    <s v="Concern with older home, lapse, loss, low score, along with our AR results."/>
    <m/>
    <m/>
    <s v="Patterson"/>
  </r>
  <r>
    <x v="8"/>
    <x v="4"/>
    <s v="CA"/>
    <s v="Tina"/>
    <m/>
    <s v="Austin"/>
    <s v="Rich"/>
    <s v="HO3 Primary"/>
    <s v="Greenwood"/>
    <s v="CA"/>
    <s v="95635"/>
    <n v="5"/>
    <n v="511877"/>
    <n v="940477"/>
    <x v="1"/>
    <s v="Built 1987, being non-renewed by Lexington due to their new dual street requirement. Updates to plumbing 2015, heating 2010 and roofing 2016. WRS is 92"/>
    <x v="2"/>
    <s v="Declined due to updated guidelines around WRS. "/>
    <m/>
    <m/>
    <s v="Busse"/>
  </r>
  <r>
    <x v="8"/>
    <x v="4"/>
    <s v="CA"/>
    <s v="Tina"/>
    <m/>
    <s v="Hooper Family Trust"/>
    <m/>
    <s v="HO3 Seas/Sec"/>
    <s v="Inverness"/>
    <s v="CA"/>
    <s v="94937"/>
    <m/>
    <n v="1875000"/>
    <n v="2045000"/>
    <x v="1"/>
    <s v="2000 year built, secondary home. WRS is "/>
    <x v="2"/>
    <s v="Declined due to updated guidelines around WRS. "/>
    <m/>
    <m/>
    <s v="Busse"/>
  </r>
  <r>
    <x v="8"/>
    <x v="2"/>
    <s v="MA"/>
    <s v="Brendan"/>
    <m/>
    <s v="Bauta"/>
    <s v="Pilar"/>
    <s v="HO3 Primary"/>
    <s v="Lyme"/>
    <s v="NH"/>
    <s v="03768"/>
    <n v="9"/>
    <n v="2565000"/>
    <n v="5130000"/>
    <x v="6"/>
    <s v="1820 year built with updates to all systems and roof in 2008. Protection class 9 listed on app. Over our max TIV"/>
    <x v="2"/>
    <s v="Declined due to TIV being over our maximum"/>
    <m/>
    <m/>
    <s v="Busse"/>
  </r>
  <r>
    <x v="8"/>
    <x v="0"/>
    <s v="MI"/>
    <s v="Jill"/>
    <m/>
    <s v="Goode"/>
    <s v="George"/>
    <s v="HO3 Primary"/>
    <s v="Tuscon"/>
    <s v="AZ"/>
    <s v="85749"/>
    <n v="6"/>
    <n v="284000"/>
    <n v="589600"/>
    <x v="4"/>
    <s v="1954 home with updates to all systems and roof in 2008.  insured has horse shoeing business on premises in other structure, with a GL for the business. School is held every 2 weeks with no more than 10 students at a time. 1 horse on property for personal use and 1 horse for the class. Drained swimming pool on premises. Mobile home on premises that is currently insured with another carrier and insured's relatives live in it. "/>
    <x v="1"/>
    <s v="Agent advised they already applied TBE, Animal exclusion, pool exclusion and building exclusion due to mobile home. Approving with those subjectivities in addition to a complete liability exclusion and a 10% surcharge due to the high risk of business that could cause high defense costs in the event of a claim, even though we are excluding liability. "/>
    <m/>
    <m/>
    <s v="Busse"/>
  </r>
  <r>
    <x v="8"/>
    <x v="4"/>
    <s v="CA"/>
    <s v="Alison"/>
    <m/>
    <s v="Trujillo"/>
    <s v="Robert &amp; Chloe"/>
    <s v="HO3 Primary"/>
    <s v="Topanga"/>
    <s v="CA"/>
    <s v="90290"/>
    <m/>
    <n v="1890000"/>
    <n v="2937000"/>
    <x v="9"/>
    <s v="1960 home with no initial mention of updates. Referred due to high profile. Robert is bassist for heavy metal band Metallica. 2 previous work comp claims in 2012 from when the home was under construction. There was also a complaint made against the applicant and his wife back in 2012 between them and a possible new assistant, it was a business dispute. Liability is insured elsewhere. WRS is 82"/>
    <x v="2"/>
    <s v="WRS is not in the range of an automatic decline (85+) but is pretty close. Very popular band that tends to more of a &quot;rowdy&quot; scene. Possible concerns with previous complaints. All of that in combination of the high WRS caused reason for decline. Also a declined zip code."/>
    <m/>
    <m/>
    <s v="Busse"/>
  </r>
  <r>
    <x v="8"/>
    <x v="0"/>
    <s v="MI"/>
    <s v="Jeff"/>
    <m/>
    <s v="Jones"/>
    <s v="Cam"/>
    <s v="HO3 Primary"/>
    <s v="Rushville"/>
    <s v="NE"/>
    <s v="69361"/>
    <m/>
    <n v="350000"/>
    <n v="580000"/>
    <x v="4"/>
    <s v="1900 masonry coml building converted to single family home. 3500 SF. Appears larger. Insd telecommutes for his media prod job from small outbuilding separate from home. Low ins score. Coml zoned building. Clean exterior. Lapse - 15% added."/>
    <x v="4"/>
    <s v="Need app and more info. Bldg looks larger than 3500. What is occupancy?// 1/14 MP Size checks out. Occupancy is primary only, no rental. All info appears okay."/>
    <m/>
    <m/>
    <s v="Patterson"/>
  </r>
  <r>
    <x v="9"/>
    <x v="4"/>
    <s v="CA"/>
    <s v="Kelly"/>
    <m/>
    <s v="Vardapetyan"/>
    <s v="Levon"/>
    <s v="HO3 Primary"/>
    <s v="Sun Valley"/>
    <s v="CA"/>
    <s v="91352"/>
    <n v="5"/>
    <n v="1200000"/>
    <n v="2000000"/>
    <x v="2"/>
    <s v="1963 home updated with 78 WRS. 4 prior losses, 3 due to smoke damage/cleanup from wildfire."/>
    <x v="2"/>
    <s v="Concern with High Value, prior losses, and high risk score."/>
    <m/>
    <m/>
    <s v="Patterson"/>
  </r>
  <r>
    <x v="9"/>
    <x v="4"/>
    <s v="CA"/>
    <s v="Alison"/>
    <m/>
    <s v="C&amp;M Ventures LLC"/>
    <m/>
    <s v="HO3 Primary"/>
    <s v="Indio"/>
    <s v="CA"/>
    <s v="92201"/>
    <n v="5"/>
    <n v="100000"/>
    <n v="1950000"/>
    <x v="9"/>
    <s v="2015 home owned by an LLC but the applicant is Chris Comstock - DJ Marshmellow."/>
    <x v="2"/>
    <s v="Young EDM DJ. Concern of parties, etc. Phys dmg and liab concerns."/>
    <m/>
    <m/>
    <s v="Patterson"/>
  </r>
  <r>
    <x v="9"/>
    <x v="8"/>
    <s v="CO"/>
    <s v="Allison"/>
    <m/>
    <s v="Ponticelli"/>
    <s v="Dana &amp; Sharon"/>
    <s v="HO3 Primary"/>
    <s v="Chatsworth"/>
    <s v="CA"/>
    <s v="91311"/>
    <n v="2"/>
    <n v="1179105"/>
    <n v="1689926"/>
    <x v="3"/>
    <s v="1996 home w/synthetic stucco. 79 WRS, quoted before our guidelines changed. Eff 11/27/19. Has alarms and tile roof."/>
    <x v="3"/>
    <s v="Advised need to find out if there is a drainage/weep system. Castle may not - not included in their inspection. Nice looking higher value home."/>
    <m/>
    <m/>
    <s v="Patterson"/>
  </r>
  <r>
    <x v="9"/>
    <x v="0"/>
    <s v="MI"/>
    <s v="Alexa"/>
    <m/>
    <s v="Lackey"/>
    <s v="Raymond"/>
    <s v="HO3 Seas/Sec"/>
    <s v="North Wildwood"/>
    <s v="NJ"/>
    <s v="08260"/>
    <n v="3"/>
    <n v="120000"/>
    <n v="149000"/>
    <x v="11"/>
    <s v="1930 dwelling with updates to roof 1998 and wiring and plumbing in 2000. This is a seasonal risk. No heat source and the dwelling is professionally winterized. There is also a lapse in coverage due to non-pay 9/2014, no insurance since then. H insurance score"/>
    <x v="3"/>
    <s v="Since the home is professionally winterized, we can consider given there is no heat source. Most likely used as a summer vacation home. If we consider, will require $5,000 special water deductible. Pended to ask for clarification as to why coverage is just now being looked at since the 2014 lapse. "/>
    <m/>
    <m/>
    <s v="Busse"/>
  </r>
  <r>
    <x v="9"/>
    <x v="9"/>
    <s v="TN"/>
    <s v="John"/>
    <m/>
    <s v="Trube"/>
    <s v="Harry"/>
    <s v="HO3 Seas/Sec"/>
    <s v="Comfort"/>
    <s v="TX"/>
    <s v="78013"/>
    <s v="8B"/>
    <n v="2589936"/>
    <n v="3109990"/>
    <x v="6"/>
    <s v="2014 home, appears to be a good risk. Referred due to TIV. On app, PPC was listed as 4/8B. From the information provided (hydrant distance) it looks to be 8B. There is a pool that is not fenced, however, an inspection was provided and it mentions that the entire property was fenced and gated. "/>
    <x v="1"/>
    <s v="Overall it looks to be a very nice home. Advised that 8B should be used as the PPC. Approved subject to verification that the property is fully fenced and gated. If it is not, a swimming pool exclusion should be applied."/>
    <m/>
    <m/>
    <s v="Busse"/>
  </r>
  <r>
    <x v="10"/>
    <x v="10"/>
    <s v="MA"/>
    <s v="Lori"/>
    <m/>
    <s v="Gill"/>
    <s v="Joseph &amp; Nancy"/>
    <s v="HO3 Seas/Sec"/>
    <s v="Murrells Inlet"/>
    <s v="SC"/>
    <s v="29576"/>
    <m/>
    <n v="151000"/>
    <n v="256700"/>
    <x v="11"/>
    <s v="Secondary home located in SC, not authorized to write in SC"/>
    <x v="2"/>
    <s v="Advised we are not able to accept a quote in a state they are not authorized. Advised if they have more that they see come through for the state and are interested in adding it to let us know. "/>
    <m/>
    <m/>
    <s v="Busse"/>
  </r>
  <r>
    <x v="10"/>
    <x v="2"/>
    <s v="MA"/>
    <s v="Barbara"/>
    <m/>
    <s v="Minassian"/>
    <s v="Luke"/>
    <s v="HO3 Primary"/>
    <s v="Pembroke"/>
    <s v="NH"/>
    <s v="03275"/>
    <n v="5"/>
    <n v="284660"/>
    <n v="512388"/>
    <x v="7"/>
    <s v="1968 home with no listing of updates. Condition of property is below average/poor, as there is a list of damages that need to be fixed. About half of the roof has moss growing on it. Inspection indicates more than just cosmetic repairs are needed. It is a two family property, insured's family lives on other side. Agent said that all there was is cosmetic work. "/>
    <x v="3"/>
    <s v="Advised unable to write BR if insured is acting as GC. Due to inspection noting repairs are more than cosmetic, insured would need to get a licensed GC to manage the work and licensed subcontractors in order to consider. Existing damage, roof exclusion and water exclusion would all be required until repairs are completed. Suggest to write as HO3 w/ rental and have parents obtain own HO4. Would also need to review OHQ to judge condition of systems. Inspection was only exterior."/>
    <m/>
    <m/>
    <s v="Busse"/>
  </r>
  <r>
    <x v="10"/>
    <x v="0"/>
    <s v="MI"/>
    <s v="Lindsay"/>
    <m/>
    <s v="AAMD LLC"/>
    <m/>
    <s v="HO3 Seas/Sec"/>
    <s v="Kenansville"/>
    <s v="FL"/>
    <s v="34739"/>
    <n v="3"/>
    <n v="451000"/>
    <n v="751000"/>
    <x v="4"/>
    <s v="2015 home, looks to be a very nice home. Sits on 440 acre farm/ranch with 150 cattle. Insured is a doctor and uses the property to raise cattle, plant crops and hunt dove. There is a rented mobile home on the property. A caretaker checks on the property every couple of days when insured is not there. There is a GL in place for the farm/ranch exposure. "/>
    <x v="1"/>
    <s v="Agent already advised they would apply a TBE, liability exclusion and building exclusion for farm structures. Approved with those subjectivities along with an animal exclusion and including the mobile home on the building exclusion. Does not appear to be much concern with the business."/>
    <m/>
    <m/>
    <s v="Busse"/>
  </r>
  <r>
    <x v="10"/>
    <x v="4"/>
    <s v="CA"/>
    <s v="Gina"/>
    <m/>
    <s v="Tripathi"/>
    <s v="Burton &amp; Daniel"/>
    <s v="HO3 Primary"/>
    <s v="Santa Clarita"/>
    <s v="CA"/>
    <s v="91387"/>
    <s v="2/2Y"/>
    <m/>
    <m/>
    <x v="1"/>
    <s v="This risk is being non-renewed by Lex due to their recent dual access requirement. PPC is a split, agent was asking if that is OK with our new guidelines"/>
    <x v="2"/>
    <s v="Declined per updated guidelines, split PCs no longer eligible."/>
    <m/>
    <m/>
    <s v="Busse"/>
  </r>
  <r>
    <x v="10"/>
    <x v="0"/>
    <s v="MI"/>
    <s v="David"/>
    <m/>
    <s v="Meyer"/>
    <s v="Louise &amp; Thomas"/>
    <s v="HO3 Primary"/>
    <s v="Los Angeles"/>
    <s v="CA"/>
    <s v="90068"/>
    <n v="1"/>
    <n v="1055000"/>
    <n v="2109500"/>
    <x v="9"/>
    <s v="1927 home with complete updates in 2005. Insured is a film producer, most famously known for the Hinger Games. "/>
    <x v="1"/>
    <s v="Overall, the risk seems acceptable, no concerns with profile. However, it appears that the incorrect rates were used (brush) since WRS is 78, and that our UW guidelines had been missed as they quoted 50% ERC. Gave approval highlighting our recent changes, approved subject to removing 50% ERC (25% is OK) and applying updated surcharge for brush. "/>
    <m/>
    <m/>
    <s v="Busse"/>
  </r>
  <r>
    <x v="11"/>
    <x v="0"/>
    <s v="MI"/>
    <s v="Leslie"/>
    <m/>
    <s v="Applegate"/>
    <s v="Jim"/>
    <s v="HO3 Primary"/>
    <s v="Granite Bay"/>
    <s v="CA"/>
    <s v="95746"/>
    <n v="9"/>
    <n v="550000"/>
    <n v="935000"/>
    <x v="5"/>
    <s v="1982 fully updated. PC 9 that is not in brush, WRS 15. "/>
    <x v="2"/>
    <s v="Relayed our previous communication that was sent in Dec 2018 regarding updates to unprotected PCs and that we assumed all of those were in brush. Also relayed our communication from 1/10/19 regarding our new guidelines for CA and that unprotected PCs, in brush or not, and split PCs are ineligible. "/>
    <m/>
    <m/>
    <s v="Busse"/>
  </r>
  <r>
    <x v="11"/>
    <x v="0"/>
    <s v="MI"/>
    <s v="Nicole"/>
    <m/>
    <s v="London"/>
    <s v="Stuart"/>
    <s v="HO3 Primary"/>
    <s v="Pine Grove"/>
    <s v="CA"/>
    <s v="95665"/>
    <n v="6"/>
    <n v="459000"/>
    <n v="844400"/>
    <x v="4"/>
    <s v="1995 home with updates to all between 2015-2017. WRS 82, so technically not ineligible. Insured has a plumbing business on premises. No clients come to property and employees only come to property to get a work truck/supplies. One employee may work in the office at the property. Has GL, work comp, and business umbrella policies. "/>
    <x v="1"/>
    <s v="This is another one that appears they were not using the updated brush surcharge. Rate seemed far too low to be appropriate. Remainder of risk seemed acceptable, agent already advised TBE and building exclusion for business structures, and liability is also completely excluded. Approved subject to updating rate using correct brush surcharge."/>
    <s v="This one, and the previous two referrals from Burns appear that the recently updated guidelines for CA did not make it to the SRD office. Brush rates were not applied correctly, and risks that are now ineligible were sent to us. Discussed with Melissa, who sent communication to Danielle about this matter. We are having a follow up discussion with Bill and Danielle on 1/18/19 to confirm/discuss the updated guidelines."/>
    <m/>
    <s v="Busse"/>
  </r>
  <r>
    <x v="12"/>
    <x v="3"/>
    <s v="IL"/>
    <s v="Tasha"/>
    <m/>
    <s v="Mikesh"/>
    <s v="Lamote"/>
    <s v="HO3 Seas/Sec"/>
    <s v="Bismarck"/>
    <s v="ND"/>
    <s v="58504"/>
    <n v="10"/>
    <n v="875000"/>
    <n v="1722000"/>
    <x v="6"/>
    <s v="2013 home 7 mi/11 minutes from paid FD. Straight shot. 2000' from hydrant. No alarms. Agt recommending CS fire/burglar (not required). Insd is Exec."/>
    <x v="1"/>
    <s v="Acceptable PC quest needed.  Appears this will be within 15 min. "/>
    <m/>
    <m/>
    <s v="Patterson"/>
  </r>
  <r>
    <x v="12"/>
    <x v="0"/>
    <s v="MI"/>
    <s v="Jill"/>
    <m/>
    <s v="Durer"/>
    <s v="Jennifer"/>
    <s v="DP1"/>
    <s v="Laramie"/>
    <s v="WY"/>
    <s v="82070"/>
    <n v="2"/>
    <n v="250000"/>
    <n v="345000"/>
    <x v="3"/>
    <s v="1900 dwelling with updates listed on app within past two years. However, referral noted knob and tube is still used and amps are only 75 amps. Plumbing is not fully updated and OHQ indicates cast iron and galvanized is still present. 3 family rental. Asking if we will allow DP-1 subject to electrical being updated within 30 days."/>
    <x v="1"/>
    <s v="Not willing to make an exception to issue policy with k&amp;t present. As such, approved subject to k&amp;t replaced/updated to 100 amp circuits prior to binding. Was also going to apply water exclusion due to plumbing condition, but since this is DP1 there is no need as water damage is not covered. "/>
    <m/>
    <m/>
    <s v="Busse"/>
  </r>
  <r>
    <x v="12"/>
    <x v="2"/>
    <s v="MA"/>
    <s v="Barbara"/>
    <m/>
    <s v="Malik"/>
    <s v="Rahul"/>
    <s v="HO3 Primary"/>
    <s v="Sharon"/>
    <s v="MA"/>
    <s v="02067"/>
    <n v="4"/>
    <n v="1500000"/>
    <n v="2295000"/>
    <x v="11"/>
    <s v="Referred to us due to the flat roof. 2017 year built, very nice home. Two sections of the roof are flat, where it is finished almost like a deck where people can walk on it. There are doors that open up to these areas, so it appears to be built for the purpose of being able to walk on there. Appears to be sufficient water drainage. Remainder of risk looks very nice. "/>
    <x v="0"/>
    <s v="Approved with no further restrictions in place. Flat roofs can sometimes require further subjectivities, but since this was built 2017 and has no other visual concerns, no further requirements needed."/>
    <m/>
    <m/>
    <s v="Busse"/>
  </r>
  <r>
    <x v="12"/>
    <x v="0"/>
    <s v="MI"/>
    <s v="Jill"/>
    <m/>
    <s v="Browne"/>
    <s v="Jill &amp; James"/>
    <s v="HO3 Seas/Sec"/>
    <s v="Hellertown"/>
    <s v="PA"/>
    <s v="18055"/>
    <n v="9"/>
    <n v="1700000"/>
    <n v="2720000"/>
    <x v="5"/>
    <s v="1994 year built. C/S alarm, no losses. There is an indoor pool and hot tub. Entire home is very nice, so no concern with installation/construction of the indoor pool. Home is on 22 acres. "/>
    <x v="0"/>
    <s v="Other than the fact that this is a PC 9, this looks to be a great risk. As mentioned about the pool, no concerns that would require any pool/liability exclusions or water damage exclusions. As such, approved terms"/>
    <m/>
    <m/>
    <s v="Busse"/>
  </r>
  <r>
    <x v="13"/>
    <x v="3"/>
    <s v="NC"/>
    <s v="Hayden"/>
    <m/>
    <s v="Zetzer"/>
    <s v="George A"/>
    <s v="HO3 Primary"/>
    <s v="Richmond Heights"/>
    <s v="OH"/>
    <s v="44143"/>
    <n v="4"/>
    <n v="240000"/>
    <n v="480000"/>
    <x v="2"/>
    <s v="2018 home rebuilt after total fire loss. $459,566 fire claim on 12/09/17. Cause listed as spark from fireplace.  Fireplace completely torn down and the rest of the house torn down to the studs."/>
    <x v="3"/>
    <s v="Need origin and loss report. Surcharge + 10% for large loss."/>
    <s v="Good ins score."/>
    <m/>
    <s v="Patterson"/>
  </r>
  <r>
    <x v="13"/>
    <x v="4"/>
    <s v="CA"/>
    <s v="Michelle"/>
    <m/>
    <s v="Smith"/>
    <s v="Jodi"/>
    <s v="HO3 Builders Risk"/>
    <s v="Rancho Santa Fe"/>
    <s v="CA"/>
    <s v="92067"/>
    <n v="4"/>
    <n v="2800000"/>
    <m/>
    <x v="7"/>
    <s v="Home under construction. Has been insured w/Zurich for 2 years as a builders risk. They pulled the plug. There was a 4 month delay in starting.  They expect 6 months more. Most of interior left to do. Final RC will be $2.8M."/>
    <x v="2"/>
    <s v="Too far into construction. High value. CA. "/>
    <m/>
    <m/>
    <s v="Patterson"/>
  </r>
  <r>
    <x v="13"/>
    <x v="0"/>
    <s v="MI"/>
    <s v="Sarah"/>
    <m/>
    <s v="Hale"/>
    <s v="Karen"/>
    <s v="HO3 Primary"/>
    <s v="Studio City"/>
    <s v="CA"/>
    <s v="91604"/>
    <n v="1"/>
    <n v="1500000"/>
    <n v="2800000"/>
    <x v="9"/>
    <s v="1948 home with all updates done in 2015. Applicant is an actress, most known for role on Pretty Little Liars. CS alarms, gated and fenced property. WRS 31"/>
    <x v="0"/>
    <s v="Looks to be a really nice home. No adverse information found about applicant. Asked for 50% ERC, approved subject to lowering ERC to 25%. "/>
    <m/>
    <m/>
    <s v="Busse"/>
  </r>
  <r>
    <x v="13"/>
    <x v="0"/>
    <s v="MI"/>
    <s v="David"/>
    <m/>
    <s v="Stewart"/>
    <s v="Jack"/>
    <s v="HO3 Seas/Sec"/>
    <s v="Judea"/>
    <s v="AR"/>
    <s v="72655"/>
    <n v="10"/>
    <n v="130000"/>
    <n v="208000"/>
    <x v="12"/>
    <s v="2012 hand hewn log home. PC 10 with primary heat source is woodstove. Secondary home. It is winterized. H insurance score. Address wasn’t clear on app, but listed in email."/>
    <x v="1"/>
    <s v="Approved subject to confirmation of legal/911 address. App didn’t have it and PC questionnaire wasn’t clear, but email had it. It appears to be correct in the email but confirmation before binding is required. Also, woodstove floor clearance in front of the stove needs to be extended to 18&quot;, currently only at 12&quot;. Since winterized, not large coverage amounts, approved with subjectivities. "/>
    <m/>
    <m/>
    <s v="Busse"/>
  </r>
  <r>
    <x v="13"/>
    <x v="5"/>
    <s v="CA"/>
    <s v="Lisa"/>
    <m/>
    <s v="Cairns"/>
    <s v="Chris &amp; Nancy"/>
    <s v="HO3 Primary"/>
    <s v="Oak View"/>
    <s v="CA"/>
    <s v="93002"/>
    <n v="4"/>
    <n v="550000"/>
    <n v="990000"/>
    <x v="2"/>
    <s v="Applicant had recent total fire loss in Ventura/Thomas fires. This property is a new purchase. New home year built 1984. C/S alarms. Only loss was prior CAT total loss. "/>
    <x v="0"/>
    <s v="Approved with no subjectivities. App said 50% ERC, but rating sheet agent provided showed factor of 1.13 which is the factor for 25% ERC. "/>
    <m/>
    <m/>
    <s v="Busse"/>
  </r>
  <r>
    <x v="13"/>
    <x v="0"/>
    <s v="MI"/>
    <s v="Jill"/>
    <m/>
    <s v="Jacobs"/>
    <s v="Thomas"/>
    <s v="HO3 Builders Risk"/>
    <s v="San Rafael"/>
    <s v="CA"/>
    <s v="94901"/>
    <n v="1"/>
    <n v="2900000"/>
    <n v="4780000"/>
    <x v="7"/>
    <s v="Historic home built in 1891 (Robert Dollar House). There was a complete remodel of the home in 2013. Insured is living in home while work is being done, and acting as GC/ Putting about $100,000 into kitchen and bathroom reno. Hiring subcontractors to do work."/>
    <x v="2"/>
    <s v="Photos provided show a lot of work still needs to be done. BR questionnaire also says that time left is 1-2 years. Seems like quite some time. Also, in photos provided there appears to be further damage in some areas of the home, maybe water damage, unsure of which rooms it was in. Insured also acting as GC. With all of that in consideration, passing on the risk."/>
    <m/>
    <m/>
    <s v="Busse"/>
  </r>
  <r>
    <x v="13"/>
    <x v="0"/>
    <s v="MI"/>
    <s v="Jill"/>
    <m/>
    <s v="Kumbier"/>
    <s v="Timothy &amp; Margaret"/>
    <s v="HO3 Primary"/>
    <s v="Burlington"/>
    <s v="WI "/>
    <s v="53105"/>
    <n v="10"/>
    <n v="2226500"/>
    <n v="4453000"/>
    <x v="4"/>
    <s v="2004 year built. FD is 3.6 miles away, but responding FD is volunteer so rated as a 10. Property is on 190 acres, where 130 of that is leased to farming crops. Two prior losses, 5/2016 theft loss of jewelry $2986 and 3/2017 wind $2282"/>
    <x v="1"/>
    <s v="They were honest about the PC, which is always nice to see. Looks like a really nice home. Approval subject to TBE, GL is obtained (agent noted this), confirmation of what the remaining land (60 acres) is used for, and moreso an FYI but no scheduled jewelry due to prior theft loss. "/>
    <m/>
    <m/>
    <s v="Busse"/>
  </r>
  <r>
    <x v="14"/>
    <x v="0"/>
    <s v="MI"/>
    <s v="Nicole"/>
    <m/>
    <s v="Tramel"/>
    <s v="Alan &amp; Connie"/>
    <s v="HO3 Primary"/>
    <s v="Wofford Heights"/>
    <s v="CA"/>
    <s v="93285"/>
    <n v="10"/>
    <n v="250000"/>
    <n v="475000"/>
    <x v="5"/>
    <s v="1951 home w/ full updates in 2016 (1995 per app). 20 minute response time. No time to nonrenew. Will NRN in 2020. Prem $17,111 w/ new brush s/c and PC10."/>
    <x v="0"/>
    <s v="Renew now, set up for NRN in 2020. Did not add any addl prem for 20 min response time. Expiring was around $4K."/>
    <m/>
    <m/>
    <s v="Patterson"/>
  </r>
  <r>
    <x v="14"/>
    <x v="4"/>
    <s v="CA"/>
    <s v="Alison"/>
    <m/>
    <s v="1051 W Mariposa Way"/>
    <m/>
    <s v="DP3 Vacant"/>
    <s v="Santa Maria"/>
    <s v="CA"/>
    <s v="93458"/>
    <m/>
    <n v="258000"/>
    <m/>
    <x v="0"/>
    <s v="Little info on the home itself.  Issue is the LLC, ownership, and occupancy.  This is an investment property being handled under a 1031 Exchange with triple net lease insd can buy another investment property. LLC is the lender and sale is expected to take 3 weeks. LLC would be AI."/>
    <x v="4"/>
    <s v="Similar to a land contract where owner is the LLC. Comfortable with the situation."/>
    <m/>
    <m/>
    <s v="Patterson"/>
  </r>
  <r>
    <x v="15"/>
    <x v="6"/>
    <s v="MI"/>
    <s v="John"/>
    <m/>
    <s v="Pruitt"/>
    <s v="Patricia"/>
    <s v="HO3 Primary"/>
    <s v="Crawfordsville"/>
    <s v="AR"/>
    <s v="72327"/>
    <n v="6"/>
    <n v="77000"/>
    <n v="119000"/>
    <x v="7"/>
    <s v="1964 year built, listed updates 2008-2011 for all systems and roof. Replacing siding, windows, and a porch. Completion date is September 2019? Replacement cost of property is $153k, but market value and desired Cov A is $77k. Agent advised home is in &quot;fairly rough shape&quot;."/>
    <x v="2"/>
    <s v="Too many red flags - far completion date for what seems to be little work, market value vs replacement cost, agent advised in rough shape. Insured is also on disability and asking for monthly installments. Due to all factors we are declining. "/>
    <m/>
    <m/>
    <s v="Busse"/>
  </r>
  <r>
    <x v="15"/>
    <x v="0"/>
    <s v="MI"/>
    <s v="Nicole"/>
    <m/>
    <s v="Green"/>
    <s v="Paul"/>
    <s v="HO3 Primary"/>
    <s v="Mesa"/>
    <s v="AZ"/>
    <s v="85203"/>
    <n v="1"/>
    <n v="225000"/>
    <n v="471500"/>
    <x v="4"/>
    <s v="1957 year built with updates heating 2008, wiring 1983, plumbing 1983, and roof 2012. Organ repair business runs out of shed on property behind home, repairs some electronic keyboards. Also goes to clients home to repair larger organs/pianos. Larger shed on property in poor condition which is being torn down. Empty pool in back yard. Being non-renewed for business and pool. Has GL for business"/>
    <x v="1"/>
    <s v="Photos provided by agent show only two other structures on property - shed for business and other larger shed in poor condition. Advised that Cov B should be revised since TBE will exclude business shed and a building exclusion will be applied to poor condition shed. Approved subject to TBE, building exclusion for poor shed, pool exclusion and maintain GL"/>
    <m/>
    <m/>
    <s v="Busse"/>
  </r>
  <r>
    <x v="15"/>
    <x v="11"/>
    <s v="MS"/>
    <s v="Jerrold"/>
    <m/>
    <s v="Gore"/>
    <s v="Kevin"/>
    <s v="HO3 Primary"/>
    <s v="Tulsa"/>
    <s v="OK"/>
    <s v="74137"/>
    <n v="2"/>
    <n v="743000"/>
    <n v="965900"/>
    <x v="2"/>
    <s v="2013 year built. Two losses - 7/2017 theft $6665 and 11/2017 water damage $131000. Water loss was hot water heater that burst upstairs. Water heater has been replaced and all damage has been repaired. Also, installed burglar/fire alarm system to try to mitigate future theft losses. App indicates pool that is fenced and gated. "/>
    <x v="0"/>
    <s v="Agent already included water damage exclusion and they also added a pool exclusion. No other concerns and approved as quoted."/>
    <m/>
    <m/>
    <s v="Busse"/>
  </r>
  <r>
    <x v="15"/>
    <x v="11"/>
    <s v="MS"/>
    <s v="Johnathan"/>
    <m/>
    <s v="Gore"/>
    <s v="Kevin"/>
    <s v="HO3 Seas/Sec"/>
    <s v="Vian"/>
    <s v="OK"/>
    <s v="74962"/>
    <n v="6"/>
    <n v="370000"/>
    <n v="481000"/>
    <x v="2"/>
    <s v="2009 year built. Losses listed are the same as the above quote, no specification as to which property the water loss took place at. "/>
    <x v="0"/>
    <s v="Advised that we do not need to surcharge and exclude water on both properties and to confirm which the water loss took place at and only surcharge/exclude for that quote. If there was negligence, however, the surcharge and exclusion can apply for both."/>
    <m/>
    <m/>
    <s v="Busse"/>
  </r>
  <r>
    <x v="16"/>
    <x v="0"/>
    <s v="MI"/>
    <s v="Nicole"/>
    <m/>
    <s v="Pugh"/>
    <s v="Joann"/>
    <s v="HO3 Primary"/>
    <s v="Grand Rapids"/>
    <s v="MI "/>
    <s v="49525"/>
    <n v="9"/>
    <n v="950000"/>
    <n v="1615000"/>
    <x v="5"/>
    <s v="1998 home 3 mi to FD. Tankers only, no hydrant. Prior dog bite loss. Still has the dog.  Animal Exclusion applied."/>
    <x v="1"/>
    <s v="PC quest is acceptable. "/>
    <m/>
    <m/>
    <s v="Patterson"/>
  </r>
  <r>
    <x v="16"/>
    <x v="6"/>
    <s v="MI"/>
    <s v="Cheryl"/>
    <m/>
    <s v="Handa"/>
    <s v="Anant &amp; Ashley"/>
    <s v="HO3 Primary"/>
    <s v="Chicago"/>
    <s v="IL"/>
    <s v="60642"/>
    <n v="1"/>
    <n v="607000"/>
    <n v="1050000"/>
    <x v="2"/>
    <s v="2015 home. 2 prior losses. 1/18 wind dmg to roof w/water damage $5600. 7/18 water pipe broke. $3267"/>
    <x v="1"/>
    <s v="Subj to $5000 deductible. Both losses this year. 2015 home, pipe breaks not common. Flat roof. No covg/ded required for 2015, but with a loss, $5K ded will help mitigate future loss."/>
    <m/>
    <m/>
    <s v="Patterson"/>
  </r>
  <r>
    <x v="16"/>
    <x v="8"/>
    <s v="CO"/>
    <s v="Allison"/>
    <m/>
    <s v="Rogers"/>
    <s v="Daniel &amp; Liz"/>
    <s v="HO3 Seas/Sec"/>
    <s v="Idaho Springs"/>
    <s v="CO"/>
    <s v="80452"/>
    <n v="9"/>
    <n v="286000"/>
    <n v="486200"/>
    <x v="5"/>
    <s v="2009 year built.  Not accessible year round (winter time due to snow). Insured is at property in winter for 2-3 weeks and haul water from creek for utilities. It is winterized. Neighbor checks on property when they are gone. We wrote a risk about 3/4 mile from this property, at a rate of $.72"/>
    <x v="1"/>
    <s v="Advised we typically want a rate between $.80 and $.90 for risks that are not accessible year round. Since we approved one before at $.72, will allow this one to be rated the same. Currently was at $.55 so approved subject to updated rate. Premium is then closer to $3,290"/>
    <m/>
    <m/>
    <s v="Busse"/>
  </r>
  <r>
    <x v="16"/>
    <x v="4"/>
    <s v="CA"/>
    <s v="Kelly"/>
    <m/>
    <s v="Ker"/>
    <s v="Jonathon &amp; Cynthia"/>
    <s v="HO3 Primary"/>
    <s v="Studio City"/>
    <s v="CA"/>
    <s v="91604"/>
    <n v="4"/>
    <n v="1850000"/>
    <n v="2982500"/>
    <x v="9"/>
    <s v="2007 year built. Insured is a film producer, not too high profile. Was within agent's authority but due to high profile it was referred to us. "/>
    <x v="0"/>
    <s v="Approved as quoted"/>
    <m/>
    <m/>
    <s v="Busse"/>
  </r>
  <r>
    <x v="16"/>
    <x v="2"/>
    <s v="MA"/>
    <s v="Ryan"/>
    <m/>
    <s v="Donahoe"/>
    <s v="Lawrence &amp; AnnaMarie"/>
    <s v="DP3 Rental"/>
    <s v="Garnet Valley"/>
    <s v="PA "/>
    <s v="19060"/>
    <n v="5"/>
    <n v="185000"/>
    <n v="212750"/>
    <x v="2"/>
    <s v="1901 year built, no mention of updates. 4 losses - 2 from 2014 that were hail in total about $23k. 2017 and 2018 water losses $4k and $6k. No further details about the losses. "/>
    <x v="2"/>
    <s v="Due to combination of age of the dwelling and loss history. "/>
    <s v="Very low insurance score. Basically in the &quot;do not write&quot; category. "/>
    <m/>
    <s v="Busse"/>
  </r>
  <r>
    <x v="17"/>
    <x v="8"/>
    <s v="CO"/>
    <s v="Ashley"/>
    <m/>
    <s v="Rodell"/>
    <s v="Timothy C &amp; Marjorie "/>
    <s v="HO3 Seas/Sec w/Rental"/>
    <s v="Aspen"/>
    <s v="CO"/>
    <s v="81611"/>
    <n v="4"/>
    <n v="2121000"/>
    <n v="3713640"/>
    <x v="6"/>
    <s v="1965 home w/ updates. Rented short term for 1 month increments when insd goes to their GA seasonal. Metal roof-cosmetic roof applied."/>
    <x v="1"/>
    <s v="Advised to correct rate to s/c for the STR (will add appx 12%). Need OHQ. 1 month rentals w/prop mgt co indicates stable situation. Beautiful A-frame property per pics online."/>
    <m/>
    <m/>
    <s v="Patterson"/>
  </r>
  <r>
    <x v="17"/>
    <x v="6"/>
    <s v="MI"/>
    <s v="Cheryl"/>
    <m/>
    <s v="Mysliwiec"/>
    <s v="William &amp; Diane"/>
    <s v="DP3 Rental"/>
    <s v="Marne"/>
    <s v="MI"/>
    <s v="49435"/>
    <n v="6"/>
    <n v="187000"/>
    <n v="236400"/>
    <x v="2"/>
    <s v="1952 year built. There was not a full app, seems as if they were just asking if we would consider. 4/2018 wind loss with water damage to home $10k, 5/2017 fire to detached garage, caught fire by tenant who was smoking, since been evicted $29k. C insurance score. No notes regarding updates or anything since no full app. "/>
    <x v="4"/>
    <s v="Advised that they could release the rate indication, but that we would need to review a cause and origin report before a final decision is made. If approved, it would also be subject to a completed app, system updates info, and a completed and acceptable OHQ.  // 2/5/19 MP Cheryl sent a first responder report, not a C&amp;O. OHQ okay. Terms would be ok subject to a submitted app IF we get the C&amp;O report (fire marshal). // 2/25/19 Cheryl called the fire marshal and they did not conduct an investigation. This seems to support that the fire was not suspicious.  Agreed to go forward with terms since the tenant was no longer renting this home."/>
    <m/>
    <m/>
    <s v="Patterson"/>
  </r>
  <r>
    <x v="18"/>
    <x v="6"/>
    <s v="MI"/>
    <s v="John"/>
    <m/>
    <s v="Miller"/>
    <s v="Clint &amp; Bethany"/>
    <s v="HO3 Primary"/>
    <s v="Eaton Rapids"/>
    <s v="MI "/>
    <s v="48827"/>
    <s v="8X"/>
    <n v="195500"/>
    <n v="400000"/>
    <x v="0"/>
    <s v="1959 home with elec updates only. R ins score. Non pay cancel, Hunt/trap on premises, 4 farm buildings which include 2 large 1959 barns per prior carrier app. Insd has 2 goats and some chickens."/>
    <x v="2"/>
    <s v="Goats and chickens okay. Concerned with the rest with an R ins score. Too many issues."/>
    <m/>
    <m/>
    <s v="Patterson"/>
  </r>
  <r>
    <x v="18"/>
    <x v="6"/>
    <s v="MI"/>
    <s v="Cheryl"/>
    <m/>
    <s v="Bussell"/>
    <s v="Paul"/>
    <s v="DP1"/>
    <s v="Atlanta"/>
    <s v="MI"/>
    <s v="49709"/>
    <n v="9"/>
    <n v="83000"/>
    <n v="91300"/>
    <x v="11"/>
    <s v="This is the first stand alone other structure risk that JM Wilson is quoting after we advised we are allowing them. Structure is 250 miles from insured's home. PC 9, pole barn. Insured's occupation is &quot;construction&quot;"/>
    <x v="3"/>
    <s v="Seemed odd that the structure was so far away from the insured's home. Asked for clarification as to why it is so far away and what type of security measures are in place. How often it is checked on and by whom. Regarding the insured's occupation, want to know what is stored in the building, if any employees come to the premises and if there is any construction work done there or any other connection with the insured's work. "/>
    <s v="Received response from JM Wilson advising that they are placing the risk elsewhere because they &quot;didn’t ask as many questions&quot;"/>
    <m/>
    <s v="Busse"/>
  </r>
  <r>
    <x v="18"/>
    <x v="0"/>
    <s v="MI"/>
    <s v="Jill"/>
    <m/>
    <s v="King"/>
    <s v="Derek Ross"/>
    <s v="HO3 Primary"/>
    <s v="Los Angeles"/>
    <s v="CA"/>
    <s v="90068"/>
    <n v="1"/>
    <n v="912000"/>
    <n v="1641600"/>
    <x v="9"/>
    <s v="1990 year built, no losses. It is located in brush, rated appropriately. Applicant is a television and radio presenter and actor. "/>
    <x v="0"/>
    <s v="No concerns with profile of applicant. Approved to release terms as quoted. "/>
    <m/>
    <m/>
    <s v="Busse"/>
  </r>
  <r>
    <x v="18"/>
    <x v="8"/>
    <s v="CO"/>
    <s v="Allison"/>
    <m/>
    <s v="Amendt"/>
    <s v="Travis"/>
    <s v="HO3 Primary"/>
    <s v="Sedgwick"/>
    <s v="CO"/>
    <s v="80749"/>
    <n v="10"/>
    <n v="2300000"/>
    <n v="3400000"/>
    <x v="6"/>
    <s v="2013 home in PC10 with 10-15 min response per agt. Volunteer FD per UPQ. Drive time is 12 minutes/7.9 miles, fairly straight shot.  CSFB. Insd is contractor."/>
    <x v="4"/>
    <s v="Need to resolve possible business on premises.  If it is acceptable, we are okay with the risk. Within 15 min, primary residence, has alarms, off major highway, should be open and clear response path for FD. Newer home. Online pics look good. No adverse online info for insd name. // MP 1/28/19 One employee, material/equip stored on site. Coml policies in place. Ok subj to coml policies maintained and add Total Business Exclusion."/>
    <m/>
    <m/>
    <s v="Patterson"/>
  </r>
  <r>
    <x v="19"/>
    <x v="0"/>
    <s v="MI"/>
    <s v="Nicole"/>
    <m/>
    <s v="Franks"/>
    <s v="Richard"/>
    <s v="HO3 Builders Risk"/>
    <s v="Northville"/>
    <s v="MI"/>
    <s v="48167"/>
    <n v="6"/>
    <n v="1000000"/>
    <n v="1000000"/>
    <x v="7"/>
    <s v="1937 year built. Will be fully updated in 2019, home is being completely redone/gutted. There is a lapse since July, insured just started reno and thought contractor was purchasing COC policy. House is being lifted and poured foundation. Now has 4 walls, roof is being redone. Insured is owner of Livenation (ticket website). "/>
    <x v="1"/>
    <s v="Everything checks out with the builders risk. Since there was mention of roof being replaced, approved subject to roof exclusion and water damage exclusion until it is completely replaced. They had 10% surcharge for lapse, advised that should be increased to 20%. There wasn't any mention of updates but I am assuming with gut job those are all done/being done. Advised no ineligible wiring if electricity is still active. UPDATE 3/11/19: Burns came back asking to remove water exclusion since foundation is now completed. Advised part of water exclusion was due to roof being replaced. Once that is compelte we can remove roof and water exclusions."/>
    <m/>
    <m/>
    <s v="Busse"/>
  </r>
  <r>
    <x v="20"/>
    <x v="0"/>
    <s v="MI"/>
    <s v="Nicole"/>
    <m/>
    <s v="Shelar"/>
    <s v="Jeff &amp; Rachel "/>
    <s v="HO3 Primary w/Rental"/>
    <s v="Marathon"/>
    <s v="FL"/>
    <s v="33050"/>
    <n v="5"/>
    <n v="735000"/>
    <n v="1065750"/>
    <x v="11"/>
    <s v="1979 year built with no updates. Tile roof, but agent added roof exclusion. No losses. Insured lives in home as primary but renting the downstairs out (long term rental). Referred because it is in Monroe County, wanting to make sure they can offer terms with excluding wind"/>
    <x v="0"/>
    <s v="Per Burns' guidelines, Monroe county is eligible as long as wind is excluded. There was no other reason for referral. Approved as is since wind was excluded. "/>
    <m/>
    <m/>
    <s v="Busse"/>
  </r>
  <r>
    <x v="21"/>
    <x v="1"/>
    <s v="NJ"/>
    <s v="Lisa"/>
    <m/>
    <s v="Albanese"/>
    <s v="Anthony"/>
    <s v="DP3 Vacant"/>
    <s v="Bethany"/>
    <s v="WV"/>
    <s v="26032"/>
    <m/>
    <n v="505000"/>
    <n v="555000"/>
    <x v="0"/>
    <s v="1850 historical landmark in WV currently vacant and retained for historic purposes. On college campus. Will soon be owned by the original Fraternity. Not occupied. Online application for historic status say it has been used as a museum."/>
    <x v="2"/>
    <s v="Directed this to a commercial policy."/>
    <m/>
    <m/>
    <s v="Patterson"/>
  </r>
  <r>
    <x v="21"/>
    <x v="0"/>
    <s v="MI"/>
    <s v="Lindsay"/>
    <m/>
    <s v="The Shell Family Trust"/>
    <m/>
    <s v="HO3 Seas/Sec"/>
    <s v="Ojai"/>
    <s v="CA"/>
    <s v="93023"/>
    <n v="4"/>
    <n v="1750000"/>
    <n v="3700000"/>
    <x v="9"/>
    <s v="1992 risk not in brush (RMS 46). Insd is Chairman of NBC Universal. Prior damage from the Thomas Fire. Repairs completed."/>
    <x v="1"/>
    <s v="Okay excluding liability due to high profile. Prior loss okay. Risk is not in brush."/>
    <m/>
    <m/>
    <s v="Patterson"/>
  </r>
  <r>
    <x v="22"/>
    <x v="1"/>
    <s v="PA"/>
    <s v="Tamika"/>
    <m/>
    <s v="2100-2112 Sansom St"/>
    <m/>
    <s v="HO3 Primary"/>
    <s v="Philadelphia"/>
    <s v="PA"/>
    <m/>
    <m/>
    <m/>
    <m/>
    <x v="11"/>
    <s v="Townhouse in Philly.  The 2112 portion of the townhouse has an archway at ground level that permits cars to pass through to the rear of the property. Besides access for the 2110-2112 Sansom St. home, the archway permits access to parking for several other adjacent homes. The right of access for the other homes is preserved via a Declaration of Easement.  Contained in the easement, there is a stated requirement that the owner of  2110-2112 Sansom St. home endorses as Additional Insureds those property owners onto their Homeowners Liability section. "/>
    <x v="2"/>
    <s v="We won't list multiple individuals as addl insureds. Also concern about the phys dmg exposure of multiple cars driving through.  Could possibly rate for that, but other issues we can't do."/>
    <m/>
    <m/>
    <s v="Patterson"/>
  </r>
  <r>
    <x v="22"/>
    <x v="9"/>
    <s v="TN"/>
    <s v="John"/>
    <m/>
    <s v="Milobsky"/>
    <s v="Michael"/>
    <s v="HO3 Primary"/>
    <s v="Greenwood Village"/>
    <s v="CO"/>
    <s v="80111"/>
    <n v="3"/>
    <n v="635646"/>
    <n v="780000"/>
    <x v="2"/>
    <s v="1970 home updated. Possible lapse. 4 prior losses going back to 2013. 12/13 Water 9K. 9/14 hail $34K, 7/16 hail $2K 2/17 liab $305K ski injury. Front range Arapahoe 1% wind/hail deductible."/>
    <x v="4"/>
    <s v="Asked if there is a lapse - no prior carrier listed. 1% ded ok.  Roof was replaced 1 year ago. Need info on the ski injury liab loss. Any negligence? // MP 2/8/19 No lapse, currently with Lex. Ski loss was accidental injury, son collided w/skier. They filed med claims even tho patrol said accidental. Son now lives in another state.  Considered higher wind/hail ded, but most recent was 2K which would be below the 1% ded. "/>
    <m/>
    <m/>
    <s v="Patterson"/>
  </r>
  <r>
    <x v="22"/>
    <x v="0"/>
    <s v="MI"/>
    <s v="Alexa"/>
    <m/>
    <s v="Terwelp"/>
    <s v="Ralph"/>
    <s v="HO3 Primary"/>
    <s v="Columbia"/>
    <s v="MO"/>
    <s v="65201"/>
    <n v="10"/>
    <n v="322888"/>
    <n v="548910"/>
    <x v="4"/>
    <s v="1990 home. Good ins score. PC10. Per PC quest, responding FD is 12.9 miles/16 min drive. Volunteer FD, 1/4 mile gravel. Has GL. Apply TBE. Upholstery business in basement by appointment, 3 employees. 1 small 2019 water loss $1K"/>
    <x v="3"/>
    <s v="Need info on water loss (to make sure not business related). Once this clears, ok w/TBE, GL, Exclude liability due to customers carrying furniture downstairs and 3 employees. 20-25 min response time + business = $.90 rate = $4,940. // MP 2/6/19 $915 water backup 2018 dmg to downstairs bath. Approved w/no backup, no mold, and other prev listed subjectivities."/>
    <m/>
    <m/>
    <s v="Patterson"/>
  </r>
  <r>
    <x v="23"/>
    <x v="8"/>
    <s v="CO"/>
    <s v="Alison"/>
    <m/>
    <s v="Case"/>
    <s v="Richard &amp; Christine"/>
    <s v="HO3 Primary"/>
    <s v="Boulder"/>
    <s v="CO"/>
    <s v="80302"/>
    <n v="3"/>
    <n v="1700000"/>
    <n v="3500000"/>
    <x v="2"/>
    <s v="1972 home updated. Very nice online pictures. Insd has own business, confirmed off premises. Loss 11/7/17 son's hover board caught fire. $203,437. No detail, no C&amp;O provided. Agent did not surcharge for the loss."/>
    <x v="3"/>
    <s v="Advised a rate indication can be provided with surcharge for 1 loss. Need C&amp;O report. Asked where the hover board was and what brand it was. Online articles note fires as far back as 2015, but majority of recalls were late 2017. Will review C&amp;O for any indication of negligence. "/>
    <m/>
    <m/>
    <s v="Patterson"/>
  </r>
  <r>
    <x v="23"/>
    <x v="0"/>
    <s v="MI"/>
    <s v="Alexa"/>
    <m/>
    <s v="Rogers"/>
    <s v="John"/>
    <s v="HO3 Primary"/>
    <s v="Ocala"/>
    <s v="FL"/>
    <s v="34481"/>
    <n v="10"/>
    <n v="425000"/>
    <n v="875000"/>
    <x v="4"/>
    <s v="2016 home. PC10-5.6 mi/7min drive time. Letter from FD provided. Wedding/party venue on premises separated by a fence. Insd also has 18 cows for &quot;personal use&quot;. Liab excluded. GL in place. "/>
    <x v="1"/>
    <s v="Confirmed separation w/Arial view. Require TBE, GL, No liab. Asked to confirm no biz use oth str are in Cov B. Asked to confirm no business use of home (mention of bridal dressing area - make sure this is part of the business str.)"/>
    <m/>
    <m/>
    <s v="Patterson"/>
  </r>
  <r>
    <x v="23"/>
    <x v="0"/>
    <s v="MI"/>
    <s v="Jill"/>
    <m/>
    <s v="Ivory"/>
    <s v="Joette"/>
    <s v="HO3 Primary"/>
    <s v="Sidman"/>
    <s v="PA"/>
    <s v="15955"/>
    <n v="5"/>
    <n v="280000"/>
    <n v="480000"/>
    <x v="4"/>
    <s v="1985 home. Good insurance score. Insd has small dog grooming/boarding business in a separate building on the premises. Some separation. Family run. 4-5 customers/week in busiest season. Online info okay."/>
    <x v="1"/>
    <s v="Can't tell if pool is secure from drive. Added as subjectivity. Add Total Business Excl. GL maintained. Need confirmation alpacas are secure and no buy/sell/breed. Okay with personal liab as there is separation."/>
    <m/>
    <m/>
    <s v="Patterson"/>
  </r>
  <r>
    <x v="23"/>
    <x v="0"/>
    <s v="MI"/>
    <s v="Jill"/>
    <m/>
    <s v="Jamie's School of Fish"/>
    <m/>
    <s v="HO3 Primary"/>
    <s v="Clovis"/>
    <s v="CA"/>
    <s v="93619"/>
    <n v="4"/>
    <n v="394000"/>
    <n v="735100"/>
    <x v="4"/>
    <s v="1977 year built with some updates - heating and roofing 2005-2006. Business is a swimming school, no further info provided regarding business. There also was a loss in 2017 with no further details. Agent advised there are CGL policies for the swim school. "/>
    <x v="4"/>
    <s v="I found online that there are three different locations for this business. No information was given to us in the referral about how many students, what types of classes and how often. Also, it wasn’t clear if the home is in the name of the business. Also need details of the loss that was listed.  UPDATE: Swim lessons taught in backyard pool. Baby &amp; me, private, semi-private, autism, beginning group, intermediate, and advanced group classes. Classes are April-Sept. Policy would be in the name of Jon and Jamie Collard, not the business name. Max number of students at any one time would be 5. "/>
    <s v="After further information was provided and reviewed, approved subject to TBE, Liability exclusion, pool exclusion, Older home questionnaire, and GL is maintained for the business. "/>
    <m/>
    <s v="Busse"/>
  </r>
  <r>
    <x v="24"/>
    <x v="4"/>
    <s v="CA"/>
    <s v="Alison"/>
    <m/>
    <s v="Hinduja"/>
    <s v="Deepak"/>
    <s v="HO3 Primary"/>
    <s v="Simi Valley"/>
    <s v="CA"/>
    <s v="93063"/>
    <m/>
    <n v="501000"/>
    <n v="701100"/>
    <x v="2"/>
    <s v="1950 home updated in 06, roof in 16. No PPC. 31 WRD. 2 prior losses: 1/4/17 $55K fridge line leak; line replaced.  7/31/16 roof leak; roof replaced.  Has been w/Lloyds but that Lloyds market has pulled out."/>
    <x v="4"/>
    <s v="Asked for DOB to run ins score. Also need to run PPC. Questioning if insd may have used insurance as home maintenance.// 2/5/19 Acceptable score 1.00 factor. PC4 confirmed. $25K water damage ded. No indication this is maintenance policy. Issues repaired. Will ask to confirm plumbing updates at inspection."/>
    <m/>
    <m/>
    <s v="Patterson"/>
  </r>
  <r>
    <x v="24"/>
    <x v="2"/>
    <s v="MA"/>
    <s v="Barbara"/>
    <m/>
    <s v="Fuchs"/>
    <s v="Gary &amp; Michelle"/>
    <s v="HO3 Primary"/>
    <s v="Aurora"/>
    <s v="ME"/>
    <s v="04408"/>
    <n v="9"/>
    <n v="548000"/>
    <n v="700000"/>
    <x v="3"/>
    <s v="1860 home w/partial updates. Roof issues with barn and dwelling. Insd just purchased in 12/18. Prior carrier canc due to condition of roof and a barn broken window. Otherwise nice condition per submission."/>
    <x v="2"/>
    <s v="Pre 1900 homes require full updates and avg/above avg condition.  Roof condition is a concern.  Pics and notes say major roof work and addition of dormer for the dwelling."/>
    <s v="Ins scores are below 650. 10% s/c range."/>
    <m/>
    <s v="Patterson"/>
  </r>
  <r>
    <x v="25"/>
    <x v="3"/>
    <s v="PA"/>
    <s v="John"/>
    <m/>
    <s v="Saligman"/>
    <s v="Brian"/>
    <s v="HO3 Builders Risk"/>
    <s v="Washington"/>
    <s v="DC"/>
    <s v="20007"/>
    <m/>
    <n v="2500000"/>
    <n v="2910000"/>
    <x v="6"/>
    <s v="1900 home undergoing renovation to 2nd and 3rd floors to update bathrooms, replace plumbing, replace heating. Paint, insulation. GC in place. Expect 6 month renovation. Insd living in basement apartment during the renovation. Has $50K scheduled item/total $78,686. Rated as primary."/>
    <x v="1"/>
    <s v="Rate as builders risk. Online photos look good. Vintage home. Updated in 2008 per online.  $50K individual item is ineligible."/>
    <m/>
    <m/>
    <s v="Patterson"/>
  </r>
  <r>
    <x v="25"/>
    <x v="0"/>
    <s v="MI"/>
    <s v="Jill"/>
    <m/>
    <s v="Lehtinen"/>
    <s v="Kathy &amp; Richard"/>
    <s v="HO3 Primary"/>
    <s v="Mesa "/>
    <s v="AZ"/>
    <s v="85213"/>
    <n v="5"/>
    <n v="276000"/>
    <n v="480000"/>
    <x v="4"/>
    <s v="1989 home w/ a small massage business on premises.  Total Business Exclusion applies. Insd making payments to the IRS - tax lien."/>
    <x v="2"/>
    <s v="Concern with IRS liens, financial situation, and self-employed business."/>
    <s v="Ins score report shows additional concerns."/>
    <m/>
    <s v="Patterson"/>
  </r>
  <r>
    <x v="25"/>
    <x v="4"/>
    <s v="CA"/>
    <s v="Michelle"/>
    <m/>
    <s v="Gertner"/>
    <s v="Michael"/>
    <s v="HO3 Primary"/>
    <s v="Silverado"/>
    <s v="CA"/>
    <s v="92676"/>
    <n v="4"/>
    <n v="1800300"/>
    <m/>
    <x v="2"/>
    <s v="1983 home w/$10K AOP. Prior water loss 8/14/17 $115K water damage in basement, painting damaged. Nonrenew w/Lex due to no dual access."/>
    <x v="2"/>
    <s v="Recently added &quot;no dual access&quot; declines or nrn's to our list of ineligible."/>
    <m/>
    <m/>
    <s v="Patterson"/>
  </r>
  <r>
    <x v="25"/>
    <x v="12"/>
    <s v="VA"/>
    <s v="Joanna"/>
    <m/>
    <s v="Cruz"/>
    <s v="Antonio &amp; Esperanza"/>
    <s v="HO3 Primary"/>
    <s v="Purcellville"/>
    <s v="VA"/>
    <s v="20132"/>
    <n v="9"/>
    <n v="695500"/>
    <n v="1400000"/>
    <x v="4"/>
    <s v="2004 home. Insured has daycare with 6 children. GL of $1M in place.  Little Barnyard Daycare. Insd and one assistant per website. Playground equipment outside per pics."/>
    <x v="2"/>
    <s v="Originally approved (Licensed for 6 children. Online info looks good.  TBE and GL required.) But then they sent the OHQ. 9.1 miles and 16 minute drive time. Volunteer FD makes this about 20 min response. Not eligible."/>
    <m/>
    <m/>
    <s v="Patterson"/>
  </r>
  <r>
    <x v="25"/>
    <x v="3"/>
    <s v="NC"/>
    <s v="Morgan"/>
    <m/>
    <s v="Crockett"/>
    <s v="Jack Jr &amp; Karon"/>
    <s v="HO3 Primary"/>
    <s v="Vestavia "/>
    <s v="AL"/>
    <s v="35216"/>
    <s v=" "/>
    <n v="488000"/>
    <n v="850000"/>
    <x v="3"/>
    <s v="1987 home w/roof update in 2017. EIFS per quote from Scottsdale w/competing wholesaler. "/>
    <x v="2"/>
    <s v="Provided EIFS info. Need to know year updated if any. Prof contractor can confirm if barrier or water managed type. Need OHQ and answer to blank question on app about knob &amp; tube, fuses, lead pipe. // MP 2/6/19 it is barrier EIFS, has not been replaced."/>
    <m/>
    <m/>
    <s v="Patterson"/>
  </r>
  <r>
    <x v="25"/>
    <x v="0"/>
    <s v="MI"/>
    <s v="Leslie"/>
    <m/>
    <s v="Hoelterhoff"/>
    <s v="Emma"/>
    <s v="HO3 Primary"/>
    <s v="Bartlett"/>
    <s v="IL"/>
    <s v="50133"/>
    <n v="4"/>
    <n v="304000"/>
    <n v="520000"/>
    <x v="4"/>
    <s v="1958 home w/updates. Insd leases her land to her son for his nursery business. GL in place. Quoted w/TBE."/>
    <x v="0"/>
    <s v="Maintain TBE and GL. Online pics show separation. App lists separate drive. Copies of GL provided."/>
    <m/>
    <m/>
    <s v="Patterson"/>
  </r>
  <r>
    <x v="26"/>
    <x v="3"/>
    <s v="NC"/>
    <s v="Frances"/>
    <m/>
    <s v="Buttitta"/>
    <s v="Dominic"/>
    <s v="HO3 Primary"/>
    <s v="Barrington Hills"/>
    <s v="IL"/>
    <s v="60010"/>
    <m/>
    <n v="5500500"/>
    <n v="6250500"/>
    <x v="6"/>
    <s v="TIV over $5M."/>
    <x v="2"/>
    <s v="Advised agent we don’t write over $5M. Cc'd Missy and Bethany."/>
    <m/>
    <m/>
    <s v="Patterson"/>
  </r>
  <r>
    <x v="26"/>
    <x v="10"/>
    <s v="MA"/>
    <s v="Austin"/>
    <m/>
    <s v="Wolf"/>
    <s v="Whitney"/>
    <s v="DP3 Vacant"/>
    <s v="Newport   "/>
    <s v="RI"/>
    <s v="02840"/>
    <m/>
    <n v="5420000"/>
    <n v="6390000"/>
    <x v="6"/>
    <s v="TIV over $5M."/>
    <x v="2"/>
    <s v="Advised agent we don't write over $5M."/>
    <m/>
    <m/>
    <s v="Patterson"/>
  </r>
  <r>
    <x v="27"/>
    <x v="4"/>
    <s v="CA"/>
    <s v="Alison"/>
    <m/>
    <s v="Sherman"/>
    <s v="Jody"/>
    <s v="HO3 Primary"/>
    <s v="Encino"/>
    <s v="CA"/>
    <s v="91316"/>
    <n v="4"/>
    <n v="1639000"/>
    <n v="281208"/>
    <x v="2"/>
    <s v="1959 home w/full updates in 2010, roof full update in 2002. 5/12/18 $680K water damage claim - pipe burst caused extensive damage. Still open. 3 German Shepherds. "/>
    <x v="2"/>
    <s v="How much repair left? We will decline if there is work left. 3 Shepherds ok. Not excluded. How did 2010 plumbing break? If we go forward, no water backup, no mold, water dmg exclusion. // 2.13.09 MP Repairs in progress.  There was mold. Declined."/>
    <m/>
    <m/>
    <s v="Patterson"/>
  </r>
  <r>
    <x v="27"/>
    <x v="0"/>
    <s v="MI"/>
    <s v="Rachel"/>
    <m/>
    <s v="Hernandez"/>
    <s v="Windy &amp; Armando"/>
    <s v="HO3 Primary"/>
    <s v="Sutter"/>
    <s v="CA"/>
    <s v="95953"/>
    <n v="5"/>
    <n v="266000"/>
    <n v="532000"/>
    <x v="2"/>
    <s v="1962 home w/no wiring or plumbing updates. FRC quoted. Cabinet making business on premises. Fire loss 1/27/17 $35K. Diesel shop heater caught fire - damaged work area and tools. Quoting w/building exclusion and TBE.  Ins score R."/>
    <x v="2"/>
    <s v="Combination of age of home, no wire/plumb updates, ins score, prior loss indicates possible negligence."/>
    <m/>
    <m/>
    <s v="Patterson"/>
  </r>
  <r>
    <x v="27"/>
    <x v="0"/>
    <s v="MI"/>
    <s v="Alexa"/>
    <m/>
    <s v="Shaw"/>
    <s v="Daniel &amp; Deborah"/>
    <s v="HO3 Primary"/>
    <s v="Geneva"/>
    <s v="FL"/>
    <s v="32732"/>
    <n v="9"/>
    <n v="646000"/>
    <n v="1300000"/>
    <x v="4"/>
    <s v="1996 home, masonry. Ins Score K. Insd has business on the premises. Danville Inn. Wedding venue, bed &amp; breakfast with unique &quot;rooms&quot; including tree house, airplane room, yurts. Airplane hangar and planes for personal use. Online photo shows 2 planes which app says are insured's. Appears may be used in connection w/the business. No fuels in the hangar. Danville inn has commercial policy. TBE quoted. Confirmed PC9 w/PC quest."/>
    <x v="2"/>
    <s v="Asked if any activity related to business takes place in home (check-ins or rooms for guest use).  Online shows separate areas to stay, veh rentals, use of hangar, space for biz events. May possibly consider w/TBE &amp; full lia excl, also building exclusions. // MP 2/6/19 Found airbnb listing segues and kayaks for use and they have a pistol/rifle live fire shooting range.  Staff will assist.  Too much exposure for us. Concern of defense costs."/>
    <m/>
    <m/>
    <s v="Busse/Patterson"/>
  </r>
  <r>
    <x v="27"/>
    <x v="2"/>
    <s v="MA"/>
    <s v="Liz"/>
    <m/>
    <s v="Abboud"/>
    <s v="Carlos &amp; Golnaz Movafaghi-Abboud "/>
    <s v="HO3 Primary"/>
    <s v="Newton"/>
    <s v="MA"/>
    <s v="02549"/>
    <n v="5"/>
    <n v="3176000"/>
    <n v="5716800"/>
    <x v="2"/>
    <s v="2000 home with no losses 15-17 with XSB. Had 2 larger losses. Copper gutters. High TIV, no alarm.  After detailed review of losses, found app which was over $5M TIV. 3/18 tree fell and water dmg in various places (?) $87,513. Also same date shower tile failure $16K. Other info in description sounds like they've had several gutter damage claims from ice and snow on their expensive copper gutters. Snow stops installed (?). "/>
    <x v="2"/>
    <s v="Over $5M TIV Not eligible.  Sent message to Barbara to remind the staff."/>
    <s v="If by some chance they come back, sounds like there are more losses than described. Water damage exclusion probably appropriate. Need alarms or $10K AOP deductible.  Ask for more description of losses and prior gutter damage."/>
    <m/>
    <s v="Patterson"/>
  </r>
  <r>
    <x v="27"/>
    <x v="8"/>
    <s v="CO"/>
    <s v="Ashley"/>
    <m/>
    <s v="Coors"/>
    <s v="William F"/>
    <s v="DP3 Vacant"/>
    <s v="Golden"/>
    <s v="CO"/>
    <s v="80401"/>
    <n v="4"/>
    <n v="3400000"/>
    <n v="4658000"/>
    <x v="6"/>
    <s v="1985 home. Owner passed away a few months ago. Owned by son who will be selling the home. Furnished. Caretaker checks daily on the home. Alarms in place but no CSFB connected. "/>
    <x v="1"/>
    <s v="$50K ded until CSFB are activated. Reduce to $10K ded when confirmed. Flat roof excl if no service in past year. Rate of $.45 (rater quoted .33). No incr or decr when ded is changed."/>
    <m/>
    <m/>
    <s v="Patterson"/>
  </r>
  <r>
    <x v="28"/>
    <x v="3"/>
    <s v="NH"/>
    <s v="Kyle"/>
    <m/>
    <s v="Greenberg"/>
    <s v="David &amp; Harriette"/>
    <s v="HO3 Primary"/>
    <s v="Hilton Head"/>
    <s v="SC"/>
    <s v="29928"/>
    <n v="3"/>
    <n v="600000"/>
    <n v="975000"/>
    <x v="11"/>
    <s v="2000 home with no fence around pool. Hilton Head.  Has heavy shrubs. Photos provided."/>
    <x v="1"/>
    <s v="Get answers to missing questions on app. Advised of a form in error. We allow exceptions to pool excl on Hilton Head w/heavy shrubs. Some HOA's do not allow fences (aesthetics)."/>
    <m/>
    <m/>
    <s v="Patterson"/>
  </r>
  <r>
    <x v="28"/>
    <x v="8"/>
    <s v="CO"/>
    <s v="Ashley"/>
    <m/>
    <s v="Gerhardt"/>
    <s v="David"/>
    <s v="HO3 Primary"/>
    <s v="Breckenridge"/>
    <s v="CO"/>
    <s v="80242"/>
    <n v="4"/>
    <n v="2117200"/>
    <n v="3810960"/>
    <x v="6"/>
    <s v="2004 log home. Nice online pics, no hazards. Home will be titled in name of LLC. Agt added prem liab and will get corp quest."/>
    <x v="1"/>
    <s v="Offered option of writing in individual name with LLC as AI, then could give personal liab vs. prem.  Verify Cov A-seems low for log."/>
    <m/>
    <m/>
    <s v="Patterson"/>
  </r>
  <r>
    <x v="28"/>
    <x v="13"/>
    <s v="NC"/>
    <s v="Whitney"/>
    <m/>
    <s v="Jones"/>
    <s v="Ronald"/>
    <s v="HO6"/>
    <s v="Charleston"/>
    <s v="NC"/>
    <s v="29401"/>
    <n v="1"/>
    <n v="500000"/>
    <n v="750000"/>
    <x v="6"/>
    <s v="Condo with $500K limit. Maximum is stopping them at $150K.  "/>
    <x v="0"/>
    <s v="Current guidelines allow $150K"/>
    <m/>
    <m/>
    <s v="Patterson"/>
  </r>
  <r>
    <x v="28"/>
    <x v="0"/>
    <s v="MI"/>
    <s v="Nicole"/>
    <m/>
    <s v="Wright"/>
    <s v="Korey &amp; Emily"/>
    <s v="HO3 Primary"/>
    <s v="Helper"/>
    <s v="UT"/>
    <s v="84526"/>
    <n v="10"/>
    <n v="2500000"/>
    <n v="2800000"/>
    <x v="5"/>
    <s v="2018 log home $265/SF. 25 min straight drive time by volunteer FD. Insd is installing water canons to protect property. They sit next to a large lake. CSFB. 150,000 acre cattle ranch. K score"/>
    <x v="1"/>
    <s v="Agent quoting home and contents only. No other str, no liab. Prem $9617 w/20% s/c = $.38.  Good attributes to risk, but high value and response time will be at least 30-35 minutes + longer if it sits back on acreage.  Need that info to determine final price. // 2/8 approved subj to $22,400 premium.  Insd sits 4 miles off the road, fully accessible to emergency veh. Also advised to make sure there is a 911 verifiable address.  Drive time map is within a mile or less of the property."/>
    <s v=".75 = $21,000 premium // .80=$22,400 prem."/>
    <m/>
    <s v="Patterson"/>
  </r>
  <r>
    <x v="28"/>
    <x v="0"/>
    <s v="MI"/>
    <s v="Jeff"/>
    <m/>
    <s v="Bearcat, LLC"/>
    <m/>
    <s v="HO3 Seas/Sec"/>
    <s v="Bailey"/>
    <s v="CO"/>
    <s v="80421"/>
    <n v="10"/>
    <n v="2224500"/>
    <n v="3837540"/>
    <x v="6"/>
    <s v="1875 log home. No info on gut/rehab. Okay condition. 14 min drive time, volunteer FD. WBS. Utility shed w/roof in poor condition per insp photos. Rated as PC9 - over 7 miles to FD."/>
    <x v="3"/>
    <s v="Need gut/rehab info. Confirm PC. I get 7.4 miles which is PC10. Submission says PC9. Exclude shed roof. WBS app needed. Reminded premises only liab with LLC. // 2.13.19 confirmed age of home and updates. Requoted and rate is acceptable with 14 min response. Exclude shed due to roof condition. WBS coming. MP"/>
    <m/>
    <m/>
    <s v="Patterson"/>
  </r>
  <r>
    <x v="29"/>
    <x v="4"/>
    <s v="CA"/>
    <s v="Melissa"/>
    <m/>
    <s v="Smith"/>
    <s v="Janine &amp; Richard"/>
    <m/>
    <s v="Oceanside"/>
    <s v="CA"/>
    <s v="92057"/>
    <m/>
    <n v="624781"/>
    <n v="1094061"/>
    <x v="2"/>
    <s v="Referred from Hull, email advised that this was insured through Burns on previous term. 4 losses, all water related - 4/2017 $4201, 2/2017 $16685, 12/2016 $3625, 8/2015 $11461. App was not completed and no other information provided"/>
    <x v="2"/>
    <s v="Declined due to the water losses. Agents emailed advised it did not look like prior policy had any notes of mitigation or any water deductible/exclusion. "/>
    <s v="Will follow up with Danielle at Burns to ask what steps were taken with this policy given the 4 water losses"/>
    <m/>
    <s v="Busse"/>
  </r>
  <r>
    <x v="29"/>
    <x v="0"/>
    <s v="MI"/>
    <s v="Alexa"/>
    <m/>
    <s v="Daniels"/>
    <s v="Virginia"/>
    <s v="HO3 Primary"/>
    <s v="Elwood"/>
    <s v="IN"/>
    <s v="46036"/>
    <n v="5"/>
    <n v="110000"/>
    <n v="224500"/>
    <x v="11"/>
    <s v="1697 year built with updates to heating 1998, roof 1999 and plumbing 1995. Wiring/electric is being updated this year. Very small amount of knob and tube wiring is present. Agent advised that closing is 2/12/2019 and insured has already hired contractor to come update electrical within 10 days of closing. "/>
    <x v="1"/>
    <s v="Approved subject to k&amp;t and fuses are updated within 10 days of binding, along with an OHQ. "/>
    <s v="Some chaos this week with a RUSH Stockton audit that backed up referrals.  Turnaround may have been impacted."/>
    <m/>
    <s v="Busse"/>
  </r>
  <r>
    <x v="29"/>
    <x v="4"/>
    <s v="CA"/>
    <s v="Michelle"/>
    <m/>
    <s v="Walker"/>
    <s v="Barry"/>
    <s v="HO3 Primary"/>
    <s v="Encinitas "/>
    <s v="CA"/>
    <s v="92024"/>
    <m/>
    <n v="1054760"/>
    <n v="2359332"/>
    <x v="4"/>
    <s v="Applicant has horse business on premises. Home is in the name of an LLC. No other information was given about the business, so I had to follow up. Found on follow up email that there are 12 horses, breeding and riding, separate shop with merchandise."/>
    <x v="2"/>
    <s v="Agent already mentioned they would apply TBE and animal exclusion, however, their guidelines also mention more than 5 horses and any riding warrants full liability exclusion. Even with that added and an exclusion of business related structures, not comfortable with the risk."/>
    <s v="Some chaos this week with a RUSH Stockton audit that backed up referrals.  Turnaround may have been impacted."/>
    <m/>
    <s v="Busse"/>
  </r>
  <r>
    <x v="29"/>
    <x v="0"/>
    <s v="MI"/>
    <s v="Jill"/>
    <m/>
    <s v="Stahlhuth"/>
    <s v="Gayle"/>
    <s v="HO3 Builders Risk"/>
    <s v="West Cape May"/>
    <s v="NJ"/>
    <s v="08204"/>
    <n v="4"/>
    <n v="269900"/>
    <n v="296900"/>
    <x v="7"/>
    <s v="Previous home was a secondary. There was a fire that caused extensive damage, so applicant tore it down and they are building new. Quoted term is only three months, that is expected time of COC. Modular home being placed. Fire marshal report listed cause as undetermined. The area where the fire was thought to have started had a lot of electrical cords and extension cords plugged in. In the fire report, it stated the insured said the home was used for his actors that work for his production company."/>
    <x v="1"/>
    <s v="Approved for builders risk, but advised we would not allow a policy once the COC is completed. Given the note about the home being used for the insured's actors who work at their production company."/>
    <s v="Some chaos this week with a RUSH Stockton audit that backed up referrals.  Turnaround may have been impacted."/>
    <m/>
    <s v="Busse"/>
  </r>
  <r>
    <x v="29"/>
    <x v="2"/>
    <s v="MA"/>
    <s v="Barbara"/>
    <m/>
    <s v="Bachant"/>
    <s v="William"/>
    <s v="HO3 Primary"/>
    <s v="Wareham"/>
    <s v="MA"/>
    <s v="02538"/>
    <n v="5"/>
    <n v="950000"/>
    <n v="1805000"/>
    <x v="2"/>
    <s v="2006 year built home. 3 losses. 4/2014 pipe burst. 6/2014 liability loss at a rental property that the insured no longer owns. Older woman slipped and fell. 3/2015 ice dams caused damage. Insured is contractor and did everything as should be, stated it was a rough year and everyone had claims due to this and the bad weather. "/>
    <x v="1"/>
    <s v="Approved subject to confirmation that the water loss was not at the current property. If it was, need to obtain further details of the loss and confirmation of mitigation. "/>
    <s v="Some chaos this week with a RUSH Stockton audit that backed up referrals.  Turnaround may have been impacted."/>
    <m/>
    <s v="Busse"/>
  </r>
  <r>
    <x v="29"/>
    <x v="4"/>
    <s v="CA"/>
    <s v="Tina"/>
    <m/>
    <s v="Kornfeld"/>
    <s v="Alan &amp; Connie"/>
    <s v="HO3 Primary"/>
    <s v="Thousand Oaks"/>
    <s v="CA"/>
    <s v="91360"/>
    <m/>
    <n v="3000000"/>
    <n v="4300000"/>
    <x v="7"/>
    <s v="Was a COC that is no longer under construction. The Cov A limit seems to have increased a significant amount. There was a lot done to the home, but still seems high. "/>
    <x v="1"/>
    <s v="Approved subject to confirmation of Cov A with an updated RCE. "/>
    <s v="Some chaos this week with a RUSH Stockton audit that backed up referrals.  Turnaround may have been impacted."/>
    <m/>
    <s v="Busse"/>
  </r>
  <r>
    <x v="30"/>
    <x v="0"/>
    <s v="MI"/>
    <s v="Alexa"/>
    <m/>
    <s v="McNeilly"/>
    <s v="Michael"/>
    <s v="HO3 Primary"/>
    <s v="Los Angeles"/>
    <s v="CA"/>
    <s v="90068"/>
    <n v="1"/>
    <n v="1667500"/>
    <n v="2834750"/>
    <x v="9"/>
    <s v="1933 year built with full updates in 2017 to all systems and roof. WRS 78. Applicant is an artist who had some legal battles with the city of LA about 7 years ago. He had done larger mural wall art displays on buildings and the city tried making a law to ban those and go after those who had already put them up. Nothing further found after 2013."/>
    <x v="0"/>
    <s v="Approved as there wasn’t anything lasting from the disputes. No other liability concern was posed. "/>
    <s v="Some chaos this week with a RUSH Stockton audit that backed up referrals.  Turnaround may have been impacted."/>
    <m/>
    <s v="Busse"/>
  </r>
  <r>
    <x v="30"/>
    <x v="0"/>
    <s v="MI"/>
    <s v="Rachel"/>
    <m/>
    <s v="Litvak"/>
    <s v="Alexander"/>
    <s v="HO3 Primary"/>
    <s v="Los Angeles"/>
    <s v="CA"/>
    <s v="90046"/>
    <n v="1"/>
    <n v="1300000"/>
    <n v="2340000"/>
    <x v="9"/>
    <s v="2008 year built. Applicant is a screenwriter, wrote Predators, The Three Musketeers, and The Hunting Party. WRS 80. App stated that there is a part time employee at the property. Before a decision is made, sent back for clarification on the number of employees and what work is done. "/>
    <x v="0"/>
    <s v="Agent came back advising that the employees are a house keeper and the other is a jacuzzi/spa cleaner. Approved to release terms."/>
    <s v="Some chaos this week with a RUSH Stockton audit that backed up referrals.  Turnaround may have been impacted."/>
    <m/>
    <s v="B"/>
  </r>
  <r>
    <x v="30"/>
    <x v="2"/>
    <s v="MA"/>
    <s v="Barbara"/>
    <m/>
    <s v="Saioni"/>
    <s v="Mark"/>
    <s v="HO3 Primary"/>
    <s v="Cape May Bourt House"/>
    <s v="NJ"/>
    <s v="08210"/>
    <m/>
    <n v="484025"/>
    <n v="968051"/>
    <x v="4"/>
    <s v="2006 year built. Applicant owns landscaping business and parks two trucks at his home. No business done at home, employees come only to pick up the trucks. There is a Gl for the business. Prior carrier is non-renewing due to business trucks at the property."/>
    <x v="0"/>
    <s v="Approval to release terms subject to a TBE, which was noted by the agent. "/>
    <s v="Some chaos this week with a RUSH Stockton audit that backed up referrals.  Turnaround may have been impacted."/>
    <m/>
    <s v="Busse"/>
  </r>
  <r>
    <x v="30"/>
    <x v="3"/>
    <s v="MA"/>
    <s v="Austin"/>
    <m/>
    <s v="Miller"/>
    <s v="Garold"/>
    <s v="DP3 Rental"/>
    <s v="Wilmington"/>
    <s v="VT"/>
    <s v="05363"/>
    <n v="10"/>
    <n v="2000000"/>
    <n v="2896000"/>
    <x v="2"/>
    <s v="2016 year built. Looks as if it is quoted as HO3, but agent said it’s a rental, which would need to be DP3. Also, they list as PC 9, but fire station is 5.7 miles, making it PC 10. The applicant had a $500k+ water loss that they have applied mitigation steps towards to not happen again."/>
    <x v="2"/>
    <s v="With combination of unprotected, high value, and prior loss I declined the risk. "/>
    <s v="Some chaos this week with a RUSH Stockton audit that backed up referrals.  Turnaround may have been impacted."/>
    <m/>
    <s v="Busse"/>
  </r>
  <r>
    <x v="31"/>
    <x v="0"/>
    <s v="MI"/>
    <s v="Rachel"/>
    <m/>
    <s v="Clark"/>
    <s v="Collen"/>
    <s v="HO3 Primary"/>
    <s v="Troup"/>
    <s v="TX"/>
    <s v="75789"/>
    <n v="4"/>
    <n v="3000000"/>
    <n v="5000000"/>
    <x v="6"/>
    <s v="1972 home fully updated in 2018. CSFB. No concerns. No info on placement of home on 200 acres. Totally personal, no farm, business, etc."/>
    <x v="3"/>
    <s v="$5M TIV prevents future inflation increases.  Asked for confirmation of Cov A. Where situated on 200 acres, condition of drive."/>
    <s v="Some chaos this week with a RUSH Stockton audit that backed up referrals.  Turnaround may have been impacted."/>
    <m/>
    <s v="Patterson"/>
  </r>
  <r>
    <x v="31"/>
    <x v="2"/>
    <s v="MA"/>
    <s v="Ryan"/>
    <m/>
    <s v="Westville Realty Management LLC"/>
    <m/>
    <s v="HO3 Primary"/>
    <s v="New Haven"/>
    <s v="CT"/>
    <m/>
    <m/>
    <n v="375000"/>
    <n v="420000"/>
    <x v="10"/>
    <s v="3 family rental dwelling 1 mi from coast in New Haven. Agt asking to waive deductible. (2% wind)"/>
    <x v="2"/>
    <s v="All programs have this required ded."/>
    <s v="Some chaos this week with a RUSH Stockton audit that backed up referrals.  Turnaround may have been impacted."/>
    <m/>
    <s v="Patterson"/>
  </r>
  <r>
    <x v="31"/>
    <x v="0"/>
    <s v="MI"/>
    <s v="Rachel"/>
    <m/>
    <s v="Voss"/>
    <s v="Noah"/>
    <s v="HO3 Primary"/>
    <s v="Steuben"/>
    <s v="WI "/>
    <s v="54657"/>
    <n v="10"/>
    <n v="132000"/>
    <n v="265000"/>
    <x v="12"/>
    <s v="2018 year built. Woodstove is primary heat source, installed by insured who is a senior lead life safety/fire alarm inspector. Measurements and installation of stove appear to be done well. PC is 10 with 12 minute response time. "/>
    <x v="1"/>
    <s v="My initial response was to decline, since the risk was PC 10 and the stove was not installed by a professional/contractor. The insured, however, does have knowledge of fire safety per occupation. Agent came back asking if we would approve with a 10% surcharge and subject to woodstove being inspected by a licensed contractor within 30 days. Given Burns, relatively low TIV, approved subject to items listed by agent"/>
    <m/>
    <m/>
    <s v="Busse"/>
  </r>
  <r>
    <x v="32"/>
    <x v="2"/>
    <s v="MA"/>
    <s v="Barbara"/>
    <m/>
    <s v="Taylor "/>
    <s v="Thomas Jr"/>
    <s v="DP3 Rental"/>
    <s v="West Haven"/>
    <s v="CT"/>
    <s v="06516"/>
    <m/>
    <n v="243000"/>
    <n v="267300"/>
    <x v="2"/>
    <s v="Prior dog bite loss. $300K. Claim is closed, insd no longer has dog. This is changing from owner occupied to tenant. "/>
    <x v="0"/>
    <s v="Insd no longer has the dog."/>
    <s v="Some chaos this week with a RUSH Stockton audit that backed up referrals.  Turnaround may have been impacted."/>
    <m/>
    <s v="Patterson"/>
  </r>
  <r>
    <x v="32"/>
    <x v="8"/>
    <s v="CO"/>
    <s v="Allison"/>
    <m/>
    <s v="Babbs"/>
    <s v="Carlton &amp; Maia"/>
    <s v="HO3 Seas/Sec"/>
    <m/>
    <s v="CO"/>
    <m/>
    <n v="10"/>
    <n v="600000"/>
    <n v="1074000"/>
    <x v="5"/>
    <s v="New build. We currently wrote the outbuilding on this property as a stand alone since 2017. Secondary home. Agent quoted rater +10%."/>
    <x v="1"/>
    <s v=".50 rate. Typical range .60-.90 but this was an existing customer and this is a new range for Allison."/>
    <s v="Some chaos this week with a RUSH Stockton audit that backed up referrals.  Turnaround may have been impacted."/>
    <m/>
    <s v="Patterson"/>
  </r>
  <r>
    <x v="32"/>
    <x v="6"/>
    <s v="MI"/>
    <s v="Cheryl"/>
    <m/>
    <s v="Concessi"/>
    <s v="Vincent"/>
    <s v="HO3 Seas/Sec"/>
    <s v="Curran"/>
    <s v="MI"/>
    <s v="48728"/>
    <n v="10"/>
    <n v="1400000"/>
    <n v="2836000"/>
    <x v="5"/>
    <s v="Was previously referred back in October 2018 and risk was declined due to TIV, PC, and response time. After follow up from agent, Bethany advised we could consider if alarms, pump, generator and dry hydrant were installed. Alarms are now in along with generator. Home is in the process of being built, will be ready in March. Agent advised that dry hydrant and pump will be started as soon as ground thaws. "/>
    <x v="1"/>
    <s v="Since approval was granted before by Bethany on the subjectivity that the other 4 items were completed, I approved. Still subject to hydrant and pump installation prior to binding. Also subject to confirmation of completion of property prior to issuance. "/>
    <m/>
    <m/>
    <s v="Busse"/>
  </r>
  <r>
    <x v="33"/>
    <x v="6"/>
    <s v="MI"/>
    <s v="Lori"/>
    <s v="Call"/>
    <s v="Not provided"/>
    <m/>
    <s v="HO3 Primary"/>
    <m/>
    <m/>
    <m/>
    <m/>
    <m/>
    <m/>
    <x v="2"/>
    <s v="Insured had 2 prior fire losses in 4 years.  Both were totals. $350K chimney; $600K+ garage. Score is &quot;P&quot;."/>
    <x v="2"/>
    <s v="Low score, 2 fire losses."/>
    <m/>
    <m/>
    <s v="Patterson"/>
  </r>
  <r>
    <x v="33"/>
    <x v="0"/>
    <s v="MI"/>
    <s v="Rachel"/>
    <s v="Email"/>
    <s v="Bychinski"/>
    <s v="Allene &amp; Steven Hogoboon"/>
    <s v="HO3 Primary"/>
    <s v="Greendale "/>
    <s v="WI "/>
    <s v="53129"/>
    <n v="2"/>
    <n v="300000"/>
    <n v="490000"/>
    <x v="2"/>
    <s v="Open dog bite loss 11/17. Agent applying animal exclusion. Also, recently closed bankruptcy. Steven had health issue, couldn't work, Ch 13. 1969 home no plumbing update. NRN by USAA, no detail."/>
    <x v="1"/>
    <s v="Need OHQ. (This situation is ok per Burns guidelines, OHQ is the requirement.)  Dog will be excluded. Verified bankruptcy. Need reason for NRN - if dog or bankruptcy ok, otherwise Burns will re-refer."/>
    <s v="I ran Steven's ins score and it is 751. Bankruptcy was in 2015 and now closed. All else ok."/>
    <m/>
    <s v="Patterson"/>
  </r>
  <r>
    <x v="33"/>
    <x v="2"/>
    <s v="MA"/>
    <s v="Barbara"/>
    <s v="Email"/>
    <s v="Donavand"/>
    <s v="Robert"/>
    <s v="HO3 Primary"/>
    <s v="Colchester "/>
    <s v="CT"/>
    <s v="06415"/>
    <n v="4"/>
    <n v="297000"/>
    <n v="600000"/>
    <x v="2"/>
    <s v="1965 home with partial elec, no plumbing update. 1/20/19 $90K dog bite loss. Insd has a mastiff dog. Animal exclusion applied."/>
    <x v="1"/>
    <s v="Ok to release rate indication.  Need to review details of dog bite to ensure no negligence by insd. Exclusion is applied.  If we proceed, subj to acceptable OHQ.  Suggest EHP. (Guidelines do not require deductible UW until PRE-65.) //OHQ looks ok. Verify if any galvanized. Animal exclusion. Details of dog bite show no negligence. MP 2/15/19"/>
    <m/>
    <m/>
    <s v="Patterson"/>
  </r>
  <r>
    <x v="33"/>
    <x v="2"/>
    <s v="MA"/>
    <s v="Barbara"/>
    <m/>
    <s v="Jillson"/>
    <s v="John&amp; Marianne"/>
    <s v="HO3 Primary"/>
    <s v="Guilford"/>
    <s v="CT"/>
    <s v="06437"/>
    <s v="3Y"/>
    <n v="600000"/>
    <n v="1200000"/>
    <x v="8"/>
    <s v="1870 home gutted/remodeled in 1980's. Unfenced pool with natural landscape barrier on 4.5 acre parcel.  Agt quoted w/FRC, applied 10% credit. "/>
    <x v="1"/>
    <s v="Age ok w/full gut. Recommend ERC inspection. FRC okay. RC would have been okay, so agreed w/10% credit. (Agt has 20% discretionary). Pool excl applies unless inspection shows otherwise (must resubmit to Markel). I saw business owners on app, googled address and found possible biz on prem. Agt to verify and advise."/>
    <m/>
    <m/>
    <s v="Patterson"/>
  </r>
  <r>
    <x v="33"/>
    <x v="0"/>
    <s v="MI"/>
    <s v="Jill"/>
    <m/>
    <s v="Pineapple Ridge LLC"/>
    <m/>
    <s v="HO3 Seas/Sec"/>
    <s v="McHenry"/>
    <s v="IL"/>
    <s v="60051"/>
    <n v="3"/>
    <n v="646610"/>
    <n v="850000"/>
    <x v="3"/>
    <s v="1930 home updated, but there is 20% galvanized pipes remaining visible in basement per inspection. Nice home. Agt quoted w/$25K water damage ded and wants to keep RC. $1000 AOP ded. "/>
    <x v="1"/>
    <s v="$25K ded mitigates most of our concern esp w/pipes in basement."/>
    <s v="This is a higher ded than we require in other programs."/>
    <m/>
    <s v="Patterson"/>
  </r>
  <r>
    <x v="34"/>
    <x v="6"/>
    <s v="MI"/>
    <s v="John"/>
    <m/>
    <s v="Young"/>
    <s v="James &amp; Donna"/>
    <s v="HO3 Primary"/>
    <s v="Winnebago "/>
    <s v="IL"/>
    <s v="61115"/>
    <m/>
    <n v="176107"/>
    <n v="380000"/>
    <x v="2"/>
    <s v="1940 home updated in 2015. $8K hail loss. 4/18 fire loss due to water heater malfunction $159K."/>
    <x v="2"/>
    <s v="Need C&amp;O or Fire Marshal report. Ok'd rate indication only.  // Got a report but it is the first responder report.  Indicates lots of clothing in laundry room and water heater malfunction possibly caught clothes on fire. Consider this some negligence, so declined. Advised if a fire marshal report &quot;clears&quot; the insured, send it over."/>
    <m/>
    <m/>
    <s v="Patterson"/>
  </r>
  <r>
    <x v="34"/>
    <x v="3"/>
    <s v="SC"/>
    <s v="Jeffrey"/>
    <m/>
    <s v="Audet"/>
    <s v="Adele"/>
    <s v="HO3 Primary"/>
    <s v="Kiawah Island"/>
    <s v="SC"/>
    <s v="29455"/>
    <m/>
    <n v="3136000"/>
    <n v="3936000"/>
    <x v="6"/>
    <s v="2015 home. Agt thinks we require sprinkler. Home has CSFB."/>
    <x v="4"/>
    <s v="Asked for app to get home info and clarified CSFB requirements. Cc'd Missy.//App received. All looks good. Googled address and name. All ok."/>
    <m/>
    <m/>
    <s v="Patterson"/>
  </r>
  <r>
    <x v="35"/>
    <x v="0"/>
    <s v="MI"/>
    <s v="Nicole"/>
    <m/>
    <s v="Morgan"/>
    <s v="Dave"/>
    <s v="HO3 Primary"/>
    <s v="Mooresville "/>
    <s v="IN"/>
    <s v="46158"/>
    <n v="5"/>
    <n v="200000"/>
    <n v="340000"/>
    <x v="2"/>
    <s v="1950 home that is currently a church. Insd will live in it. No renovations at this time. Updated. Modular building on property that will be a game room. 4/18 fire $542K careless smoking by wife who is now in assisted living and they are getting a divorce. 7/17 wind $30K. Both at prior location."/>
    <x v="3"/>
    <s v="Need C&amp;O or Fire Marshal report. Ok'd rate indication only. If we go forward, need to confirm this is modular. Also let us know if renovations happen. "/>
    <s v="Not asking for proof of the address of Mrs or that they are going through a divorce."/>
    <m/>
    <s v="Patterson"/>
  </r>
  <r>
    <x v="35"/>
    <x v="8"/>
    <s v="CO"/>
    <s v="Allison"/>
    <m/>
    <s v="Jackson"/>
    <s v="Eric   "/>
    <s v="DP3 Vacant"/>
    <s v="Loma"/>
    <s v="CA"/>
    <s v="81524"/>
    <n v="10"/>
    <n v="120000"/>
    <n v="122500"/>
    <x v="0"/>
    <s v="2018 pole barn that insd uses to live and store his camper/trailer.  Small living area, kitchen, bath.  Accessible year round. $.87 rate. No business use, no hunting. Insd travels for work in his camper but parks it and lives here as his primary home when not traveling."/>
    <x v="0"/>
    <s v="Strong rate.  Deadbolts and cameras with an alarm system."/>
    <m/>
    <m/>
    <s v="Patterson"/>
  </r>
  <r>
    <x v="35"/>
    <x v="4"/>
    <s v="CA"/>
    <s v="Michelle"/>
    <m/>
    <s v="Brenn"/>
    <s v="Eric &amp; Celeste, Brenn Family Trust"/>
    <s v="HO3 Primary"/>
    <s v="Aliso Viejo"/>
    <s v="CA"/>
    <s v="92656"/>
    <n v="10"/>
    <n v="432064"/>
    <n v="432064"/>
    <x v="2"/>
    <s v="1995 home not in brush. WRS 26. Liab loss 6/23/16. 17 y/o son involved in the plaintiff taking a substance that later led to his death. $601,000 settlement. Quoted without liability. Son is now 19, in college, and does not live with the parents. He lives with grandparents. Possible business on premises"/>
    <x v="3"/>
    <s v="No liability. Son no longer in home. Ran score. Need info on business. UPDATE 3/13/2019: agent confirmed no business on premises. As such, approved subject to liability exclusion. MB"/>
    <s v="633. 1.20 surcharge category. Probably good considering there was a major lawsuit. "/>
    <m/>
    <s v="Patterson"/>
  </r>
  <r>
    <x v="35"/>
    <x v="0"/>
    <s v="MI"/>
    <s v="Leslie"/>
    <m/>
    <s v="Bown"/>
    <s v="Dustin &amp; Nicole"/>
    <s v="HO3 Builders Risk"/>
    <s v="Hermosa Beach"/>
    <s v="CA"/>
    <s v="90254"/>
    <n v="2"/>
    <n v="4000000"/>
    <n v="4000000"/>
    <x v="6"/>
    <s v="Ground up new construction will take 2 years. Insd is an NHL hockey player. Liability excluded."/>
    <x v="0"/>
    <s v="No liability. Ground up professional contractor construction. $4M is the est finished value."/>
    <m/>
    <m/>
    <s v="Patterson"/>
  </r>
  <r>
    <x v="35"/>
    <x v="3"/>
    <s v="IL"/>
    <s v="Tasha"/>
    <m/>
    <s v="French"/>
    <s v="Shane"/>
    <s v="DP3 Vacant"/>
    <s v="Avon"/>
    <s v="OH"/>
    <s v="44011"/>
    <n v="2"/>
    <n v="558000"/>
    <n v="558000"/>
    <x v="9"/>
    <s v="Vacant dwelling owned by &quot;shock jock” in the Cleveland OH radio market. Some online antics. Dwelling has been vacant 2 years. Prem liab requested. "/>
    <x v="4"/>
    <s v="Tasha is trying to quote with us - we've received several. Ex liab if we do it.  JB had addl questions about why moving ins now and why vacant 1.5 years and now selling.// 2.19.19 Lloyds cancelled subagt. Insd got married, bought bigger house, finally decided to sell old house. Ok'd with no liab and $.35 rate (vs quoted .25). Discussed/approved with John."/>
    <m/>
    <m/>
    <s v="Patterson"/>
  </r>
  <r>
    <x v="36"/>
    <x v="4"/>
    <s v="CA"/>
    <s v="Kelly"/>
    <m/>
    <s v="Barsotti"/>
    <s v="Scott"/>
    <s v="HO3 Primary"/>
    <s v="Los Angeles"/>
    <s v="CA"/>
    <s v="90034"/>
    <n v="1"/>
    <n v="911000"/>
    <n v="1800000"/>
    <x v="10"/>
    <s v="1948 home replumbed in 2016, heat in 2017, elec 2015. Slate roof 2012. Agt quoted with $50K water damage ded. 3 losses 1/17 water bathroom leak $97K. 3/17 water wash machine line break $292K. 7/17 water toilet line flooded downstairs $45K."/>
    <x v="0"/>
    <m/>
    <m/>
    <m/>
    <m/>
  </r>
  <r>
    <x v="36"/>
    <x v="2"/>
    <s v="MA"/>
    <s v="Barbara"/>
    <m/>
    <s v="Craven Family Irrevocable Trust"/>
    <m/>
    <s v="HO3 Seas/Sec w/Rental"/>
    <s v="Chatham"/>
    <s v="MA"/>
    <s v="02633"/>
    <n v="3"/>
    <n v="680000"/>
    <n v="855000"/>
    <x v="8"/>
    <s v="Year built 1800, however it was fully gutted in 2018. Seasonal risk with rental (8 weeks). YOC was entered as 2018, which is correct. Also asked about including 25% ordinance or law coverage. "/>
    <x v="1"/>
    <s v="Advised that 2018 is correct for YOC since it was gutted/rebuilt in that year. Online photos of home look really nice. ERC would be available. Advised subject to confirmation as to why increased ord/law is desired. If it was gutted and reno'd in 2018 everything should have been brought up to code. Also subject to EHP being completed confirming updated systems. "/>
    <m/>
    <m/>
    <s v="Busse"/>
  </r>
  <r>
    <x v="36"/>
    <x v="6"/>
    <s v="MI"/>
    <s v="Cheryl"/>
    <m/>
    <s v="Seiflow"/>
    <s v="Gerald"/>
    <s v="HO3 Primary"/>
    <s v="Lake Villa"/>
    <s v="IL"/>
    <s v="60046"/>
    <m/>
    <m/>
    <m/>
    <x v="2"/>
    <s v="Agent provided two applications, one for primary home and one for secondary. They also advised that they may want to quote the applicants condo as well. Applications had the same info across both. 3 losses, 49k hail in 2015, 19k hail/wind 2018 and 6k pipe break 2018. "/>
    <x v="3"/>
    <s v="Advised that we could get comfortable with the risk, however, would need correct and complete apps for both properties, along with premium for each. Advised we may consider either a higher deductible or increased surcharge due to losses. "/>
    <m/>
    <m/>
    <s v="Busse"/>
  </r>
  <r>
    <x v="36"/>
    <x v="0"/>
    <s v="MI"/>
    <s v="Alexa"/>
    <m/>
    <s v="Burns"/>
    <s v="Melissa"/>
    <s v="HO3 Primary"/>
    <s v="Surfside Beach"/>
    <s v="SC"/>
    <s v="29575"/>
    <n v="1"/>
    <n v="140900"/>
    <n v="267710"/>
    <x v="2"/>
    <s v="Risk is a townhome built in 1984, full updates in 2018. 3 losses, 1) neighbor unit caught fire caused smoke damage to insured $97k. 2) neighbor had water leak that created standing water in insureds home $14k. 3) wind loss over 2 years old $1747. Applicant also has in home business, sells 31 products. no foot traffic. "/>
    <x v="1"/>
    <s v="Approved subject to surcharging for the losses and confirmation that the losses originated in the neighboring townhome. "/>
    <m/>
    <m/>
    <s v="Busse"/>
  </r>
  <r>
    <x v="36"/>
    <x v="2"/>
    <s v="MA"/>
    <s v="Barbara"/>
    <m/>
    <s v="Whitehill"/>
    <s v="Richard &amp; Dawn"/>
    <s v="HO3 Primary"/>
    <s v="Plymouth"/>
    <s v="CT"/>
    <s v="06786"/>
    <n v="5"/>
    <n v="326000"/>
    <n v="652000"/>
    <x v="2"/>
    <s v="1988 year built with updates to elec 2010, heating 2010, and roof 2013. 8/2015 claim was a dog bite $145k. Friend was visiting and teasing dog, applicant asked friend to stop, dog got nervous and bit the person. Insured still owns the dog (beagle). "/>
    <x v="1"/>
    <s v="Talked with Melissa on this one, feels comfortable that our animal exclusion is strong enough to allow policy to issue with exclusion applied. Subject to animal exclusion and completed app. "/>
    <m/>
    <m/>
    <s v="Busse"/>
  </r>
  <r>
    <x v="37"/>
    <x v="0"/>
    <s v="MI"/>
    <s v="Alexa"/>
    <m/>
    <s v="Stentz"/>
    <s v="Sarah"/>
    <s v="HO3 Primary"/>
    <s v="Indianapolis"/>
    <s v="IN"/>
    <s v="46220"/>
    <n v="2"/>
    <n v="300000"/>
    <n v="510000"/>
    <x v="8"/>
    <s v="1910 year built home, updates to heating 2019, roof 2005 and plumbing 2000. Wiring still has knob and tube wiring. Insured is just purchasing home and having contractor replace wiring &quot;very soon after closing.&quot; Risk is also not 100% on circuit breakers"/>
    <x v="2"/>
    <s v="Asked agent to confirm how much and where throughout the home the knob and tube is present and also if any was active. We were advised that it is throughout the home and still active. Since it is active and not minimal presence, declining risk. "/>
    <m/>
    <m/>
    <s v="Busse"/>
  </r>
  <r>
    <x v="37"/>
    <x v="0"/>
    <s v="MI"/>
    <s v="Nicole"/>
    <m/>
    <s v="Philo"/>
    <s v="Scott"/>
    <s v="HO3 Primary"/>
    <s v="Cedar Springs"/>
    <s v="MI"/>
    <s v="49319"/>
    <n v="4"/>
    <n v="200000"/>
    <n v="380000"/>
    <x v="4"/>
    <s v="2005 year built. Daycare on premises, with 6 children. Quoted with TBE in place, they will have GL in place. Application and questionnaire shows above ground pool and trampoline are at the risk. "/>
    <x v="3"/>
    <s v="Need to know more info on pool and trampoline. Pended to ask: are either the pool or trampoline used by the daycare children? If so, for how long and what type of supervision. If not, are both fenced off from where the children are allowed to go and with no way for them to access. Advised if we do approve terms, a pool exclusion, trampoline exclusion and TBE will all apply. Advised we would also want to see photos of the pool and trampoline. "/>
    <m/>
    <m/>
    <s v="Busse"/>
  </r>
  <r>
    <x v="38"/>
    <x v="0"/>
    <s v="MI"/>
    <s v="Jill"/>
    <m/>
    <s v="Flad"/>
    <s v="Christopher"/>
    <s v="HO3 Primary"/>
    <s v="Cross Plains"/>
    <s v="WI "/>
    <s v="53528"/>
    <n v="5"/>
    <n v="300000"/>
    <n v="510000"/>
    <x v="4"/>
    <s v="2002 year built with daycare on premises. 8 children, licensed, no staff. Two losses 9/2016 hail paid $32k, 8/2018 water back up paid $10k"/>
    <x v="1"/>
    <s v="Approved subject to TBE, surcharge for the losses, and no water back up coverage due to the water claim. "/>
    <m/>
    <m/>
    <s v="Busse"/>
  </r>
  <r>
    <x v="38"/>
    <x v="0"/>
    <s v="MI"/>
    <s v="Jill"/>
    <m/>
    <s v="Manpreet"/>
    <s v="Ruby Mann"/>
    <s v="DP3 Rental"/>
    <s v="Saint Cloud"/>
    <s v="FL"/>
    <s v="34771"/>
    <n v="6"/>
    <n v="548000"/>
    <n v="588480"/>
    <x v="2"/>
    <s v="2004 year built rental dwelling. Two water losses, 6/2018 paid $45k and 7/2018 paid $8500. The larger water loss was a pipe leak on the toilet. Tenant did not notify property management company for several weeks, causing damage to several rooms. The tenant is still occupying the dwelling. "/>
    <x v="2"/>
    <s v="Declined risk due to tenant still occupying dwelling. Still not comfortable even if we apply higher water deductible or water exclusion, as there is concern for any other portion of the dwelling that the tenant could find damage and just not report. Moral hazard. "/>
    <m/>
    <m/>
    <s v="Busse"/>
  </r>
  <r>
    <x v="38"/>
    <x v="4"/>
    <s v="CA"/>
    <s v="Alison"/>
    <m/>
    <s v="McCutcheon"/>
    <s v="John"/>
    <s v="HO3 Primary"/>
    <s v="Redwood City"/>
    <s v="CA"/>
    <s v="94062"/>
    <n v="5"/>
    <n v="1000000"/>
    <n v="1500000"/>
    <x v="2"/>
    <s v="1998 year built, WRS 6. Per agent, applicant has not had claims for 30 years until 2018. Automatic fire sprinkler pipe was ruptured during installation of a ceiling fan $226k. Then, while applicant was our of the home for damage to be repaired, someone broke in to the vacant home and stole personal property $27k. CSA alarms have been installed. Agent already included a water exclusion. "/>
    <x v="0"/>
    <s v="Approved as quoted since water exclusion was already applied. No other concerns, CSA alarms will help mitigate any future theft losses. UPDATE 3/20/2019: Alison came back asking if we can consider removing the water damage exclusion and moving forward with an increased deductible instead. Loss was not one that indicates plumbing system issues, and was fault when insured hit a pipe when installing a ceiling fan. No other losses other than this loss. Advised we will approve with the removal of the exclusion and applying a $25,000 water damage deductible. "/>
    <s v="The initial request came from the agent advising they would put a water exclusion in place, so I approved terms as such, even though just an incrased deductible would have been acceptable. "/>
    <m/>
    <s v="Busse"/>
  </r>
  <r>
    <x v="38"/>
    <x v="4"/>
    <s v="CA"/>
    <s v="Alison"/>
    <m/>
    <s v="Krushnic"/>
    <s v="Dmitri"/>
    <s v="DP3 Rental"/>
    <s v="Los Angeles"/>
    <s v="CA"/>
    <s v="90027"/>
    <m/>
    <n v="794000"/>
    <n v="883400"/>
    <x v="9"/>
    <s v="Applicant is an actor, not in any major films. 1922 year built with complete updates to everything in 2000. Alison called me and asked if they had to refer this if everything else is within their authority and they are excluding liability on this risk. "/>
    <x v="0"/>
    <s v="Approved risk. Advised that even though everything else besides high profile is within authority and they are excluding liability, we still want to see them. They could be a high enough profile that could raise concern for not only liability, but physical damage to the property as well. "/>
    <m/>
    <m/>
    <s v="Busse"/>
  </r>
  <r>
    <x v="38"/>
    <x v="3"/>
    <s v="SC"/>
    <s v="Zach"/>
    <m/>
    <s v="Murphy"/>
    <s v="Joseph"/>
    <s v="HO3 Seas/Sec"/>
    <s v="Kiawah Island"/>
    <s v="SC"/>
    <s v="29455"/>
    <n v="3"/>
    <n v="3580538"/>
    <n v="3980538"/>
    <x v="6"/>
    <s v="2001 year built. Looks to be a very nice home. In gated community with CSA alarms. "/>
    <x v="0"/>
    <s v="Approved risk, no concerns. "/>
    <m/>
    <m/>
    <s v="Busse"/>
  </r>
  <r>
    <x v="38"/>
    <x v="0"/>
    <s v="MI"/>
    <s v="Jill"/>
    <m/>
    <s v="Lucero"/>
    <s v="Johnny &amp; Kay"/>
    <s v="HO3 Primary"/>
    <s v="Clovis"/>
    <s v="NM"/>
    <s v="88101"/>
    <n v="3"/>
    <n v="195700"/>
    <n v="352260"/>
    <x v="4"/>
    <s v="1961 year built with updates to everything in 2000, 2012, and 2014. Applicant designs t-shirts, signs, and banners. Is in an attached structure of the home, but has a locking door that separates it from the home. At most there might be 1-2 people that visit per week. Applicant recent had a knee surgery and will not being doing much business for the next 6 months. They do not have a GL for the business."/>
    <x v="0"/>
    <s v="Agent already advised TBE, so approved as is. Not so much concerned that they do not have a GL due to the type of business and very limited foot traffic. "/>
    <m/>
    <m/>
    <s v="Busse"/>
  </r>
  <r>
    <x v="38"/>
    <x v="8"/>
    <s v="CO"/>
    <s v="Allison"/>
    <m/>
    <s v="Lawson"/>
    <s v="Kristian &amp; Tami"/>
    <s v="DP3 Rental"/>
    <s v="Golden"/>
    <s v="CO"/>
    <s v="90403"/>
    <n v="9"/>
    <n v="140000"/>
    <n v="159000"/>
    <x v="1"/>
    <s v="They have this applicants other rental property already insured and are looking to add this second rental dwelling. Other policy has been since 2016 with no losses. This property was purchased a few months ago, did full gut/remodel, and now ready to rent it. Was not insured before then. Unprotected quest says &quot;unknown&quot; for response time and &quot;no&quot; for all roads paved and accessible year round. App, however, says response time is 5 minutes. Per quest, FD is volunteer. Currently with 10% surcharge for lapse and at a rate of $.58 per 100. "/>
    <x v="1"/>
    <s v="Not certain who completed unprotected quest, but if correct we will want a higher rate per 100. I am thinking closer to $.80. Advised I saw app said something different, but the answers across app/quest are quite off. Updated rate would be closer to $1,270 premium. Advised if an updated quest is completed by RFD and shows response time of under 15 minutes, I would be OK with rate of $.58. Approved subject to using $.80 rate per 100 unless updated quest is completed by RFD confirming response time less than 15 minutes. "/>
    <m/>
    <m/>
    <s v="Busse"/>
  </r>
  <r>
    <x v="39"/>
    <x v="9"/>
    <s v="TN"/>
    <s v="Whitney"/>
    <m/>
    <s v="Milam"/>
    <s v="Matthew &amp; Jessica"/>
    <s v="HO3 Primary"/>
    <s v="Myrtle Beach"/>
    <s v="SC"/>
    <s v="29582"/>
    <n v="2"/>
    <n v="250000"/>
    <n v="450000"/>
    <x v="2"/>
    <s v="Agent sent it over because the prior owner had a fire loss in 2016 for $14k. Applicant is just purchasing this property. "/>
    <x v="0"/>
    <s v="Advised that we are not worried about losses that occurred under prior owner, unless for some reason it was brought to their attention that the damages were not yet repaired. "/>
    <m/>
    <m/>
    <s v="Busse"/>
  </r>
  <r>
    <x v="39"/>
    <x v="3"/>
    <s v="IL"/>
    <s v="Tasha"/>
    <m/>
    <s v="Wu"/>
    <s v="Kelvin"/>
    <s v="HO3 Primary"/>
    <s v="Wilson"/>
    <s v="WY"/>
    <s v="83014"/>
    <n v="10"/>
    <n v="1700000"/>
    <n v="3375000"/>
    <x v="5"/>
    <s v="Tasha sent this over thinking that we wouldn’t be able to accept but just wanted to check. Was also declined by Lex and Lloyds. Responding FD is volunteer with a response time of 20 minutes. There then is a paid FD that has a response time of 25 minutes. No dry hydrant at property either. "/>
    <x v="2"/>
    <s v="Declined risk due to response times. Tasha figured that would be the response but just wanted to check. She knew response time had to be under 15 minutes but didn’t know if a paid FD would help, even though it is further than the volunteer."/>
    <m/>
    <m/>
    <s v="Busse"/>
  </r>
  <r>
    <x v="39"/>
    <x v="0"/>
    <s v="MI"/>
    <s v="Nicole"/>
    <m/>
    <s v="Helms"/>
    <s v="Zach"/>
    <s v="DP3 Rental"/>
    <s v="Wichita"/>
    <s v="KS"/>
    <s v="67216"/>
    <n v="3"/>
    <n v="40000"/>
    <n v="58000"/>
    <x v="12"/>
    <s v="1952 year built with no indication of any system updates to the dwelling. Primary heat source is a wall furnace that is not thermostatically controlled."/>
    <x v="2"/>
    <s v="Declined risk given no known updates of systems and a heat source that is not thermostatically controlled. "/>
    <m/>
    <m/>
    <s v="Busse"/>
  </r>
  <r>
    <x v="39"/>
    <x v="3"/>
    <s v="IL"/>
    <s v="Tasha"/>
    <m/>
    <s v="Cobb"/>
    <s v="Jerry"/>
    <s v="HO3 Seas/Sec"/>
    <s v="Bolivia"/>
    <s v="NC"/>
    <s v="28422"/>
    <n v="5"/>
    <n v="430000"/>
    <n v="903000"/>
    <x v="11"/>
    <s v="2016 year built in NC near the coast. It is in a VE zone, crawlspace and deck under elevated. Risk is 1.2 miles from coast, so technically qualifies for 2% wind/hail deductible. However, it sits right on a lake/river that comes off the ocean. "/>
    <x v="1"/>
    <s v="Approved subject to excluding wind due to proximity of surrounding waters. Flood is excluded, agent would also confirm what is stored in crawlspace and deck area. "/>
    <m/>
    <m/>
    <s v="Busse"/>
  </r>
  <r>
    <x v="40"/>
    <x v="0"/>
    <s v="MI"/>
    <s v="Nicole"/>
    <m/>
    <s v="Feehan"/>
    <s v="Karen &amp; Timothy"/>
    <s v="DP3 Rental"/>
    <s v="Augora Hills"/>
    <s v="CA"/>
    <s v="91301"/>
    <n v="2"/>
    <n v="719610"/>
    <n v="863540"/>
    <x v="9"/>
    <s v="1985 dwelling, with complete updates in 2001 and roof in 2009. WRS 33. Applicant is a singer/song-writer/producer. "/>
    <x v="0"/>
    <s v="Approved terms as quoted. No concern with profile of applicant. Dwelling is updated and in line. "/>
    <m/>
    <m/>
    <s v="Busse"/>
  </r>
  <r>
    <x v="40"/>
    <x v="0"/>
    <s v="MI"/>
    <s v="Jeffrey"/>
    <m/>
    <s v="Feehan"/>
    <s v="Karen &amp; Timothy"/>
    <s v="HO3 Primary"/>
    <s v="Aguora Hills"/>
    <s v="CA"/>
    <s v="91301"/>
    <n v="2"/>
    <n v="1394000"/>
    <n v="2648600"/>
    <x v="9"/>
    <s v="Same applicant as previous referral, but this is for their primary home. 1985 year built with partial updates, roof is tile. App notes swimming pool, no marking of fenced or not. WRS is 48. "/>
    <x v="1"/>
    <s v="Approved subject to confirmation that pool/property is fenced. If not, swimming pool exclusion is to be applied. App says ERC up to 200%, will only allow 25% ERC. "/>
    <m/>
    <m/>
    <s v="Busse"/>
  </r>
  <r>
    <x v="40"/>
    <x v="3"/>
    <s v="FL"/>
    <s v="Julie"/>
    <m/>
    <s v="Lyden"/>
    <s v="Peter"/>
    <s v="HO3 Primary"/>
    <s v="Bunnell"/>
    <s v="FL"/>
    <s v="32110"/>
    <n v="8"/>
    <n v="250000"/>
    <n v="450000"/>
    <x v="11"/>
    <s v="Referred because it is a metal building. Built in 2019. Living area is 2400 sq ft, total area of building is 8000 sq ft. Per agent email, other area is used to store ATV, boats, and toys. "/>
    <x v="1"/>
    <s v="Approving risk subject to confirmation that the other storage area is for the applicants personal use only and that there is no renting to others for storage or living purposes, and also no business use. "/>
    <m/>
    <m/>
    <s v="Busse"/>
  </r>
  <r>
    <x v="41"/>
    <x v="8"/>
    <s v="CO"/>
    <s v="Allison"/>
    <m/>
    <s v="Manes"/>
    <s v="Gary"/>
    <s v="DP3 Builders Risk"/>
    <s v="Lakewood"/>
    <s v="CO"/>
    <s v="80228"/>
    <n v="1"/>
    <n v="325000"/>
    <n v="330000"/>
    <x v="7"/>
    <s v="This is a borderline builders risk. 1961 dwelling that already has updates to systems ranging 1996-2009. Roof done in 2016. Applicant is purchasing and remodeling to flip the home to sell. New tile, cabinets, counters, paint, etc., majority cosmetic. However, one other portion is adding on to the garage. Since the structural add on is there, categorized as BR. No GC, insured doing all the work, may hire some tradesmen to help with some work. 6 month policy"/>
    <x v="1"/>
    <s v="I agree this should be BR since there is the garage add on listed. Otherwise just cosmetics does not require BR. I am fine with insured handling the cosmetic (majority) of the project with no GC. However, approved subject to confirmation that the garage add on would be done by a licensed contractor, not the applicant. "/>
    <m/>
    <m/>
    <s v="Busse"/>
  </r>
  <r>
    <x v="41"/>
    <x v="4"/>
    <s v="CA"/>
    <s v="Gina"/>
    <m/>
    <s v="Langermann"/>
    <s v="Mark"/>
    <s v="HO3 Primary"/>
    <s v="Northridge"/>
    <s v="CA"/>
    <s v="91325"/>
    <n v="1"/>
    <n v="700000"/>
    <n v="1175000"/>
    <x v="2"/>
    <s v="Sent over as an initial request to see if we would consider. 1963 year built, two losses - 5/2017 theft/vandalism $3200, 7/2019 water flex line burst $19k. No app, just a quote sheet. They applied $5k water ded. "/>
    <x v="3"/>
    <s v="Advised we could consider, however, would need all required info for a referral (such as app) in order to make a final decision. Things to question, like age and updates, whether or not water deductible is enough. "/>
    <m/>
    <m/>
    <s v="Busse"/>
  </r>
  <r>
    <x v="41"/>
    <x v="3"/>
    <s v="IL"/>
    <s v="Tasha"/>
    <m/>
    <s v="Cerami"/>
    <s v="Salvatore &amp; Stefanie"/>
    <s v="DP3 Vacant"/>
    <s v="Medinah"/>
    <s v="IL "/>
    <s v="60157"/>
    <m/>
    <n v="350000"/>
    <n v="350000"/>
    <x v="11"/>
    <s v="DP3 vacant risk, year built 1970. Term is only for 3 months, as applicant is planning to move it to a builders risk after that time. Agent said they had an error when quoting and wanted to confirm they could release terms. App indicates updates, but no specific year. "/>
    <x v="1"/>
    <s v="Approved subject to completed app and confirmation of updates year(s). Want to confirm hey have been updated and are not just marked that way because they will be updated in the near future BR."/>
    <m/>
    <m/>
    <s v="Busse"/>
  </r>
  <r>
    <x v="42"/>
    <x v="8"/>
    <s v="CO"/>
    <s v="Ashley"/>
    <m/>
    <s v="Sellers"/>
    <s v="Alanna"/>
    <s v="HO3 Primary"/>
    <s v="Englewood"/>
    <s v="CO"/>
    <s v="80113"/>
    <n v="1"/>
    <n v="3641000"/>
    <n v="4958939"/>
    <x v="2"/>
    <s v="1988 year built. No mention of updates. High TIV, right at max. Three losses, all water losses. 6/17/2017 leak in pipe $6,695, 6/27/2017 leak from old irrigation line $6,696, 11/2017 pipe burst in basement $21k. "/>
    <x v="1"/>
    <s v="Agent advised they quoted with $15k water deductible. Given TIV and that all three losses were water with no mention of updates, approving subject to water and mold exclusion. Agent already applied roof exclusion. They mentioned Lloyds renewal is at $29k, insured wants closer to $20k. Our rater was coming in at $15k, so also applied 20% surcharge. "/>
    <m/>
    <m/>
    <s v="Busse"/>
  </r>
  <r>
    <x v="42"/>
    <x v="6"/>
    <s v="MI"/>
    <s v="Cheryl"/>
    <m/>
    <s v="Peck"/>
    <s v="Dale &amp; Mary"/>
    <s v="HO3 Primary"/>
    <s v="Vulcan"/>
    <s v="MI"/>
    <s v="49892"/>
    <n v="9"/>
    <n v="1150000"/>
    <n v="1700000"/>
    <x v="6"/>
    <s v="Cement home with a flat roof, built 2005. There is a woodburning stove as secondary, floor radiant heat as primary. There is also an unfinished greenhouse on the roof. Does not look like all of roof has railings, which would be needed for liability. "/>
    <x v="2"/>
    <s v="App also said FD was 6 miles. Woodstove is in a wooden shed, not very comfortable with that. Also, lots of work being done to home from what it looks like. Due to all of that, we are going to decline."/>
    <m/>
    <m/>
    <s v="Busse"/>
  </r>
  <r>
    <x v="43"/>
    <x v="4"/>
    <s v="CA"/>
    <s v="Melissa"/>
    <m/>
    <s v="Lampson"/>
    <s v="Mary"/>
    <s v="HO3 Primary"/>
    <s v="Red Bluff"/>
    <s v="CA"/>
    <s v="96080"/>
    <s v="8B"/>
    <n v="449000"/>
    <n v="1010250"/>
    <x v="2"/>
    <s v="1988 year built. Two fire losses, one for $518,785 and one for $25,022. No details of either of the losses were provided"/>
    <x v="2"/>
    <s v="Declined due to fire losses. Advised for future reference, that we would need to see C&amp;O or fire marshal report for large fire losses in order to consider."/>
    <m/>
    <m/>
    <s v="Busse"/>
  </r>
  <r>
    <x v="43"/>
    <x v="9"/>
    <s v="TN"/>
    <s v="John"/>
    <m/>
    <s v="Gialil"/>
    <s v="Josef &amp; Janet"/>
    <s v="HO3 Primary"/>
    <s v="Greenfield Center"/>
    <s v="NY"/>
    <s v="12833"/>
    <n v="5"/>
    <n v="2527200"/>
    <n v="3967200"/>
    <x v="2"/>
    <s v="2005 year built. Two losses listed on app, both water from 2017 and 2016, each $10,000. One was also a water backup loss. The clue report provided form agent showed a few more water losses, but no mentioning of those if they are the insured's or the locations. "/>
    <x v="4"/>
    <s v="Asked for more information regarding the other water losses. Advised at least water backup will not be able to be offered due to the water backup loss, however, more subjectivities may be needed depending on details and facts of the other water losses. UPDATED 3/11/19: Received follow up that 2013 water loss was hot water heater leak, water heater was replaced. The two losses listed were actually one in the same, confirmed by agent. It was lightning damage that caused sewer backup. Approved terms as quoted, as AOP was already at $10,000 and water heater was replaced and mitigation systems installed for water back up. "/>
    <m/>
    <m/>
    <s v="Busse"/>
  </r>
  <r>
    <x v="44"/>
    <x v="2"/>
    <s v="MA"/>
    <s v="Barbara"/>
    <m/>
    <s v="Thibodeau"/>
    <s v="Joseph"/>
    <s v="HO3 Primary"/>
    <s v="E Hartford"/>
    <s v="CT"/>
    <s v="06118"/>
    <n v="4"/>
    <n v="353500"/>
    <n v="636380"/>
    <x v="1"/>
    <s v="Year built 1910. Partial updates to wiring in 2000 and plumbing in 2000. Complete updates to roof and heating in 2000. Current lapse in coverage since 6/2018. They were cancelled from prior carrier due to broken back window and yard debris. Asked if 25% ERC was available. "/>
    <x v="1"/>
    <s v="Advised due to the age and only partial updates completed, only FRC is available. Approved subject to 10% surcharge for lapse, confirmation previous recs from cancellation are fixed before issuance, completed and acceptable OHQ, and EHP inspection with regular inspection. "/>
    <m/>
    <m/>
    <s v="Busse"/>
  </r>
  <r>
    <x v="44"/>
    <x v="2"/>
    <s v="MA"/>
    <s v="Barbara"/>
    <m/>
    <s v="Giraldo"/>
    <s v="Carlos"/>
    <s v="HO3 Primary"/>
    <s v="Atlantic City"/>
    <s v="NJ"/>
    <s v="08401"/>
    <n v="3"/>
    <n v="372000"/>
    <n v="452000"/>
    <x v="2"/>
    <s v="1955 year built with complete updates to heating and roof 2002 and 1998. partial updates to wiring 2018 and plumbing 2000. Non-renewed from prior carrier due to losses. Fire damage and water damage loss on same day. Water damage loss was flood. They said fire damage was mentioned to be due to the water damage? Also, lapse from 2/28/2019"/>
    <x v="3"/>
    <s v="Pended asking for c&amp;o report for fire. "/>
    <m/>
    <m/>
    <s v="Busse"/>
  </r>
  <r>
    <x v="44"/>
    <x v="13"/>
    <s v="NC"/>
    <s v="Tamara"/>
    <m/>
    <s v="Todd"/>
    <s v="Joyce &amp; Wendell"/>
    <s v="HO3 Primary"/>
    <s v="Myrtle Beach"/>
    <s v="SC"/>
    <s v="29582"/>
    <n v="2"/>
    <n v="350000"/>
    <n v="545000"/>
    <x v="2"/>
    <s v="Referred because they had a prior CAT flood loss that was $126k at a different location. No other issues found in referral"/>
    <x v="0"/>
    <s v="Since loss was at a different location, approved as quoted. "/>
    <m/>
    <m/>
    <s v="Busse"/>
  </r>
  <r>
    <x v="44"/>
    <x v="0"/>
    <s v="MI"/>
    <s v="Alexa"/>
    <m/>
    <s v="Jacoby"/>
    <s v="Mike"/>
    <s v="HO3 Primary"/>
    <s v="Fort Calhoun"/>
    <s v="NE"/>
    <s v="68023"/>
    <n v="9"/>
    <n v="450000"/>
    <n v="645000"/>
    <x v="4"/>
    <s v="2005 year built, updates to roof in 2016 and heating 2018. Insured owns Alpacas of the Heartland LLC, an alpaca farm at the location. Previously used to be open year round, people could come and feed the alpacas, had a gift shop in the home. In 2018 the shop closed and now they only have the farm portion open to public Sept-Nov, and only at certain times on certain days. Website says they may still do some educational events and classes. Was not able to find anything online adverse about the business, all good reviews, no injury reports, no complaints. "/>
    <x v="1"/>
    <s v="Since the time that they are open has decreased significantly, willing to approve subject to a full liability exclusion, TBE, and GL in place and maintained for the business. Not as big as a concern as it would be if it were horses or other larger animals that could cause serious injury. "/>
    <m/>
    <m/>
    <s v="Busse"/>
  </r>
  <r>
    <x v="44"/>
    <x v="0"/>
    <s v="MI"/>
    <s v="Jeffrey"/>
    <m/>
    <s v="Everhart"/>
    <s v="Carl Pry &amp; Cher"/>
    <s v="HO3 Primary"/>
    <s v="Cottonwood"/>
    <s v="AZ"/>
    <s v="86326"/>
    <n v="10"/>
    <n v="1200000"/>
    <n v="2040000"/>
    <x v="11"/>
    <s v="2002 year built, lapse in coverage since purchase of property 7/2018. Has been vacant, and applicant is now going to occupy as primary home. There is a pool in the back that is not fenced. Small backyard with infinity pool. Want to know if they can offer without pool exclusion. "/>
    <x v="1"/>
    <s v="Location of home is not in a suburban neighborhood that would have a close proximity to neighbors. There are no properties behind the home, and within a few hundred feet of the front of the home is 1-2 other properties only. Access to the back of the home does not appear to be easily accessible, either. As such, approved with no pool exclusion subject to confirmation of no or limited access to pool from the front. Also, a completed and acceptable PC quest will be needed since they mentioned they had some questions on the first one that they needed to clarify. "/>
    <m/>
    <m/>
    <s v="Busse"/>
  </r>
  <r>
    <x v="45"/>
    <x v="3"/>
    <s v="MA"/>
    <s v="Patty"/>
    <m/>
    <s v="Masiello"/>
    <s v="Michael &amp; Renee"/>
    <s v="HO3 Primary"/>
    <s v="East Haven"/>
    <s v="CT"/>
    <s v="06512"/>
    <n v="3"/>
    <n v="281000"/>
    <n v="620000"/>
    <x v="4"/>
    <s v="1991 home w/updated roof. Insd operates day care on premises. Licensed for 8 children. No pool/dog/trampoline/playground. Full time, no overnights. Facebook page ok. Commercial policy in place - will be moved to be controlled and maintained by retail agent. Total Business Excl applies."/>
    <x v="1"/>
    <s v="TBE, Coml policies in place.  Typical of in home day care business. Advised of limitations of TBE for in home businesses and that coml policies must cover the gap."/>
    <s v="Insurance scores 770+"/>
    <m/>
    <s v="Patterson"/>
  </r>
  <r>
    <x v="45"/>
    <x v="3"/>
    <s v="IL"/>
    <s v="Tasha"/>
    <m/>
    <s v="Allgood"/>
    <s v="Debra"/>
    <s v="HO3 Builders Risk"/>
    <m/>
    <s v="IL"/>
    <m/>
    <m/>
    <n v="375000"/>
    <m/>
    <x v="2"/>
    <s v="1940 updated home in IL owned by President of the presenting retail agency.  Partial fire loss 1/29/18 due to electrical. $128K claims closed. Still under construction - no info on extent of repairs left. NRN by prior carrier. Lapsed about 6 months ago, no insurance."/>
    <x v="2"/>
    <s v="Discussed addl info needed. Concerning situation, but entertaining since it is President of agency.  Tasha later advised that this is a low insurance score so she declined without even getting into additional questions."/>
    <m/>
    <m/>
    <s v="Patterson"/>
  </r>
  <r>
    <x v="45"/>
    <x v="0"/>
    <s v="MI"/>
    <s v="Alexa"/>
    <m/>
    <s v="2400 Spurgeon Ave"/>
    <m/>
    <s v="HO3 Primary"/>
    <s v="Redondo Beach"/>
    <s v="CA"/>
    <s v="90278"/>
    <n v="2"/>
    <n v="650000"/>
    <n v="1278750"/>
    <x v="2"/>
    <s v="1990 year built. WRS 6. 4 water losses, all similar 2016-2018. Pin hole leak in pipe, ranges from $3,720-$13,313. Insured had all supply lines redone in 2018 after last loss occurred, replacing all copper piping with PEX. C insurance score, agent applied $25,000 water deductible. "/>
    <x v="0"/>
    <s v="Approved as quoted since they confirmed plumbing was replaced after the losses occurred, and a higher water deductible was applied. No other concerns with the risk."/>
    <m/>
    <m/>
    <s v="Busse"/>
  </r>
  <r>
    <x v="45"/>
    <x v="2"/>
    <s v="MA"/>
    <s v="Barbara"/>
    <m/>
    <s v="Hinkson"/>
    <s v="C Paige"/>
    <s v="HO3 Primary"/>
    <s v="Lee"/>
    <s v="MA"/>
    <s v="01238"/>
    <n v="4"/>
    <n v="450000"/>
    <n v="635000"/>
    <x v="2"/>
    <s v="Applicant had harassment claim filed against him. It was closed with no payment, but prior carrier is still non-renewing. "/>
    <x v="2"/>
    <s v="Even though nothing was paid, the type of claim that occurred is one that would cause costly defense costs, even with no liability. We are going to pass on this risk."/>
    <m/>
    <m/>
    <s v="Busse"/>
  </r>
  <r>
    <x v="45"/>
    <x v="0"/>
    <s v="MI"/>
    <s v="Jill"/>
    <m/>
    <s v="Kehoe"/>
    <s v="Dorothy"/>
    <s v="HO3 Primary"/>
    <s v="Ojai"/>
    <s v="CA"/>
    <s v="93023"/>
    <n v="4"/>
    <n v="1187000"/>
    <n v="2374000"/>
    <x v="2"/>
    <s v="1970 year built with updates only to heating in 2015. Roof is tile, exclusion already applied per agent. Two losses, first was CAT from Thomas fire, mandatory evacuation. Second was 3 months later the property was ransacked while vacant. WRS 20. ISO PPC report provided shows split PC 4/9, no documentation confirming it as 4."/>
    <x v="1"/>
    <s v="Approving subject to FRC since only update to heating, need OHQ, EHP w/ standard inspection, and also confirmation as to how PC was determined as per guidelines split PCs are ineligible. Also advised that the second loss should be surcharged. "/>
    <m/>
    <m/>
    <s v="Busse"/>
  </r>
  <r>
    <x v="45"/>
    <x v="0"/>
    <s v="MI"/>
    <s v="Rachel"/>
    <m/>
    <s v="Ruppert"/>
    <s v="Bernard"/>
    <s v="HO3 Primary"/>
    <s v="McCook"/>
    <s v="NE"/>
    <s v="69001"/>
    <n v="10"/>
    <n v="100000"/>
    <n v="192500"/>
    <x v="5"/>
    <s v="1994 year built with complete updates to everything in 2016. PC 10 with response time listed of 40 minutes. Unprotected quest shows volunteer FD that is 25 miles away. 7 miles of the road is gravel. No hydrant/dry hydrant. Currently rated at $.75 per $100. "/>
    <x v="1"/>
    <s v="The rest of the risk was acceptable. Allowing exception given low TIV. Confirmed through ISO and google search that response time is right around 40 minutes. Given time, partial gravel road, and volunteer FD a higher rate will be needed in order to approve. Approved terms subject to using a rate of $.85/$100 which is a premium of $1,637."/>
    <m/>
    <m/>
    <s v="Busse"/>
  </r>
  <r>
    <x v="45"/>
    <x v="4"/>
    <s v="CA"/>
    <s v="Lucas"/>
    <m/>
    <s v="Gordon"/>
    <s v="Joseph"/>
    <s v="HO3 Primary"/>
    <s v="Los Angeles"/>
    <s v="CA"/>
    <s v="90066"/>
    <n v="1"/>
    <n v="475000"/>
    <n v="715000"/>
    <x v="2"/>
    <s v="1939 year built that has not been gutted and rebuilt, so FRC only available, confirmed by agent. Three smaller water losses in 2017 - 5/2017 sparkletts bottled delivered had leaked $5000, 6/2017 newer garbage disposal rusted out $10000, 7/2017 drain clogged $10000. No real concerns with the losses, agent applied $10,000 water damage deductible and additional 10% surcharge."/>
    <x v="0"/>
    <s v="The water losses listed are not really related to poor plumbing, so the subjectivity mentioned of $10k water deductible seems acceptable. Also, agree with the 10% surcharge of the losses. New roof in 2014 so no concerns there. Approving as quoted. "/>
    <m/>
    <m/>
    <s v="Busse"/>
  </r>
  <r>
    <x v="46"/>
    <x v="4"/>
    <s v="CA"/>
    <s v="Michelle"/>
    <m/>
    <s v="Dedmon"/>
    <s v="Dewayne"/>
    <s v="DP3 Rental"/>
    <s v="Baldwin Hills"/>
    <s v="CA"/>
    <s v="90008"/>
    <m/>
    <n v="1065000"/>
    <n v="1221500"/>
    <x v="9"/>
    <s v="Applicant is an NBA player for the Atlanta Hawks. No adverse information found. Dwelling is 1957 year built, photos online show it was recently redone and looks like it was done well. No mention of updates, but it appears there have been updates completed due to condition of home online. "/>
    <x v="1"/>
    <s v="No concerns with profile of applicant. Approved subject to completed and acceptable app (missing updates, PPC), acceptable OHQ, and confirmation of system updates per guideline requirements. "/>
    <m/>
    <m/>
    <s v="Busse"/>
  </r>
  <r>
    <x v="46"/>
    <x v="3"/>
    <s v="SC"/>
    <s v="Kathryn"/>
    <m/>
    <s v="Bourne"/>
    <s v="Susan &amp; Burness"/>
    <s v="HO3 Primary"/>
    <s v="Murrells Inlet"/>
    <s v="SC"/>
    <s v="29576"/>
    <n v="2"/>
    <n v="525000"/>
    <n v="790000"/>
    <x v="8"/>
    <s v="1912 historic home, gutted and redone in 1992, with additional updates to heating and roof in 2012. No tours"/>
    <x v="1"/>
    <s v="W/H deductible is correct per location, approving subject to confirmation that it was gutted and rebuilt with new materials, not repurposed and antique materials. Will also need to change year built to rebuild date."/>
    <m/>
    <m/>
    <s v="Busse"/>
  </r>
  <r>
    <x v="47"/>
    <x v="0"/>
    <s v="MI"/>
    <s v="Alexa"/>
    <m/>
    <s v="Schiller"/>
    <s v="John"/>
    <s v="HO3 Primary"/>
    <s v="Houston"/>
    <s v="TX"/>
    <s v="77019"/>
    <n v="1"/>
    <n v="2924000"/>
    <n v="4769044"/>
    <x v="11"/>
    <s v="1952 year built with complete updates in 2017. Insured was CEO of oil and gas company and fined for &quot;pay-for-play&quot;. Had to pay $180,000 fine and cant serve on any boards for 5 years. He is now retired. Agent advised they would exclude liability."/>
    <x v="1"/>
    <s v="Approving subject to completed app (PPC and updates missing), OHQ, and no liability as mentioned by Burns. I do not think there is a large enough concern that would cause to decline even with excluding liability. "/>
    <m/>
    <m/>
    <s v="Busse"/>
  </r>
  <r>
    <x v="47"/>
    <x v="0"/>
    <s v="MI"/>
    <s v="Nicole"/>
    <m/>
    <s v="Kirk"/>
    <s v="Justin"/>
    <s v="HO3 Primary"/>
    <s v="Los Angeles"/>
    <s v="CA"/>
    <s v="90068"/>
    <n v="1"/>
    <n v="504000"/>
    <n v="869400"/>
    <x v="9"/>
    <s v="1962 year built with complete updates in 2009 and roof in 2013. WRS 83. Applicant is an actor, no adverse information  found."/>
    <x v="0"/>
    <s v="No concerns with profile of applicant. Approved terms. "/>
    <m/>
    <m/>
    <s v="Busse"/>
  </r>
  <r>
    <x v="47"/>
    <x v="6"/>
    <s v="MI"/>
    <s v="Cheryl"/>
    <m/>
    <s v="Doshi"/>
    <s v="Shailesh &amp; Rekha"/>
    <s v="DP3 Vacant"/>
    <s v="Bloomfield Hills"/>
    <s v="MI"/>
    <s v="48302"/>
    <n v="4"/>
    <n v="3200000"/>
    <n v="3250000"/>
    <x v="2"/>
    <s v="1997 year built, high value dwelling. Will be vacant as insured is trying to sell property, they bought new home in the area. Two losses - 4/2017 mirror fell and shattered crystal chandelier $49k, and 1/2019 frozen pipe $100,000 that is still open but that is because they are just trying to finalize payment, per agent. "/>
    <x v="4"/>
    <s v="Approved subject to increasing AOP to $10,000 and confirmation that all repairs have been made 100% from the recent water loss. Agent already applied $10,000 water damage deductible. UPDATE: received email back from JM Wilson indicating that repairs are just starting. Advised due to size and type of loss, we are not willing to approve while claim is still open and repairs are not 100% complete. UPDATE MP 5/6/19 Repairs now complete. Approved w/10K ded. Pool excl if vacant. (Indoor pool) "/>
    <m/>
    <m/>
    <s v="Busse"/>
  </r>
  <r>
    <x v="48"/>
    <x v="3"/>
    <s v="LA"/>
    <s v="Crystal"/>
    <m/>
    <s v="Martin"/>
    <s v="Bryan &amp; Leslie"/>
    <s v="HO3 Primary"/>
    <s v="Covington"/>
    <s v="LA"/>
    <s v="70433"/>
    <n v="5"/>
    <n v="242700"/>
    <n v="480000"/>
    <x v="3"/>
    <s v="1964 home w/PE and PEX plumbing. Prior demotech carrier rejected risk due to plumbing.  Plumbing was updated twice, most recently in 2008. Found addl questions - need OHQ, incorrect Animal Excl form. Crystal confirmed PC5."/>
    <x v="1"/>
    <s v=" Pics from inspection look fine, update dates fine, type of plumbing fine. Advised Crystal of addl concerns."/>
    <m/>
    <m/>
    <s v="Patterson"/>
  </r>
  <r>
    <x v="48"/>
    <x v="0"/>
    <s v="MI"/>
    <s v="Nicole"/>
    <m/>
    <s v="Stout"/>
    <s v="Christine"/>
    <s v="HO3 Primary"/>
    <s v="Three Forks"/>
    <s v="MT"/>
    <s v="59752"/>
    <n v="10"/>
    <n v="211200"/>
    <n v="401240"/>
    <x v="5"/>
    <s v="1990 home in MT. FD 19.1 miles, 31 min drive time. Volunteer.  Estimate up to 40 min response. Local alarms. Hobby farm on property."/>
    <x v="1"/>
    <s v="Approved a rate indication of .85 = $3,410 subj to full info on hobby farm to determine eligibility. Response time falls within our exception guidelines.  Local alarms do not reduce response time."/>
    <m/>
    <m/>
    <s v="Patterson"/>
  </r>
  <r>
    <x v="48"/>
    <x v="2"/>
    <s v="MA"/>
    <s v="Barbara"/>
    <m/>
    <s v="Pelley"/>
    <s v="Herb"/>
    <s v="HO3 Primary"/>
    <s v="Hamden"/>
    <s v="CT"/>
    <s v="06518"/>
    <m/>
    <n v="472000"/>
    <n v="1100000"/>
    <x v="2"/>
    <s v="1967 home w/no update to plumbing. Frozen pipe break loss still open. $36K 3/7/18.  Also 2016 ice dam. Agt quoted w/ $10K water damage, exist dmg excl. "/>
    <x v="3"/>
    <s v="Need more info on the open water loss and type of plumbing pipes that are not updated. If ineligible pipes, risk should be declined. Also need OHQ."/>
    <m/>
    <m/>
    <s v="Patterson"/>
  </r>
  <r>
    <x v="49"/>
    <x v="3"/>
    <s v="FL"/>
    <s v="Niki"/>
    <m/>
    <s v="Del Rey"/>
    <s v="Brian"/>
    <s v="HO3 Primary"/>
    <s v="St Augustine"/>
    <s v="FL "/>
    <s v="32080"/>
    <n v="5"/>
    <n v="925000"/>
    <n v="1251000"/>
    <x v="1"/>
    <s v="1952 year built with partial updates to wiring 2016 and plumbing 2016, complete updates to roof 2013 and heating 2010. App states galvanized/cast iron is still in place. Applicant was arrested for felony sale/distribution of marijuana in 2016. Current carrier is non-renewing due to &quot;material change in the risk due to undisclosed exposure.&quot; Agent tried asking for more details and only came back with that is had to do something with a drug arrest."/>
    <x v="2"/>
    <s v="Due to prior non-renewal, and condition of plumbing, deciding to decline this risk."/>
    <m/>
    <m/>
    <s v="Busse"/>
  </r>
  <r>
    <x v="49"/>
    <x v="0"/>
    <s v="MI"/>
    <s v="Nicole"/>
    <m/>
    <s v="Wang"/>
    <s v="Daniel"/>
    <s v="HO3 Primary"/>
    <s v="Pikesville"/>
    <s v="MD"/>
    <s v="21208"/>
    <n v="3"/>
    <n v="2000000"/>
    <n v="3800000"/>
    <x v="11"/>
    <s v="1989 year built with complete updates in 2002. Two losses, 5/2018 septic system inundated with torrential rains and failed $42,570 (CAT?), and 12/2018 pipe on second floor burst and leaked $16,272. Agent already applied $10,000 water deductible. Wood roof and agent would like replacement cost subject to a favorable inspection showing roof in good condition. "/>
    <x v="1"/>
    <s v="Approving subject to ACV for the roof. It is a wood roof that is 17 years old. Guidelines indicate roofs 15-25 years should consider ACV, and that wood/shake roofs should have ACV. As such, only allowing ACV. "/>
    <m/>
    <m/>
    <s v="Busse"/>
  </r>
  <r>
    <x v="50"/>
    <x v="0"/>
    <s v="MI"/>
    <s v="Rachel"/>
    <m/>
    <s v="Kuhnke"/>
    <s v="Mark &amp; Marguerit"/>
    <s v="HO3 Primary"/>
    <s v="Fort Atkinson"/>
    <s v="WI "/>
    <s v="53538"/>
    <n v="4"/>
    <n v="421000"/>
    <n v="715700"/>
    <x v="4"/>
    <s v="Year built 1911 with complete updates in 2014-2015 for systems and roof. Business on premises is insured makes chocolate in basement of home. No foot traffic or employees, all chocolates are sold online/phone orders and mailed out. Business has been around since 1940."/>
    <x v="1"/>
    <s v="Approved subject to a standard inspection with EHP, which is in their guidelines. Also subject to TBE."/>
    <m/>
    <m/>
    <s v="Busse"/>
  </r>
  <r>
    <x v="50"/>
    <x v="0"/>
    <s v="MI"/>
    <s v="Rachel"/>
    <m/>
    <s v="Mahoney"/>
    <s v="Dennis"/>
    <s v="HO3 Primary"/>
    <s v="Merrimac"/>
    <s v="WI "/>
    <s v="53561"/>
    <n v="3"/>
    <n v="333500"/>
    <n v="566950"/>
    <x v="4"/>
    <s v="1993 year built with complete update to roof in 2006. Applicant is a machinist, works on nozzles used on engines for tractors. He receives parts and fixes them then returns them. Work is done in attached four car garage, has a space dedicated for this. No foot traffic and no employees. UPDATE 3/13/2019: PC is actually 10, 7 minute response time."/>
    <x v="1"/>
    <s v="Approving subject to TBE UPDATE: approval still stands, PC10 is not of large concern since 5.5 miles and 7 minute response time. "/>
    <m/>
    <m/>
    <s v="Busse"/>
  </r>
  <r>
    <x v="51"/>
    <x v="0"/>
    <s v="MI"/>
    <s v="Rachel"/>
    <m/>
    <s v="Caur"/>
    <s v="Balwinder"/>
    <s v="HO3 Primary"/>
    <s v="North Little Rock"/>
    <s v="AR"/>
    <s v="72117"/>
    <n v="1"/>
    <n v="116000"/>
    <n v="185600"/>
    <x v="4"/>
    <s v="1953 year built with complete updates in 2004 and roof in 2012. Property address is also shared with a liquor store, which the applicant is purchasing and will be operating. "/>
    <x v="1"/>
    <s v="Approving subject to TBE, liability exclusion, GL in place for the store prior to binding, and other structure exclusion. Standard inspection with EHP per guidelines. "/>
    <m/>
    <m/>
    <s v="Busse"/>
  </r>
  <r>
    <x v="51"/>
    <x v="8"/>
    <s v="CO"/>
    <s v="Allison"/>
    <m/>
    <s v="Hansen"/>
    <s v="Nick"/>
    <s v="HO3 Primary"/>
    <s v="Castle Rock"/>
    <s v="CO"/>
    <s v="80108"/>
    <n v="3"/>
    <n v="2176000"/>
    <n v="3481600"/>
    <x v="6"/>
    <s v="2002 year built with a 2012 hail claim that was $24k and a 2017 hail claim for $5,000. Home is for sale but is still primary. Have not had to replace roof due to it being resistant tile. Agent applied 1% w/h deductible, added ACV roof. Prefers not to exclude roof, but rather surcharge and apply ACV. "/>
    <x v="1"/>
    <s v="Approving subject to an additional surcharge. I think ACV roof is fine given 2002 age, unless roof is in very poor condition. SCU stated they have room to go up about $600 on the premium, which would be about an 8% surcharge. UPDATE 3/19/2019: Allison came back with an updated CLUE and there is a water loss from 10/2018 for $125,000 water line leak in upstairs bathroom. Claim is technically still open, waiting for final payouts, but all damages have been 100% repaired. Allison also asked if she could remove the ACV roof since it is tile. Approved with $25k water deductible and removing the ACV roof.  UPDATE 3/21/2019: revised info from agent advising that there are actually two water losses 10/2018 and 1/2019. Damage was found in other areas during repair of the 10/2018 claim. Looked to be poor installation of shower pans. Moving forward with water exclusion, mold and water backup. "/>
    <m/>
    <m/>
    <s v="Busse"/>
  </r>
  <r>
    <x v="52"/>
    <x v="9"/>
    <s v="TN"/>
    <s v="John"/>
    <m/>
    <s v="Enloe"/>
    <s v="Mitchell"/>
    <s v="HO3 Primary"/>
    <s v="Lake Ozark"/>
    <s v="MO"/>
    <s v="65049"/>
    <n v="4"/>
    <n v="455328"/>
    <n v="826928"/>
    <x v="2"/>
    <s v="2 fire losses - 2/2015 $57,301 and 11/2016 $484,248. On CLUE report provided there is also a hail loss from 4/2014 for $66,225."/>
    <x v="2"/>
    <s v="Declined due to loss history. Two larger fires, only FD reports were provided, but even with C&amp;O or fire marshal report I don’t think the decline would be overturned."/>
    <m/>
    <m/>
    <s v="Busse"/>
  </r>
  <r>
    <x v="52"/>
    <x v="0"/>
    <s v="MI"/>
    <s v="Nicole"/>
    <m/>
    <s v="Milligan"/>
    <s v="Gregory"/>
    <s v="DP3 Vacant"/>
    <s v="Stevenson"/>
    <s v="MD"/>
    <s v="34102"/>
    <n v="5"/>
    <n v="2700000"/>
    <n v="2970000"/>
    <x v="11"/>
    <s v="Dwelling is in receivership. Used to be owned by Kevin Merrill, who was indicted for a $364 million Ponzi scheme. Gregory Milligan is the court appointed person to serve as the receiver managing the dwelling. Milligan will take care of utilities, landscaping, and helping to sell. Wanting to write in Gregory Milligan's name since Kevin Merrill no longer has ownership/insurable interest. "/>
    <x v="2"/>
    <s v="While there is no moral hazard concern of Gregory Milligan, concern that the dwelling could be a target for those that were in the Ponzi scheme. "/>
    <m/>
    <m/>
    <s v="Busse"/>
  </r>
  <r>
    <x v="52"/>
    <x v="6"/>
    <s v="MI"/>
    <s v="Cheryl"/>
    <m/>
    <s v="Seiflow"/>
    <s v="Gerald"/>
    <s v="HO3 Primary"/>
    <s v="Lake Villa"/>
    <s v="IL"/>
    <s v="60046"/>
    <n v="3"/>
    <n v="580000"/>
    <n v="1044000"/>
    <x v="2"/>
    <s v="1997 year built, complete update to roof in 2015 after a $49k hail loss. Second wind/hail loss 5/2018 to siding, garage, pool for $20k, and 9/2018 broken pipe water loss $5717. "/>
    <x v="1"/>
    <s v="They have $5k AOP and w/h deductibles quoted, think that is acceptable especially given the larger hail loss had a complete roof replacement afterwards. Approved subject to noting file if another considerably large wind/hail loss is sustained to consider increased deductible."/>
    <m/>
    <m/>
    <s v="Busse"/>
  </r>
  <r>
    <x v="52"/>
    <x v="6"/>
    <s v="MI"/>
    <s v="Cheryl"/>
    <m/>
    <s v="Seiflow"/>
    <s v="Gerald"/>
    <s v="HO3 Seas/Sec"/>
    <s v="McHenry"/>
    <s v="IL"/>
    <s v="60050"/>
    <n v="4"/>
    <n v="215000"/>
    <n v="387000"/>
    <x v="11"/>
    <s v="1940 year built with updates to wiring and roof in 2003, heating 2008, and plumbing 1995. "/>
    <x v="1"/>
    <s v="Approved subject to completed OHQ and FRC due to year built and not fully gutted/redone"/>
    <m/>
    <m/>
    <s v="Busse"/>
  </r>
  <r>
    <x v="52"/>
    <x v="0"/>
    <s v="MI"/>
    <s v="Jill"/>
    <m/>
    <s v="Mikolas"/>
    <s v="Miles"/>
    <s v="HO3 Seas/Sec"/>
    <s v="Creve Coeur"/>
    <s v="MO"/>
    <s v="63141"/>
    <n v="3"/>
    <n v="1600000"/>
    <n v="2880000"/>
    <x v="9"/>
    <s v="2018 year built. Applicant is a pitcher in the MLB for ST Louis Cardinals. This is their secondary home. "/>
    <x v="0"/>
    <s v="Approved terms as quoted. No concern with profile of applicant. "/>
    <m/>
    <m/>
    <s v="Busse"/>
  </r>
  <r>
    <x v="52"/>
    <x v="8"/>
    <s v="CO"/>
    <s v="Allison"/>
    <m/>
    <s v="Shaw"/>
    <s v="Stephen"/>
    <s v="DP3 Vacant"/>
    <s v="Park City"/>
    <s v="UT"/>
    <s v="84060"/>
    <n v="3"/>
    <n v="3500000"/>
    <n v="750000"/>
    <x v="6"/>
    <s v="2019 year built. Just got finished with COC. Property is vacant and for sale, offering 6 month term - agent added 10% surcharge and 100% min earned premium. Gated community with CSFB alarms"/>
    <x v="0"/>
    <s v="No concerns with risk, approved terms"/>
    <m/>
    <m/>
    <s v="Busse"/>
  </r>
  <r>
    <x v="52"/>
    <x v="0"/>
    <s v="MI"/>
    <s v="Jeffrey"/>
    <m/>
    <s v="Oak 120 Estate LLC"/>
    <m/>
    <s v="DP3 Rental"/>
    <s v="Michigan City"/>
    <s v="IN"/>
    <s v="46360"/>
    <n v="3"/>
    <n v="1925000"/>
    <n v="3530700"/>
    <x v="11"/>
    <s v="1920 year built with complete gut rehab in 2010. Vacation rental that sleeps up to 25 people and is marketed as a venue for reunions, large family vacations, retreats and weddings. There is a tree house that sleeps up to 10. Large pool with diving board, tennis courts, basketball courts. "/>
    <x v="2"/>
    <s v="Usually we can consider risks that have wedding/retreat venue space as long as there is proper separation. With this situation, the home, along with the rest of the property, is used for these purposes along with the regular type vacation rental. As such, we are going to decline this this. This sounds more like a commercial exposure."/>
    <m/>
    <m/>
    <s v="Busse"/>
  </r>
  <r>
    <x v="53"/>
    <x v="4"/>
    <s v="CA"/>
    <s v="Melissa"/>
    <m/>
    <s v="Faria"/>
    <s v="Jeanine"/>
    <s v="HO3 Seas/Sec"/>
    <s v="Ventura"/>
    <s v="CA"/>
    <s v="93001"/>
    <n v="4"/>
    <n v="797428"/>
    <n v="1594857"/>
    <x v="2"/>
    <s v="WRS 28. Year built is 1992. 9/2015 water leak in bathroom $190.95, 10/2016 shattered skylight $5850, and 12/2017 Thomas fire ash and soot damage $38k. "/>
    <x v="1"/>
    <s v="Approved subject to increasing deductible to $2,500. They had just $500 listed on the app. No other concerns with file. "/>
    <m/>
    <m/>
    <s v="Busse"/>
  </r>
  <r>
    <x v="51"/>
    <x v="4"/>
    <s v="CA"/>
    <s v="Michelle"/>
    <m/>
    <s v="Behr"/>
    <s v="Wolfgang"/>
    <s v="DP3 Builders Risk"/>
    <m/>
    <m/>
    <m/>
    <m/>
    <n v="4800000"/>
    <n v="5200000"/>
    <x v="6"/>
    <s v="December effective policy approved previously. Michelle discovered cov B is about $400k now which makes this ineligible"/>
    <x v="2"/>
    <s v="We cannot insure any risk for greater than $5M. Noted they had to move this policy immediately. Melissa set pend to make sure."/>
    <s v=" "/>
    <m/>
    <s v="Lazovik"/>
  </r>
  <r>
    <x v="51"/>
    <x v="0"/>
    <s v="CA"/>
    <s v="Rachel"/>
    <m/>
    <s v="Darrah"/>
    <s v="Jeanne"/>
    <s v="HO3 Seas/Sec w/Rental"/>
    <s v="Saint Catalina Island"/>
    <s v="CA"/>
    <m/>
    <n v="4"/>
    <n v="1000000"/>
    <n v="1305000"/>
    <x v="11"/>
    <s v="Seasonal home on island considered in LA County. The island mainly consists of a marina for yachts. Full city fire department fire coverage. Issue is that WRS report noted that this risk is not in a wildfire zone. Reviewed report and location and told them to proceed. The island is surrounded by water and not considered a wildfire area."/>
    <x v="0"/>
    <s v="After research, comfortable this is not considered a wildfire zone. Small island surrounded by deep pacific water."/>
    <m/>
    <m/>
    <s v="Busse"/>
  </r>
  <r>
    <x v="53"/>
    <x v="4"/>
    <s v="CA"/>
    <s v="Gina"/>
    <m/>
    <s v="Alevizos"/>
    <s v="John &amp; Georgia"/>
    <s v="HO3 Primary"/>
    <s v="Anaheim Hills"/>
    <s v="CA"/>
    <s v="92807"/>
    <m/>
    <n v="2754726"/>
    <n v="4958508"/>
    <x v="6"/>
    <s v="WRS 34, TIV almost $5M. Outside of guidelines."/>
    <x v="2"/>
    <s v="Declined. New guidelines were sent out 3/8, this risk is no longer within guidelines. "/>
    <m/>
    <m/>
    <s v="Busse"/>
  </r>
  <r>
    <x v="54"/>
    <x v="2"/>
    <s v="MA"/>
    <s v="Barbara"/>
    <m/>
    <s v="Siegel"/>
    <s v="Ronald &amp; Arons, Gina"/>
    <s v="HO3 Primary"/>
    <s v="Lincoln"/>
    <s v="MA"/>
    <s v="01773"/>
    <m/>
    <n v="743000"/>
    <n v="1338000"/>
    <x v="4"/>
    <s v="1965 home w/partial updates. Updated roof.  Insd is a psychologist. Sees 15 clients/week in home office. Has GL in place. TBE quoted. Wife is psy.d. also but travels. "/>
    <x v="1"/>
    <s v="Advised ACV or FRC only. Need OHQ/confirm no inelig plumb/elec. Apply TBE. Professional exclusion in policy + TBE excludes covg. Insd as GL.  Require coml policies be controlled by retail agent."/>
    <m/>
    <m/>
    <s v="Patterson"/>
  </r>
  <r>
    <x v="54"/>
    <x v="2"/>
    <s v="MA"/>
    <s v="Barbara"/>
    <m/>
    <s v="Judelson"/>
    <s v="Deborah"/>
    <s v="HO3 Seas/Sec"/>
    <s v="Guilford"/>
    <s v="CT"/>
    <s v="06437"/>
    <m/>
    <n v="656000"/>
    <n v="1380000"/>
    <x v="2"/>
    <s v="1935 home w/little info. Referred for loss history.  This home 10/29/12 Flood $209K, 8/28/11 Hurr Irene Flood $116K.  Primary home 3/5/15 water damage $477K, 10/29/12 wind blew tree onto roof $60K."/>
    <x v="4"/>
    <s v="Approved rate indication - no mold covg. Need more info to approve formal terms. More detail on losses, OHQ.  Ok'd rate ind since losses are old and flood would not be covered.  // 3/19 addl info from Barbara: Home has full updates. Flood claims were flood only, no wind. Still need info on 3/5/2015 loss to ensure no negligence/lack of maintenance. Agent changing to $5K AOP and we agreed to a water damage exclusion. I provided copy of the form.  Terms can be approved once we are comfortable with the 3/2015 loss details. // 3/15 loss was ice dams in all areas of home. Approved subj to AOP 5K, water dmg excl, OHQ"/>
    <m/>
    <m/>
    <s v="Patterson"/>
  </r>
  <r>
    <x v="54"/>
    <x v="4"/>
    <s v="CA"/>
    <s v="Gina"/>
    <m/>
    <s v="LaCroix"/>
    <s v="Martha"/>
    <s v="HO3 Primary"/>
    <s v="Harbor City"/>
    <s v="CA"/>
    <s v="90710"/>
    <m/>
    <n v="486948"/>
    <n v="797548"/>
    <x v="2"/>
    <s v="1965 year built, no mention of updates on the application. 2016 water loss $47,762, 2017 weather loss that damaged important papers, nothing paid at this time, 2018 water loss $26,259. WRS 6"/>
    <x v="1"/>
    <s v="Approved subject to water exclusion, mold exclusion, water backup exclusion and roof exclusion due to no mention of updates. Also subject to confirmation there is no galvanized or cast iron plumbing."/>
    <m/>
    <m/>
    <s v="Busse"/>
  </r>
  <r>
    <x v="54"/>
    <x v="9"/>
    <s v="TN"/>
    <s v="John"/>
    <m/>
    <s v="Subramanian"/>
    <s v="Sanjay"/>
    <s v="HO3 Primary"/>
    <s v="St Louis"/>
    <s v="MO"/>
    <s v="63124"/>
    <n v="4"/>
    <n v="2186895"/>
    <n v="2276895"/>
    <x v="6"/>
    <s v="1936 year built. App does not indicate updates anywhere, however, inspection provided by agent mentions updates to all of the systems in recent years, also the roof. App says no swimming pool, but inspection shows pool with diving board. Home looks nice in the inspection. "/>
    <x v="1"/>
    <s v="Approved subject to a completed application, completed and acceptable OHQ and pool exclusion. "/>
    <m/>
    <m/>
    <s v="Busse"/>
  </r>
  <r>
    <x v="54"/>
    <x v="3"/>
    <s v="IL"/>
    <s v="Tasha"/>
    <m/>
    <s v="Van De Bovenkamp"/>
    <s v="Brett"/>
    <s v="HO3 Seas/Sec"/>
    <s v="Wellington "/>
    <s v="FL"/>
    <s v="33414"/>
    <n v="3"/>
    <n v="325000"/>
    <n v="472500"/>
    <x v="11"/>
    <s v="2001 year built. Agent wanted to check if this was acceptable because it is in Palm Beach county, 12 miles from coast. Didn’t receive any referral messages but wanted to check since they received declinations for wind due to value in the past. "/>
    <x v="0"/>
    <s v="Approved terms as quoted. w/h deductible is within guidelines. "/>
    <m/>
    <m/>
    <s v="Busse"/>
  </r>
  <r>
    <x v="55"/>
    <x v="0"/>
    <s v="MI"/>
    <s v="Jill"/>
    <m/>
    <s v="Fisher"/>
    <s v="Mark &amp; Sandra"/>
    <s v="HO3 Primary"/>
    <s v="New Castle"/>
    <s v="PA"/>
    <s v="16101"/>
    <n v="5"/>
    <n v="396400"/>
    <n v="673880"/>
    <x v="4"/>
    <s v="1998 year built, applicants own greenhouse/nursery business. Separated from home by a fence. Full business coverage under a GL policy. Business questionnaire provided didn’t have exposure, employee, foot traffic questions answered"/>
    <x v="4"/>
    <s v="Pended asking for completed business questionnaire answering the missing questions. Advised at the least we will most likely exclude the other structures related to business, and further eligibility/subjectivities will depend on completed quest. UPDATE 4/11/2019: Updated supp indicated business is open april-october, busiest time being may with up to 25 people per day, other months are very minimal (0-5 per day, 0-10 per month). 1-3 seasonal part-time employees. Approved terms with building exclusion for business structures, GL in place and maintained and confirmation that employees do not perform work at the home. "/>
    <m/>
    <m/>
    <s v="Busse"/>
  </r>
  <r>
    <x v="55"/>
    <x v="9"/>
    <s v="TN"/>
    <s v="John"/>
    <m/>
    <s v="Todd"/>
    <s v="Barry"/>
    <s v="HO3 Primary"/>
    <s v="Yuma"/>
    <s v="AZ"/>
    <s v="85365"/>
    <n v="5"/>
    <n v="1162304"/>
    <n v="1562304"/>
    <x v="2"/>
    <s v="2005 year built. Looks like a nice home per the inspection provided. App indicates a liability loss from 2014 in amount of $425,000 and that it was &quot;dropped/closed.&quot; No other info provided. App indicates PC5, but inspection indicates no hydrant/water source within 1000 ft. App also says no pool but inspection shows pool. "/>
    <x v="2"/>
    <s v="Advised that the home itself appears to be a very good risk, in great condition. No concern with the pool, property is fenced. However, need more info on liability loss in order to review further. Also asked to clarify protection class since inspection shows no hydrant within 1,000 feet. Mentioned updated app will be needed to confirm everything is accurate, such as pool question. UPDATE 4/11/2019: liability loss was applicant arrested for 1st degree murder, 4 grand jurys and 1 prelim hearing before everything was dropped. Used insurance to cover legal ccosts. Declined due to loss history. "/>
    <m/>
    <m/>
    <s v="Busse"/>
  </r>
  <r>
    <x v="56"/>
    <x v="0"/>
    <s v="MI"/>
    <s v="Nicole"/>
    <m/>
    <s v="Walters"/>
    <s v="Ronald D &amp; Margaret"/>
    <s v="HO3 Seas/Sec"/>
    <s v="James Creek"/>
    <s v="PA "/>
    <s v="16657"/>
    <n v="10"/>
    <n v="772589"/>
    <n v="837589"/>
    <x v="5"/>
    <s v="2016 log home. Response time 19-24 minutes. .43 rate quoted. No alarms. Volunteer FD. 14 min drive time. 2017 insp shows home under constr."/>
    <x v="1"/>
    <s v="Verify construction is complete."/>
    <s v="We allow Burns to approve 20 min response time before referring.  With their exception criteria, I am comfortable using rate to approve this risk.  I used .65.  Has close neighbors. Moderate value.  Newer risk.  "/>
    <m/>
    <s v="Patterson"/>
  </r>
  <r>
    <x v="56"/>
    <x v="6"/>
    <s v="MI"/>
    <s v="Cheryl"/>
    <m/>
    <s v="Clements"/>
    <s v="Nicholas"/>
    <s v="HO3 Primary"/>
    <s v="Johns Island"/>
    <s v="SC"/>
    <s v="29455"/>
    <n v="5"/>
    <n v="500000"/>
    <n v="1000000"/>
    <x v="11"/>
    <s v="Location - 1985 home in PC5. Island has their own FD. "/>
    <x v="2"/>
    <s v="Guidelines say no risks on barrier islands. Verified on google this is a barrier island."/>
    <m/>
    <m/>
    <s v="Patterson"/>
  </r>
  <r>
    <x v="56"/>
    <x v="9"/>
    <s v="TN"/>
    <s v="John"/>
    <m/>
    <s v="Perez"/>
    <s v="Leticia &amp; Raul"/>
    <s v="HO3 Primary"/>
    <s v="Naples"/>
    <s v="FL"/>
    <m/>
    <n v="10"/>
    <n v="2443390"/>
    <n v="2573390"/>
    <x v="5"/>
    <s v="This is PC10 and TIV is $2,573,390.  Ins scores are in the mid 600's (5-10% surcharge).  2010 masonry risk with tile roof located in Naples FL (surprised it is PC10).  Primary home, CSFB alarms.  Both insured's work.  Responding paid FD is 8.2 miles away with a 13 minute drive time.  Response time is probably just at 15 minutes.  There is another FD 2.5 miles away (5 min) but this is not the primary FD._x000a_"/>
    <x v="3"/>
    <s v="Pending for current rate from VMGA. Emailed Partner. //  Referred to John for review of my rec to approve.  Appalachian is writing a lot with us, it's just at 15 min response time, roads are clear to the home, newer home, masonry with tile roof, csfb alarms.  I would ask the agent to give me the quoted premium and make sure we are getting at least .40 rate since this is pushing the limit of our response time. John approved. We should try to get .50. // I emailed agent 3/21 at 4:31 for the rate and confirmation of PC10. Haven't heard back// 3/22/19 advised agt of approval at .36 (agreed to by John).  // 3/27/19 John is out of the office this pm and tomorrow am. Agt advises they must get under $9,000 prem to sell.  Overall we are okay with this risk. I made an executive decision w/John out and agreed to go with .348 rate for total of $8,955. Only .012 less than we agreed on.  I emailed John to advise."/>
    <m/>
    <m/>
    <s v="Patterson"/>
  </r>
  <r>
    <x v="56"/>
    <x v="0"/>
    <s v="MI"/>
    <s v="Jill"/>
    <m/>
    <s v="Shoemaker"/>
    <s v="Dale"/>
    <s v="DP3 Vacant"/>
    <s v="Buena Vista"/>
    <s v="CO"/>
    <s v="81211"/>
    <n v="9"/>
    <n v="500000"/>
    <n v="500000"/>
    <x v="11"/>
    <s v="2019 year built log home. Just finishing building, maybe another 1-2 months for exterior to be finished. Will sit vacant for at least 3 years until daughter returns from China. When daughter returns she will complete inside of property. "/>
    <x v="3"/>
    <s v="Photos of home showed that there were no doors, windows, etc. and entire structure was open in those areas to the outside. Asked if that is still the case. Also asked the status of the electrical, plumbing, and heating systems, and if in place are they on or off. If on, any winterization plans?"/>
    <m/>
    <m/>
    <s v="Busse"/>
  </r>
  <r>
    <x v="56"/>
    <x v="0"/>
    <s v="MI"/>
    <s v="Nicole"/>
    <m/>
    <s v="Schrader"/>
    <s v="Jean"/>
    <s v="HO3 Primary"/>
    <s v="Saint Ann"/>
    <s v="MO"/>
    <s v="63074"/>
    <n v="4"/>
    <n v="332900"/>
    <n v="638290"/>
    <x v="4"/>
    <s v="Business on premises and a prior loss. 1952 year built with updates 1992 wiring, 2002 heating, 2018 plumbing and roof 2008. 5/2017 liability loss grandsons wife was taking an intoxicated employees wife back on the property in a golf cart. The person fell out of the cart which was on the applicants property. $0 paid $5,000 med pay reserve. Applicants grandson has 2 businesses on premises from commercial structure, Brians Automotive Inc and Pavement maintenance and Construction LLC. Grandson has commercial policy for businesses. "/>
    <x v="1"/>
    <s v="Agent already applied TBE and also excluded liability and med pay. Approved subject to completed and acceptable OHQ, TBE, Liability exclusion, other structure exclusion for business related structures and no coverage for golf cart(s)"/>
    <m/>
    <m/>
    <s v="Busse"/>
  </r>
  <r>
    <x v="56"/>
    <x v="0"/>
    <s v="MI"/>
    <s v="Leslie"/>
    <m/>
    <s v="Daddy Buck FLP"/>
    <m/>
    <s v="HO3 Seas/Sec"/>
    <s v="Canton"/>
    <s v="TX"/>
    <s v="75103"/>
    <n v="9"/>
    <n v="98000"/>
    <n v="264600"/>
    <x v="9"/>
    <s v="1972 year built fully updated in 2009. Applicant is Deion Sanders, pretty high profile retired football player. Has home in FLP with mother and sister to protect his name. Couldn’t find any information on property online. Liability is excluded on the referral from agent. "/>
    <x v="2"/>
    <s v="Overall, the profile of applicant is pretty significant. When searching online, at least 4 different lawsuits/cases were found that involved this applicant and other businesses/organizations that he runs. Also, not necessarily an immediate concern, but questions as to why such a low value and small property for someone with as much wealth as applicant. All of this considered, we are declining. "/>
    <m/>
    <m/>
    <s v="Busse"/>
  </r>
  <r>
    <x v="57"/>
    <x v="3"/>
    <s v="IL"/>
    <s v="Tasha"/>
    <m/>
    <s v="Garcia"/>
    <s v="Jorge"/>
    <s v="HO3 Primary"/>
    <s v="Chicago"/>
    <s v="IL"/>
    <s v="60636"/>
    <n v="6"/>
    <n v="189175"/>
    <n v="264593"/>
    <x v="1"/>
    <s v="1908 year built with gut/rebuild 2016 and all systems updated. Lapse in coverage since 8/2018. Applicant thought prior insurance was too expensive and decided not to renew. Agent advised insured was unable to location any other coverage. No losses, applicant signed no loss statement as well. "/>
    <x v="2"/>
    <s v="Length of lapse is pretty significant and the reason of &quot;not able to locate other coverage&quot; does not seem justifiable. As such, declining due to lapse. "/>
    <s v="Looked at property online. Photos were from 2014 but property had broken windows, doors boarded, etc. Neighboring property and other properties across street and on same street had same condition. I know this property mentions it was updated, but with as many other properties in short distance to this with same issues, there is concern."/>
    <m/>
    <s v="Busse"/>
  </r>
  <r>
    <x v="57"/>
    <x v="0"/>
    <s v="MI"/>
    <s v="Alexa"/>
    <m/>
    <s v="Gross"/>
    <s v="Lois A"/>
    <s v="DP3 Vacant"/>
    <s v="Muncie"/>
    <s v="IN"/>
    <s v="47304"/>
    <n v="9"/>
    <n v="225000"/>
    <n v="275000"/>
    <x v="2"/>
    <s v="1965 home updated with open water loss.  Agent has authority to handle open claims. They approved w/ roof exclusion, existing damage exclusion and contents excl ($100K requested).  Now the insd is asking for $50K and agency wants our approval.  "/>
    <x v="2"/>
    <s v="Asked for more info on the repair. Advised our stance on open water claims. Asked for mold exclusion. Declined contents covg - not comfortable with recent roof and water claim. Asked to verify PC. PCQ says 20 min response for PC9??// Received info back. Not comfortable with open claim and repairs not started. "/>
    <s v=" "/>
    <m/>
    <s v="Patterson"/>
  </r>
  <r>
    <x v="57"/>
    <x v="0"/>
    <s v="MI"/>
    <s v="Jill"/>
    <m/>
    <s v="Bahl"/>
    <s v="Panka"/>
    <s v="HO3 Primary"/>
    <s v="Danville"/>
    <s v="CA"/>
    <s v="94506"/>
    <n v="2"/>
    <n v="1370000"/>
    <n v="2459000"/>
    <x v="2"/>
    <s v="1986 primary home not in brush. 4 roof leak/water dmg losses all closed. (4/17 $3299K, 4/17 $471, 11/18 $5867, 2/19 $5000).  They only did partial replacement of the roof, but 2 of the losses were in the same spot, and it is a big house.  Ins score is L which is 1.0 factor.  Insd is a doctor."/>
    <x v="1"/>
    <s v="Approve with the quoted roof exclusion and add a water damage exclusion.   Additionally we would require mold and water backup exclusions.  There is a pool with diving board so the pool exclusion applies.  "/>
    <s v="Partial repair seems a bit of an under-reaction.  If it was worse insurance score, I'd be concerned of a morale hazard.  I'm concerned with additional roof leaks which aren't detected as roof leaks, and neglect of plumbing. They didn't describe the 4/17 $471 but it was one day apart from the other one, so I'm not going to ask.   // Referred for John's opinion 3/21/19 4:22PM.  John agreed."/>
    <m/>
    <s v="Patterson"/>
  </r>
  <r>
    <x v="57"/>
    <x v="7"/>
    <s v="LA"/>
    <s v="Traci"/>
    <m/>
    <s v="TBD"/>
    <m/>
    <s v="HO3 Primary"/>
    <m/>
    <s v="SC"/>
    <m/>
    <m/>
    <n v="600000"/>
    <n v="1260000"/>
    <x v="4"/>
    <s v="Home on 70 acres. One small 2016 water damage claim. Insd has 4 donkeys and 10 goats. All personal, no business, no breeding, hobby only. Unfenced pond okay."/>
    <x v="3"/>
    <s v="Asked for claim detail for file. Review pricing for possible surcharge. Asked for other structure info - review condition and limited hay."/>
    <m/>
    <m/>
    <s v="Patterson"/>
  </r>
  <r>
    <x v="58"/>
    <x v="0"/>
    <s v="MI"/>
    <s v="Leslie"/>
    <m/>
    <s v="Cabell"/>
    <s v="Charles"/>
    <s v="DP3 Rental"/>
    <s v="Colorado Springs"/>
    <s v="CO"/>
    <s v="80911"/>
    <n v="2"/>
    <n v="193000"/>
    <n v="255900"/>
    <x v="2"/>
    <s v="1967 year built with roof update in 2016 and heating in 1999, no other updates. 5 hail losses, 6/2014 $2k, 7/2016 $13k, 6/2018 $15k, 8/2018 $14k. SRD quoted with 5% w/h deductible. Hail damage score is 10 for past 7 years, Hail score came back as 5."/>
    <x v="2"/>
    <s v="Declined risk due to loss history. Even with 5% w/h deductible, not comfortable with loss history."/>
    <m/>
    <m/>
    <s v="Busse"/>
  </r>
  <r>
    <x v="58"/>
    <x v="0"/>
    <s v="MI"/>
    <s v="Rachel"/>
    <m/>
    <s v="Sellers"/>
    <s v="Mark &amp; Mary"/>
    <s v="HO3 Builders Risk"/>
    <s v="Nashotah"/>
    <s v="WI "/>
    <s v="53058"/>
    <n v="7"/>
    <n v="1550000"/>
    <n v="1550000"/>
    <x v="7"/>
    <s v="2001 year built. Applicant is co-contractor, agent wants to provide liability. Provided prior carrier inspection, builders risk supp, and app. Inspection doesn’t show much of what is being done. Supp doesn’t mention what qualifications insured has to be co-contractor. "/>
    <x v="4"/>
    <s v="Advised we would need to know what qualifications applicant has to be co-contractor. Also asked what is being done since photos in inspection didn’t show anything. Also advised that if we do move forward with an approval it would be with excluding liability due to insured being co-contractor. UPDATE 3/26/2019: Agent came back advising applicant used to do this as a business with Cresthaven homes, has done about 150 homes. Stated they were able to extend liability through homeowners. New flooring, cabinets, paint, railings, and a kitchen and master bath remodel. Approved terms subject to excluding liability. "/>
    <m/>
    <m/>
    <s v="Busse"/>
  </r>
  <r>
    <x v="58"/>
    <x v="2"/>
    <s v="MA"/>
    <s v="Barbara"/>
    <m/>
    <s v="Suzanne E Duffy Revocable Trust"/>
    <m/>
    <s v="DP3 Rental"/>
    <s v="New Haven"/>
    <s v="CT"/>
    <s v="06510"/>
    <n v="1"/>
    <n v="1124000"/>
    <n v="1127000"/>
    <x v="2"/>
    <s v="1908 year built. Partial updates to wiring, plumbing, heating in 2003 and 2008. Complete roof update in 2003. 3 family rental. 3 water losses - 1/4/2018 radiator cracked, water and steam damage $31k, 1/19/2018 pipe under kitchen sink let go causing water damage $7k, 8/2018 line to hot water heater burst $11k. Agent asked if $10k water deductible or exclusion should be applied. Also asked what to do with roof since it appears portion of it is flat."/>
    <x v="1"/>
    <s v="Since there are only partial updates, especially plumbing, approving subject to water damage exclusion. With the roof, it does appear sections are flat, and on RCE it says built-up tar and gravel is part of the roof covering which is used typically only for flat roofs. As such, applying the $5,000 roof and ensuing water deductible should apply also, and a completed OHQ. "/>
    <m/>
    <m/>
    <s v="Busse"/>
  </r>
  <r>
    <x v="59"/>
    <x v="3"/>
    <s v="FL"/>
    <s v="Niki"/>
    <m/>
    <s v="Newman"/>
    <m/>
    <s v="HO3 Primary"/>
    <s v="Middleburg"/>
    <s v="FL"/>
    <s v="32068"/>
    <m/>
    <n v="360000"/>
    <n v="640000"/>
    <x v="2"/>
    <s v="2007 home w/ 12/2/18 fire. Grease left unattended. $150,624. closed, repairs made."/>
    <x v="2"/>
    <s v="AmWINS is a new partner and we are working to build their business. Niki is writing a lot of FL business.  I &quot;soft-declined&quot; this one purposely since it was AmWINS. I said usually grease indicates negligence, but if there is more to the story that we should consider, send with Fire Marshal or C&amp;O report, insurance score, conf of repairs completed."/>
    <m/>
    <m/>
    <s v="Patterson"/>
  </r>
  <r>
    <x v="59"/>
    <x v="0"/>
    <s v="MI"/>
    <s v="Rachel"/>
    <m/>
    <s v="Piatt"/>
    <s v="Caryn"/>
    <s v="HO3 Primary"/>
    <s v="Overgaard"/>
    <s v="AZ"/>
    <s v="85933"/>
    <n v="4"/>
    <n v="115000"/>
    <n v="176500"/>
    <x v="12"/>
    <s v="1987 year built with only update to heating in 2000. Agent would apply roof exclusion. Lapse in coverage since 2016, applicant is getting home loan to do some remodeling/updating and needs insurance to get a loan. Primary heat source is a wall heater that blows air. Home is about 800 sq ft.  "/>
    <x v="2"/>
    <s v="Applicant is only getting insurance because they have to, a bit of a concern. Due to combination of lapse and heat source we are going to decline. "/>
    <m/>
    <m/>
    <s v="Busse"/>
  </r>
  <r>
    <x v="59"/>
    <x v="0"/>
    <s v="MI"/>
    <s v="Leslie"/>
    <m/>
    <s v="Bowers"/>
    <s v="Matt   "/>
    <s v="HO3 Primary"/>
    <s v="Bennington"/>
    <s v="NE"/>
    <s v="68007"/>
    <n v="2"/>
    <n v="375000"/>
    <n v="560000"/>
    <x v="4"/>
    <s v="2017 home w/addition. Private entrance for one chair hair salon. Cut/color/wax. Business supplemental attached. Has GL. Agt quoted in Incidental Business program. Feel it is more exposure than that program contemplates."/>
    <x v="1"/>
    <s v="Approved subj to Total Business Excl. Maintain GL, confirm no large chem storage, no unattended wax warmers, no  tanning."/>
    <s v="Policy excludes professional services and business.. TBE and GL provide 2 addl layers of protection. No adverse online info for address or business. "/>
    <m/>
    <s v="Patterson"/>
  </r>
  <r>
    <x v="60"/>
    <x v="2"/>
    <s v="MA"/>
    <s v="Barbara"/>
    <m/>
    <s v="Clark"/>
    <s v="Nancy"/>
    <s v="HO3 Primary w/Rental"/>
    <s v="Little Compton"/>
    <s v="RI"/>
    <s v="02837"/>
    <n v="5"/>
    <n v="787000"/>
    <n v="1574000"/>
    <x v="11"/>
    <s v="1865 year built with complete updates in 2003 to everything. Primary home that has two units. One is for the applicant full time owner occupied, the other unit is rented during summer months June-Sept. Agent wasn’t sure how to properly rate. "/>
    <x v="1"/>
    <s v="Approved subject to OHQ, FRC, and rating as follows - 2 options: 1) rate as owner occupied with 10% surcharge to match rate of secondary rented 10-20 weeks, or 2) rate as secondary rented 10-20 weeks and override the description to read primary instead of secondary. Advised to still rate as two family, and to use HO rental form MPLH0179."/>
    <m/>
    <m/>
    <s v="Busse"/>
  </r>
  <r>
    <x v="60"/>
    <x v="0"/>
    <s v="MI"/>
    <s v="Nicole"/>
    <m/>
    <s v="County Home Cabin LLC"/>
    <m/>
    <s v="HO3 Seas/Sec w/Rental"/>
    <s v="Bluffton"/>
    <s v="IN"/>
    <s v="46714"/>
    <n v="10"/>
    <n v="134418"/>
    <n v="163860"/>
    <x v="11"/>
    <s v="2009 year built with complete updates to systems and roof in 2018. PC 10 with response time around 10 minutes. There is a pond near the property, support for FD. Season rental, with minimum of only 1 night rental. No public listing for the cabin, word of mouth primarily for family, friends, and sometimes clients. Total rental time of 6 weeks throughout the year. "/>
    <x v="0"/>
    <s v="They applied a 5% surcharge per the guidelines of rentals with minimum 2 nights or less. Since the risk isn't a publicly advertised location I am comfortable with the 1 night rental. Approving terms as quoted. "/>
    <m/>
    <m/>
    <s v="Busse"/>
  </r>
  <r>
    <x v="61"/>
    <x v="3"/>
    <s v="IL"/>
    <s v="Tasha"/>
    <m/>
    <s v="Just Douglas, LLC"/>
    <m/>
    <s v="DP3 Rental"/>
    <s v="Kingwood"/>
    <s v="TX"/>
    <s v="77339"/>
    <m/>
    <n v="325000"/>
    <n v="372500"/>
    <x v="11"/>
    <s v="Agent received no referral messages when quoting and just wanted to make sure everything was fine to offer since it was in Harris Co in TX."/>
    <x v="0"/>
    <s v="The risk was all within their guidelines and quoted correctly. Advised to consider ACV roof since roof was 22 years of age. "/>
    <m/>
    <m/>
    <s v="Busse"/>
  </r>
  <r>
    <x v="61"/>
    <x v="3"/>
    <s v="MA"/>
    <s v="Patty"/>
    <m/>
    <s v="Neal W O'Connor FLP"/>
    <m/>
    <s v="DP3 Rental"/>
    <s v="Osterville"/>
    <s v="MA"/>
    <s v="02655"/>
    <n v="2"/>
    <n v="2500000"/>
    <n v="2751000"/>
    <x v="6"/>
    <s v="2006 year built. No mention of alarms. PC info wasn’t provided so I ran the PC report. App has a few things missing. Pool answered as yes, and when looking online appears there is no fence. Also, no LLC quest was provided. Risk appears to be OK minus the missing info. "/>
    <x v="1"/>
    <s v="Approved subject to completed and acceptable app, pool liab excl, confirmation of alarms and following appropriate guidelines, 3 star or better IS, and completed and acceptable LLC quest."/>
    <m/>
    <m/>
    <s v="Busse"/>
  </r>
  <r>
    <x v="61"/>
    <x v="0"/>
    <s v="MI"/>
    <s v="Leslie"/>
    <m/>
    <s v="Coplan"/>
    <s v="Carole"/>
    <s v="HO3 Seas/Sec w/Rental"/>
    <s v="Sonoma"/>
    <s v="CA"/>
    <s v="95476"/>
    <n v="6"/>
    <n v="1750000"/>
    <n v="2625000"/>
    <x v="4"/>
    <s v="1979 year built with complete updates in 2013. Farm on premises, 5 acres, applicant has farm policy. They harvest grapes for wine. No employees or foot traffic. Outside contractor takes grapes and does all other processes at separate location. They have a commercial policy. Quoted with liability and TBE. WRS is 10"/>
    <x v="0"/>
    <s v="Given that the only &quot;work&quot; that is done at the location is the growing of the grapes, and that all other handling/procedures are done at a separate location, I am comfortable with offering terms with liability and a TBE. Approved risk. "/>
    <m/>
    <m/>
    <s v="Busse"/>
  </r>
  <r>
    <x v="61"/>
    <x v="3"/>
    <s v="LA"/>
    <s v="Crystal"/>
    <m/>
    <s v="Sigue"/>
    <s v="Lynette &amp; Gabriel"/>
    <s v="HO3 Primary"/>
    <s v="New Iberia"/>
    <s v="LA"/>
    <s v="70560"/>
    <n v="5"/>
    <n v="520000"/>
    <n v="936000"/>
    <x v="2"/>
    <s v="1999 risk w/update to entire HVAC system and a few shingles replaced. NRN by Farm Bureau due to losses. 4/16 $609 - insd trenching yard, hit a gas line. 8/18 $7600 a/c unit &quot;fried&quot; 7/18 - wind dmg to a few shingles $0. Has a pool slide w/fence. Pool exclusion applied. 60x40 bldg no heat, no plumbing, no woodstove, good condition. "/>
    <x v="1"/>
    <s v="Pool excl required. s/c for losses,  info on metal building ok. No business use. Aerial photo shows trucks - no biz conducted on prem. Insd stores trucks there for dirt/sand/limestone business. Employees may come on and drive them off.  Ok to proceed subject to total business exclusion, pool exclusion (or remove slide). Insd also has a piping business, but I confirmed online it is not at this premise."/>
    <m/>
    <m/>
    <s v="Patterson"/>
  </r>
  <r>
    <x v="62"/>
    <x v="3"/>
    <s v="TN"/>
    <s v="Ryan"/>
    <m/>
    <s v="TBD"/>
    <m/>
    <s v="HO3 Primary"/>
    <m/>
    <s v="TN"/>
    <m/>
    <m/>
    <m/>
    <m/>
    <x v="3"/>
    <s v="1940 home completely gutted/updated in 2016. Foundation is pier &amp; beam, no enclosed in brick. Insd purchased in 2017. Has clear inspection."/>
    <x v="1"/>
    <s v="General question, but this does relate to a specific risk.  Advised Ryan of pier &amp; beam issues. We discussed on the phone and he is going to closely review the 2017 inspection and order a 3rd party inspection to make sure no issues. "/>
    <m/>
    <m/>
    <s v="Patterson"/>
  </r>
  <r>
    <x v="62"/>
    <x v="3"/>
    <s v="IN"/>
    <s v="Tasha"/>
    <m/>
    <s v="Oak 120 Estate LLC"/>
    <m/>
    <s v="HO3 Rental"/>
    <s v="Michigan City"/>
    <s v="IN"/>
    <s v="46360"/>
    <m/>
    <n v="1925000"/>
    <m/>
    <x v="4"/>
    <s v="1920 year built with complete gut rehab in 2010. Vacation rental that sleeps up to 25 people and is marketed as a venue for reunions, large family vacations, retreats and weddings. There is a tree house that sleeps up to 10. Large pool with diving board, tennis courts, basketball courts. "/>
    <x v="2"/>
    <s v="Usually we can consider risks that have wedding/retreat venue space as long as there is proper separation. With this situation, the home, along with the rest of the property, is used for these purposes along with the regular type vacation rental. As such, we are going to decline this this. This sounds more like a commercial exposure."/>
    <s v="Previously submitted by Burns and declined for them.  AmWINS submitted and I didn’t realize until I logged this (before I replied) that this was the same risk! AmWINS did not have the level of info that Burns had."/>
    <m/>
    <s v="Patterson"/>
  </r>
  <r>
    <x v="62"/>
    <x v="0"/>
    <s v="MI"/>
    <s v="Alexa"/>
    <m/>
    <s v="Arnold"/>
    <s v="Andrew"/>
    <s v="HO3 Primary"/>
    <s v="Greenville"/>
    <s v="MI"/>
    <s v="48838"/>
    <n v="7"/>
    <n v="473000"/>
    <n v="1168700"/>
    <x v="4"/>
    <s v="2005 year built. Home has a daycare, licensed for 12 children. Additionally, there are 4H animals on premises (3 horses, 2 goats, 8 pigs, 9 rabbits, and 13 chickens. No farming, the animals are &quot;for the kids&quot;. They do have a CGL for the daycare, would apply TBE."/>
    <x v="2"/>
    <s v="Due to the combination of 12 children daycare and a larger number of animals that are for the children, we are passing on this risk. We feel, even with exclusions, that defense costs could be exorbitant if a loss occurs. "/>
    <m/>
    <m/>
    <s v="Busse"/>
  </r>
  <r>
    <x v="62"/>
    <x v="0"/>
    <s v="MI"/>
    <s v="Alexa"/>
    <m/>
    <s v="Berg"/>
    <s v="Jonathan"/>
    <s v="DP3 Vacant"/>
    <s v="Albuquerque"/>
    <s v="NM"/>
    <s v="67110"/>
    <n v="1"/>
    <n v="219000"/>
    <n v="243900"/>
    <x v="11"/>
    <s v="1965 year built with full updates in 1995. Branch quoted subject to OHQ and it came back 90% copper with 2 aluminum circuit breakers. It was declined unless they were willing to replace prior to requested 4/14/2019 effective date. Agent came back with electrician invoice/comments that there is only one breaker tied to 30 amp 240 volt circuit for the clothes dryer and as such meets code. "/>
    <x v="0"/>
    <s v="Lower value property, home is vacant for sale - don’t foresee clothes dryer being used at any point while vacant. Reassuring knowing an electrician looked a the system and confirmed it meets code. Approved terms as quoted and advised the invoice/comments from the electrician should be kept on file. "/>
    <m/>
    <m/>
    <s v="Busse"/>
  </r>
  <r>
    <x v="62"/>
    <x v="2"/>
    <s v="MA"/>
    <s v="Barbara"/>
    <m/>
    <s v="Bello"/>
    <s v="Frank"/>
    <s v="DP3 Rental"/>
    <s v="Linwood"/>
    <s v="NJ"/>
    <s v="08221"/>
    <m/>
    <n v="315000"/>
    <n v="351500"/>
    <x v="1"/>
    <s v="1960 year built that was DNOC due to condition of exterior siding. Around entire dwelling, there is missing paint and some rotted wood, agent provided photos. Appears to be in decent shape except for siding. Updates done 2000 plumbing, 2006 wiring, 2007 heating, and 2017 roof. Asked if they should do $10k water ded or do a water exclusion. "/>
    <x v="1"/>
    <s v="Approved subject to full water exclusion, mold and water backup exclusion, also. Also made it a subjectivity that the exterior be repaired by the end of the first term."/>
    <m/>
    <m/>
    <s v="Busse"/>
  </r>
  <r>
    <x v="62"/>
    <x v="13"/>
    <s v="NC"/>
    <s v="Tricia"/>
    <m/>
    <s v="Bowen"/>
    <s v="Anthea &amp; Robert"/>
    <s v="HO3 Seas/Sec w/Rental"/>
    <s v="Charleston"/>
    <s v="SC"/>
    <s v="29401"/>
    <n v="1"/>
    <n v="565488"/>
    <n v="615488"/>
    <x v="11"/>
    <s v="1900? Year built. App says 1920 but inspection says 1900. Per inspection, systems have been updated within last 10 years. Agent is asking if they can quote with removing FRC, as they typically do for this specific agent."/>
    <x v="1"/>
    <s v="Advised what the guidelines are (pre 1945 not gutted and rebuilt, but have had updates, only FRC). Advised we may be able to make exceptions for risks that are much closer to the 1945 cutoff, but with this being 19001 and no mention of gut/rebuild, we will stay on the requirement of FRC."/>
    <m/>
    <m/>
    <s v="Busse"/>
  </r>
  <r>
    <x v="62"/>
    <x v="8"/>
    <s v="CO"/>
    <s v="Allison"/>
    <m/>
    <s v="Giefer"/>
    <s v="Steven &amp; Autumn"/>
    <s v="HO3 Builders Risk"/>
    <s v="Franktown"/>
    <s v="CO"/>
    <s v="80116"/>
    <m/>
    <n v="1800000"/>
    <n v="3660000"/>
    <x v="6"/>
    <s v="This was  a builders risk since 2017, main home just got finished. Detached guest home is being built now and should be done in a couple months. No change in exposure, will endorse off COC once done and will be primary. 3 dogs, all acceptable breeds, and 13 goats and a mule - all personal use and to keep grass low. Excluded animal liability but asked if they request to remove the exclusion would it be OK. Hail loss from 2016, caused full replacement of roof on the main home. UPDATE 4/3/2019: Allison came back asking if we can just insure the guest house, as applicant is able to insure main house through Chubb but they wont write the guest home. She applied 10% surcharge for tail end COC of guest home. "/>
    <x v="1"/>
    <s v="Advised that the animal exclusion should apply, but if they ask to remove then it would be ok with an additional 5% surcharge due to # of animals and only allow lowest limit of $10,000. COC seems fine since main home is complete. Applied another 5% surcharge for being mid-term with the guest house. UPDATE 4/3/2019: Advised we will allow to just insure the guest home. She has it rated as HO3 builders risk still, and is including &quot;guest home&quot; in the location address. Asked if Chubb would extend liability for the guests home, and if so we would exclude liability. If not, we would want to apply a building exclusion for the main house and any other structures that would be covered under the policy for the main house. Asdvised that the animal liability subjectivities would still apply if they wanted to remove exclusion. UPDATE 4/8/2019: Chubb will offer laibility for entire premises, which would include gust home and barn. As such, approving terms to cover guest home on Cov A and barn on Cov B while excluding liability. "/>
    <m/>
    <m/>
    <s v="Busse"/>
  </r>
  <r>
    <x v="63"/>
    <x v="0"/>
    <s v="MI"/>
    <s v="Nicole"/>
    <m/>
    <s v="Yore"/>
    <s v="Kimberly"/>
    <s v="HO3 Primary"/>
    <s v="Riverton"/>
    <s v="UT"/>
    <s v="84096"/>
    <n v="5"/>
    <n v="433000"/>
    <n v="800000"/>
    <x v="4"/>
    <s v="2001 home on same property as insured's business.  Sawtooth Rifles LLC.  Insd assembles and gunsmiths riles and guns. Small parts manufacturing.  Detached building 15' from the home.  TBE and there will be a GL."/>
    <x v="2"/>
    <s v="Reviewed website. This is a class of business that represents an exposure we are not comfortable writing. Possible exorbitant defense costs."/>
    <m/>
    <m/>
    <s v="Patterson"/>
  </r>
  <r>
    <x v="63"/>
    <x v="0"/>
    <s v="MI"/>
    <s v="Nicole"/>
    <m/>
    <s v="Ryder"/>
    <s v="Noah"/>
    <s v="HO3 Primary"/>
    <s v="Brighton"/>
    <s v="CO"/>
    <s v="80601"/>
    <n v="4"/>
    <n v="350000"/>
    <n v="630000"/>
    <x v="1"/>
    <s v="1960 home updated. 2 prior losses. Insured is 18 years old, not employed. He has a trust fun managed by a business manager. Prior coverage expired 3/11/19. No hit ins score. Burns quoted w/5% s/c for lapse."/>
    <x v="2"/>
    <s v="Concern with lapse."/>
    <s v="Business manager is clearly not doing their job; or if insd is responsible for paying the bills, he's not doing a good job. 18 y/o unemployed with a trust fund living in his own house.  Risk is in same town as a community college. Sounds like a bad situation.  It would take a lot to prove this is a stable situation; and considering age, it could take a turn at any time."/>
    <m/>
    <s v="Patterson"/>
  </r>
  <r>
    <x v="63"/>
    <x v="4"/>
    <s v="CA"/>
    <s v="Melissa"/>
    <m/>
    <s v="Jakana"/>
    <s v="Sam &amp; Tilda"/>
    <s v="HO3 Primary"/>
    <s v="Coto de Caza"/>
    <s v="CA"/>
    <s v="92679"/>
    <m/>
    <n v="1455000"/>
    <n v="2982750"/>
    <x v="2"/>
    <s v="1960 home w/updates. Insd has 4 water losses in 2017-2018. $1860-$8581. They purchased a leak detection/automatic shut off system; high deductible?"/>
    <x v="3"/>
    <s v="Numerous questions re the plumbing, PC, pricing, Cov A. Will scrutinize due to value at almost $3M. Online realtor.com shows immaculate updated home."/>
    <m/>
    <m/>
    <s v="Patterson"/>
  </r>
  <r>
    <x v="63"/>
    <x v="0"/>
    <s v="MI"/>
    <s v="Alexa"/>
    <m/>
    <s v="Zentz"/>
    <s v="Jaime"/>
    <s v="HO3 Primary"/>
    <s v="Indianapolis"/>
    <s v="IN"/>
    <s v="46202"/>
    <n v="2"/>
    <n v="305622"/>
    <n v="331122"/>
    <x v="4"/>
    <s v="1920 home w/updates. 2 story dwelling. Insured lives on 2nd floor. 1st floor has 4 salon booths that are rented to the stylists. Considering a GL. Separate entrance."/>
    <x v="1"/>
    <s v="Recommended coml policy, lease 2nd floor back, HO4. Also ok'd HO policy w/TBE and GL. Exposure ok, 2nd entrance. Confirm no tanning, no large amt of chemicals. "/>
    <m/>
    <m/>
    <s v="Patterson"/>
  </r>
  <r>
    <x v="63"/>
    <x v="0"/>
    <s v="MI"/>
    <s v="Nicole"/>
    <m/>
    <s v="Rivera"/>
    <s v="Jaime &amp; Beatriz"/>
    <s v="HO3 Primary"/>
    <s v="Sylmar"/>
    <s v="CA"/>
    <s v="91342"/>
    <n v="1"/>
    <n v="388150"/>
    <n v="1000000"/>
    <x v="2"/>
    <s v="Primary home and guest house w/separate addresses.  4 prior smoke/fire losses that are actually 2 losses.  WRS 31. PC1. Question about writing as 1 risk or 2 separate."/>
    <x v="2"/>
    <s v="Not comfortable with the loss history."/>
    <m/>
    <m/>
    <s v="Patterson"/>
  </r>
  <r>
    <x v="64"/>
    <x v="0"/>
    <s v="MI"/>
    <s v="Alexa"/>
    <m/>
    <s v="Estate of Guner Blok"/>
    <m/>
    <s v="DP3 Vacant"/>
    <s v="Skokie"/>
    <s v="IL"/>
    <s v="60076"/>
    <n v="2"/>
    <n v="692000"/>
    <n v="759500"/>
    <x v="3"/>
    <s v="Guner Blok recently passed away and home is now vacant. Lapse in coverage since 3/14/2019. The son believes entire property might have galvanized plumbing. They plan to remove soon because they want to rent it out. Bind request was for 3/27 but they were waiting for info on galvanized, want to know if they can use that date or today's date. Partial updates to systems and full roof update in 2017"/>
    <x v="1"/>
    <s v="Approved terms subject to a full water exclusion, mold exclusion, and water backup exclusion. Also subject to a favorable interior/exterior inspection. Advised that we will not use the 3/27 effective date and that a new signed no loss should be received with today's date as effective date. "/>
    <m/>
    <m/>
    <s v="Busse"/>
  </r>
  <r>
    <x v="64"/>
    <x v="0"/>
    <s v="MI"/>
    <s v="Jeffrey"/>
    <m/>
    <s v="Clauch"/>
    <s v="Abby"/>
    <s v="HO3 Primary"/>
    <s v="Glennville"/>
    <s v="CA"/>
    <s v="93226"/>
    <n v="4"/>
    <n v="275000"/>
    <n v="542500"/>
    <x v="12"/>
    <s v="1978 year built with complete updates to heating and roof in 2019, partial updates to wiring and plumbing 2009. WRS 40. Primary heat source is a wood burning stove. Rated with correct surcharge for WRS.  IS is an R."/>
    <x v="1"/>
    <s v="OK with continuing with heat source as WBS since it is in a protected area. Approved subject to additional 10% surcharge due to heat source, completed and acceptable WBS quest and OHQ."/>
    <m/>
    <m/>
    <s v="Busse"/>
  </r>
  <r>
    <x v="65"/>
    <x v="0"/>
    <s v="MI"/>
    <s v="Alexa"/>
    <m/>
    <s v="Giefer"/>
    <s v="Steve"/>
    <s v="HO3 Primary"/>
    <s v="Franktown"/>
    <s v="CO"/>
    <s v="80116"/>
    <n v="9"/>
    <n v="1734720"/>
    <n v="3919664"/>
    <x v="6"/>
    <s v="Builders risk where the main home has been completed but guest house is still being worked on. All exterior is completed they are finishing up inside, paint, fixtures, flooring, bathrooms, etc. 4 horses, chickens, and goats for personal use. Work is to be completed by fall and is being done by a contractor. "/>
    <x v="1"/>
    <s v="Approved terms subject to rating as builders risk, which they had done but wanted to confirm. Subject to additional 5% surcharge due to mid-term COC on guest home, 5% surcharge due to number of animals and will only allow lowest limit of animal liability at $10,000"/>
    <s v="This same risk was referred to us by SCU last week. Approved these terms the same that were approved for SCU. "/>
    <m/>
    <s v="Busse"/>
  </r>
  <r>
    <x v="66"/>
    <x v="8"/>
    <s v="CO"/>
    <s v="Allison"/>
    <m/>
    <s v="Chong"/>
    <s v="Won Sook"/>
    <s v="HO3 Primary"/>
    <s v="Marina Del Rey"/>
    <s v="CA"/>
    <s v="90292"/>
    <n v="2"/>
    <n v="2000000"/>
    <n v="3950000"/>
    <x v="6"/>
    <s v="This is a $3.9M TIV risk located in CA that has a WRS of 6."/>
    <x v="2"/>
    <s v="Since our guidelines have been updated since last fall, we do not allow risks with over $3M TIV regardless of WRS. That guideline still applies and as such is ineligible. "/>
    <m/>
    <m/>
    <s v="Busse"/>
  </r>
  <r>
    <x v="66"/>
    <x v="0"/>
    <s v="MI"/>
    <s v="Danielle"/>
    <m/>
    <s v="Roubal"/>
    <s v="Scott"/>
    <s v="HO6"/>
    <s v="Colorado Springs"/>
    <s v="CO"/>
    <s v="80906"/>
    <n v="2"/>
    <n v="387000"/>
    <n v="573000"/>
    <x v="2"/>
    <s v="1999 year built condo. Prior carrier was USAA and they do not have agents and each time you call to inquire about coverage a claim is opened. The new agent is educating the applicant on filing claims. Technically there are 6 losses since 2016, 4 paid. 3/2017 water $255, slow leak that was present before insured purchased but noticed when damage became more apparent. 10/2017 $7037 smoke damage in kitchen due to incident with microwave. 1/2018 water $2740 sudden leak from plumbing fixture, 2/2018 water $2695 sudden leak from plumbing fixture, has installed water alarms on all plumbing fixtures. Two hail storms 2016 and 2018 that caused to open a claim even though coverage didn't apply, both closed with $0, HOA did repairs. "/>
    <x v="4"/>
    <s v="Seeing that water alarms have been installed makes this easier to review. They are all lower amounts, and Burns has AOP at $2500 with a water deductible at $5000. As such, approved terms. // MP 4/10/19 Burns added s/c for a hail loss originally believed to be covered by the condo assoc. It was actually paid under loss assessment. Also, they added EQ. Confirmed w/Bethany."/>
    <m/>
    <m/>
    <s v="Busse"/>
  </r>
  <r>
    <x v="66"/>
    <x v="4"/>
    <s v="CA"/>
    <s v="Alison"/>
    <m/>
    <s v="Bellmar"/>
    <s v="Tracy"/>
    <s v="HO3 Primary"/>
    <s v="Fallbrook"/>
    <s v="CA"/>
    <s v="92028"/>
    <n v="2"/>
    <n v="352000"/>
    <n v="700000"/>
    <x v="2"/>
    <s v="1988 home w/roof update in 2005. 3 prior water losses at prior condo. 12/15 $16,684 bathroom water line burst. 1/17 and 2/17 - liability paid to neighbors for water leak. $475 and $2,908.  Agt applying 40% surcharge based on new direction from 3/7/19."/>
    <x v="0"/>
    <s v="Excellent score.  Losses were all at prior condo.  Agreed not to s/c for any of the 3 losses due to score and due to it being a condo.  No damage to the insured's unit in 2 of the losses."/>
    <s v="897 insurance score"/>
    <m/>
    <s v="Patterson"/>
  </r>
  <r>
    <x v="67"/>
    <x v="0"/>
    <s v="MI"/>
    <s v="Jeff"/>
    <m/>
    <s v="Story"/>
    <s v="Corinne"/>
    <s v="HO3 Primary"/>
    <s v="Buhl"/>
    <s v="ID"/>
    <s v="83316"/>
    <n v="2"/>
    <n v="161000"/>
    <n v="305900"/>
    <x v="2"/>
    <s v="2001 frame home. WBS secondary heat. Bankruptcy started in 2015; closed 2/13/17. Info indicates it was due to taxes which are now paid.  4 losses since 2014. 3/14 wind damage to roof $11K. 3/15 toilet overflow $9K. 6/17 toilet overflow $7K. 7/18 contents stolen from truck $760."/>
    <x v="2"/>
    <s v="Concern with score, losses, bankruptcy."/>
    <s v="Next to lowest tier score. Report shows broader info than what was provided. Home entered foreclosure and was part of bankruptcy."/>
    <m/>
    <s v="Patterson"/>
  </r>
  <r>
    <x v="67"/>
    <x v="0"/>
    <s v="MI"/>
    <s v="Jill"/>
    <m/>
    <s v="Hale"/>
    <s v="Jane"/>
    <s v="HO3 Primary"/>
    <s v="Georgetown"/>
    <s v="KY"/>
    <s v="40324"/>
    <n v="2"/>
    <n v="1113611"/>
    <n v="2227696"/>
    <x v="4"/>
    <s v="2019 home, new purchase. Insd moving 2 businesses into the home. Personal training and art which includes classes, sales, and quarterly wine/paint or wine/yoga. $1M liab quoted.$5K AOP"/>
    <x v="1"/>
    <s v="Concern with larger exposure in the home which we will likely end up defending - difficult to separate some of these classes from personal liability. Approved terms excluding liability, TBE, GL required for all business exposures including personal training, holistic oil sales, art classes, art sales, wine/paint and wine/yoga, and any other ventures."/>
    <s v="Approved by John 4/4/19 via email."/>
    <m/>
    <s v="Patterson"/>
  </r>
  <r>
    <x v="67"/>
    <x v="0"/>
    <s v="MI"/>
    <s v="Jill"/>
    <m/>
    <s v="Zenizo"/>
    <s v="Amy"/>
    <s v="HO3 Primary"/>
    <s v="Tucson"/>
    <s v="AZ"/>
    <s v="85712"/>
    <n v="2"/>
    <n v="220000"/>
    <n v="450000"/>
    <x v="4"/>
    <s v="1955 home with full updates on all but plumbing. 90% partial 2015. Quoted w/water backup. 3/18 broken pipe by contractor - subrogated. 9/18 $10K theft from home. Insd is a midwife and sees 40 patients a month in 1 room in her home. Restroom also used. $10K business equip. No empl, but may have 1-2 students/assistants per year. Has prof liab policy. Quoted w/$300K liab."/>
    <x v="2"/>
    <s v="Despite possibly excluding liability, TBE, Prof Liab.  4 layers of exclusion - policy excludes prof services, excludes liab, TBE excludes everything, plus prof liab policy, defense costs could be monumental if there was a loss involving patient and/or a child.  "/>
    <s v="Referred to John for review 4/4/19.  Declined"/>
    <m/>
    <s v="Patterson"/>
  </r>
  <r>
    <x v="67"/>
    <x v="0"/>
    <s v="MI"/>
    <s v="Alexa"/>
    <m/>
    <s v="Lewis"/>
    <s v="Reed"/>
    <s v="HO3 Seas/Sec"/>
    <s v="Soudan"/>
    <s v="MN"/>
    <s v="55781"/>
    <n v="9"/>
    <n v="1700000"/>
    <n v="2275000"/>
    <x v="5"/>
    <s v="2016 year built. Risk is on its own island about 500 ft from the shore of the mainland at its closest point. UP quest says that response time is 10 min, during summer FD has fire boat, winter a truck with 750 gallons can drive on ice, and time where ice isn't thick enough the backup FD has airboat that can access and break through ice to get water. Responding FD is volunteer. No alarms in property. Insurance score N. rated at about .23 per 100. "/>
    <x v="2"/>
    <s v="Declined risk due to the combination of the location and value. Unsure about the response time accuracy, and no alarms. "/>
    <s v="Similar island risks like this we have approved at a rate around .60 per 100. Those risks, however, had actual FD on the island as well. "/>
    <m/>
    <s v="Busse"/>
  </r>
  <r>
    <x v="68"/>
    <x v="2"/>
    <s v="MA"/>
    <s v="Barbara"/>
    <m/>
    <s v="Busler"/>
    <s v="Adam &amp; Jennifer"/>
    <s v="DP3 Rental"/>
    <s v="Margate"/>
    <s v="NJ"/>
    <s v="08402"/>
    <n v="5"/>
    <n v="270000"/>
    <n v="359999"/>
    <x v="2"/>
    <s v="1948 dwelling fully gutted and updated, new HVAC, new roof. $121K 1/14/18. Agt says loss is still open but all repairs are made. Carrier will automatically close 180 days after payments/repairs."/>
    <x v="1"/>
    <s v="Confirming that plumb/elec were replaced as part of the gut. If fully replaced, plumbing issue should be taken care of. Agt still quoted with $10K ded for water damage. Not a woodstove in shed. Utility pole behind shed per agt, confirmed in photos. Need to confirm rate - is there owner occupancy?"/>
    <m/>
    <m/>
    <s v="Patterson"/>
  </r>
  <r>
    <x v="69"/>
    <x v="0"/>
    <s v="MI"/>
    <s v="Leslie"/>
    <m/>
    <s v="Marx-Good"/>
    <s v="Gretchen"/>
    <s v="HO3 Primary"/>
    <s v="Elsberry"/>
    <s v="MO"/>
    <s v="63343"/>
    <n v="10"/>
    <n v="300000"/>
    <n v="540000"/>
    <x v="4"/>
    <s v="1959 year built with updates to roof and electric mentioned in 2000. The applicant inherited this home, and there is an event venue on the premises for weddings. App indicated farming and animals, but confirmation from Burns there is no farming and there are some goats for personal use only. The venue is set away from the home, there are separate driveways to the home and the venue. Applicant also said that they will be putting up a fence around the home to further separate the property. There is a GL in place for the venue and they are working on separating the zoning so that the venue would be on a different address. "/>
    <x v="4"/>
    <s v="Feel comfortable since the venue space is away from the home, separate driveway, and that they will be putting up a fence. Approved subject to TBE, GL in place and maintained for venue, and completed and acceptable OHQ. // MP Addl info from agent 4/10/19 This is a PC10, not a PC9 as MB originally approved. 12 minute drive time. Volunteer department.  Appears this will be close to our 15 and definitely within Burns 20 minute allowed response time.  Approved w/re-rate to PC10. This is a .67 rate."/>
    <m/>
    <m/>
    <s v="Busse"/>
  </r>
  <r>
    <x v="70"/>
    <x v="8"/>
    <s v="CO"/>
    <s v="Allison"/>
    <m/>
    <s v="Roubal"/>
    <s v="Richard"/>
    <s v="HO6"/>
    <s v="Colorado Springs"/>
    <s v="CO"/>
    <s v="80906"/>
    <n v="2"/>
    <n v="387000"/>
    <n v="495600"/>
    <x v="2"/>
    <s v="1999 condo, referred due to 6 losses, 4 paid. SCU advised insured was not advised to not file small claims with prior agent, and advised with new agent they will make sure they do not do so. Claims are smaller. Applicant said he would have gladly paid for them himself had he known they would go against him in the future. 3/2017 $255 window leak, 10/2017 $7k smoke damage, 1/2018 $2700 water damage, 2/2018 $2700 water damage. "/>
    <x v="0"/>
    <s v="SCU quoted with $10k AOP. Claims do not appear to be a concern and agent advised they would work with them on when to file claims. Approved terms as quoted."/>
    <s v="This risk was also quoted and referred by Burns. Burns advised water leak alarm system was installed and quoted with $2500 AOP and $5000 water damage deductible. I approved those terms, but since no mention of water alarms in this referral I approved with the overall $10k AOP. // MP on 4/10 Burns advised that one of the hail losses was not $0 paid, it was $4400 paid under Loss Assessment.  I emailed Allison generically and let her know it came to our attention."/>
    <m/>
    <s v="Busse"/>
  </r>
  <r>
    <x v="70"/>
    <x v="3"/>
    <s v="AL"/>
    <s v="James"/>
    <m/>
    <s v="Berry"/>
    <s v="Walter"/>
    <s v="DP3 Vacant"/>
    <s v="Ocean Springs"/>
    <s v="MS"/>
    <s v="39564"/>
    <n v="5"/>
    <n v="312000"/>
    <n v="529200"/>
    <x v="11"/>
    <s v="Referred due to vacant dwelling with no alarms and unscheduled personal property limit of over $50k ($140,400). 1993 year built with roof update in 2015. No other concerns, however, there wasn’t mention of vacancy reason."/>
    <x v="3"/>
    <s v="Pended to confirm vacancy reason and length, and if there is anyone who monitors the property. The risk seems acceptable, but will most likely consider increasing the quoted theft and water deductibles of $2500 up to at least $5000"/>
    <m/>
    <m/>
    <s v="Busse"/>
  </r>
  <r>
    <x v="70"/>
    <x v="3"/>
    <s v="FL"/>
    <s v="Niki"/>
    <m/>
    <s v="DeRaimo"/>
    <s v="Anthony &amp; Brenda Foreman"/>
    <s v="HO3 Seas/Sec w/Rental"/>
    <s v="Mount Pleasant"/>
    <s v="TN"/>
    <s v="38474"/>
    <n v="3"/>
    <n v="125000"/>
    <n v="193750"/>
    <x v="1"/>
    <s v="1945 year built with complete updates to systems and roof in 2015. Lapse in coverage for 2 years. Prior agent sent documentation to incorrect address and they didn’t realize there was a lapse until yesterday. "/>
    <x v="1"/>
    <s v="The risk itself seems acceptable. Updated and online looks to be in good condition. They quoted with $1000 AOP, and per guidelines lapse with greater than 90 days requires at least $2500 AOP. Approved subject to increasing AOP to $2500, acceptable signed no loss, and additional 20% surcharge due to the lapse. "/>
    <m/>
    <m/>
    <s v="Busse"/>
  </r>
  <r>
    <x v="71"/>
    <x v="3"/>
    <s v="IL"/>
    <s v="Tasha"/>
    <m/>
    <s v="Lewis"/>
    <s v="Clint &amp; Bethany"/>
    <s v="HO3 Primary"/>
    <s v="Golden Valley"/>
    <s v="MN"/>
    <s v="55422"/>
    <n v="5"/>
    <n v="425000"/>
    <n v="625000"/>
    <x v="9"/>
    <s v="1964 home w/little info on app. Insd is minor league hockey player. No adverse info per Google search by agent and me. Agt placing monoline liability policy."/>
    <x v="1"/>
    <s v="No adverse info. No liab exposure.  Approved subj to acceptable completed app and OHQ. Need to clarify occupancy - app states both primary and tenant."/>
    <m/>
    <m/>
    <s v="Patterson"/>
  </r>
  <r>
    <x v="71"/>
    <x v="2"/>
    <s v="MA"/>
    <s v="Barbara"/>
    <m/>
    <s v="Bobrow"/>
    <s v="Fred &amp; Anjanette"/>
    <s v="HO3 Primary"/>
    <s v="Hamden"/>
    <s v="CT"/>
    <s v="06517"/>
    <n v="4"/>
    <n v="600000"/>
    <n v="980000"/>
    <x v="2"/>
    <s v="1925 home with major reno in 2005. CS alarms. 3 prior losses 1/19 wind blew neighbor's dead tree on insd home $3353, 6/18 sewer backup $9256, 1/18 frozen pipe $37315."/>
    <x v="1"/>
    <s v="Approved subj to, but told Barbara we should probably resolve questions before offering terms (although rate only is okay).  Ensure repairs completed. Agt addressed w/$10K water damage ded, no sewer backup, no mold. Need conf that reno included plumb/elec to feel comfortable with RC/ERC. That would indicate probably gut. (This work was prior to their purchase.)  Need to clarify roof situation. May need to be excluded due to age. // 4/12 Barbara advised they got terms without ACV roof."/>
    <m/>
    <m/>
    <s v="Patterson"/>
  </r>
  <r>
    <x v="72"/>
    <x v="13"/>
    <s v="NC"/>
    <s v="Brittney"/>
    <m/>
    <s v="Crowley"/>
    <s v="Peter &amp; Patricia"/>
    <s v="HO3 Seas/Sec w/Rental"/>
    <s v="Bald Head Island"/>
    <s v="NC"/>
    <s v="28461"/>
    <n v="6"/>
    <n v="1233000"/>
    <n v="1399000"/>
    <x v="2"/>
    <s v="2001 home on Bald Head Island. Not an outer banks island. Agt quoted w/2% wind ded. Prior loss. $400K 9/14/18 Hurricane. Roof and water damage. Attempting to have all repairs done by mid-May so they can rent for June 1."/>
    <x v="4"/>
    <s v="Need 3% wind ded. Asked questions about interior repair still pending. Concern of taking on water damage/mold that hasn't been completely remediated/repaired. Rated via CQ. Bald head island has FD 4 mins from insd property. Volunteer. Response time &lt;15 min.   $0.58 rate per CQ. Increase to .60 rate. // Beadboard left to install. Not Builders Risk. Increased rate. "/>
    <m/>
    <m/>
    <s v="Patterson"/>
  </r>
  <r>
    <x v="72"/>
    <x v="0"/>
    <s v="MI"/>
    <s v="Nicole"/>
    <m/>
    <s v="White  "/>
    <s v="Richard"/>
    <s v="DP3 Rental"/>
    <s v="Andrews"/>
    <s v="IN"/>
    <s v="46702"/>
    <n v="10"/>
    <n v="175000"/>
    <n v="185000"/>
    <x v="5"/>
    <s v="1949 dwelling w/updates. Response time under 15 min w/ 11 min drive plus volunteer FD. 60 acres of rented farming use-farm liab policy. No Cov B-barn excluded and covered elsewhere."/>
    <x v="1"/>
    <s v="Confirmed rental and future endorse to vacant when son moves out. Confirm 60 acres farmed for crops- no other use or animals. Require farm liab. There is no Cov B, so no barn coverage. Barn is insured elsewhere."/>
    <m/>
    <m/>
    <s v="Patterson"/>
  </r>
  <r>
    <x v="72"/>
    <x v="0"/>
    <s v="MI"/>
    <s v="Nicole"/>
    <m/>
    <s v="Tabor"/>
    <s v="Cecilia"/>
    <s v="HO6"/>
    <s v="Lake Geneva"/>
    <s v="WI "/>
    <s v="53147"/>
    <m/>
    <n v="37700"/>
    <n v="117125"/>
    <x v="11"/>
    <s v="1980 year built condo. Condo is a caboose. It is part of a line of condos all built from a train. This is a seasonal condo for the applicant. Roof is membrane with sealant. Referral states caboose is stationary, and looking online it confirms that they are all permanently parked at the location. "/>
    <x v="0"/>
    <s v="Approved terms. Comfortable with risk since it is a condo, otherwise roof would've been a concern. Condition appears to be good on this risk and all the others that are there. "/>
    <m/>
    <m/>
    <s v="Busse"/>
  </r>
  <r>
    <x v="72"/>
    <x v="3"/>
    <s v="FL"/>
    <s v="Wendy"/>
    <m/>
    <s v="Mangas"/>
    <s v="Marcela"/>
    <s v="HO3 Primary"/>
    <s v="Hollywood"/>
    <s v="FL"/>
    <s v="33029"/>
    <n v="3"/>
    <n v="250000"/>
    <n v="402500"/>
    <x v="2"/>
    <s v="2019 year built (being reconstructed after total fire loss). Not clear as to whether COC has started or yet to start. AmWINS stated COC will be with another carrier but want to place HO3 with us afterwards. $200k+ fire loss, did not receive C&amp;O or fire marshal report. "/>
    <x v="4"/>
    <s v="Pended to ask for clarification on status of COC. Not sure as to whether that has started, is completed, or yet to begin. Also, will need to review C&amp;O or fire marshal report as that information was not included with claim docs that were submitted, only payout amounts. // MP 4/16/19 Received C&amp;O-cause of fire was lightning strike. Approved HO3 primary w/June date; or HO3 builders risk now. Submit pricing so I can add surcharge and give final rate."/>
    <m/>
    <m/>
    <s v="Busse"/>
  </r>
  <r>
    <x v="73"/>
    <x v="9"/>
    <s v="TN"/>
    <s v="Brett"/>
    <m/>
    <s v="Baltes"/>
    <s v="Israel"/>
    <s v="HO3 Primary"/>
    <s v="Homestead"/>
    <s v="FL"/>
    <s v="33030"/>
    <n v="9"/>
    <n v="782212"/>
    <n v="890212"/>
    <x v="4"/>
    <s v="2008 home. Insured has horses. Taken to exhibits and competitions and they sell them.  Fence separating horses from home. No animal liability. "/>
    <x v="4"/>
    <s v="Verified a horse sale is very rare. Insd has 6 horses. No other coverage. Our cutoff is 5. Offered to give minimum animal liab ($10K) with 10% surcharge due to # of animals. Apply TBE to be sure. "/>
    <m/>
    <m/>
    <s v="Patterson"/>
  </r>
  <r>
    <x v="73"/>
    <x v="3"/>
    <s v="NH"/>
    <s v="Kyle"/>
    <m/>
    <s v="Dostal "/>
    <s v="Susan &amp; Ralph F Jr"/>
    <s v="HO3 Primary"/>
    <s v="Vineyard Haven"/>
    <s v="MA"/>
    <s v="02568"/>
    <n v="4"/>
    <n v="900000"/>
    <n v="1300000"/>
    <x v="2"/>
    <s v="2005 home w/ prior $100K water damage loss from burst pipe in 2018. No mold quoted. Water backup quoted. Claim closed. All Damage repaired. Agt looking to stay with the quoted rate to beat competition."/>
    <x v="4"/>
    <s v="Good risk, one loss. Newer. Ok'd with $10K water ded and require inspection for proper insulation. Allowed water backup since newer home and loss unrelated. Agt was competing w/prior carrier and wanted to help them win."/>
    <s v="Reviewed with John. Approval in file."/>
    <m/>
    <s v="Patterson"/>
  </r>
  <r>
    <x v="73"/>
    <x v="0"/>
    <s v="MI"/>
    <s v="Jill"/>
    <m/>
    <s v="Pitts"/>
    <s v="Zachary"/>
    <s v="HO3 Primary"/>
    <s v="Potosi"/>
    <s v="WI "/>
    <s v="53820"/>
    <n v="9"/>
    <n v="1200000"/>
    <n v="2020000"/>
    <x v="5"/>
    <s v="2006 home currently with no alarms. Confirmed PC9. 9 minute drive time confirmed by volunteer PD. Some gravel but accessible year round.  Quoted $5428 = .26 rate. Lapse since Feb 19. No ins score provided. Log cabin w/wood shake roof - 13 years old."/>
    <x v="4"/>
    <s v="Trying not to pend if we don't have to.  Felt ok offering terms subject to:  Response time estimated 15-20 min. I doubled the rate to .50. Didn't feel ok going all the way to .60. For CSFB, 10% credit per excel rater. Insd said they are probably installing CSFB. 13 year old cabin w/wood roof ok. Need acceptable reason for lapse of 2 months. // 4/12/19 per Jill, J score (OK) and lapse was non pay. 2 month lapse is OK."/>
    <m/>
    <m/>
    <s v="Patterson"/>
  </r>
  <r>
    <x v="73"/>
    <x v="3"/>
    <s v="FL"/>
    <s v="Julie"/>
    <m/>
    <s v="Goolsby"/>
    <s v="Douglas"/>
    <s v="HO3 Primary"/>
    <s v="Beverly Hills"/>
    <s v="FL"/>
    <s v="34465"/>
    <m/>
    <n v="390000"/>
    <n v="750000"/>
    <x v="2"/>
    <s v="1999 home w/updates. Had prior total fire loss on TN home 1/1/17 $305K. Fire Marshal report provided. "/>
    <x v="2"/>
    <s v="FM report indicates some suspicious cause. Poor score. Insd was 2 mtg payments behind, had lost TN business, was living in GA, and was getting ready to put the TN house on the market."/>
    <s v="469 ins score"/>
    <m/>
    <s v="Patterson"/>
  </r>
  <r>
    <x v="73"/>
    <x v="0"/>
    <s v="MI"/>
    <s v="Jeff"/>
    <m/>
    <s v="Byrd"/>
    <s v="Richard"/>
    <s v="HO3 Primary"/>
    <s v="Webb City"/>
    <s v="MO "/>
    <s v="64870"/>
    <n v="3"/>
    <n v="85000"/>
    <n v="143500"/>
    <x v="0"/>
    <s v="1906 commercial building now being used as primary residence. Agt to order insp, EHP, confirm no losses, confirm no coml use, confirm coml neighbor."/>
    <x v="1"/>
    <s v="Asked for confirmation of condition and reno completed. Also need to verify size, covg, Cov A.  Need 100% ITV of ACV or RC."/>
    <s v="Burns consistently states that they do not want to change Cov A until they get the inspection back so they don't have to make changes twice.  "/>
    <m/>
    <s v="Patterson"/>
  </r>
  <r>
    <x v="74"/>
    <x v="8"/>
    <s v="CO"/>
    <s v="Allison"/>
    <m/>
    <s v="O'Neil"/>
    <s v="Kevin &amp; Lisa"/>
    <s v="HO3 Primary"/>
    <s v="Parma"/>
    <s v="ID"/>
    <s v="83660"/>
    <n v="9"/>
    <n v="900000"/>
    <n v="1758090"/>
    <x v="11"/>
    <s v="Referred due to PC 9 over $1.5M and BMX track on property. Lloyds is mo longer offering liability after 3 years of loss free, due to BMX track. There also is a go-cart track, golf driving range and pool on premises. Detached garage has about 10-15 dirt bikes lined up in it along with a handful of go-carts. In a remote area, so they said there shouldn't be concern of trespassers coming to the property.  2001 year built, inspection provided shows property to be in good condition. "/>
    <x v="1"/>
    <s v="Advised we would be willing to approve only with excluding liability, due to BMX track, unfenced pool and driving range. Also, there was a note about responding FD being over 5 miles, and if that was the case they need to rate as PC 10."/>
    <m/>
    <m/>
    <s v="Busse"/>
  </r>
  <r>
    <x v="74"/>
    <x v="0"/>
    <s v="MI"/>
    <s v="Danielle"/>
    <m/>
    <s v="Longino"/>
    <s v="Fred"/>
    <s v="HO3 Seas/Sec"/>
    <s v="Lonsdale"/>
    <s v="AR"/>
    <s v="72087"/>
    <n v="10"/>
    <n v="250000"/>
    <n v="260000"/>
    <x v="11"/>
    <s v="2019 year built metal building that has a living residence for the applicant and a personal shop that is used to store ATVs, personal projects, etc. There are 6-10 cattle on the property for personal use. "/>
    <x v="1"/>
    <s v="They excluded liability from the quote, and a commercial app was provided. There didn’t seem to be any concern of commercial use. Approved subject to confirmation there is no business use or renting of the shop/land, confirmation heating, plumbing, and electric were done by a professional, and confirmation there is no WBS or other supp heat, as those are common in risks like this."/>
    <m/>
    <m/>
    <s v="Busse"/>
  </r>
  <r>
    <x v="75"/>
    <x v="0"/>
    <s v="MI"/>
    <s v="Leslie"/>
    <m/>
    <s v="Allison"/>
    <s v="Randy"/>
    <s v="HO3 Primary"/>
    <s v="Oberlin"/>
    <s v="KS"/>
    <s v="67749"/>
    <m/>
    <n v="198000"/>
    <n v="340000"/>
    <x v="0"/>
    <s v="1900 commercial building being used as a primary residence (2nd floor) and storage (1st floor).  Between beauty shop and hardware store. Applying FRC. Fully updated in 05. No losses. Ins score B."/>
    <x v="1"/>
    <s v="Submitted risk sounds fine. Asked for confirmation of possible issues. Mailing CA/Dwelling KS. No business. Use. Any constr/reno. Confirm size/Cov A. (Ok at inspection.) Completed app and OHQ. Liab ok with risk as it is. Roof is likely flat, but was updated in 2005, so there are no issues to follow up on."/>
    <s v="Burns consistently states that they do not want to change Cov A until they get the inspection back so they don't have to make changes twice.  "/>
    <m/>
    <s v="Patterson"/>
  </r>
  <r>
    <x v="75"/>
    <x v="6"/>
    <s v="MI"/>
    <s v="John"/>
    <m/>
    <s v="Long"/>
    <s v="Ronald &amp; Tammi"/>
    <s v="HO3 Primary"/>
    <s v="Gibralter "/>
    <s v="MI"/>
    <s v="48173"/>
    <n v="5"/>
    <n v="232000"/>
    <n v="420000"/>
    <x v="1"/>
    <s v="1942 home on Detroit River. Ins score R. Had covg with Progressive. Allowed it to lapse. Had significant wind loss that was not covered. Replaced roof out of their own pocket. Hasn't had insurance in 2 years because they could not afford it."/>
    <x v="2"/>
    <s v="2 year lapse, low ins score. Couldn't afford insurance, why now? $3,227 premium."/>
    <s v="R=10% surcharge"/>
    <m/>
    <s v="Patterson"/>
  </r>
  <r>
    <x v="75"/>
    <x v="3"/>
    <s v="FL"/>
    <s v="Julie"/>
    <m/>
    <s v="Weidman"/>
    <s v="Scott &amp; Robin"/>
    <s v="HO3 Primary"/>
    <s v="Dayton Beach"/>
    <s v="FL"/>
    <s v="32114"/>
    <n v="3"/>
    <n v="325000"/>
    <n v="510000"/>
    <x v="1"/>
    <s v="1947 home w/updates. Has prior wind coverage and force placed fire coverage since 8/30/17.  Prior leak 9/16 and hurricane loss $22K 10/16. Still some ceiling spots to be repaired. Insds going thru divorce. Mr now in home. Wants own policy vs. force placed."/>
    <x v="4"/>
    <s v="Wind only is not prior coverage.  Need to know how long without fire/liab. Why now? Needs to be a good ins score. Insd let the interior damage sit unrepaired. Need to gain a comfort level with this and make sure not a morale hazard.//MP 4/17/19 Divorce situation. Mr now in home - wants own policy vs. force placed. Addl 15% on top of system 10% for lapse. Charge for 2 losses. No mold, no water bu, existing damage excl. Water damage to ceilings must be repaired before coverage can be bound. Flat roof appears to be 2016."/>
    <m/>
    <m/>
    <s v="Patterson"/>
  </r>
  <r>
    <x v="75"/>
    <x v="3"/>
    <s v="FL"/>
    <s v="Julie"/>
    <m/>
    <s v="Mobley"/>
    <s v="Alan"/>
    <s v="HO3 Seas/Sec"/>
    <s v="Live Oak"/>
    <s v="FL"/>
    <s v="32060"/>
    <m/>
    <n v="150000"/>
    <n v="255000"/>
    <x v="1"/>
    <s v="Quote only provided. Need app."/>
    <x v="4"/>
    <s v="Asked for app and lapse info.  Insd has several properties. Came in to review to find this one was not covered. Lapse since 2017. 4 star ins score. Had a septic loss at another tenant occupied dwelling. Asking for update info, clarif of claim. (Agt says pipes replaced, offered no mold, higher water ded.) // 4/23/19 received addl details. Loss was at diff rental loc. Home updated fully 12 years ago. No galvanized."/>
    <m/>
    <m/>
    <s v="Patterson"/>
  </r>
  <r>
    <x v="75"/>
    <x v="0"/>
    <s v="MI"/>
    <s v="Alexa"/>
    <m/>
    <s v="Lutz"/>
    <s v="William Alexander"/>
    <m/>
    <s v="New Orleans "/>
    <s v="LA"/>
    <s v="30528"/>
    <n v="2"/>
    <n v="775000"/>
    <n v="1472500"/>
    <x v="9"/>
    <s v="2019 home 13 miles from coast. Ins Score C. Applicant is NFL kicker for New Orleans Saints. Quoted with $50K liab.  New purchase.  Blank uw questions."/>
    <x v="1"/>
    <s v="No adverse info on google. Due to high profile, approve x-liab. New home. Location okay."/>
    <s v="Got submission from RPS Cov on 4/18/19."/>
    <m/>
    <s v="Patterson"/>
  </r>
  <r>
    <x v="76"/>
    <x v="0"/>
    <s v="MI"/>
    <s v="Lindsey"/>
    <m/>
    <s v="Seger"/>
    <s v="David"/>
    <s v="DP3 Builders Risk"/>
    <s v="Baroda "/>
    <s v="MI"/>
    <s v="49101"/>
    <s v="5X"/>
    <n v="1000000"/>
    <n v="1000000"/>
    <x v="7"/>
    <s v="1900 church being renovated to B&amp;B. Orig approved by Bethany. Construction now starting. No vandalism-photo in insp shows start of tearout. Mechanicals will be upgraded. Insp shows no issues. $1M is 100% of completed value. Okay to apply TBE. 5X PC confirmed."/>
    <x v="4"/>
    <s v="Inspection shows acceptable risk. No excl needed. Verify one room in photos. Need 100% ITV. Apply TBE in case conversion doesn't happen promptly. Need PCQ. // MP 4/19/19 All concerns satisfied. Verified response time/drive time on google. "/>
    <s v="Good ins score."/>
    <m/>
    <s v="Patterson"/>
  </r>
  <r>
    <x v="76"/>
    <x v="2"/>
    <s v="MA"/>
    <s v="Barbara"/>
    <m/>
    <s v="Giombetti Family Irrevocable Trust"/>
    <m/>
    <s v="HO3 Primary"/>
    <s v="Mashpee"/>
    <s v="MA"/>
    <s v="02649"/>
    <n v="4"/>
    <n v="350000"/>
    <n v="630000"/>
    <x v="11"/>
    <s v="1984 year built, earth home that is built into the land on three sides and one side open. Roof is covered by stone and has vegetation, being non-renewed due to type of home. Partial updates to wiring 2007, plumbing 2010, and roof 2012. "/>
    <x v="1"/>
    <s v="Approved subject to a roof inspection due to flat roof to confirm age and condition, completed and supplemental heat questionnaire as noted by Barbara, and reminded that the HO3 policy has landslide, mudslide or mudflow exclusion and cant be removed. "/>
    <m/>
    <m/>
    <s v="Busse"/>
  </r>
  <r>
    <x v="76"/>
    <x v="8"/>
    <s v="CO"/>
    <s v="Ashley"/>
    <m/>
    <s v="Tomasvewski"/>
    <s v="Laura &amp; Todney Dunlap"/>
    <s v="HO3 Seas/Sec"/>
    <s v="Fairplay"/>
    <s v="CO"/>
    <s v="80440"/>
    <n v="9"/>
    <n v="1559000"/>
    <n v="2695800"/>
    <x v="6"/>
    <s v="2001 year built, log home. Was submitted last year to us but went with Chubb, who is non non-renewing due to no installed CFSB alarms. Rated with $10,000 AOP due to this. Rated as secondary but applicant's son lives there full time. Full roof update in 2017."/>
    <x v="0"/>
    <s v="Everything was rated property, and did not see any other concerns. As such, approved terms as quoted. "/>
    <m/>
    <m/>
    <s v="Busse"/>
  </r>
  <r>
    <x v="77"/>
    <x v="0"/>
    <s v="MI"/>
    <s v="Alexa"/>
    <m/>
    <s v="Smith"/>
    <s v="Christopher"/>
    <s v="HO3 Primary"/>
    <s v="Denver"/>
    <s v="CO"/>
    <s v="80220"/>
    <n v="2"/>
    <n v="276000"/>
    <n v="463640"/>
    <x v="2"/>
    <s v="1925 home with full updates. 4 losses. Utility pump 6/26/17 $7K, Tub drain 10/17 $0, 10/18 Shower pipe leak $8245. Sewer line 1/19 $513. Quoted w/$10K water damage ded. Ins score K. "/>
    <x v="4"/>
    <s v="No backup or mold. Good ins score.  Losses all caused water damage, but are all various issues.  All under $10K.  EHP required per guidelines.// 4/25/19 req to incr cov A to $275,000 approved."/>
    <m/>
    <m/>
    <s v="Patterson"/>
  </r>
  <r>
    <x v="77"/>
    <x v="7"/>
    <s v="MI"/>
    <s v="Hillary"/>
    <m/>
    <s v="Lutz"/>
    <s v="William Alexander"/>
    <s v="HO3 Primary"/>
    <s v="New Orleans "/>
    <s v="LA"/>
    <s v="30528"/>
    <n v="2"/>
    <n v="775000"/>
    <n v="1472500"/>
    <x v="9"/>
    <s v="2019 home 13 miles from coast. Ins Score C. Applicant is NFL kicker for New Orleans Saints. Quoted with $50K liab.  New purchase.  Blank uw questions."/>
    <x v="1"/>
    <s v="No adverse info on google. Due to high profile, approve x-liab. New home. Location okay."/>
    <s v="Got submission from Burns on 4/16/19."/>
    <m/>
    <s v="Patterson"/>
  </r>
  <r>
    <x v="77"/>
    <x v="0"/>
    <s v="MI"/>
    <s v="Alexa"/>
    <m/>
    <s v="Wolf"/>
    <s v="James &amp; Nancy"/>
    <s v="DP3 Builders Risk"/>
    <s v="Kamas"/>
    <s v="UT"/>
    <s v="84036"/>
    <n v="10"/>
    <n v="3650000"/>
    <n v="3650000"/>
    <x v="5"/>
    <s v="New build. Home will ultimately be part of a gated community w/hydrants. Ins score G. Dwelling coverage only."/>
    <x v="0"/>
    <s v="Link to drive time - 15 min:  https://www.google.com/maps/dir/2645+E+Timpanogos+Ct,+Kamas,+UT+84036/wasatch+fire+department+heber+city/@40.6544688,-111.4523667,13z/data=!3m1!4b1!4m13!4m12!1m5!1m1!1s0x87520e9b98c290ed:0x35fc727f8dd5b5c!2m2!1d-111.3723055!2d40.629248!1m5!1m1!1s0x87520d1913b69f2b:0xbd761669369d3fc8!2m2!1d-111.4471639!2d40.6335892                                             Paid &amp; Volunteer FD. Should be close to the drive time. When complete, home will have hydrants and gated community. Licensed/insured contractor responsible for some losses during building phase. Getting prem for $3.65M structure which will be in progress.  Dwelling only, so rate per $100 is strong.  I feel comfortable with going with the system quoted prem for this PC10 risk even though response time may be a couple of minutes higher.  "/>
    <m/>
    <m/>
    <s v="Patterson"/>
  </r>
  <r>
    <x v="77"/>
    <x v="0"/>
    <s v="MI"/>
    <s v="Alexa"/>
    <m/>
    <s v="Aldrich"/>
    <s v="Roger &amp; Judy"/>
    <s v="HO3 Seas/Sec"/>
    <s v="Sitka"/>
    <s v="AK "/>
    <s v="99515"/>
    <n v="10"/>
    <n v="1500000"/>
    <n v="2750000"/>
    <x v="5"/>
    <s v="2017 secondary used by 2 families. (No prior coverage listed. No indication of new purchase.)  Home is on an island. Response time by paid &amp; volunteer FD varies based on tide and weather conditions. Serviced by 1 boat w/pumper. Agt quoted with .38 rate."/>
    <x v="2"/>
    <s v="Due to having to take a boat and response time affected by tide/weather, assume this may be inaccessible at times. Higher value is a concern. We have used .60-.90 rate for some PC10, but don't feel comfortable with this at any price."/>
    <m/>
    <m/>
    <s v="Patterson"/>
  </r>
  <r>
    <x v="77"/>
    <x v="0"/>
    <s v="MI"/>
    <s v="Jill"/>
    <m/>
    <s v="Keener"/>
    <s v="Aleatha"/>
    <s v="HO3 Primary"/>
    <s v="New Smyrna Beach"/>
    <s v="FL"/>
    <s v="32168"/>
    <n v="4"/>
    <n v="250000"/>
    <n v="425000"/>
    <x v="4"/>
    <s v="1967 home updated. Insd has dog boarding business on premises run out of a separate structure. Has GL and Prop on the business."/>
    <x v="1"/>
    <s v="Confirm updates - app doesn't list. Viewed aerial view of home property which shows adequate separation of home and business. Barn behind home accounts for $25K Cov B. With separation and GL/Prop in place and TBE, concerns are minimal."/>
    <m/>
    <m/>
    <s v="Patterson"/>
  </r>
  <r>
    <x v="77"/>
    <x v="8"/>
    <s v="CO"/>
    <s v="Allison"/>
    <m/>
    <s v="Thomas"/>
    <s v="Sara"/>
    <s v="HO3 Primary"/>
    <s v="Arvada"/>
    <s v="CO"/>
    <s v="80003"/>
    <n v="2"/>
    <n v="300000"/>
    <n v="630000"/>
    <x v="2"/>
    <s v="Fire loss from 12/2017. It did not burn down entire home, but due to asbestos the company considered it a total loss. Tore home down and rebuilt. Currently on commercial BR through Markel, expires 4/29/2019 and need to replace to HO3. Expected completion at beginning of May, which would be within first 60 days of policy. "/>
    <x v="2"/>
    <s v="Alison confirmed very little left to complete before restruction done.  All work to be comp week to 5/6/19.  This includes HVAC, appliances, &amp; final inspection.  Only Sara &amp; her daughter will be living in home.  C&amp;O report verified fire as accidental.  Due to prior roommate leaving a pot unattended on stove.  **Declined by Mitchell via prior Email due to loss being due to carelessness &amp; ins allowing others to stay in home.  JBach 5/8/19.**"/>
    <m/>
    <m/>
    <s v="Busse"/>
  </r>
  <r>
    <x v="78"/>
    <x v="3"/>
    <s v="FL"/>
    <s v="Jessica"/>
    <m/>
    <s v="Gurzynski"/>
    <s v="Tomasz"/>
    <s v="HO3 Primary"/>
    <s v="Orlando"/>
    <s v="FL"/>
    <s v="32832"/>
    <n v="5"/>
    <n v="289794"/>
    <n v="470000"/>
    <x v="2"/>
    <s v="Only received quote so little info on dwelling. Referred due to prior $101,000 liability claim from personal use of a fire pit. No detail. No DOL"/>
    <x v="4"/>
    <s v="Asked for FD report, ins score, app, details on loss, etc. Probably a decline, but appropriate to ask for full details before deciding. Explained this is a concern and leans toward a decline but offered to consider. // Insd poured alcohol on fire, bottle exploded, serious burns to his friend. No longer has the fire pit. // 4/22/19 discussed w/John. We agreed to approve excluding liability."/>
    <m/>
    <m/>
    <s v="Patterson"/>
  </r>
  <r>
    <x v="78"/>
    <x v="0"/>
    <s v="MI"/>
    <s v="Leslie"/>
    <m/>
    <s v="Kassebaum"/>
    <s v="Patrick"/>
    <s v="HO3 Primary"/>
    <s v="Lincoln"/>
    <s v="NE"/>
    <s v="68521"/>
    <n v="2"/>
    <n v="231800"/>
    <n v="490000"/>
    <x v="2"/>
    <s v="1998 home. Insured does personal training in home. 5 clients per week trained in living room. Has Markel CGL for the business. 6/22/18 loss filed 9/7/18 under Markel CGL FTG4268. Dog is an Akita. Insd is keeping the dog and will continue training clients in the home."/>
    <x v="2"/>
    <s v="Akita = dangerous/excluded. Keeping dog. Continuing business. Any future bite could be absolute liability and we could be called to defend regardless of coverages on policy.  Could be exorbitant defense costs."/>
    <s v="Bit client on the back of the neck. Per insd, client wanted dog to be in house during training session. (not an excuse)  Akita is excluded breed=dangerous. Forwarded info to Dawn Denzler-Trace (contact per Corporate Pol Prefix List) that insured is keeping the dog per the PL submission, and that we declined. // Markel commercial advised they will be non-renewing the risk.  They do not take in home business risks in this class."/>
    <m/>
    <s v="Patterson"/>
  </r>
  <r>
    <x v="78"/>
    <x v="0"/>
    <s v="MI"/>
    <s v="Leslie"/>
    <m/>
    <s v="Olsen"/>
    <s v="Robert"/>
    <s v="HO3 Primary"/>
    <s v="Hemingford"/>
    <s v="NE"/>
    <s v="69348"/>
    <n v="10"/>
    <n v="266000"/>
    <n v="455000"/>
    <x v="5"/>
    <s v="1962 converted school bought in 2010. Insured renovated. No insurance since. Now wants because of increase of tornado and hail incidents in the area. School has part metal/part flat roof. Great Pyrenes animal. 12 mi to volunteer FD. Connected shop per diagram. B ins score. Agt will add 20% s/c."/>
    <x v="2"/>
    <s v="Lengthy lapse was purposeful and now wants coverage because losses are increasing in area. Longer response time due to volunteer and 12 mile drive time.  Flat/metal roof. Inadequate water supply per PC. Large structure."/>
    <m/>
    <m/>
    <s v="Patterson"/>
  </r>
  <r>
    <x v="79"/>
    <x v="3"/>
    <s v="FL"/>
    <s v="Niki"/>
    <m/>
    <s v="Pasley"/>
    <s v="James"/>
    <s v="HO3 Builders Risk"/>
    <s v="Miami Gardens"/>
    <s v="FL"/>
    <s v="33055"/>
    <n v="4"/>
    <n v="198000"/>
    <n v="280000"/>
    <x v="2"/>
    <s v="1958 home with prior losses. 11/1/17 Pipe leak, 12/15/17 mildew, 12/15/17 pipe leak under kitchen floor. Current claim is open. Curr carrier nonrenewed."/>
    <x v="2"/>
    <s v="We don't like to come in the middle of a water damage claim where repairs have barely started. If more damage is found, it could come back on us."/>
    <m/>
    <m/>
    <s v="Patterson"/>
  </r>
  <r>
    <x v="79"/>
    <x v="0"/>
    <s v="MI"/>
    <s v="Rachel"/>
    <m/>
    <s v="Alperowitz"/>
    <s v="Manachen"/>
    <s v="HO3 Primary"/>
    <s v="Sioux Falls"/>
    <s v="SD"/>
    <s v="57108"/>
    <n v="1"/>
    <n v="380000"/>
    <n v="779000"/>
    <x v="4"/>
    <s v="1998 home w/roof update. 3/13/19 sump pump failure.  Daycare w/4 children - will be more. Bible studies and mom&amp; me classes. Has CGL for daycare and religious activities."/>
    <x v="1"/>
    <s v="Confirm no water backup due to loss. Repairs/closed. Exclude liab due to classes and activities on premises.  "/>
    <s v="Good ins score.  https://www.ganearlylearningcenter.com/.  Insd affiliated w/the Chabad Jewish Center of SD and there is indication that some of the ceremonies and classes will take place in the insured's home.  Do not see issues where we would be looking at exorbitant defense costs. Just not comfortable with the level of activity."/>
    <m/>
    <s v="Patterson"/>
  </r>
  <r>
    <x v="79"/>
    <x v="0"/>
    <s v="MI"/>
    <s v="Alexa"/>
    <m/>
    <s v="Britton"/>
    <s v="Dan  "/>
    <s v="HO3 Primary"/>
    <s v="Kirbyville"/>
    <s v="MO"/>
    <s v="65679"/>
    <n v="5"/>
    <n v="1645000"/>
    <n v="2250000"/>
    <x v="11"/>
    <s v="1999 home w/basement gutted. Lex NRN because they thought it was under construction. Insd selling w/unfinished basement. No farming but has 7 horses personal use. 2 German Shepherds. Possibly $500K other structures. Unfenced pool with slide.  Quoting X-liab/pool liab excluded. "/>
    <x v="4"/>
    <s v="Pool may be too much liability with other issues. Asked for photos of pool &amp; slide. Verify horse exposure. Verify use/storage of man cave. Condition of other str. Hay? Verify PC. Has 3 mortgages, need info. // 4/25 Agt came back with full details and I approved. Liab is excluded. Pool is ineligible. Cov B structures are in good condition. No interior hay storage. Advised 100% ITV. Appears to only be 2 mortgages. Home is up for sale."/>
    <s v="H insurance score"/>
    <m/>
    <s v="Patterson"/>
  </r>
  <r>
    <x v="79"/>
    <x v="0"/>
    <s v="MI"/>
    <s v="Alexa"/>
    <s v="Email"/>
    <s v="Luke"/>
    <s v="Robert"/>
    <s v="HO3 Primary"/>
    <s v="Independence"/>
    <s v="MO"/>
    <s v="64058"/>
    <n v="9"/>
    <n v="225000"/>
    <n v="472500"/>
    <x v="4"/>
    <s v="Approved last year by Kirsten-quoted as in home business-x-mass tree family November-dec, $70K per year income. "/>
    <x v="4"/>
    <s v="Need info on event venue and what else goes on  the property.  Also, farm website says business provides the saws to cut trees. May not be able to add liab.//4/23/19 approved x-liab, with TBE, CGL."/>
    <s v="O insurance score"/>
    <m/>
    <s v="Patterson"/>
  </r>
  <r>
    <x v="79"/>
    <x v="3"/>
    <s v="FL"/>
    <s v="Niki"/>
    <m/>
    <s v="Byrd"/>
    <s v="Steve &amp; Jackie"/>
    <s v="HO3 Primary"/>
    <s v="Crawfordville"/>
    <s v="FL"/>
    <s v="32327"/>
    <n v="5"/>
    <n v="175000"/>
    <n v="250000"/>
    <x v="3"/>
    <s v="2019 new build. Dwelling with carport on either side. Metal siding similar to a barn roofline. 44 acres, no farming."/>
    <x v="1"/>
    <s v="Okay with metal siding. Asked questions to confirm prof constr and no WBS."/>
    <m/>
    <m/>
    <s v="Patterson"/>
  </r>
  <r>
    <x v="80"/>
    <x v="0"/>
    <s v="MI"/>
    <s v="Lindsay"/>
    <m/>
    <s v="Winkler"/>
    <s v="Kristen"/>
    <s v="HO3 Builders Risk"/>
    <s v="Vennor City"/>
    <s v="NJ"/>
    <s v="08406"/>
    <n v="1"/>
    <n v="410000"/>
    <n v="458000"/>
    <x v="0"/>
    <s v="1900 duplex. Insured owns and lives in one half. Other half is owned/occupied by someone else. Updates all in 2013. Will add new HVAC and roof with this reno. One contractor is adding a 2nd story to both sides of the duplex. Other owner has builders risk ins.  Prior losses 11/15 tree fell on neighbors roof $3938.  7/14 Theft. $2297."/>
    <x v="0"/>
    <s v="Prior losses 11/15 tree fell on neighbors roof $3938. Over 3 years. No follow up. 7/14 Theft. $2297. Over 4 years. Low amt. No follow up. BR app shows 100% ITV."/>
    <m/>
    <m/>
    <s v="Patterson"/>
  </r>
  <r>
    <x v="80"/>
    <x v="6"/>
    <s v="MI"/>
    <s v="Cheryl"/>
    <m/>
    <s v="Gaubert"/>
    <s v="Elizabeth &amp; Steve"/>
    <s v="HO3 Primary"/>
    <s v="New Albany"/>
    <s v="OH"/>
    <s v="43054"/>
    <n v="5"/>
    <n v="2058584"/>
    <n v="2500000"/>
    <x v="1"/>
    <s v="1998 home w/updates. Insd paid cash for home on 4/17/2019 and they didn't think about getting insurance. They realized they needed it an now have a lapse while checking around. No alarms "/>
    <x v="1"/>
    <s v="Need $10K ded for no alarms. Need signed statement. Existing damage excl. Complete uw questions on app. Just a few day lapse. Have seen this happen for cash purchases."/>
    <s v="I ran reports - very good ins scores "/>
    <m/>
    <s v="Patterson"/>
  </r>
  <r>
    <x v="80"/>
    <x v="0"/>
    <s v="MI"/>
    <s v="Nicole"/>
    <m/>
    <s v="Grayless"/>
    <s v="Brian"/>
    <s v="HO3 Primary"/>
    <s v="Loveland"/>
    <s v="CO"/>
    <s v="80538"/>
    <n v="10"/>
    <n v="466000"/>
    <n v="838200"/>
    <x v="5"/>
    <s v="1997 log home on 64 acres. Gated community 16.3 mi from FD with 33 min drive time on partially paved and unpaved roads. May not be accessible year round. Inadequate water supply."/>
    <x v="2"/>
    <s v="Likely to be a total loss $838K TIV. This is outside the guidelines we set for longer response times."/>
    <m/>
    <m/>
    <s v="Patterson"/>
  </r>
  <r>
    <x v="80"/>
    <x v="0"/>
    <s v="MI"/>
    <s v="Lindsay"/>
    <m/>
    <s v="Lloyd"/>
    <s v="Stephen"/>
    <s v="HO3 Primary"/>
    <s v="Erie"/>
    <s v="CO"/>
    <s v="80516"/>
    <n v="2"/>
    <n v="750000"/>
    <n v="1275000"/>
    <x v="3"/>
    <s v="1980 geodesic home w/full roof update in 1990. They &quot;replace damaged shingles every year.&quot; No losses at this loc. In flood zone. Has a floating foundation. "/>
    <x v="2"/>
    <s v="We don't do geodesic homes due to valuation concern. On this one, concerned w/roof and floating foundation/flood zone."/>
    <s v="Ins score B"/>
    <m/>
    <s v="Patterson"/>
  </r>
  <r>
    <x v="80"/>
    <x v="3"/>
    <s v="FL"/>
    <s v="Julie"/>
    <m/>
    <s v="Salter"/>
    <s v="William J"/>
    <s v="HO3 Primary"/>
    <s v="New Smyrna Beach"/>
    <s v="FL"/>
    <s v="32168"/>
    <n v="5"/>
    <n v="280000"/>
    <n v="485000"/>
    <x v="4"/>
    <s v="2019 new build. 350' away from insureds Aviation Mechanics training center. Scrutinized # of students, accommodations, storage, etc.  All sounds within reason.  Has a coml policy on building and liab."/>
    <x v="4"/>
    <s v="Reviewed FB site, found on site accommodations.  No planes, no runway, no pilot training.   and possibly flying of planes? Approved subj to TBE and continued coml policies in place. Need to clarify what is under Cov B. Suggested using Bldg Exclusion to avoid any confusion."/>
    <m/>
    <m/>
    <s v="Patterson"/>
  </r>
  <r>
    <x v="81"/>
    <x v="0"/>
    <s v="MI"/>
    <s v="Alexa"/>
    <m/>
    <s v="Dick"/>
    <s v="Stephen"/>
    <s v="HO3 Primary"/>
    <s v="Reno"/>
    <s v="NV"/>
    <s v="89510"/>
    <n v="10"/>
    <n v="375000"/>
    <n v="637500"/>
    <x v="5"/>
    <s v="1979 home w/updates. No alarms. &quot;Horse property&quot; quoted excluding liability. 27 miles to FD. 30 min response time per app. "/>
    <x v="2"/>
    <s v="Possibly up to 50 min response time. Outside our comfort for $600K TIV. "/>
    <s v="Ins score H.  Did not list further issues: Need full detail of horse, farm, Cov B, hay storage, WBS per app, uw questions not complete."/>
    <m/>
    <s v="Patterson"/>
  </r>
  <r>
    <x v="81"/>
    <x v="3"/>
    <s v="TX"/>
    <s v="Georgina"/>
    <m/>
    <s v="Refined Custom Builders LLc"/>
    <m/>
    <s v="DP3 Vacant"/>
    <s v="Houston "/>
    <s v="TX"/>
    <s v="77056"/>
    <n v="1"/>
    <n v="3500000"/>
    <n v="3500000"/>
    <x v="6"/>
    <s v="2018 new build. Vacant and up for sale.  LLC app ok. Elevator and eligible pool. "/>
    <x v="1"/>
    <s v="Reviewed online sources as well as inspection. No liab hazards. Add 10% s/c for incr hazard of pool at a vacant/for sale dwelling."/>
    <s v="Vacant line of business is very profitable for Markel."/>
    <m/>
    <s v="Patterson"/>
  </r>
  <r>
    <x v="81"/>
    <x v="0"/>
    <s v="MI"/>
    <s v="Rachel"/>
    <m/>
    <s v="Neitzel"/>
    <s v="Lori"/>
    <s v="HO3 Seas/Sec w/Rental"/>
    <s v="Holland"/>
    <s v="MI"/>
    <s v="49423"/>
    <n v="10"/>
    <n v="2690000"/>
    <n v="3253000"/>
    <x v="6"/>
    <s v="2008 home owned by 3 siblings used seasonally w/rental.  Rental quest and LLC okay.  Alarm info left blank."/>
    <x v="1"/>
    <s v="Confirmed drive time is 11 minutes. Paid FD, some on call.  Response will be under 15 minutes. Adequate tankers.  Newer structure. Popular Lake MI location. Alarms required to bind. Verified rental URL's.  No concerns found."/>
    <s v="Ins score F"/>
    <m/>
    <s v="Patterson"/>
  </r>
  <r>
    <x v="81"/>
    <x v="0"/>
    <s v="MI"/>
    <s v="Lindsay"/>
    <m/>
    <s v="Jacobs"/>
    <s v="Michael"/>
    <s v="DP3 Vacant"/>
    <s v="Englewood"/>
    <s v="CO"/>
    <s v="80111"/>
    <m/>
    <n v="650000"/>
    <n v="665000"/>
    <x v="2"/>
    <s v="New build after total fire loss caused by stuffed animal leaning against furnace. Insureds rebuilding, divorcing, and selling the home. 6 month vacant policy quoted. 4/27/19 nonrenewal date."/>
    <x v="2"/>
    <s v="Declined on 4/24 - Cause of loss indicates carelessness. // 4/25 Burns requested reconsideration. They already approved it with the branch. // John and Danielle discussed and we are sticking with the decline."/>
    <s v="Ins score O.   "/>
    <m/>
    <s v="Patterson"/>
  </r>
  <r>
    <x v="82"/>
    <x v="0"/>
    <s v="MI"/>
    <s v="Lindsay"/>
    <m/>
    <s v="Creager"/>
    <s v="Kevin"/>
    <s v="HO3 Primary"/>
    <s v="Fort Wayne"/>
    <s v="IN"/>
    <s v="46807"/>
    <n v="10"/>
    <n v="550000"/>
    <n v="1075000"/>
    <x v="4"/>
    <s v="1900 frame home w/updates. Looks nice per pics. Numerous issues from prior insp 1 year ago. No Cov B quoted. Per insp, no hydrant. Per insp, Cov A is $665,000. Business coverage w/Cincinnati Ins.  TBE quoted."/>
    <x v="1"/>
    <s v="Per aerial online photo, good separation of business and dwelling. PC s/b 10. Drive time still within 15 min.  Cov A s/b $665. With TBE and GL, exposure reduced."/>
    <s v="J ins score"/>
    <m/>
    <s v="Patterson"/>
  </r>
  <r>
    <x v="82"/>
    <x v="0"/>
    <s v="MI"/>
    <s v="Nicole"/>
    <m/>
    <s v="Kass  "/>
    <s v="Robert"/>
    <s v="HO3 Primary"/>
    <s v="Jackson"/>
    <s v="WY"/>
    <s v="83002"/>
    <n v="9"/>
    <n v="1914000"/>
    <n v="3923700"/>
    <x v="6"/>
    <s v="1994 home with CSFB. URQ says not accessible year round. Says 2.7 mile FD w/10 min response. "/>
    <x v="2"/>
    <s v="Not accessible year round, high value. Probably 17 min response time. Not comfortable with exposure.  Also, this is PC10 per address check online. Horse property per pics."/>
    <s v="A ins score"/>
    <m/>
    <s v="Patterson"/>
  </r>
  <r>
    <x v="82"/>
    <x v="0"/>
    <s v="MI"/>
    <s v="Jill"/>
    <m/>
    <s v="Nolen"/>
    <s v="Scott &amp; Patricia"/>
    <s v="HO3 Seas/Sec"/>
    <s v="Benson"/>
    <s v="AZ"/>
    <s v="85602"/>
    <n v="10"/>
    <n v="175000"/>
    <n v="230000"/>
    <x v="5"/>
    <s v="1952 updated home. FRC. 40 min response time. Quoted w/20% s/c."/>
    <x v="0"/>
    <s v=".80 rate and 40 min within range of our exception agreement. Lower value with longer response time okay. // MP 5/21/19 Agt changed quote to apply water damage exclusion because there is galvanized plumbing in bathroom."/>
    <s v="C ins score.  Verified drive time to be 28 min, 15.7 mi."/>
    <m/>
    <s v="Patterson"/>
  </r>
  <r>
    <x v="82"/>
    <x v="3"/>
    <s v="SC"/>
    <s v="Zach"/>
    <m/>
    <s v="Patrick"/>
    <s v="Kevin &amp; Darcie Patrick"/>
    <s v="HO3 Primary"/>
    <s v="Hilton Head"/>
    <s v="SC"/>
    <s v="29926"/>
    <n v="5"/>
    <n v="595000"/>
    <n v="975000"/>
    <x v="2"/>
    <s v="Home with prior fire loss. 6/28/18 $223K gutted and repaired. Closed and repairs complete. Lloyds is nonrenewing. Fire Marshal report shows accidental. Agt will require CSFB and fire extinguisher."/>
    <x v="4"/>
    <s v="Gut and rebuilt home like new. Accidental fire. Excellent ins score."/>
    <s v="John reviewed the fire marshal report and we agree, cause is accidental. Called/emailed Zach agt 4/25/19 for Ins score. It is 5 star B. "/>
    <m/>
    <s v="Patterson"/>
  </r>
  <r>
    <x v="82"/>
    <x v="4"/>
    <s v="CA"/>
    <s v="Michelle"/>
    <m/>
    <s v="Holder"/>
    <s v="Don C &amp; Jana D"/>
    <s v="HO3 Primary"/>
    <s v="Santa Fe"/>
    <s v="CA"/>
    <s v="92067"/>
    <n v="3"/>
    <n v="2411000"/>
    <n v="4339800"/>
    <x v="6"/>
    <s v="WRS 6. Not eligible due to TIV guidelines. TIV over $3M in CA is not eligible. "/>
    <x v="2"/>
    <s v="Risk not eligible per TIV guidelines"/>
    <m/>
    <m/>
    <s v="Busse"/>
  </r>
  <r>
    <x v="82"/>
    <x v="0"/>
    <s v="MI"/>
    <s v="Alexa"/>
    <m/>
    <s v="Dorsett"/>
    <s v="Phillip"/>
    <s v="HO3 Primary"/>
    <s v="Davie"/>
    <s v="FL"/>
    <s v="33330"/>
    <n v="3"/>
    <n v="2000000"/>
    <n v="3100000"/>
    <x v="9"/>
    <s v="2000 year built with full plumbing update in 2017. C/S alarms. Applicant plays in the NFL for the New England Patriots. Was quoted with liability and personal injury coverage. "/>
    <x v="1"/>
    <s v="Approved subject to a liability exclusion, which would also include personal injury. There were no concerns found with profile of applicant, however, since they are still a fairly high profile we want to exclude liability. "/>
    <m/>
    <m/>
    <s v="Busse"/>
  </r>
  <r>
    <x v="82"/>
    <x v="8"/>
    <s v="CO"/>
    <s v="Allison"/>
    <m/>
    <s v="Berry"/>
    <s v="William &amp; Svea"/>
    <s v="DP3 Vacant"/>
    <s v="Denver"/>
    <s v="CO"/>
    <s v="80206"/>
    <n v="1"/>
    <n v="3600000"/>
    <n v="4410000"/>
    <x v="6"/>
    <s v="1933 year built with complete updates to systems in 2007 and partial roof in 2015. Applicant purchased dwelling 10/2018 with cash and did not seek insurance until now. Will be doing large remodel but will be 6 months to a year before that starts. Estimated roughly an additional $2,000,000 will be added to coverage A when completed, will not live in home during remodel. "/>
    <x v="1"/>
    <s v="Pended to ask what caused the decision to want to get insurance now after not having any since purchase date. Also asked what the plans are when it comes time for it to be written as BR, as it appears that it will no longer be eligible for our program due to TIV. Additionally, they quoted without marking lapse greater than 30 days, so advised if we move forward they will need to mark that as yes, and that we may apply an additional surcharge due to the length of the lapse.  **Updated JBach 5/6/19-agent resp no insurance since purchased Oct 2018 as not a priority for them as remodel was not going to happen until spring 2019.  Comp value is TIV at $4.4 mil.  Prior approved by Mitchell.  Comp TIV is ok for CO.**"/>
    <m/>
    <m/>
    <s v="Busse"/>
  </r>
  <r>
    <x v="83"/>
    <x v="0"/>
    <s v="MI"/>
    <s v="Rachel"/>
    <m/>
    <s v="Salazar"/>
    <s v="Carol B"/>
    <s v="HO3 Builders Risk"/>
    <m/>
    <s v="AZ"/>
    <m/>
    <m/>
    <n v="215000"/>
    <n v="236500"/>
    <x v="2"/>
    <s v="Prior fire loss 2018 $266K insured using propane to char some wood slats for her fence (to prevent rot). Leaned on cardboard, caught fire, burned down the house."/>
    <x v="2"/>
    <s v="Careless loss."/>
    <s v="Ins score O.   "/>
    <m/>
    <s v="Busse"/>
  </r>
  <r>
    <x v="84"/>
    <x v="3"/>
    <s v="PA"/>
    <s v="John"/>
    <m/>
    <s v="Tramontano"/>
    <s v="Paul"/>
    <s v="HO3 Builders Risk"/>
    <s v="Greenwich"/>
    <s v="CT"/>
    <s v="06830"/>
    <n v="3"/>
    <n v="4000000"/>
    <n v="4400000"/>
    <x v="6"/>
    <s v="New build. Agt verified PC 3/3. Agt requiring alarms asap. "/>
    <x v="1"/>
    <s v="Ok subj to Builders Risk Supp, complete and acceptable. Alarm installed asap. New construction at this TIV meets our criteria.  Insured lives in the area."/>
    <m/>
    <m/>
    <s v="Patterson"/>
  </r>
  <r>
    <x v="84"/>
    <x v="0"/>
    <s v="MI"/>
    <s v="Lindsay"/>
    <m/>
    <s v="Grau"/>
    <s v="Laurl"/>
    <s v="HO3 Primary"/>
    <s v="Philadelphia"/>
    <s v="PA"/>
    <s v="19128"/>
    <n v="2"/>
    <n v="300000"/>
    <n v="430000"/>
    <x v="3"/>
    <s v="1930 home updated except electric is partial and has knob &amp; tube in attic. Aft says insd is closing, moving in, and will update in 30 days. Rush inspection. "/>
    <x v="1"/>
    <s v="If knob &amp; tube is inactive, okay to bind and have electrician remove inactive wiring in 30 days. If active, risk is ineligible per guidelines. 30 days is too long for active k&amp;t."/>
    <s v="We have made exceptions before for new closings.  The electrician must be the first one in the house the day of or after closing. Circuits cannot start being used until the k&amp;t wiring is removed.  We will wait to see if they ask for it.  I don't want to promote approvals for this situation."/>
    <m/>
    <s v="Patterson"/>
  </r>
  <r>
    <x v="84"/>
    <x v="3"/>
    <s v="PA"/>
    <s v="John"/>
    <m/>
    <s v="Stevens"/>
    <s v="Richard &amp; Ileana"/>
    <s v="HO3 Seas/Sec"/>
    <s v="Tetonia"/>
    <s v="ID"/>
    <s v="83452"/>
    <n v="9"/>
    <n v="1400000"/>
    <n v="2500000"/>
    <x v="6"/>
    <s v="No app, info to follow. Referred due to TIV/PC and $10K ded due to no central station alarm.  Is NEST ok?"/>
    <x v="3"/>
    <s v="Need app to consider. PC App available (if not this can be subj). Confirmed NEST self-monitor does not qualify as CSFB. Must have direct call to fire/police. Ok'd providing $5K ded for info purposes."/>
    <m/>
    <m/>
    <s v="Patterson"/>
  </r>
  <r>
    <x v="84"/>
    <x v="3"/>
    <s v="NH"/>
    <s v="Kyle"/>
    <m/>
    <s v="Cummings"/>
    <s v="Bruce &amp; Myrna"/>
    <s v="HO3 Seas/Sec"/>
    <s v="Edgartown"/>
    <s v="MA"/>
    <s v="02539"/>
    <n v="9"/>
    <n v="2000000"/>
    <n v="2350000"/>
    <x v="6"/>
    <s v="2007 home w/ 6/1/18 water damage claim $300K. Mice chewed through the central line to the dishwasher. Home is now winterized and there is a water sensor. Caretaker also. "/>
    <x v="1"/>
    <s v="Water sensor (not shutoff). They winterize home. Need PC App. Has CSFB per Kyle. Confirmed in subj that it is both CSF and CSB. Newer home, sensor, and caretaker, good situation. Not a pipe break - rodent issue."/>
    <m/>
    <m/>
    <s v="Patterson"/>
  </r>
  <r>
    <x v="85"/>
    <x v="10"/>
    <s v="MA"/>
    <s v="Brian"/>
    <m/>
    <s v="Castelluccio"/>
    <s v="Maria"/>
    <s v="HO3 Primary"/>
    <s v="Stratford"/>
    <s v="CT"/>
    <s v="06615"/>
    <n v="3"/>
    <n v="280000"/>
    <n v="424000"/>
    <x v="7"/>
    <s v="1923 home fully updated will be lifted/raised/elevated to meet FEMA requirements. Can we write a policy while the lifting is being done?"/>
    <x v="2"/>
    <s v="Not comfortable while the lift/raise/elevate is in process, but we can write when it is done if done professionally (follows past approvals) "/>
    <m/>
    <m/>
    <s v="Patterson"/>
  </r>
  <r>
    <x v="85"/>
    <x v="0"/>
    <s v="MI"/>
    <s v="Lindsay"/>
    <m/>
    <s v="Afton"/>
    <s v="Terry"/>
    <s v="HO3 Primary"/>
    <s v="Kent City"/>
    <s v="MI"/>
    <s v="49330"/>
    <n v="10"/>
    <n v="241400"/>
    <n v="458660"/>
    <x v="4"/>
    <s v="1963 home w/updates. FD is 5.6 miles away/9 min drive time. No PCQ. Excavation on premises. Employees are his children. No clients on premises. Shared driveway. Commercial policy in place."/>
    <x v="1"/>
    <s v="Total business excl., maintain coml policies, PCQ to confirm responding FD is Solon Twp FD 5.6 miles away. No client or empl exposure, pole barn and business liab excluded by TBE. No concerning online info about business operations."/>
    <m/>
    <m/>
    <s v="Patterson"/>
  </r>
  <r>
    <x v="86"/>
    <x v="0"/>
    <s v="MI"/>
    <s v="Jill"/>
    <m/>
    <s v="Lojka"/>
    <s v="Brian"/>
    <s v="HO3 Seas/Sec"/>
    <s v="Placerville"/>
    <s v="CO"/>
    <s v="81438"/>
    <n v="10"/>
    <n v="1985000"/>
    <n v="3573000"/>
    <x v="5"/>
    <s v="1996 log home w/metal roof on 59 acres. FD 11 miles away. Paid/Vol. 25-27 response time. Part dirt road. Accessible year round. Quoted at $.33"/>
    <x v="2"/>
    <s v="High value w/longer response time. "/>
    <s v="Considered that log has better chance to survive than frame. PC app says sprinklers. App does not mention. Photos online do not show any sign. Brush area per RiskMeter, even though we don't use RM. Considered higher rate. Still don't feel comfortable.  This is also CO, response time longer in winter."/>
    <m/>
    <s v="Patterson"/>
  </r>
  <r>
    <x v="86"/>
    <x v="4"/>
    <s v="CA"/>
    <s v="Melissa"/>
    <m/>
    <s v="Martin"/>
    <s v="Stephen"/>
    <s v="HO3 Primary"/>
    <s v="Napa"/>
    <s v="CA"/>
    <s v="94559"/>
    <n v="5"/>
    <m/>
    <m/>
    <x v="4"/>
    <s v="1961 home w/2000 roof update. Prior claim for pool damage - closed - $671. WRS 6. Beauty salon in front of house. Separate entrance per sketch. 4 contractors rent chairs. 15 customers/day. No tanning, waxing, nails. "/>
    <x v="1"/>
    <s v="Asked for all the business info we need. Also for app, risk meter, older home app. // 5/3/19 MP received info on risk. Separate entrance, 15 customers/day by appointment. Has GL in place-agt confirming liab and phys dmg.  Approved as policy has business excl, prof services excl, adding TBE. There is a separate entrance. "/>
    <m/>
    <m/>
    <s v="Patterson"/>
  </r>
  <r>
    <x v="86"/>
    <x v="0"/>
    <s v="MI"/>
    <s v="Lindsay"/>
    <m/>
    <s v="Williams"/>
    <s v="Stanford"/>
    <s v="HO3 Primary"/>
    <s v="Hayward"/>
    <s v="WI "/>
    <s v="54843"/>
    <n v="10"/>
    <n v="2800000"/>
    <n v="3120747"/>
    <x v="5"/>
    <s v="1008 log home. FD 6.9 miles away. 16 min drive time in good weather by volunteer FD. Response time is at least 20 min. There are 12 mutual aid departments. Had a prior lightning loss $203K. Claim almost closed - just some contents to replace. Installed full home surge protecting system.  Quoted at $.30."/>
    <x v="2"/>
    <s v="High value w/longer response time. "/>
    <s v="Considered that this is log.  It is also WI and response time is longer in winter. This will be at least 20 minutes. Additional mutual aid departments don't help if they are  equally far away, which from map, it appears they are. Considered higher rate. Still don't feel comfortable."/>
    <m/>
    <s v="Patterson"/>
  </r>
  <r>
    <x v="86"/>
    <x v="0"/>
    <s v="MI"/>
    <s v="Lindsay"/>
    <m/>
    <s v="Huelsing"/>
    <s v="Erin"/>
    <s v="HO3 Primary"/>
    <s v="St. Louis"/>
    <s v="MO"/>
    <s v="63128"/>
    <n v="2"/>
    <n v="511100"/>
    <n v="919800"/>
    <x v="2"/>
    <s v="2017 primary home w/ large liab loss. 75/17. $300K paid. Insd was marking off yard for fencing just after buying home. Had items on sidewalk including a string line. Claimant tripped and fell. "/>
    <x v="0"/>
    <s v="Fluke loss. Insd now has a fence and should have no similar issues. // 6/4/19 MP agent asked to refresh the terms. Approved."/>
    <s v="Clue provided is blank. I re-ran A+ and it confirms claimant name and amount paid. Insd is not high profile and this is not a high value home. Not a target risk. Insured is an accountant."/>
    <m/>
    <s v="Patterson"/>
  </r>
  <r>
    <x v="86"/>
    <x v="13"/>
    <s v="NC"/>
    <s v="Alia"/>
    <m/>
    <s v="875 Chelsea Plantation"/>
    <m/>
    <s v="HO3 Primary"/>
    <s v="Ridgeland"/>
    <s v="SC"/>
    <s v="29936"/>
    <n v="9"/>
    <n v="1000000"/>
    <n v="1700000"/>
    <x v="6"/>
    <s v="No docs provided. PC9, 7 min response time, 2.5 miles away."/>
    <x v="3"/>
    <s v="Asked for ACORD app, PC app, LLC/trust app. Any other docs. Can't make a decision without that info."/>
    <m/>
    <m/>
    <s v="Patterson"/>
  </r>
  <r>
    <x v="86"/>
    <x v="8"/>
    <s v="CO"/>
    <s v="Allison"/>
    <m/>
    <s v="Echo Arch, LLC"/>
    <m/>
    <s v="HO3 Primary"/>
    <s v="Aspen"/>
    <s v="CO"/>
    <s v="81611"/>
    <n v="5"/>
    <n v="2100000"/>
    <n v="3700000"/>
    <x v="6"/>
    <s v="2019 new build with 2 week lapse since construction completed. 10% surcharge applied by agt. Prem liab. In name of insd business LLC. Architectural firm in Steamboat. No business on premises, but applied TBE. Prem liab and no pers injury will be provided. $10K ded ok in lieu of alarms - has CSB, checking on CSF. 2 small prior losses at other locations. "/>
    <x v="1"/>
    <s v="Short lapse. 10% surcharge. Need Corp/LLC/Trust app. New build. One prior loss involves insd dog damaging friends purse. Animal liability will be excluded.  Approved rate indication and asked for reason for lapse to approve formal terms. // 5/2/19 MP Per Alison, lapse due to:  insd advised prior agt constr was done and they wouldn't respond - insd switched agts."/>
    <s v="738 ins score - lessens concern about small prior losses. "/>
    <m/>
    <s v="Patterson"/>
  </r>
  <r>
    <x v="87"/>
    <x v="3"/>
    <s v="NH"/>
    <s v="Kyle"/>
    <m/>
    <s v="Troop"/>
    <s v="Robert"/>
    <s v="HO3 Builders Risk"/>
    <s v="Meredith"/>
    <s v="NH"/>
    <s v="03253"/>
    <s v="3Y"/>
    <n v="4000000"/>
    <n v="4100000"/>
    <x v="6"/>
    <s v="2019 new build under construction for a few years with 6 months left to go. Curr carrier getting off. Will be primary - insd lives next door currently. Agt increasing prem by $6K for $14,325 total. $10K ded."/>
    <x v="3"/>
    <s v="Asked numerous questions about the mid-term construction and the PC/high value.  Also pointed out our max TIV is $5K."/>
    <s v="847 ins score"/>
    <m/>
    <s v="Patterson"/>
  </r>
  <r>
    <x v="88"/>
    <x v="0"/>
    <s v="MI"/>
    <s v="Jill"/>
    <m/>
    <s v="Wheeler"/>
    <s v="Calley"/>
    <s v="DP3 Rental"/>
    <s v="Rio Linda"/>
    <s v="CA"/>
    <s v="95673"/>
    <n v="3"/>
    <n v="315000"/>
    <n v="388000"/>
    <x v="12"/>
    <s v="1960 rental dwelling w/some updates. WRS6. Woodstove is only heat source."/>
    <x v="2"/>
    <s v="CA tenant risk. Not comfortable with this exception."/>
    <s v="O insurance score (surcharge)"/>
    <m/>
    <s v="Patterson"/>
  </r>
  <r>
    <x v="88"/>
    <x v="3"/>
    <s v="TX"/>
    <s v="Georgina"/>
    <m/>
    <s v="Medley"/>
    <s v="Ellen"/>
    <s v="HO3 Primary"/>
    <s v="Saint Albans"/>
    <s v="WV"/>
    <s v="25177"/>
    <n v="5"/>
    <n v="209682"/>
    <n v="308682"/>
    <x v="2"/>
    <s v="1945 home updated in 2009. No OH App$2500 ded. Insd had fire 12/13/18 at prior residence $113K. Only first responder report provided - no info on cause. No ins score provided. CSFB. Clue shows prior fire at this location 9/13/16 $39K."/>
    <x v="3"/>
    <s v="Asked for ins score, OH App, FM or O&amp;C report to see cause, detail on fire loss at this location in 2016. Also asked why WV insd would have a TN agt (Farmers 9.5 hours away). "/>
    <s v="There is an online Go Fund Me from the fire with positive remarks, created day after the fire by a family member.  First responder report provided tells nothing. "/>
    <m/>
    <s v="Patterson"/>
  </r>
  <r>
    <x v="88"/>
    <x v="10"/>
    <s v="MA"/>
    <s v="Mary"/>
    <m/>
    <s v="Conte"/>
    <s v="Karin M &amp; Diedra A Finney"/>
    <s v="DP3 Rental"/>
    <s v="Worcester"/>
    <s v="MA"/>
    <s v="01604"/>
    <m/>
    <n v="550000"/>
    <n v="550000"/>
    <x v="2"/>
    <s v="1890 home rehabbed in 2012. 4 family. Mary remarketing due to losses. 2/15/17 tenant fell on icy steps $82K, 2/19 wind dmg fascia $5717. 4/19 wind dmg fascia &amp; drip edge $2,215. Square D breakers per inspection."/>
    <x v="2"/>
    <s v="Square D breakers are ineligible. (Advised Mary otherwise we would want to verify maintenance issue rectified. Would be okay with $5K wind ded after confirmation that there was no interior damage with the 2 wind losses - exterior material damaged only.)"/>
    <m/>
    <m/>
    <s v="Patterson"/>
  </r>
  <r>
    <x v="89"/>
    <x v="8"/>
    <s v="CO"/>
    <s v="Allison"/>
    <m/>
    <s v="Manful"/>
    <s v="Gregory &amp; Heather"/>
    <s v="HO3 Primary"/>
    <s v="Walnut Creek"/>
    <s v="CA"/>
    <s v="94596"/>
    <n v="3"/>
    <n v="1200000"/>
    <n v="2160000"/>
    <x v="2"/>
    <s v="1958 home w/full update in 09-12. Had $454K loss 5/2/17. Defective water circulation pump caused large water loss. Prior carrier subrogated and insured is involved in trial against the pump manufacturer. Pump is replaced w/another brand-all repairs completed. Agent surcharged for loss. WRS is 8. No mold, no animal liab quoted."/>
    <x v="0"/>
    <s v="Loss was due to defective pump which is in process of subrogation. Low brush meets guidelines for TIV. "/>
    <m/>
    <m/>
    <s v="Patterson"/>
  </r>
  <r>
    <x v="89"/>
    <x v="0"/>
    <s v="MI"/>
    <s v="Jill"/>
    <m/>
    <s v="Vaccaro"/>
    <s v="Michael"/>
    <s v="HO3 Primary"/>
    <s v="Winfield"/>
    <s v="MO"/>
    <s v="63389"/>
    <n v="6"/>
    <n v="295000"/>
    <n v="400000"/>
    <x v="4"/>
    <s v="2015 home with landscaping business on premises. Employees, no customers. Storage only on property. Has trampoline, dog, chickens. Has coml policies. Business is in detached outbuilding w/fuel tank on side of it."/>
    <x v="1"/>
    <s v="Chickens for personal egg consumption. Aerial photo shows separation between home and other structure.  Subj to: Verify condition of all other structures. Advised clearances for fuel tanks to be eligible. Decline if clearances are not met. Require TBE, Coml policies in place."/>
    <s v="Trampoline exclusion mandatory on all policies."/>
    <m/>
    <s v="Patterson"/>
  </r>
  <r>
    <x v="89"/>
    <x v="8"/>
    <s v="CO"/>
    <s v="Allison"/>
    <m/>
    <s v="Bain"/>
    <s v="Kelly &amp; Gary"/>
    <s v="HO3 Seas/Sec w/Rental"/>
    <s v="El Paso"/>
    <s v="CO"/>
    <s v="80906"/>
    <n v="2"/>
    <n v="3101330"/>
    <n v="4756903"/>
    <x v="6"/>
    <s v="2000 primary home w/6 mo short term rental. 5% surcharge to primary rate. (Remarketing because Lloyds raised rates 40%).  Had one prior hail loss to railings, doors &amp; decks in 2015. "/>
    <x v="0"/>
    <s v="Acceptable location, newer home, CSFB. A/p for 20+ week rental is 12%-asked for this update to rates IF we have room to charge more.  This looks like a clean high valued risk, would be willing to apply some credit. Acceptable STR form and LLC. No adverse online info with address or name search. Insured is owns Loopnet which has a separate business address."/>
    <m/>
    <m/>
    <s v="Patterson"/>
  </r>
  <r>
    <x v="89"/>
    <x v="2"/>
    <s v="MA"/>
    <s v="Barbara"/>
    <m/>
    <s v="Fortuna Nominee Trust"/>
    <m/>
    <s v="DP3 Builders Risk"/>
    <s v="Osterville"/>
    <s v="MA"/>
    <s v="02655"/>
    <n v="3"/>
    <n v="2500000"/>
    <n v="2600000"/>
    <x v="7"/>
    <s v="1884 home going thru gut/reno. Water loss at different location - pipe burst. Agt wants 2% named storm but it isn't available. Wants RC and 10% credit. Dwelling will be sold upon completion."/>
    <x v="3"/>
    <s v="First, confirm if &quot;Ms. Sullivan&quot; is &quot;Regina Sullivan&quot; and is affiliated w/trust. If so, risk is ineligible as proj mgr/gc has to be licensed/insured general contractor. If we get past this, need BR app, Trust app. 2% named storm ok, rc ok since this will be a gut/reno. BR forms apply ACV to area under construction until completed. No credit. No surcharge for loss. Agt correctly used vacant rates and insured for 100% ITV."/>
    <s v="Follow up email to Bethany to create named storm for DP for XSB and all partners."/>
    <m/>
    <s v="Patterson"/>
  </r>
  <r>
    <x v="90"/>
    <x v="7"/>
    <s v="LA"/>
    <s v="Hillary"/>
    <m/>
    <s v="Rando"/>
    <s v="Marie Claire"/>
    <s v="HO3 Primary"/>
    <s v="Harvey"/>
    <s v="LA"/>
    <s v="70058"/>
    <n v="2"/>
    <n v="189000"/>
    <n v="330000"/>
    <x v="3"/>
    <s v="1937 home with full updates. Referred for &quot;EIFS/Stucco&quot; exterior. "/>
    <x v="1"/>
    <s v="EIFS not in production until later 50's. This is probably stucco. Approved subj to confirmation of stucco and condition at inspection. Also confirm updates."/>
    <m/>
    <m/>
    <s v="Patterson"/>
  </r>
  <r>
    <x v="90"/>
    <x v="0"/>
    <s v="MI"/>
    <s v="Jill"/>
    <m/>
    <s v="Lockwood"/>
    <s v="James"/>
    <s v="HO3 Primary"/>
    <s v="Marshfield"/>
    <s v="MO"/>
    <s v="65706"/>
    <n v="6"/>
    <n v="205800"/>
    <n v="370000"/>
    <x v="4"/>
    <s v="1996 home with business on premises.  Business questionnaire answers ok. Earthberm home - prof constructed. 4 animals - 3 Golden Retrievers and Great Pyranese. Total business excl."/>
    <x v="1"/>
    <s v="Business is empl only, no customers. Confirm no farming. TBE and Coml pol required. Berm home photos look good. Confirm no business str under Cov B."/>
    <m/>
    <m/>
    <s v="Patterson"/>
  </r>
  <r>
    <x v="90"/>
    <x v="3"/>
    <s v="IL"/>
    <s v="Tasha"/>
    <m/>
    <s v="Benante"/>
    <s v="Charles"/>
    <s v="HO3 Primary"/>
    <s v="Long Grove"/>
    <s v="IL"/>
    <s v="60047"/>
    <n v="5"/>
    <n v="810000"/>
    <n v="1500000"/>
    <x v="9"/>
    <s v="2004 home owned by the drummer of Anthrax. 2 prior losses 1/10/17 Burst pipe $17K, 3/1/19 water backup $5K. Both repaired and mitigated. $2500 ded quoted. Mold and backup quoted."/>
    <x v="3"/>
    <s v="No mold, no backup due to prior losses.  No liability due to high profile.  Discussed with JB."/>
    <s v=" "/>
    <m/>
    <s v="Patterson"/>
  </r>
  <r>
    <x v="90"/>
    <x v="3"/>
    <s v="IL"/>
    <s v="Tasha"/>
    <m/>
    <s v="Drabant"/>
    <s v="Scott"/>
    <s v="HO3 Primary"/>
    <s v="Richmond   "/>
    <s v="IL"/>
    <s v="60071"/>
    <n v="4"/>
    <n v="1200000"/>
    <n v="2040000"/>
    <x v="3"/>
    <s v="1907 historic home. No tours. On Natl Registry. Quoted FRC and $10K ded due to no alarms. Lifting wood shingles. Other structure barn has peeling paint and lifting clapboards.  Per inspections, several areas of missing railings/balusters."/>
    <x v="1"/>
    <s v="Okay if roof is excluded, barn is excluded. We have no tour exclusion, but several online sources do not show tours. Liab must also be excluded due to 4 deck rail/baluster sections missing and 2 sets of stairs with no rail/balusters. "/>
    <m/>
    <m/>
    <s v="Patterson"/>
  </r>
  <r>
    <x v="90"/>
    <x v="3"/>
    <s v="FL"/>
    <s v="Niki"/>
    <m/>
    <s v="Racine"/>
    <s v="Dale &amp; Nancy"/>
    <s v="HO3 Seas/Sec"/>
    <s v="Lawtey"/>
    <s v="FL"/>
    <s v="32058"/>
    <n v="10"/>
    <n v="250000"/>
    <n v="425000"/>
    <x v="1"/>
    <s v="2018 new build, insured is a contractor and built the house constr completed in Nov and they did not consider the need for ins at the time. 3 star ins score = credit.  PC10 volunteer FD."/>
    <x v="1"/>
    <s v="Okay with 15% surcharge for lapse (total) and signed no loss. Also existing dmg excl. Mapped FD to residence - 7.4 miles/10 min. Should be less than 15 min response."/>
    <m/>
    <m/>
    <s v="Patterson"/>
  </r>
  <r>
    <x v="91"/>
    <x v="0"/>
    <s v="MI"/>
    <s v="Lindsay"/>
    <s v="Email"/>
    <s v="Onabula"/>
    <s v="Adewale"/>
    <s v="HO3 Primary"/>
    <s v="Madison"/>
    <s v="WI"/>
    <s v="53704"/>
    <n v="1"/>
    <n v="217000"/>
    <n v="289000"/>
    <x v="4"/>
    <s v="Adult care provider, Applicant been caring for the individuals since 2011, applicant has licensing in place for the caring of these individual, a team and family members may come check on residents, residents may go out for day programs and come back in the afternoon, it is a home to provide companionship.; quoted with TBE"/>
    <x v="3"/>
    <s v="Approved last year, but since we got direction from Jeff (in ES Direction Doc) day care only, no assisted living. Sent info on direction and questions to partner."/>
    <m/>
    <m/>
    <s v="Patterson"/>
  </r>
  <r>
    <x v="91"/>
    <x v="0"/>
    <s v="MI"/>
    <s v="Lindsay"/>
    <m/>
    <s v="Meyer"/>
    <s v="Ross"/>
    <s v="HO3 Primary"/>
    <s v="Monument"/>
    <s v="CO"/>
    <s v="80132"/>
    <n v="5"/>
    <n v="453000"/>
    <n v="848300"/>
    <x v="2"/>
    <s v="1980 home updated. 5 prior losses. 5/16 wind $0; 8/16 fire $310K; 12/16 freeze $41K contractors fault; 5/17 wind $33K roof replaced; 10/18 sewer backup $3K. Some indication of cooking cause of fire but email says lighting. Missing page 2. $10K water ded; 2% wind/hail.  // 5/14/19 MP partner req incr Cov A $453,000; incr med pay $5K; add EQ. Approved w/same terms."/>
    <x v="1"/>
    <s v="Need to get full fire report and clarif of cooking cause noted in initial call. // 5/10/19 MP received report from fire marshal confirming 1 page. States cause is act of nature. Proceeded w/offering terms subj to $10K water dmg ded, 2% wind/hail, no sewer backup, exclude mold."/>
    <s v="Ins score E.  Discussed with JB and if lightning and no carelessness, okay with ded and exclusions."/>
    <m/>
    <s v="Patterson"/>
  </r>
  <r>
    <x v="91"/>
    <x v="2"/>
    <s v="MA"/>
    <s v="Barbara"/>
    <m/>
    <s v="David"/>
    <s v="Jacques &amp; Rena"/>
    <s v="HO3 Builders Risk"/>
    <s v="Surf City"/>
    <s v="NJ"/>
    <s v="08008"/>
    <n v="5"/>
    <n v="345000"/>
    <n v="390000"/>
    <x v="7"/>
    <s v="1950 home with updates undergoing renovation. Will be insured's seasonal home when completed. Rated as builders risk. "/>
    <x v="0"/>
    <s v="Confirmed this rating is correct based on our guidelines."/>
    <m/>
    <m/>
    <s v="Patterson"/>
  </r>
  <r>
    <x v="91"/>
    <x v="13"/>
    <s v="NC"/>
    <s v="Tammi"/>
    <m/>
    <s v="Aronstein"/>
    <s v="Michael"/>
    <s v="HO3 Seas/Sec"/>
    <s v="Okatie"/>
    <s v="SC"/>
    <s v="29909"/>
    <n v="4"/>
    <n v="1260000"/>
    <n v="1730000"/>
    <x v="2"/>
    <s v="2005 seasonal home w/1 prior loss. 8/22/17 water line on back of fridge broke. $167,694 in damage.  Agt applied additional $1,000 to $5,508 technical prem in addition to charging for the loss."/>
    <x v="0"/>
    <s v="Newer home, only loss. Not an indication of plumbing issues. Loss will be surcharged approximately 30% with a/p."/>
    <m/>
    <m/>
    <s v="Patterson"/>
  </r>
  <r>
    <x v="91"/>
    <x v="0"/>
    <s v="MI"/>
    <s v="Lindsay"/>
    <m/>
    <s v="Brown"/>
    <s v="Scott"/>
    <s v="HO3 Builders Risk"/>
    <s v="Wetmore"/>
    <s v="CO"/>
    <s v="81253"/>
    <n v="10"/>
    <n v="410000"/>
    <n v="410000"/>
    <x v="7"/>
    <s v="New ground up construction. Pc10 with 30 minute response time. Prior total fire loss at another location due to Spring Fire in 7/2018. Insured is GC subbing out all the work."/>
    <x v="2"/>
    <s v="Lengthy response time and insured is GC. No subro if something goes wrong."/>
    <s v="Ins score K"/>
    <m/>
    <s v="Patterson"/>
  </r>
  <r>
    <x v="91"/>
    <x v="0"/>
    <s v="MI"/>
    <s v="Lindsay"/>
    <m/>
    <s v="Twenty Two LLC"/>
    <m/>
    <s v="HO6"/>
    <s v="Charlotte"/>
    <s v="NC"/>
    <s v="28203"/>
    <n v="2"/>
    <n v="1000000"/>
    <n v="1700000"/>
    <x v="9"/>
    <s v="2013 masonry condo. Applicant plays for Carolina Panthers. Subj to LLC quest. $5K AOP"/>
    <x v="1"/>
    <s v="No liability due to high profile. LLC quest. "/>
    <s v="Rolled roof likely flat. 6 years old. No addl guidelines. "/>
    <m/>
    <s v="Patterson"/>
  </r>
  <r>
    <x v="91"/>
    <x v="2"/>
    <s v="MA"/>
    <s v="Le "/>
    <m/>
    <s v="Correa"/>
    <s v="James"/>
    <s v="HO3 Primary"/>
    <m/>
    <s v="ME"/>
    <m/>
    <m/>
    <m/>
    <m/>
    <x v="3"/>
    <s v="1920 home in Maine with 19 year old flat roof. Agt making sure the $5K Roof And Ensuing Water Dmg form is okay. "/>
    <x v="1"/>
    <s v="Advised partner of UW guidelines for 19 year old roof. Also advised there are other age criteria. Feel free to send app and rater and we can discuss. Felt comfortable addressing the basic question about the roof without requiring a full submission."/>
    <m/>
    <m/>
    <s v="Patterson"/>
  </r>
  <r>
    <x v="92"/>
    <x v="0"/>
    <s v="MI"/>
    <s v="Lindsay"/>
    <m/>
    <s v="Koontz"/>
    <s v="David &amp; Sherry"/>
    <s v="HO3 Primary"/>
    <s v="Westfield"/>
    <s v="IN"/>
    <s v="46074"/>
    <n v="4"/>
    <n v="245000"/>
    <n v="425000"/>
    <x v="4"/>
    <s v="1993 home. One prior wind loss 2/24/19 $3K repaired/closed. Mrs. Trains dogs for clients either at their home or hers. If at hers, training includes a 2-3 week boarding/training/time. They have a GL. Partner quoted with TBE and Animal Liab Excl."/>
    <x v="1"/>
    <s v="Terms subj to finding out how many dogs at one time.  If 10 or less, partner can proceed. GL, TBE, Animal Exclusion. Prior loss ok. Insd has 2 dogs of her own."/>
    <s v="We have approved many dog boarding operations with 10-15 dogs."/>
    <m/>
    <s v="Patterson"/>
  </r>
  <r>
    <x v="92"/>
    <x v="3"/>
    <s v="SC"/>
    <s v="Kathryn"/>
    <m/>
    <s v="Bates"/>
    <s v="Julie"/>
    <s v="HO3 Seas/Sec"/>
    <s v="Cheraw"/>
    <s v="SC"/>
    <s v="29520"/>
    <n v="5"/>
    <n v="100000"/>
    <n v="130000"/>
    <x v="0"/>
    <s v="1966 home with updates to all systems and roof. Referred due to 82 acres w/2 ponds. No coml, farm, or hunting. "/>
    <x v="1"/>
    <s v="Confirm that home is accessible and location on prop does not impact response time."/>
    <m/>
    <m/>
    <s v="Patterson"/>
  </r>
  <r>
    <x v="92"/>
    <x v="0"/>
    <s v="MI"/>
    <s v="Leslie"/>
    <m/>
    <s v="Hockett"/>
    <s v="Kasey"/>
    <s v="HO3 Builders Risk"/>
    <s v="Fort Bragg"/>
    <s v="CA"/>
    <s v="95437"/>
    <n v="5"/>
    <n v="300000"/>
    <n v="330000"/>
    <x v="3"/>
    <s v="1953 dwelling under construction w/WBS as primary heat. WRS 40 w/60% surcharge. Will be installing central heat."/>
    <x v="2"/>
    <s v="Need at least avg condition even for builders risk.  Photos show below average condition.  Pool structure is dilapidated. Home shows addition with trees growing through the roof. "/>
    <m/>
    <m/>
    <s v="Patterson"/>
  </r>
  <r>
    <x v="92"/>
    <x v="6"/>
    <s v="MI"/>
    <s v="Lori"/>
    <m/>
    <s v="Brockie"/>
    <s v="Gayle &amp; Sherrie Eden"/>
    <s v="HO3 Primary"/>
    <s v="Jackson"/>
    <s v="MI"/>
    <s v="49201"/>
    <s v="5X"/>
    <n v="341500"/>
    <n v="700000"/>
    <x v="2"/>
    <s v="1996 home with multiple prior losses 8/18/18 box fan fire which was being used to air out house from 8/10/18 cooking fire. Also 2 mys disappearance losses  $4K &amp; $7K. Also food spoilage."/>
    <x v="2"/>
    <s v="Concern with nature of prior losses. Indicates morale/moral hazard."/>
    <s v="Did not review entire risk. Declined based on losses."/>
    <m/>
    <s v="Patterson"/>
  </r>
  <r>
    <x v="92"/>
    <x v="3"/>
    <s v="PA"/>
    <s v="Heather"/>
    <m/>
    <s v="Gentile"/>
    <s v="Mary &amp; Erin Rodgers"/>
    <s v="HO3 Primary"/>
    <s v="Yellow Springs"/>
    <s v="OH"/>
    <s v="45387"/>
    <n v="5"/>
    <n v="232000"/>
    <n v="400000"/>
    <x v="4"/>
    <s v="Risk question about whether we can insure a massage therapist who does business out of a room in the home."/>
    <x v="2"/>
    <s v="Advised to submit an app, quote, ins score, business questions. Good chance we can include liab w/ TBE and GL. // 5/23/19 received full submission. Meets our business guidelines. Would have been ok w/ TBE and GL. Liab okay because policy excludes prof services, TBE excludes business, and GL covers business. HOWEVER, per app, 1880-no info if gut reno. Aluminum wiring - ineligible. Ended up declining."/>
    <s v="Ins score no hit per partner."/>
    <m/>
    <s v="Patterson"/>
  </r>
  <r>
    <x v="93"/>
    <x v="0"/>
    <s v="MI"/>
    <s v="Lindsay"/>
    <m/>
    <s v="Adams"/>
    <s v="Herb"/>
    <s v="HO3 Primary"/>
    <s v="Saint Charles"/>
    <s v="MO"/>
    <s v="63301"/>
    <n v="2"/>
    <n v="262500"/>
    <n v="600000"/>
    <x v="4"/>
    <s v="1968 home w/ part updates. One prior lightning loss 7/17 $9K. Has power washing co which operates out of trailers on the property. Business structures will be specifically excluded. No customers. Has employees. GL in place.  Also wants liab extended"/>
    <x v="1"/>
    <s v="Business structure w/hazardous stairs will be excluded. With TBE and Coml policies in place, exposure is eliminated. TBE, Coml pol, need OHQ. Confirm Cov B okay. Offered possibility of Stand Alone Other Structure for the prop w/pavilion. // 5/13/19 agent asked to release ACV terms. Approved w/same subj."/>
    <m/>
    <m/>
    <s v="Patterson"/>
  </r>
  <r>
    <x v="93"/>
    <x v="7"/>
    <s v="LA"/>
    <s v="Hillary"/>
    <m/>
    <s v="Byars"/>
    <s v="Nicole"/>
    <s v="HO3 Primary"/>
    <s v="Marrero"/>
    <s v="LA"/>
    <s v="70072"/>
    <n v="2"/>
    <n v="130000"/>
    <n v="150000"/>
    <x v="11"/>
    <s v="1961 home. Insd had bankruptcy 2 years ago due to husband being laid off. No ins score provided. Mr now employed by Jefferson Parish."/>
    <x v="2"/>
    <s v="Need to look at report to see if acceptable and confirm bankruptcy closed. "/>
    <s v="Bankruptcy confirmed 10/20/12 Chapter 13 for Husband and Wife/Discharged. Also bankruptcy found for mother who owns the home too. 11/19/12 - personal bankruptcy.  Did not review entire risk."/>
    <m/>
    <s v="Patterson"/>
  </r>
  <r>
    <x v="93"/>
    <x v="0"/>
    <s v="MI"/>
    <s v="Lindsay"/>
    <m/>
    <s v="Gooing"/>
    <s v="Michael"/>
    <s v="HO6"/>
    <s v="Catalina Island"/>
    <s v="CA"/>
    <s v="90704"/>
    <n v="5"/>
    <n v="100000"/>
    <n v="150000"/>
    <x v="10"/>
    <s v="1988 condo on Catalina Island. RiskMeter won't run. Says out of area. "/>
    <x v="1"/>
    <s v="Per PM, rate with additional 60%.  Rest of risk okay."/>
    <s v="Bethany says consider this in the 40-49 WRS and surcharge 60%."/>
    <m/>
    <s v="Patterson"/>
  </r>
  <r>
    <x v="93"/>
    <x v="0"/>
    <s v="MI"/>
    <s v="Leslie"/>
    <m/>
    <s v="Tomazevic"/>
    <s v="Robert"/>
    <s v="HO3 Primary"/>
    <s v="Menomonee Falls"/>
    <s v="WI"/>
    <s v="53051"/>
    <n v="2"/>
    <n v="390000"/>
    <n v="630000"/>
    <x v="4"/>
    <s v="1959 home w/updates. Greenhouse business on premises with hemp growing operation. CDB Hemp, LLC is business name."/>
    <x v="2"/>
    <s v="We are not a market for these risks"/>
    <s v="Did not review entire risk. Declined based on description of operations."/>
    <m/>
    <s v="Patterson"/>
  </r>
  <r>
    <x v="94"/>
    <x v="8"/>
    <s v="CO"/>
    <s v="Allison"/>
    <m/>
    <s v="Hedgelock"/>
    <s v="Roger &amp; Cynthia"/>
    <s v="HO3 Primary"/>
    <s v="Julian"/>
    <s v="CA"/>
    <s v="92036"/>
    <m/>
    <m/>
    <n v="1097500"/>
    <x v="6"/>
    <s v="Agent asking for exception to our $1M limit for WRS 30-49."/>
    <x v="2"/>
    <s v="Not eligible per guidelines. Advised the CA guidelines are not flexible. "/>
    <m/>
    <m/>
    <s v="Patterson"/>
  </r>
  <r>
    <x v="94"/>
    <x v="0"/>
    <s v="MI"/>
    <s v="Nicole"/>
    <m/>
    <s v="Lojka"/>
    <s v="Tonya"/>
    <s v="HO3 Seas/Sec"/>
    <m/>
    <s v="CO"/>
    <m/>
    <n v="10"/>
    <n v="2257000"/>
    <n v="2582700"/>
    <x v="5"/>
    <s v="1996 log home w/ CSFB, no losses. $10K AOP. 25-30 min response from volunteer fire department."/>
    <x v="2"/>
    <s v="Due to higher TIV and higher response time. "/>
    <s v="Proposed TIV guidelines to John so Burns doesn't continue referring these."/>
    <m/>
    <s v="Patterson"/>
  </r>
  <r>
    <x v="95"/>
    <x v="6"/>
    <s v="MI"/>
    <s v="Cheryl"/>
    <m/>
    <s v="Scalzi"/>
    <s v="Frank"/>
    <s v="DP3 Rental"/>
    <s v="West Bloomfield"/>
    <s v="MI"/>
    <s v="48322"/>
    <n v="3"/>
    <n v="951000"/>
    <n v="1150000"/>
    <x v="2"/>
    <s v="1992 dwelling with 09 roof update. Good insurance score. 3 prior losses. 1/7/17 $20k fire, no details. 2 wind losses 17,18. $5K AOP. UW questions on app incomplete."/>
    <x v="1"/>
    <s v="Need fire marshal or O&amp;C report to confirm reason for fire. Wind losses are minor - $5K aop covers. Need to confirm occupancy as app contradicts. Get updated signed app w/all uw questions answered. // 5/14/19 MP 2017 $20K Fire loss was a smoke loss caused by careless use of candle by prior tenant who is no longer in the home.  Home is tenant occupied. All repairs completed. Subj to conf of reason for lapse (agt can approve) and completed app."/>
    <s v="Ins Score B"/>
    <m/>
    <s v="Patterson"/>
  </r>
  <r>
    <x v="95"/>
    <x v="2"/>
    <s v="MA"/>
    <s v="Barbara"/>
    <m/>
    <s v="Campanella"/>
    <s v="Phyllis &amp; Fred"/>
    <s v="HO3 Primary"/>
    <s v="Berlin"/>
    <s v="CT"/>
    <s v="06037"/>
    <n v="5"/>
    <n v="392284"/>
    <n v="700000"/>
    <x v="2"/>
    <s v="2002 home. Dog bite loss 11/13/18 still open. Dog bit UPS driver. Insured still has dog chained up in yard. No animal liability covg quoted."/>
    <x v="0"/>
    <s v="No animal liability"/>
    <m/>
    <m/>
    <s v="Patterson"/>
  </r>
  <r>
    <x v="95"/>
    <x v="0"/>
    <s v="MI"/>
    <s v="Leslie"/>
    <m/>
    <s v="Gueke"/>
    <s v="Waylon"/>
    <s v="HO3 Seas/Sec"/>
    <s v="Fremont"/>
    <s v="WY"/>
    <s v="82513"/>
    <n v="10"/>
    <n v="305000"/>
    <n v="530000"/>
    <x v="5"/>
    <s v="1988 secondary use log home, no alarms. Quoted at $.53. FD is 98 miles from home. 30 min response summer/45 winter."/>
    <x v="1"/>
    <s v="Increased rate of .90 = $4,770 due to longer response time, no alarms, sec use."/>
    <s v="This is within the exception guidelines we gave Burns. Lower TIV, newer home. Used highest rate per the exception - .90."/>
    <m/>
    <s v="Patterson"/>
  </r>
  <r>
    <x v="95"/>
    <x v="0"/>
    <s v="MI"/>
    <s v="Nicole"/>
    <m/>
    <s v="Santana"/>
    <s v="Rosa"/>
    <s v="HO3 Primary"/>
    <s v="Miami Gardens"/>
    <s v="FL"/>
    <s v="33182"/>
    <n v="4"/>
    <n v="250000"/>
    <n v="375000"/>
    <x v="1"/>
    <s v="1989 home w/updates. No losses. Has alarms. Prior lapse and bankruptcy due to husband passing away. "/>
    <x v="2"/>
    <s v="Due to lapse and bankruptcy."/>
    <s v="Ins score E.  Discussed with JB and we agree with lapse and bankruptcy, just decline."/>
    <m/>
    <s v="Patterson"/>
  </r>
  <r>
    <x v="95"/>
    <x v="8"/>
    <s v="MI"/>
    <s v="Ashley"/>
    <m/>
    <s v="Martinet"/>
    <s v="Mark &amp; Amy"/>
    <s v="HO3 Primary"/>
    <s v="Denver"/>
    <s v="CO"/>
    <s v="80218"/>
    <n v="2"/>
    <n v="2406080"/>
    <n v="4431060"/>
    <x v="6"/>
    <s v="1906 home w/full updates. Quoted with FRC. Roof replaced in 2016. Part flat roof. $10K AOP quoted. Insp shows vey nice condition. Prior losses - 4/12 wind $0. 1/15 hot water boiler exploded - replaced with furnace. 6/15 CAT hail dmg to roof - roof fully replaced.  Yes answer to office/business on premises - no info."/>
    <x v="1"/>
    <s v="Okay with new app and insp. 10% discretionary credit within authority. Losses 4+ years old - replacements completed. $10K AOP covers flat roof. No adverse info on insd per Google. Good ins scores. Subj to business info - if more than home office for insd only, refer back."/>
    <s v="Mark 818 ins score. Amy 722 ins score."/>
    <m/>
    <s v="Patterson"/>
  </r>
  <r>
    <x v="95"/>
    <x v="2"/>
    <s v="MA"/>
    <s v="Barbara"/>
    <m/>
    <s v="Dann"/>
    <s v="Harriet B"/>
    <s v="HO3 Primary"/>
    <s v="Needham"/>
    <s v="MA"/>
    <s v="02494"/>
    <n v="2"/>
    <n v="906000"/>
    <n v="2250000"/>
    <x v="2"/>
    <s v="1991 primary home w/3 prior losses. $2500 AOP w/$10K water damage. 2/14 ice dam $1975. 3/15 iced dam $11K. 11/28/18 frozen pipe $163,488."/>
    <x v="2"/>
    <s v="Replaced roof, but that doesn't solve ice dams. Accuweather shows 36 degree low the few days before the loss.  How did the pipe freeze and have that much damage?  No DOB to run ins score. Declined due to multiple claims and concern of how the dwelling manages winter weather."/>
    <m/>
    <m/>
    <s v="Patterson"/>
  </r>
  <r>
    <x v="95"/>
    <x v="0"/>
    <s v="MI"/>
    <s v="Lindsay"/>
    <m/>
    <s v="Ditlow"/>
    <s v="Joseph"/>
    <s v="HO3 Primary"/>
    <s v="Colorado Springs"/>
    <s v="CO"/>
    <s v="80906"/>
    <n v="3"/>
    <n v="440000"/>
    <n v="792000"/>
    <x v="2"/>
    <s v="1993 home w/2010 updates. Roof yet to be updated. 4 prior wind/hail losses 8/18 $1743 hail; 6/18 $20K hail; 1/17 $7K wind; 7/17 $24K hail. Quoted w/roof excl and existing dmg excl until reroofed, then 3% wind/hail"/>
    <x v="2"/>
    <s v="Concern with location - multiple wind/hail losses.  3% will only partly mitigate future losses."/>
    <s v="Reviewed w/JB and we agree. Looks like a bad location. B score. "/>
    <m/>
    <s v="Patterson"/>
  </r>
  <r>
    <x v="96"/>
    <x v="4"/>
    <s v="CA"/>
    <s v="Michelle"/>
    <m/>
    <s v="Ridenour"/>
    <s v="Doyle"/>
    <s v="DP3 Rental"/>
    <s v="Huntington Beach"/>
    <s v="CA"/>
    <s v="92646"/>
    <n v="2"/>
    <n v="450000"/>
    <n v="545000"/>
    <x v="2"/>
    <s v="1967 home w/ part update to plumbing. Full update to flat roof in 2012. Wire 87, roof 12. Prior losses: 3/18 liability -insd hit veh w/bike $1,946. 4/17 water heater leak $13K, 3/16 water slab leak $30K. Asked to waive liab loss since it was paid and is being s/c on primary home.  WRS 6."/>
    <x v="3"/>
    <s v="Concern w/1967 home, 2 water losses, part update, no info on mitigation. Asked about repairs and proposed ded. Likely water dmg excl will be required. Need RM, OHQ. Advised no backup or mold due to water losses. Good ins score."/>
    <s v="I ran Ins score 793"/>
    <m/>
    <s v="Patterson"/>
  </r>
  <r>
    <x v="96"/>
    <x v="4"/>
    <s v="CA"/>
    <s v="Ashley"/>
    <m/>
    <s v="McBride"/>
    <s v="Carl"/>
    <s v="HO3 Primary"/>
    <s v="Lakewood"/>
    <s v="CA"/>
    <s v="90712"/>
    <n v="2"/>
    <n v="375000"/>
    <n v="920000"/>
    <x v="2"/>
    <s v="1971 home w/unknown updates.  Roof in 96.  Not in brush. 3 prior losses:  1/27/17 roof leak $620. 5/4/18 slab leak $15,681. 3/13/19 slab leak - withdrew. (May be subro from first claim)"/>
    <x v="3"/>
    <s v="WRS must be below 30 to consider. Slab leak mitigation required such as rerouting of pipes. $20K water damage ded should apply. Roof damage fully repaired. (The water damage ded will apply to the roof, and ACV roof would be required.)  Good ins score."/>
    <s v="I ran ins score 780"/>
    <m/>
    <s v="Patterson"/>
  </r>
  <r>
    <x v="96"/>
    <x v="8"/>
    <s v="CO"/>
    <s v="Allison"/>
    <m/>
    <s v="Majerus"/>
    <s v="Robert &amp; Susan"/>
    <s v="HO3 Seas/Sec"/>
    <s v="Phoenix"/>
    <s v="AZ"/>
    <s v="85085"/>
    <n v="10"/>
    <n v="2000000"/>
    <n v="3800000"/>
    <x v="6"/>
    <s v="2015 home w/CSFB. Most homes in area are primary, visible to neighbors. FD is just over 5 miles. Subdiv may have hydrants, but partner quoted as PC10 to be conservative. Quoting $5K and $10K ded. Some flat roof sections."/>
    <x v="1"/>
    <s v="I confirmed 10 min drive time.  Website shows paid and volunteer. Roof only 4 years old-flat roof okay.  Very nice photos of home."/>
    <m/>
    <m/>
    <s v="Patterson"/>
  </r>
  <r>
    <x v="96"/>
    <x v="0"/>
    <s v="MI"/>
    <s v="Jill"/>
    <m/>
    <s v="Sloss"/>
    <s v="Bryan &amp; Leslie"/>
    <s v="DP3 Rental"/>
    <s v="Chaska"/>
    <s v="MN"/>
    <s v="55318"/>
    <m/>
    <n v="366133"/>
    <n v="460000"/>
    <x v="4"/>
    <s v="1956 dwelling updated. Insured owns the dwelling, rents it to a group home &quot;Acute Home Health Care&quot;."/>
    <x v="2"/>
    <s v="Little info provided. Website appears to be 24/7 on site care. We are not a market for that type of risk."/>
    <m/>
    <m/>
    <s v="Patterson"/>
  </r>
  <r>
    <x v="97"/>
    <x v="13"/>
    <s v="NC"/>
    <s v="Tammi"/>
    <m/>
    <s v="Kourakos"/>
    <s v="John"/>
    <s v="HO3 Primary"/>
    <s v="Bluffton"/>
    <s v="SC"/>
    <s v="29910"/>
    <n v="2"/>
    <n v="1000000"/>
    <n v="1245000"/>
    <x v="2"/>
    <s v="2003 home w/ 2 prior losses 3/20/18 hail $29K. 12/16/17 fire $150K. Tammi will go up $3K and still be within range of competition. First responder report provided."/>
    <x v="3"/>
    <s v="Need first responder report, DOB to run ins score, fully completed app, was roof replaced?  //  5/15/19 MP Tammi says no FM report. Advised we can approve rate indication, but no terms approved w/o another authority confirming cause of fire.  App provided-ok. Ins score good."/>
    <s v="I ran ins score 797"/>
    <m/>
    <s v="Patterson"/>
  </r>
  <r>
    <x v="97"/>
    <x v="8"/>
    <s v="CO"/>
    <s v="Allison"/>
    <m/>
    <s v="Hawkins   "/>
    <s v="Michael"/>
    <s v="HO3 Seas/Sec w/Rental"/>
    <s v="Breckenridge"/>
    <s v="CO"/>
    <m/>
    <n v="9"/>
    <n v="3000000"/>
    <m/>
    <x v="0"/>
    <s v="2003 seasonal home rented out to large groups for events. Dwelling sleeps 50. Insured has force placed policy now, only wants to insure for ACV."/>
    <x v="2"/>
    <s v="Too large an exposure."/>
    <m/>
    <m/>
    <s v="Patterson"/>
  </r>
  <r>
    <x v="97"/>
    <x v="0"/>
    <s v="MI"/>
    <s v="Jill"/>
    <m/>
    <s v="Khalil"/>
    <s v="Rula"/>
    <s v="HO3 Primary"/>
    <s v="Macomb"/>
    <s v="MI"/>
    <s v="48044"/>
    <n v="3"/>
    <n v="462000"/>
    <n v="1200000"/>
    <x v="4"/>
    <s v="2000 home w/ daycare in home - licensed for 12 children. GL in place. Quoted w/Total Business Exclusion."/>
    <x v="0"/>
    <s v="In line w/our guidelines for daycare business."/>
    <m/>
    <m/>
    <s v="Patterson"/>
  </r>
  <r>
    <x v="97"/>
    <x v="8"/>
    <s v="CO"/>
    <s v="Allison"/>
    <m/>
    <s v="Adler"/>
    <s v="Susan   "/>
    <s v="DP1"/>
    <s v="Evergreen "/>
    <s v="CO"/>
    <s v="80439"/>
    <n v="4"/>
    <n v="216000"/>
    <n v="350000"/>
    <x v="3"/>
    <s v="1875 home w/partial updates. Historic landmark w/no rebuilding restrictions, no tours. Currently w/Lloyds on DP1."/>
    <x v="4"/>
    <s v="Asked about plans for the dwelling. How long vacant. Advised our guidelines require gut/reno for older than 1900. Still have fire hazard on a DP1. Asked for photos. After reviewing photos and noting potential aluminum wiring, I decline. I did ask her to send others if she has them. (BL)"/>
    <s v="Not sure we are a market, but asked additional questions. Allison has been working on growing w/us in spite of the CA restrictions."/>
    <m/>
    <s v="Patterson"/>
  </r>
  <r>
    <x v="97"/>
    <x v="8"/>
    <s v="CO"/>
    <s v="Allison"/>
    <m/>
    <s v="BRJ Property Investments LLC"/>
    <m/>
    <s v="DP3 Builders Risk"/>
    <s v="Denver"/>
    <s v="CO"/>
    <s v="80205"/>
    <n v="3"/>
    <n v="375000"/>
    <n v="410000"/>
    <x v="7"/>
    <s v="1926 with roof exclusion. No other known updates.  Insured is a LLC and does their own house flipping. This one involves kitchens/baths. "/>
    <x v="2"/>
    <s v="We are not a market for risks where the insured is the GC. Explained our position."/>
    <m/>
    <m/>
    <s v="Patterson"/>
  </r>
  <r>
    <x v="97"/>
    <x v="4"/>
    <s v="CA"/>
    <s v="Michelle"/>
    <m/>
    <s v="Razaghi"/>
    <s v="Farahnaz"/>
    <s v="HO3 Primary"/>
    <s v="Anaheim Hills"/>
    <s v="CA"/>
    <s v="92807"/>
    <n v="5"/>
    <n v="1116000"/>
    <n v="2008800"/>
    <x v="2"/>
    <s v="1988 home w/updates. Partial plumbing in 2004. Has 3 losses: 7/8/18 water dmg from broken toilet $11K; 10/9/17 Holy fire dmg to other structure $47K; 3/26/17 water damage from sewer/drain backup $30K. Quoting with $30K water damage ded and AOP $7,500."/>
    <x v="4"/>
    <s v="Need Fire Marshal report as dates of loss do not coincide with 2018 date of the Holy Fire. Allowing to offer rate indication but must send to us to review report for formal terms. No backup, no mold. WRS is 8. Ins score is flat. Fire marshal report confirmed it was the &quot;Canyon Fire&quot;. (BL)"/>
    <s v="I ran ins score 683"/>
    <m/>
    <s v="Patterson"/>
  </r>
  <r>
    <x v="97"/>
    <x v="8"/>
    <s v="CO"/>
    <s v="Allison"/>
    <m/>
    <s v="Garrison"/>
    <s v="Barry &amp; Dean"/>
    <s v="HO3 Primary"/>
    <s v="Golden"/>
    <s v="CO"/>
    <s v="80403"/>
    <s v="8B"/>
    <n v="565000"/>
    <n v="900000"/>
    <x v="1"/>
    <s v="New build with about a 90 day lapse. When construction completed in Feb 2019, they moved from a coml loan to a personal loan and there were delays with closing date and appraisal. This delayed the acquisition of insurance.  Partner will get Cert of Occ and no loss letter. $1,000 ded quoted."/>
    <x v="1"/>
    <s v="."/>
    <s v="I ran ins score 847"/>
    <m/>
    <s v="Patterson"/>
  </r>
  <r>
    <x v="98"/>
    <x v="0"/>
    <s v="MI"/>
    <s v="Nicole"/>
    <m/>
    <s v="Mueller"/>
    <s v="Gordon"/>
    <s v="HO3 Primary w/Rental"/>
    <s v="Bennington"/>
    <s v="NE"/>
    <s v="68007"/>
    <n v="2"/>
    <n v="420000"/>
    <n v="804000"/>
    <x v="0"/>
    <s v="1920 home w/full updates. Used as B&amp;B with offering for groups of 25 or more for parties, events, tours. 3 rooms. 1 night rental."/>
    <x v="1"/>
    <s v="Does not qualify for the B&amp;B program because of the parties/events/tours. Agreed to terms w/STR rates, Total Business Excl, Coml policy in place. // 5/28/19 MP Partner said the website was changed, the insd didn't do all those events. I checked website and it was the same. Sent copy/paste to agt. Advised terms stand if they are interested."/>
    <s v="Burns has no restriction on historic with tours like other partners.  This would be covered under their GL."/>
    <m/>
    <s v="Patterson"/>
  </r>
  <r>
    <x v="98"/>
    <x v="0"/>
    <s v="MI"/>
    <s v="Jill"/>
    <m/>
    <s v="Smith"/>
    <s v="Aaron &amp; Jaimie"/>
    <s v="DP3 Vacant"/>
    <s v="Bardfordwoods"/>
    <s v="PA"/>
    <s v="15015"/>
    <n v="6"/>
    <n v="2520000"/>
    <n v="2772000"/>
    <x v="9"/>
    <s v="2007 dwelling for sale and vacant. Applicant is retired Pittsburgh Steelers player. On the market 10 months. Fenced covered pool."/>
    <x v="1"/>
    <s v="Excluding liability due to high profile."/>
    <s v="Asked JB opinion on liab"/>
    <m/>
    <s v="Patterson"/>
  </r>
  <r>
    <x v="98"/>
    <x v="0"/>
    <s v="MI"/>
    <s v="Nicole"/>
    <m/>
    <s v="Holland"/>
    <s v="Lisa"/>
    <s v="HO3 Primary"/>
    <s v="Atascadero"/>
    <s v="CA"/>
    <s v="93422"/>
    <n v="3"/>
    <n v="645000"/>
    <n v="1096500"/>
    <x v="4"/>
    <s v="1920 home w/full updates.  WRS8. Insd is psychiatrist. Clients screened at her primary location before coming to the home for appts. Once a year group held here. Separate wing with locked door from the residence area. Has business and malpractice policies in place. "/>
    <x v="1"/>
    <s v="Okay with TBE and continued maintenance of coml policies. Separated from home, pre-screened."/>
    <m/>
    <m/>
    <s v="Patterson"/>
  </r>
  <r>
    <x v="98"/>
    <x v="0"/>
    <s v="MI"/>
    <s v="Jill"/>
    <m/>
    <s v="Rovetti"/>
    <s v="James"/>
    <s v="HO3 Builders Risk"/>
    <s v="Santa Rosa"/>
    <s v="CA"/>
    <s v="95403"/>
    <n v="1"/>
    <n v="544577"/>
    <n v="900000"/>
    <x v="2"/>
    <s v="New build after total fire loss from Santa Rosa fire 10/7/17. Lapse since 2/17. Rebuild 60% complete. Loss open until rebuild done. WRS 6. "/>
    <x v="2"/>
    <s v="Declined due to prior loss, lapse, and already 60% built."/>
    <s v="Asked JB opinion on rewriting at same loc as total. Not comfortable rewriting risk at same location as a total loss."/>
    <m/>
    <s v="Patterson"/>
  </r>
  <r>
    <x v="98"/>
    <x v="0"/>
    <s v="MI"/>
    <s v="Nicole"/>
    <m/>
    <s v="Waneka"/>
    <s v="Scott"/>
    <s v="DP3 Vacant"/>
    <s v="Minden"/>
    <s v="NE"/>
    <s v="68959"/>
    <n v="3"/>
    <n v="250000"/>
    <n v="500000"/>
    <x v="0"/>
    <s v="1909 church structure with updates almost complete. Liab currently extended from AO homeowners ins.  No current plans for the structure. Lapse since purchase."/>
    <x v="2"/>
    <s v="Lapse, no plans, unique structure."/>
    <s v="Ins score M. Gigantic church building."/>
    <m/>
    <s v="Patterson"/>
  </r>
  <r>
    <x v="98"/>
    <x v="3"/>
    <s v="IL"/>
    <s v="Tasha"/>
    <m/>
    <s v="34425 Six Mile Road"/>
    <m/>
    <s v="HO3 Primary"/>
    <s v="Livonia"/>
    <s v="MI"/>
    <s v="48152"/>
    <n v="5"/>
    <n v="325000"/>
    <n v="725000"/>
    <x v="0"/>
    <s v="1968 home w/updates. Owned by brother and sister LLC. Sister is special needs and has nurses coming in 24/7. Is liability okay?  Requiring HO4 for daughter and friend also living in home."/>
    <x v="0"/>
    <s v="Nurses are to care for basic needs. Liability is okay."/>
    <m/>
    <m/>
    <s v="Patterson"/>
  </r>
  <r>
    <x v="98"/>
    <x v="8"/>
    <s v="CO"/>
    <s v="Allison"/>
    <m/>
    <s v="Lee"/>
    <s v="Lana"/>
    <s v="HO6"/>
    <s v="Denver"/>
    <s v="CO"/>
    <s v="80218"/>
    <n v="1"/>
    <n v="500000"/>
    <n v="820000"/>
    <x v="2"/>
    <s v="1969 condo updated in 2015, roof in 2000. 3 prior losses. 4/5/18 fountain on balcony overflowed $1200. 5/22/18 water off in building, insd left sink on didn't know it, overflow to her kitchen and downstairs unit $24K 8/15/18 - theft from auto $0. Quoted w/5K AOP. Flat roof. Quoted w/backup."/>
    <x v="1"/>
    <s v="Okay with $10K water damage deductible (could change AOP to $2500 with that)"/>
    <s v="I ran ins score 664 - 5% s/c"/>
    <m/>
    <s v="Patterson"/>
  </r>
  <r>
    <x v="98"/>
    <x v="0"/>
    <s v="MI"/>
    <s v="Jill"/>
    <m/>
    <s v="Meinhardt"/>
    <s v="Rebecca &amp; Mark"/>
    <s v="HO3 Primary"/>
    <s v="Hartford"/>
    <s v="WI"/>
    <s v="53027"/>
    <n v="10"/>
    <n v="1539000"/>
    <n v="3308850"/>
    <x v="6"/>
    <s v="1999 home w/original wood shake roof. Partner excluding the roof. PC10=5.3 mi to responding FD part paid."/>
    <x v="0"/>
    <s v="Confirmed 11 min drive time-part paid FD=response time &lt;15."/>
    <s v="Ins score I"/>
    <m/>
    <s v="Patterson"/>
  </r>
  <r>
    <x v="99"/>
    <x v="3"/>
    <s v="IL"/>
    <s v="Tasha"/>
    <m/>
    <s v="Acbercrombie"/>
    <s v="John"/>
    <s v="HO3 Primary"/>
    <s v="Orland Park"/>
    <s v="IL"/>
    <s v="60473"/>
    <n v="2"/>
    <n v="2319000"/>
    <n v="3282800"/>
    <x v="1"/>
    <s v="Masonry home built in 2001. Square footage of the two story home is 8763. Pastor had home on the church policy. When the carrier discovered it was on the commercial policy it was removed without pastor knowing. When the insurer asked for proof of insurance, the lapse was discovered. Lapse started 3/13/19."/>
    <x v="4"/>
    <s v="Application mentions an adverse possession or cloud on the title of the home. We need clarification before moving forward."/>
    <m/>
    <m/>
    <s v="Lazovik"/>
  </r>
  <r>
    <x v="99"/>
    <x v="0"/>
    <s v="MI"/>
    <s v="Nicole"/>
    <m/>
    <s v="Blaha"/>
    <s v="Robert"/>
    <s v="HO3 Primary"/>
    <s v="Colorado Springs"/>
    <s v="CO"/>
    <s v="80921"/>
    <n v="9"/>
    <n v="1500000"/>
    <n v="3250000"/>
    <x v="5"/>
    <s v="Stucco home built in 1994 with partial plumbing updates in 2016 and a full roof in 2014. There are CS fire and burglar alarms. Two water losses ($10k in 2016 and $1641 in 2018). Insured ran for office in 2016 and did not win. Not a hugely popular name. Ran Trump campaign for state in 2016."/>
    <x v="2"/>
    <s v="The home is very high value with a PC 9. After reviewing the satellite image it appears the home is set back and dirt roads lead to the home. I am not concerned about the public nature of his political aspirations."/>
    <s v="Insurance score is A"/>
    <m/>
    <s v="Lazovik"/>
  </r>
  <r>
    <x v="99"/>
    <x v="3"/>
    <s v="FL"/>
    <s v="Niki"/>
    <m/>
    <s v="Brunson"/>
    <s v="Drexel"/>
    <s v="HO3 Primary"/>
    <s v="Ocala"/>
    <s v="FL"/>
    <s v="34471"/>
    <n v="3"/>
    <n v="452000"/>
    <n v="935200"/>
    <x v="2"/>
    <s v="Primary home with seven reported claims since 2016. Brick home built in 2003 with 3600 square feet.  Losses have been due to falling objects (glass stovetop broke), two water damage claims, lightening, mysterious disappearance, dog who ate the flooring and Hurricane damage. "/>
    <x v="2"/>
    <s v="High frequency of losses with many different claim types. Jewelry, water, hurricane, etc. "/>
    <s v="Insurance Score is 636. We are increasing business in Miami at a rapid pace. There isn't a need to stretch our premium by accepting questionable risks. I went back and forth but in the end decided we didn't need to actually spend a lot of time in an area we don't want extra growth."/>
    <m/>
    <s v="Lazovik"/>
  </r>
  <r>
    <x v="99"/>
    <x v="6"/>
    <s v="MI"/>
    <s v="John"/>
    <m/>
    <m/>
    <m/>
    <s v="HO3 Primary"/>
    <m/>
    <m/>
    <m/>
    <m/>
    <m/>
    <m/>
    <x v="11"/>
    <s v="Phone call from John wondering if we would consider a primary homeowner with a gun claim where bags were dropped on a bed on top  of the gun and it went off and hit someone. "/>
    <x v="2"/>
    <s v="They wanted liability and I noted we would be more comfortable without liability. It is a sign of careless storage of a loaded weapon on top of the bed."/>
    <m/>
    <m/>
    <s v="Lazovik"/>
  </r>
  <r>
    <x v="99"/>
    <x v="0"/>
    <s v="MI"/>
    <s v="Nicole"/>
    <m/>
    <s v="Hollinger"/>
    <s v="Jared"/>
    <s v="HO3 Primary"/>
    <s v="Springfield"/>
    <s v="NE"/>
    <s v="68059"/>
    <n v="9"/>
    <n v="2000000"/>
    <n v="3400000"/>
    <x v="2"/>
    <s v="Home built in 2001 with full roof update in 2016. CS alarms and 2 rated prior losses. Hail (14K 2016), Hail ($124k 2016) and Lightening ($40k) in 2016. We will not extend liability to another location. "/>
    <x v="2"/>
    <s v="Insured has significant loss history.  Both frequency and severity.  1% W/H ded was not enough on $2,000,000 RCE home."/>
    <m/>
    <m/>
    <s v="Lazovik/Bach"/>
  </r>
  <r>
    <x v="100"/>
    <x v="0"/>
    <s v="MI"/>
    <s v="Nicole"/>
    <m/>
    <s v="Daylor"/>
    <s v="Andrew"/>
    <s v="HO3 Seas/Sec w/Rental"/>
    <s v="Oswego"/>
    <s v="IL"/>
    <s v="60543"/>
    <n v="3"/>
    <n v="480000"/>
    <n v="816000"/>
    <x v="4"/>
    <s v="1999 dwelling seasonal and short term rental. Pole barn can be used for weddings and parties. Pond on premises."/>
    <x v="2"/>
    <s v="Appears entire property can be rented out including the home. Large slide, boats, rope swing, swimming on pond.  Concern with injury and inability to separate the business from the home policy.."/>
    <m/>
    <m/>
    <s v="Patterson"/>
  </r>
  <r>
    <x v="100"/>
    <x v="4"/>
    <s v="CA"/>
    <s v="Ashley"/>
    <m/>
    <s v="Williams"/>
    <s v="Erik"/>
    <s v="HO3 Primary"/>
    <s v="Canyon Lake"/>
    <s v="CA"/>
    <s v="92587"/>
    <n v="5"/>
    <n v="490600"/>
    <n v="800000"/>
    <x v="2"/>
    <s v="1969 home quoted w/full water damage exclusion. WRS 26. 7/15 roof leak $1326, 4/18 HVAC pipe break $32K, 6/18 hwt burst $9K. "/>
    <x v="1"/>
    <s v="Ok w/ full water damage exclusion. Also, no backup, no mold."/>
    <m/>
    <m/>
    <s v="Patterson"/>
  </r>
  <r>
    <x v="100"/>
    <x v="0"/>
    <s v="MI"/>
    <s v="Nicole"/>
    <m/>
    <s v="Brisker"/>
    <s v="Paul Michael"/>
    <s v="HO3 Primary"/>
    <s v="Stafford"/>
    <s v="VA"/>
    <s v="22554"/>
    <n v="4"/>
    <n v="394000"/>
    <n v="807200"/>
    <x v="4"/>
    <s v="2017 home w/alarms. Insd runs private pilates studio in home. Usually 1 customer at a time, but website offers semi-private and group appts.  GL in place. Quoted w/TBE."/>
    <x v="0"/>
    <s v="Lower exposure. No addl hazards. GL and TBE."/>
    <m/>
    <m/>
    <s v="Patterson"/>
  </r>
  <r>
    <x v="100"/>
    <x v="3"/>
    <s v="FL"/>
    <s v="Niki"/>
    <m/>
    <s v="Gamble"/>
    <s v="Richard Lee"/>
    <s v="HO3 Seas/Sec"/>
    <s v="Mayo"/>
    <s v="FL"/>
    <s v="32066"/>
    <n v="10"/>
    <n v="100000"/>
    <n v="170000"/>
    <x v="1"/>
    <s v="New purchase in 2017. No insurance since. Renovations just completed and insured now wants insurance. Insured is Chairman of County Commissioners. Volunteer FD 15 miles from home, dirt road, response time over 15 minutes."/>
    <x v="2"/>
    <s v="Response time over 15 min (and ins score low with 2 year lapse)"/>
    <s v="2 star ins score per Niki = surcharge"/>
    <m/>
    <s v="Patterson"/>
  </r>
  <r>
    <x v="101"/>
    <x v="0"/>
    <s v="MI"/>
    <s v="Leslie"/>
    <m/>
    <s v="Marcus"/>
    <s v="Aubrey"/>
    <s v="HO3 Seas/Sec"/>
    <s v="Sedona"/>
    <s v="AZ"/>
    <s v="83663"/>
    <n v="10"/>
    <n v="1863000"/>
    <n v="3340800"/>
    <x v="6"/>
    <s v="1990 home. PC10-response time 25 minutes. Insd is CEO of Onnit-holistic healing-high profile. Home on 20 acres."/>
    <x v="2"/>
    <s v="High TIV with high response time - not comfortable.  (Would not have offered liability for this high profile individual.) // 5/22/19 MP Partner checked back for reconsideration - any s/c or excl? Advised no, the decline stands."/>
    <s v="Ins score J"/>
    <m/>
    <s v="Patterson"/>
  </r>
  <r>
    <x v="101"/>
    <x v="2"/>
    <s v="MA"/>
    <s v="Barbara"/>
    <m/>
    <s v="Pestilli"/>
    <s v="Michael &amp; Heidi"/>
    <s v="HO3 Primary"/>
    <s v="Voluntown"/>
    <s v="CT"/>
    <s v="06384"/>
    <n v="10"/>
    <n v="380000"/>
    <n v="830000"/>
    <x v="4"/>
    <s v="2000 home. Quoted by partner as PC8, looks like PC 10. PC app coming. Volunteer, 5.7 mi to resp FD, ?? hydrant per app. Insd placing 10 horse stalls in 2 barns at rear of home to be used for coml boarding. They are working on placing a CGL for horse boarding."/>
    <x v="3"/>
    <s v="Need to see PC app. If &lt;15 min response, would consider subj to Coml policies for horse liab and structures. TBE. Exclude liability."/>
    <s v="(Exclude liab because we use business exclusion - not 100% comfortable with how courts would view how this applies to animals/farm.)"/>
    <m/>
    <s v="Patterson"/>
  </r>
  <r>
    <x v="101"/>
    <x v="0"/>
    <s v="MI"/>
    <s v="Lindsay"/>
    <m/>
    <s v="Semmler"/>
    <s v="John"/>
    <s v="HO3 Primary"/>
    <s v="Fulton"/>
    <s v="TX"/>
    <s v="78358"/>
    <n v="3"/>
    <n v="196000"/>
    <n v="260000"/>
    <x v="3"/>
    <s v="1926 home w/ full updates except partial on plumbing. OHQ agt obtained shows 100% galvanized. Seeking approval for total water damage exclusion."/>
    <x v="1"/>
    <s v="Ok w/water damage excl. Pol already has mold excl. Has water/sewer backup-asked that to be removed due to plumbing concerns. No exposure with water damage exclusion."/>
    <s v="Ins score A"/>
    <m/>
    <s v="Patterson"/>
  </r>
  <r>
    <x v="102"/>
    <x v="4"/>
    <s v="CA"/>
    <s v="Alison"/>
    <m/>
    <s v="Meskin"/>
    <s v="Solomon"/>
    <s v="HO3 Primary"/>
    <s v="Beverly Hills"/>
    <s v="CA"/>
    <s v="90211"/>
    <n v="5"/>
    <n v="700000"/>
    <n v="1540000"/>
    <x v="2"/>
    <s v="1987 home /w updates, roof in 2002. 3 prior losses: wind $21K 11/16, theft from car $17K 12/16, water dmg $37K 4/18.  Agent applying water damage exclusion. Zip is open for business.  WRS 6."/>
    <x v="1"/>
    <s v="Applying exclusion eliminates exposure from water. $5K ded minimizes other possible losses.  Will s/c for 3 losses. Ins scores are good."/>
    <s v="I ran insurance scores on both - 870, 775"/>
    <m/>
    <s v="Patterson"/>
  </r>
  <r>
    <x v="102"/>
    <x v="0"/>
    <s v="MI"/>
    <s v="Leslie"/>
    <m/>
    <s v="Fehrenbacher"/>
    <s v="Kevin"/>
    <s v="HO3 Primary"/>
    <s v="St. Peters"/>
    <s v="MO"/>
    <s v="63376"/>
    <n v="3"/>
    <n v="172514"/>
    <n v="350000"/>
    <x v="4"/>
    <s v="1959 home w/ part updates. Insd has scrap metal business in fenced back yard."/>
    <x v="2"/>
    <s v="Scrap metal business is high theft and high liability exposure. Even with TBE and GL in place, this is a concerning exposure."/>
    <s v="Ins score L = surcharge"/>
    <m/>
    <s v="Patterson"/>
  </r>
  <r>
    <x v="102"/>
    <x v="6"/>
    <s v="MI"/>
    <s v="Lori"/>
    <m/>
    <s v="Lingard"/>
    <s v="Swakenna &amp; Michael"/>
    <s v="HO3 Primary"/>
    <s v="Charleston"/>
    <s v="SC"/>
    <s v="29412"/>
    <n v="1"/>
    <n v="266000"/>
    <n v="380000"/>
    <x v="4"/>
    <s v="1996 home. Insured has auto repair business on premises.  "/>
    <x v="3"/>
    <s v="Asked many questions regarding the exposure. We have approved these occasionally in the past."/>
    <s v="Talked to John at JMW briefly on the topic of auto repair and told him these can sometimes be acceptable depending on extent of activities and separation.  I did not find any formal referral in file for this one.  "/>
    <m/>
    <s v="Patterson"/>
  </r>
  <r>
    <x v="102"/>
    <x v="0"/>
    <s v="MI"/>
    <s v="Lindsay"/>
    <m/>
    <s v="Walden"/>
    <s v="Daniel"/>
    <s v="HO3 Primary"/>
    <s v="Richmond   "/>
    <s v="IN"/>
    <s v="47374"/>
    <n v="3"/>
    <n v="110000"/>
    <n v="171000"/>
    <x v="4"/>
    <s v="1900 home w/updated. High RC but partner says they are insuring for ACV. Printing business in basement. No employees, no foot traffic, prints real estate booklet for realtor's monthly listings. Has a GL."/>
    <x v="2"/>
    <s v="SF on app doesn't match online, yoc on app doesn't match online. Value does not reflect ACV-too low. Concern of condition. Concern w/chemicals used in printing business - can be hazardous, flammable. Asked numerous questions re use/storage/fire rating."/>
    <s v="Ins score L = surcharge"/>
    <m/>
    <s v="Patterson"/>
  </r>
  <r>
    <x v="103"/>
    <x v="3"/>
    <s v="NH"/>
    <s v="Kyle"/>
    <m/>
    <s v="Ahearn"/>
    <s v="David"/>
    <s v="HO3 Primary"/>
    <s v="Hampton Falls "/>
    <s v="NH"/>
    <s v="03844"/>
    <n v="9"/>
    <n v="2960000"/>
    <n v="4590000"/>
    <x v="1"/>
    <s v="1800 home full gut reno in 2009. PC8X per agt. No info on app. Cancelled 5/6. Can confirm no losses. CSFB. Indoor pool. Shed/barn completely used for storage only."/>
    <x v="3"/>
    <s v="Asked for ins score, explanation of lapse, and unprotected quest. No info at all on app about distance to FD and response time. // MP follow up from agent. Risk was with AIG, insured missed payment. AIG won't reinstate (preferred).  Unusual for $4.5M TIV to let coverage lapse, but we do see it in E&amp;S. Lapse is just over 2 weeks. Good insurance score shows this shouldn't be an ongoing issue. PC8X ok. 4 min drive time verified 2.1 miles. No hydrant. Ran ISO PPC confirmed 8X."/>
    <s v="Ins score = 4 star"/>
    <m/>
    <s v="Patterson"/>
  </r>
  <r>
    <x v="103"/>
    <x v="0"/>
    <s v="MI"/>
    <s v="Jill"/>
    <m/>
    <s v="Lawhorn"/>
    <s v="Lindsay"/>
    <s v="HO3 Builders Risk"/>
    <s v="Noblesville"/>
    <s v="IN"/>
    <s v="46060"/>
    <s v="8X"/>
    <n v="235000"/>
    <n v="270000"/>
    <x v="7"/>
    <s v="New construction. In order to close on loan and get a house # assigned, the insured has to have an indication quote.  They plan on building on 216th St."/>
    <x v="3"/>
    <s v="Approved rate indication only.  All aspects of risk meet our guidelines except there is no house #. Since ground is not breaking until after we have all that reviewed and approved, there is basically no exposure now. Also, this is an indication only. Verified furthest point on 216th st to fire station is appx 6 miles."/>
    <m/>
    <m/>
    <s v="Patterson"/>
  </r>
  <r>
    <x v="103"/>
    <x v="3"/>
    <s v="LA"/>
    <s v="Crystal"/>
    <m/>
    <s v="Papamichael"/>
    <s v="Chris   "/>
    <s v="DP3 Rental"/>
    <s v="New Orleans "/>
    <s v="LA"/>
    <s v="70130"/>
    <n v="3"/>
    <n v="165000"/>
    <n v="240000"/>
    <x v="2"/>
    <s v="2008 rental home. No pets allowed but insd wants $50K animal liability. Insured's Jack Russel bit an uninvited person who reached over the fence. $17,500 paid and the claim is closed. Loss occurred almost 3 years ago. Insured still has the dog.  This loss was at the insured's residence, not this location."/>
    <x v="3"/>
    <s v="Reviewing w/Bethany. Outstanding concern is if the insured brings the dog with him to this rental property and this dog bites someone. We do have an exclusion for a dog that bit before. However, at this rental property, higher duty is owed to tenant and guests. Advised I could approve now for property only. I can also approve liab w/animal exclusion at this point."/>
    <s v="Ins score = 5 star"/>
    <m/>
    <s v="Patterson"/>
  </r>
  <r>
    <x v="103"/>
    <x v="3"/>
    <s v="FL"/>
    <s v="Julie"/>
    <m/>
    <s v="McCullers"/>
    <s v="Nancy"/>
    <s v="HO3 Primary"/>
    <s v="Live Oak"/>
    <s v="FL"/>
    <s v="32064"/>
    <n v="9"/>
    <n v="310852"/>
    <n v="540000"/>
    <x v="11"/>
    <s v="75 acres.  1998 home on 75 wooded acres. Personal use only. Insured is a widow. App=PC9. Less than 15 min response time."/>
    <x v="1"/>
    <s v="No farming, personal use of acreage. Ask to confirm no hunting. Approved subj to confirmation that location on the 75 acres does not increase response time and home is accessible by emergency vehicles. I verified distance to FD is 2.7. No hydrant per app. PC App required."/>
    <m/>
    <m/>
    <s v="Patterson"/>
  </r>
  <r>
    <x v="104"/>
    <x v="8"/>
    <s v="CO"/>
    <s v="Allison"/>
    <m/>
    <s v="Mauser"/>
    <s v="Gary"/>
    <s v="HO3 Primary"/>
    <s v="Colorado Springs"/>
    <s v="CO"/>
    <s v="80911"/>
    <n v="2"/>
    <n v="235000"/>
    <n v="375000"/>
    <x v="2"/>
    <s v="1968 home w/new roof in 2016 after $10K hail loss. Also had $3k water back up in 2/16. No backup will be offered. No mold. Also had 9/17/18 $1,835 fire loss from neighbors children playing w/matches."/>
    <x v="0"/>
    <s v="Need fire report to approve fire loss. Roof replaced-helps for future. Excluding backup and mold., so no future backup issues. Require OHQ to make sure systems are acceptable. We have no requirements for updates w/this age of home, but our OHQ will draw out ineligible issues. Agt usually obtains at time of binding. Agt added 10% debit. // 5/28/19 MP Police report confirms original reported cause. OK. Older Home Quest ok, agent to obtain Markel form."/>
    <m/>
    <m/>
    <s v="Patterson"/>
  </r>
  <r>
    <x v="104"/>
    <x v="0"/>
    <s v="MI"/>
    <s v="Rachel"/>
    <m/>
    <s v="Karley"/>
    <s v="Douglas"/>
    <s v="HO3 Primary"/>
    <s v="Shawnee"/>
    <s v="KS"/>
    <s v="66216"/>
    <n v="3"/>
    <n v="291000"/>
    <n v="494700"/>
    <x v="4"/>
    <s v="1994 home w/full roof update in 2000. No losses. Insured has licensed daycare in home. Lic for 6. Usually has 5. Agt quoting in B&amp;W In home daycare program w/max of 5. App is incomplete."/>
    <x v="1"/>
    <s v="Lic for 6. Online check shows Karley daycare licensed for 10. Either way is okay, but not in the in home daycare program. Approved in HO w/ TBE and require commercial policies to be maintained. Need completed app-all uw questions blank."/>
    <m/>
    <m/>
    <s v="Patterson"/>
  </r>
  <r>
    <x v="105"/>
    <x v="6"/>
    <s v="MI"/>
    <s v="John"/>
    <m/>
    <s v="Hohulin"/>
    <s v="Martin Jr &amp; Marilyn"/>
    <s v="HO3 Seas/Sec"/>
    <s v="Fort Scott"/>
    <s v="KS"/>
    <s v="66701"/>
    <n v="10"/>
    <n v="150000"/>
    <n v="300000"/>
    <x v="4"/>
    <s v="1920 home w/full updates. Insd has 80 acres w/cattle operations. Silo and other barns per pics. Home looks in decent condition.  This is &quot;seasonal&quot; inherited home, but insured is retired. It is about 45 miles from primary home."/>
    <x v="3"/>
    <s v="Asked questions about most concerning liability issues (# cattle, meat processing, check fencing). If those check out, this risk is in line w/others we approved w/ liability exclusion, no cov B, Total Business Excl, Farm policy. Also need older home app and protection class app."/>
    <m/>
    <m/>
    <s v="Patterson"/>
  </r>
  <r>
    <x v="105"/>
    <x v="3"/>
    <s v="FL"/>
    <s v="Tasha"/>
    <m/>
    <s v="Kotara"/>
    <s v="John H &amp; Linda L"/>
    <s v="HO3 Seas/Sec"/>
    <s v="The Villages"/>
    <s v="FL"/>
    <s v="32163"/>
    <n v="6"/>
    <n v="600000"/>
    <n v="800000"/>
    <x v="10"/>
    <s v="2007 masonry home w/tile roof.  Fenced pool.  Agent verifying she entered things correctly as she doesn't quote FL that often. Verified attached docs and verified deductible in guidelines. Location is inland FL."/>
    <x v="0"/>
    <s v="Meets criteria"/>
    <m/>
    <m/>
    <s v="Patterson"/>
  </r>
  <r>
    <x v="105"/>
    <x v="2"/>
    <s v="MA"/>
    <s v="Barbara"/>
    <m/>
    <s v="Stoner"/>
    <s v="James"/>
    <s v="HO3 Builders Risk"/>
    <s v="Westport"/>
    <s v="CT"/>
    <s v="06880"/>
    <n v="5"/>
    <n v="910000"/>
    <n v="1410000"/>
    <x v="2"/>
    <s v="1932 home w/updates. 8/17/18 windstorm $174K still under repair. Roof replacement and interior work. Insd living in home."/>
    <x v="2"/>
    <s v="Not comfortable coming in the middle of repair when it involves wind/water."/>
    <m/>
    <m/>
    <s v="Patterson"/>
  </r>
  <r>
    <x v="105"/>
    <x v="0"/>
    <s v="MI"/>
    <s v="Leslie"/>
    <m/>
    <s v="Osborn"/>
    <s v="Jeffery"/>
    <s v="HO3 Seas/Sec"/>
    <s v="Three Rivers"/>
    <s v="TX"/>
    <s v="78071"/>
    <n v="10"/>
    <n v="669451"/>
    <n v="1020000"/>
    <x v="5"/>
    <s v="2007 log home on 242 acres. No farm/animals. Pipe gates are always locked. FD has to call insured's cell phone to get the combination. Also, 2 wood bridges."/>
    <x v="2"/>
    <s v="Concern with locked gates all the time. Possible year round issue where FD can't get to the house. UPDATE 5/30/2019: Burns came back indicating code was given to fire department. No confirmation as to how FD keeps the information and who has access to it. FD is also volunteer. Given that and all other info regarding risk and accessibility I am still declining risk. "/>
    <s v="If they rectify this, need more info on bridges, drive time, 242 acres, use of property, complete app."/>
    <m/>
    <s v="Patterson/Busse"/>
  </r>
  <r>
    <x v="105"/>
    <x v="0"/>
    <s v="MI"/>
    <s v="Jill"/>
    <m/>
    <s v="Walker"/>
    <s v="Peter   "/>
    <s v="DP3 Vacant"/>
    <m/>
    <s v="MI"/>
    <m/>
    <n v="4"/>
    <n v="272000"/>
    <n v="277000"/>
    <x v="0"/>
    <s v="1950 home fully updated. Risk is in MI (where fiancee lives). Named insured is in CA. Home has been purchased on land contract. It will be vacant for now and primary later.  "/>
    <x v="3"/>
    <s v="Not enough info to evaluate. Asked numerous questions."/>
    <m/>
    <m/>
    <s v="Patterson"/>
  </r>
  <r>
    <x v="105"/>
    <x v="3"/>
    <s v="FL"/>
    <s v="Niki"/>
    <m/>
    <s v="Goosen"/>
    <s v="Arlene"/>
    <s v="HO3 Primary"/>
    <s v="Jacksonville"/>
    <s v="FL"/>
    <s v="32216"/>
    <n v="1"/>
    <n v="200000"/>
    <n v="344000"/>
    <x v="11"/>
    <s v="Location.  1960 home backs up to Jacksonville VA hospital.  Appx 150' away per aerial view. Many trees in the photo.  It backs up to the back of the building. Had prior plumbing leak.  Pipes re-routed and all fixtures replaced. Supply and drain lines replaced. (2016) "/>
    <x v="3"/>
    <s v="Discussed w/JB and we agreed the distance to the coml bldgs were okay.  Will need OHQ. At first advised no water backup due to prior slab leak loss.  Loss was not related to backup.  The loss was over 3 years ago, plus the plumbing docs say the drain lines were replaced.  I felt comfortable offering water backup.  "/>
    <m/>
    <m/>
    <s v="Patterson"/>
  </r>
  <r>
    <x v="105"/>
    <x v="0"/>
    <s v="MI"/>
    <s v="Lindsay"/>
    <m/>
    <s v="Pohl"/>
    <s v="Sharon R North"/>
    <s v="HO3 Seas/Sec w/Rental"/>
    <s v="Soquel"/>
    <s v="CA"/>
    <s v="95073"/>
    <n v="4"/>
    <n v="1578000"/>
    <n v="1953000"/>
    <x v="0"/>
    <s v="1978 home w/ full roof updt. Partial other updates. Insd at premises 4 nights/week. Boarding ranch horse operation w/American Reliable. Renters not allowed near stable/ranch. WRS 17."/>
    <x v="2"/>
    <s v="Subj to TBE, exclude liab, exclude Cov B, require Coml policies. Asked John's opinion if this is enough and it is not. Possible excessive defense costs.   "/>
    <s v="No hit ins score per partner.  If this were primary home, we could probably consider per discussion w/John."/>
    <m/>
    <s v="Patterson"/>
  </r>
  <r>
    <x v="106"/>
    <x v="0"/>
    <s v="MI"/>
    <s v="Lindsay"/>
    <m/>
    <s v="Grayless"/>
    <s v="Tammy &amp; Marc"/>
    <s v="HO3 Primary"/>
    <s v="Edmond"/>
    <s v="OK"/>
    <s v="73025"/>
    <n v="5"/>
    <n v="356200"/>
    <n v="700000"/>
    <x v="4"/>
    <s v="2013 home w/ no losses. Insd is a massage therapist. Business is in the home. 10-15 clients per week. GL in place. Separate room in home. &quot;Just Relax with Tammy&quot;. "/>
    <x v="0"/>
    <s v="OK as quoted w/GL, TBE. This is in line with other similar risks we've approved in the past. Pol excludes professional services. With GL &amp; TBE, there are several layers of exclusion. UPDATE 5/31/2019: Burns asked if they could add special contents coverage form, approved to add. "/>
    <s v="Ins score L "/>
    <m/>
    <s v="Patterson/Busse"/>
  </r>
  <r>
    <x v="106"/>
    <x v="10"/>
    <s v="MA"/>
    <s v="Austin"/>
    <m/>
    <s v="Clarkin"/>
    <s v="Thomas &amp; Cheryl"/>
    <s v="HO3 Primary"/>
    <s v="Saunderstown"/>
    <s v="RI"/>
    <s v="02874"/>
    <n v="3"/>
    <n v="1200000"/>
    <n v="2380000"/>
    <x v="2"/>
    <s v="2018 rebuild due to total loss. 12/17 teenage son sneaking cigarettes flicked onto leaves near house and house burned to the ground."/>
    <x v="2"/>
    <s v="Careless loss."/>
    <m/>
    <m/>
    <s v="Patterson"/>
  </r>
  <r>
    <x v="106"/>
    <x v="8"/>
    <s v="CO"/>
    <s v="Allison"/>
    <m/>
    <s v="Lacey"/>
    <s v="Michael"/>
    <s v="HO3 Primary"/>
    <s v="Phoenix"/>
    <s v="AZ"/>
    <m/>
    <m/>
    <m/>
    <m/>
    <x v="9"/>
    <s v="Insured's business has federal lawsuits and charges of human trafficking and money laundering. Numerous articles over the past couple of years. Case still pending."/>
    <x v="2"/>
    <s v="SCU was checking with a very general inquiry with no attachments. "/>
    <m/>
    <m/>
    <s v="Patterson"/>
  </r>
  <r>
    <x v="106"/>
    <x v="3"/>
    <s v="FL"/>
    <s v="Danielle"/>
    <m/>
    <s v="Jackson"/>
    <s v="Joseph"/>
    <s v="HO3 Primary"/>
    <s v="Davie"/>
    <s v="FL"/>
    <s v="33331"/>
    <n v="5"/>
    <n v="814468"/>
    <n v="1320000"/>
    <x v="1"/>
    <s v="2005 home w/prior 2017 Irma loss - roof replacement just completed but prior carrier nonrenewed so there is a 30 day lapse."/>
    <x v="2"/>
    <s v="Discussed with Bethany. Due to agg going quickly we are being selective in tri-county area. Declined for prior loss, length of time to make repair, and lapse."/>
    <m/>
    <m/>
    <s v="Patterson"/>
  </r>
  <r>
    <x v="107"/>
    <x v="0"/>
    <s v="MI"/>
    <s v="Nicole"/>
    <m/>
    <s v="Faith Family Community Church"/>
    <m/>
    <s v="DP3 Rental"/>
    <s v="Winter Garden"/>
    <s v="FL"/>
    <s v="34787"/>
    <n v="2"/>
    <n v="290000"/>
    <n v="315000"/>
    <x v="4"/>
    <s v="1969 year built with complete updates in 2019. Dwelling is owned by the church and is located on the church's premises. The dwelling is used for housing the pastor. They currently have a commercial coverage in place. No meetings, no parishioners are allowed, only the pastor is allowed to use the dwelling. 47 miles to coast. "/>
    <x v="0"/>
    <s v="Since no business takes place at the dwelling, I am OK with risk and comfortable that TBE and building exclusion would apply in church related situations. Approved terms as quoted - TBE, building exclusion for church, and confirmation CGL is maintained. "/>
    <m/>
    <m/>
    <s v="Busse"/>
  </r>
  <r>
    <x v="107"/>
    <x v="3"/>
    <s v="LA"/>
    <s v="Crystal"/>
    <m/>
    <s v="Wren"/>
    <s v="John &amp; Angela"/>
    <s v="HO3 Seas/Sec"/>
    <s v="Greensburg"/>
    <s v="LA"/>
    <s v="70441"/>
    <n v="10"/>
    <n v="170000"/>
    <n v="170000"/>
    <x v="5"/>
    <s v="New construction, insured states he is there 3-4 times per week. FD is 5.9 miles with 12 min response time. Everything appears to be in line"/>
    <x v="0"/>
    <s v="Approved terms as quoted. "/>
    <m/>
    <m/>
    <s v="Busse"/>
  </r>
  <r>
    <x v="108"/>
    <x v="0"/>
    <s v="CA"/>
    <s v="Nicole"/>
    <m/>
    <s v="Naidu Family Vineyards, LLC"/>
    <m/>
    <s v="DP3 Rental"/>
    <s v="Sabastopol"/>
    <s v="CA"/>
    <s v="95472"/>
    <n v="4"/>
    <n v="1000000"/>
    <n v="1200000"/>
    <x v="4"/>
    <s v="Frame home built in 1993.  Dwelling sits on 10 acres of vineyards.  3 acres is rented to the Naidu family for commercial production.  Vineyard is fenced off from dwelling and short-term rental tenants are not allowed access to the vineyard.  No alarm and no prior losses.  Agent requested to include liability and a TBE."/>
    <x v="2"/>
    <s v="Based on mapping location provided by the agency, home has a lengthy and fairly narrow road leading to it from the road address provided.  This combined with short term vacation rental status and proximity to vineyard ops are reasons for decline."/>
    <s v="Ins score is No Hit"/>
    <m/>
    <s v="Bach"/>
  </r>
  <r>
    <x v="108"/>
    <x v="0"/>
    <s v="CO"/>
    <s v="Leslie"/>
    <m/>
    <s v="Cauley"/>
    <s v="Robert"/>
    <s v="HO3 Primary"/>
    <s v="Ohio City"/>
    <s v="CO"/>
    <s v="81237"/>
    <n v="9"/>
    <n v="261000"/>
    <n v="470000"/>
    <x v="5"/>
    <s v="Home built in 1905 w/ comp updates noted on app.  Location is 21 miles or 30 mins from responding FD in Gunnison, CO.  Agent has is listed as a PC=9 but based on distance to FD, it is a PC=10.  Not visible to neighbors and located north of small town of Ohio City on dirt road.  No CSA.  $1K AOP and $1K W/H deds."/>
    <x v="2"/>
    <s v="Declined due to remote location, lack of proven updates, and distance to responding FD."/>
    <s v="Ins score is G"/>
    <m/>
    <s v="Bach"/>
  </r>
  <r>
    <x v="108"/>
    <x v="0"/>
    <s v="MI"/>
    <s v="Nicole"/>
    <m/>
    <s v="Pratt"/>
    <s v="Allison"/>
    <s v="HO3 Primary"/>
    <s v="Crozet"/>
    <s v="VA"/>
    <s v="22932"/>
    <n v="10"/>
    <n v="1775000"/>
    <n v="3195000"/>
    <x v="5"/>
    <s v="1988 year built with full roof updated in 2015. CS fire and burglar alarms. PC 10. Business hours responding FD is paid, after hours responding FD is volunteer. Mailing address showed a WY address, but Burns confirm this is new purchase and they are moving to VA."/>
    <x v="0"/>
    <s v="Approved terms as quoted"/>
    <m/>
    <m/>
    <s v="Busse"/>
  </r>
  <r>
    <x v="108"/>
    <x v="8"/>
    <s v="CO"/>
    <s v="Allison"/>
    <m/>
    <s v="Sifuentes"/>
    <s v="Sandra &amp; Rolando Pichardo Ramirez"/>
    <s v="HO3 Primary"/>
    <s v="Longmont"/>
    <s v="CO"/>
    <s v="80504"/>
    <n v="2"/>
    <n v="315000"/>
    <n v="680000"/>
    <x v="2"/>
    <s v="1973 year built with following complete updates: roof 2012, wiring and plumbing 1995, and heating 2005. There is t-lock roof, so roof exclusion is being applied. Larger fire loss $43,989 - caused by inadequate flue pipe clearance between flue and frame wall. The insured built the woodstove last year in the detached garage. Other structures have been excluded as no confirmation of garage being rebuilt has been confirmed. Asked if rebuilt can the other structures limit be added at $50,000."/>
    <x v="0"/>
    <s v="Advised confirmation should be received if garage has been rebuilt, and if not, should be excluded. Advised we will only want to provide  coverage once completely repaired. Approved subject to: roof exclusion as noted, confirmation of repaired damage, confirmation if a WBS is still being sued and if so an inspection should be received confirming all clearances and installation is adequate. "/>
    <m/>
    <m/>
    <s v="Busse"/>
  </r>
  <r>
    <x v="108"/>
    <x v="0"/>
    <s v="MI"/>
    <s v="Leslie"/>
    <m/>
    <s v="Aulsebrook"/>
    <s v="Jennifer &amp; John"/>
    <s v="DP3 Vacant"/>
    <s v="Lake George"/>
    <s v="CO"/>
    <s v="80827"/>
    <n v="9"/>
    <n v="300000"/>
    <n v="335000"/>
    <x v="11"/>
    <s v="Burns sent this over to just ask a question. Vacant risk with a WBS. Requesting the wood stove not be used in lieu of the WBS quest. Insured advised the do not have any info on the installation as it was present before they purchased the property. "/>
    <x v="3"/>
    <s v="Advised that we will not allow that exception. The WBS must either be removed, or a WBS quest must be completed. Advised that the insured doesn't have to be the one to complete it, and that a licensed professional can also complete the form. "/>
    <m/>
    <m/>
    <s v="Busse"/>
  </r>
  <r>
    <x v="108"/>
    <x v="0"/>
    <s v="MI"/>
    <s v="Jill"/>
    <m/>
    <s v="Fox"/>
    <s v="Ronald"/>
    <s v="HO3 Primary"/>
    <s v="North Loup"/>
    <s v="NE"/>
    <s v="68859"/>
    <n v="5"/>
    <n v="197000"/>
    <n v="394000"/>
    <x v="4"/>
    <s v="1950 year built with updates to systems in 1980 and roof in 2014. Insured owns small auto sales business. There is a building for the auto dealership, a garage for the business and some carports. There is a GL in place. 20 people per month listed on bus quest. No other employees. "/>
    <x v="1"/>
    <s v="TBE already applied. Approved terms subject to adding a building exclusion for all structures related to the business."/>
    <m/>
    <m/>
    <s v="Busse"/>
  </r>
</pivotCacheRecords>
</file>

<file path=xl/pivotCache/pivotCacheRecords4.xml><?xml version="1.0" encoding="utf-8"?>
<pivotCacheRecords xmlns="http://schemas.openxmlformats.org/spreadsheetml/2006/main" xmlns:r="http://schemas.openxmlformats.org/officeDocument/2006/relationships" count="3755">
  <r>
    <x v="0"/>
    <s v="RPS Covington"/>
    <s v="LA"/>
    <s v="Hillary"/>
    <m/>
    <s v="TBD"/>
    <m/>
    <x v="0"/>
    <s v="Lacombe"/>
    <x v="0"/>
    <m/>
    <x v="0"/>
    <x v="0"/>
    <x v="0"/>
    <s v="Business on Premises"/>
    <s v="Only info provided is that risk is in Lacombe LA and has 6 beehives."/>
    <x v="0"/>
    <s v="Asked additional info about species of bees and whether this is a business. May apply Total Biz Excl or liab surcharge.// Honey bees only. Personal use only - no business. 10% surcharge applied."/>
    <m/>
    <m/>
    <s v="Patterson"/>
    <m/>
    <m/>
    <n v="0"/>
  </r>
  <r>
    <x v="1"/>
    <s v="Hull Irvine"/>
    <s v="CA"/>
    <s v="Gina"/>
    <m/>
    <s v="Tripathi"/>
    <s v="Burton &amp; Daniel"/>
    <x v="0"/>
    <s v="Santa Clarita"/>
    <x v="1"/>
    <s v="91387"/>
    <x v="1"/>
    <x v="0"/>
    <x v="0"/>
    <s v="Prior Lapse/NRN"/>
    <s v="This risk is being non-renewed by Lex due to their recent dual access requirement. PPC is a split, agent was asking if that is OK with our new guidelines"/>
    <x v="1"/>
    <s v="Declined per updated guidelines, split PCs no longer eligible."/>
    <m/>
    <m/>
    <s v="Busse"/>
    <m/>
    <m/>
    <n v="1"/>
  </r>
  <r>
    <x v="2"/>
    <s v="Hull Horsham"/>
    <s v="PA"/>
    <s v="Tamika"/>
    <m/>
    <s v="2100-2112 Sansom St"/>
    <m/>
    <x v="0"/>
    <s v="Philadelphia"/>
    <x v="2"/>
    <m/>
    <x v="0"/>
    <x v="0"/>
    <x v="0"/>
    <s v="Other UW Reason"/>
    <s v="Townhouse in Philly.  The 2112 portion of the townhouse has an archway at ground level that permits cars to pass through to the rear of the property. Besides access for the 2110-2112 Sansom St. home, the archway permits access to parking for several other adjacent homes. The right of access for the other homes is preserved via a Declaration of Easement.  Contained in the easement, there is a stated requirement that the owner of  2110-2112 Sansom St. home endorses as Additional Insureds those property owners onto their Homeowners Liability section. "/>
    <x v="1"/>
    <s v="We won't list multiple individuals as addl insureds. Also concern about the phys dmg exposure of multiple cars driving through.  Could possibly rate for that, but other issues we can't do."/>
    <m/>
    <m/>
    <s v="Patterson"/>
    <m/>
    <m/>
    <n v="1"/>
  </r>
  <r>
    <x v="3"/>
    <s v="JM Wilson"/>
    <s v="MI"/>
    <s v="Lori"/>
    <s v="Call"/>
    <s v="Not provided"/>
    <m/>
    <x v="0"/>
    <m/>
    <x v="3"/>
    <m/>
    <x v="0"/>
    <x v="0"/>
    <x v="0"/>
    <s v="Losses"/>
    <s v="Insured had 2 prior fire losses in 4 years.  Both were totals. $350K chimney; $600K+ garage. Score is &quot;P&quot;."/>
    <x v="1"/>
    <s v="Low score, 2 fire losses."/>
    <m/>
    <m/>
    <s v="Patterson"/>
    <m/>
    <m/>
    <n v="1"/>
  </r>
  <r>
    <x v="4"/>
    <s v="JM Wilson"/>
    <s v="MI"/>
    <s v="Cheryl"/>
    <m/>
    <s v="Seiflow"/>
    <s v="Gerald"/>
    <x v="0"/>
    <s v="Lake Villa"/>
    <x v="4"/>
    <s v="60046"/>
    <x v="0"/>
    <x v="0"/>
    <x v="0"/>
    <s v="Losses"/>
    <s v="Agent provided two applications, one for primary home and one for secondary. They also advised that they may want to quote the applicants condo as well. Applications had the same info across both. 3 losses, 49k hail in 2015, 19k hail/wind 2018 and 6k pipe break 2018. "/>
    <x v="2"/>
    <s v="Advised that we could get comfortable with the risk, however, would need correct and complete apps for both properties, along with premium for each. Advised we may consider either a higher deductible or increased surcharge due to losses. "/>
    <m/>
    <m/>
    <s v="Busse"/>
    <m/>
    <m/>
    <n v="0"/>
  </r>
  <r>
    <x v="5"/>
    <s v="AmWINS"/>
    <s v="TN"/>
    <s v="Ryan"/>
    <m/>
    <s v="TBD"/>
    <m/>
    <x v="0"/>
    <m/>
    <x v="5"/>
    <m/>
    <x v="0"/>
    <x v="0"/>
    <x v="0"/>
    <s v="Condition"/>
    <s v="1940 home completely gutted/updated in 2016. Foundation is pier &amp; beam, no enclosed in brick. Insd purchased in 2017. Has clear inspection."/>
    <x v="3"/>
    <s v="General question, but this does relate to a specific risk.  Advised Ryan of pier &amp; beam issues. We discussed on the phone and he is going to closely review the 2017 inspection and order a 3rd party inspection to make sure no issues. "/>
    <m/>
    <m/>
    <s v="Patterson"/>
    <m/>
    <m/>
    <n v="0"/>
  </r>
  <r>
    <x v="6"/>
    <s v="Hull Irvine"/>
    <s v="CA"/>
    <s v="Melissa"/>
    <m/>
    <s v="Martin"/>
    <s v="Stephen"/>
    <x v="0"/>
    <s v="Napa"/>
    <x v="1"/>
    <s v="94559"/>
    <x v="2"/>
    <x v="0"/>
    <x v="0"/>
    <s v="Business on Premises"/>
    <s v="1961 home w/2000 roof update. Prior claim for pool damage - closed - $671. WRS 6. Beauty salon in front of house. Separate entrance per sketch. 4 contractors rent chairs. 15 customers/day. No tanning, waxing, nails. "/>
    <x v="3"/>
    <s v="Asked for all the business info we need. Also for app, risk meter, older home app. // 5/3/19 MP received info on risk. Separate entrance, 15 customers/day by appointment. Has GL in place-agt confirming liab and phys dmg.  Approved as policy has business excl, prof services excl, adding TBE. There is a separate entrance. "/>
    <m/>
    <m/>
    <s v="Patterson"/>
    <m/>
    <m/>
    <n v="0"/>
  </r>
  <r>
    <x v="7"/>
    <s v="XS Brokers"/>
    <s v="MA"/>
    <s v="Le "/>
    <m/>
    <s v="Correa"/>
    <s v="James"/>
    <x v="0"/>
    <m/>
    <x v="6"/>
    <m/>
    <x v="0"/>
    <x v="0"/>
    <x v="0"/>
    <s v="Condition"/>
    <s v="1920 home in Maine with 19 year old flat roof. Agt making sure the $5K Roof And Ensuing Water Dmg form is okay. "/>
    <x v="3"/>
    <s v="Advised partner of UW guidelines for 19 year old roof. Also advised there are other age criteria. Feel free to send app and rater and we can discuss. Felt comfortable addressing the basic question about the roof without requiring a full submission."/>
    <m/>
    <m/>
    <s v="Patterson"/>
    <m/>
    <m/>
    <n v="0"/>
  </r>
  <r>
    <x v="8"/>
    <s v="JM Wilson"/>
    <s v="MI"/>
    <s v="John"/>
    <m/>
    <m/>
    <m/>
    <x v="0"/>
    <m/>
    <x v="3"/>
    <m/>
    <x v="0"/>
    <x v="0"/>
    <x v="0"/>
    <s v="Other UW Reason"/>
    <s v="Phone call from John wondering if we would consider a primary homeowner with a gun claim where bags were dropped on a bed on top  of the gun and it went off and hit someone. "/>
    <x v="1"/>
    <s v="They wanted liability and I noted we would be more comfortable without liability. It is a sign of careless storage of a loaded weapon on top of the bed."/>
    <m/>
    <m/>
    <s v="Lazovik"/>
    <m/>
    <m/>
    <n v="1"/>
  </r>
  <r>
    <x v="9"/>
    <s v="SCU"/>
    <s v="CO"/>
    <s v="Allison"/>
    <m/>
    <s v="Lacey"/>
    <s v="Michael"/>
    <x v="0"/>
    <s v="Phoenix"/>
    <x v="7"/>
    <m/>
    <x v="0"/>
    <x v="0"/>
    <x v="0"/>
    <s v="High Profile"/>
    <s v="Insured's business has federal lawsuits and charges of human trafficking and money laundering. Numerous articles over the past couple of years. Case still pending."/>
    <x v="1"/>
    <s v="SCU was checking with a very general inquiry with no attachments. "/>
    <m/>
    <m/>
    <s v="Patterson"/>
    <m/>
    <m/>
    <n v="1"/>
  </r>
  <r>
    <x v="10"/>
    <s v="Hull Irvine"/>
    <s v="CA"/>
    <s v="Alex"/>
    <s v="Call/Email"/>
    <s v="Matson"/>
    <s v="Dave"/>
    <x v="0"/>
    <m/>
    <x v="1"/>
    <m/>
    <x v="0"/>
    <x v="0"/>
    <x v="0"/>
    <s v="Business on Premises"/>
    <s v="Workshop 200' from home used to service machinery from insured's business."/>
    <x v="3"/>
    <s v="Exclude the workshop and add TBE. Insured has the structure insured under his business policy."/>
    <s v=" "/>
    <m/>
    <s v="Patterson"/>
    <m/>
    <m/>
    <n v="0"/>
  </r>
  <r>
    <x v="11"/>
    <s v="Hull Irvine"/>
    <s v="CA"/>
    <s v="Alex"/>
    <s v="Email"/>
    <s v="Price"/>
    <s v="Derek"/>
    <x v="1"/>
    <m/>
    <x v="3"/>
    <m/>
    <x v="0"/>
    <x v="0"/>
    <x v="0"/>
    <s v="Occupancy/Use"/>
    <s v="This is a builders risk that will be the insured's primary home when 7 month renovation is completed. Annual policy written. Insured leaving $50K contents there. Some in locked rooms (they have only key) and some in a shipping container in their driveway. "/>
    <x v="3"/>
    <s v="If shipping container is locked (only key is w/insured), cant easily be towed away, and contents in it make sense (i.e. furniture, not jewelry and fine arts - which might be a moral hazard)."/>
    <m/>
    <m/>
    <s v="Patterson"/>
    <m/>
    <m/>
    <n v="0"/>
  </r>
  <r>
    <x v="12"/>
    <s v="JM Wilson"/>
    <s v="MI"/>
    <s v="Lori"/>
    <s v="Call"/>
    <s v="TBD"/>
    <m/>
    <x v="2"/>
    <m/>
    <x v="7"/>
    <m/>
    <x v="0"/>
    <x v="0"/>
    <x v="0"/>
    <s v="Heat Source"/>
    <s v="Home is rented to daughter as her full time residence. Heat source is a non-thermostatically controlled butane gas 3 burner heating unit. "/>
    <x v="2"/>
    <s v="Unknown what city in AZ - are there freeze days? If not, we may be able to accept a non-thermostatically controlled heater. If so, we can't write it.  Agent will get more info and submit is she feels it is acceptable."/>
    <m/>
    <m/>
    <s v="Patterson"/>
    <m/>
    <m/>
    <n v="0"/>
  </r>
  <r>
    <x v="13"/>
    <s v="Hull Irvine"/>
    <s v="CA"/>
    <s v="Alison"/>
    <s v="Call"/>
    <s v="Hildebrand"/>
    <s v="Madison"/>
    <x v="2"/>
    <s v="West Hollywood"/>
    <x v="1"/>
    <m/>
    <x v="0"/>
    <x v="0"/>
    <x v="0"/>
    <s v="High Profile"/>
    <s v="Insured is on reality show &quot;Million Dollar Listing&quot;. We declined primary due to location, can we write his rental?"/>
    <x v="3"/>
    <s v="Reviewed w/ Louisa - too famous for liability"/>
    <m/>
    <m/>
    <s v="Patterson"/>
    <m/>
    <m/>
    <n v="0"/>
  </r>
  <r>
    <x v="14"/>
    <s v="Hull Irvine"/>
    <s v="CA"/>
    <s v="Alex"/>
    <s v="Call"/>
    <s v="Rotz"/>
    <s v="Von"/>
    <x v="0"/>
    <m/>
    <x v="1"/>
    <m/>
    <x v="0"/>
    <x v="0"/>
    <x v="0"/>
    <s v="Losses"/>
    <s v="Prior $20K loss from smoke/fire caused by dryer. Agent asked for proof, only got loss run with no cause listed. Loss over 4 years ago."/>
    <x v="3"/>
    <s v="Ask for fire marshal report or get confirmation from State Farm of the cause, this is within agent's authority."/>
    <m/>
    <m/>
    <s v="Patterson"/>
    <m/>
    <m/>
    <n v="0"/>
  </r>
  <r>
    <x v="14"/>
    <s v="Hull Irvine"/>
    <s v="CA"/>
    <s v="Alison"/>
    <s v="Call"/>
    <s v="Marella"/>
    <s v="Gary"/>
    <x v="0"/>
    <s v="West Hollywood"/>
    <x v="1"/>
    <m/>
    <x v="0"/>
    <x v="0"/>
    <x v="0"/>
    <s v="High Profile"/>
    <s v="Insured is EVP of Mosley Music. Reviewed online info. No news stories."/>
    <x v="4"/>
    <s v="Not too famous"/>
    <m/>
    <m/>
    <s v="Patterson"/>
    <m/>
    <m/>
    <n v="0"/>
  </r>
  <r>
    <x v="15"/>
    <s v="Hull Horsham"/>
    <s v="PA"/>
    <s v="Tamika"/>
    <s v="Call"/>
    <s v="TBD"/>
    <m/>
    <x v="1"/>
    <m/>
    <x v="2"/>
    <m/>
    <x v="0"/>
    <x v="0"/>
    <x v="0"/>
    <s v="Builders Risk"/>
    <s v="Ground up construction -insured is a roofer and is acting as the GC, hiring all subs. Have we changed our position?"/>
    <x v="1"/>
    <s v="Still unable to insure risks where insured is the GC."/>
    <s v="Confirmed this is on Bethany's project list."/>
    <m/>
    <s v="Patterson"/>
    <m/>
    <m/>
    <n v="1"/>
  </r>
  <r>
    <x v="16"/>
    <s v="XS Brokers"/>
    <s v="MA"/>
    <s v="Chris"/>
    <s v="Email"/>
    <s v="TBD"/>
    <m/>
    <x v="0"/>
    <m/>
    <x v="3"/>
    <m/>
    <x v="0"/>
    <x v="0"/>
    <x v="0"/>
    <s v="Business on Premises"/>
    <s v="Property includes primary dwelling and guest cottage rented out via AirBnB. Insured has animals - 2 horses, 4 alpacas, ducks, chickens. Can $10K limited animal liab be added?"/>
    <x v="2"/>
    <s v="All personal use? Any interaction by cottage guests? Evaluate and we can decide. Alpacas don't bite per google. Want to make sure this isn't a petting zoo, pony ride exposure for guests."/>
    <m/>
    <m/>
    <s v="Patterson"/>
    <m/>
    <m/>
    <n v="0"/>
  </r>
  <r>
    <x v="17"/>
    <s v="Hull Irvine"/>
    <s v="CA"/>
    <s v="Alison"/>
    <s v="Email"/>
    <s v="Rickenback"/>
    <s v="Robert &amp; Iris"/>
    <x v="3"/>
    <s v="Mammoth"/>
    <x v="1"/>
    <m/>
    <x v="0"/>
    <x v="0"/>
    <x v="0"/>
    <s v="Occupancy/Use"/>
    <s v="Insured is asking for an &quot;AI&quot; US Government c/o Forest Service/HO Association. "/>
    <x v="3"/>
    <s v="Interest is that they own the land and lease it to the HOA.  Ok to add as additional interest, but not additional insured."/>
    <m/>
    <m/>
    <s v="Patterson"/>
    <m/>
    <m/>
    <n v="0"/>
  </r>
  <r>
    <x v="18"/>
    <s v="Hull Irvine"/>
    <s v="CA"/>
    <s v="Alison"/>
    <s v="Email"/>
    <s v="Marshall"/>
    <s v="Rebecca"/>
    <x v="0"/>
    <m/>
    <x v="1"/>
    <m/>
    <x v="0"/>
    <x v="0"/>
    <x v="0"/>
    <s v="High Profile"/>
    <s v="Insured is an actress. Reviewed online info.  She has been in a number of TV series and some movies. Relatively famous."/>
    <x v="3"/>
    <s v="okay excluding liability"/>
    <m/>
    <m/>
    <s v="Patterson"/>
    <m/>
    <m/>
    <n v="0"/>
  </r>
  <r>
    <x v="18"/>
    <s v="Hull Irvine"/>
    <s v="CA"/>
    <s v="Alex"/>
    <s v="Email"/>
    <s v="Moon"/>
    <s v="Callie"/>
    <x v="0"/>
    <m/>
    <x v="1"/>
    <m/>
    <x v="0"/>
    <x v="0"/>
    <x v="0"/>
    <s v="Occupancy/Use"/>
    <s v="Insured wants to write primary with us. They are building a guest house which will be insured separately w/ Scottsdale. "/>
    <x v="3"/>
    <s v="COC must have liability. Apply building exclusion for the guest house under construction."/>
    <m/>
    <m/>
    <s v="Patterson"/>
    <m/>
    <m/>
    <n v="0"/>
  </r>
  <r>
    <x v="19"/>
    <s v="Hull Irvine"/>
    <s v="CA"/>
    <s v="Alison"/>
    <s v="Email"/>
    <s v="Yamini"/>
    <s v="Alex"/>
    <x v="4"/>
    <s v="Pacific Palisades"/>
    <x v="1"/>
    <m/>
    <x v="0"/>
    <x v="0"/>
    <x v="0"/>
    <s v="Losses"/>
    <s v="2 properties on the same street. Agent quoted one as primary one as secondary. Prior loss, insured sued neighbor for playing music too loud. They have since moved out. Insured was reimbursed by Their Own carrier for legal fees."/>
    <x v="2"/>
    <s v="Questioning occupancy.  Once clarified, we can allow a rate quote subj to more info on how the insured's carrier would reimburse them. "/>
    <m/>
    <m/>
    <s v="Patterson"/>
    <m/>
    <m/>
    <n v="0"/>
  </r>
  <r>
    <x v="20"/>
    <s v="JM Wilson"/>
    <s v="MI"/>
    <s v="John"/>
    <s v="Email"/>
    <s v="Bailey"/>
    <s v="Glenn"/>
    <x v="0"/>
    <m/>
    <x v="5"/>
    <m/>
    <x v="0"/>
    <x v="0"/>
    <x v="0"/>
    <s v="Business on Premises"/>
    <s v="Insured has a home on premises w/attached garages. Small office structure at front of property. Runs auto sales business off property. Has a GL. Auto detailing in garage only, no repairs."/>
    <x v="3"/>
    <s v="Add TBE, GL has to stay in place. Advised of limitations of GL with doing car detailing in one of the attached garages."/>
    <m/>
    <m/>
    <s v="Patterson"/>
    <m/>
    <m/>
    <n v="0"/>
  </r>
  <r>
    <x v="21"/>
    <s v="Hull Irvine"/>
    <s v="CA"/>
    <s v="Alison"/>
    <s v="Email"/>
    <s v="Kern"/>
    <s v="Steven"/>
    <x v="0"/>
    <m/>
    <x v="1"/>
    <m/>
    <x v="0"/>
    <x v="0"/>
    <x v="0"/>
    <s v="Prior Lapse/NRN"/>
    <s v="Retail agent sent paperwork today to bind coverage 3/4/18. They included statement of no losses.  Agent asking if they can go back to 3/4/18 as that is the date the insured's coverage expired.  No explanation of why it was one day late.  "/>
    <x v="3"/>
    <s v="Ok w/signed statement of no loss"/>
    <m/>
    <m/>
    <s v="Patterson"/>
    <m/>
    <m/>
    <n v="0"/>
  </r>
  <r>
    <x v="22"/>
    <s v="Hull Irvine"/>
    <s v="CA"/>
    <s v="Alex"/>
    <s v="Call"/>
    <s v="VonNorman"/>
    <s v="James"/>
    <x v="0"/>
    <s v="Santa Rosa Valley"/>
    <x v="1"/>
    <m/>
    <x v="0"/>
    <x v="0"/>
    <x v="0"/>
    <s v="Losses"/>
    <s v="Insured has an open liab claim with $50K in reserves. Policy renewed without liability  3/3/18 w/Lex who is the one handling the claim. Insured did cosmetic reno to whole house w/GC. Never got COC. Sub fell off ladder and is suing the insured. Loss occurred Summer 2016 (almost 2 years) and is still open."/>
    <x v="3"/>
    <s v="Orig app was x-liab. Now that we have info, loss was not really negligence by insured. Open loss can't come back on us. Continuous coverage except liability."/>
    <m/>
    <m/>
    <s v="Patterson"/>
    <m/>
    <m/>
    <n v="0"/>
  </r>
  <r>
    <x v="23"/>
    <s v="Hull Irvine"/>
    <s v="CA"/>
    <s v="Alison"/>
    <s v="Call"/>
    <s v="Shah"/>
    <s v="Sandeep"/>
    <x v="5"/>
    <m/>
    <x v="1"/>
    <m/>
    <x v="0"/>
    <x v="0"/>
    <x v="0"/>
    <s v="Losses"/>
    <s v="2001 dwelling, insured moved out, for sale. 8/17 large water loss. 2nd story bath pipe break $90,000 damage. Agt applying $25K deductible. All copper plumbing."/>
    <x v="4"/>
    <s v="Newer home, one loss, even though large, $25K deductible is comfortable for a home that will be vacant."/>
    <m/>
    <m/>
    <s v="Patterson"/>
    <m/>
    <m/>
    <n v="0"/>
  </r>
  <r>
    <x v="23"/>
    <s v="Hull Irvine"/>
    <s v="CA"/>
    <s v="Alex"/>
    <s v="Email"/>
    <s v="2908 Ocean, LLC"/>
    <s v="2908 Ocean, LLC"/>
    <x v="6"/>
    <s v="Corona Del Mar"/>
    <x v="1"/>
    <m/>
    <x v="0"/>
    <x v="0"/>
    <x v="0"/>
    <s v="Builders Risk"/>
    <s v="2 properties, same LLC,was COC with Zurich, one is 90% done; second is completely done"/>
    <x v="4"/>
    <s v="Photos, PC, LLC ? OK, agt included S/C"/>
    <m/>
    <m/>
    <s v="Burdine"/>
    <m/>
    <m/>
    <n v="0"/>
  </r>
  <r>
    <x v="24"/>
    <s v="Hull Irvine"/>
    <s v="CA"/>
    <s v="Alex"/>
    <s v="Email"/>
    <s v="Martinez"/>
    <s v="Juan"/>
    <x v="3"/>
    <s v="Big Bear City"/>
    <x v="1"/>
    <m/>
    <x v="0"/>
    <x v="0"/>
    <x v="0"/>
    <s v="Prior Lapse/NRN"/>
    <s v="Risk quoted for closing 2/12/18. Insured signed policy docs on 2/26/18. Then they closed and forgot to notify agent. Closing was 3/7/18. Agt followed up and found out they forgot to notify. Lender will force place if no coverage in place."/>
    <x v="3"/>
    <s v="Appears intent was to book 3/7. Have signed statement of no loss."/>
    <m/>
    <m/>
    <s v="Patterson"/>
    <m/>
    <m/>
    <n v="0"/>
  </r>
  <r>
    <x v="25"/>
    <s v="JM Wilson"/>
    <s v="MI"/>
    <s v="John"/>
    <s v="Email"/>
    <s v="Smith"/>
    <s v="Harley"/>
    <x v="2"/>
    <s v="Owosso"/>
    <x v="8"/>
    <m/>
    <x v="0"/>
    <x v="0"/>
    <x v="0"/>
    <s v="Condition"/>
    <s v="Chimney crumbling, roof concerns. Agent asking if we would consider quoting with roof exclusion and existing damage exclusion."/>
    <x v="3"/>
    <s v="Also added water damage exclusion, pending repair or removal of chimney. Insp did not note liab concern w/chimney. "/>
    <m/>
    <m/>
    <s v="Patterson"/>
    <m/>
    <m/>
    <n v="0"/>
  </r>
  <r>
    <x v="26"/>
    <s v="Hull Irvine"/>
    <s v="CA"/>
    <s v="Alex"/>
    <s v="Email"/>
    <s v="Averre"/>
    <s v="Berton"/>
    <x v="0"/>
    <s v="Palisades"/>
    <x v="1"/>
    <m/>
    <x v="0"/>
    <x v="0"/>
    <x v="0"/>
    <s v="High Profile"/>
    <s v="Applicant is possible target. Wanted to check before offering terms"/>
    <x v="4"/>
    <s v="Was a member of band, most hits in 70s/80s. Nothing recent no concerns. Confirmed with LT OK to offer w/ liab"/>
    <m/>
    <m/>
    <s v="Burdine"/>
    <m/>
    <m/>
    <n v="0"/>
  </r>
  <r>
    <x v="26"/>
    <s v="Hull Irvine"/>
    <s v="CA"/>
    <s v="Alison"/>
    <s v="Call"/>
    <s v="Norris"/>
    <s v="Eureka &amp; Whitman, Anthony"/>
    <x v="0"/>
    <m/>
    <x v="1"/>
    <m/>
    <x v="0"/>
    <x v="0"/>
    <x v="0"/>
    <s v="Losses"/>
    <s v="Pol cancelled w/Mercury for material misrep. Prior theft claim, alleged the insured provided erroneous receipts to substantiate loss. Insd disagrees. A second loss for fallen tree was declined. "/>
    <x v="1"/>
    <s v="Insured is suing for the misrep, another sign we don't want to be in the middle of the issue."/>
    <m/>
    <m/>
    <s v="Patterson"/>
    <m/>
    <m/>
    <n v="1"/>
  </r>
  <r>
    <x v="26"/>
    <s v="Hull Irvine"/>
    <s v="CA"/>
    <s v="Alison"/>
    <s v="Call"/>
    <s v="Pomee"/>
    <s v="Lorie"/>
    <x v="0"/>
    <m/>
    <x v="1"/>
    <m/>
    <x v="0"/>
    <x v="0"/>
    <x v="0"/>
    <s v="Condition"/>
    <s v="Nice looking home. Insd is a landscaper and has some business storage on premises. Back yard is messy per insp sent."/>
    <x v="2"/>
    <s v="Find out more info on the business. Also, looks like backyard is being re-landscaped. Agt will verify. Looks like a nice house, would be okay with tidying up. Total Business Exclusion could apply."/>
    <m/>
    <m/>
    <s v="Patterson"/>
    <m/>
    <m/>
    <n v="0"/>
  </r>
  <r>
    <x v="27"/>
    <s v="Hull Irvine"/>
    <s v="CA"/>
    <s v="Bobbi"/>
    <s v="Email"/>
    <s v="Skytt"/>
    <s v="Jennifer"/>
    <x v="2"/>
    <s v="Solvang"/>
    <x v="1"/>
    <m/>
    <x v="0"/>
    <x v="0"/>
    <x v="0"/>
    <s v="Builders Risk"/>
    <s v="Insured has primary with us. Policy extended liab to a vacant piece of land. Insured started construction of a duplex on that property in November and is just now looking into getting insurance. BR supplement says work will be completed in May. Unknown how much work is left or if we will retain policy."/>
    <x v="2"/>
    <s v="Will we retain? How much work is left? May consider if we will retain even though close to completion.  Apply adequate s/c to make up for missing out on initial building."/>
    <m/>
    <m/>
    <s v="Patterson"/>
    <m/>
    <m/>
    <n v="0"/>
  </r>
  <r>
    <x v="28"/>
    <s v="Hull Irvine"/>
    <s v="CA"/>
    <s v="Alison"/>
    <s v="Email"/>
    <s v="Granite Peak Resorts "/>
    <m/>
    <x v="2"/>
    <s v="Yosemite"/>
    <x v="1"/>
    <m/>
    <x v="3"/>
    <x v="0"/>
    <x v="0"/>
    <s v="Other UW Reason"/>
    <s v="7 units in Yosemite park. Agent says PC6. Experience w/other risks is that there is 30 min response. Probably brush. Letter provided of excellent fire protection and mitigation."/>
    <x v="3"/>
    <s v="Confirm clearance, confirm PC."/>
    <m/>
    <m/>
    <s v="Patterson"/>
    <m/>
    <m/>
    <n v="0"/>
  </r>
  <r>
    <x v="29"/>
    <s v="Hull Horsham"/>
    <s v="NJ"/>
    <s v="Sonia"/>
    <s v="Email"/>
    <s v="Granelli"/>
    <s v="Michael"/>
    <x v="5"/>
    <m/>
    <x v="3"/>
    <m/>
    <x v="0"/>
    <x v="0"/>
    <x v="0"/>
    <s v="Losses"/>
    <s v="Policy RUA19821-open large water loss"/>
    <x v="3"/>
    <s v="$10,000 Water Damage Deductible and surcharged the premium an additional 25% as suggested by agt  "/>
    <m/>
    <m/>
    <s v="Burdine"/>
    <m/>
    <m/>
    <n v="0"/>
  </r>
  <r>
    <x v="30"/>
    <s v="Hull Stockton"/>
    <s v="CA"/>
    <s v="Kirk"/>
    <s v="Email"/>
    <s v="Beauchamp"/>
    <s v="David"/>
    <x v="0"/>
    <s v="Strawberry"/>
    <x v="1"/>
    <m/>
    <x v="0"/>
    <x v="0"/>
    <x v="0"/>
    <s v="Losses"/>
    <s v="Open theft claim from 01/24/2018, almost closed; currently $1200 paid. "/>
    <x v="3"/>
    <s v="Advised that can move forward with list from insured that was sent to current carrier with contents that were claimed in loss"/>
    <m/>
    <m/>
    <s v="Burdine"/>
    <m/>
    <m/>
    <n v="0"/>
  </r>
  <r>
    <x v="31"/>
    <s v="RPS Covington"/>
    <s v="LA"/>
    <s v="Hillary"/>
    <s v="Email"/>
    <s v="Patterson LA risk"/>
    <m/>
    <x v="0"/>
    <s v="Patterson"/>
    <x v="0"/>
    <m/>
    <x v="0"/>
    <x v="0"/>
    <x v="0"/>
    <s v="Occupancy/Use"/>
    <s v="Dwelling and guest house on same property. Mom lives in guest house rent free. "/>
    <x v="3"/>
    <s v="Write on HO-3. No HO-4 needed for mom. Confirm there are railings on the guest house deck."/>
    <m/>
    <m/>
    <s v="Patterson"/>
    <m/>
    <m/>
    <n v="0"/>
  </r>
  <r>
    <x v="31"/>
    <s v="Hull Irvine"/>
    <s v="CA"/>
    <s v="Alison"/>
    <s v="Call"/>
    <s v="TBD"/>
    <m/>
    <x v="2"/>
    <s v="Malibu"/>
    <x v="1"/>
    <m/>
    <x v="0"/>
    <x v="0"/>
    <x v="0"/>
    <s v="Occupancy/Use"/>
    <s v="Insured has a dwelling, hobby farm and crane business on this property. His workers stay in the dwelling. Can this go on a DP-3?"/>
    <x v="1"/>
    <s v="This is a commercial exposure. This isn't residential rental, it's housing for workers and the businesses are on the same property."/>
    <m/>
    <m/>
    <s v="Patterson"/>
    <m/>
    <m/>
    <n v="1"/>
  </r>
  <r>
    <x v="32"/>
    <s v="Hull Irvine"/>
    <s v="CA"/>
    <s v="Alison"/>
    <s v="Email/Call"/>
    <s v="Pearring"/>
    <s v="Jerry"/>
    <x v="0"/>
    <m/>
    <x v="1"/>
    <m/>
    <x v="0"/>
    <x v="0"/>
    <x v="0"/>
    <s v="Losses"/>
    <s v="Insured's dog got loose and attacked a small dog who was being walked by a woman who fell and hurt her knee. $70K open reserves. Dog is a Husky mix, now kept in back yard.  "/>
    <x v="3"/>
    <s v="Since this is not a bite, we may not have the protection of the exclusions of the Limited Animal Liab form. Approved with the Animal exclusion."/>
    <m/>
    <m/>
    <s v="Patterson"/>
    <m/>
    <m/>
    <n v="0"/>
  </r>
  <r>
    <x v="33"/>
    <s v="Hull Horsham"/>
    <s v="NJ"/>
    <s v="Tamika"/>
    <s v="Call"/>
    <s v="Eivich"/>
    <s v="Edward"/>
    <x v="7"/>
    <s v="Mantua"/>
    <x v="9"/>
    <m/>
    <x v="0"/>
    <x v="0"/>
    <x v="0"/>
    <s v="Occupancy/Use"/>
    <s v="Dwelling has an attached flat roof garage.  The roof is in poor condition but will be replaced within 60 days of closing.  Agent called back later and advised that the insured will be renting out the large 3 bay garage to a commercial enterprise of some sort, maybe a trucking company. Online photo link in agency file."/>
    <x v="0"/>
    <s v="Attach the roof exclusion but indicate on the dec that it applies to the garage roof only. // With updated info about the business rental, the risk was declined. Advised a commercial policy is more appropriate.// Agent emailed. They have in writing that the insured will not rent out to any businesses.  The garage will only be used by the tenants."/>
    <m/>
    <m/>
    <s v="Patterson"/>
    <m/>
    <m/>
    <n v="0"/>
  </r>
  <r>
    <x v="34"/>
    <s v="Hull Irvine"/>
    <s v="CA"/>
    <s v="Alison"/>
    <s v="Email"/>
    <s v="Olansky Investments, LLC"/>
    <m/>
    <x v="2"/>
    <s v="Santa Barbara"/>
    <x v="1"/>
    <m/>
    <x v="0"/>
    <x v="0"/>
    <x v="0"/>
    <s v="Losses"/>
    <s v="Dwelling suffered a prior mold claim 2.5 years ago.  Mold was professionally remediated.  Mold report includes several recs to prevent future water/mold issues. No info on whether these were addressed. 1969 Dwelling with $5K mold coverage."/>
    <x v="1"/>
    <s v="Although we allow mold covg if mold is prof remediated, it should be confirmed that the recs listed were complied with before any covg is bound."/>
    <m/>
    <m/>
    <s v="Patterson"/>
    <m/>
    <m/>
    <n v="1"/>
  </r>
  <r>
    <x v="35"/>
    <s v="Hull Horsham"/>
    <s v="PA"/>
    <s v="Tamika"/>
    <s v="Call"/>
    <s v="TBD"/>
    <m/>
    <x v="1"/>
    <m/>
    <x v="3"/>
    <m/>
    <x v="0"/>
    <x v="0"/>
    <x v="0"/>
    <s v="Builders Risk"/>
    <s v="Dwelling in average condition but has basement covered in mold which agent says is due to not using correct drywall and house was closed up. Insured doing the clean up and replacing roof. Sketchy on what other updates being done other than paint. No GC at this point. Agent is saying &quot;minor cosmetic&quot; which we know is vague."/>
    <x v="2"/>
    <s v="Advised Tamika to find out what the updates are that are being done. If only roof and mold, apply water damage exclusion, roof exclusion, and mold exclusion. We would not require a GC but we would require this work be done by a professional. If more than that, if any kitchens or baths, more than floor and paint, they must have a GC."/>
    <m/>
    <m/>
    <s v="Burdine"/>
    <m/>
    <m/>
    <n v="0"/>
  </r>
  <r>
    <x v="36"/>
    <s v="RPS Covington"/>
    <s v="LA"/>
    <s v="Hillary"/>
    <s v="Email"/>
    <s v="TBD"/>
    <m/>
    <x v="0"/>
    <s v="New Orleans"/>
    <x v="0"/>
    <m/>
    <x v="0"/>
    <x v="0"/>
    <x v="0"/>
    <s v="Condition"/>
    <s v="roof that is 25%  covered by man-made concrete shingles and  the other 75% is architectural shingles. The home was built in 1932. The address is 4304 State Street Dr New Orleans La 70125."/>
    <x v="3"/>
    <s v="updates confirmed, roof integrity confirmed"/>
    <m/>
    <m/>
    <s v="Burdine"/>
    <m/>
    <m/>
    <n v="0"/>
  </r>
  <r>
    <x v="37"/>
    <s v="Hull Irvine"/>
    <s v="CA"/>
    <s v="Bobbi"/>
    <s v="Email"/>
    <s v="Not given"/>
    <s v="Not given"/>
    <x v="2"/>
    <s v="San Diego"/>
    <x v="1"/>
    <m/>
    <x v="0"/>
    <x v="0"/>
    <x v="0"/>
    <s v="Occupancy/Use"/>
    <s v="fractionally owned units. The condo/villa is part of an HOA community and our insured would have access to the unit for 5 weeks per year. He wants to short term rent it for a few of those weeks when he’s not using the unit."/>
    <x v="1"/>
    <s v="Advised not fit our short-term rental market sign more of a &quot;time-share&quot;"/>
    <m/>
    <m/>
    <s v="Burdine"/>
    <m/>
    <m/>
    <n v="1"/>
  </r>
  <r>
    <x v="38"/>
    <s v="ASL"/>
    <s v="VA"/>
    <s v="Charity"/>
    <s v="Email"/>
    <s v="Jordan"/>
    <s v="Curtis"/>
    <x v="2"/>
    <s v="Virginia Beach"/>
    <x v="10"/>
    <m/>
    <x v="0"/>
    <x v="0"/>
    <x v="0"/>
    <s v="High Profile"/>
    <s v="Request to insure 2 rental dwellings including premises liab. Insd is high profile former WA Redskins player. Also in the news for 2015 assault of girlfriend. He will stand trial shortly. Online articles reviewed."/>
    <x v="1"/>
    <s v="Referred to Louisa with rec to decline the risks.  She agreed.  We fully declined due to high profile and the details of the case."/>
    <m/>
    <m/>
    <s v="Patterson"/>
    <m/>
    <m/>
    <n v="1"/>
  </r>
  <r>
    <x v="39"/>
    <s v="JM Wilson"/>
    <s v="MI"/>
    <s v="John"/>
    <s v="Email"/>
    <s v="Vinny Inc"/>
    <s v="Vinny Inc"/>
    <x v="2"/>
    <s v="Wilmington"/>
    <x v="11"/>
    <m/>
    <x v="0"/>
    <x v="0"/>
    <x v="0"/>
    <s v="Occupancy/Use"/>
    <s v="multilocation rental, interested in scheduing on one policy"/>
    <x v="3"/>
    <s v="advised can do schedules, as long as system can handle it"/>
    <m/>
    <m/>
    <s v="Burdine"/>
    <m/>
    <m/>
    <n v="0"/>
  </r>
  <r>
    <x v="40"/>
    <s v="XS Brokers"/>
    <m/>
    <m/>
    <m/>
    <m/>
    <m/>
    <x v="8"/>
    <m/>
    <x v="3"/>
    <m/>
    <x v="0"/>
    <x v="0"/>
    <x v="0"/>
    <m/>
    <m/>
    <x v="4"/>
    <m/>
    <m/>
    <m/>
    <s v="Burdine"/>
    <m/>
    <m/>
    <n v="0"/>
  </r>
  <r>
    <x v="41"/>
    <s v="JM Wilson"/>
    <s v="MI"/>
    <s v="Cheryl"/>
    <s v="Email"/>
    <s v="Robinson"/>
    <s v="Katie"/>
    <x v="6"/>
    <m/>
    <x v="12"/>
    <m/>
    <x v="0"/>
    <x v="0"/>
    <x v="0"/>
    <s v="Builders Risk"/>
    <s v="a gentleman who is a licensed contractor, well used to be licensed.  He is building his own home along with a pole shed.  However, he does not own the property he is building on and nothing will be in his name until the home is complete, approximately 1 year from now.  At that time, we will be getting a mortgage"/>
    <x v="1"/>
    <s v="declined, no insurable interest at this stage and insured is the builder"/>
    <m/>
    <m/>
    <s v="Burdine"/>
    <m/>
    <m/>
    <n v="1"/>
  </r>
  <r>
    <x v="42"/>
    <s v="Hull Irvine"/>
    <s v="CA"/>
    <s v="Luke"/>
    <s v="Email"/>
    <s v="1111 Pulali Point Rd."/>
    <m/>
    <x v="0"/>
    <s v="Brinnon "/>
    <x v="13"/>
    <m/>
    <x v="0"/>
    <x v="0"/>
    <x v="0"/>
    <s v="Builders Risk"/>
    <s v="The insured is buying a Honomobo M1 container home.  It is considered a modular.  https://www.honomobo.com/pagem1/. This company manufactures prefab homes out of shipping containers and hooks them up on site.  It sounds like delivery and crane placement are separate."/>
    <x v="0"/>
    <s v="Asked numerous questions. Per UW Decision Doc, we can consider completed ones. Never had a new COC submitted.  Reviewed details with Jeff May and we approved (8/30/18). Crane exposure is typical in home building. May lose the risk after completion, but that happens in builders risk."/>
    <m/>
    <m/>
    <s v="Patterson"/>
    <m/>
    <m/>
    <n v="0"/>
  </r>
  <r>
    <x v="43"/>
    <s v="Hull Stockton"/>
    <s v="CA"/>
    <s v="Kirk"/>
    <s v="Email"/>
    <s v="TBD"/>
    <m/>
    <x v="0"/>
    <m/>
    <x v="3"/>
    <m/>
    <x v="0"/>
    <x v="0"/>
    <x v="0"/>
    <s v="Other UW Reason"/>
    <s v="Home is located on Indian Leased Land and the tribe wants to be an AI"/>
    <x v="1"/>
    <s v="Generally tribal courts have jurisdiction over this land and individuals who reside on it. "/>
    <m/>
    <m/>
    <s v="Patterson"/>
    <m/>
    <m/>
    <n v="1"/>
  </r>
  <r>
    <x v="44"/>
    <s v="Hull Irvine"/>
    <s v="CA"/>
    <s v="Melissa"/>
    <s v="Email"/>
    <s v="Uhlinger"/>
    <s v="Michael"/>
    <x v="8"/>
    <m/>
    <x v="3"/>
    <m/>
    <x v="0"/>
    <x v="0"/>
    <x v="0"/>
    <s v="Other UW Reason"/>
    <s v="Insured wanted to add previous owner as additional insured as they will be financing the home through them."/>
    <x v="4"/>
    <s v="Since it is the insured asking for the additional insured and they are attesting to the financial interest, I’d be comfortable adding the previous owner as additional insured without any documentation. Additional insured gets their name on any claim checks which seems appropriate.  If it was the previous owner asking to be added, I’d make them prove their interest."/>
    <m/>
    <m/>
    <s v="Lazovik"/>
    <m/>
    <m/>
    <n v="0"/>
  </r>
  <r>
    <x v="45"/>
    <s v="Hull Irvine"/>
    <s v="CA"/>
    <s v="Melissa"/>
    <s v="Email"/>
    <s v="Dunbar"/>
    <s v="Ed"/>
    <x v="0"/>
    <m/>
    <x v="3"/>
    <m/>
    <x v="0"/>
    <x v="0"/>
    <x v="0"/>
    <s v="Prior Lapse/NRN"/>
    <s v="Policy lapsed due to lack of funds. Referred to see if we would approve, with a signed no loss, without a lapse"/>
    <x v="4"/>
    <s v="Within guidelines - referral not needed."/>
    <m/>
    <m/>
    <s v="Lazovik"/>
    <m/>
    <m/>
    <n v="0"/>
  </r>
  <r>
    <x v="46"/>
    <s v="Hull Irvine"/>
    <s v="CA"/>
    <s v="Gina"/>
    <s v="Email"/>
    <s v="Stevenson"/>
    <s v="Dane"/>
    <x v="0"/>
    <m/>
    <x v="3"/>
    <m/>
    <x v="0"/>
    <x v="0"/>
    <x v="0"/>
    <s v="Losses"/>
    <s v="Referred because they want to reduce the deductible from $20k for water"/>
    <x v="3"/>
    <s v="Confirm full mitigation measures taken since the large loss."/>
    <m/>
    <m/>
    <s v="Lazovik"/>
    <m/>
    <m/>
    <n v="0"/>
  </r>
  <r>
    <x v="47"/>
    <s v="Hull Irvine"/>
    <s v="CA"/>
    <s v="Melissa"/>
    <s v="Email"/>
    <s v="Day"/>
    <s v="Richard"/>
    <x v="0"/>
    <m/>
    <x v="3"/>
    <m/>
    <x v="0"/>
    <x v="0"/>
    <x v="0"/>
    <s v="Other UW Reason"/>
    <s v="Wanted to know if they could add the property manager as an additional interest. "/>
    <x v="4"/>
    <s v="Additional interest is ok for property manager. Additional insured is not. They are good."/>
    <m/>
    <m/>
    <s v="Lazovik"/>
    <m/>
    <m/>
    <n v="0"/>
  </r>
  <r>
    <x v="48"/>
    <s v="Hull Irvine"/>
    <s v="CA"/>
    <s v="Tina"/>
    <s v="Email"/>
    <s v="Trevino"/>
    <s v="Josie"/>
    <x v="8"/>
    <m/>
    <x v="3"/>
    <m/>
    <x v="0"/>
    <x v="0"/>
    <x v="0"/>
    <s v="Prior Lapse/NRN"/>
    <s v="Requesting a backdate to avoid a lapse. Asked for more information"/>
    <x v="2"/>
    <s v="Need more information about the lapse"/>
    <m/>
    <m/>
    <s v="Lazovik"/>
    <m/>
    <m/>
    <n v="0"/>
  </r>
  <r>
    <x v="48"/>
    <s v="Hull Irvine"/>
    <s v="CA"/>
    <s v="Michelle"/>
    <s v="Email"/>
    <s v="Brady"/>
    <s v="Brian"/>
    <x v="8"/>
    <m/>
    <x v="3"/>
    <m/>
    <x v="0"/>
    <x v="0"/>
    <x v="0"/>
    <s v="Other UW Reason"/>
    <s v="Requesting flat cancellation as insured did not take possession of the house"/>
    <x v="4"/>
    <s v="Never had the home therefore it was never inforce"/>
    <m/>
    <m/>
    <s v="Lazovik"/>
    <m/>
    <m/>
    <n v="0"/>
  </r>
  <r>
    <x v="48"/>
    <s v="JM Wilson"/>
    <s v="MI"/>
    <s v="Cheryl"/>
    <s v="Email"/>
    <s v="Messenger"/>
    <s v="Andrew"/>
    <x v="0"/>
    <m/>
    <x v="3"/>
    <m/>
    <x v="0"/>
    <x v="0"/>
    <x v="0"/>
    <s v="Losses"/>
    <s v="Multiple water losses for this insured. Two on the primary home and one on their secondary home. Cheryl is asking to match a lower quote"/>
    <x v="2"/>
    <s v="Asking for information about the quote."/>
    <m/>
    <m/>
    <s v="Lazovik"/>
    <m/>
    <m/>
    <n v="0"/>
  </r>
  <r>
    <x v="49"/>
    <s v="RPS Covington"/>
    <s v="LA"/>
    <m/>
    <m/>
    <m/>
    <m/>
    <x v="8"/>
    <s v="Orange Beach"/>
    <x v="14"/>
    <m/>
    <x v="0"/>
    <x v="0"/>
    <x v="0"/>
    <m/>
    <s v="Referred due to distance to coast"/>
    <x v="1"/>
    <s v="On a barrier island which is ineligible"/>
    <m/>
    <m/>
    <s v="Lazovik"/>
    <m/>
    <m/>
    <n v="1"/>
  </r>
  <r>
    <x v="50"/>
    <s v="Hull Irvine"/>
    <s v="CA"/>
    <s v="Bobbi"/>
    <s v="Email"/>
    <m/>
    <m/>
    <x v="8"/>
    <m/>
    <x v="3"/>
    <m/>
    <x v="0"/>
    <x v="0"/>
    <x v="0"/>
    <m/>
    <m/>
    <x v="4"/>
    <m/>
    <m/>
    <m/>
    <s v="Lazovik"/>
    <m/>
    <m/>
    <n v="0"/>
  </r>
  <r>
    <x v="51"/>
    <s v="Burns"/>
    <s v="MI"/>
    <s v="Alexa"/>
    <s v="Email"/>
    <s v="Posada"/>
    <s v="Gonzalo"/>
    <x v="0"/>
    <m/>
    <x v="3"/>
    <m/>
    <x v="0"/>
    <x v="0"/>
    <x v="0"/>
    <m/>
    <m/>
    <x v="3"/>
    <m/>
    <m/>
    <m/>
    <s v="Lazovik"/>
    <m/>
    <m/>
    <n v="0"/>
  </r>
  <r>
    <x v="51"/>
    <s v="Hull Irvine"/>
    <s v="CA"/>
    <s v="Alison"/>
    <s v="Email"/>
    <s v="Parseh"/>
    <m/>
    <x v="0"/>
    <m/>
    <x v="3"/>
    <m/>
    <x v="0"/>
    <x v="0"/>
    <x v="0"/>
    <m/>
    <m/>
    <x v="3"/>
    <m/>
    <m/>
    <m/>
    <s v="Lazovik"/>
    <m/>
    <m/>
    <n v="0"/>
  </r>
  <r>
    <x v="51"/>
    <s v="Burns"/>
    <s v="MI"/>
    <s v="Nicole"/>
    <s v="Email"/>
    <s v="Kinder"/>
    <s v="Christopher"/>
    <x v="0"/>
    <m/>
    <x v="3"/>
    <m/>
    <x v="0"/>
    <x v="0"/>
    <x v="0"/>
    <m/>
    <m/>
    <x v="3"/>
    <m/>
    <m/>
    <m/>
    <s v="Lazovik"/>
    <m/>
    <m/>
    <n v="0"/>
  </r>
  <r>
    <x v="52"/>
    <s v="Hull Irvine"/>
    <s v="CA"/>
    <s v="Gina"/>
    <m/>
    <s v="Goad"/>
    <s v="Gregory"/>
    <x v="0"/>
    <m/>
    <x v="1"/>
    <m/>
    <x v="0"/>
    <x v="0"/>
    <x v="0"/>
    <m/>
    <m/>
    <x v="1"/>
    <s v="Do not want to insure home inhabited by minor (and $4M TIV)."/>
    <m/>
    <m/>
    <s v="Lazovik"/>
    <m/>
    <m/>
    <n v="1"/>
  </r>
  <r>
    <x v="53"/>
    <s v="Hull Irvine"/>
    <s v="CA"/>
    <s v="Gina"/>
    <m/>
    <s v="Secrist"/>
    <s v="Marlon &amp; Van"/>
    <x v="0"/>
    <s v="Los Angeles"/>
    <x v="1"/>
    <s v="90031"/>
    <x v="2"/>
    <x v="0"/>
    <x v="0"/>
    <s v="Condition"/>
    <s v="                                                       "/>
    <x v="4"/>
    <s v="These CA hillside homes are typically okay. Advised agent not to make changes, get pics of the piers and we can review if any concern."/>
    <m/>
    <m/>
    <s v="Patterson"/>
    <m/>
    <m/>
    <n v="0"/>
  </r>
  <r>
    <x v="54"/>
    <s v="Hull Irvine"/>
    <s v="CA"/>
    <s v="Gina"/>
    <m/>
    <s v="Gardner"/>
    <s v="Robert"/>
    <x v="0"/>
    <s v="June Lake"/>
    <x v="1"/>
    <s v="93529"/>
    <x v="0"/>
    <x v="0"/>
    <x v="0"/>
    <s v="Other UW Reason"/>
    <s v="Home has a fireplace insert. Agent was not familiar with underwriting them."/>
    <x v="3"/>
    <s v="Professionally installed ok. Advised we need annual cleaning."/>
    <m/>
    <m/>
    <s v="Patterson"/>
    <m/>
    <m/>
    <n v="0"/>
  </r>
  <r>
    <x v="55"/>
    <s v="Burns"/>
    <s v="MI"/>
    <s v="Alexa"/>
    <m/>
    <s v="TBD Agents for Christ Residential Program"/>
    <m/>
    <x v="2"/>
    <m/>
    <x v="15"/>
    <m/>
    <x v="0"/>
    <x v="0"/>
    <x v="0"/>
    <s v="Business on Premises"/>
    <s v="The insured’s run a discipleship out of their home for 8 continuous months of the year. Their organization is called Agents for Christ. Participants are usually all adults (over the age of 18) and although it does vary, they average about 4-6 participants per year. The participants live in the home with the insured’s during these 8 months and go through a serious of classes if you will on how to spread the word of God. There are no events so-to-speak. The insured’s do have CGL through Brotherhood Mutual which also includes Sexual Misconduct and Professional Liability."/>
    <x v="2"/>
    <s v="Possibly with TBE if description is accurate. Liability is a maybe. Sounds like low phys dmg exposure if it is as described. Has to be DP3 due to roomer/boarder limits in HO3"/>
    <m/>
    <m/>
    <s v="Patterson"/>
    <m/>
    <m/>
    <n v="0"/>
  </r>
  <r>
    <x v="55"/>
    <s v="Hull Irvine"/>
    <s v="CA"/>
    <s v="Michelle"/>
    <m/>
    <s v="Bowen"/>
    <s v="Ed &amp; Brenda"/>
    <x v="0"/>
    <s v="Paradise"/>
    <x v="1"/>
    <s v="95969"/>
    <x v="0"/>
    <x v="0"/>
    <x v="0"/>
    <s v="Losses"/>
    <s v="New bind request for a risk in Paradise that suffered smoke damage. Agent referred asking if CAT claim had to be surcharged.  "/>
    <x v="1"/>
    <s v="Advised we are declining due to open loss and that we are reviewing our exposure in the area (per Jeff) may not write in Paradise."/>
    <m/>
    <m/>
    <s v="Patterson"/>
    <m/>
    <m/>
    <n v="1"/>
  </r>
  <r>
    <x v="56"/>
    <s v="Burns"/>
    <s v="MI"/>
    <s v="Delta"/>
    <s v="Email"/>
    <s v="Rodriguez, Maria"/>
    <m/>
    <x v="0"/>
    <m/>
    <x v="3"/>
    <m/>
    <x v="0"/>
    <x v="0"/>
    <x v="0"/>
    <s v="Fireplace primary heat"/>
    <s v="Delta advised inspection revealed primary heat is fireplace insert. She is verifying DNOC is the proper action. "/>
    <x v="4"/>
    <m/>
    <m/>
    <m/>
    <s v="Patterson"/>
    <m/>
    <m/>
    <n v="0"/>
  </r>
  <r>
    <x v="56"/>
    <s v="Hull Horsham"/>
    <m/>
    <s v="Nichole/Andrea"/>
    <s v="Email"/>
    <s v="Bayview Drive Trust "/>
    <m/>
    <x v="2"/>
    <s v="Bar Harbor"/>
    <x v="6"/>
    <m/>
    <x v="4"/>
    <x v="0"/>
    <x v="0"/>
    <s v="2 rentals on same property"/>
    <s v="Insured has 2 rentals. Agent asking to place on same property. PC10"/>
    <x v="0"/>
    <s v="Asked for more info on PC10 and numerous questions about dwellings to determine if they can go on same policy or if it should be separate."/>
    <s v="Numerous emails finally resolved."/>
    <m/>
    <s v="Patterson"/>
    <m/>
    <m/>
    <n v="0"/>
  </r>
  <r>
    <x v="57"/>
    <s v="Hull Irvine"/>
    <m/>
    <s v="Alex"/>
    <s v="Call"/>
    <s v="Ghouth, Saad"/>
    <m/>
    <x v="5"/>
    <m/>
    <x v="3"/>
    <m/>
    <x v="0"/>
    <x v="0"/>
    <x v="0"/>
    <s v="Vacancy clause/occupancy"/>
    <s v="Rated as vacant. Insd lives in home 3 months during summer, otherwise out of state. Good precautions (alarm, water off, cameras.) Gardener there weekly. Son checks on weekly. Existing policy."/>
    <x v="4"/>
    <m/>
    <m/>
    <m/>
    <s v="Patterson"/>
    <m/>
    <m/>
    <n v="0"/>
  </r>
  <r>
    <x v="58"/>
    <s v="Bolton"/>
    <s v="AL"/>
    <s v="Janet"/>
    <s v="Email"/>
    <m/>
    <m/>
    <x v="8"/>
    <m/>
    <x v="3"/>
    <m/>
    <x v="0"/>
    <x v="0"/>
    <x v="0"/>
    <s v="Log homes"/>
    <s v="Janet inquired whether we write log homes and what our underwriting and rating direction is. Discussed in response."/>
    <x v="3"/>
    <s v="Review Cov A;  get manufacturer/builder name; 10% s/c in rater."/>
    <m/>
    <m/>
    <s v="Patterson"/>
    <m/>
    <m/>
    <n v="0"/>
  </r>
  <r>
    <x v="58"/>
    <s v="Hull Irvine"/>
    <m/>
    <s v="Alison"/>
    <s v="Email"/>
    <s v="Tehranchi, Kambiz"/>
    <m/>
    <x v="0"/>
    <m/>
    <x v="3"/>
    <m/>
    <x v="0"/>
    <x v="0"/>
    <x v="0"/>
    <s v="Bankruptcy"/>
    <s v="Agent applied in Jan 2016 for coverage. We found vague online info, asked questions, and no reply was received. Now retailer wants quote again stating bankruptcy was ch 11, business related, not a concern."/>
    <x v="1"/>
    <s v="Ran insurance score. Insd has 2 bankruptcies: Ch 11 Business in 2010 and Ch 11 Personal in 2015. Advised of decline."/>
    <m/>
    <m/>
    <s v="Patterson"/>
    <m/>
    <m/>
    <n v="1"/>
  </r>
  <r>
    <x v="59"/>
    <s v="Hull Horsham"/>
    <m/>
    <s v="Nichole"/>
    <s v="Email"/>
    <s v="Hassanein, Eissa"/>
    <m/>
    <x v="0"/>
    <m/>
    <x v="3"/>
    <m/>
    <x v="0"/>
    <x v="0"/>
    <x v="0"/>
    <s v="Sinkhole coverage available?"/>
    <s v="Insured wants to add sinkhole coverage for a home in Bethlehem PA."/>
    <x v="1"/>
    <s v="We do not currently have rates available. Asked if we needed to."/>
    <m/>
    <m/>
    <s v="Patterson"/>
    <m/>
    <m/>
    <n v="1"/>
  </r>
  <r>
    <x v="59"/>
    <s v="Hull Irvine"/>
    <m/>
    <s v="Alison"/>
    <s v="Email"/>
    <m/>
    <m/>
    <x v="9"/>
    <m/>
    <x v="3"/>
    <m/>
    <x v="0"/>
    <x v="0"/>
    <x v="0"/>
    <s v="Insured is GC"/>
    <s v="Alison quoted a risk and bind order received for COC. Originally insured stated hiring licensed contractors. At time of bind, advised they were going to be the GC and hire licensed subs. Advised we cannot write the risk."/>
    <x v="1"/>
    <m/>
    <m/>
    <m/>
    <s v="Patterson"/>
    <m/>
    <m/>
    <n v="1"/>
  </r>
  <r>
    <x v="59"/>
    <s v="Hull Irvine"/>
    <m/>
    <s v="Alison"/>
    <s v="Email"/>
    <s v="Walters, Amy"/>
    <m/>
    <x v="10"/>
    <s v="Beverly Hills"/>
    <x v="1"/>
    <m/>
    <x v="0"/>
    <x v="0"/>
    <x v="0"/>
    <s v="Over $50M cap"/>
    <s v="Risk was in the pipeline of quoting with several others from Beverly Hill. Several hit with bind requests. This is one of them. Agency has exceeded $50M Cap. I ok'd this one being written since it was in the pipeline."/>
    <x v="4"/>
    <m/>
    <m/>
    <m/>
    <s v="Patterson"/>
    <m/>
    <m/>
    <n v="0"/>
  </r>
  <r>
    <x v="59"/>
    <s v="Hull Irvine"/>
    <m/>
    <s v="Alison"/>
    <s v="Email"/>
    <s v="Prajapati, Sadhana"/>
    <m/>
    <x v="0"/>
    <s v="Pomona"/>
    <x v="1"/>
    <m/>
    <x v="0"/>
    <x v="0"/>
    <x v="0"/>
    <s v="Dog bite open claim "/>
    <s v="Insureds hound mix bit another person whil hiking w/the owner. Safeco NRN. $50K open claim. "/>
    <x v="3"/>
    <s v="Subj to completed and acceptable UW questions on app. Animal liab may apply but need to ensure insured understands the exclusions of the coverage."/>
    <m/>
    <m/>
    <s v="Patterson"/>
    <m/>
    <m/>
    <n v="0"/>
  </r>
  <r>
    <x v="60"/>
    <s v="Burns"/>
    <s v="MI"/>
    <s v="Danielle"/>
    <s v="Email/Call"/>
    <s v="Merritt, Jeffrey"/>
    <m/>
    <x v="8"/>
    <m/>
    <x v="3"/>
    <m/>
    <x v="0"/>
    <x v="0"/>
    <x v="0"/>
    <s v="Asbestos siding - stay on 'til renewal"/>
    <s v="DNOC sent after insp showed asbestos siding. Turns out it was on the app and missed. Danielle has addressed with UW. Agent wants DNOC lifted and NRN sent later. 15% asbestos. No cracking/crumbling. Okay condition."/>
    <x v="4"/>
    <m/>
    <m/>
    <m/>
    <s v="Patterson"/>
    <m/>
    <m/>
    <n v="0"/>
  </r>
  <r>
    <x v="61"/>
    <s v="Hull Horsham"/>
    <m/>
    <s v="Lisa"/>
    <s v="Email"/>
    <m/>
    <m/>
    <x v="10"/>
    <m/>
    <x v="3"/>
    <m/>
    <x v="0"/>
    <x v="0"/>
    <x v="0"/>
    <s v="No GC on project"/>
    <s v="Insured is having home renovated by a licensed/insured contractor but there is not specifically a &quot;GC&quot;."/>
    <x v="4"/>
    <s v="Subs are not always needed. As long as person in charge is a contractor (and it is not the insured), we are okay."/>
    <m/>
    <m/>
    <s v="Patterson"/>
    <m/>
    <m/>
    <n v="0"/>
  </r>
  <r>
    <x v="62"/>
    <s v="Burns"/>
    <s v="GA"/>
    <s v="Donna"/>
    <s v="Email"/>
    <m/>
    <m/>
    <x v="2"/>
    <m/>
    <x v="11"/>
    <m/>
    <x v="0"/>
    <x v="0"/>
    <x v="0"/>
    <s v="Short term rental"/>
    <s v="Insured wants to rent out their home for the PGA for 2 weeks. They have an admitted policy in force. Any options."/>
    <x v="2"/>
    <s v="Provided some input about occupancy, duplicate policies, options the admitted carrier could consider and offered to continue discussions."/>
    <m/>
    <m/>
    <s v="Patterson"/>
    <m/>
    <m/>
    <n v="0"/>
  </r>
  <r>
    <x v="62"/>
    <s v="Hull Irvine"/>
    <m/>
    <s v="Melissa"/>
    <s v="Email/Call"/>
    <s v="HUCAH1500000761"/>
    <m/>
    <x v="0"/>
    <m/>
    <x v="3"/>
    <m/>
    <x v="0"/>
    <x v="0"/>
    <x v="0"/>
    <s v="Common area concern"/>
    <s v="Inspection showed and described what looked like a common walkway and pool gate on the insured's property.  Further investigation revealed this is not the case. This is insured's walkway only, and door in their yard is used by them to get to the pool entrance."/>
    <x v="4"/>
    <m/>
    <m/>
    <m/>
    <s v="Patterson"/>
    <m/>
    <m/>
    <n v="0"/>
  </r>
  <r>
    <x v="63"/>
    <s v="Hull Irvine"/>
    <m/>
    <s v="Bobbi"/>
    <s v="Email"/>
    <s v="Austin, Richard &amp; Sandi"/>
    <m/>
    <x v="0"/>
    <m/>
    <x v="3"/>
    <m/>
    <x v="0"/>
    <x v="0"/>
    <x v="0"/>
    <s v="Backdate"/>
    <s v="Home closing was on 1/10/17. Agency just advised of bind request (mortgage fault). "/>
    <x v="3"/>
    <s v="Need no loss letter."/>
    <m/>
    <m/>
    <s v="Patterson"/>
    <m/>
    <m/>
    <n v="0"/>
  </r>
  <r>
    <x v="64"/>
    <s v="Hull Irvine"/>
    <m/>
    <s v="Melissa"/>
    <s v="Email"/>
    <s v="Clow, John"/>
    <m/>
    <x v="0"/>
    <s v="Angelus Oaks"/>
    <x v="1"/>
    <m/>
    <x v="0"/>
    <x v="0"/>
    <x v="0"/>
    <s v="Woodstove primary heat"/>
    <s v="Renewal - inspection just now being reviewed. Woodstove is primary and only heat; 18&quot; clearance to side unprotected wall."/>
    <x v="1"/>
    <s v="Advised agt to nonrenew."/>
    <m/>
    <m/>
    <s v="Patterson"/>
    <m/>
    <m/>
    <n v="1"/>
  </r>
  <r>
    <x v="65"/>
    <s v="Hull Horsham"/>
    <m/>
    <s v="Tamika"/>
    <s v="Email"/>
    <s v="Trenton Prospect (no name)"/>
    <m/>
    <x v="0"/>
    <s v="Trenton"/>
    <x v="9"/>
    <m/>
    <x v="0"/>
    <x v="0"/>
    <x v="0"/>
    <s v="Business in home"/>
    <s v="Insured has electrolysis business in basement of home. Has a business but that is moving out. She will retain some clients and service at the home. Will have a commercial policy."/>
    <x v="2"/>
    <s v="Advised we would need to see the whole risk, but would exclude liability (due to relation to medical field) and add Total Business Excl. Explained implications of the form."/>
    <m/>
    <m/>
    <s v="Patterson"/>
    <m/>
    <m/>
    <n v="0"/>
  </r>
  <r>
    <x v="66"/>
    <s v="Burns NC"/>
    <s v="NC"/>
    <s v="Kasey"/>
    <s v="Email"/>
    <s v="The Neal Foundation Trust"/>
    <m/>
    <x v="0"/>
    <m/>
    <x v="3"/>
    <m/>
    <x v="0"/>
    <x v="0"/>
    <x v="0"/>
    <s v="Business on Premises"/>
    <s v="FIRST BIND REQUEST FOR NC X-WIND. Insured is the bookkeeper for her husband's Paws of Carteret business. No animals. No foot traffic. "/>
    <x v="3"/>
    <s v="Ensure no employees - this exposure is fine."/>
    <m/>
    <m/>
    <s v="Patterson"/>
    <m/>
    <m/>
    <n v="0"/>
  </r>
  <r>
    <x v="67"/>
    <s v="Bolton"/>
    <s v="AL"/>
    <s v="Janet"/>
    <s v="Email"/>
    <s v="Swetman, Glenn"/>
    <m/>
    <x v="0"/>
    <s v="Biloxi"/>
    <x v="16"/>
    <m/>
    <x v="0"/>
    <x v="0"/>
    <x v="0"/>
    <s v="Historical Registry"/>
    <s v="1910 home completely redone in 2006 after Katrina. Home was on registry when insd bought it. He never removed. No tours. Home all standard construction."/>
    <x v="3"/>
    <s v="Include MFRC"/>
    <m/>
    <m/>
    <s v="Patterson"/>
    <m/>
    <m/>
    <n v="0"/>
  </r>
  <r>
    <x v="67"/>
    <s v="Hull Charlotte"/>
    <m/>
    <s v="Alia"/>
    <s v="Email"/>
    <m/>
    <m/>
    <x v="8"/>
    <m/>
    <x v="3"/>
    <m/>
    <x v="0"/>
    <x v="0"/>
    <x v="0"/>
    <s v="Demolition COC"/>
    <s v="Agent asking to write a ground up construction starting with demolition. Typically this is a class we decline."/>
    <x v="1"/>
    <s v="Reviewed HO-3. Some addl coverage still apply like FD and Trees/shrubs etc."/>
    <m/>
    <m/>
    <s v="Patterson"/>
    <m/>
    <m/>
    <n v="1"/>
  </r>
  <r>
    <x v="68"/>
    <s v="Hull Horsham"/>
    <s v="NJ"/>
    <s v="Lisa"/>
    <s v="Email"/>
    <s v="Dehney, Christine &amp; Robert"/>
    <m/>
    <x v="0"/>
    <s v="Avalon"/>
    <x v="9"/>
    <m/>
    <x v="0"/>
    <x v="0"/>
    <x v="0"/>
    <s v="Prior dog bite"/>
    <s v="Insured completed pet questionnaire and indicated their dog bit their child. Agent asking if animal liab will apply."/>
    <x v="3"/>
    <s v="Risk acceptable, but excl on limited animal liab form will probably cause exclusion of dog due to prior bite."/>
    <m/>
    <m/>
    <s v="Patterson"/>
    <m/>
    <m/>
    <n v="0"/>
  </r>
  <r>
    <x v="68"/>
    <s v="Hull Irvine"/>
    <m/>
    <s v="Alex"/>
    <s v="Call"/>
    <s v="Fillers"/>
    <m/>
    <x v="0"/>
    <m/>
    <x v="3"/>
    <m/>
    <x v="0"/>
    <x v="0"/>
    <x v="0"/>
    <s v="Open Claim"/>
    <s v="Insured has open liab claim for dog bit. Trespasser came into fenced area. Chained dog bit them. Dog has been euthanized. Claim still open."/>
    <x v="4"/>
    <s v="Liab and Animal liab okay."/>
    <m/>
    <m/>
    <s v="Patterson"/>
    <m/>
    <m/>
    <n v="0"/>
  </r>
  <r>
    <x v="69"/>
    <s v="Hull Irvine"/>
    <m/>
    <s v="Alex"/>
    <s v="Call"/>
    <s v="Leon"/>
    <m/>
    <x v="1"/>
    <m/>
    <x v="3"/>
    <m/>
    <x v="0"/>
    <x v="0"/>
    <x v="0"/>
    <s v="Unfinished home "/>
    <s v="Insured purchasing a 2001 built home where all construction is not completed. Alex writing as an owner occupied HO3 excluding the pool, including personal liab as home is occupied.`"/>
    <x v="4"/>
    <m/>
    <m/>
    <m/>
    <s v="Patterson"/>
    <m/>
    <m/>
    <n v="0"/>
  </r>
  <r>
    <x v="70"/>
    <s v="Hull Horsham"/>
    <s v="NJ"/>
    <s v="Lisa"/>
    <s v="Email"/>
    <s v="197-199 West St LLC"/>
    <m/>
    <x v="6"/>
    <m/>
    <x v="3"/>
    <m/>
    <x v="0"/>
    <x v="0"/>
    <x v="0"/>
    <s v="Insured is GC"/>
    <s v="Builders risk in name of LLC. Member of LLC is acting as GC - lic and insd."/>
    <x v="1"/>
    <m/>
    <m/>
    <m/>
    <s v="Patterson"/>
    <m/>
    <m/>
    <n v="1"/>
  </r>
  <r>
    <x v="71"/>
    <s v="Hull Irvine"/>
    <m/>
    <s v="Bobbi"/>
    <s v="Email"/>
    <s v="Martindale, Liane"/>
    <m/>
    <x v="0"/>
    <m/>
    <x v="3"/>
    <m/>
    <x v="0"/>
    <x v="0"/>
    <x v="0"/>
    <s v="Unfinished home "/>
    <s v="Unfinished exterior bathroom walls and interior not completed. Insured ran out of money."/>
    <x v="1"/>
    <s v="Exterior photo doesn't look weather/element-proof enough. Otherwise could consider with app. (Run insurance score). Came to us with very little info just to check."/>
    <m/>
    <m/>
    <s v="Patterson"/>
    <m/>
    <m/>
    <n v="1"/>
  </r>
  <r>
    <x v="72"/>
    <s v="Burns"/>
    <s v="MI"/>
    <s v="Jill"/>
    <s v="Email"/>
    <s v="Richmond, Mitchell "/>
    <m/>
    <x v="2"/>
    <s v="Anderson"/>
    <x v="17"/>
    <m/>
    <x v="0"/>
    <x v="0"/>
    <x v="0"/>
    <s v="Business on property"/>
    <s v="Insured owns this rental home and rents it for residential use. Also has an equipment company on the property.  Construction &amp; machinery equip. Shared driveway. Separation per aerial photo."/>
    <x v="3"/>
    <s v="Exclude roof - 27 years old.  Total Business Excl."/>
    <m/>
    <m/>
    <s v="Patterson"/>
    <m/>
    <m/>
    <n v="0"/>
  </r>
  <r>
    <x v="73"/>
    <s v="Burns"/>
    <s v="MI"/>
    <s v="Jill"/>
    <s v="Email"/>
    <s v="Love, Faye"/>
    <m/>
    <x v="0"/>
    <s v="Midway"/>
    <x v="18"/>
    <m/>
    <x v="0"/>
    <x v="0"/>
    <x v="0"/>
    <s v="Vacant Lot Question"/>
    <s v="Home is 2 separate parcels across street from each other. Lot has a garage. Also there is a dock on main property."/>
    <x v="0"/>
    <s v="All checks out. Info in file. No rental."/>
    <m/>
    <m/>
    <s v="Patterson"/>
    <m/>
    <m/>
    <n v="0"/>
  </r>
  <r>
    <x v="74"/>
    <s v="Burns"/>
    <s v="MI"/>
    <s v="Jill"/>
    <s v="Email"/>
    <s v="Peterson, Charles"/>
    <m/>
    <x v="0"/>
    <s v="Temecula"/>
    <x v="1"/>
    <m/>
    <x v="0"/>
    <x v="0"/>
    <x v="0"/>
    <s v="Roof age"/>
    <s v="40 year old tile roof. Avg condition per insp. Okay? Exclude next year?"/>
    <x v="3"/>
    <s v="Exclude next year, or issue now with ACV, reinspect in 3 years and exclude if not replaced."/>
    <m/>
    <m/>
    <s v="Patterson"/>
    <m/>
    <m/>
    <n v="0"/>
  </r>
  <r>
    <x v="74"/>
    <s v="Burns"/>
    <s v="MI"/>
    <s v="Jill"/>
    <s v="Email"/>
    <m/>
    <m/>
    <x v="2"/>
    <m/>
    <x v="3"/>
    <m/>
    <x v="0"/>
    <x v="0"/>
    <x v="0"/>
    <s v="Rental use"/>
    <s v="Dwellings used to house those recently released from prison and/or ex-military."/>
    <x v="2"/>
    <s v="Asked addl questions to assess opportunity."/>
    <m/>
    <m/>
    <s v="Patterson"/>
    <m/>
    <m/>
    <n v="0"/>
  </r>
  <r>
    <x v="75"/>
    <s v="Burns"/>
    <s v="MI"/>
    <s v="Jill"/>
    <s v="Email"/>
    <s v="Glass House Inc"/>
    <m/>
    <x v="11"/>
    <s v="Lancaster"/>
    <x v="2"/>
    <m/>
    <x v="0"/>
    <x v="0"/>
    <x v="0"/>
    <s v="Transitional housing"/>
    <s v="Director of Glass House Inc owns several dwellings, buying more. Transitional housing for homeless, vets, x-rehab, x-jail families and individuals."/>
    <x v="2"/>
    <s v="  DP-1 w/no liability was the suggestion with other questions before terms could be approved."/>
    <m/>
    <m/>
    <s v="Patterson"/>
    <m/>
    <m/>
    <n v="0"/>
  </r>
  <r>
    <x v="76"/>
    <s v="Burns"/>
    <s v="MI"/>
    <s v="Delta"/>
    <s v="Call"/>
    <m/>
    <m/>
    <x v="2"/>
    <m/>
    <x v="3"/>
    <m/>
    <x v="0"/>
    <x v="0"/>
    <x v="0"/>
    <s v="Additional Insured"/>
    <s v="Mother owns home in name of trust. Renting to daughter. DP3/HO4. Daughter wants to be Addl Insd on DP3. No contract in place."/>
    <x v="4"/>
    <s v="Agreed w/ Delta-with no contract pol is written right; daughter cant be AI, can be additional interest only (notification)"/>
    <m/>
    <m/>
    <s v="Patterson"/>
    <m/>
    <m/>
    <n v="0"/>
  </r>
  <r>
    <x v="77"/>
    <s v="Hull Irvine"/>
    <m/>
    <s v="Bobbi"/>
    <s v="Call"/>
    <m/>
    <m/>
    <x v="0"/>
    <m/>
    <x v="3"/>
    <m/>
    <x v="0"/>
    <x v="0"/>
    <x v="0"/>
    <s v="Backdate"/>
    <s v="Bobbi quoted a risk 1/27/2017 which had fuses, but upgraded to C/B. She gave Markel and Lex quote. By mistake, agent asked for Lex to be bound. Just realizing it. Wondered if we could go back to 1/27/17 to fulfill intent. "/>
    <x v="1"/>
    <s v="I advised to fulfill MEP w/ Lex and then switch to us."/>
    <m/>
    <m/>
    <s v="Patterson"/>
    <m/>
    <m/>
    <n v="1"/>
  </r>
  <r>
    <x v="78"/>
    <s v="Burns"/>
    <m/>
    <s v="Leslie"/>
    <s v="Email"/>
    <s v="Iovanni, Matt (BWH102889)"/>
    <m/>
    <x v="0"/>
    <m/>
    <x v="3"/>
    <m/>
    <x v="0"/>
    <x v="0"/>
    <x v="0"/>
    <s v="3 mortgagees"/>
    <s v="Insured requesting to add 3rd mortgagee. Agent asking if they have to cancel or nonrenew."/>
    <x v="0"/>
    <s v="Asked numerous questions to evaluate. Ins score decent. Ok by Louisa."/>
    <m/>
    <m/>
    <s v="Patterson"/>
    <m/>
    <m/>
    <n v="0"/>
  </r>
  <r>
    <x v="79"/>
    <s v="Hull Irvine"/>
    <m/>
    <s v="Alison"/>
    <s v="Call"/>
    <m/>
    <m/>
    <x v="8"/>
    <m/>
    <x v="3"/>
    <m/>
    <x v="0"/>
    <x v="0"/>
    <x v="0"/>
    <s v="Trampoline "/>
    <s v="In ground trampoline. Anything additional than the trampoline exclusion? "/>
    <x v="4"/>
    <s v="Advised of hazards and said excl is adequate."/>
    <m/>
    <m/>
    <s v="Patterson"/>
    <m/>
    <m/>
    <n v="0"/>
  </r>
  <r>
    <x v="80"/>
    <s v="SCU"/>
    <s v="CO"/>
    <s v="Alison"/>
    <s v="Email"/>
    <s v="Cardillo, Michael"/>
    <m/>
    <x v="0"/>
    <s v="Lupton"/>
    <x v="19"/>
    <m/>
    <x v="0"/>
    <x v="0"/>
    <x v="0"/>
    <s v="Animal liability"/>
    <s v="Insured has a 2014 animal loss - horse got out on road and caused collision. $2716. Agent wants to offer $10K or $25K liab for top agent as an exception."/>
    <x v="0"/>
    <s v="• How many horses and goats?_x000a_• Please confirm no breeding, boarding, or riding lessons._x000a_• Are the horses kept in a fenced area?_x000a_• What kind of fence?_x000a_• With the loss that occurred, did the horse get out of their fenced area?  Was there a problem with the fence?  _x000a__x000a_Received answers - in file. sounds secure enough to offer $10K animal liab."/>
    <m/>
    <m/>
    <s v="Patterson"/>
    <m/>
    <m/>
    <n v="0"/>
  </r>
  <r>
    <x v="81"/>
    <s v="Hull Horsham"/>
    <m/>
    <s v="Ray"/>
    <s v="Email"/>
    <s v="Hunter, John RUA015391"/>
    <m/>
    <x v="1"/>
    <m/>
    <x v="3"/>
    <m/>
    <x v="0"/>
    <x v="0"/>
    <x v="0"/>
    <s v="Length of construction"/>
    <s v="We have been on this risk for 1 year. Agent wants to extend 3 months."/>
    <x v="4"/>
    <m/>
    <m/>
    <m/>
    <s v="Patterson"/>
    <m/>
    <m/>
    <n v="0"/>
  </r>
  <r>
    <x v="82"/>
    <s v="Hull Irvine"/>
    <m/>
    <s v="Alison"/>
    <s v="Call"/>
    <m/>
    <m/>
    <x v="0"/>
    <m/>
    <x v="3"/>
    <m/>
    <x v="0"/>
    <x v="0"/>
    <x v="0"/>
    <s v="Open Claim"/>
    <s v="Insured has Doberman that recently bit mailman. $25K reserve still open."/>
    <x v="3"/>
    <s v="Could consider w/full submission. Could exclude the dog or add Ltd Animal Liab since dog is double excluded."/>
    <m/>
    <m/>
    <s v="Patterson"/>
    <m/>
    <m/>
    <n v="0"/>
  </r>
  <r>
    <x v="82"/>
    <s v="Hull Irvine"/>
    <m/>
    <s v="Alison"/>
    <s v="Call"/>
    <s v="LaCroix, Marsa"/>
    <m/>
    <x v="0"/>
    <m/>
    <x v="3"/>
    <m/>
    <x v="0"/>
    <x v="0"/>
    <x v="0"/>
    <s v="Claim History"/>
    <s v="4/16 $48K water backup (roots in drain); 2/22/17 $0 closed/denied - rain damage to paperwork (insd writing a book). "/>
    <x v="3"/>
    <s v="Agent adding $10k water dmg ded. Sent email confirming."/>
    <m/>
    <m/>
    <s v="Patterson"/>
    <m/>
    <m/>
    <n v="0"/>
  </r>
  <r>
    <x v="83"/>
    <s v="Hull Horsham"/>
    <s v="NJ"/>
    <s v="Lisa"/>
    <s v="Email"/>
    <s v="Allen Barsana ET AL"/>
    <m/>
    <x v="2"/>
    <s v="Asbury Park "/>
    <x v="9"/>
    <m/>
    <x v="0"/>
    <x v="0"/>
    <x v="0"/>
    <s v="Subsidized rentals"/>
    <s v="6 rental homes where rent is partially subsidized. 6 LLC's own the properties.  All are updated."/>
    <x v="1"/>
    <s v="Reviewed online photos. Found below avg condition and neighboring homes/properties boarded up."/>
    <m/>
    <m/>
    <s v="Patterson"/>
    <m/>
    <m/>
    <n v="1"/>
  </r>
  <r>
    <x v="84"/>
    <s v="Hull Charlotte"/>
    <m/>
    <s v="Alia"/>
    <s v="Email"/>
    <s v="Fisher"/>
    <m/>
    <x v="0"/>
    <s v="Charleston"/>
    <x v="20"/>
    <m/>
    <x v="0"/>
    <x v="0"/>
    <x v="0"/>
    <s v="Rate relief for renewal"/>
    <s v="Agent looking to match last years premium on this 1790 home in Charleston."/>
    <x v="2"/>
    <s v="Asked for CQ questions and details on exact premiums."/>
    <m/>
    <m/>
    <s v="Patterson"/>
    <m/>
    <m/>
    <n v="0"/>
  </r>
  <r>
    <x v="84"/>
    <s v="Hull Horsham"/>
    <m/>
    <s v="Tamika"/>
    <s v="Call"/>
    <m/>
    <m/>
    <x v="0"/>
    <m/>
    <x v="2"/>
    <m/>
    <x v="0"/>
    <x v="0"/>
    <x v="0"/>
    <s v="Bankruptcy"/>
    <s v="New Chapter 11 bankruptcy. Does it make a diff that it is Ch 11 or that it is just husband."/>
    <x v="1"/>
    <s v="New is a concern. Still a family concern."/>
    <m/>
    <m/>
    <s v="Patterson"/>
    <m/>
    <m/>
    <n v="1"/>
  </r>
  <r>
    <x v="84"/>
    <s v="Hull Irvine"/>
    <m/>
    <s v="Alison"/>
    <s v="Call"/>
    <m/>
    <m/>
    <x v="8"/>
    <m/>
    <x v="1"/>
    <m/>
    <x v="0"/>
    <x v="0"/>
    <x v="0"/>
    <s v="Pex Plumbing"/>
    <s v="Is pex plumbing okay?  "/>
    <x v="4"/>
    <s v="We have no criteria. There have been some issues, but nothing major like polybutylene."/>
    <m/>
    <m/>
    <s v="Patterson"/>
    <m/>
    <m/>
    <n v="0"/>
  </r>
  <r>
    <x v="84"/>
    <s v="Hull Irvine"/>
    <m/>
    <s v="Alison"/>
    <s v="Call"/>
    <s v="Zilberman, Yana"/>
    <m/>
    <x v="12"/>
    <s v="Desert Hot Springs"/>
    <x v="1"/>
    <m/>
    <x v="0"/>
    <x v="0"/>
    <x v="0"/>
    <s v="Occupancy"/>
    <s v="Aunt is primary occupant, although not sure if that is permanent. Insured may visit on weekends."/>
    <x v="3"/>
    <s v="Write as secondary w/rental. Aunt is relative per insured definition. Since unsure of how permanent this situation is, this seems safest way to write."/>
    <m/>
    <m/>
    <s v="Patterson"/>
    <m/>
    <m/>
    <n v="0"/>
  </r>
  <r>
    <x v="84"/>
    <s v="Hull Irvine"/>
    <m/>
    <s v="Alison"/>
    <s v="Call"/>
    <s v="Poroy, Ibrahim"/>
    <m/>
    <x v="2"/>
    <s v="Monterey"/>
    <x v="1"/>
    <m/>
    <x v="0"/>
    <x v="0"/>
    <x v="0"/>
    <s v="2 dwellings on property"/>
    <s v="Primary home insured w/Safeco excluding rental cottage, rented via Air BnB. Has a &quot;1/2&quot; address, but on same property."/>
    <x v="3"/>
    <s v="Suggest to find out if liab is excluded or only the dwelling. Agent will approve X-Liab until they prove liab is excluded. 3/22 provided-approved.  At the time of loss, claims will have to evaluate the legal address of 428 ½ to determine if this is a separate location.  They may also have to evaluate any injured parties connection to the insured or the tenant"/>
    <m/>
    <m/>
    <s v="Patterson"/>
    <m/>
    <m/>
    <n v="0"/>
  </r>
  <r>
    <x v="85"/>
    <s v="Burns"/>
    <s v="MI"/>
    <s v="Leslie"/>
    <s v="Email"/>
    <s v="Hartung-Mladineo Trust"/>
    <m/>
    <x v="11"/>
    <s v="Trenton"/>
    <x v="9"/>
    <m/>
    <x v="0"/>
    <x v="0"/>
    <x v="0"/>
    <s v="Bankruptcy"/>
    <s v="1906 home updated and abated of lead. During process, insd filed Ch 13 bankruptcy due to expense of abatement. (Insd is an attorney). Online photos show old row house."/>
    <x v="2"/>
    <s v="Check for firewalls and condition of row. Run ins score. Verify lead abatement."/>
    <m/>
    <m/>
    <s v="Patterson"/>
    <m/>
    <m/>
    <n v="0"/>
  </r>
  <r>
    <x v="86"/>
    <s v="Burns"/>
    <s v="MI"/>
    <s v="Leslie"/>
    <s v="Email"/>
    <s v="Wolter, Tammy Rae"/>
    <m/>
    <x v="13"/>
    <m/>
    <x v="12"/>
    <m/>
    <x v="0"/>
    <x v="0"/>
    <x v="0"/>
    <s v="Rental canoe and kayak"/>
    <s v="Insured has a seasonal home rented thru VRBO. They leave canoe and kayaks for tenants use. Is this covered"/>
    <x v="4"/>
    <s v="No exclusion under HO-3."/>
    <m/>
    <m/>
    <s v="Patterson"/>
    <m/>
    <m/>
    <n v="0"/>
  </r>
  <r>
    <x v="87"/>
    <s v="Hull Irvine"/>
    <m/>
    <s v="Alison"/>
    <s v="Email"/>
    <s v="Rodriguez, Sussi &amp; Ruben"/>
    <m/>
    <x v="0"/>
    <m/>
    <x v="3"/>
    <m/>
    <x v="0"/>
    <x v="0"/>
    <x v="0"/>
    <s v="Animal liability"/>
    <s v="Insd has 5 sheep and a mule. Wanted to add animal liab."/>
    <x v="4"/>
    <s v="$10K animal liab ok"/>
    <m/>
    <m/>
    <s v="Patterson"/>
    <m/>
    <m/>
    <n v="0"/>
  </r>
  <r>
    <x v="88"/>
    <s v="Hull Irvine"/>
    <s v="CA"/>
    <s v="Melissa"/>
    <s v="Email"/>
    <s v=" Krakov, Nadine"/>
    <m/>
    <x v="0"/>
    <m/>
    <x v="3"/>
    <m/>
    <x v="5"/>
    <x v="0"/>
    <x v="0"/>
    <s v="TIV over $3MIL"/>
    <s v="TIV: 3,782,000. 1991 build year, no claims, Lex renewal that is now competitive with Markel since primary home (prior was COC), inspection included to confirm Coverage A value, $10K water ded due to flat roof. "/>
    <x v="4"/>
    <s v="granted approval to release terms. Home has central burglar/fire, and $10K ded per rater. Cov C is only $500K, a little low for the size of the home. So advised to let us know should they decide to increase and it pushes TIV over $4MIL. Per Google, applicant owns a jewelry/clothes boutique in Beverly Hills."/>
    <m/>
    <m/>
    <s v="Burdine"/>
    <m/>
    <m/>
    <n v="0"/>
  </r>
  <r>
    <x v="89"/>
    <s v="Quaker"/>
    <s v="PA"/>
    <s v="Joshua"/>
    <s v="Email"/>
    <s v="Cerami, Tina &amp; Sano, Concetta"/>
    <m/>
    <x v="14"/>
    <m/>
    <x v="3"/>
    <m/>
    <x v="0"/>
    <x v="0"/>
    <x v="0"/>
    <s v="Missing railing"/>
    <s v="Current policy-MAXH13100005275. renewal customer. Attached inspection-missing railing on one set of steps, not back at property until June and able to fix then"/>
    <x v="4"/>
    <s v="Granted approval to handle in June. Insured since 2011, and this is a very nice property"/>
    <m/>
    <m/>
    <s v="Burdine"/>
    <m/>
    <m/>
    <n v="0"/>
  </r>
  <r>
    <x v="90"/>
    <s v="Burns"/>
    <s v="MI"/>
    <s v="Jill"/>
    <s v="Email"/>
    <s v="O'Keeffe, James"/>
    <m/>
    <x v="15"/>
    <s v="Riverside"/>
    <x v="1"/>
    <m/>
    <x v="0"/>
    <x v="0"/>
    <x v="0"/>
    <s v="RC - Not Gutted"/>
    <s v="Returned to Danielle. 1923 home updated in 1988."/>
    <x v="2"/>
    <s v="Danielle reviewing possible backend procedure."/>
    <m/>
    <m/>
    <s v="Patterson"/>
    <m/>
    <m/>
    <n v="0"/>
  </r>
  <r>
    <x v="91"/>
    <s v="Bolton"/>
    <s v="AL"/>
    <s v="Janet"/>
    <s v="Email"/>
    <m/>
    <m/>
    <x v="0"/>
    <m/>
    <x v="16"/>
    <m/>
    <x v="0"/>
    <x v="0"/>
    <x v="0"/>
    <s v="Business in home"/>
    <s v="Insured has an in home doggie daycare. "/>
    <x v="2"/>
    <s v="Submit with app and answers to business questions. Provided copy of Total Business Excl and Animal exclusion would apply. Advised of TBE limitations."/>
    <m/>
    <m/>
    <s v="Patterson"/>
    <m/>
    <m/>
    <n v="0"/>
  </r>
  <r>
    <x v="92"/>
    <s v="ASL"/>
    <s v="VA"/>
    <s v="Garry"/>
    <s v="Email"/>
    <s v="Gifford Family Trust LLC"/>
    <m/>
    <x v="2"/>
    <s v="Norfolk"/>
    <x v="10"/>
    <m/>
    <x v="2"/>
    <x v="0"/>
    <x v="0"/>
    <s v="LLC name"/>
    <s v="Home in name of LLC formed for family children and grandchildren for rental properties."/>
    <x v="4"/>
    <m/>
    <m/>
    <m/>
    <s v="Patterson"/>
    <m/>
    <m/>
    <n v="0"/>
  </r>
  <r>
    <x v="92"/>
    <s v="ASL"/>
    <s v="VA"/>
    <s v="Garry"/>
    <s v="Email"/>
    <s v="Gifford Family Trust LLC"/>
    <m/>
    <x v="2"/>
    <s v="Norfolk"/>
    <x v="10"/>
    <m/>
    <x v="2"/>
    <x v="0"/>
    <x v="0"/>
    <s v="LLC name"/>
    <s v="Home in name of LLC formed for family children and grandchildren for rental properties."/>
    <x v="4"/>
    <m/>
    <m/>
    <m/>
    <s v="Patterson"/>
    <m/>
    <m/>
    <n v="0"/>
  </r>
  <r>
    <x v="92"/>
    <s v="Hull Irvine"/>
    <s v="CA"/>
    <s v="Alex"/>
    <s v="Call"/>
    <s v="Bundarin"/>
    <m/>
    <x v="2"/>
    <m/>
    <x v="3"/>
    <m/>
    <x v="0"/>
    <x v="0"/>
    <x v="0"/>
    <s v="Prior claims"/>
    <s v="Insd had a couple of small losses at other rental locations. No surcharge per our discussion as they were minor. Did have a $0 Fire at our location. Last year wildfire left ash deposits on insd property. They called in to have it cleaned up not realizing the policy didn't pay for that. Denied-$0 paid. Brush surcharge and additional surcharge for location applied."/>
    <x v="4"/>
    <m/>
    <m/>
    <m/>
    <s v="Patterson"/>
    <m/>
    <m/>
    <n v="0"/>
  </r>
  <r>
    <x v="93"/>
    <s v="Hull Horsham"/>
    <m/>
    <s v="Tamika"/>
    <s v="Call"/>
    <m/>
    <m/>
    <x v="6"/>
    <m/>
    <x v="3"/>
    <m/>
    <x v="0"/>
    <x v="0"/>
    <x v="0"/>
    <s v="Insured is GC"/>
    <s v="3 family home for investor who they write a lot of business for. Needs to be bound today. Vacant reno with a lot of work to do. Quoted Friday, found out today that there is no GC - the insured is hiring all the subs."/>
    <x v="1"/>
    <s v="Advised we will be working on a program but it's not ready yet, and we can't make individual exceptions without doing all the research."/>
    <m/>
    <m/>
    <s v="Patterson"/>
    <m/>
    <m/>
    <n v="1"/>
  </r>
  <r>
    <x v="94"/>
    <s v="Hull Horsham"/>
    <m/>
    <s v="Tamika"/>
    <s v="Email"/>
    <s v="Evans, Loretta K"/>
    <m/>
    <x v="5"/>
    <s v="Allentown"/>
    <x v="2"/>
    <m/>
    <x v="0"/>
    <x v="0"/>
    <x v="0"/>
    <s v="Liability hazard"/>
    <s v="New inspection for home where insured has been moved to assisted living. Family does not want to repair damaged porch decking or sidewalk."/>
    <x v="3"/>
    <s v="Remove liability asap. Can be added back if porch is repaired. Okay to leave sidewalk."/>
    <m/>
    <m/>
    <s v="Patterson"/>
    <m/>
    <m/>
    <n v="0"/>
  </r>
  <r>
    <x v="94"/>
    <s v="Hull Horsham"/>
    <m/>
    <s v="Nichole"/>
    <s v="Email"/>
    <s v="Craven, Carol"/>
    <m/>
    <x v="0"/>
    <s v="West Tisbury"/>
    <x v="21"/>
    <m/>
    <x v="0"/>
    <x v="0"/>
    <x v="0"/>
    <s v="Scheduled Personal Property"/>
    <s v="Insured will have $315K of consignment paintings in her home and needs insurance."/>
    <x v="1"/>
    <s v="Provided flyer for Jamie Gregory=Markel Specialty. Tried contacting him and his boss - neither are online."/>
    <m/>
    <m/>
    <s v="Patterson"/>
    <m/>
    <m/>
    <n v="1"/>
  </r>
  <r>
    <x v="94"/>
    <s v="Hull Irvine"/>
    <m/>
    <s v="Alison"/>
    <s v="Call"/>
    <m/>
    <m/>
    <x v="1"/>
    <m/>
    <x v="1"/>
    <m/>
    <x v="0"/>
    <x v="0"/>
    <x v="0"/>
    <s v="Insured is GC"/>
    <s v="Insured is owner of CAL Framing, a general contracting company. Would we allow them to be the GC to build his house?"/>
    <x v="1"/>
    <s v="Discussed w/Louisa. Still too close to home."/>
    <m/>
    <m/>
    <s v="Patterson"/>
    <m/>
    <m/>
    <n v="1"/>
  </r>
  <r>
    <x v="94"/>
    <s v="SCU"/>
    <s v="CO"/>
    <s v="Allison"/>
    <s v="Email"/>
    <s v="Tiny Houses LLC"/>
    <m/>
    <x v="2"/>
    <s v="Escalante"/>
    <x v="22"/>
    <m/>
    <x v="0"/>
    <x v="0"/>
    <x v="0"/>
    <s v="Tiny house schedule"/>
    <s v="3 tiny houses used as vacation rental in Utah."/>
    <x v="1"/>
    <s v="Not our market."/>
    <m/>
    <m/>
    <s v="Patterson"/>
    <m/>
    <m/>
    <n v="1"/>
  </r>
  <r>
    <x v="95"/>
    <s v="Hull Horsham"/>
    <m/>
    <s v="Tamika"/>
    <s v="Call"/>
    <m/>
    <m/>
    <x v="2"/>
    <s v="Richmond"/>
    <x v="10"/>
    <m/>
    <x v="0"/>
    <x v="0"/>
    <x v="0"/>
    <s v="Prior loss"/>
    <s v="Insured had a &quot;huge fire&quot; at prior location in Baltimore MD."/>
    <x v="2"/>
    <s v="Need fire marshall report or comparable. Left VM for Tamika."/>
    <m/>
    <m/>
    <s v="Patterson"/>
    <m/>
    <m/>
    <n v="0"/>
  </r>
  <r>
    <x v="95"/>
    <s v="Hull Irvine"/>
    <m/>
    <s v="Bobbi"/>
    <s v="Email"/>
    <s v="Frye Family Partnership"/>
    <m/>
    <x v="16"/>
    <s v="Newport Beach"/>
    <x v="1"/>
    <m/>
    <x v="0"/>
    <x v="0"/>
    <x v="0"/>
    <s v="Pending Litigation"/>
    <s v="4 family members own a seasonal home together. Stuart Frye wants out and filed a lawsuit a couple of months ago. He wants to be bought out or have the home sold."/>
    <x v="4"/>
    <s v="Reviewed w/Louisa. Ran ins scores on all.  747,855 and 997. Stuart says not enough info to score, and he is listed as retired. We agreed if scores were okay, we would do it."/>
    <m/>
    <m/>
    <s v="Patterson"/>
    <m/>
    <m/>
    <n v="0"/>
  </r>
  <r>
    <x v="95"/>
    <s v="Hull Irvine"/>
    <m/>
    <s v="Alex"/>
    <s v="Call"/>
    <s v="Berry, Micah"/>
    <m/>
    <x v="0"/>
    <m/>
    <x v="3"/>
    <m/>
    <x v="0"/>
    <x v="0"/>
    <x v="0"/>
    <s v="Log home"/>
    <s v="Completed log questionnaire indicates name of builder and years experience are unknown. We reviewed photos and details of the home online and it looks like a custom home. 2007 build. Great condition."/>
    <x v="4"/>
    <m/>
    <m/>
    <m/>
    <s v="Patterson"/>
    <m/>
    <m/>
    <n v="0"/>
  </r>
  <r>
    <x v="96"/>
    <s v="ASL"/>
    <s v="VA"/>
    <s v="Rob"/>
    <s v="Email"/>
    <s v="Khanhan, Tannaz"/>
    <m/>
    <x v="0"/>
    <m/>
    <x v="23"/>
    <m/>
    <x v="0"/>
    <x v="0"/>
    <x v="0"/>
    <s v="Texas policy"/>
    <s v="Agent not currently authorized in TX but wants us to consider a one-off policy. "/>
    <x v="1"/>
    <s v="Reviewed w/Jeff. No one offs, need to put a program together."/>
    <m/>
    <m/>
    <s v="Patterson"/>
    <m/>
    <m/>
    <n v="1"/>
  </r>
  <r>
    <x v="96"/>
    <s v="Hull Irvine"/>
    <m/>
    <s v="Alison"/>
    <s v="Call"/>
    <s v="Nguyen, Christine Giang Tien Thi  "/>
    <m/>
    <x v="0"/>
    <m/>
    <x v="3"/>
    <m/>
    <x v="0"/>
    <x v="0"/>
    <x v="0"/>
    <s v="Prior loss"/>
    <s v="Daughter owns home, mother lives in it, daughter visits. Mother had a wrongful eviction claim at different location 2 years ago 6/15/15 $0 paid. "/>
    <x v="3"/>
    <s v="Surcharge for loss. Get details so we have a comfort level with the mother. Info received and approved. Declined to offer PI due to prior loss."/>
    <m/>
    <m/>
    <s v="Patterson"/>
    <m/>
    <m/>
    <n v="0"/>
  </r>
  <r>
    <x v="96"/>
    <s v="Hull Irvine"/>
    <m/>
    <s v="Alison"/>
    <s v="Call"/>
    <m/>
    <m/>
    <x v="0"/>
    <m/>
    <x v="3"/>
    <m/>
    <x v="0"/>
    <x v="0"/>
    <x v="0"/>
    <s v="Prior losses"/>
    <s v="Insured had prior water loss 7/12 $10K - roof leak. Has a flat roof. $10K ded applied. Roof replaced. Then had fire loss in 2015. Part of roof was being repaired and subcontractors torch caught the house on fire. Subro against GC."/>
    <x v="2"/>
    <s v="Need statement from carrier who insured the home for the 2015 loss to confirm cause and subro. Still charge for the loss."/>
    <m/>
    <m/>
    <s v="Patterson"/>
    <m/>
    <m/>
    <n v="0"/>
  </r>
  <r>
    <x v="97"/>
    <s v="Burns"/>
    <s v="MI"/>
    <s v="Delta"/>
    <s v="Email"/>
    <s v="BWH Holdings LLC"/>
    <m/>
    <x v="1"/>
    <s v="Sun Prairie"/>
    <x v="12"/>
    <m/>
    <x v="0"/>
    <x v="0"/>
    <x v="0"/>
    <s v="Raised home"/>
    <s v="Builders risk written and it turns out it is to cover the home being raised. Can't tell if it was moved here from another property, or just raised here. Provided direction for both possibilities."/>
    <x v="2"/>
    <s v="Moved from another loc - rescind or cancel. Raised here - okay, check GC has $1M coverage."/>
    <m/>
    <m/>
    <s v="Patterson"/>
    <m/>
    <m/>
    <n v="0"/>
  </r>
  <r>
    <x v="97"/>
    <s v="Hull Irvine"/>
    <m/>
    <s v="Alison"/>
    <s v="Email"/>
    <s v="Fredrick"/>
    <m/>
    <x v="8"/>
    <m/>
    <x v="3"/>
    <m/>
    <x v="0"/>
    <x v="0"/>
    <x v="0"/>
    <s v="Backdate"/>
    <s v="Originally bound 3/16/17. Covg lapsed 2/28. Person handling file in retailers office left the company and this was left unhandled. Hull and the retailer bound 3/16. Now lender is coming back with a force placed policy for lapse time. Agent requested backdate to 2/28 w/signed no loss."/>
    <x v="4"/>
    <s v="Discussed w/ Louisa. If they had called on 3/16, we probably would have helped out with less concern. Advised of this, but approved the request."/>
    <m/>
    <m/>
    <s v="Patterson"/>
    <m/>
    <m/>
    <n v="0"/>
  </r>
  <r>
    <x v="98"/>
    <s v="Hull Irvine"/>
    <m/>
    <s v="Alex"/>
    <s v="Email"/>
    <s v="Soffer, Jesse Lee"/>
    <m/>
    <x v="0"/>
    <m/>
    <x v="3"/>
    <m/>
    <x v="0"/>
    <x v="0"/>
    <x v="0"/>
    <s v="High profile"/>
    <s v="Insured is TV and movie actor."/>
    <x v="4"/>
    <s v="Refer to Jeff. No adverse news or concern. Mostly TV actor. Agreed to do WITH liability."/>
    <m/>
    <m/>
    <s v="Patterson"/>
    <m/>
    <m/>
    <n v="0"/>
  </r>
  <r>
    <x v="98"/>
    <s v="Hull Irvine"/>
    <m/>
    <s v="Alison"/>
    <s v="Email"/>
    <m/>
    <m/>
    <x v="0"/>
    <m/>
    <x v="3"/>
    <m/>
    <x v="0"/>
    <x v="0"/>
    <x v="0"/>
    <s v="Non-owned tiny house on premises"/>
    <s v="Insured is allowing their friend to rent a part of their property to park their tiny house."/>
    <x v="3"/>
    <s v="Reviewed HO3 and Total Business Excl. No exclusions found. Not extreme enough to exclude liab. Addl surcharge is in order."/>
    <m/>
    <m/>
    <s v="Patterson"/>
    <m/>
    <m/>
    <n v="0"/>
  </r>
  <r>
    <x v="99"/>
    <s v="Hull Irvine"/>
    <m/>
    <s v="Melissa"/>
    <s v="Email"/>
    <s v="596 Ethel Ave LLC"/>
    <m/>
    <x v="8"/>
    <m/>
    <x v="3"/>
    <m/>
    <x v="0"/>
    <x v="0"/>
    <x v="0"/>
    <s v="1 month policy"/>
    <s v="Insd is in escrow and desires only 1 more month 'til it closes vs. normal 3 month 100% earned. "/>
    <x v="3"/>
    <s v="If they can do it in their system, ok. If it goes over a month, revert back to normal rules."/>
    <m/>
    <m/>
    <s v="Patterson"/>
    <m/>
    <m/>
    <n v="0"/>
  </r>
  <r>
    <x v="100"/>
    <s v="Hull Horsham"/>
    <s v="PA"/>
    <s v="Tamika"/>
    <s v="Call"/>
    <s v="Begg, Theodore"/>
    <m/>
    <x v="17"/>
    <m/>
    <x v="3"/>
    <m/>
    <x v="0"/>
    <x v="0"/>
    <x v="0"/>
    <s v="Insured is GC"/>
    <s v="Vacant renewal which renews tomorrow 4/28. Agent JUST found out it is under extensive reno. Insured is acting as GC hiring many subs. Occupancy in 4 weeks - confident it will be done. Lloyds isn't helpful in PA. Have to get something done today (late in the day). "/>
    <x v="3"/>
    <s v="Agreed to help out as an exception, offer terms for property only with liability excluded (old guidelines)"/>
    <m/>
    <m/>
    <s v="Patterson"/>
    <m/>
    <m/>
    <n v="0"/>
  </r>
  <r>
    <x v="101"/>
    <s v="Hull Horsham"/>
    <s v=" "/>
    <s v="Tamika"/>
    <s v="Email"/>
    <m/>
    <m/>
    <x v="0"/>
    <m/>
    <x v="3"/>
    <m/>
    <x v="0"/>
    <x v="0"/>
    <x v="0"/>
    <s v="Houseboat"/>
    <s v="Referred her to Markel Marine per details in our ES UW Direction document."/>
    <x v="1"/>
    <m/>
    <m/>
    <m/>
    <s v="Patterson"/>
    <m/>
    <m/>
    <n v="1"/>
  </r>
  <r>
    <x v="101"/>
    <s v="Hull Horsham"/>
    <m/>
    <s v="Andrea"/>
    <s v="Email"/>
    <s v="Snoddy, Terry &amp; Drabic, Timothy"/>
    <m/>
    <x v="18"/>
    <s v="Rehoboth Beach"/>
    <x v="24"/>
    <m/>
    <x v="0"/>
    <x v="0"/>
    <x v="0"/>
    <s v="Renewal  rating"/>
    <s v="2 unit structure, 1 occupied, 1 vacant. How should this be rated."/>
    <x v="2"/>
    <s v="Questions to agent: current dec, verify-is it a 2 unit rental. How long vacant? What are the plans. May need to come up with a &quot;blended&quot; rate in between occupied and vacant depending on answers. May need to check coverage to see how vacant limitations apply to a 2 unit structure.//5/3/17 found online reference to this address being a bar. Photo looks like 2 story. Confused on what we are insuring. Email to agent."/>
    <m/>
    <m/>
    <s v="Patterson"/>
    <m/>
    <m/>
    <n v="0"/>
  </r>
  <r>
    <x v="101"/>
    <s v="Hull Irvine"/>
    <m/>
    <s v="Alison"/>
    <s v="Call"/>
    <s v="Summers, Clint"/>
    <m/>
    <x v="0"/>
    <m/>
    <x v="3"/>
    <m/>
    <x v="0"/>
    <x v="0"/>
    <x v="0"/>
    <s v="Mobile home on property"/>
    <s v="Agnt writing a primary home that shares a property with a manufactured home that is rented out by the insured. "/>
    <x v="3"/>
    <s v="Agent will exclude the mfg home and gather proof of insurance to ensure liability is in place.  Agent later called back saying mfg home was assembled on site and bolted to a permanent foundation. I advised unless it is MODULAR, we would not be able to do it.  Mobile/mfg homes can be &quot;assembled&quot; onsite (doublewide-2 sides) and they can have a perm foundation."/>
    <m/>
    <m/>
    <s v="Patterson"/>
    <m/>
    <m/>
    <n v="0"/>
  </r>
  <r>
    <x v="101"/>
    <s v="Hull Irvine"/>
    <m/>
    <s v="Alison"/>
    <s v="Call"/>
    <s v="Charles Wooten LLC"/>
    <m/>
    <x v="6"/>
    <s v="Venice "/>
    <x v="1"/>
    <m/>
    <x v="0"/>
    <x v="0"/>
    <x v="0"/>
    <s v="Duplex"/>
    <s v="Insured is buying and renovating a duplex. 1st floor is unit 1, 2nd floor is unit 2. Anything unusual?"/>
    <x v="4"/>
    <s v="Basically a 2 family, just unique configuration."/>
    <m/>
    <m/>
    <s v="Patterson"/>
    <m/>
    <m/>
    <n v="0"/>
  </r>
  <r>
    <x v="102"/>
    <s v="Hull Irvine"/>
    <m/>
    <s v="Alison"/>
    <s v="Call"/>
    <m/>
    <m/>
    <x v="19"/>
    <m/>
    <x v="3"/>
    <m/>
    <x v="0"/>
    <x v="0"/>
    <x v="0"/>
    <s v="vacant/condo"/>
    <s v="vacant condo, wants to do DP3 for about $850K coverage A"/>
    <x v="2"/>
    <s v="Discussing with Melissa "/>
    <m/>
    <m/>
    <s v="Burdine"/>
    <m/>
    <m/>
    <n v="0"/>
  </r>
  <r>
    <x v="103"/>
    <s v="Burns"/>
    <s v="MI"/>
    <s v="Leslie"/>
    <s v="Email"/>
    <s v="Beck, Timothy"/>
    <m/>
    <x v="0"/>
    <s v="Vevay"/>
    <x v="17"/>
    <m/>
    <x v="0"/>
    <x v="0"/>
    <x v="0"/>
    <s v="Business on premise"/>
    <s v="Inspection revealed a business on the property in a separate structure. Business hires out electrical contractors. Insd daughter works with him + 2 other employees. No foot traffic. GL/Prop covg in place for business. Agent wishes to quote w/Total Business Exclusion and exclude Oth Str."/>
    <x v="4"/>
    <m/>
    <m/>
    <m/>
    <s v="Patterson"/>
    <m/>
    <m/>
    <n v="0"/>
  </r>
  <r>
    <x v="104"/>
    <s v="Hull Horsham"/>
    <s v="PA"/>
    <s v="Tamika"/>
    <s v="Email"/>
    <m/>
    <m/>
    <x v="0"/>
    <m/>
    <x v="3"/>
    <m/>
    <x v="0"/>
    <x v="0"/>
    <x v="0"/>
    <s v="Named insured "/>
    <s v="Husband passed away - his name is on deed - wife still lives in home. Can we write coverage? "/>
    <x v="4"/>
    <s v="She is a named insured. Yes, we can write an owner occupied HO3."/>
    <m/>
    <m/>
    <s v="Patterson"/>
    <m/>
    <m/>
    <n v="0"/>
  </r>
  <r>
    <x v="105"/>
    <s v="Hull Horsham"/>
    <m/>
    <s v="Tamika"/>
    <s v="Email"/>
    <s v="Albanese"/>
    <m/>
    <x v="0"/>
    <s v="Avalon"/>
    <x v="2"/>
    <m/>
    <x v="0"/>
    <x v="0"/>
    <x v="0"/>
    <s v="Prior loss"/>
    <s v="High valued secondary with large prior fire loss. Insured hired a contractor to do work. They started a fire with a space heater. Repairs complete. Not sure on subro. Seacoast coming in at $4700 w/tax/fees. Markel at $4817 w/ no charge yet for loss."/>
    <x v="2"/>
    <s v="Tamika getting fire report. If 100% subro, we could consider not charging. Need prior carrier. No reduction in rate."/>
    <m/>
    <m/>
    <s v="Patterson"/>
    <m/>
    <m/>
    <n v="0"/>
  </r>
  <r>
    <x v="106"/>
    <s v="Hull Horsham"/>
    <m/>
    <s v="Ray"/>
    <s v="Email"/>
    <s v="Ciampaglio, Robert"/>
    <m/>
    <x v="20"/>
    <m/>
    <x v="3"/>
    <m/>
    <x v="0"/>
    <x v="0"/>
    <x v="0"/>
    <s v="Waive minimum earned"/>
    <s v="Agent asking if they can modify minimum earned requirements to 60%."/>
    <x v="4"/>
    <s v="VIP client and trying to foster agent relationship."/>
    <m/>
    <m/>
    <s v="Patterson"/>
    <m/>
    <m/>
    <n v="0"/>
  </r>
  <r>
    <x v="107"/>
    <s v="Burns"/>
    <s v="MI"/>
    <s v="Alexa"/>
    <s v="Email"/>
    <s v="Voegtly, Carl"/>
    <m/>
    <x v="21"/>
    <s v="Young"/>
    <x v="7"/>
    <m/>
    <x v="6"/>
    <x v="0"/>
    <x v="0"/>
    <s v="Woodstove primary heat"/>
    <s v="1974 cabin updated in 2005. Home is winterized and never used in winter. Checked temperatures for area (AZ). Non-winter months never have freezing temps. Insured says stove is rarely used."/>
    <x v="3"/>
    <s v="Subj to rating as PC9 (confusion on what it really was-all documentation had a different PC); also acceptable WBS quest."/>
    <m/>
    <m/>
    <s v="Patterson"/>
    <s v="X"/>
    <s v="Check WBS quest. Make sure issued at PC9.  No policy on file 7.31.17"/>
    <n v="0"/>
  </r>
  <r>
    <x v="107"/>
    <s v="Hull Irvine"/>
    <m/>
    <s v="Melissa"/>
    <s v="Email"/>
    <s v="Silva, Gabriel &amp; Wendy"/>
    <m/>
    <x v="0"/>
    <m/>
    <x v="3"/>
    <m/>
    <x v="0"/>
    <x v="0"/>
    <x v="0"/>
    <s v="Backdate"/>
    <s v="There was confusion at retail office and agent accidentally deleted an email from his associates in box so they missed the bind request.  5/11/17 request to go back to 5/8/17 with SNL."/>
    <x v="4"/>
    <m/>
    <m/>
    <m/>
    <s v="Patterson"/>
    <m/>
    <m/>
    <n v="0"/>
  </r>
  <r>
    <x v="108"/>
    <s v="Hull Irvine"/>
    <m/>
    <s v="Alex"/>
    <s v="Call"/>
    <s v="The Columbia Hotel Inc."/>
    <m/>
    <x v="15"/>
    <m/>
    <x v="3"/>
    <m/>
    <x v="0"/>
    <x v="0"/>
    <x v="0"/>
    <s v="Corporate Name"/>
    <s v="Risk in corp name for tax purposes. The insured leases home back from corp and lives there as their primary. Agent wants to give this more of an HO3 rate (agree). Adding the rental endorsement. Issuing w/premises liab only. Insured will have their own HO4.`"/>
    <x v="4"/>
    <m/>
    <m/>
    <m/>
    <s v="Patterson"/>
    <m/>
    <m/>
    <n v="0"/>
  </r>
  <r>
    <x v="108"/>
    <s v="RPS Covington"/>
    <m/>
    <s v="Suzanne"/>
    <s v="Email"/>
    <s v="Lake House"/>
    <m/>
    <x v="8"/>
    <m/>
    <x v="3"/>
    <m/>
    <x v="0"/>
    <x v="0"/>
    <x v="0"/>
    <s v="House over water"/>
    <s v="Non-floating home extended over water.  Newer roof. Condition a little rough, may just need paint. "/>
    <x v="3"/>
    <s v="Make sure updates are good. Order EHP to get eyes inside. "/>
    <m/>
    <m/>
    <s v="Patterson"/>
    <m/>
    <m/>
    <n v="0"/>
  </r>
  <r>
    <x v="109"/>
    <s v="Hull Irvine"/>
    <m/>
    <s v="Kameron"/>
    <s v="Email"/>
    <s v="Hudachek, Robert"/>
    <m/>
    <x v="0"/>
    <s v="Lake Arrowhead"/>
    <x v="3"/>
    <m/>
    <x v="0"/>
    <x v="0"/>
    <x v="0"/>
    <s v="Dock"/>
    <s v="Is dock away from premises covered?"/>
    <x v="1"/>
    <s v="Close to a mile away and owned/used by another cabin owner. Advised we are not comfortable amending address to include - too far away and less control over who would use it."/>
    <s v="Note - policy was already issued. This just clarified we wouldn't cover the dock."/>
    <m/>
    <s v="Patterson"/>
    <m/>
    <m/>
    <n v="1"/>
  </r>
  <r>
    <x v="110"/>
    <s v="Hull Charlotte"/>
    <m/>
    <s v="Alia"/>
    <s v="Email"/>
    <s v="Certified Service Dog"/>
    <m/>
    <x v="22"/>
    <m/>
    <x v="3"/>
    <m/>
    <x v="0"/>
    <x v="0"/>
    <x v="0"/>
    <s v="Pit bull service dog"/>
    <s v="Alia asking about insuring an HO4 for a client with a pit bull that is certified as a service dog."/>
    <x v="2"/>
    <s v="Sent list of questions and info needed to review."/>
    <m/>
    <m/>
    <s v="Patterson"/>
    <m/>
    <m/>
    <n v="0"/>
  </r>
  <r>
    <x v="110"/>
    <s v="ASL"/>
    <s v="VA"/>
    <s v="Charity"/>
    <s v="Email"/>
    <s v="Morame, Claudius EVN16010131"/>
    <m/>
    <x v="2"/>
    <m/>
    <x v="3"/>
    <m/>
    <x v="0"/>
    <x v="0"/>
    <x v="0"/>
    <s v="Repairs"/>
    <s v="Policy was cancelled due to repairs not made after inspection found issues. Insured has now repaired. Pol cancelled 5/2. Proof attached of repairs. Can agt reinstate."/>
    <x v="2"/>
    <s v="Charity said original insp was attached - I can't tell. Advised we could RW w/lapse unless there is a lien and there can't be a gap. Need signed statement."/>
    <m/>
    <m/>
    <s v="Patterson"/>
    <m/>
    <m/>
    <n v="0"/>
  </r>
  <r>
    <x v="111"/>
    <s v="Hull Irvine"/>
    <m/>
    <s v="Melissa"/>
    <s v="Email"/>
    <s v="HUCAH150001008"/>
    <m/>
    <x v="1"/>
    <m/>
    <x v="3"/>
    <m/>
    <x v="0"/>
    <x v="0"/>
    <x v="0"/>
    <s v="Occupancy"/>
    <s v="COC is almost complete, contents moving in. Interior cleanup, roof and railings still needed. Can they switch to secondary?"/>
    <x v="2"/>
    <s v="More info needed."/>
    <m/>
    <m/>
    <s v="Patterson"/>
    <m/>
    <m/>
    <n v="0"/>
  </r>
  <r>
    <x v="111"/>
    <s v="Hull Irvine"/>
    <m/>
    <s v="Alex"/>
    <s v="Call"/>
    <s v="Polycomp Trust"/>
    <m/>
    <x v="0"/>
    <m/>
    <x v="3"/>
    <m/>
    <x v="0"/>
    <x v="0"/>
    <x v="0"/>
    <s v="Trust name"/>
    <s v="Polycomp Trust is a self-directed IRA. "/>
    <x v="2"/>
    <s v="Advised if Alex wants to pursue further I can send to claims."/>
    <m/>
    <m/>
    <s v="Patterson"/>
    <m/>
    <m/>
    <n v="0"/>
  </r>
  <r>
    <x v="111"/>
    <s v="Hull Irvine"/>
    <m/>
    <s v="Melissa"/>
    <s v="Email"/>
    <s v="HUCAH150000517 "/>
    <m/>
    <x v="0"/>
    <m/>
    <x v="3"/>
    <m/>
    <x v="0"/>
    <x v="0"/>
    <x v="0"/>
    <s v="Proof of repair"/>
    <s v="Policy is renewing. Insured needs 30 more days to provide proof of repairs."/>
    <x v="4"/>
    <s v="This is a seasonal. This is a good agent. Insd needs more time to get the proof. Repairs are done."/>
    <m/>
    <m/>
    <s v="Patterson"/>
    <m/>
    <m/>
    <n v="0"/>
  </r>
  <r>
    <x v="112"/>
    <s v="Hull Irvine"/>
    <m/>
    <s v="Alex"/>
    <s v="Call"/>
    <s v=" "/>
    <m/>
    <x v="0"/>
    <m/>
    <x v="3"/>
    <m/>
    <x v="0"/>
    <x v="0"/>
    <x v="0"/>
    <s v="Occupancy"/>
    <s v="Insured is buying home but will rent it out for 2-3 months before moving in. Okay to write as HO3 w/ higher rate for the rental.  "/>
    <x v="4"/>
    <m/>
    <m/>
    <m/>
    <s v="Patterson"/>
    <m/>
    <m/>
    <n v="0"/>
  </r>
  <r>
    <x v="112"/>
    <s v="Hull Irvine"/>
    <m/>
    <s v="Alex"/>
    <s v="Call"/>
    <m/>
    <m/>
    <x v="1"/>
    <m/>
    <x v="3"/>
    <m/>
    <x v="0"/>
    <x v="0"/>
    <x v="0"/>
    <s v="Occupancy"/>
    <s v="Insured purchasing home now. Will be vacant until July or August, then renovation, then move in.  Can we write an HO3 COC. May be vacant for &gt;60 days."/>
    <x v="3"/>
    <s v="If it gets near 60 days call us and we will evaluate a possible extension of time for the 60 day restriction not to apply. Advised an alarm system may help. Likely it will be a short time like 10 days. Insd has to be in home by 9/1."/>
    <m/>
    <m/>
    <s v="Patterson"/>
    <m/>
    <m/>
    <n v="0"/>
  </r>
  <r>
    <x v="113"/>
    <s v="ASL"/>
    <s v="VA"/>
    <s v="Charity"/>
    <s v="Email"/>
    <m/>
    <m/>
    <x v="2"/>
    <m/>
    <x v="3"/>
    <m/>
    <x v="0"/>
    <x v="0"/>
    <x v="0"/>
    <s v="Personal injury"/>
    <s v="Can they offer Personal Injury on a home that is not owner/primary."/>
    <x v="2"/>
    <s v="Advised we typically do not.  They should look to their primary."/>
    <m/>
    <m/>
    <s v="Patterson"/>
    <m/>
    <m/>
    <n v="0"/>
  </r>
  <r>
    <x v="113"/>
    <s v="Hull Irvine"/>
    <m/>
    <s v="Alex"/>
    <s v="Call"/>
    <m/>
    <m/>
    <x v="1"/>
    <m/>
    <x v="3"/>
    <m/>
    <x v="0"/>
    <x v="0"/>
    <x v="0"/>
    <s v="Term extension"/>
    <s v="We wrote a COC that the insured intended to move into. Now they have decided to sell and move after construction. They need 1 month more to finish, policy expires in 1 week."/>
    <x v="3"/>
    <s v="Very good agent for Alex. Agreed to offer options of 3 month fully earned or 1 month w/15% surcharge on annualized premium."/>
    <m/>
    <m/>
    <s v="Patterson"/>
    <m/>
    <m/>
    <n v="0"/>
  </r>
  <r>
    <x v="114"/>
    <s v="Hull Horsham"/>
    <s v="PA"/>
    <s v="Tamika"/>
    <s v="Email"/>
    <s v="Balster, Estate of Joan"/>
    <m/>
    <x v="5"/>
    <s v="Mormora"/>
    <x v="9"/>
    <m/>
    <x v="0"/>
    <x v="0"/>
    <x v="0"/>
    <s v="30 day policy"/>
    <s v="Nonrenewed 6/18/17 due to 2 years vacant. Insd needs 30 days additional to complete sale."/>
    <x v="4"/>
    <s v="20% s/c on pro-rated premium. 30 day fully earned."/>
    <m/>
    <m/>
    <s v="Patterson"/>
    <m/>
    <m/>
    <n v="0"/>
  </r>
  <r>
    <x v="114"/>
    <s v="Hull Horsham"/>
    <s v="PA"/>
    <s v="Nichole"/>
    <s v="Email"/>
    <s v="Delgrosso, Jay"/>
    <m/>
    <x v="2"/>
    <m/>
    <x v="25"/>
    <m/>
    <x v="0"/>
    <x v="0"/>
    <x v="0"/>
    <s v="Earthquake"/>
    <s v="Agent wants to know if we can add EQ to this policy?  (Not part of program)"/>
    <x v="1"/>
    <s v="Not creating rates for 1. We can if there is a market. (Discussed w/Jeff)"/>
    <m/>
    <m/>
    <s v="Patterson"/>
    <m/>
    <m/>
    <n v="1"/>
  </r>
  <r>
    <x v="115"/>
    <s v="Burns NC"/>
    <m/>
    <s v="Anella"/>
    <s v="Email"/>
    <s v="Post, Robert"/>
    <m/>
    <x v="0"/>
    <m/>
    <x v="3"/>
    <m/>
    <x v="0"/>
    <x v="0"/>
    <x v="0"/>
    <s v="Balusters"/>
    <s v="Are horizontal balusters okay? Photo shows what appears to be no more than 4&quot; apart."/>
    <x v="4"/>
    <m/>
    <m/>
    <m/>
    <s v="Patterson"/>
    <m/>
    <m/>
    <n v="0"/>
  </r>
  <r>
    <x v="116"/>
    <s v="Hull Irvine"/>
    <m/>
    <s v="Alex"/>
    <s v="Call"/>
    <s v="Lane, Michael &amp; Connie"/>
    <m/>
    <x v="23"/>
    <m/>
    <x v="3"/>
    <m/>
    <x v="0"/>
    <x v="0"/>
    <x v="0"/>
    <s v="Rental barn"/>
    <s v="Insured has a 1600' barn which is rented to their caretaker who oversees seasonal property for reduced rent. "/>
    <x v="3"/>
    <s v="Agent will rate as 2 family, str rented to others, secondary 20+ rental rate."/>
    <m/>
    <m/>
    <s v="Patterson"/>
    <m/>
    <m/>
    <n v="0"/>
  </r>
  <r>
    <x v="117"/>
    <s v="Hull Charlotte"/>
    <m/>
    <s v="Brittney"/>
    <s v="Email"/>
    <s v="Sheubrooks, Richard &amp; Muriel"/>
    <m/>
    <x v="1"/>
    <m/>
    <x v="3"/>
    <m/>
    <x v="0"/>
    <x v="0"/>
    <x v="0"/>
    <s v="2 month extension"/>
    <s v="NCRUA014304 construction will be done 2 months after expiration, needs extension. "/>
    <x v="3"/>
    <s v="Profitable and good account.Pro-rate renewal prem +10%. 100% earned."/>
    <m/>
    <m/>
    <s v="Patterson"/>
    <m/>
    <m/>
    <n v="0"/>
  </r>
  <r>
    <x v="118"/>
    <s v="Hull Irvine"/>
    <m/>
    <s v="Melissa"/>
    <s v="Email"/>
    <s v="Alford, Joseph &amp; Dawn"/>
    <m/>
    <x v="0"/>
    <m/>
    <x v="3"/>
    <m/>
    <x v="0"/>
    <x v="0"/>
    <x v="0"/>
    <s v="Renewal lapse"/>
    <s v="Issue with agents mail delivery. Pol renewed 5/31. Insd mailed payment 5/24. "/>
    <x v="3"/>
    <s v="Ok w/ signed no loss letter."/>
    <m/>
    <m/>
    <s v="Patterson"/>
    <m/>
    <m/>
    <n v="0"/>
  </r>
  <r>
    <x v="118"/>
    <s v="ASL"/>
    <s v="VA"/>
    <s v="Charity"/>
    <s v="Email"/>
    <s v="Butler, Kiemoni"/>
    <m/>
    <x v="24"/>
    <m/>
    <x v="3"/>
    <m/>
    <x v="0"/>
    <x v="0"/>
    <x v="0"/>
    <s v="Renewal lapse"/>
    <s v="Agency mis-typed eff date as 6/8, should have been 6/3."/>
    <x v="4"/>
    <s v="No signed no loss letter required since agency error."/>
    <m/>
    <m/>
    <s v="Patterson"/>
    <m/>
    <m/>
    <n v="0"/>
  </r>
  <r>
    <x v="119"/>
    <s v="Hull Charlotte"/>
    <m/>
    <s v="Brittney"/>
    <s v="Email"/>
    <s v="Nesbitt, Jeremy &amp; Kara"/>
    <m/>
    <x v="0"/>
    <s v="Georgetown "/>
    <x v="20"/>
    <m/>
    <x v="6"/>
    <x v="0"/>
    <x v="0"/>
    <s v="Change PC?"/>
    <s v="Letters included asking for change from PC9 to 4."/>
    <x v="2"/>
    <s v="Additional info needed."/>
    <m/>
    <m/>
    <s v="Patterson"/>
    <m/>
    <m/>
    <n v="0"/>
  </r>
  <r>
    <x v="120"/>
    <s v="Hull Horsham"/>
    <m/>
    <s v="Tamika"/>
    <s v="Call"/>
    <s v="McNeil, Justine"/>
    <m/>
    <x v="0"/>
    <s v="Philadelphia"/>
    <x v="2"/>
    <m/>
    <x v="0"/>
    <x v="0"/>
    <x v="0"/>
    <s v="Flat roof"/>
    <s v="Roof is new. We don't have revised guidelines yet but I have been offering $5K water ded if roof replaced in last 10 years."/>
    <x v="3"/>
    <s v="$5K ded. Very nice neighborhood per Tamika."/>
    <m/>
    <m/>
    <s v="Patterson"/>
    <m/>
    <m/>
    <n v="0"/>
  </r>
  <r>
    <x v="121"/>
    <s v="Hull Horsham"/>
    <m/>
    <s v="Tamika"/>
    <s v="Email"/>
    <s v="Barna-Dowling, Heather"/>
    <m/>
    <x v="15"/>
    <s v="Jim Thorpe"/>
    <x v="2"/>
    <m/>
    <x v="0"/>
    <x v="0"/>
    <x v="0"/>
    <s v="Step hazard"/>
    <s v="Rear wall behind home has steps on it with inadequate railing. Historic section built by Army Corps of Engineers"/>
    <x v="0"/>
    <s v="Remove non-historic steps, or put an adequate barrier and sign to deter access.// 6/21 reviewed photo and asked for more photos."/>
    <m/>
    <m/>
    <s v="Patterson"/>
    <m/>
    <m/>
    <n v="0"/>
  </r>
  <r>
    <x v="121"/>
    <s v="SCU"/>
    <s v="CO"/>
    <s v="Alison"/>
    <s v="Email"/>
    <s v="Wolff, Gregory &amp; Tonya"/>
    <m/>
    <x v="16"/>
    <s v="Conifer"/>
    <x v="19"/>
    <m/>
    <x v="0"/>
    <x v="0"/>
    <x v="0"/>
    <s v="3 mortgagees"/>
    <s v="Insured has the loan for the property split up between 3 different IRA's who hold different portions of ownership. "/>
    <x v="4"/>
    <s v="This looks like financial management vs. financial crisis."/>
    <m/>
    <m/>
    <s v="Patterson"/>
    <m/>
    <m/>
    <n v="0"/>
  </r>
  <r>
    <x v="122"/>
    <s v="Hull Horsham"/>
    <m/>
    <s v="Nichole"/>
    <s v="Email"/>
    <s v="Arms  RUA18452"/>
    <m/>
    <x v="5"/>
    <m/>
    <x v="3"/>
    <m/>
    <x v="0"/>
    <x v="0"/>
    <x v="0"/>
    <s v="Estate sale"/>
    <s v="Estate sale being held at this property for 3 days. Company running the sale has liab ins. "/>
    <x v="4"/>
    <s v="Nothing in pol language that excludes coverage."/>
    <m/>
    <m/>
    <s v="Patterson"/>
    <m/>
    <m/>
    <n v="0"/>
  </r>
  <r>
    <x v="122"/>
    <s v="Hull Irvine"/>
    <m/>
    <s v="Melissa"/>
    <s v="Email"/>
    <s v="Mortazavi HUCAH 150000729"/>
    <m/>
    <x v="0"/>
    <s v="Laguna Beach "/>
    <x v="1"/>
    <m/>
    <x v="0"/>
    <x v="0"/>
    <x v="0"/>
    <s v="Flat roof"/>
    <s v="2016 home w/ metal roof. Agent says 2006 flat roof. Clarified it is 2016. Insp says flat."/>
    <x v="4"/>
    <s v="$5K ded approved - looks like very nice home!"/>
    <m/>
    <m/>
    <s v="Patterson"/>
    <m/>
    <m/>
    <n v="0"/>
  </r>
  <r>
    <x v="122"/>
    <s v="Hull Horsham"/>
    <m/>
    <s v="Lisa"/>
    <s v="Email"/>
    <m/>
    <m/>
    <x v="1"/>
    <m/>
    <x v="3"/>
    <m/>
    <x v="0"/>
    <x v="0"/>
    <x v="0"/>
    <s v="ID Fraud"/>
    <s v="Can ID Fraud be added to a Builders Risk?"/>
    <x v="4"/>
    <s v="This is more personal than risk related. Don't see a reason not to add."/>
    <m/>
    <m/>
    <s v="Patterson"/>
    <m/>
    <m/>
    <n v="0"/>
  </r>
  <r>
    <x v="122"/>
    <s v="Hull Irvine"/>
    <m/>
    <s v="Alex"/>
    <s v="Call"/>
    <s v="Dauphinias, William  HUCAH1510000558"/>
    <m/>
    <x v="1"/>
    <m/>
    <x v="3"/>
    <m/>
    <x v="0"/>
    <x v="0"/>
    <x v="0"/>
    <s v="Extend COC"/>
    <s v="Insured received a 1 month extension from us past 1 year. They recently were getting ready to get occupancy permit and the sprinklers malfunctioned causing a flood loss to 2 of 3 floors. GC is going after sub for damage and system repair. Need additional time. "/>
    <x v="3"/>
    <s v="Issue 1 year term eff 7/2/17 with ability to pro-rate cancellation."/>
    <m/>
    <m/>
    <s v="Patterson"/>
    <m/>
    <m/>
    <n v="0"/>
  </r>
  <r>
    <x v="123"/>
    <s v="Hull Horsham"/>
    <m/>
    <s v="Tamika"/>
    <s v="Call"/>
    <s v="Gary Ruel Trust"/>
    <m/>
    <x v="0"/>
    <m/>
    <x v="3"/>
    <m/>
    <x v="0"/>
    <x v="0"/>
    <x v="0"/>
    <s v="Occupancy"/>
    <s v="Family left home to adult child in name of trust.  Individual is disabled. Brother of individual has trust in his name and he is caretaker for home. Okay to write HO-3."/>
    <x v="4"/>
    <s v="Owner occupied situation. Home taken care of by family member."/>
    <m/>
    <m/>
    <s v="Patterson"/>
    <m/>
    <m/>
    <n v="0"/>
  </r>
  <r>
    <x v="123"/>
    <s v="Hull Irvine"/>
    <m/>
    <s v="Alison"/>
    <s v="Call"/>
    <s v="Devista LLC"/>
    <m/>
    <x v="5"/>
    <s v="Los Angeles"/>
    <x v="1"/>
    <m/>
    <x v="0"/>
    <x v="0"/>
    <x v="0"/>
    <s v="Flat roof"/>
    <s v="New flat roof. Can we go with $5K ded?"/>
    <x v="4"/>
    <s v="Home for sale. Photo in file. Very nice. Brand new renovation - new roof."/>
    <m/>
    <m/>
    <s v="Patterson"/>
    <m/>
    <m/>
    <n v="0"/>
  </r>
  <r>
    <x v="124"/>
    <s v="Burns NC"/>
    <s v="MI"/>
    <s v="Anella"/>
    <s v="Email"/>
    <m/>
    <m/>
    <x v="0"/>
    <m/>
    <x v="11"/>
    <m/>
    <x v="0"/>
    <x v="0"/>
    <x v="0"/>
    <s v="Diving board"/>
    <s v="Risk has a diving board per inspection. Agent wants to know if there is a pool exclusion."/>
    <x v="1"/>
    <s v="Must send cancellation unless diving board can be removed.  No pool excl and can't exclude liab."/>
    <m/>
    <m/>
    <s v="Patterson"/>
    <m/>
    <m/>
    <n v="1"/>
  </r>
  <r>
    <x v="125"/>
    <s v="Hull Horsham"/>
    <m/>
    <s v="Tamika"/>
    <s v="Call"/>
    <s v="Northeast Real Holdings LLC"/>
    <m/>
    <x v="0"/>
    <m/>
    <x v="3"/>
    <m/>
    <x v="0"/>
    <x v="0"/>
    <x v="0"/>
    <s v="Business in home"/>
    <s v="Insured has a signmaking business next door to primary dwelling. Separate address, GL. There is a front room in his dwelling that he uses as a mini showroom. 5 customers a week on average. Insd doesn't know if GL extends. "/>
    <x v="3"/>
    <s v="Approved X-liability.  Don't see need to add Total Business Exclusion because there really isn't a physical damage exposure with the public traffic."/>
    <m/>
    <m/>
    <s v="Patterson"/>
    <m/>
    <m/>
    <n v="0"/>
  </r>
  <r>
    <x v="126"/>
    <s v="Hull Irvine"/>
    <m/>
    <s v="Alex"/>
    <s v="Call"/>
    <s v="Kellerhouse"/>
    <m/>
    <x v="1"/>
    <m/>
    <x v="1"/>
    <m/>
    <x v="0"/>
    <x v="0"/>
    <x v="0"/>
    <s v="Farming on premises"/>
    <s v="Vacant land with no house, COC ground up. Area will be fenced during construction. Insured has grapefruit and avocado on property. Someone rents this from them and picks it. They have a GL with insured as addl insured. No liab - it is extended from their current primary. Will add total business exclusion."/>
    <x v="4"/>
    <m/>
    <m/>
    <m/>
    <s v="Patterson"/>
    <m/>
    <m/>
    <n v="0"/>
  </r>
  <r>
    <x v="127"/>
    <s v="Hull Irvine"/>
    <m/>
    <s v="Alex"/>
    <s v="Call"/>
    <m/>
    <m/>
    <x v="1"/>
    <m/>
    <x v="1"/>
    <m/>
    <x v="0"/>
    <x v="0"/>
    <x v="0"/>
    <s v="Liability coverage"/>
    <s v="Insured is living in home during renovation and wants CPL and med pay. There is an exposure w/the workers. "/>
    <x v="4"/>
    <s v="We should go after Workers Comp is there is an injury. Insured living in their home needs this coverage.  Med Pay is limited to $5000 even if it did come back on us. Okay with the standard coverages."/>
    <m/>
    <m/>
    <s v="Patterson"/>
    <m/>
    <m/>
    <n v="0"/>
  </r>
  <r>
    <x v="127"/>
    <s v="Hull Irvine"/>
    <m/>
    <s v="Alex"/>
    <s v="Call"/>
    <s v="Fioravanti"/>
    <m/>
    <x v="0"/>
    <m/>
    <x v="1"/>
    <m/>
    <x v="0"/>
    <x v="0"/>
    <x v="0"/>
    <s v="Loss Surcharge"/>
    <s v="There was a PAF loss at prior property.  PAF is on a stand alone policy. They believe babysitter took jewelry - 2016 mysterious disappearance loss. Should this be charged?"/>
    <x v="4"/>
    <s v="Yes. It is a reflection on the insured's history and should be charged."/>
    <m/>
    <m/>
    <s v="Patterson"/>
    <m/>
    <m/>
    <n v="0"/>
  </r>
  <r>
    <x v="128"/>
    <s v="Burns NC"/>
    <m/>
    <s v="Craig"/>
    <s v="Email"/>
    <s v="Woodfin, Courtney &amp; Christopher"/>
    <m/>
    <x v="0"/>
    <m/>
    <x v="3"/>
    <m/>
    <x v="0"/>
    <x v="0"/>
    <x v="0"/>
    <s v="Lapse"/>
    <s v="We approved risk w/lapse 6 weeks ago.  Coverage was not pursued and now they want to bind."/>
    <x v="1"/>
    <s v="Told Craig if there is a good story we can consider. Otherwise we wish to pass."/>
    <s v="Discussed w/Tim"/>
    <m/>
    <s v="Patterson"/>
    <m/>
    <m/>
    <n v="1"/>
  </r>
  <r>
    <x v="129"/>
    <s v="Hull Irvine"/>
    <m/>
    <s v="Alex"/>
    <s v="Email"/>
    <s v="Kirkland"/>
    <m/>
    <x v="1"/>
    <m/>
    <x v="1"/>
    <m/>
    <x v="0"/>
    <x v="0"/>
    <x v="0"/>
    <s v="Motorhome on property"/>
    <s v="Insured is living in a motor home on the 20 acre property during construction. Do we have any concern with premises liability. Ground up construction of home at the front, motor home is at the back."/>
    <x v="4"/>
    <m/>
    <m/>
    <m/>
    <s v="Patterson"/>
    <m/>
    <m/>
    <n v="0"/>
  </r>
  <r>
    <x v="130"/>
    <s v="Hull Irvine"/>
    <m/>
    <s v="Alex"/>
    <s v="Call"/>
    <s v="Lan Liu"/>
    <m/>
    <x v="1"/>
    <m/>
    <x v="1"/>
    <m/>
    <x v="0"/>
    <x v="0"/>
    <x v="0"/>
    <s v="No address"/>
    <s v="Insured building ground up COC. No address yet - it is Lot 49. In gated community. Mail going to neighbor. Insd lives in China."/>
    <x v="3"/>
    <s v="subject to confirmation that responding FD can find the location."/>
    <m/>
    <m/>
    <s v="Patterson"/>
    <m/>
    <m/>
    <n v="0"/>
  </r>
  <r>
    <x v="131"/>
    <s v="Hull Irvine"/>
    <m/>
    <s v="Alex"/>
    <s v="Email"/>
    <s v="Michaelson, Marc"/>
    <m/>
    <x v="0"/>
    <m/>
    <x v="3"/>
    <m/>
    <x v="0"/>
    <x v="0"/>
    <x v="0"/>
    <s v="Deductible"/>
    <s v="Agent inquiring about $25K AOP deductible. Wants to save $."/>
    <x v="1"/>
    <s v="Advised agent it reaches a point of diminishing returns where we can only give a few points for $10K to $25K AOP. If they really want, let me know and I will work w/Bethany on a number."/>
    <m/>
    <m/>
    <s v="Patterson"/>
    <m/>
    <m/>
    <n v="1"/>
  </r>
  <r>
    <x v="131"/>
    <s v="Hull Horsham"/>
    <m/>
    <s v="Tamika"/>
    <s v="Call"/>
    <m/>
    <m/>
    <x v="5"/>
    <m/>
    <x v="3"/>
    <m/>
    <x v="0"/>
    <x v="0"/>
    <x v="0"/>
    <s v="Occupancy"/>
    <s v="Insured is a doctor in the process of retiring. This risk was written as a vacant dwelling, but it is actually used as his medical practice with 3-4 patients per week, no residential use other than he eats lunch there on the day(s) he sees patients. Agent non-renewed. Retailer wants to know how we can stay on it. Tamika did refer this commercially, they reached out but agent has not replied there. Trying to keep this policy."/>
    <x v="1"/>
    <s v="Risk is not being used as a dwelling. It is commercial medical office. Should be insured commercially. "/>
    <m/>
    <m/>
    <s v="Patterson"/>
    <m/>
    <m/>
    <n v="1"/>
  </r>
  <r>
    <x v="132"/>
    <s v="Hull Stockton"/>
    <m/>
    <s v="Lisa"/>
    <s v="Call"/>
    <s v="Pham, Ashley HUCAH150002467"/>
    <m/>
    <x v="2"/>
    <m/>
    <x v="3"/>
    <m/>
    <x v="0"/>
    <x v="0"/>
    <x v="0"/>
    <s v="Builders Risk"/>
    <s v="Agent found out from inspection that duplex is half rented, half under reno. Can they write DP3 coverage needed for the side that is rented?  "/>
    <x v="4"/>
    <m/>
    <m/>
    <m/>
    <s v="Patterson"/>
    <m/>
    <m/>
    <n v="0"/>
  </r>
  <r>
    <x v="132"/>
    <s v="Hull Irvine"/>
    <m/>
    <s v="Alison"/>
    <s v="Email"/>
    <m/>
    <m/>
    <x v="8"/>
    <m/>
    <x v="3"/>
    <m/>
    <x v="0"/>
    <x v="0"/>
    <x v="0"/>
    <s v="6 renters"/>
    <s v="Small homeowners which agent found online is renting individual rooms. Turns out it is to 6 individuals. Agent wants to decline."/>
    <x v="1"/>
    <m/>
    <m/>
    <m/>
    <s v="Patterson"/>
    <m/>
    <m/>
    <n v="1"/>
  </r>
  <r>
    <x v="133"/>
    <s v="Hull Irvine"/>
    <m/>
    <s v="Bobbi"/>
    <s v="Email"/>
    <s v="Campbell, Barton &amp; Susetter HUCAH150000817"/>
    <m/>
    <x v="0"/>
    <m/>
    <x v="3"/>
    <m/>
    <x v="0"/>
    <x v="0"/>
    <x v="0"/>
    <s v="Roof age"/>
    <s v="1970 home with roof exclusion. Renewal coming up. Roof is metal tile and per inspection looks like in good condition. Agent wants to add covg back for roof."/>
    <x v="3"/>
    <s v="If we get a roofer statement, can consider adding ACV roof."/>
    <s v="Statement rec'd. 5-10 years left. Gave Ok for ACV, advised be sure insured aware needs to replace w/in that time frame. K.Burdine"/>
    <m/>
    <s v="Patterson"/>
    <m/>
    <m/>
    <n v="0"/>
  </r>
  <r>
    <x v="133"/>
    <s v="Hull Irvine"/>
    <m/>
    <s v="Alex"/>
    <s v="Call"/>
    <s v="Western Equity Partners"/>
    <m/>
    <x v="6"/>
    <m/>
    <x v="3"/>
    <m/>
    <x v="0"/>
    <x v="0"/>
    <x v="0"/>
    <s v="Named insured "/>
    <s v="NI is 4 individuals acting together to purchase, reno and sell.  They individually own other houses as well.  This is not a conglomerate.  Okay to keep on PL?"/>
    <x v="4"/>
    <m/>
    <m/>
    <m/>
    <s v="Patterson"/>
    <m/>
    <m/>
    <n v="0"/>
  </r>
  <r>
    <x v="133"/>
    <s v="Burns"/>
    <s v="MI"/>
    <s v="Jill"/>
    <s v="Email/Call"/>
    <s v="Rose, Jeffery BWH72635164"/>
    <m/>
    <x v="0"/>
    <s v="Fairplay "/>
    <x v="19"/>
    <m/>
    <x v="0"/>
    <x v="0"/>
    <x v="0"/>
    <s v="Cosmetic hail form"/>
    <s v="Since inception and for 2 renewals, the policy has not had the cosmetic hail form. Jill just caught it. Asking her to look into what happened at branch or SRD. System ok now? Everyone on board w/applying? She is asking if we have to add it or can we continue without."/>
    <x v="3"/>
    <s v="Remove 7.455 credit to get back to square one, then apply a 3% surcharge. This gets to about 10.5 surcharge. Hailscore is 1, so okay to proceed with surchage in place of form. Very nice overall log style home."/>
    <m/>
    <m/>
    <s v="Patterson"/>
    <m/>
    <m/>
    <n v="0"/>
  </r>
  <r>
    <x v="133"/>
    <s v="Hull Irvine"/>
    <s v=" "/>
    <s v="Alex"/>
    <s v="Call/Email"/>
    <s v="Campbell   "/>
    <m/>
    <x v="0"/>
    <m/>
    <x v="3"/>
    <m/>
    <x v="0"/>
    <x v="0"/>
    <x v="0"/>
    <s v="Business use other structure"/>
    <s v="Insured has an off premises retail store and stores antique items (inventory) in her barn on premises.  Property is insured elsewhere, needs barn coverage."/>
    <x v="3"/>
    <s v="Full submission coming. Policy itself covers this. Add Total Business Excl."/>
    <m/>
    <m/>
    <s v="Patterson"/>
    <m/>
    <m/>
    <n v="0"/>
  </r>
  <r>
    <x v="134"/>
    <s v="Hull Irvine"/>
    <m/>
    <s v="Melissa"/>
    <s v="Email"/>
    <s v="Cohanim, Ilana HUCAH15000000848"/>
    <m/>
    <x v="6"/>
    <m/>
    <x v="3"/>
    <m/>
    <x v="0"/>
    <x v="0"/>
    <x v="0"/>
    <s v="Prior loss"/>
    <s v="Agent reviewing for renewal terms and wanted claim detail and advice on how to proceed. "/>
    <x v="3"/>
    <s v="Advised ok if occupied. If for sale, vacant or still builders risk, would not offer renewal terms. $41K loss 9/16 for VMM at dwelling."/>
    <m/>
    <m/>
    <s v="Patterson"/>
    <m/>
    <m/>
    <n v="0"/>
  </r>
  <r>
    <x v="134"/>
    <s v="Hull Irvine"/>
    <m/>
    <s v="Alison"/>
    <s v="Call"/>
    <s v="Kreymer, Mark"/>
    <m/>
    <x v="2"/>
    <m/>
    <x v="3"/>
    <m/>
    <x v="0"/>
    <x v="0"/>
    <x v="0"/>
    <s v="Triplex Liability"/>
    <s v="Agent has a triplex which has turned out to be 3 separate units w/3 separate addresses. Discussed writing as 3 separate DP policies w/liability charge for each."/>
    <x v="4"/>
    <m/>
    <m/>
    <m/>
    <s v="Patterson"/>
    <m/>
    <m/>
    <n v="0"/>
  </r>
  <r>
    <x v="135"/>
    <s v="Burns"/>
    <s v="MI"/>
    <s v="Jill"/>
    <s v="Email"/>
    <m/>
    <m/>
    <x v="6"/>
    <m/>
    <x v="1"/>
    <m/>
    <x v="0"/>
    <x v="0"/>
    <x v="0"/>
    <s v="COC or renovation"/>
    <s v="Agent inquiring about whether a CA risk is ground up or renovation. One wall is being left. "/>
    <x v="3"/>
    <s v="Watch out for demolition! We could write after it is done. "/>
    <m/>
    <m/>
    <s v="Patterson"/>
    <m/>
    <m/>
    <n v="0"/>
  </r>
  <r>
    <x v="136"/>
    <s v="Hull Irvine"/>
    <m/>
    <s v="Melissa"/>
    <s v="Email"/>
    <s v="Haugh"/>
    <s v="Lucille   HUCAH150002573  "/>
    <x v="8"/>
    <m/>
    <x v="3"/>
    <m/>
    <x v="0"/>
    <x v="0"/>
    <x v="0"/>
    <s v="Flat roof"/>
    <s v="Request to apply lower deductible to partial flat roof updated in 2010. "/>
    <x v="3"/>
    <s v="Approved if truly replaced. $2,500 ded and 10% s/c or $5,000 ded."/>
    <m/>
    <m/>
    <s v="Patterson"/>
    <m/>
    <m/>
    <n v="0"/>
  </r>
  <r>
    <x v="136"/>
    <s v="Hull Irvine"/>
    <m/>
    <s v="Melissa"/>
    <s v="Email"/>
    <s v="Blameuser"/>
    <s v="Robin  HUCAH150002356 "/>
    <x v="8"/>
    <m/>
    <x v="3"/>
    <m/>
    <x v="0"/>
    <x v="0"/>
    <x v="0"/>
    <s v="Railing"/>
    <s v="Home has steps with no railing. Wall on one side, dirt bank on the other. "/>
    <x v="4"/>
    <m/>
    <m/>
    <m/>
    <s v="Patterson"/>
    <m/>
    <m/>
    <n v="0"/>
  </r>
  <r>
    <x v="137"/>
    <s v="Hull Irvine"/>
    <m/>
    <s v="Melissa"/>
    <s v="Email"/>
    <s v="Munakash"/>
    <s v="Robert &amp; Jennifer"/>
    <x v="0"/>
    <m/>
    <x v="3"/>
    <m/>
    <x v="0"/>
    <x v="0"/>
    <x v="0"/>
    <s v="Prior loss"/>
    <s v="It is renewing 7/28 with Lex, however, Lex has removed Sect. II liability due to a claim. The loss date was 3/1/2011 for insider trading. The underwriter provided the following description:_x000a_ _x000a_“The SEC filed suit against our insured for insider trading; our insured misappropriated information from a friend that GSI Commerce would be acquired by Ebay; suit alleges insured traded while inn possession of this information”_x000a_ _x000a_The claim was denied by AIG on 8/16/2016.  "/>
    <x v="1"/>
    <s v="When integrity is questioned I don't feel comfortable writing the risk at all."/>
    <m/>
    <m/>
    <s v="Patterson"/>
    <m/>
    <m/>
    <n v="1"/>
  </r>
  <r>
    <x v="137"/>
    <s v="Hull Irvine"/>
    <m/>
    <s v="Alison"/>
    <s v="Call/Email"/>
    <s v="Cliffside Holdings LLC"/>
    <m/>
    <x v="2"/>
    <s v="Malibu"/>
    <x v="1"/>
    <m/>
    <x v="0"/>
    <x v="0"/>
    <x v="0"/>
    <s v="2 dwellings on same property"/>
    <s v="Insured buying 2 homes on same property and inheriting a tenant whose rent is calculated into the sale. Should this be 1 policy or 2? How are loss of rents covered?"/>
    <x v="3"/>
    <s v="May be renovating within a year. Unknown since this is new. Decided best long term decision is 2 separate policies. Provided policy language re loss of rents."/>
    <m/>
    <m/>
    <s v="Patterson"/>
    <m/>
    <m/>
    <n v="0"/>
  </r>
  <r>
    <x v="138"/>
    <s v="Hull Horsham"/>
    <m/>
    <s v="Sonia"/>
    <s v="Email"/>
    <s v="Chang"/>
    <s v="Joseph"/>
    <x v="1"/>
    <m/>
    <x v="3"/>
    <m/>
    <x v="0"/>
    <x v="0"/>
    <x v="0"/>
    <s v="3rd COC renewal"/>
    <s v="Policy coming up for 3rd term. 6 months left to go on builders risk. Interior work left."/>
    <x v="3"/>
    <s v="Asked agt why the delay. If no issues, just a long time, add 10%. If concern, refer back."/>
    <m/>
    <n v="10"/>
    <s v="Patterson"/>
    <m/>
    <m/>
    <n v="0"/>
  </r>
  <r>
    <x v="138"/>
    <s v="Hull Irvine"/>
    <m/>
    <s v="Alex"/>
    <s v="Call"/>
    <s v="Anson   HUCAH150002385"/>
    <s v="Weston &amp; Bailey, Susan"/>
    <x v="0"/>
    <m/>
    <x v="1"/>
    <m/>
    <x v="0"/>
    <x v="0"/>
    <x v="0"/>
    <s v="Tree in deck"/>
    <s v="1922 home updated, good condition except some roof damage which is in the process of being repaired -excluding until done - contractor scheduled for tomorrow. There is an 80 year old tree growing through deck and near house. They have maintained it. Can we write?"/>
    <x v="3"/>
    <s v="Retain an arborist to confirm safety of tree and that growth won't damage deck or home. Determine growth rate for long term assurance.//8/21 received arborist report. Tree needs to be removed.//8/22 Can they have more than 30 days - yes since they are wokring on it."/>
    <m/>
    <n v="32"/>
    <s v="Patterson"/>
    <m/>
    <m/>
    <n v="0"/>
  </r>
  <r>
    <x v="138"/>
    <s v="Hull Irvine"/>
    <m/>
    <s v="Alex"/>
    <s v="Call"/>
    <s v="Russell"/>
    <s v="John"/>
    <x v="0"/>
    <m/>
    <x v="1"/>
    <m/>
    <x v="0"/>
    <x v="0"/>
    <x v="0"/>
    <s v="Non compliance inspection"/>
    <s v="Risk bound in April. Insured went to Alaska in mid-May for 3 months, known trip. Insp co wasted time scheduling and now can't do interior insp. Neighbor can't be reached. Retailer is difficult, but insured is innocent in this.1975 home w/07 updates, all pex plumbing. Can we stay on until 9/15 inspection."/>
    <x v="3"/>
    <s v="Okay to wait, already past 30 days. If any issues or if insured doesn't cooperate w/9/15 insp, send mid-term cancellation"/>
    <m/>
    <n v="13"/>
    <s v="Patterson"/>
    <m/>
    <m/>
    <n v="0"/>
  </r>
  <r>
    <x v="138"/>
    <s v="Burns NC"/>
    <m/>
    <s v="Lauren"/>
    <s v="Email"/>
    <s v="Creasey    BHX100046"/>
    <s v="David R"/>
    <x v="0"/>
    <s v="Atlantic "/>
    <x v="11"/>
    <m/>
    <x v="0"/>
    <x v="0"/>
    <x v="0"/>
    <s v="Inspection compliance"/>
    <s v="Inspection noted siding repair was needed. Insured has contracted with someone but it will take 30-45 days to complete. Copy of contract received. Other repair completed nicely."/>
    <x v="4"/>
    <m/>
    <m/>
    <n v="12"/>
    <s v="Patterson"/>
    <m/>
    <m/>
    <n v="0"/>
  </r>
  <r>
    <x v="139"/>
    <s v="Hull Irvine"/>
    <m/>
    <s v="Alison"/>
    <s v="Call"/>
    <s v="Unknown"/>
    <m/>
    <x v="0"/>
    <m/>
    <x v="1"/>
    <m/>
    <x v="0"/>
    <x v="0"/>
    <x v="0"/>
    <s v="Open claims"/>
    <s v="Insd has 2 open water claims w/Kemper and has hired a public adjuster. He is suing Kemper. Pipe and AC leakage. Not all damage repaired"/>
    <x v="1"/>
    <s v="Insured is suing his own co and hasn't made repairs since Jan 2017."/>
    <m/>
    <n v="7"/>
    <s v="Patterson"/>
    <m/>
    <m/>
    <n v="1"/>
  </r>
  <r>
    <x v="140"/>
    <s v="Hull Irvine"/>
    <m/>
    <s v="Alison"/>
    <s v="Email"/>
    <s v="Piazza HUCAH150002729"/>
    <s v="David &amp; Stephanie"/>
    <x v="25"/>
    <m/>
    <x v="3"/>
    <m/>
    <x v="0"/>
    <x v="0"/>
    <x v="0"/>
    <s v="Bike/bicycle and kayak on rental property"/>
    <s v="Is there coverage?  Referred back to Burns policy from 3/24/17 for answers."/>
    <x v="4"/>
    <m/>
    <m/>
    <n v="17"/>
    <s v="Patterson"/>
    <m/>
    <m/>
    <n v="0"/>
  </r>
  <r>
    <x v="141"/>
    <s v="Hull Stockton"/>
    <m/>
    <s v="Kirk"/>
    <s v="Call"/>
    <s v="Goel"/>
    <s v="Ashish"/>
    <x v="0"/>
    <m/>
    <x v="3"/>
    <m/>
    <x v="0"/>
    <x v="0"/>
    <x v="0"/>
    <s v="Plumbing"/>
    <s v="1950 home partially updated. Home has &quot;cast iron plumbing 10%&quot;. We assume it is drain lines, but not sure. "/>
    <x v="3"/>
    <s v="Okay if it is drain lines. If supply lines, it is a concern. Insd willing to get licensed plumber to inspect. Kirk will proceed with that."/>
    <m/>
    <n v="12"/>
    <s v="Patterson"/>
    <m/>
    <m/>
    <n v="0"/>
  </r>
  <r>
    <x v="142"/>
    <s v="Burns"/>
    <s v="MI"/>
    <s v="Jill"/>
    <s v="Email"/>
    <s v="Gomez-Cuetara"/>
    <s v="Florencio &amp; Roya"/>
    <x v="0"/>
    <m/>
    <x v="3"/>
    <m/>
    <x v="0"/>
    <x v="0"/>
    <x v="0"/>
    <s v="Addl Interest"/>
    <s v="Insd filed chapter 11 and wants Govt AI name added. Approval attached is for a different insured. Can't find an approval in file."/>
    <x v="1"/>
    <s v="Need to check app to see how bankruptcy quest was answered. Run ins score and check date. //8/8 addl info requested. //8/10 asked agt to mid term cancel or nonrenew to get us off this risk as quickly as legally possible due to concern w/financial condition. Refused to add AI (sometimes this causes risk to move)"/>
    <s v="Husband's score 762, no bankruptcy. Lots of large and dismissed debt. Wife's score is 729 w/ recent business bankruptcy. $90K judgements. Much dismissed debt. (yes, 62 min is correct as of 8/10)"/>
    <n v="62"/>
    <s v="Patterson"/>
    <m/>
    <m/>
    <n v="1"/>
  </r>
  <r>
    <x v="143"/>
    <s v="Burns"/>
    <s v="MI"/>
    <s v="Alexa"/>
    <s v="Email"/>
    <s v="Ellsworth"/>
    <s v="Anthony Skeen"/>
    <x v="0"/>
    <m/>
    <x v="3"/>
    <m/>
    <x v="0"/>
    <x v="0"/>
    <x v="0"/>
    <s v="Brush clearance"/>
    <s v="Policy originally issued in 2016. Burns sent DNOC for inadequate clearance. They provided photos from agent and note from insured saying they cleared to 100'. Advised this was not adequate.  Agent now asking to offer renewal terms."/>
    <x v="1"/>
    <s v="What addl info was received that proved adequate clearance? No new info is in the file sent after my declination on 12/2.//8/9 Leslie pointed out this is not a brush zone. Advised DNOC should not have been issued.  Okay to renew."/>
    <m/>
    <n v="41"/>
    <s v="Patterson"/>
    <m/>
    <m/>
    <n v="1"/>
  </r>
  <r>
    <x v="143"/>
    <s v="Hull Irvine"/>
    <m/>
    <s v="Alison"/>
    <s v="Call"/>
    <s v="TBD - agent emailing"/>
    <m/>
    <x v="0"/>
    <s v="Santa Maria"/>
    <x v="1"/>
    <m/>
    <x v="0"/>
    <x v="0"/>
    <x v="0"/>
    <s v="Liability hazard"/>
    <s v="Insured sets up a large model railroad in yard 2-3X year w/buildings. Advertises to churches, sr center, neighbors, children. Juice &amp; cookies served. Sign-in, helpers. "/>
    <x v="3"/>
    <s v="Insured must get an event policy for each event. Referred to Jamie Gregory for possible schedule of the railroad."/>
    <m/>
    <n v="30"/>
    <s v="Patterson"/>
    <m/>
    <m/>
    <n v="0"/>
  </r>
  <r>
    <x v="144"/>
    <s v="Hull Irvine"/>
    <m/>
    <s v="Melissa"/>
    <s v="Call/Email"/>
    <s v="Binafard"/>
    <s v="Babak and Farahmand, Haleh"/>
    <x v="0"/>
    <m/>
    <x v="3"/>
    <m/>
    <x v="0"/>
    <x v="0"/>
    <x v="0"/>
    <s v="Flat roof"/>
    <s v="1960 home updated in 2001. Home has flat roof. Nice condition. Comp roll. Agreed to allow $5000 full water damage ded as this was how it was originally issued. Agt didn't know of flat roof and they missed fixing the ded when the insp came in. "/>
    <x v="4"/>
    <s v="Roof guidelines still under discussion."/>
    <m/>
    <n v="10"/>
    <s v="Patterson"/>
    <m/>
    <m/>
    <n v="0"/>
  </r>
  <r>
    <x v="144"/>
    <s v="Burns"/>
    <s v="MI"/>
    <s v="Jeff"/>
    <s v="Email"/>
    <s v="Wilkins   BWH104238"/>
    <s v="Barbara"/>
    <x v="7"/>
    <m/>
    <x v="3"/>
    <m/>
    <x v="0"/>
    <x v="0"/>
    <x v="0"/>
    <s v="Occupancy"/>
    <s v="Two homes on the same property. How to insure?"/>
    <x v="3"/>
    <s v="We’ve handled this situation a couple of different ways.  We prefer not to add the two Cov A’s together as we feel it could really create confusion at claim time.  You can:_x000a_• Switch the homes around – insure the higher valued one under Cov A and the lower under Cov B_x000a_• Write two separate policies, one for each home_x000a_"/>
    <m/>
    <n v="10"/>
    <s v="Patterson"/>
    <m/>
    <m/>
    <n v="0"/>
  </r>
  <r>
    <x v="144"/>
    <s v="Burns"/>
    <s v="MI"/>
    <s v="Danielle"/>
    <s v="Email"/>
    <s v="Martinez   BWH109293"/>
    <s v="Debbi"/>
    <x v="0"/>
    <s v="Pine Valley"/>
    <x v="1"/>
    <m/>
    <x v="0"/>
    <x v="0"/>
    <x v="0"/>
    <s v="Brush clearance"/>
    <s v="Inspection showed brush issue. Insured provided clearance photos. Agt asking for 2nd opinion if I think it is acceptable."/>
    <x v="0"/>
    <s v="Appear insufficient. Provided extensive Cal Fire forms and info to support clearance requirements."/>
    <m/>
    <n v="22"/>
    <s v="Patterson"/>
    <m/>
    <m/>
    <n v="0"/>
  </r>
  <r>
    <x v="145"/>
    <s v="Hull Horsham"/>
    <s v="PA"/>
    <s v="Andrea"/>
    <s v="Email"/>
    <s v="Foster Properties Unlimited LLC"/>
    <s v="Foster Properties Unlimited LLC"/>
    <x v="23"/>
    <m/>
    <x v="26"/>
    <m/>
    <x v="7"/>
    <x v="0"/>
    <x v="0"/>
    <s v="Protection Class"/>
    <s v="three properties, short term rentals, agent that Nichole is trying to grow, one PCQ provided -10-20 response time"/>
    <x v="3"/>
    <s v="Requested separate PCQs if able; also advised if purely rental, no owner occupancy at any point through year, need to be rated as a rental. Advised prefer 15 min response time, but after reviewing new PCQ may be considered w/ appropriate surcharge; advised would need LLC questionnaire if we continue"/>
    <s v="approved w/ condition: acceptable LLC quest; will quote as rental, will surcharge 20% for each property at 20 min response time; separate PCQ or indication on the 1 which addresses it applies to"/>
    <m/>
    <s v="K.Burdine"/>
    <m/>
    <m/>
    <n v="0"/>
  </r>
  <r>
    <x v="146"/>
    <s v="Burns"/>
    <s v="MI"/>
    <s v="Leslie"/>
    <s v="Email"/>
    <s v="Anjam"/>
    <s v="Zafir"/>
    <x v="26"/>
    <m/>
    <x v="1"/>
    <m/>
    <x v="4"/>
    <x v="0"/>
    <x v="0"/>
    <s v="PC 10/TIV"/>
    <s v="insured needs builders risk, just received home back from settlement w/ex-wife, and property wasn't well cared for. Renovations include: painting, windows, roof, floors. No walls. Home is accessible year round. Inspection was attached. No losses, CS alarm, premium $14,816. No GC as types of work easily subbed out"/>
    <x v="4"/>
    <s v="Confirmed with LT that OK with BR instead of vacant, even though no GC being used. OK w/ premium and inspection reviewed"/>
    <m/>
    <m/>
    <s v="K.Burdine"/>
    <m/>
    <m/>
    <n v="0"/>
  </r>
  <r>
    <x v="147"/>
    <s v="Hull Irvine"/>
    <m/>
    <s v="Alex"/>
    <s v="Call"/>
    <s v="CA Building Structure"/>
    <m/>
    <x v="2"/>
    <m/>
    <x v="3"/>
    <m/>
    <x v="0"/>
    <x v="0"/>
    <x v="0"/>
    <s v="Occupancy"/>
    <s v="Insured has purchased a dwelling in his business name. He and other employees stay here when they are doing solar panel jobs in the area. "/>
    <x v="3"/>
    <s v="No business use, average # of employees (no more than expected on STR risk). Residential only."/>
    <m/>
    <n v="17"/>
    <s v="Patterson"/>
    <m/>
    <m/>
    <n v="0"/>
  </r>
  <r>
    <x v="147"/>
    <s v="Burns"/>
    <s v="MI"/>
    <s v="Danielle"/>
    <s v="Email"/>
    <s v="Huang "/>
    <s v="Edwyn Charles"/>
    <x v="27"/>
    <m/>
    <x v="3"/>
    <m/>
    <x v="0"/>
    <x v="0"/>
    <x v="0"/>
    <s v="Builders Risk"/>
    <s v="Agent wants to add $200,000 schedule of shoes worn one time for promotions and then displayed around his condo.  This was referred and approved by Markel Specialty. // 8/23 found out condo will be under construction. Checked on regularly."/>
    <x v="4"/>
    <s v="Provided referral info to Markel Specialty."/>
    <m/>
    <n v="29"/>
    <s v="Patterson"/>
    <m/>
    <m/>
    <n v="0"/>
  </r>
  <r>
    <x v="147"/>
    <s v="Burns"/>
    <s v="MI"/>
    <s v="Jill"/>
    <s v="Email"/>
    <m/>
    <m/>
    <x v="28"/>
    <m/>
    <x v="3"/>
    <m/>
    <x v="0"/>
    <x v="0"/>
    <x v="0"/>
    <s v="Stand alone other structure"/>
    <s v="Shipping container on fenced/secured vacant lot. Would this be other structures?"/>
    <x v="2"/>
    <s v="Asked addl questions to determine if this was other structure on HO-3 or as a DP-1 stand alone; Could consider."/>
    <m/>
    <n v="18"/>
    <s v="Patterson"/>
    <m/>
    <m/>
    <n v="0"/>
  </r>
  <r>
    <x v="148"/>
    <s v="Hull Horsham"/>
    <s v="NJ"/>
    <s v="Lisa"/>
    <s v="Email"/>
    <m/>
    <m/>
    <x v="0"/>
    <s v="Roseland"/>
    <x v="9"/>
    <m/>
    <x v="0"/>
    <x v="0"/>
    <x v="0"/>
    <s v="Aluminum wiring"/>
    <s v="1970 home w/aluminum wiring. Insured purchasing 9/20. Electrician is pigtailing copper wire. "/>
    <x v="1"/>
    <s v="Reviewed https://www.cpsc.gov/s3fs-public/516.pdf and declined to agent."/>
    <m/>
    <n v="18"/>
    <s v="Patterson"/>
    <m/>
    <m/>
    <n v="1"/>
  </r>
  <r>
    <x v="149"/>
    <s v="Hull Irvine"/>
    <s v="CA"/>
    <s v="Alex"/>
    <s v="Call"/>
    <m/>
    <m/>
    <x v="8"/>
    <m/>
    <x v="1"/>
    <m/>
    <x v="0"/>
    <x v="0"/>
    <x v="0"/>
    <s v="Scheduled Personal Property"/>
    <s v="Alex was inquiring about scheduling a $3,000 bicycle that a 7th grader rides to school. It is locked in a bike rack with other bikes and left outside. Lex and Lloyds will write. He said a $75-$100 rate would be okay."/>
    <x v="1"/>
    <s v="Discussed w/Jeff &amp; Louisa and they agreed we are not interested."/>
    <m/>
    <n v="12"/>
    <s v="Patterson"/>
    <m/>
    <m/>
    <n v="1"/>
  </r>
  <r>
    <x v="150"/>
    <s v="Hull Irvine"/>
    <s v="CA"/>
    <s v="Alison"/>
    <s v="Call"/>
    <s v="Corella"/>
    <s v="John"/>
    <x v="0"/>
    <m/>
    <x v="3"/>
    <m/>
    <x v="0"/>
    <x v="0"/>
    <x v="0"/>
    <s v="Floor heat"/>
    <s v="1970 dwelling w/&quot;floor heat&quot;. No info on what this means. 50 years old original."/>
    <x v="3"/>
    <s v="If this is in cement elec floor heat, should be okay. Suggest heat contractor inspection due to age. If other, let me know.//8/30 turns out to be gas heater in the floor, radiates throughout house. Inspected today by hvac contractor and all is in good condn."/>
    <m/>
    <n v="14"/>
    <s v="Patterson"/>
    <m/>
    <m/>
    <n v="0"/>
  </r>
  <r>
    <x v="150"/>
    <s v="Hull Irvine"/>
    <s v="CA"/>
    <s v="Alison"/>
    <s v="Call"/>
    <s v="Doud"/>
    <s v="Joseph"/>
    <x v="0"/>
    <m/>
    <x v="3"/>
    <m/>
    <x v="0"/>
    <x v="0"/>
    <x v="0"/>
    <s v="Horse at another location"/>
    <s v="Insured's daughter keeps her horse at grandparents house. She is only rider. Goes to rodeo once a month."/>
    <x v="3"/>
    <s v="We can write the risk if there are no other issues but it does not appear the animal liab form extends liab to an insured animal in someone elses control."/>
    <m/>
    <n v="10"/>
    <s v="Patterson"/>
    <m/>
    <m/>
    <n v="0"/>
  </r>
  <r>
    <x v="150"/>
    <s v="Hull Irvine"/>
    <s v="CA"/>
    <s v="Alex"/>
    <s v="Call"/>
    <s v="Roberts"/>
    <m/>
    <x v="0"/>
    <s v="Hidden Valley Lake"/>
    <x v="1"/>
    <m/>
    <x v="0"/>
    <x v="0"/>
    <x v="0"/>
    <s v="Construction"/>
    <s v="Insured is referring to their home as manufactured. Agent shared photos and online reference. Reviewed neighborhood and other homes. Does not at all appear to be manufactured. Maybe modular. Agent will proceed and have inspector check carefully."/>
    <x v="3"/>
    <s v="Inspector carefully check.  Looks like a site built home in and out. All online sources refer to it as site built."/>
    <m/>
    <n v="8"/>
    <s v="Patterson"/>
    <m/>
    <m/>
    <n v="0"/>
  </r>
  <r>
    <x v="151"/>
    <s v="Hull Irvine"/>
    <s v="CA"/>
    <s v="Alex"/>
    <s v="Call"/>
    <s v="Lanigan"/>
    <m/>
    <x v="1"/>
    <m/>
    <x v="3"/>
    <m/>
    <x v="0"/>
    <x v="0"/>
    <x v="0"/>
    <s v="Tail end construction/Open loss"/>
    <s v="Owner occupied renovation w/several months left. Insured moving in now. Any rate relief since insured is going to be living there and reno is not extensive?  1910 risk was gutted to studs in 1995. Due to open loss, agent changed mind about rate credit originally requested. Claim due to clogged/dripping sink on 2nd floor. $33K reserve."/>
    <x v="0"/>
    <s v="Tear out from water loss 100% complete and under repair. No undiscovered damage. Insd bought home appx 1 year ago and it has been under reno since. Online pics and info are okay and confirm this.  Applied addl 10% for tail end construction.//Alex called back. He thought I understood the construction situation. He had already revealed an indication without the addl 10% s/c. Pondered and felt we could do it at the quoted rate. It is owner occupied and rebuilt.  .22 rate and we may keep it."/>
    <m/>
    <n v="27"/>
    <s v="Patterson"/>
    <m/>
    <m/>
    <n v="0"/>
  </r>
  <r>
    <x v="152"/>
    <s v="Burns"/>
    <s v="MI"/>
    <s v="Jill"/>
    <s v="Email"/>
    <s v="Unknown"/>
    <m/>
    <x v="28"/>
    <m/>
    <x v="27"/>
    <m/>
    <x v="0"/>
    <x v="0"/>
    <x v="0"/>
    <s v="Stand alone other structure"/>
    <s v="Airplane hangar"/>
    <x v="2"/>
    <s v="Submit with full details and pricing."/>
    <m/>
    <n v="10"/>
    <s v="Patterson"/>
    <m/>
    <m/>
    <n v="0"/>
  </r>
  <r>
    <x v="152"/>
    <s v="Hull Irvine"/>
    <s v="CA"/>
    <s v="Alex"/>
    <s v="Call"/>
    <s v="Say"/>
    <s v="Geza"/>
    <x v="29"/>
    <s v="Catalina"/>
    <x v="1"/>
    <m/>
    <x v="0"/>
    <x v="0"/>
    <x v="0"/>
    <s v="Lapse"/>
    <s v="Quoted renewal eff 7/28. Agent followed up with insured but no reply. Now insured wants policy. Alex proposing renew with lapse with SNL."/>
    <x v="4"/>
    <m/>
    <m/>
    <n v="8"/>
    <s v="Patterson"/>
    <m/>
    <m/>
    <n v="0"/>
  </r>
  <r>
    <x v="152"/>
    <s v="Hull Irvine"/>
    <s v="CA"/>
    <s v="Alex"/>
    <s v="Call"/>
    <s v="LOP Rentals LLC"/>
    <m/>
    <x v="0"/>
    <m/>
    <x v="3"/>
    <m/>
    <x v="0"/>
    <x v="0"/>
    <x v="0"/>
    <s v="Occupancy"/>
    <s v="Risk in the name of LLC which is brother and sister who inherited home when father died. Alex proposing to write as HO3 since brother Charles is living there. "/>
    <x v="4"/>
    <s v=" This is an owner occupied exposure."/>
    <m/>
    <n v="10"/>
    <s v="Patterson"/>
    <m/>
    <m/>
    <n v="0"/>
  </r>
  <r>
    <x v="153"/>
    <s v="Burns"/>
    <s v="MI"/>
    <s v="Jill"/>
    <s v="Call"/>
    <s v="Richards"/>
    <s v="Byron"/>
    <x v="28"/>
    <m/>
    <x v="3"/>
    <m/>
    <x v="0"/>
    <x v="0"/>
    <x v="0"/>
    <s v="Eligibility"/>
    <s v="Steel airplane hangar owned by insured is located at a small regional airport. Used for storage, nothing hazardous. Insured used to own a plane. No concerning exposures in the area. Good security."/>
    <x v="4"/>
    <m/>
    <m/>
    <n v="12"/>
    <s v="Patterson"/>
    <m/>
    <m/>
    <n v="0"/>
  </r>
  <r>
    <x v="153"/>
    <s v="Hull Irvine"/>
    <s v="CA"/>
    <s v="Bobbi"/>
    <s v="Call"/>
    <s v="Siegel"/>
    <m/>
    <x v="1"/>
    <m/>
    <x v="3"/>
    <m/>
    <x v="0"/>
    <x v="0"/>
    <x v="0"/>
    <s v="Contents for COC"/>
    <s v="Insured is having house gutted. There is a detached garage that will remain untouched. Insured will store $70K of contents in it. Garage is locked. Insured is renting house in the neighborhood. No one has access to garage except insured."/>
    <x v="4"/>
    <m/>
    <m/>
    <n v="10"/>
    <s v="Patterson"/>
    <m/>
    <m/>
    <n v="0"/>
  </r>
  <r>
    <x v="154"/>
    <s v="Burns NC"/>
    <s v="NC"/>
    <s v="Lauren"/>
    <s v="Email"/>
    <s v="Mears"/>
    <s v="James  BHX100079"/>
    <x v="0"/>
    <m/>
    <x v="3"/>
    <m/>
    <x v="0"/>
    <x v="0"/>
    <x v="0"/>
    <s v="Balusters"/>
    <s v="Inspection shows horizontal balusters. Are we okay with those? Appear to be no more than 4&quot; apart. "/>
    <x v="3"/>
    <s v="Confirm no more than 4&quot; space."/>
    <m/>
    <n v="10"/>
    <s v="Patterson"/>
    <m/>
    <m/>
    <n v="0"/>
  </r>
  <r>
    <x v="154"/>
    <s v="Hull Irvine"/>
    <s v="CA"/>
    <s v="Alex"/>
    <s v="Call"/>
    <s v="Law Offices"/>
    <m/>
    <x v="8"/>
    <m/>
    <x v="1"/>
    <m/>
    <x v="0"/>
    <x v="0"/>
    <x v="0"/>
    <s v="Occupancy"/>
    <s v="Insured purchased a &quot;home&quot; using as an office. ADM market declined, can we quote in E&amp;S."/>
    <x v="1"/>
    <s v="This would be a commercial exposure since there is no residential use."/>
    <m/>
    <n v="9"/>
    <s v="Patterson"/>
    <m/>
    <m/>
    <n v="1"/>
  </r>
  <r>
    <x v="154"/>
    <s v="Hull Irvine"/>
    <s v="CA"/>
    <s v="Bobbi"/>
    <s v="Call"/>
    <s v="Czeschin"/>
    <m/>
    <x v="7"/>
    <s v="Mammoth Lakes"/>
    <x v="1"/>
    <m/>
    <x v="0"/>
    <x v="0"/>
    <x v="0"/>
    <s v="Occupancy"/>
    <s v="3 structures on premises. Primary home and 2 fourplexes that occupy full time long term tenants. "/>
    <x v="3"/>
    <s v="3 separate policies all with separate liability charges."/>
    <m/>
    <n v="7"/>
    <s v="Patterson"/>
    <m/>
    <m/>
    <n v="0"/>
  </r>
  <r>
    <x v="154"/>
    <s v="Hull Irvine"/>
    <s v="CA"/>
    <s v="Alex"/>
    <s v="Call/Email"/>
    <s v="Kate"/>
    <s v="Nina"/>
    <x v="0"/>
    <s v="Crestline"/>
    <x v="1"/>
    <m/>
    <x v="0"/>
    <x v="0"/>
    <x v="0"/>
    <s v="High profile"/>
    <s v="Insured is friends with Kat Von D and describes herself as an actress. Mostly insignificant movies. Not much online info. Online photos show baluster concern."/>
    <x v="4"/>
    <s v="Subj to acceptable balusters.  Agent has positive info noted in email in file. Agt knows business manager. Insd is moving to find a more quite lifestyle."/>
    <m/>
    <n v="18"/>
    <s v="Patterson"/>
    <m/>
    <m/>
    <n v="0"/>
  </r>
  <r>
    <x v="155"/>
    <s v="Burns"/>
    <s v="MI"/>
    <s v="Jill"/>
    <s v="Email"/>
    <s v="Day"/>
    <s v="Dennis &amp; Janice"/>
    <x v="0"/>
    <m/>
    <x v="3"/>
    <m/>
    <x v="0"/>
    <x v="0"/>
    <x v="0"/>
    <s v="Rate relief"/>
    <s v="VMGA rate $3334. Scottsdale rate $2377. (We have $10K backup) "/>
    <x v="1"/>
    <s v="Ran CQ rater, can't beat our rate."/>
    <s v="Reviewed with Bethany. Ran Tiger. Worked with Tiger over 2 days. Issue w/CQ rater. Resolved, but not getting a favorable rate. Much back and forth."/>
    <n v="58"/>
    <s v="Patterson"/>
    <m/>
    <m/>
    <n v="1"/>
  </r>
  <r>
    <x v="156"/>
    <s v="Hull Stockton"/>
    <s v="CA"/>
    <s v="Kirk"/>
    <s v="Call"/>
    <s v="Morgan"/>
    <s v="Janell &amp; Mark"/>
    <x v="0"/>
    <s v="Placerville"/>
    <x v="1"/>
    <m/>
    <x v="0"/>
    <x v="0"/>
    <x v="0"/>
    <s v="Business on premises"/>
    <s v="Insured grows veggies and crops and sells them at farm market. No employees. Owns 7 acres, but only part of this is garden. Was on a hobby farm policy with QBE."/>
    <x v="3"/>
    <s v="Apply Total Business Exclusion. Suggest small GL for business. Agent will recommend UFI policy to retailer."/>
    <m/>
    <n v="14"/>
    <s v="Patterson"/>
    <m/>
    <m/>
    <n v="0"/>
  </r>
  <r>
    <x v="157"/>
    <s v="Hull Irvine"/>
    <s v="CA"/>
    <s v="Alison"/>
    <s v="Call"/>
    <s v="West Of LLC"/>
    <m/>
    <x v="2"/>
    <s v="Newport Beach"/>
    <x v="1"/>
    <m/>
    <x v="0"/>
    <x v="0"/>
    <x v="0"/>
    <s v="Named insured "/>
    <s v="West Of is an LLC entity formed for ownership of the one rental property.  JKS-CMSV LLC is an entity that is managing the leasing. There was a request to add them as Addl Insd. Alison talked to them to clarify and they agreed Addl Int is ok. Both entities have the same members."/>
    <x v="4"/>
    <s v="Story went on and on and on and changed multiple times. Final info is that JKS LLC will not be listed at all. This is STR and no business use. Advised Alison not to proceed any further trying to nail down JKS interest since they are not going to be listed. It won't change the form."/>
    <m/>
    <n v="35"/>
    <s v="Patterson"/>
    <m/>
    <m/>
    <n v="0"/>
  </r>
  <r>
    <x v="158"/>
    <s v="Hull Charlotte"/>
    <s v="NC"/>
    <s v="Karen"/>
    <s v="Email"/>
    <s v="Ferguson"/>
    <s v="Esther"/>
    <x v="1"/>
    <s v="Charleston"/>
    <x v="20"/>
    <m/>
    <x v="0"/>
    <x v="0"/>
    <x v="0"/>
    <s v="Roof age"/>
    <s v="3 story dwelling/condo with roof last replaced in 1987. Karen says it is in great shape per Zillow. They applied roof exclusion but retailer wants it removed on this newly written risk eff 9/22/17. "/>
    <x v="3"/>
    <s v="Can consider removing excl when the insp comes back (must come to me for review). Meanwhile, I am willing to allow ACV roof vs Excl due to business Charlotte writes with us and that this is one of their great agents."/>
    <m/>
    <n v="32"/>
    <s v="Patterson"/>
    <m/>
    <m/>
    <n v="0"/>
  </r>
  <r>
    <x v="158"/>
    <s v="Hull Irvine"/>
    <s v="CA"/>
    <s v="Alex"/>
    <s v="Call"/>
    <s v="532 Huntley LLC"/>
    <m/>
    <x v="2"/>
    <s v="Los Angeles"/>
    <x v="1"/>
    <m/>
    <x v="0"/>
    <x v="0"/>
    <x v="0"/>
    <s v="No prior coverage"/>
    <s v="2 duplexes 1913 updated in 1990, ready to be updated again. We prev insured for 9/15-9/16 term. Uninsured since then. Homes were good condition then. Insd busy with many property deals and lost track of ins. Has assistant now. "/>
    <x v="3"/>
    <s v="Signed no loss and 15% surcharge."/>
    <m/>
    <n v="14"/>
    <s v="Patterson"/>
    <m/>
    <m/>
    <n v="0"/>
  </r>
  <r>
    <x v="159"/>
    <s v="Hull Horsham"/>
    <s v="PA"/>
    <s v="Tamika"/>
    <s v="Call/Email"/>
    <s v="Regen"/>
    <s v="Kevin"/>
    <x v="0"/>
    <m/>
    <x v="3"/>
    <m/>
    <x v="0"/>
    <x v="0"/>
    <x v="0"/>
    <s v="Open Loss"/>
    <s v="Details coming. Insured buying a new townhouse. Prior loss is from insured's 17 y/o autistic son. Cooking a pop tart,, it caught on fire. He put the toaster in the trash can to put it out. $236K damage. *Insured has hired a caregiver. Son will be supervised at all times. Central Alarms. Open claim is only for permit reimbursement and holdback for contents RC $2K total. Prior carrier is State Farm and they nonrenewed due to loss."/>
    <x v="3"/>
    <s v="Gave indication we can approve if fire marshal report checks out and everything is okay with the submission. Reviewed app, all looks okay. Subj to:   • Surcharge for loss + 10% additional surcharge because it is a large loss_x000a_• Please forward fire marshal report so I can review_x000a_• Rate as PC9_x000a_• Son has full time supervision by caregiver or insured_x000a_"/>
    <m/>
    <n v="32"/>
    <s v="Patterson"/>
    <m/>
    <m/>
    <n v="0"/>
  </r>
  <r>
    <x v="160"/>
    <s v="SCU"/>
    <s v="CO"/>
    <s v="Allison"/>
    <s v="Email"/>
    <s v="Great Lake Plumbing Co"/>
    <s v="MPLCO00001106"/>
    <x v="2"/>
    <m/>
    <x v="3"/>
    <m/>
    <x v="0"/>
    <x v="0"/>
    <x v="0"/>
    <s v="Existing damage"/>
    <s v="Insured pursuing lawsuit for siding, trim and fascia that was supposed to have a lifetime warranty and there is damage. Can we renew the risk?"/>
    <x v="3"/>
    <s v="Provided there is no water/weather infiltration, okay to renew.  If there is an issue, nonrenew."/>
    <m/>
    <n v="18"/>
    <s v="Patterson"/>
    <m/>
    <m/>
    <n v="0"/>
  </r>
  <r>
    <x v="161"/>
    <s v="Hull Irvine"/>
    <s v="CA"/>
    <s v="Melissa"/>
    <s v="Email"/>
    <s v="Kebert"/>
    <s v="Sandra &amp; Dewey  HUCAH150002721"/>
    <x v="0"/>
    <m/>
    <x v="3"/>
    <m/>
    <x v="0"/>
    <x v="0"/>
    <x v="0"/>
    <s v="Pool damage"/>
    <s v="Inspection revealed concrete damage along side of pool. Agt required repair. It is taking a while to get estimates. Agt asking for extension and will add pool exclusion."/>
    <x v="3"/>
    <s v="Advise insured of the excl. It excludes liab for their spa as well as pool and surrounding deck. Sent copy of form. Since it specifically excludes the deck, we are okay allowing all the time they want with the exclusion in place."/>
    <m/>
    <n v="16"/>
    <s v="Patterson"/>
    <m/>
    <m/>
    <n v="0"/>
  </r>
  <r>
    <x v="162"/>
    <s v="Hull Irvine"/>
    <s v="CA"/>
    <s v="Alex"/>
    <s v="Email"/>
    <s v="Wang"/>
    <s v="Johnathan"/>
    <x v="0"/>
    <m/>
    <x v="3"/>
    <m/>
    <x v="0"/>
    <x v="0"/>
    <x v="0"/>
    <s v="Backdate"/>
    <s v="Insured closed on 9/28/17 but didn't come in to agents office to sign papers until 9/30/17. (Didn't realize signature was needed to bind) Agent sent to Alex on Saturday. "/>
    <x v="3"/>
    <s v="Agreed to backdate with signed statement of no losses."/>
    <m/>
    <n v="8"/>
    <s v="Patterson"/>
    <m/>
    <m/>
    <n v="0"/>
  </r>
  <r>
    <x v="162"/>
    <s v="Hull Irvine"/>
    <s v="CA"/>
    <s v="Alison"/>
    <s v="Call"/>
    <s v="Ahouraian"/>
    <s v="Manijeh"/>
    <x v="0"/>
    <m/>
    <x v="1"/>
    <m/>
    <x v="0"/>
    <x v="0"/>
    <x v="0"/>
    <s v="Prior losses"/>
    <s v="Good risk given 5% credit to win for great agent. After A+ run, 2 $0 losses found. One was leak under bath that turned out to be under ded and was repaired. Another involved pool water damaging plants and furniture. Details will be developed."/>
    <x v="3"/>
    <s v="Discussed that since both losses will be surcharged. Since $0 confirmed, we will still allow the $5 credit."/>
    <m/>
    <n v="19"/>
    <s v="Patterson"/>
    <m/>
    <m/>
    <n v="0"/>
  </r>
  <r>
    <x v="163"/>
    <s v="Hull Horsham"/>
    <s v="PA"/>
    <s v="MacKenzie"/>
    <s v="Email"/>
    <s v="Finguerra"/>
    <s v="Kurt &amp; Cheryl"/>
    <x v="0"/>
    <m/>
    <x v="3"/>
    <m/>
    <x v="0"/>
    <x v="0"/>
    <x v="0"/>
    <s v="Renewal with new loss"/>
    <s v="Renewal was quoted with $10K water ded due to $17K pipe break to water heater on 8/9/17. 1988 dwelling. Only loss in 9 years. Agent surcharged for loss.  Would we be okay with $5K water ded?"/>
    <x v="3"/>
    <s v="Looks fine.  Pointed out issue on inspection - gas grill and bbq grill on small porch."/>
    <m/>
    <n v="16"/>
    <s v="Patterson"/>
    <m/>
    <m/>
    <n v="0"/>
  </r>
  <r>
    <x v="163"/>
    <s v="Hull Irvine"/>
    <s v="CA"/>
    <s v="Alex"/>
    <s v="Call"/>
    <s v="Khodorkovsky"/>
    <m/>
    <x v="0"/>
    <m/>
    <x v="3"/>
    <m/>
    <x v="0"/>
    <x v="0"/>
    <x v="0"/>
    <s v="Backdate"/>
    <s v="Risk expired on 9/29. Alex followed up on 9/28 and again yesterday.  Apparently the agent is no longer with the agency and the emails did not get handled properly. Alex asked about renewal w/o lapse."/>
    <x v="3"/>
    <s v="Can either write with new date or backdate and get SNL. Not insured's fault."/>
    <m/>
    <n v="10"/>
    <s v="Patterson"/>
    <m/>
    <m/>
    <n v="0"/>
  </r>
  <r>
    <x v="164"/>
    <s v="Hull Irvine"/>
    <s v="CA"/>
    <s v="Alex"/>
    <s v="Call"/>
    <s v="Izmirian"/>
    <m/>
    <x v="16"/>
    <m/>
    <x v="3"/>
    <m/>
    <x v="0"/>
    <x v="0"/>
    <x v="0"/>
    <s v="Occupancy"/>
    <s v="New 2017 build expiring w/Zurich 10/9/17. All that is left is to seal floors, install blinds and appliances, clean, inspect. Occupancy permit expected 11/10/17. Does this need to be COC?"/>
    <x v="3"/>
    <s v="Okay to write as secondary, no COC - minor items left. Check rating w/other competitors to get our best rate."/>
    <m/>
    <n v="10"/>
    <s v="Patterson"/>
    <m/>
    <m/>
    <n v="0"/>
  </r>
  <r>
    <x v="165"/>
    <s v="Burns NC"/>
    <s v="NC"/>
    <s v="Anella"/>
    <s v="Email"/>
    <s v="TBD"/>
    <m/>
    <x v="0"/>
    <m/>
    <x v="3"/>
    <m/>
    <x v="0"/>
    <x v="0"/>
    <x v="0"/>
    <s v="Occupancy"/>
    <s v="Seller/applicant is renting back her house for 6 months. Can an HO be written?"/>
    <x v="1"/>
    <s v="New owner needs a DP3. Seller/applicant needs an HO4."/>
    <m/>
    <m/>
    <s v="Patterson"/>
    <m/>
    <m/>
    <n v="1"/>
  </r>
  <r>
    <x v="166"/>
    <s v="Hull Irvine"/>
    <s v="CA"/>
    <s v="Alison"/>
    <s v="Email"/>
    <s v="Leonard"/>
    <s v="Marie"/>
    <x v="0"/>
    <s v="La Habra"/>
    <x v="1"/>
    <m/>
    <x v="0"/>
    <x v="0"/>
    <x v="0"/>
    <s v="Near active wildfire"/>
    <s v="Risk is 11 miles from a 65% contained wildfire. Can they bind?"/>
    <x v="1"/>
    <s v="Any risk within 20 miles is not eligible. Fire must be 100% contained."/>
    <m/>
    <m/>
    <s v="Patterson"/>
    <m/>
    <m/>
    <n v="1"/>
  </r>
  <r>
    <x v="166"/>
    <s v="Burns"/>
    <s v="MI"/>
    <s v="Danielle"/>
    <s v="Email"/>
    <s v="Amstutz"/>
    <s v="Edward  BWH106100R1"/>
    <x v="0"/>
    <m/>
    <x v="3"/>
    <m/>
    <x v="0"/>
    <x v="0"/>
    <x v="0"/>
    <s v="Animal Liability"/>
    <s v="We previously approved this risk with animal liab exclusion. Insd operates a farm camp where animal care is interactive. Many types of farm animals. Has GL (it was w/Markel last year-unconfirmed if still there)."/>
    <x v="3"/>
    <s v="Leave as is with Animal Exclusion. Need to confirm PC. App says 7. Looks like 9 or 10."/>
    <s v="Asking Bethany opinion on forms. Looks to me we should leave as is. Bethany agrees."/>
    <m/>
    <s v="Patterson"/>
    <m/>
    <m/>
    <n v="0"/>
  </r>
  <r>
    <x v="166"/>
    <s v="Hull Irvine"/>
    <s v="CA"/>
    <s v="Alison"/>
    <s v="Email"/>
    <s v="Aftalion"/>
    <m/>
    <x v="2"/>
    <s v="Los Angeles"/>
    <x v="1"/>
    <m/>
    <x v="0"/>
    <x v="0"/>
    <x v="0"/>
    <s v="Occupancy"/>
    <s v="4 tri-plexes on property. Can they be written on separate policies? Inspection attached. Loopnet commercial info online."/>
    <x v="1"/>
    <s v="Send this to commercial. Loopnet shows 19 units total. Looks like an apartment community."/>
    <m/>
    <m/>
    <s v="Patterson"/>
    <m/>
    <m/>
    <n v="1"/>
  </r>
  <r>
    <x v="167"/>
    <s v="Hull Horsham"/>
    <s v="PA"/>
    <s v="Tamika"/>
    <s v="Call/Email"/>
    <s v="TBD"/>
    <m/>
    <x v="0"/>
    <m/>
    <x v="3"/>
    <m/>
    <x v="0"/>
    <x v="0"/>
    <x v="0"/>
    <s v="Business on premises"/>
    <s v="We talked today about an applicant buying a home. They will be leasing their attached garage to a travel agency business.  "/>
    <x v="2"/>
    <s v="Asked all the business questions.  If we proceed, TBE."/>
    <m/>
    <m/>
    <s v="Patterson"/>
    <m/>
    <m/>
    <n v="0"/>
  </r>
  <r>
    <x v="168"/>
    <s v="Hull Irvine"/>
    <s v="CA"/>
    <s v="Alison"/>
    <s v="Call"/>
    <s v="TBD"/>
    <m/>
    <x v="5"/>
    <m/>
    <x v="3"/>
    <m/>
    <x v="0"/>
    <x v="0"/>
    <x v="0"/>
    <s v="Trust"/>
    <s v="2 named insureds and 2 trusts who co-own home. In name of Trusts, but agent wants to write in individuals names with Trust as AI.  Reviewed DP AI form and it limits to Cov A &amp; B."/>
    <x v="3"/>
    <m/>
    <m/>
    <m/>
    <s v="Patterson"/>
    <m/>
    <m/>
    <n v="0"/>
  </r>
  <r>
    <x v="169"/>
    <s v="Hull Irvine"/>
    <s v="CA"/>
    <s v="Alison"/>
    <s v="Email"/>
    <s v="Lela M Souza, Trustee of the A-Survivor's Trust"/>
    <s v="Lela M Souza, Trustee of the A-Survivor's Trust"/>
    <x v="16"/>
    <s v="Santa Maria"/>
    <x v="1"/>
    <m/>
    <x v="0"/>
    <x v="0"/>
    <x v="0"/>
    <s v="Farming"/>
    <s v="Home currently under farm policy, but farm policy removing property since personal use; farm liab policy still in place; family members regularly occupy home"/>
    <x v="3"/>
    <s v="x-liab due to farming operations, OK with prop only based on online photos"/>
    <m/>
    <m/>
    <s v="Burdine"/>
    <m/>
    <m/>
    <n v="0"/>
  </r>
  <r>
    <x v="170"/>
    <s v="Hull Irvine"/>
    <s v="CA"/>
    <s v="Alex"/>
    <s v="Call"/>
    <s v="Jeffries Realty LLC"/>
    <m/>
    <x v="1"/>
    <m/>
    <x v="1"/>
    <m/>
    <x v="0"/>
    <x v="0"/>
    <x v="0"/>
    <s v="Wiring concern"/>
    <s v="1907 dwelling updated in 1970 will be updated and sold. Agent was told there are circuit breakers. Just found out there is active knob &amp; tube wiring. They will be disconnecting but not removing it as one of the first items in the coc."/>
    <x v="3"/>
    <s v="It is active; is it providing electricity to anything? If so, call me back to discuss. If not, okay to proceed allowing 2 weeks to disconnect it.//10/25 more info:  the knob &amp; tube is not providing electricity to anything. Only the fridge is plugged in and not to a k&amp;t circuit. Allow 'til 11/8 to get signed statement from contractor that k&amp;t is disconnected and no longer used."/>
    <m/>
    <m/>
    <s v="Patterson"/>
    <m/>
    <m/>
    <n v="0"/>
  </r>
  <r>
    <x v="171"/>
    <s v="Hull Irvine"/>
    <s v="CA"/>
    <s v="Alex"/>
    <s v="Call"/>
    <s v="Colich"/>
    <s v="Tom &amp; Judy "/>
    <x v="0"/>
    <m/>
    <x v="1"/>
    <m/>
    <x v="0"/>
    <x v="0"/>
    <x v="0"/>
    <s v="Updating"/>
    <s v="Insured said all reno was done, change to primary. Agent did, now they say there are some additional changes being made. Re surface ceilings and remove/re-drywall a fireplace area. Will be renovating a detached poolhouse in the future. Okay to leave as primary, but add 10-15% surcharge for the work.  It's pretty minor, and we don't require a COC for a poolhouse."/>
    <x v="0"/>
    <s v="Alex will send copy of quote.//10/26 advised 12.5% s/c added."/>
    <m/>
    <m/>
    <s v="Patterson"/>
    <m/>
    <m/>
    <n v="0"/>
  </r>
  <r>
    <x v="172"/>
    <s v="Hull Horsham"/>
    <s v="NJ"/>
    <s v="Lisa"/>
    <s v="Email"/>
    <s v="Occhiogrosso"/>
    <s v="Joseph &amp; Marie"/>
    <x v="1"/>
    <s v="Ocean "/>
    <x v="9"/>
    <m/>
    <x v="0"/>
    <x v="0"/>
    <x v="0"/>
    <s v="COC question"/>
    <s v="In middle of construction, builder went bankrupt. Some very small number of items left to be done. Insured will be the GC for any little things left. They need to get a home warranty to get their Occupanyc Permit. Home has passed town inspection. "/>
    <x v="4"/>
    <s v="Since town inspected and only a bit of work left."/>
    <m/>
    <m/>
    <s v="Patterson"/>
    <m/>
    <m/>
    <n v="0"/>
  </r>
  <r>
    <x v="172"/>
    <s v="RPS Covington"/>
    <s v="LA"/>
    <s v="Suzanne"/>
    <s v="Email"/>
    <s v="Vidrine"/>
    <s v="Kyle"/>
    <x v="2"/>
    <s v="Baton Rouge"/>
    <x v="0"/>
    <m/>
    <x v="0"/>
    <x v="0"/>
    <x v="0"/>
    <s v="Usage"/>
    <s v="4plex townhome "/>
    <x v="2"/>
    <s v="Requested additional info. Advised if applicant owns outside, and only unit owns, shouldn't be a problem. But from attachment name (says condo.townhome) and online pics concerned this may be a condo or apt complex which would be ineligible"/>
    <m/>
    <m/>
    <s v="Burdine"/>
    <m/>
    <m/>
    <n v="0"/>
  </r>
  <r>
    <x v="172"/>
    <s v="Hull Stockton"/>
    <s v="CA"/>
    <s v="Kirk"/>
    <s v="Email"/>
    <s v="Warrington"/>
    <s v="Joshua"/>
    <x v="0"/>
    <s v="Camino"/>
    <x v="1"/>
    <m/>
    <x v="0"/>
    <x v="0"/>
    <x v="0"/>
    <s v="Loss Payees"/>
    <s v="3 loans on prop need to be listed; It looks like this has a 1st, 2nd, and 3rd loan.  I checked with the lender and all three loans are with the California Housing Finance Agency.  The first is a regular FHA loan.  The second and third are also with them but are “silent” loans.  The second is a MyHome loan and the third is a Zip loan.  They are zero interest loans not payable until the home is sold.  They are given to borrowers to help with the down and closing costs.  They just sit there not accruing interest until the home is sold.  "/>
    <x v="4"/>
    <s v="Approved. Researched loan types and confirmed don't indicate financial hardship"/>
    <m/>
    <m/>
    <s v="Burdine"/>
    <m/>
    <m/>
    <n v="0"/>
  </r>
  <r>
    <x v="173"/>
    <s v="Hull Irvine"/>
    <s v="CA"/>
    <s v="Alison"/>
    <s v="Call"/>
    <s v="TBD"/>
    <m/>
    <x v="2"/>
    <m/>
    <x v="1"/>
    <m/>
    <x v="0"/>
    <x v="0"/>
    <x v="0"/>
    <s v="Occupancy"/>
    <s v="1986 primary home and guest house on property. Both had separate addresses. 733 and 733 1/2.  Write on one policy or separate. They really only want the guest house insured."/>
    <x v="4"/>
    <s v="Okay to write separately."/>
    <m/>
    <m/>
    <s v="Patterson"/>
    <m/>
    <m/>
    <n v="0"/>
  </r>
  <r>
    <x v="174"/>
    <s v="SCU"/>
    <s v="CO"/>
    <s v="Allison"/>
    <s v="Email"/>
    <s v="Celayeta   6417674"/>
    <s v="Brian &amp; Tracey"/>
    <x v="16"/>
    <m/>
    <x v="3"/>
    <m/>
    <x v="0"/>
    <x v="0"/>
    <x v="0"/>
    <s v="Pier &amp; Beam foundation"/>
    <s v="Approved this risk for not being accessible year round. Inspection shows nice home, but the foundation is pier and beam. $200K cov a. "/>
    <x v="3"/>
    <s v="Asked agent to have insured confirm no issues. Suggested structural engineer to confirm. Advised we would not cover."/>
    <m/>
    <m/>
    <s v="Patterson"/>
    <m/>
    <m/>
    <n v="0"/>
  </r>
  <r>
    <x v="174"/>
    <s v="Hull Irvine"/>
    <s v="CA"/>
    <s v="Alison"/>
    <s v="Call/Email"/>
    <s v="Dream Property Group, LLC"/>
    <s v="HUCAH150003398"/>
    <x v="5"/>
    <s v="Pacific Palisades"/>
    <x v="1"/>
    <m/>
    <x v="0"/>
    <x v="0"/>
    <x v="0"/>
    <s v="Demolition"/>
    <s v="Insured took out a $500K policy on a home.  Hull was under the impression it was a COC renovation.  Now they found out that is going to be torn down in 8-9 months and then a new one built. It is vacant. Market value is $11M.  There is a lender.  They wanted $2M on it, but since it was originally bound at $500k, Hull is refusing to increase. 1500 SF home."/>
    <x v="1"/>
    <s v="Agent sending full file for review. Previously we said we wouldn't insure a property where the home basically had no value - it will be torn down! // 10/31 Reviewed w/ Jeff and declined. Note that a policy was already in force before info was obtained. Agent offered opportunity to cancel if they placed it quickly elsewhere."/>
    <m/>
    <m/>
    <s v="Patterson"/>
    <m/>
    <m/>
    <n v="1"/>
  </r>
  <r>
    <x v="175"/>
    <s v="Hull Irvine"/>
    <s v="CA"/>
    <s v="Alison"/>
    <s v="Call"/>
    <s v="Creekside Ranch Trust"/>
    <m/>
    <x v="6"/>
    <s v="Malibu"/>
    <x v="1"/>
    <m/>
    <x v="0"/>
    <x v="0"/>
    <x v="0"/>
    <s v="4 structures"/>
    <s v="Dwelling with guest house, back building, and garage. Insured will be renovating main house and maybe others in April 2018. Meanwhile, this is vacant. May eventually rent out the guest house. Can they put all structures on one policy."/>
    <x v="0"/>
    <s v="Check condition and exclude any of concern. Okay to cover main as Cov A and rest as Cov B. //10/31 per retailer photos structures are in questionable condition. Agt sending for opinion. // 11/3/17 removing liability because there are 3 employees.  2 gardeners/1 caretaker who lives in a motor home on premises.//11/6/17  caretaker is a friend who lives in a &quot;trailer&quot;, they are not paid. Not sure if this trailer is a mobile home or what-agt will check more. Ok to include liab and workers comp if there are only 2 employees."/>
    <m/>
    <m/>
    <s v="Patterson"/>
    <m/>
    <m/>
    <n v="0"/>
  </r>
  <r>
    <x v="175"/>
    <s v="Hull Irvine"/>
    <s v="CA"/>
    <s v="Alison"/>
    <s v="Call"/>
    <s v="George &amp; Gracie LLC"/>
    <m/>
    <x v="6"/>
    <m/>
    <x v="3"/>
    <m/>
    <x v="0"/>
    <x v="0"/>
    <x v="0"/>
    <s v="Guest house renovation"/>
    <s v="Insured owns and insures a primary home elsewhere. They are renovating their guest house and the carrier won't insure it. Can we?"/>
    <x v="3"/>
    <s v="Write as DP3 reno. Try to get liab excluded and extended from primary. But if carrier won't, then write liab, but specifically exclude the primary and any other structures using building exclusion so we don't have any liab there."/>
    <m/>
    <m/>
    <s v="Patterson"/>
    <m/>
    <m/>
    <n v="0"/>
  </r>
  <r>
    <x v="175"/>
    <s v="XS Brokers"/>
    <s v="MA"/>
    <s v="Brendan"/>
    <s v="Email"/>
    <s v="Barkyoumb"/>
    <s v="Sandra &amp; Ronald"/>
    <x v="2"/>
    <m/>
    <x v="3"/>
    <m/>
    <x v="0"/>
    <x v="0"/>
    <x v="0"/>
    <s v="Animals   "/>
    <s v="1890 dwelling gutted and remodeled. 3 family owner occupied.  Insured has a pony and 2 goats."/>
    <x v="3"/>
    <s v="As long as access is limited to tenants. $10K only."/>
    <m/>
    <m/>
    <s v="Patterson"/>
    <m/>
    <m/>
    <n v="0"/>
  </r>
  <r>
    <x v="175"/>
    <s v="Hull Irvine"/>
    <s v="CA"/>
    <s v="Alison"/>
    <s v="Call"/>
    <s v="Brookman"/>
    <s v="Sidney"/>
    <x v="16"/>
    <s v="Malibu"/>
    <x v="1"/>
    <m/>
    <x v="0"/>
    <x v="0"/>
    <x v="0"/>
    <s v="Prior losses"/>
    <s v="2 losses from prior owner. Do we need to be concerned with $191 smoke loss and $31K physical damage. "/>
    <x v="4"/>
    <s v="No concern seems obvious. Okay to quote for new owner with no surcharges."/>
    <m/>
    <m/>
    <s v="Patterson"/>
    <m/>
    <m/>
    <n v="0"/>
  </r>
  <r>
    <x v="176"/>
    <s v="Burns"/>
    <s v="MI"/>
    <s v="Jill"/>
    <s v="Email"/>
    <s v="Rivkin"/>
    <s v="Vladimir"/>
    <x v="8"/>
    <s v="Healdsburg"/>
    <x v="1"/>
    <m/>
    <x v="0"/>
    <x v="0"/>
    <x v="0"/>
    <s v="Near active wildfire"/>
    <s v="Fires are 99 % contained. Can they bind?"/>
    <x v="4"/>
    <m/>
    <s v="Verified w/Jeff"/>
    <m/>
    <s v="Patterson"/>
    <m/>
    <m/>
    <n v="0"/>
  </r>
  <r>
    <x v="176"/>
    <s v="SCU"/>
    <s v="CO"/>
    <s v="Allison"/>
    <s v="Email"/>
    <s v="Standell"/>
    <s v="Douglas  "/>
    <x v="0"/>
    <s v="Denver"/>
    <x v="19"/>
    <m/>
    <x v="8"/>
    <x v="0"/>
    <x v="0"/>
    <s v="Flat Roof"/>
    <s v="Attached is the recently reviewed inspection, apps, and rater.  This is a 6 month builder’s risk, and the expected completion date is the end of January.  Then it will be a primary home.  Flat roof, updated in 2013, wanting to waive ded"/>
    <x v="4"/>
    <s v="approved. Home in great condition, roof as well, updated in last 9 years"/>
    <m/>
    <m/>
    <s v="Burdine"/>
    <m/>
    <m/>
    <n v="0"/>
  </r>
  <r>
    <x v="177"/>
    <s v="XS Brokers"/>
    <s v="MA"/>
    <s v="Brendan"/>
    <s v="Email"/>
    <s v="TBD"/>
    <m/>
    <x v="2"/>
    <m/>
    <x v="3"/>
    <m/>
    <x v="0"/>
    <x v="0"/>
    <x v="0"/>
    <s v="Multiple dwellings"/>
    <s v="Insured has 3-3family dwellings. Can they be put on one policy w/ a schedule? 1 rater or multiple?"/>
    <x v="3"/>
    <s v="Okay on one policy if they can handle. Need separate raters, can't combine."/>
    <m/>
    <m/>
    <s v="Patterson"/>
    <m/>
    <m/>
    <n v="0"/>
  </r>
  <r>
    <x v="177"/>
    <s v="Hull Stockton"/>
    <s v="CA"/>
    <s v="Lisa"/>
    <s v="Email"/>
    <s v="Dahlstrom"/>
    <s v="Janet"/>
    <x v="8"/>
    <m/>
    <x v="3"/>
    <m/>
    <x v="0"/>
    <x v="0"/>
    <x v="0"/>
    <s v="Backdate"/>
    <s v="Retail agent bound eff 11/1 and inadvertently did not send bind request to Lisa. They are a top agent and this is not a common thing."/>
    <x v="4"/>
    <s v="Insured isn't at fault. Insured confirmed no losses."/>
    <m/>
    <m/>
    <s v="Patterson"/>
    <m/>
    <m/>
    <n v="0"/>
  </r>
  <r>
    <x v="177"/>
    <s v="Burns"/>
    <s v="MI"/>
    <s v="Jill"/>
    <s v="Email"/>
    <s v="CNC Financial LLC"/>
    <m/>
    <x v="2"/>
    <s v="Topeka"/>
    <x v="28"/>
    <m/>
    <x v="0"/>
    <x v="0"/>
    <x v="0"/>
    <s v="Business on premises"/>
    <s v="1975 dwelling with auto conditioning and storage business in a separate structure far from the home. Will have GL."/>
    <x v="0"/>
    <s v="Asked business questions. Need to ensure phys dmg and liab exposures don't test the limits of our exclusion.// 11/7/17  • Acceptable Corporate/LLC questionnaire_x000a_• Specifically exclude any structures used commercially_x000a_• Apply Total Business Exclusion form_x000a_allowed liability since there a separation and separate drives."/>
    <m/>
    <m/>
    <s v="Patterson"/>
    <m/>
    <m/>
    <n v="0"/>
  </r>
  <r>
    <x v="178"/>
    <s v="Hull Irvine"/>
    <s v="CA"/>
    <s v="Melissa"/>
    <s v="Email"/>
    <s v="Valadao   HUCAH150002848"/>
    <s v="John"/>
    <x v="0"/>
    <m/>
    <x v="1"/>
    <m/>
    <x v="0"/>
    <x v="0"/>
    <x v="0"/>
    <s v="PC Assignment"/>
    <s v="Risk has a water tank. Could it be a PC4? There is a tank near the home for public use."/>
    <x v="3"/>
    <s v="This is a PC9.  ISO has this as a 4/4X(4/9). If ISO approved the tanks, it would be a 4."/>
    <m/>
    <m/>
    <s v="Patterson"/>
    <m/>
    <m/>
    <n v="0"/>
  </r>
  <r>
    <x v="179"/>
    <s v="Hull Horsham"/>
    <s v="PA"/>
    <s v="Tamika"/>
    <s v="Email"/>
    <m/>
    <m/>
    <x v="5"/>
    <s v="Brigantine"/>
    <x v="9"/>
    <m/>
    <x v="0"/>
    <x v="0"/>
    <x v="0"/>
    <s v="Short Sale"/>
    <s v="vacant for up for short sale.  Prior coverage was cancelled for non pay of premium on 10/5/17 by the finance company.  Photos of the house are on Zillow.  Nice house. "/>
    <x v="1"/>
    <s v="Offered to further consider after reviewing insurance score, but agt advised would just decline"/>
    <m/>
    <m/>
    <s v="Burdine"/>
    <m/>
    <m/>
    <n v="1"/>
  </r>
  <r>
    <x v="180"/>
    <s v="Hull Irvine"/>
    <s v="CA"/>
    <s v="Alex"/>
    <s v="Call"/>
    <s v="Wall "/>
    <s v="Angus"/>
    <x v="1"/>
    <s v="Pacific Palisades"/>
    <x v="1"/>
    <m/>
    <x v="0"/>
    <x v="0"/>
    <x v="0"/>
    <s v="High profile"/>
    <s v="Applicant is a film editor. Reviewed online info.  Home was featured in &quot;The Last Boy Scout&quot; movie."/>
    <x v="4"/>
    <s v="Not too famous.  Home in movie is not a concern."/>
    <m/>
    <m/>
    <s v="Patterson"/>
    <m/>
    <m/>
    <n v="0"/>
  </r>
  <r>
    <x v="181"/>
    <s v="Hull Irvine"/>
    <s v="CA"/>
    <s v="Alex"/>
    <s v="Call"/>
    <s v="Bernstein"/>
    <s v="Paul"/>
    <x v="2"/>
    <m/>
    <x v="1"/>
    <m/>
    <x v="0"/>
    <x v="0"/>
    <x v="0"/>
    <s v="Other Structure"/>
    <s v="Granny unit on property used as a full time rental. Primary home insured w/state farm. They are excluding the granny unit and liab."/>
    <x v="3"/>
    <s v="Exclude the primary and any associated other structures. Okay to quote with liab. "/>
    <m/>
    <m/>
    <s v="Patterson"/>
    <m/>
    <m/>
    <n v="0"/>
  </r>
  <r>
    <x v="181"/>
    <s v="Hull Irvine"/>
    <s v="CA"/>
    <s v="Alex"/>
    <s v="Call"/>
    <s v="Martinez    "/>
    <s v="Ernest"/>
    <x v="2"/>
    <m/>
    <x v="1"/>
    <m/>
    <x v="0"/>
    <x v="0"/>
    <x v="0"/>
    <s v="Existing damage"/>
    <s v="Dwelling has a small crack in the stucco. Safeco is nonrenewing due to crack and due to the tenant's large supply of plastic recycling bottles that makes the prop look bad.  They are getting rid of the bottles. Agent wants to quote with water damage exclusion."/>
    <x v="4"/>
    <m/>
    <m/>
    <m/>
    <s v="Patterson"/>
    <m/>
    <m/>
    <n v="0"/>
  </r>
  <r>
    <x v="181"/>
    <s v="Hull Horsham"/>
    <s v="PA"/>
    <s v="Tamika"/>
    <s v="Call"/>
    <s v="TBD"/>
    <m/>
    <x v="0"/>
    <m/>
    <x v="2"/>
    <m/>
    <x v="0"/>
    <x v="0"/>
    <x v="0"/>
    <s v="Fuses"/>
    <s v="We have been on this risk for 7 years, originally written by the agent in 2005 w/Scottsdale.  They did an interior inspection and found FUSES!  The insured says a lic elec says the fuses are fully functional.  Original app said breakers"/>
    <x v="3"/>
    <s v="Give 60 days to replace the fuses w/breakers…or if they won't do it, nonrenew."/>
    <m/>
    <m/>
    <s v="Patterson"/>
    <m/>
    <m/>
    <n v="0"/>
  </r>
  <r>
    <x v="182"/>
    <s v="Hull Irvine"/>
    <s v="CA"/>
    <s v="Alison"/>
    <s v="Call"/>
    <s v="Stuart"/>
    <s v="Sean"/>
    <x v="0"/>
    <m/>
    <x v="3"/>
    <m/>
    <x v="0"/>
    <x v="0"/>
    <x v="0"/>
    <s v="High profile"/>
    <s v="Insured is a movie producer. Reviewed online information. No famous movies."/>
    <x v="4"/>
    <s v="Okay with liability. Not too famous."/>
    <m/>
    <m/>
    <s v="Patterson"/>
    <m/>
    <m/>
    <n v="0"/>
  </r>
  <r>
    <x v="183"/>
    <s v="Hull Irvine"/>
    <s v="CA"/>
    <s v="Bobbi"/>
    <s v="Email"/>
    <s v="Pandukht"/>
    <s v="Kira"/>
    <x v="0"/>
    <s v="Silverado"/>
    <x v="1"/>
    <m/>
    <x v="9"/>
    <x v="0"/>
    <x v="0"/>
    <s v="Brush clearance"/>
    <s v="Wanted to check if 150 brush clearance necessary; RM high, so advised brush guidelines do apply"/>
    <x v="3"/>
    <s v="Acceptable brush clearance"/>
    <m/>
    <m/>
    <s v="Burdine"/>
    <m/>
    <m/>
    <n v="0"/>
  </r>
  <r>
    <x v="184"/>
    <s v="Hull Irvine"/>
    <s v="CA"/>
    <s v="Alex"/>
    <s v="Call"/>
    <s v="Parker"/>
    <s v="Christopher"/>
    <x v="0"/>
    <m/>
    <x v="1"/>
    <m/>
    <x v="0"/>
    <x v="0"/>
    <x v="0"/>
    <s v="Construction"/>
    <s v="Home was built on the base of a 1920 bridge. It is only slightly elevated. Professionally constructed. Beautiful online photos."/>
    <x v="4"/>
    <m/>
    <m/>
    <m/>
    <s v="Patterson"/>
    <m/>
    <m/>
    <n v="0"/>
  </r>
  <r>
    <x v="185"/>
    <s v="Hull Horsham"/>
    <s v="PA"/>
    <s v="Tamika"/>
    <s v="Call/Email"/>
    <s v="Chan"/>
    <s v="Leng"/>
    <x v="30"/>
    <s v="Philadelphia"/>
    <x v="2"/>
    <m/>
    <x v="10"/>
    <x v="0"/>
    <x v="0"/>
    <s v="Condition"/>
    <s v="40 year old row house in average condition. Some plumbing issues. 60 amp plumbing. Insured to repair/replace upon purchase. "/>
    <x v="3"/>
    <s v="Allow with water exclusion. This will take care of the shingles on the roof over the walk and the plumbing."/>
    <m/>
    <m/>
    <s v="Patterson"/>
    <m/>
    <m/>
    <n v="0"/>
  </r>
  <r>
    <x v="186"/>
    <s v="Hull Horsham"/>
    <s v="PA"/>
    <s v="Tamika"/>
    <s v="Email"/>
    <m/>
    <m/>
    <x v="16"/>
    <s v="Clarington"/>
    <x v="2"/>
    <m/>
    <x v="4"/>
    <x v="0"/>
    <x v="0"/>
    <s v="PC"/>
    <s v="First described as campsite; later clarified no comm use, personal only; 11 miles from FD, no hydrants"/>
    <x v="2"/>
    <s v="Advised per pics and most recent descript sounds to be more of a secondary risk; can further consider w/ additional info (wood stove questionnaire and PCQ)"/>
    <m/>
    <m/>
    <s v="Burdine"/>
    <m/>
    <m/>
    <n v="0"/>
  </r>
  <r>
    <x v="187"/>
    <s v="Burns NC"/>
    <s v="NC"/>
    <s v="Lauren"/>
    <s v="Email"/>
    <s v="Watson"/>
    <s v="S"/>
    <x v="0"/>
    <m/>
    <x v="11"/>
    <m/>
    <x v="0"/>
    <x v="0"/>
    <x v="0"/>
    <s v="Air BNB"/>
    <s v="primary residence and they rent the apartment over their detached garage out through airbnb"/>
    <x v="4"/>
    <s v="risk acceptable"/>
    <m/>
    <m/>
    <s v="Burdine"/>
    <m/>
    <m/>
    <n v="0"/>
  </r>
  <r>
    <x v="188"/>
    <s v="Hull Irvine"/>
    <s v="CA"/>
    <s v="Alison"/>
    <s v="Email"/>
    <s v="Estate of Kurtis Gunderson "/>
    <s v=" "/>
    <x v="2"/>
    <s v="Patterson"/>
    <x v="1"/>
    <m/>
    <x v="0"/>
    <x v="0"/>
    <x v="0"/>
    <s v="Foreclosure"/>
    <s v="Mr. PH passed away, Mrs.PH failed to make payments, but now court appointed administrator has money to pay back payment. Once paid, and insurance in force, can remove foreclosure. They have a current tenant, and also a buyer in place to buy the home once foreclosure removed."/>
    <x v="2"/>
    <s v="Advised can consider further. If we do end up securing the property, it would be subject to a rush inspection to be sure all is in fact. To further review, can you provide an address, the VMGA premium, brush, and ISO info on the property"/>
    <m/>
    <m/>
    <s v="Burdine"/>
    <m/>
    <m/>
    <n v="0"/>
  </r>
  <r>
    <x v="189"/>
    <s v="Hull Irvine"/>
    <s v="CA"/>
    <s v="Alison"/>
    <s v="Email"/>
    <s v="Kathleen"/>
    <s v="Peter &amp; Nicholas Whitney"/>
    <x v="2"/>
    <m/>
    <x v="3"/>
    <m/>
    <x v="0"/>
    <x v="0"/>
    <x v="0"/>
    <s v="Occupancy"/>
    <s v="Agent would like to write 2 rentals on one policy. Main dwelling is a vacation rental. Detached structure is 300 SF annual rental."/>
    <x v="4"/>
    <s v="Advised agent I am comfortable with how they handle. They are free to get a 2nd opinion, but I'm okay with them proceeding without referral."/>
    <m/>
    <m/>
    <s v="Patterson"/>
    <m/>
    <m/>
    <n v="0"/>
  </r>
  <r>
    <x v="189"/>
    <s v="Hull Horsham"/>
    <s v="NJ"/>
    <s v="Lisa"/>
    <s v="Email"/>
    <s v="Denger"/>
    <s v="Marc &amp; Elisheva Denger"/>
    <x v="6"/>
    <m/>
    <x v="3"/>
    <m/>
    <x v="0"/>
    <x v="0"/>
    <x v="0"/>
    <s v="Construction start date"/>
    <s v="This is new construction builders risk but not starting until February. They want coverage in place now because of plans, permits, etc."/>
    <x v="3"/>
    <s v="Ensure no demolition of existing home. Basically we are insuring a vacant lot for a while."/>
    <m/>
    <m/>
    <s v="Patterson"/>
    <m/>
    <m/>
    <n v="0"/>
  </r>
  <r>
    <x v="190"/>
    <s v="Hull Horsham"/>
    <s v="PA"/>
    <s v="Nichole"/>
    <s v="Email"/>
    <s v="Samjord Properties"/>
    <m/>
    <x v="5"/>
    <s v="Annapolis"/>
    <x v="29"/>
    <m/>
    <x v="0"/>
    <x v="0"/>
    <x v="0"/>
    <s v="Force placed policies"/>
    <s v="Agent has 2 applications for 2 properties in MD. They are &quot;force placed&quot;.  Asked for more info, but advised if the lender is force placing, that is not a kind of policy we write."/>
    <x v="2"/>
    <m/>
    <m/>
    <m/>
    <s v="Patterson"/>
    <m/>
    <m/>
    <n v="0"/>
  </r>
  <r>
    <x v="191"/>
    <s v="Hull Irvine"/>
    <s v="CA"/>
    <s v="Bobbi"/>
    <s v="Email"/>
    <s v="Abidi"/>
    <s v="Asad &amp; Hina"/>
    <x v="0"/>
    <s v="Los Angeles"/>
    <x v="1"/>
    <m/>
    <x v="0"/>
    <x v="0"/>
    <x v="0"/>
    <s v="Wildfire &lt;20 miles"/>
    <s v="Potential new risk appx. 15 miles to the Creek Fire (98% contained). Can they bind? Don't have bind request yet."/>
    <x v="3"/>
    <s v="As long as it is at least 98% contained when the bind comes in they can bind. If the fire flares and containment % is reduced, re-evaluate."/>
    <m/>
    <m/>
    <s v="Patterson"/>
    <m/>
    <m/>
    <n v="0"/>
  </r>
  <r>
    <x v="192"/>
    <s v="Hull CA"/>
    <s v="Irvine"/>
    <s v="Alex"/>
    <s v="Call"/>
    <s v="D'Agostino"/>
    <m/>
    <x v="31"/>
    <m/>
    <x v="3"/>
    <m/>
    <x v="0"/>
    <x v="0"/>
    <x v="0"/>
    <s v="Primary w/rental"/>
    <s v="Insured has a primary that they rent out when they go to their seasonal."/>
    <x v="4"/>
    <m/>
    <m/>
    <m/>
    <s v="Patterson"/>
    <m/>
    <m/>
    <n v="0"/>
  </r>
  <r>
    <x v="193"/>
    <s v="Hull CO"/>
    <s v="PA"/>
    <s v="Tamika"/>
    <s v="Email"/>
    <s v="Won, Se Ki "/>
    <m/>
    <x v="32"/>
    <s v="PA PC4"/>
    <x v="3"/>
    <m/>
    <x v="0"/>
    <x v="0"/>
    <x v="0"/>
    <s v="Occupancy"/>
    <s v="Insured's nephew and 2 other law student are tenants. Temple Law."/>
    <x v="4"/>
    <s v="Reviewed w/Louisa. Grad students are a better exposure. Nephew should have higher care for property."/>
    <m/>
    <m/>
    <s v="Patterson"/>
    <m/>
    <m/>
    <n v="0"/>
  </r>
  <r>
    <x v="194"/>
    <s v="Burns"/>
    <s v="MI"/>
    <s v="Jill"/>
    <s v="Email"/>
    <s v="Obrecht, David"/>
    <m/>
    <x v="33"/>
    <s v="CA PC10"/>
    <x v="3"/>
    <m/>
    <x v="0"/>
    <x v="0"/>
    <x v="0"/>
    <s v="PC10-Not accessible year round"/>
    <s v="PC10 Not accessible year round, 15-17 min response. 1970 frame, seasonal rental."/>
    <x v="1"/>
    <s v="Not accessible year round"/>
    <s v="Jill asked for a summary document of our PC10, accessibility, response time stance. Provided"/>
    <m/>
    <s v="Patterson"/>
    <m/>
    <m/>
    <n v="1"/>
  </r>
  <r>
    <x v="195"/>
    <s v="Burns"/>
    <s v="MI"/>
    <s v="Jill"/>
    <s v="Email"/>
    <s v="Simon, Stormy"/>
    <m/>
    <x v="0"/>
    <m/>
    <x v="3"/>
    <m/>
    <x v="0"/>
    <x v="0"/>
    <x v="0"/>
    <s v="Farm animals"/>
    <s v="2 miniature horses, 2 miniature goats, &amp; 1 miniature donkey. No other policy info."/>
    <x v="4"/>
    <s v="No hay, 5 small sheds for the animals. Brought dog photo to agts attn-2 possible pit bulls/mix."/>
    <m/>
    <m/>
    <s v="Patterson"/>
    <m/>
    <m/>
    <n v="0"/>
  </r>
  <r>
    <x v="196"/>
    <s v="Burns"/>
    <s v="MI"/>
    <s v="Jill"/>
    <s v="Email"/>
    <s v="Evenoldson, Lars"/>
    <m/>
    <x v="32"/>
    <m/>
    <x v="3"/>
    <m/>
    <x v="0"/>
    <x v="0"/>
    <x v="0"/>
    <s v="1 of 3 units vacant"/>
    <s v="Message in to Rodney on how claims interprets. Occ rate? Actively trying to rent?"/>
    <x v="2"/>
    <s v="Gave answer to agent on rental. Waiting to hear from sub on their intentions."/>
    <m/>
    <m/>
    <s v="Patterson"/>
    <m/>
    <m/>
    <n v="0"/>
  </r>
  <r>
    <x v="196"/>
    <s v="ASL"/>
    <m/>
    <s v="Charity"/>
    <s v="Email"/>
    <s v="Carriker, Jeremy"/>
    <m/>
    <x v="0"/>
    <s v="VA Beach, VA"/>
    <x v="3"/>
    <m/>
    <x v="0"/>
    <x v="0"/>
    <x v="0"/>
    <s v="Polybutylene by Quest plumbing"/>
    <m/>
    <x v="1"/>
    <s v="Declined due to type of plumbing. "/>
    <m/>
    <m/>
    <s v="Patterson"/>
    <m/>
    <m/>
    <n v="1"/>
  </r>
  <r>
    <x v="196"/>
    <s v="Hull CA"/>
    <s v="Irvine"/>
    <s v="Alison"/>
    <s v="Email"/>
    <s v="Unknown"/>
    <m/>
    <x v="34"/>
    <s v="CA  "/>
    <x v="3"/>
    <m/>
    <x v="0"/>
    <x v="0"/>
    <x v="0"/>
    <s v="6 trusts"/>
    <s v="No info on risk. House is owned by 6 trusts who are all siblings. House was given from father's estate."/>
    <x v="4"/>
    <s v="Very clean and clear situation considering 6 trusts. All for purpose of gifting the home. Home is vacant and will be sold. One sibling will be named insured and others will be AI."/>
    <m/>
    <m/>
    <s v="Patterson"/>
    <m/>
    <m/>
    <n v="0"/>
  </r>
  <r>
    <x v="197"/>
    <s v="Hull CA"/>
    <s v="Irvine"/>
    <s v="Alison"/>
    <s v="Email"/>
    <m/>
    <m/>
    <x v="0"/>
    <m/>
    <x v="3"/>
    <m/>
    <x v="0"/>
    <x v="0"/>
    <x v="0"/>
    <s v="Open loss"/>
    <s v="2 unit - owner/relative. 3 prior water losses-$25k ded. Open claim; current tenant who is moving out 1 week after close is suing seller for pers inj and prop dmg from one of the water losses."/>
    <x v="4"/>
    <m/>
    <m/>
    <m/>
    <s v="Patterson"/>
    <m/>
    <m/>
    <n v="0"/>
  </r>
  <r>
    <x v="198"/>
    <s v="Burns"/>
    <s v="MI"/>
    <s v="Jeffrey"/>
    <s v="Call"/>
    <s v="Walker, Wesley"/>
    <m/>
    <x v="32"/>
    <s v="Monroe Cty FL "/>
    <x v="3"/>
    <m/>
    <x v="0"/>
    <x v="0"/>
    <x v="0"/>
    <s v="Airplane Hanger/ Dwelling"/>
    <s v="Dwelling is 2 story. Residence on 2nd, airplane hanger on 1st. Elevator. Will rent for a period of time with no planes/no fuel kept there. Will get proper elevator inspection (due to it being rental - may be more commercial-like w/insp requirements) X-wind. Eventually owners will move in with their plane."/>
    <x v="4"/>
    <m/>
    <m/>
    <m/>
    <s v="Patterson"/>
    <m/>
    <m/>
    <n v="0"/>
  </r>
  <r>
    <x v="199"/>
    <s v="Hull CA"/>
    <s v="Irvine"/>
    <s v="Alex"/>
    <s v="Email"/>
    <s v="Filijan"/>
    <m/>
    <x v="0"/>
    <s v="CA"/>
    <x v="3"/>
    <m/>
    <x v="0"/>
    <x v="0"/>
    <x v="0"/>
    <s v="Open loss"/>
    <s v="Insd with CA Fair Plan seeking new policy. Loss 1/6/16-roof tiles damaged. Not sure their loss will be covered."/>
    <x v="1"/>
    <s v="Loss open. It occurred a month ago, involves roof damage. Possible additional damage since then?"/>
    <m/>
    <m/>
    <s v="Patterson"/>
    <m/>
    <m/>
    <n v="1"/>
  </r>
  <r>
    <x v="200"/>
    <s v="Hull CO"/>
    <s v="NJ"/>
    <s v="Lisa"/>
    <s v="Email/Call"/>
    <m/>
    <m/>
    <x v="35"/>
    <s v="NJ"/>
    <x v="3"/>
    <m/>
    <x v="0"/>
    <x v="0"/>
    <x v="0"/>
    <s v="HO4 Short Term"/>
    <s v="Requesting a $50,000 HO4 for a home that is being lifted; insured by Lexington"/>
    <x v="1"/>
    <s v="Don't want to do short term HO4 on a home someone else is insuring. Also concern of damage during raising."/>
    <m/>
    <m/>
    <s v="Patterson"/>
    <m/>
    <m/>
    <n v="1"/>
  </r>
  <r>
    <x v="201"/>
    <s v="Hull CA"/>
    <s v="Irvine"/>
    <s v="Vanessa"/>
    <s v="Email"/>
    <s v="Not provided"/>
    <m/>
    <x v="36"/>
    <s v="Santa Ana PC?"/>
    <x v="3"/>
    <m/>
    <x v="0"/>
    <x v="0"/>
    <x v="0"/>
    <s v="No heat"/>
    <s v="1952 home with part updates 2013-2014. Circuit breakers &amp; copper plumbing. No heat. They removed when asbestos was taken out and not replaced."/>
    <x v="1"/>
    <s v="Low avg temp is 46 degrees. However in 110 January's, there were 37 yrs w/a low of 32 degrees or less. Heat source is needed - likely a woodstove or portable heater."/>
    <m/>
    <m/>
    <s v="Patterson"/>
    <m/>
    <m/>
    <n v="1"/>
  </r>
  <r>
    <x v="202"/>
    <s v="Hull CA"/>
    <s v="Irvine"/>
    <s v="Bobbi"/>
    <s v="Call"/>
    <m/>
    <m/>
    <x v="6"/>
    <s v="California"/>
    <x v="3"/>
    <m/>
    <x v="0"/>
    <x v="0"/>
    <x v="0"/>
    <s v="Insd is builder"/>
    <s v="New COC where insured is the owner/builder and responsible for all permits, etc."/>
    <x v="1"/>
    <s v="Advised Bobbi we are not taking these situations at this time."/>
    <m/>
    <m/>
    <s v="Patterson"/>
    <m/>
    <m/>
    <n v="1"/>
  </r>
  <r>
    <x v="203"/>
    <s v="Hull CA"/>
    <s v="Irvine"/>
    <s v="Alison"/>
    <s v="Email"/>
    <s v="Russell, Jeremy"/>
    <m/>
    <x v="0"/>
    <s v="Mission Viejo CA"/>
    <x v="3"/>
    <m/>
    <x v="0"/>
    <x v="0"/>
    <x v="0"/>
    <s v="Loss Surcharge"/>
    <s v="We approved w/3 prior water losses from 11-15. A 4th loss was found when A+ was run. This was a $0 loss that the insured covered themselves and susequently replumbed the entire house. We have a certificate from contractor. $7500 ded, and loss s/c for other losses. Agreed to waive this 4th loss as I think we won't have any more."/>
    <x v="4"/>
    <m/>
    <m/>
    <m/>
    <s v="Patterson"/>
    <m/>
    <m/>
    <n v="0"/>
  </r>
  <r>
    <x v="203"/>
    <s v="Hull CA"/>
    <s v="Irvine"/>
    <s v="Bobbi"/>
    <s v="Email"/>
    <m/>
    <m/>
    <x v="2"/>
    <s v="California"/>
    <x v="3"/>
    <m/>
    <x v="0"/>
    <x v="0"/>
    <x v="0"/>
    <s v="Occupancy?"/>
    <s v="Home where client moved out, niece lives there 3 nights a week, insured checks on it 5 days a week. Gated comm w/24 hour patrol. "/>
    <x v="4"/>
    <s v="Agreed to rate as DP3 Rental"/>
    <m/>
    <m/>
    <s v="Patterson"/>
    <m/>
    <m/>
    <n v="0"/>
  </r>
  <r>
    <x v="204"/>
    <s v="Burns"/>
    <s v="MI"/>
    <s v="Matt"/>
    <s v="Email"/>
    <s v="Nahorai, Hagir"/>
    <m/>
    <x v="37"/>
    <s v="California"/>
    <x v="3"/>
    <m/>
    <x v="0"/>
    <x v="0"/>
    <x v="0"/>
    <s v="Addl Insured"/>
    <s v="HO6 where condo association wants to be listed as AI because the insured has an EV vehicle charging station. Bylaw copy provided."/>
    <x v="4"/>
    <s v="Our AI form has a section for description and limits exposure to us providing cancel/NRN forms. No covg provided."/>
    <m/>
    <m/>
    <s v="Patterson"/>
    <m/>
    <m/>
    <n v="0"/>
  </r>
  <r>
    <x v="204"/>
    <s v="Hull CA"/>
    <s v="Irvine"/>
    <s v="Vanessa"/>
    <s v="Email"/>
    <s v="Papayans, Sheila"/>
    <m/>
    <x v="0"/>
    <s v="California"/>
    <x v="3"/>
    <m/>
    <x v="0"/>
    <x v="0"/>
    <x v="0"/>
    <s v="Eff date"/>
    <s v="Retail agent requested bind eff 4/1/16. Hull had given a Lex and a Markel quote and bound Lex in error. Approved 4/1/16 eff date if bind was received on or before 4/1/16. "/>
    <x v="4"/>
    <s v="If there were losses, I asked to review file before binding."/>
    <m/>
    <m/>
    <s v="Patterson"/>
    <m/>
    <m/>
    <n v="0"/>
  </r>
  <r>
    <x v="205"/>
    <s v="Hull CA"/>
    <s v="Irvine"/>
    <s v="Alison"/>
    <s v="Email"/>
    <m/>
    <m/>
    <x v="38"/>
    <s v="California"/>
    <x v="3"/>
    <m/>
    <x v="0"/>
    <x v="0"/>
    <x v="0"/>
    <s v="Flat roof"/>
    <s v="Alison wanted to waive or reduce the required $10K water damage ded for flat roof. "/>
    <x v="1"/>
    <s v="Checked w/Jeff and we don't want to do it, even for CA. They still get rain."/>
    <m/>
    <m/>
    <s v="Patterson"/>
    <m/>
    <m/>
    <n v="1"/>
  </r>
  <r>
    <x v="206"/>
    <s v="Burns"/>
    <s v="MI"/>
    <s v="Leslie"/>
    <s v="Email"/>
    <s v="W&amp;E Acres LLC"/>
    <m/>
    <x v="0"/>
    <m/>
    <x v="3"/>
    <m/>
    <x v="0"/>
    <x v="0"/>
    <x v="0"/>
    <s v="10 acres - 1 used for home; other 9 for business"/>
    <s v="REFERRING DUE TO PROPERTY IS 10 ACRES 1 ACRE IS USED FOR PRIMARY RESIDENCE THE OTHER 9 ACRES ARE RENTED TO OTHERS TO STORE BOATS, RV'S, ETC... THE INSURED WILL HAVE A GL POLICY FOR THE BUSINESS SIDE"/>
    <x v="1"/>
    <s v="Declined due to not much separation and possible heavy foot traffic.  "/>
    <s v="Advised Leslie and Danielle that we are in the midst of drafting a Full Business Exclusion that could be used in the future for something like this."/>
    <m/>
    <s v="Trott"/>
    <m/>
    <m/>
    <n v="1"/>
  </r>
  <r>
    <x v="206"/>
    <s v="Hull CA"/>
    <s v="Irvine"/>
    <s v="Alison"/>
    <s v="Email"/>
    <s v="Bowles, Lauren"/>
    <m/>
    <x v="8"/>
    <m/>
    <x v="3"/>
    <m/>
    <x v="0"/>
    <x v="0"/>
    <x v="0"/>
    <m/>
    <s v="Actress - $300K premises liability"/>
    <x v="4"/>
    <m/>
    <m/>
    <m/>
    <s v="May"/>
    <m/>
    <m/>
    <n v="0"/>
  </r>
  <r>
    <x v="207"/>
    <s v="Burns"/>
    <s v="MI"/>
    <s v="Jill"/>
    <s v="Email"/>
    <s v="Zhang, Xiao"/>
    <m/>
    <x v="8"/>
    <m/>
    <x v="3"/>
    <m/>
    <x v="0"/>
    <x v="0"/>
    <x v="0"/>
    <s v="Loss History"/>
    <m/>
    <x v="2"/>
    <m/>
    <m/>
    <m/>
    <s v="Trott"/>
    <m/>
    <m/>
    <n v="0"/>
  </r>
  <r>
    <x v="207"/>
    <s v="Burns"/>
    <s v="MI"/>
    <s v="Jill"/>
    <s v="Email"/>
    <s v="Mixey, Sherry"/>
    <m/>
    <x v="2"/>
    <m/>
    <x v="3"/>
    <m/>
    <x v="0"/>
    <x v="0"/>
    <x v="0"/>
    <s v="Oth Str &gt;35%"/>
    <s v="1945 fully updated."/>
    <x v="4"/>
    <m/>
    <m/>
    <m/>
    <s v="Trott"/>
    <m/>
    <m/>
    <n v="0"/>
  </r>
  <r>
    <x v="208"/>
    <s v="Hull CA"/>
    <s v="Irvine"/>
    <s v="Bobbi"/>
    <s v="Email"/>
    <s v="Evans, Eric"/>
    <m/>
    <x v="0"/>
    <m/>
    <x v="3"/>
    <m/>
    <x v="0"/>
    <x v="0"/>
    <x v="0"/>
    <s v="Water loss still under repair"/>
    <m/>
    <x v="1"/>
    <s v="Work just starting on loss that occurred in December 2015. Insured disclosed to agent but not on app."/>
    <m/>
    <m/>
    <s v="Trott/Patterson"/>
    <m/>
    <m/>
    <n v="1"/>
  </r>
  <r>
    <x v="208"/>
    <s v="Hull CA"/>
    <s v="Stockton"/>
    <s v="Melissa"/>
    <s v="Email"/>
    <s v="Kramer, James"/>
    <m/>
    <x v="0"/>
    <m/>
    <x v="3"/>
    <m/>
    <x v="0"/>
    <x v="0"/>
    <x v="0"/>
    <s v="150' brush clearance"/>
    <m/>
    <x v="2"/>
    <s v="Debating on whether brush is covered"/>
    <m/>
    <m/>
    <s v="Trott/Patterson"/>
    <m/>
    <m/>
    <n v="0"/>
  </r>
  <r>
    <x v="209"/>
    <s v="Hull CO"/>
    <s v="NJ"/>
    <s v="Lisa"/>
    <s v="Email"/>
    <s v="Wells, Haroline"/>
    <m/>
    <x v="39"/>
    <m/>
    <x v="3"/>
    <m/>
    <x v="0"/>
    <x v="0"/>
    <x v="0"/>
    <s v="Open Liab claims"/>
    <m/>
    <x v="4"/>
    <s v="Approved. Tenant fell in perfectly fine hallway. Agent issued liability through Hudson."/>
    <m/>
    <m/>
    <s v="Patterson"/>
    <m/>
    <m/>
    <n v="0"/>
  </r>
  <r>
    <x v="209"/>
    <s v="Hull CA"/>
    <s v="Irvine"/>
    <s v="Alex"/>
    <s v="Call"/>
    <m/>
    <m/>
    <x v="2"/>
    <m/>
    <x v="3"/>
    <m/>
    <x v="0"/>
    <x v="0"/>
    <x v="0"/>
    <s v="7 units"/>
    <s v="Non brush exposed city area where insured owns 7 units (5 buildings) of rentals.  They are about 15' apart.  Built in 38 but completely gutted and remodeled in 2015."/>
    <x v="4"/>
    <m/>
    <m/>
    <m/>
    <s v="Patterson"/>
    <m/>
    <m/>
    <n v="0"/>
  </r>
  <r>
    <x v="209"/>
    <s v="Burns"/>
    <s v="MI"/>
    <s v="Matt"/>
    <s v="Call"/>
    <m/>
    <m/>
    <x v="33"/>
    <m/>
    <x v="3"/>
    <m/>
    <x v="0"/>
    <x v="0"/>
    <x v="0"/>
    <s v="Wedding photos on prop"/>
    <s v="Insured allows others to perform wedding photos shoots on the property"/>
    <x v="4"/>
    <s v="Approved x-liability."/>
    <m/>
    <m/>
    <s v="Patterson"/>
    <m/>
    <m/>
    <n v="0"/>
  </r>
  <r>
    <x v="210"/>
    <s v="Burns"/>
    <s v="MI"/>
    <s v="Danielle"/>
    <s v="Email"/>
    <m/>
    <m/>
    <x v="8"/>
    <s v="Echo Lake CA PC10"/>
    <x v="3"/>
    <m/>
    <x v="0"/>
    <x v="0"/>
    <x v="0"/>
    <s v="Remote "/>
    <s v="Home located on Echo Lake serviced by 2 fire fighting boats. No physical address.  Submitted for initial opinion."/>
    <x v="2"/>
    <s v="Asked about road access (for claim repair); boats always available; lake freezes in winter - how is this handled."/>
    <m/>
    <m/>
    <s v="Patterson"/>
    <m/>
    <m/>
    <n v="0"/>
  </r>
  <r>
    <x v="211"/>
    <s v="Hull CA"/>
    <s v="Stockton"/>
    <s v="Kirk"/>
    <s v="Email"/>
    <s v="1185 Heather Dr"/>
    <m/>
    <x v="0"/>
    <s v="Murphys CA"/>
    <x v="3"/>
    <m/>
    <x v="0"/>
    <x v="0"/>
    <x v="0"/>
    <s v="Roof exclusion"/>
    <s v="28 year old roof in good condition, can they apply ACV vs roof exclusion.  "/>
    <x v="4"/>
    <s v="Per email from Larry back in 9/15, he agreed to allow to 30 years for ACV roof. Jeff agreed today to have me update the guidelines."/>
    <m/>
    <m/>
    <s v="Patterson"/>
    <m/>
    <m/>
    <n v="0"/>
  </r>
  <r>
    <x v="211"/>
    <s v="Bolton"/>
    <s v="AL"/>
    <s v="Janet"/>
    <s v="Email"/>
    <s v="Champagne, Christopher"/>
    <m/>
    <x v="0"/>
    <s v="Biloxi MS"/>
    <x v="3"/>
    <m/>
    <x v="0"/>
    <x v="0"/>
    <x v="0"/>
    <s v="Location"/>
    <s v="Risk is &gt; 1000' to gulf. Janet wasn't sure. "/>
    <x v="4"/>
    <s v="Reviewed with Jeff."/>
    <m/>
    <m/>
    <s v="Patterson"/>
    <m/>
    <m/>
    <n v="0"/>
  </r>
  <r>
    <x v="211"/>
    <s v="Hull CA"/>
    <s v="Irvine"/>
    <s v="Alex"/>
    <s v="Call"/>
    <m/>
    <m/>
    <x v="5"/>
    <m/>
    <x v="3"/>
    <m/>
    <x v="0"/>
    <x v="0"/>
    <x v="0"/>
    <s v="Rental furniture"/>
    <s v="Would we cover rented furniture that is used for staging as contents?"/>
    <x v="2"/>
    <s v="Reviewed HO 03 and DP 3 forms"/>
    <m/>
    <m/>
    <s v="Patterson"/>
    <m/>
    <m/>
    <n v="0"/>
  </r>
  <r>
    <x v="211"/>
    <s v="Hull CA"/>
    <s v="Irvine"/>
    <s v="Alex"/>
    <s v="Call"/>
    <m/>
    <m/>
    <x v="2"/>
    <m/>
    <x v="3"/>
    <m/>
    <x v="0"/>
    <x v="0"/>
    <x v="0"/>
    <s v="Horse operation"/>
    <s v="Insured leaves horses at the property which his tenants are allowed to use w/ the help of his ranch hand. Lex has a horse exclusion $9000 prem. Lloyds $5100 w/manuscript endorsement."/>
    <x v="1"/>
    <s v="There is a lot of exposure here to manuscript a form for a risk that we are really underpriced on it seems."/>
    <m/>
    <m/>
    <s v="Patterson"/>
    <m/>
    <m/>
    <n v="1"/>
  </r>
  <r>
    <x v="212"/>
    <s v="Hull CA"/>
    <s v="Stockton"/>
    <s v="Kirk"/>
    <s v="Call/Email"/>
    <m/>
    <m/>
    <x v="0"/>
    <m/>
    <x v="3"/>
    <m/>
    <x v="0"/>
    <x v="0"/>
    <x v="0"/>
    <s v="How is Work Comp handled?"/>
    <s v="Emailed Kirk after researching form and rater.  Price is per employee. Rating is different based on regular or live in.  2 employees max."/>
    <x v="4"/>
    <m/>
    <m/>
    <m/>
    <s v="Patterson"/>
    <m/>
    <m/>
    <n v="0"/>
  </r>
  <r>
    <x v="213"/>
    <s v="Hull CA"/>
    <s v="Irvine"/>
    <s v="Alison"/>
    <s v="Email"/>
    <m/>
    <m/>
    <x v="1"/>
    <s v="Beverly Hills CA PC3"/>
    <x v="3"/>
    <m/>
    <x v="0"/>
    <x v="0"/>
    <x v="0"/>
    <m/>
    <s v="Home is a new purchase and is being renovated. Initially, work was to start in 30 days. Now it's 60 days. Unsure of alarm. No contents. Risk is in nice area. "/>
    <x v="4"/>
    <s v="Agreed to proceed w/additional surcharge to consider what vacant rate would have been if they had to write a vacant policy for 60 days."/>
    <m/>
    <m/>
    <s v="Patterson"/>
    <m/>
    <m/>
    <n v="0"/>
  </r>
  <r>
    <x v="214"/>
    <s v="Hull CA"/>
    <s v="Stockton"/>
    <s v="Lisa"/>
    <s v="Email"/>
    <m/>
    <m/>
    <x v="0"/>
    <m/>
    <x v="3"/>
    <m/>
    <x v="0"/>
    <x v="0"/>
    <x v="0"/>
    <s v="16 min response"/>
    <s v="All acceptable at 15 minutes, 16 minutes is okay."/>
    <x v="4"/>
    <m/>
    <m/>
    <m/>
    <s v="Patterson"/>
    <m/>
    <m/>
    <n v="0"/>
  </r>
  <r>
    <x v="215"/>
    <s v="Hull CA"/>
    <s v="Irvine"/>
    <s v="Ariel"/>
    <s v="Email"/>
    <s v="Oida, Hideo"/>
    <m/>
    <x v="0"/>
    <m/>
    <x v="3"/>
    <m/>
    <x v="0"/>
    <x v="0"/>
    <x v="0"/>
    <s v="30 day rental"/>
    <s v="Insured bought a home and took out a homeowners policy. The prior owner's escrow fell through and he is temporarily renting the home back from the insured. Agt says 30 days or so."/>
    <x v="4"/>
    <s v="I approved asking if it goes over 45, we should endorse/surcharge the policy."/>
    <m/>
    <m/>
    <s v="Patterson"/>
    <m/>
    <m/>
    <n v="0"/>
  </r>
  <r>
    <x v="215"/>
    <s v="Hull CA"/>
    <s v="Irvine"/>
    <s v="Alex"/>
    <s v="Call"/>
    <s v="Miley, Susan"/>
    <m/>
    <x v="5"/>
    <m/>
    <x v="3"/>
    <m/>
    <x v="0"/>
    <x v="0"/>
    <x v="0"/>
    <s v="Personal Prop"/>
    <s v="Insured has vacant for sale home w/ staged contents which she is required by contract to insure. Amount is $33,000 including her $3K in appliances."/>
    <x v="4"/>
    <s v="Advised Alex new guidelines will allow $25K in contents for this situation. Gave him approval."/>
    <m/>
    <m/>
    <s v="Patterson"/>
    <m/>
    <m/>
    <n v="0"/>
  </r>
  <r>
    <x v="215"/>
    <s v="Hull CA"/>
    <s v="Irvine"/>
    <s v="Alison"/>
    <s v="Call"/>
    <s v="Ramirez, Radolpho"/>
    <m/>
    <x v="0"/>
    <s v="Murrieta CA PC4"/>
    <x v="3"/>
    <m/>
    <x v="0"/>
    <x v="0"/>
    <x v="0"/>
    <s v="Eaves"/>
    <s v="Alison sent photos of the risk to determine if it was open eaves. They were not fully closed, but acceptable per the photos."/>
    <x v="4"/>
    <m/>
    <m/>
    <m/>
    <s v="Patterson"/>
    <m/>
    <m/>
    <n v="0"/>
  </r>
  <r>
    <x v="216"/>
    <s v="Hull CO"/>
    <s v="NJ"/>
    <s v="Lisa"/>
    <s v="Email"/>
    <m/>
    <m/>
    <x v="8"/>
    <m/>
    <x v="3"/>
    <m/>
    <x v="0"/>
    <x v="0"/>
    <x v="0"/>
    <s v="Multiple LLCs"/>
    <s v="One LLC owns two other LLC's. Wants them both listed."/>
    <x v="4"/>
    <s v="If one LLC owns the other, we shouldn't have insurable interests. If liability is being written, the limited coverage premises liability form must be used."/>
    <m/>
    <m/>
    <s v="Trott"/>
    <m/>
    <m/>
    <n v="0"/>
  </r>
  <r>
    <x v="216"/>
    <s v="Hull CA"/>
    <m/>
    <s v="Alison"/>
    <s v="Call"/>
    <m/>
    <m/>
    <x v="8"/>
    <m/>
    <x v="3"/>
    <m/>
    <x v="0"/>
    <x v="0"/>
    <x v="0"/>
    <m/>
    <s v="Risk with question on brush clearance discussed in length at the office during my visit."/>
    <x v="4"/>
    <m/>
    <m/>
    <m/>
    <s v="Patterson"/>
    <m/>
    <m/>
    <n v="0"/>
  </r>
  <r>
    <x v="216"/>
    <s v="SCU"/>
    <m/>
    <s v="Allison"/>
    <s v="Email"/>
    <s v="Roybal, Dennis"/>
    <m/>
    <x v="8"/>
    <m/>
    <x v="3"/>
    <m/>
    <x v="0"/>
    <x v="0"/>
    <x v="0"/>
    <s v="Seacoast Rate"/>
    <s v="Match Seacoast Rate"/>
    <x v="4"/>
    <m/>
    <m/>
    <m/>
    <s v="Trott"/>
    <m/>
    <m/>
    <n v="0"/>
  </r>
  <r>
    <x v="217"/>
    <s v="Hull CA"/>
    <m/>
    <s v="Alison"/>
    <s v="Call"/>
    <m/>
    <m/>
    <x v="8"/>
    <m/>
    <x v="3"/>
    <m/>
    <x v="0"/>
    <x v="0"/>
    <x v="0"/>
    <m/>
    <s v="Main home with rental attached, and 2 separate rental dwellings with separate addresses."/>
    <x v="4"/>
    <m/>
    <m/>
    <m/>
    <s v="Patterson"/>
    <m/>
    <m/>
    <n v="0"/>
  </r>
  <r>
    <x v="217"/>
    <s v="Hull CA"/>
    <m/>
    <s v="Alex"/>
    <s v="Call"/>
    <m/>
    <m/>
    <x v="8"/>
    <m/>
    <x v="3"/>
    <m/>
    <x v="0"/>
    <x v="0"/>
    <x v="0"/>
    <m/>
    <s v="Wanted to backdate effective date of policy. Agent didn't send bind request until today although they had quoted about 2 weeks ago"/>
    <x v="1"/>
    <m/>
    <m/>
    <m/>
    <s v="Patterson"/>
    <m/>
    <m/>
    <n v="1"/>
  </r>
  <r>
    <x v="218"/>
    <s v="Hull CA"/>
    <s v="Irvine"/>
    <s v="Alex"/>
    <s v="Call/Email"/>
    <s v="Living Trust of Adam Dan Sold"/>
    <m/>
    <x v="1"/>
    <m/>
    <x v="3"/>
    <m/>
    <x v="0"/>
    <x v="0"/>
    <x v="0"/>
    <m/>
    <s v="Insured living in home during minor contractor renovation. Asked permission to remove builders risk liab which restricts to premises and include RC contents. "/>
    <x v="4"/>
    <m/>
    <m/>
    <m/>
    <s v="Patterson"/>
    <m/>
    <m/>
    <n v="0"/>
  </r>
  <r>
    <x v="219"/>
    <s v="Burns"/>
    <s v="MI"/>
    <s v="Adam"/>
    <s v="Email"/>
    <s v="Machledt, Fred"/>
    <m/>
    <x v="2"/>
    <m/>
    <x v="3"/>
    <m/>
    <x v="0"/>
    <x v="0"/>
    <x v="0"/>
    <s v="Barndomimium"/>
    <s v="Storage on lower floor, rental on upper floor. Photo included of nice looking barn type structure."/>
    <x v="4"/>
    <m/>
    <m/>
    <m/>
    <s v="Patterson"/>
    <m/>
    <m/>
    <n v="0"/>
  </r>
  <r>
    <x v="219"/>
    <s v="Hull CA"/>
    <s v="Irvine"/>
    <s v="Alex"/>
    <s v="Call"/>
    <m/>
    <m/>
    <x v="0"/>
    <m/>
    <x v="3"/>
    <m/>
    <x v="0"/>
    <x v="0"/>
    <x v="0"/>
    <s v="Open loss"/>
    <s v="$5K open loss. Pipe leak at bathroom sink at the end of Feb. Loss ready to settle, insured picking out tile. $100 paid. Adjuster confirms ready to settle."/>
    <x v="4"/>
    <s v="Alex writing with $5K ded, existing damage exclusion, require proof of work in 30 days."/>
    <m/>
    <m/>
    <s v="Patterson"/>
    <m/>
    <m/>
    <n v="0"/>
  </r>
  <r>
    <x v="220"/>
    <s v="TPI"/>
    <m/>
    <s v="Jerrold"/>
    <s v="Email"/>
    <s v="Brock"/>
    <m/>
    <x v="8"/>
    <m/>
    <x v="3"/>
    <m/>
    <x v="0"/>
    <x v="0"/>
    <x v="0"/>
    <s v="Flat roof"/>
    <s v="Advised Jerrold since home is all flat roof, I would probably not write it. Gave him some info on flat roof considerations along with deductible and exclusion options."/>
    <x v="1"/>
    <m/>
    <m/>
    <m/>
    <s v="Patterson"/>
    <m/>
    <m/>
    <n v="1"/>
  </r>
  <r>
    <x v="221"/>
    <s v="Hull CO"/>
    <s v="NJ"/>
    <s v="Lisa"/>
    <s v="Email"/>
    <s v="Collingswood LLC"/>
    <m/>
    <x v="6"/>
    <m/>
    <x v="3"/>
    <m/>
    <x v="0"/>
    <x v="0"/>
    <x v="0"/>
    <s v="Open claim"/>
    <s v="Builders Risk where there is a $13K liability claim. Insured acting as own GC. Liab placed with Nautilus."/>
    <x v="1"/>
    <s v="Prefer not to write these until we get our program, especially one that is not clean."/>
    <m/>
    <m/>
    <s v="Patterson"/>
    <m/>
    <m/>
    <n v="1"/>
  </r>
  <r>
    <x v="222"/>
    <s v="Hull CO"/>
    <s v="Horsham"/>
    <s v="Nichole"/>
    <s v="Email"/>
    <m/>
    <m/>
    <x v="22"/>
    <s v="Ellsworth PA"/>
    <x v="3"/>
    <m/>
    <x v="0"/>
    <x v="0"/>
    <x v="0"/>
    <s v="Occupancy"/>
    <s v="Insured is a private in home nurse and cares for 99% of patients in their homes.  2-3 times a year, if there is a patient the family doesn't want to go to a nursing home, the insured takes them into her home at the end of their life, until they pass away."/>
    <x v="2"/>
    <s v="_x000a_• Does the insured have general liability, professional liability, and/or malpractice insurance that would cover her while she is taking care of someone in her home?  _x000a_• Is she administering any medications to the patients in her home?_x000a_• What oxygen, life support, or other equipment might be used?_x000a_• Would you have a liability market if we did it X-liability?  _x000a_• Would it work for you if we applied a full business exclusion?_x000a_"/>
    <m/>
    <m/>
    <s v="Patterson"/>
    <m/>
    <m/>
    <n v="0"/>
  </r>
  <r>
    <x v="222"/>
    <s v="Hull CO"/>
    <s v="Horsham"/>
    <s v="Tamika"/>
    <s v="Email"/>
    <s v="Masterson, Eileen"/>
    <m/>
    <x v="37"/>
    <s v="Wildwood NJ"/>
    <x v="3"/>
    <m/>
    <x v="0"/>
    <x v="0"/>
    <x v="0"/>
    <s v="Extend 3 days"/>
    <s v="Tamika asked for okay to extend policy for 3 days as insured is closing on home. Suggested $50 + tax."/>
    <x v="3"/>
    <s v="I approved subject to her ensuring this is enough premium for work she will do on her end."/>
    <m/>
    <m/>
    <s v="Patterson"/>
    <m/>
    <m/>
    <n v="0"/>
  </r>
  <r>
    <x v="223"/>
    <s v="Hull CA"/>
    <s v="Irvine"/>
    <s v="Bobbi"/>
    <s v="Call"/>
    <m/>
    <m/>
    <x v="39"/>
    <m/>
    <x v="3"/>
    <m/>
    <x v="0"/>
    <x v="0"/>
    <x v="0"/>
    <s v="Occupancy?"/>
    <s v="Owner died so main home is vacant. There is a tenant in the granny unit who is helping oversee and clean out the property. It is going up for sale in 90 days and tenant is moving out."/>
    <x v="3"/>
    <s v="Approved on a DP-3 rental for now with understanding agent has to babysit and change to vacant when the tenant moves."/>
    <m/>
    <m/>
    <s v="Patterson"/>
    <m/>
    <m/>
    <n v="0"/>
  </r>
  <r>
    <x v="223"/>
    <s v="Burns"/>
    <s v="MI"/>
    <s v="Jill"/>
    <s v="Email"/>
    <m/>
    <m/>
    <x v="1"/>
    <m/>
    <x v="3"/>
    <m/>
    <x v="0"/>
    <x v="0"/>
    <x v="0"/>
    <s v="Foundation replacement"/>
    <s v="Insured has a post and beam construction home and is having it replaced with a slab.  "/>
    <x v="2"/>
    <s v="Would need more information on how this will be done and credentials of contractor, also timeframe.  Could find no online info describing process."/>
    <m/>
    <m/>
    <s v="Patterson"/>
    <m/>
    <m/>
    <n v="0"/>
  </r>
  <r>
    <x v="224"/>
    <s v="Burns"/>
    <s v="MI"/>
    <s v="Matt"/>
    <s v="Call"/>
    <m/>
    <m/>
    <x v="8"/>
    <m/>
    <x v="3"/>
    <m/>
    <x v="0"/>
    <x v="0"/>
    <x v="0"/>
    <s v="4-5&quot; gap below balusters"/>
    <s v="Typical requirement is no more than 4&quot; between balusters. With that, I've allowed no more than 4&quot; below the baluster string between the baluster bottom and the floor of the deck."/>
    <x v="3"/>
    <s v="Approved if it is no more than 4&quot;, or if they can prove county requirement that the gap be bigger."/>
    <m/>
    <m/>
    <s v="Patterson"/>
    <m/>
    <m/>
    <n v="0"/>
  </r>
  <r>
    <x v="224"/>
    <s v="Hull CO"/>
    <s v="Horsham"/>
    <s v="Tamika"/>
    <s v="Call/Email"/>
    <s v="Tanner, Jack &amp; June"/>
    <m/>
    <x v="40"/>
    <s v="Morgantown WV"/>
    <x v="3"/>
    <m/>
    <x v="0"/>
    <x v="0"/>
    <x v="0"/>
    <s v="Prior loss"/>
    <s v="Insured has a primary w/no losses and a 2-family rental. Rental has a loss - smoke damage $7800. The damage was caused by a fire at a neighboring house also owned by the insured. The Fire Marshall report is &quot;undetermined&quot;. Agent says they can't get the report (questionable). There was a prior VMM claim 2 days before the fire, no payment was made. Then the fire occurred.  (questionable).  Smoke damage has been repaired, claim is still open.  They will go with a $10-$20K deductible."/>
    <x v="1"/>
    <s v="We must review the Fire Marshall report before we agree to write either the Primary or the Rental."/>
    <s v="Fire Marshall report reviewed. Insured had been running a Salamander in home. Very unusual circumstances surrounding loss date per interviews.  I ran insurance score and found 10/18/12 bankruptcy. Insured said &quot;no&quot; to bankruptcy in last 5 years - advised agent we are declining due to undetermined fire loss, and also for material misrepresentation of bankruptcy."/>
    <m/>
    <s v="Patterson"/>
    <m/>
    <m/>
    <n v="1"/>
  </r>
  <r>
    <x v="224"/>
    <s v="Hull CA"/>
    <s v="Irvine"/>
    <s v="Alex"/>
    <s v="Call"/>
    <m/>
    <m/>
    <x v="38"/>
    <s v="Dan Diego PC10"/>
    <x v="3"/>
    <m/>
    <x v="0"/>
    <x v="0"/>
    <x v="0"/>
    <s v="Resp FD is on Indian Resv"/>
    <s v="Risk is 4.6 mi and 5.7 mi from responding fire departments which are on an Indian Reservation.  The agent talked to the Fire Chief who explained they have a contract with Cal Fire. Contracts are in place - the fastest responder goes out first. These are paid departments with 20 member crews. Response time &lt;15 mins."/>
    <x v="4"/>
    <m/>
    <m/>
    <m/>
    <s v="Patterson"/>
    <m/>
    <m/>
    <n v="0"/>
  </r>
  <r>
    <x v="225"/>
    <s v="Hull CA"/>
    <s v="Irvine"/>
    <s v="Alex"/>
    <s v="Call"/>
    <s v="Stein, Jeff"/>
    <m/>
    <x v="0"/>
    <m/>
    <x v="3"/>
    <m/>
    <x v="0"/>
    <x v="0"/>
    <x v="0"/>
    <s v="2 losses"/>
    <s v="Alex wonders if we can offer terms after a home is renovated due to some losses:  7/24/15 pinhole leak in HWT; 5/16/16 2 claims reported:  copper line leaked; insured noticed large cracks in wall and under house due to a roof leak.  "/>
    <x v="2"/>
    <s v="Provided risk is professionally renovated, the issues should be take care of.  I advised Alex we won't go with straight rate - will need to apply higher deductible and surcharge."/>
    <m/>
    <m/>
    <s v="Patterson"/>
    <m/>
    <m/>
    <n v="0"/>
  </r>
  <r>
    <x v="225"/>
    <s v="Hull CA"/>
    <s v="Irvine"/>
    <s v="Alex"/>
    <s v="Call"/>
    <m/>
    <m/>
    <x v="0"/>
    <m/>
    <x v="3"/>
    <m/>
    <x v="0"/>
    <x v="0"/>
    <x v="0"/>
    <s v="Cattle on property"/>
    <s v="Alex is working on a risk with 25 cattle. He needs a list of questions to ask.  I forwarded a list.  He will obtain info and submit."/>
    <x v="2"/>
    <s v="Pend for additional information"/>
    <m/>
    <m/>
    <s v="Patterson"/>
    <m/>
    <m/>
    <n v="0"/>
  </r>
  <r>
    <x v="225"/>
    <s v="Hull CA"/>
    <s v="Irvine"/>
    <s v="Alex"/>
    <s v="Call"/>
    <m/>
    <m/>
    <x v="6"/>
    <m/>
    <x v="3"/>
    <m/>
    <x v="0"/>
    <x v="0"/>
    <x v="0"/>
    <s v="Forms?"/>
    <s v="1914 home with unknown dates of previous renovations. Do we need to apply Dwelling Under Construction and Modified RC?  "/>
    <x v="3"/>
    <s v="Approved w/Dwelling Under Construction only which applies ACV.  The Modified RC conflicts with the wording, so only one should apply."/>
    <m/>
    <m/>
    <s v="Patterson"/>
    <m/>
    <m/>
    <n v="0"/>
  </r>
  <r>
    <x v="226"/>
    <s v="Burns"/>
    <s v="MI"/>
    <s v="Matt"/>
    <s v="Call"/>
    <s v="Russo Family Trust"/>
    <m/>
    <x v="0"/>
    <m/>
    <x v="3"/>
    <m/>
    <x v="0"/>
    <x v="0"/>
    <x v="0"/>
    <s v="Boards horses"/>
    <s v="Discussed whether Biz Exclusion or X-liability would be best."/>
    <x v="4"/>
    <s v="Matt's preference is X-liability. Approved terms."/>
    <m/>
    <m/>
    <s v="Patterson"/>
    <m/>
    <m/>
    <n v="0"/>
  </r>
  <r>
    <x v="226"/>
    <s v="Hull CA"/>
    <s v="Irvine"/>
    <s v="Alex"/>
    <s v="Call"/>
    <m/>
    <m/>
    <x v="6"/>
    <m/>
    <x v="3"/>
    <m/>
    <x v="0"/>
    <x v="0"/>
    <x v="0"/>
    <s v="Med Pay"/>
    <s v="Alex noticed that our COC form for Homeowners excludes med pay but there is no associated form for Dwelling. I confirmed with Karen yesterday that Dwelling has no special COC liability form.  "/>
    <x v="3"/>
    <s v="I approved the risk for Alex with $1000 med pay. He forwarded me Lloyds form so we can look into it."/>
    <m/>
    <m/>
    <s v="Patterson"/>
    <m/>
    <m/>
    <n v="0"/>
  </r>
  <r>
    <x v="226"/>
    <s v="Hull CA"/>
    <s v="Irvine"/>
    <s v="Alison"/>
    <s v="Email"/>
    <s v="PBM221LLC"/>
    <m/>
    <x v="2"/>
    <m/>
    <x v="3"/>
    <m/>
    <x v="0"/>
    <x v="0"/>
    <x v="0"/>
    <s v="5 units"/>
    <s v="Alison has 2 properties.  1 has 3 separate rentals. The other has a primary home and a rental guest house. We discussed how to insure.  The decision was, 3 separate rentals on one property can be written on 1 policy w/3 separate dec pages (like MDF00000332245). One liab charge since it is on the same legal property. Then use DL 24 11 to extend liab to the 2 other homes.  For the home/guest house, they are separate addresses. Need separate policies. If not rented, I'd make an exception for it to be an other structure."/>
    <x v="3"/>
    <m/>
    <m/>
    <m/>
    <s v="Patterson"/>
    <m/>
    <m/>
    <n v="0"/>
  </r>
  <r>
    <x v="227"/>
    <s v="Hull CO"/>
    <s v="Charlotte"/>
    <s v="Tammi"/>
    <s v="Email"/>
    <s v="Castle Renovations LLC"/>
    <m/>
    <x v="8"/>
    <m/>
    <x v="3"/>
    <m/>
    <x v="0"/>
    <x v="0"/>
    <x v="0"/>
    <s v="Match rate"/>
    <m/>
    <x v="3"/>
    <s v="Wanted us to beat a Lex and Beasley rate. Ran against AAL and agreed to match Beasley $1900 rate."/>
    <m/>
    <m/>
    <s v="Trott"/>
    <m/>
    <m/>
    <n v="0"/>
  </r>
  <r>
    <x v="228"/>
    <s v="Burns"/>
    <s v="MI"/>
    <s v="Jill"/>
    <s v="Email"/>
    <s v="Shrider, Seth"/>
    <m/>
    <x v="21"/>
    <m/>
    <x v="3"/>
    <m/>
    <x v="0"/>
    <x v="0"/>
    <x v="0"/>
    <s v="Caboose home"/>
    <s v="Sent preliminary photos to see if we would be a market for something like this."/>
    <x v="2"/>
    <s v="Train/Railcar/Caboose -- If completely professionally renovated (structure as well as plumbing, heating, electric), permanently parked, and we can come to an agreement on an acceptable Cov A, we can consider writing on a submit basis."/>
    <m/>
    <m/>
    <s v="Patterson"/>
    <m/>
    <m/>
    <n v="0"/>
  </r>
  <r>
    <x v="228"/>
    <s v="Hull CO"/>
    <s v="Charlotte"/>
    <s v="Tammi"/>
    <s v="Email"/>
    <s v="Castle Renovations LLC (Loc 2)"/>
    <m/>
    <x v="8"/>
    <m/>
    <x v="3"/>
    <m/>
    <x v="0"/>
    <x v="0"/>
    <x v="0"/>
    <s v="Match rate"/>
    <m/>
    <x v="4"/>
    <s v="Markel quoted prem 2960.  Lloyds prem $2280.  AAL came in at $1550.  Agreed to match Lloyds premium"/>
    <m/>
    <m/>
    <s v="Patterson"/>
    <m/>
    <m/>
    <n v="0"/>
  </r>
  <r>
    <x v="228"/>
    <s v="Hull CO"/>
    <s v="Charlotte"/>
    <s v="Karen"/>
    <s v="Email"/>
    <s v="Donnelly, Patrick"/>
    <m/>
    <x v="1"/>
    <s v="Charleston SC"/>
    <x v="3"/>
    <m/>
    <x v="0"/>
    <x v="0"/>
    <x v="0"/>
    <s v="Renew for another 6 mo term"/>
    <s v="Agreed to offer renewal for another 6 month term."/>
    <x v="4"/>
    <m/>
    <m/>
    <m/>
    <s v="Patterson"/>
    <m/>
    <m/>
    <n v="0"/>
  </r>
  <r>
    <x v="228"/>
    <s v="Hull CA"/>
    <s v="Irvine"/>
    <s v="Ariel"/>
    <s v="Email"/>
    <s v="Wellhausen"/>
    <m/>
    <x v="0"/>
    <m/>
    <x v="3"/>
    <m/>
    <x v="0"/>
    <x v="0"/>
    <x v="0"/>
    <s v="Roof exclusion"/>
    <s v="Agent asking for alternative to roof exclusion. 40 year old home w/unknown updates. Photos from inspection look good. "/>
    <x v="3"/>
    <s v="Agreed to proceed w/ACV roof vs. roof exclusion.  Asked for small surcharge to be applied."/>
    <m/>
    <m/>
    <s v="Patterson"/>
    <m/>
    <m/>
    <n v="0"/>
  </r>
  <r>
    <x v="229"/>
    <s v="Hull CA"/>
    <s v="Stockton"/>
    <s v="Lisa"/>
    <s v="Email"/>
    <m/>
    <m/>
    <x v="2"/>
    <m/>
    <x v="3"/>
    <m/>
    <x v="0"/>
    <x v="0"/>
    <x v="0"/>
    <s v="Student housing"/>
    <s v="What is our stance on full time rentals to students."/>
    <x v="1"/>
    <s v="Advised Lisa we can't cover all in the UW guide. This is not a market we want. Grad students might be an exception."/>
    <m/>
    <m/>
    <s v="Patterson"/>
    <m/>
    <m/>
    <n v="1"/>
  </r>
  <r>
    <x v="229"/>
    <s v="Hull CA"/>
    <s v="Irvine"/>
    <s v="Alex"/>
    <s v="Call"/>
    <s v="McFarland"/>
    <m/>
    <x v="41"/>
    <m/>
    <x v="3"/>
    <m/>
    <x v="0"/>
    <x v="0"/>
    <x v="0"/>
    <s v="2 rentals on one property"/>
    <s v="2 rental units on one property. Home and detached garage w/apartment rented to different people. As we did with another similar risk for Alison, put both on one policy, there would be 2 decs w/different &quot;locations&quot; listed but under one policy. Include charge for liability. There is a form that extends coverage to multiple locations."/>
    <x v="4"/>
    <s v="Agent came back - primary home is seasonal with family use. Det garage unit is rented. Advised to use HO 04 40 for the garage. Cover on a homeowners form."/>
    <m/>
    <m/>
    <s v="Patterson"/>
    <m/>
    <m/>
    <n v="0"/>
  </r>
  <r>
    <x v="229"/>
    <s v="Hull CA"/>
    <s v="Irvine"/>
    <s v="Alex"/>
    <s v="Call"/>
    <s v="Salvati"/>
    <m/>
    <x v="10"/>
    <m/>
    <x v="3"/>
    <m/>
    <x v="0"/>
    <x v="0"/>
    <x v="0"/>
    <s v="PC?"/>
    <s v="New build in new community. Agent doesn't know if fire hydrants are in yet. 5/9 PC. Agreed to write as a 5 as long as hydrants are there or will be within a few months."/>
    <x v="4"/>
    <m/>
    <m/>
    <m/>
    <s v="Patterson"/>
    <m/>
    <m/>
    <n v="0"/>
  </r>
  <r>
    <x v="229"/>
    <s v="Hull CA"/>
    <s v="Irvine"/>
    <s v="Alison"/>
    <s v="Call"/>
    <m/>
    <m/>
    <x v="8"/>
    <m/>
    <x v="3"/>
    <m/>
    <x v="0"/>
    <x v="0"/>
    <x v="0"/>
    <s v="2 rentals on one property"/>
    <s v="Guest house is primary residence for the insured. The previous main home is what is rented out. Alison will find out if this is AirBNB situation or a seasonal rental. We can probably write the &quot;guest house&quot; as Coverage A and the main house as Coverage B."/>
    <x v="4"/>
    <m/>
    <m/>
    <m/>
    <s v="Patterson"/>
    <m/>
    <m/>
    <n v="0"/>
  </r>
  <r>
    <x v="229"/>
    <s v="Hull CA"/>
    <s v="Stockton"/>
    <s v="Kirk"/>
    <s v="Call/Email"/>
    <s v="Goff"/>
    <m/>
    <x v="0"/>
    <s v="Oak Park CA"/>
    <x v="3"/>
    <m/>
    <x v="0"/>
    <x v="0"/>
    <x v="0"/>
    <s v="Rate reduction"/>
    <s v="1989 very nice home. We have insured's Secondary. They have a C N A quote for $3800. We are coming in at $4421 w/$10K ded. ($4509 with $5K) We hit premium floor.  I did agree to go to $4300 today.  Tomorrow I can get an insurance score run and see if we can do better. Also asked for app and make sure this is apples/apples quote."/>
    <x v="4"/>
    <s v="Insurance score allowed 15% discount. Advised Kirk if apples/apples, we can get to $4128 (16 cent rate)."/>
    <m/>
    <m/>
    <s v="Patterson"/>
    <m/>
    <m/>
    <n v="0"/>
  </r>
  <r>
    <x v="230"/>
    <s v="Hull CA"/>
    <s v="Irvine"/>
    <s v="Alison"/>
    <s v="Call"/>
    <s v="COC-Newport Beach"/>
    <m/>
    <x v="1"/>
    <s v="Newport Beach CA PC3"/>
    <x v="3"/>
    <m/>
    <x v="0"/>
    <x v="0"/>
    <x v="0"/>
    <m/>
    <s v="Insured is remodeling their home on land owned by newport beach and leased back to them. They REQUIRE to be listed as AI with strict endorsement language. We won't do it. Lloyds will for $3K more than us. Hull got Markel Coml to write a GL listing Newport Beach for $1M liab. Insd needs personal liablity for their protection and for their umbrella. Alison wants us to write liab on our policy which will be possibly stacked with the GL. Ours will be $300,000. We can increase our premium $1,000 for this."/>
    <x v="2"/>
    <s v="Alison will submit if needed. Discussed w/Louisa and she feels we need policy language from Coml and this may need to go to Audrey for approval since we would be stacking.  Our other insurance clause states:  This insurance is excess over other vaid and collectible insurance except insurance written specifically to covera as excess of the limits of liability that apply in this policy."/>
    <s v="6/10, ended up writing with Lloyds."/>
    <m/>
    <s v="Patterson"/>
    <m/>
    <m/>
    <n v="0"/>
  </r>
  <r>
    <x v="231"/>
    <s v="Hull CO"/>
    <s v="NJ"/>
    <s v="Lisa"/>
    <s v="Email"/>
    <s v="Erdi, Alev"/>
    <m/>
    <x v="0"/>
    <m/>
    <x v="3"/>
    <m/>
    <x v="0"/>
    <x v="0"/>
    <x v="0"/>
    <s v="Tree in decks"/>
    <s v="Insured's decks were built around a large tree."/>
    <x v="3"/>
    <s v="Asked multiple questions about type of tree, maintenance plan etc. Ok if it checks out."/>
    <m/>
    <m/>
    <s v="Patterson"/>
    <m/>
    <m/>
    <n v="0"/>
  </r>
  <r>
    <x v="231"/>
    <s v="Hull CO"/>
    <s v="Horsham"/>
    <s v="Andrea"/>
    <s v="Email"/>
    <m/>
    <m/>
    <x v="2"/>
    <m/>
    <x v="3"/>
    <m/>
    <x v="0"/>
    <x v="0"/>
    <x v="0"/>
    <s v="COC question"/>
    <s v="Insd owns a 2-3 family rental on one street, and a commercial business on the other. They are connnecting the two and turning it into 100% commercial. They need coverage on the rental and COC. Once the CO is issued, they will cancel the policy."/>
    <x v="2"/>
    <s v="Asked numerous questions about timeframe, type of business, use of exclusion."/>
    <m/>
    <m/>
    <s v="Patterson"/>
    <m/>
    <m/>
    <n v="0"/>
  </r>
  <r>
    <x v="232"/>
    <s v="Burns"/>
    <s v="MI"/>
    <s v="Jeff"/>
    <s v="Email"/>
    <s v="Auto Condos"/>
    <m/>
    <x v="42"/>
    <s v="Pontiac MI"/>
    <x v="3"/>
    <m/>
    <x v="0"/>
    <x v="0"/>
    <x v="0"/>
    <s v="Auto condo"/>
    <s v="M1 Concourse offers condos with auto storage in and around a racetrack. Values are $100-$500K. They can be used for offices, apartments, and/or car storage."/>
    <x v="3"/>
    <s v="Reviewed heavily with Jeff. Approval with parameters in Burns file."/>
    <m/>
    <m/>
    <s v="Patterson"/>
    <m/>
    <m/>
    <n v="0"/>
  </r>
  <r>
    <x v="232"/>
    <s v="Hull CA"/>
    <s v="Irvine"/>
    <s v="Alison"/>
    <s v="Call/Email"/>
    <m/>
    <m/>
    <x v="8"/>
    <m/>
    <x v="3"/>
    <m/>
    <x v="0"/>
    <x v="0"/>
    <x v="0"/>
    <s v="Tainted drywall exclusion"/>
    <s v="Would our tainted drywall exclusion form apply to a case where asbestos taping and joint compound is used for drywall."/>
    <x v="3"/>
    <s v="Question in to Rodney. Drywall would be covered but extra cost to remediate would not."/>
    <m/>
    <m/>
    <s v="Patterson"/>
    <m/>
    <m/>
    <n v="0"/>
  </r>
  <r>
    <x v="233"/>
    <s v="Burns"/>
    <s v="MI"/>
    <s v="Ben"/>
    <s v="Email"/>
    <s v="Lakeview Investments"/>
    <m/>
    <x v="36"/>
    <m/>
    <x v="3"/>
    <m/>
    <x v="0"/>
    <x v="0"/>
    <x v="0"/>
    <s v="Addl Insured"/>
    <s v="Agent is asking if 5 additional insureds can be added to the policy."/>
    <x v="0"/>
    <s v="Asked a slew of questions about insurable interest. See email in agent file."/>
    <s v="Interest is legit, but this is 5x the exposure. Approved for a premium of $200 additional."/>
    <m/>
    <s v="Patterson"/>
    <m/>
    <m/>
    <n v="0"/>
  </r>
  <r>
    <x v="233"/>
    <s v="Burns"/>
    <s v="MI"/>
    <s v="Matt"/>
    <s v="Email"/>
    <s v="Hom, Steven"/>
    <m/>
    <x v="0"/>
    <m/>
    <x v="3"/>
    <m/>
    <x v="0"/>
    <x v="0"/>
    <x v="0"/>
    <s v="Title question"/>
    <s v="Risk is titled in name of a deceased person. Son is the executor. Can they write in the name of the son. Insurance lapsed in 12/2015."/>
    <x v="3"/>
    <s v="Approved with a 5-10% surcharge-Matt can apply his judgment."/>
    <m/>
    <m/>
    <s v="Patterson"/>
    <m/>
    <m/>
    <n v="0"/>
  </r>
  <r>
    <x v="234"/>
    <s v="Hull CA"/>
    <s v="Stockton"/>
    <s v="Kirk"/>
    <s v="Call"/>
    <m/>
    <m/>
    <x v="8"/>
    <m/>
    <x v="3"/>
    <m/>
    <x v="0"/>
    <x v="0"/>
    <x v="0"/>
    <s v="Reduce Cov B"/>
    <s v="Kirk wanted approval to reduce Oth Str from $195K to $85K effective 6/17 (Friday, 3 days ago).  Since this is a reduction, and the agent probably talked to the insured that day, I'm okay with going back a few days. Very little prem diff."/>
    <x v="4"/>
    <m/>
    <m/>
    <m/>
    <s v="Patterson"/>
    <m/>
    <m/>
    <n v="0"/>
  </r>
  <r>
    <x v="234"/>
    <s v="Hull CA"/>
    <s v="Irvine"/>
    <s v="Alison"/>
    <s v="Email"/>
    <s v="Brown, Robert"/>
    <m/>
    <x v="8"/>
    <m/>
    <x v="3"/>
    <m/>
    <x v="0"/>
    <x v="0"/>
    <x v="0"/>
    <s v="Backdating"/>
    <s v="Lender left VM for retail agent to bind eff 6/17, but agent didn't get it unitl today.  Alison asked to backdate with signed no loss.  I requested current date (date she got the request) unless it was going to cause a force placed policy for the insured."/>
    <x v="0"/>
    <s v="Lender is going to significantly charge the insured for the 3 days.  I agreed to allow eff date of 6/17/16 with signed statement received."/>
    <m/>
    <m/>
    <s v="Patterson"/>
    <m/>
    <m/>
    <n v="0"/>
  </r>
  <r>
    <x v="235"/>
    <s v="Hull CA"/>
    <s v="Irvine"/>
    <s v="Alex"/>
    <s v="Call"/>
    <m/>
    <m/>
    <x v="8"/>
    <m/>
    <x v="3"/>
    <m/>
    <x v="0"/>
    <x v="0"/>
    <x v="0"/>
    <s v="2 locations"/>
    <s v="Insured has 2 locations on 1 lot, but they have separate addresses. We discussed how to handle. 1 policy with 2 dec pages, each listing a unit and coverages. Make sure to apply 2 liab charges."/>
    <x v="4"/>
    <m/>
    <m/>
    <m/>
    <s v="Patterson"/>
    <m/>
    <m/>
    <n v="0"/>
  </r>
  <r>
    <x v="235"/>
    <s v="Hull CA"/>
    <s v="Stockton"/>
    <s v="Kirk"/>
    <s v="Call"/>
    <m/>
    <m/>
    <x v="8"/>
    <m/>
    <x v="3"/>
    <m/>
    <x v="0"/>
    <x v="0"/>
    <x v="0"/>
    <s v="Log home"/>
    <s v="2001 log home with metal roof PC9. Does he need to surcharge?  Refer?"/>
    <x v="4"/>
    <s v="Advised it does not need to be referred, does not need to be surcharged, per UW guidelines."/>
    <m/>
    <m/>
    <s v="Patterson"/>
    <m/>
    <m/>
    <n v="0"/>
  </r>
  <r>
    <x v="235"/>
    <s v="Hull CA"/>
    <s v="Stockton"/>
    <s v="Lisa"/>
    <s v="Call/Email"/>
    <m/>
    <m/>
    <x v="0"/>
    <m/>
    <x v="3"/>
    <m/>
    <x v="0"/>
    <x v="0"/>
    <x v="0"/>
    <s v="Roomers"/>
    <s v="Insured has 2 roomers - rents out 2 rooms to 2 different individuals.  Are any additional forms needed. Reviewed policy language. Exclusion for contents unless related. There is coverage for liability, so no addl endorsement needed. Advised each roomer needs an HO-4."/>
    <x v="4"/>
    <m/>
    <m/>
    <m/>
    <s v="Patterson"/>
    <m/>
    <m/>
    <n v="0"/>
  </r>
  <r>
    <x v="236"/>
    <s v="Hull CA"/>
    <s v="Irvine"/>
    <s v="Alison"/>
    <s v="Call"/>
    <s v="CJS Group, LP"/>
    <m/>
    <x v="1"/>
    <m/>
    <x v="3"/>
    <m/>
    <x v="0"/>
    <x v="0"/>
    <x v="0"/>
    <s v="Builders Risk"/>
    <s v="Alison is getting mixed stories about the occupancy of this home.  It is a builders risk.  First agent said vacant. Now they are saying on of the members of the LP is going to live there before and after the remodel."/>
    <x v="3"/>
    <s v="I provided Alison with a sample of Burns Vacant Unoccupied Form and offered to create MPLH0115-0715 if she gets a bind order."/>
    <m/>
    <m/>
    <s v="Patterson"/>
    <m/>
    <m/>
    <n v="0"/>
  </r>
  <r>
    <x v="237"/>
    <s v="Hull CO"/>
    <s v="Horsham"/>
    <s v="Tamika"/>
    <s v="Call"/>
    <s v="Levy, Jennifer"/>
    <m/>
    <x v="0"/>
    <m/>
    <x v="3"/>
    <m/>
    <x v="0"/>
    <x v="0"/>
    <x v="0"/>
    <s v="Open claim"/>
    <s v="1979 home updated. Insd had dog bite claim at other location. Lab retriever still in hh. Agent applying dogbite exclusion RU2401. Reviewed and it is the same as our MPL form Okay with open claim USAA $5000 reserve."/>
    <x v="4"/>
    <m/>
    <m/>
    <m/>
    <s v="Patterson"/>
    <m/>
    <m/>
    <n v="0"/>
  </r>
  <r>
    <x v="237"/>
    <s v="Hull CA"/>
    <s v="Irvine"/>
    <s v="Alison"/>
    <s v="Call"/>
    <m/>
    <m/>
    <x v="8"/>
    <m/>
    <x v="3"/>
    <m/>
    <x v="0"/>
    <x v="0"/>
    <x v="0"/>
    <s v="Roof issue"/>
    <s v="1994 home with 2 prior roof leaks. Roof is tile. Insd replaced the complete underlayment but not the tiles. (common practice when tiles aren't old or deteriorated)"/>
    <x v="4"/>
    <m/>
    <m/>
    <m/>
    <s v="Patterson"/>
    <m/>
    <m/>
    <n v="0"/>
  </r>
  <r>
    <x v="238"/>
    <s v="Hull CA"/>
    <s v="Irvine"/>
    <s v="Alison"/>
    <s v="Call"/>
    <m/>
    <m/>
    <x v="6"/>
    <m/>
    <x v="3"/>
    <m/>
    <x v="0"/>
    <x v="0"/>
    <x v="0"/>
    <s v="Rating"/>
    <s v="How should a builders risk ground up construction be rated when they don't know what they are going to do with it when it's done - sell or occupy."/>
    <x v="3"/>
    <s v="Agreed to builders risk rate on a DP3."/>
    <m/>
    <m/>
    <s v="Patterson"/>
    <m/>
    <m/>
    <n v="0"/>
  </r>
  <r>
    <x v="238"/>
    <s v="Hull CA"/>
    <s v="Irvine"/>
    <s v="Alison"/>
    <s v="Call"/>
    <m/>
    <m/>
    <x v="2"/>
    <m/>
    <x v="3"/>
    <m/>
    <x v="0"/>
    <x v="0"/>
    <x v="0"/>
    <s v="5 units same parcel"/>
    <s v="How to insure 5 units on same parcel. 2 duplexes built in 1981. Single fam built in 1931. 3 dec pages, charge for 3 liab but include on 1 and extend to other locations. 1931 home needs MFRC - will do 3 forms lists."/>
    <x v="3"/>
    <m/>
    <m/>
    <m/>
    <s v="Patterson"/>
    <m/>
    <m/>
    <n v="0"/>
  </r>
  <r>
    <x v="239"/>
    <s v="Hull CA"/>
    <s v="Stockton"/>
    <s v="Lisa"/>
    <s v="Email/Call"/>
    <s v="Hedlund, John"/>
    <m/>
    <x v="0"/>
    <m/>
    <x v="3"/>
    <m/>
    <x v="0"/>
    <x v="0"/>
    <x v="0"/>
    <s v="Animals?"/>
    <s v="5.5 acres - insured's primary residence.  They have 8 chickens (for eggs), 2 rabbits, 2 goats (graze the land), 2 labs, 1 cat. I did not think this was too many, or a concern from a liab perspective."/>
    <x v="4"/>
    <m/>
    <m/>
    <m/>
    <s v="Patterson"/>
    <m/>
    <m/>
    <n v="0"/>
  </r>
  <r>
    <x v="239"/>
    <s v="SCU"/>
    <s v="CO"/>
    <s v="Allison"/>
    <s v="Email"/>
    <s v="Alliance"/>
    <m/>
    <x v="43"/>
    <s v="Various locations"/>
    <x v="3"/>
    <m/>
    <x v="0"/>
    <x v="0"/>
    <x v="0"/>
    <s v="25 rental locations"/>
    <s v="Agent has 25 rental locations but about 9 of them are mobile homes. We don't write mobile homes in our E&amp;S program."/>
    <x v="1"/>
    <m/>
    <m/>
    <m/>
    <s v="Patterson"/>
    <m/>
    <m/>
    <n v="1"/>
  </r>
  <r>
    <x v="240"/>
    <s v="Hull CA"/>
    <s v="Irvine"/>
    <s v="Bobbi"/>
    <s v="Email"/>
    <m/>
    <m/>
    <x v="1"/>
    <m/>
    <x v="3"/>
    <m/>
    <x v="0"/>
    <x v="0"/>
    <x v="0"/>
    <s v="Liab"/>
    <s v="Insured renovated home, is now living in it.  Chubb wrote, but then inspected and found out counters aren't done. Most of all of the rest of the kitchen is done.  Bobbi wants to give worldwide liab. We agreed to write without the Builders Risk liab form"/>
    <x v="3"/>
    <m/>
    <m/>
    <m/>
    <s v="Patterson"/>
    <m/>
    <m/>
    <n v="0"/>
  </r>
  <r>
    <x v="240"/>
    <s v="Hull CA"/>
    <s v="Irvine"/>
    <s v="Alison"/>
    <s v="Call"/>
    <m/>
    <m/>
    <x v="8"/>
    <m/>
    <x v="3"/>
    <m/>
    <x v="0"/>
    <x v="0"/>
    <x v="0"/>
    <s v="Corp name"/>
    <s v="Vacant 6 month policy in the name of Giant Eagle Foundation. Eventually they will lease to struggling families. For now just need vacant policy. "/>
    <x v="3"/>
    <s v="Alison will get Corp/LLC form and make sure it qualifies. No big businesses."/>
    <m/>
    <m/>
    <s v="Patterson"/>
    <m/>
    <m/>
    <n v="0"/>
  </r>
  <r>
    <x v="240"/>
    <s v="TPI"/>
    <s v=" "/>
    <s v="Jerrold"/>
    <s v="Call"/>
    <m/>
    <m/>
    <x v="8"/>
    <s v="Oklahoma"/>
    <x v="3"/>
    <m/>
    <x v="0"/>
    <x v="0"/>
    <x v="0"/>
    <s v="SPP inquiry"/>
    <s v="Insured wants to schedule their hot tub in Oklahoma."/>
    <x v="1"/>
    <m/>
    <m/>
    <m/>
    <s v="Patterson"/>
    <m/>
    <m/>
    <n v="1"/>
  </r>
  <r>
    <x v="240"/>
    <s v="Burns"/>
    <s v="MI"/>
    <s v="Danielle"/>
    <s v="Email"/>
    <s v="Jovenita"/>
    <m/>
    <x v="0"/>
    <s v="Laurel Canyon CA"/>
    <x v="3"/>
    <m/>
    <x v="0"/>
    <x v="0"/>
    <x v="0"/>
    <s v="Midterm EN"/>
    <s v="CA office got inspection back late for this risk (Danielle has confirmed it is an isolated incident)  They did not know the risk was under construction. Danielle had them mid term endorse outside the 60 days.  She says per CA guidelines, n/a to E&amp;S. Our compliance dept is still looking into that, but either way, the risk wasn't written with proper coverage so mid term change is okay."/>
    <x v="4"/>
    <m/>
    <m/>
    <m/>
    <s v="Patterson"/>
    <m/>
    <m/>
    <n v="0"/>
  </r>
  <r>
    <x v="241"/>
    <s v="Hull CA"/>
    <s v="Irvine"/>
    <s v="Alison"/>
    <s v="Call"/>
    <m/>
    <m/>
    <x v="44"/>
    <s v="Beverly Hills CA"/>
    <x v="3"/>
    <m/>
    <x v="0"/>
    <x v="0"/>
    <x v="0"/>
    <s v="Seller renting back"/>
    <s v="Home is sold, seller is renting back. How to set up the policy for the new owner? Alison is writing as a homeowners with rented to others form. She will rate as a rental."/>
    <x v="4"/>
    <m/>
    <m/>
    <m/>
    <s v="Patterson"/>
    <m/>
    <m/>
    <n v="0"/>
  </r>
  <r>
    <x v="241"/>
    <s v="Burns"/>
    <s v="MI"/>
    <s v="Jill"/>
    <s v="Call"/>
    <m/>
    <m/>
    <x v="8"/>
    <m/>
    <x v="3"/>
    <m/>
    <x v="0"/>
    <x v="0"/>
    <x v="0"/>
    <s v="Model home"/>
    <s v="Insured bought a home and is renting it back to the builder. Jill and I discussed and believe we could do this X-liability.  She will verify how it is being used and if it is the only home, or part of a community. Probably can go DP3. Will rate between rental and vacant depending on use and whether it is isolated in a development."/>
    <x v="3"/>
    <s v="Jill will get back to us with more info."/>
    <m/>
    <m/>
    <s v="Patterson"/>
    <m/>
    <m/>
    <n v="0"/>
  </r>
  <r>
    <x v="242"/>
    <s v="Burns"/>
    <s v="MI"/>
    <s v="Leslie"/>
    <s v="Call"/>
    <m/>
    <m/>
    <x v="0"/>
    <s v="Chico CA PC10"/>
    <x v="3"/>
    <m/>
    <x v="0"/>
    <x v="0"/>
    <x v="0"/>
    <s v="Response time 23 mins"/>
    <s v="Similar to Clifford Risk.  Leslie called assuming we would not want to write. We briefly discussed the risk and agreed on the decline."/>
    <x v="1"/>
    <m/>
    <m/>
    <m/>
    <s v="Patterson"/>
    <m/>
    <m/>
    <n v="1"/>
  </r>
  <r>
    <x v="243"/>
    <s v="RPS Cov"/>
    <m/>
    <s v="Suzanne"/>
    <s v="Call"/>
    <m/>
    <m/>
    <x v="8"/>
    <m/>
    <x v="3"/>
    <m/>
    <x v="0"/>
    <x v="0"/>
    <x v="0"/>
    <s v="Asbestos siding"/>
    <s v="Suzanne had a note that Larry said no asbestos siding. She has a risk where the inspection shows it. I advised this is a Markel rule, not just a Larry rule. She will cancel the risk"/>
    <x v="3"/>
    <s v="Approved the cancellation"/>
    <m/>
    <m/>
    <s v="Patterson"/>
    <m/>
    <m/>
    <n v="0"/>
  </r>
  <r>
    <x v="244"/>
    <s v="Burns"/>
    <s v="MI"/>
    <s v="Matt"/>
    <s v="Call"/>
    <m/>
    <m/>
    <x v="0"/>
    <m/>
    <x v="3"/>
    <m/>
    <x v="0"/>
    <x v="0"/>
    <x v="0"/>
    <s v="Decline risk by an active fire"/>
    <s v="Risk by the &quot;Trailhead Fire&quot; which was reported on 7/11 to be 98% contained. Burns follows 100% and I agreed. He says AA and Farmers have opened up.  I say better safe than sorry as stranger things have happened."/>
    <x v="4"/>
    <s v="Approve, as in agreed with Matt to Decline. Didn't want to log this as a decline"/>
    <m/>
    <m/>
    <s v="Patterson"/>
    <m/>
    <m/>
    <n v="0"/>
  </r>
  <r>
    <x v="245"/>
    <s v="Burns"/>
    <s v="MI"/>
    <s v="Ben"/>
    <s v="Call"/>
    <s v="Martinez, Angel"/>
    <m/>
    <x v="0"/>
    <m/>
    <x v="3"/>
    <m/>
    <x v="0"/>
    <x v="0"/>
    <x v="0"/>
    <s v="Age of home"/>
    <s v="1890 home not completely gutted. Has 4 losses (2 sewer line, water damage, theft)."/>
    <x v="1"/>
    <s v="Agreed with Ben that this should be declined as it has not been completely gutted and the losses are related to this."/>
    <m/>
    <m/>
    <s v="Patterson"/>
    <m/>
    <m/>
    <n v="1"/>
  </r>
  <r>
    <x v="246"/>
    <s v="Burns"/>
    <s v="MI"/>
    <s v="Ben"/>
    <s v="Email"/>
    <s v="Herbert, David"/>
    <m/>
    <x v="0"/>
    <m/>
    <x v="3"/>
    <m/>
    <x v="0"/>
    <x v="0"/>
    <x v="0"/>
    <s v="Brush clearance"/>
    <s v="Insured cleared up to 120'. There are additional shrubs and brush, but it is across the street, not on their property. "/>
    <x v="4"/>
    <s v="Forwarded copy of criteria which says 150' or to prop line whichever is less."/>
    <m/>
    <m/>
    <s v="Patterson"/>
    <m/>
    <m/>
    <n v="0"/>
  </r>
  <r>
    <x v="247"/>
    <s v="Hull CA"/>
    <s v="Irvine"/>
    <s v="Alex"/>
    <s v="Call"/>
    <s v="Key"/>
    <m/>
    <x v="39"/>
    <m/>
    <x v="3"/>
    <m/>
    <x v="0"/>
    <x v="0"/>
    <x v="0"/>
    <s v="Waive loss s/c"/>
    <s v="Alex missed charging for a $4500 water damage 10/15. He did apply a $5000 water damage deductible.  Prem $1580. $145 is the lost s/c amount."/>
    <x v="3"/>
    <s v="Agreed to skip the s/c this year but add at next renewal. "/>
    <m/>
    <m/>
    <s v="Patterson"/>
    <m/>
    <m/>
    <n v="0"/>
  </r>
  <r>
    <x v="247"/>
    <s v="Hull CA"/>
    <s v="Stockton"/>
    <s v="Kirk"/>
    <s v="Call"/>
    <m/>
    <m/>
    <x v="0"/>
    <m/>
    <x v="3"/>
    <m/>
    <x v="0"/>
    <x v="0"/>
    <x v="0"/>
    <s v="78 degree slope"/>
    <s v="2010 home PC4 in brush. Slope is 78 degrees. Do we have any criteria in place?"/>
    <x v="4"/>
    <s v="We don't have any criteria. Per Kirk, other competitors do not either.  Cal Fire usually does drills on more challenging properties."/>
    <m/>
    <m/>
    <s v="Patterson"/>
    <m/>
    <m/>
    <n v="0"/>
  </r>
  <r>
    <x v="248"/>
    <s v="Hull CA"/>
    <s v="Stockton"/>
    <s v="Kirk"/>
    <s v="Email"/>
    <m/>
    <m/>
    <x v="0"/>
    <m/>
    <x v="3"/>
    <m/>
    <x v="0"/>
    <x v="0"/>
    <x v="0"/>
    <s v="Cast iron sewer pipes"/>
    <s v="Home has all been updated except for cast iron sewer pipes"/>
    <x v="3"/>
    <s v="Approved subject to no water/sewer backup."/>
    <m/>
    <m/>
    <s v="Patterson"/>
    <m/>
    <m/>
    <n v="0"/>
  </r>
  <r>
    <x v="248"/>
    <s v="Hull CA"/>
    <s v="Irvine"/>
    <s v="Alex"/>
    <s v="Call"/>
    <m/>
    <m/>
    <x v="0"/>
    <s v="CA"/>
    <x v="3"/>
    <m/>
    <x v="0"/>
    <x v="0"/>
    <x v="0"/>
    <s v="Prior losses"/>
    <s v="Alex was advised of a $21K loss from controlled burn that went out of control and damaged oth str. Loss runs show $63K fire plus 2 wind losses. Not an agent he works with-one off for a commercial agency. He has another carrier to give this to."/>
    <x v="1"/>
    <m/>
    <m/>
    <m/>
    <s v="Patterson"/>
    <m/>
    <m/>
    <n v="1"/>
  </r>
  <r>
    <x v="248"/>
    <s v="Burns"/>
    <s v="MI"/>
    <s v="Ben"/>
    <s v="Call"/>
    <m/>
    <m/>
    <x v="0"/>
    <m/>
    <x v="3"/>
    <m/>
    <x v="0"/>
    <x v="0"/>
    <x v="0"/>
    <s v="SPP Proof"/>
    <s v="Insured has 8 persian rugs we would be insuring as fine arts.  4@$8K and 4@$9500. They have photos - no bill of sale or appraisals."/>
    <x v="3"/>
    <s v="Approved subject to bill of sale or appraisals."/>
    <m/>
    <m/>
    <s v="Patterson"/>
    <m/>
    <m/>
    <n v="0"/>
  </r>
  <r>
    <x v="192"/>
    <s v="Hull CA"/>
    <s v="Stockton"/>
    <s v="Kirk"/>
    <s v="Call"/>
    <s v="Franks, Warren"/>
    <m/>
    <x v="0"/>
    <m/>
    <x v="3"/>
    <m/>
    <x v="0"/>
    <x v="0"/>
    <x v="0"/>
    <s v="3 water losses/3 years"/>
    <s v="Kirk doesn't have all the details yet so we discussed starting off with an offer of a water damage exclusion. Once the agent proves the loss info and corrections made, could consider a high ded."/>
    <x v="3"/>
    <s v="Sent Kirk a copy of the new water damage exclusion."/>
    <m/>
    <m/>
    <s v="Patterson"/>
    <m/>
    <m/>
    <n v="0"/>
  </r>
  <r>
    <x v="249"/>
    <s v="Burns"/>
    <s v="MI"/>
    <s v="Ben"/>
    <s v="Call"/>
    <m/>
    <m/>
    <x v="0"/>
    <m/>
    <x v="3"/>
    <m/>
    <x v="0"/>
    <x v="0"/>
    <x v="0"/>
    <s v="Personal Prop"/>
    <s v="Insured has a $22K tractor strictly for maint of prem. Also, is a retired mechanic and has $30K in tools which he uses for pers use only. Okay for personal property?"/>
    <x v="4"/>
    <s v="Yes, these do not need to be scheduled and no limitations. $22k is not outrageous."/>
    <m/>
    <m/>
    <s v="Patterson"/>
    <m/>
    <m/>
    <n v="0"/>
  </r>
  <r>
    <x v="192"/>
    <s v="Burns"/>
    <s v="MI"/>
    <s v="Ben"/>
    <s v="Email"/>
    <s v="Leucadia Creative Corp"/>
    <m/>
    <x v="0"/>
    <s v="Idyllwild CA PC2"/>
    <x v="3"/>
    <m/>
    <x v="0"/>
    <x v="0"/>
    <x v="0"/>
    <s v="Tree in decks"/>
    <s v="Home with deck built around multiple trees. Asked if okay from a liab perspective."/>
    <x v="3"/>
    <s v="Reviewed online photos. Looks acceptable. Advised it is a concern if it is in a brush area. Also cautioned about monitoring growth and have a plan to make adjustments before damage is caused. Business name-get quest, watch UW criteria about corp name."/>
    <m/>
    <m/>
    <s v="Patterson"/>
    <m/>
    <m/>
    <n v="0"/>
  </r>
  <r>
    <x v="250"/>
    <s v="Burns"/>
    <s v="MI"/>
    <s v="Danielle"/>
    <s v="Email"/>
    <m/>
    <m/>
    <x v="8"/>
    <m/>
    <x v="3"/>
    <m/>
    <x v="0"/>
    <x v="0"/>
    <x v="0"/>
    <s v="Shipping container home"/>
    <s v="Are we a market for a homemade shipping container home?"/>
    <x v="2"/>
    <s v="If professionally renovated and we can come up with a solid Cov A, we could consider."/>
    <m/>
    <m/>
    <s v="Patterson"/>
    <m/>
    <m/>
    <n v="0"/>
  </r>
  <r>
    <x v="251"/>
    <s v="Hull CA"/>
    <s v="Irvine"/>
    <s v="Alex"/>
    <s v="Call"/>
    <m/>
    <m/>
    <x v="8"/>
    <m/>
    <x v="3"/>
    <m/>
    <x v="0"/>
    <x v="0"/>
    <x v="0"/>
    <s v="COC DP or HO"/>
    <s v="Parents own, son living in it. Fits definition of named insured. Can they write an HO or DP? Wants theft of bldg materials. "/>
    <x v="4"/>
    <s v="Advised Alex we are coming out with the DP Theft of Matl coverage, or would qualify for Homeowners."/>
    <m/>
    <m/>
    <s v="Patterson"/>
    <m/>
    <m/>
    <n v="0"/>
  </r>
  <r>
    <x v="251"/>
    <s v="Burns"/>
    <s v="MI"/>
    <s v="Leslie"/>
    <s v="Call"/>
    <m/>
    <m/>
    <x v="8"/>
    <m/>
    <x v="3"/>
    <m/>
    <x v="0"/>
    <x v="0"/>
    <x v="0"/>
    <s v="Land Contract AI"/>
    <s v="Can a seller for a land contract be added as an additional insured?"/>
    <x v="4"/>
    <m/>
    <m/>
    <m/>
    <s v="Patterson"/>
    <m/>
    <m/>
    <n v="0"/>
  </r>
  <r>
    <x v="251"/>
    <s v="Burns"/>
    <s v="Irvine"/>
    <s v="Alison"/>
    <s v="Call"/>
    <m/>
    <m/>
    <x v="8"/>
    <m/>
    <x v="3"/>
    <m/>
    <x v="0"/>
    <x v="0"/>
    <x v="0"/>
    <s v="Multiple structures on premises"/>
    <s v="Alison has cases of more than 1 rental property but sharing an address. We brainstormed how she would set up the policy. Would be all on one. Separate dec for each. One forms list (with designation if a form only applies to one property). If this manual designation didn't work, she could attach a manuscript endorsement. Liab is charged for all, but extended to all properties. That way we are not providing multiple limits at one address."/>
    <x v="4"/>
    <m/>
    <m/>
    <m/>
    <s v="Patterson"/>
    <m/>
    <m/>
    <n v="0"/>
  </r>
  <r>
    <x v="252"/>
    <s v="SCU"/>
    <s v="CO"/>
    <s v="Ashley"/>
    <s v="Email"/>
    <s v="Raleigh Investment"/>
    <m/>
    <x v="45"/>
    <m/>
    <x v="3"/>
    <m/>
    <x v="0"/>
    <x v="0"/>
    <x v="0"/>
    <s v="2 units - &gt;90 day lapse"/>
    <s v="Agent didn't realize the lapse was over 90 days until Stmt No Loss was received. All info looks good - Corp form, older home form. 10% s/c added."/>
    <x v="3"/>
    <s v="Approved subject to updated no loss letter"/>
    <m/>
    <m/>
    <s v="Patterson"/>
    <m/>
    <m/>
    <n v="0"/>
  </r>
  <r>
    <x v="253"/>
    <s v="Hull CA"/>
    <s v="Stockton"/>
    <s v="Kirk"/>
    <s v="Call"/>
    <m/>
    <m/>
    <x v="0"/>
    <m/>
    <x v="3"/>
    <m/>
    <x v="0"/>
    <x v="0"/>
    <x v="0"/>
    <s v="7 horses"/>
    <s v="Primary residence 7 horses. Discussed finding out about breeding, boarding, riding, lessons. Also barns could be a concern if there is a lot of hay storage.  "/>
    <x v="3"/>
    <s v="Might consider x-liability.  Animal exclusion alone may not be enough. May need to exclude buildings too."/>
    <m/>
    <m/>
    <s v="Patterson"/>
    <m/>
    <m/>
    <n v="0"/>
  </r>
  <r>
    <x v="254"/>
    <s v="Burns"/>
    <s v="MI"/>
    <s v="Ben"/>
    <s v="Email"/>
    <s v="Davis, Melissa"/>
    <m/>
    <x v="0"/>
    <s v="Rescue CA"/>
    <x v="1"/>
    <m/>
    <x v="0"/>
    <x v="0"/>
    <x v="0"/>
    <s v="Boards horses"/>
    <s v="Agent bound based on old app and now inspection is showing brush issues and 3 horses boarded. 2 addl horses belong to the insured."/>
    <x v="3"/>
    <s v="Approved X-liability, clean up brush."/>
    <m/>
    <m/>
    <s v="Patterson"/>
    <m/>
    <m/>
    <n v="0"/>
  </r>
  <r>
    <x v="255"/>
    <s v="Hull CO"/>
    <s v="Charlotte"/>
    <s v="Karen"/>
    <s v="Email"/>
    <s v="Barton, Walter"/>
    <m/>
    <x v="0"/>
    <s v="Charleston SC  PC1"/>
    <x v="20"/>
    <m/>
    <x v="11"/>
    <x v="0"/>
    <x v="0"/>
    <s v="Cement roof"/>
    <s v="1929 roof no updates, cement roof.  Google shows landscape architecture business at this location w/hours 9-5. Cement roof could be asbestos mix."/>
    <x v="2"/>
    <s v="Pend for addl info on roof-ineligible if asbestos/concrete mix. Sent business questions to determine if we can write, maybe with business exclusion."/>
    <m/>
    <m/>
    <s v="Patterson"/>
    <m/>
    <m/>
    <n v="0"/>
  </r>
  <r>
    <x v="256"/>
    <s v="Bolton"/>
    <s v="AL"/>
    <s v="Janet"/>
    <s v="Email"/>
    <s v="Lynn"/>
    <m/>
    <x v="0"/>
    <m/>
    <x v="3"/>
    <m/>
    <x v="0"/>
    <x v="0"/>
    <x v="0"/>
    <s v="Metal building home"/>
    <s v="Insured turned an 1800 SF metal building into a home. Pristine photos in file. There has been a lapse due to an old PO Box was the address"/>
    <x v="3"/>
    <s v="Approved subj to the rest of the risk being acceptable. Add s/c if lapse."/>
    <m/>
    <m/>
    <s v="Patterson"/>
    <m/>
    <m/>
    <n v="0"/>
  </r>
  <r>
    <x v="256"/>
    <s v="Hull CA"/>
    <s v="Irvine"/>
    <s v="Alison"/>
    <s v="Call"/>
    <m/>
    <m/>
    <x v="0"/>
    <s v="Mammoth"/>
    <x v="1"/>
    <m/>
    <x v="0"/>
    <x v="0"/>
    <x v="0"/>
    <s v="Wood shake roof"/>
    <s v="2001 roof, unknown if treated. In forested area, not brush."/>
    <x v="2"/>
    <s v="Alison is sending additional information."/>
    <m/>
    <m/>
    <s v="Patterson"/>
    <m/>
    <m/>
    <n v="0"/>
  </r>
  <r>
    <x v="256"/>
    <s v="Hull CA"/>
    <s v="Irvine"/>
    <s v="Alison"/>
    <s v="Call"/>
    <m/>
    <m/>
    <x v="0"/>
    <m/>
    <x v="1"/>
    <m/>
    <x v="0"/>
    <x v="0"/>
    <x v="0"/>
    <s v="High profile"/>
    <s v="Discussed risk for Mark Damon, actor/producer. 73 years old"/>
    <x v="4"/>
    <s v="Not too famous."/>
    <m/>
    <m/>
    <s v="Patterson"/>
    <m/>
    <m/>
    <n v="0"/>
  </r>
  <r>
    <x v="257"/>
    <s v="Hull CA"/>
    <s v="Stockton"/>
    <s v="Lisa"/>
    <s v="Email"/>
    <s v="6343 Skyline Blvd"/>
    <m/>
    <x v="0"/>
    <s v="Oakland   "/>
    <x v="1"/>
    <m/>
    <x v="8"/>
    <x v="0"/>
    <x v="0"/>
    <s v="One of a kind home"/>
    <s v="2004 custom home, one of a kind modern design.  Angled walls, unique features.  Reviewed w/Louisa"/>
    <x v="1"/>
    <s v="Declined due to concern with establishing Cov A and how a loss would be settled due to unique design."/>
    <m/>
    <m/>
    <s v="Patterson"/>
    <m/>
    <m/>
    <n v="1"/>
  </r>
  <r>
    <x v="258"/>
    <s v="Burns"/>
    <s v="MI"/>
    <s v="Ben"/>
    <s v="Email"/>
    <s v="Guzman, Veronica"/>
    <m/>
    <x v="0"/>
    <m/>
    <x v="3"/>
    <m/>
    <x v="0"/>
    <x v="0"/>
    <x v="0"/>
    <s v="Addl Insured"/>
    <s v="Land contract - seller wants to be additional insured."/>
    <x v="4"/>
    <s v="Reviewed contract - appears in order."/>
    <m/>
    <m/>
    <s v="Patterson"/>
    <m/>
    <m/>
    <n v="0"/>
  </r>
  <r>
    <x v="258"/>
    <s v="Hull CA"/>
    <s v="Stockton"/>
    <s v="Kirk"/>
    <s v="Email/Call"/>
    <s v="Smith, Brian"/>
    <m/>
    <x v="0"/>
    <m/>
    <x v="1"/>
    <m/>
    <x v="0"/>
    <x v="0"/>
    <x v="0"/>
    <s v="Prior fire"/>
    <s v="Home is being purchased by son w/help from parents who will be co-titled.  Parents had a CAT fire in 2015 at a different address.  We do not need to surcharge for the loss."/>
    <x v="4"/>
    <m/>
    <m/>
    <m/>
    <s v="Patterson"/>
    <m/>
    <m/>
    <n v="0"/>
  </r>
  <r>
    <x v="258"/>
    <s v="Hull CA"/>
    <s v="Irvine"/>
    <s v="Alison"/>
    <s v="Email"/>
    <m/>
    <m/>
    <x v="0"/>
    <m/>
    <x v="1"/>
    <m/>
    <x v="0"/>
    <x v="0"/>
    <x v="0"/>
    <s v="Water losses"/>
    <s v="1990's home with 3 pipe leaks. Alison is excluding water and retailer is questioning. 2014 $0 pipe, 2014 $24K slab leak, 2016 $46K pipe"/>
    <x v="4"/>
    <s v="Approved Alison's direction."/>
    <m/>
    <m/>
    <s v="Patterson"/>
    <m/>
    <m/>
    <n v="0"/>
  </r>
  <r>
    <x v="258"/>
    <s v="Hull CA"/>
    <s v="Irvine"/>
    <s v="Bobbi"/>
    <s v="Email"/>
    <s v="Spunt, Steven"/>
    <m/>
    <x v="0"/>
    <m/>
    <x v="1"/>
    <m/>
    <x v="0"/>
    <x v="0"/>
    <x v="0"/>
    <s v="Backdating"/>
    <s v="Agent quoted w/Lloyds and Markel. Went on vacation, accidentally bound Lloyds. They received 8/10 w/ an eff date of 8/13. Agt wants to backdate Markel to 8/13 w/SNL."/>
    <x v="4"/>
    <m/>
    <m/>
    <m/>
    <s v="Patterson"/>
    <m/>
    <m/>
    <n v="0"/>
  </r>
  <r>
    <x v="259"/>
    <s v="Hull CA"/>
    <s v="Irvine"/>
    <s v="Alex"/>
    <s v="Email"/>
    <s v="Kassburg"/>
    <m/>
    <x v="2"/>
    <m/>
    <x v="3"/>
    <m/>
    <x v="0"/>
    <x v="0"/>
    <x v="0"/>
    <s v="Backdating"/>
    <s v="Quote provided on 7/25. Insured thought they had given bind order but agent did not receive it. Good agent moving risk from a competitor to Markel. No active wildfires within 20 miles. Eff date back to 8/14 with signed no loss."/>
    <x v="4"/>
    <m/>
    <m/>
    <m/>
    <s v="Patterson"/>
    <m/>
    <m/>
    <n v="0"/>
  </r>
  <r>
    <x v="260"/>
    <s v="Hull CA"/>
    <s v="Irvine"/>
    <s v="Kelly"/>
    <s v="Email"/>
    <s v="Forest Hills Prop"/>
    <m/>
    <x v="33"/>
    <m/>
    <x v="1"/>
    <m/>
    <x v="0"/>
    <x v="0"/>
    <x v="0"/>
    <s v="Addl Insured"/>
    <s v="Prop is in the name of the LLC, but loan is in the name of one of the LLC members, Gregory Smith. One of the LLC members is Legacy Financial Group LP"/>
    <x v="3"/>
    <s v="Approved subj to addl info on Legacy Financial Group LP"/>
    <m/>
    <m/>
    <s v="Patterson"/>
    <m/>
    <m/>
    <n v="0"/>
  </r>
  <r>
    <x v="261"/>
    <s v="Hull CA"/>
    <s v="Stockton"/>
    <s v="Lisa"/>
    <s v="Email"/>
    <s v="Lwin, Kyaw"/>
    <m/>
    <x v="0"/>
    <m/>
    <x v="3"/>
    <m/>
    <x v="0"/>
    <x v="0"/>
    <x v="0"/>
    <s v="Contemporary design"/>
    <s v="Lisa wanted to make sure we were okay with the unique design. It is modern, but not over the top."/>
    <x v="4"/>
    <s v="Risk is within Lisa's authority to submit."/>
    <m/>
    <m/>
    <s v="Patterson"/>
    <m/>
    <m/>
    <n v="0"/>
  </r>
  <r>
    <x v="262"/>
    <s v="Hull CA"/>
    <s v="Irvine"/>
    <s v="Alison"/>
    <s v="Email"/>
    <s v="Alice I LLC"/>
    <m/>
    <x v="0"/>
    <s v="Los Angeles"/>
    <x v="1"/>
    <m/>
    <x v="9"/>
    <x v="0"/>
    <x v="0"/>
    <s v="Insd as AI"/>
    <s v="Home is in the name of an LLC. Retailer wants to add individual insured as an AI. Alison doesn't want to and is asking my opinion."/>
    <x v="4"/>
    <s v="Marked as approved because I agree with Alison's decision to not add the individual. Discussed w/Kirsten."/>
    <m/>
    <m/>
    <s v="Patterson"/>
    <m/>
    <m/>
    <n v="0"/>
  </r>
  <r>
    <x v="262"/>
    <s v="Burns"/>
    <s v="MI"/>
    <s v="Ben"/>
    <s v="Email"/>
    <s v="Burton, Scott"/>
    <m/>
    <x v="0"/>
    <s v="Noblesville   "/>
    <x v="17"/>
    <m/>
    <x v="4"/>
    <x v="0"/>
    <x v="0"/>
    <s v="Pool - no fence"/>
    <s v="Ben is asking for exception to our fenced pool rule for a home in PC10, pretty remote.  Pool and home set way back off road, pool not visible. Entire back yard is trees. Top agent.  "/>
    <x v="1"/>
    <s v="Issue is, the pool has a diving board which is ineligible. I don't feel comfortable making an exception for that."/>
    <m/>
    <m/>
    <s v="Patterson"/>
    <m/>
    <m/>
    <n v="1"/>
  </r>
  <r>
    <x v="263"/>
    <s v="Burns"/>
    <s v="MI"/>
    <s v="Danielle"/>
    <s v="Email"/>
    <s v="General Inquiry"/>
    <m/>
    <x v="2"/>
    <m/>
    <x v="28"/>
    <m/>
    <x v="0"/>
    <x v="0"/>
    <x v="0"/>
    <s v="Student housing"/>
    <s v="Danielle inquiring if we are interested in writing student housing - single family - 4 undergrad students. Owner is friend of agent and says it won't be a party house."/>
    <x v="1"/>
    <s v="Declined due to poor experience w/student housing."/>
    <m/>
    <m/>
    <s v="Patterson"/>
    <m/>
    <m/>
    <n v="1"/>
  </r>
  <r>
    <x v="264"/>
    <s v="Hull CA"/>
    <s v="Irvine"/>
    <s v="Alex"/>
    <s v="Email"/>
    <s v="Baker, Rick"/>
    <m/>
    <x v="1"/>
    <m/>
    <x v="3"/>
    <m/>
    <x v="0"/>
    <x v="0"/>
    <x v="0"/>
    <s v="COC discovered post insp"/>
    <s v="Wrote home in May. Inspection disclosed it was COC. Alex contacted insured and they said 5 days to completion. Checked again, 2 weeks, then said plumbing has an issue.  Wanted to know if he could endorse to COC back to inception."/>
    <x v="4"/>
    <m/>
    <m/>
    <m/>
    <s v="Patterson"/>
    <m/>
    <m/>
    <n v="0"/>
  </r>
  <r>
    <x v="264"/>
    <s v="Hull CA"/>
    <s v="Irvine"/>
    <s v="Alex"/>
    <s v="Call"/>
    <s v="Schneider, Steven"/>
    <m/>
    <x v="0"/>
    <s v="Westlake Village    "/>
    <x v="1"/>
    <m/>
    <x v="0"/>
    <x v="0"/>
    <x v="0"/>
    <s v="Insured is film producer"/>
    <s v="Insured Steven Schneider and wife Wendy Rhodes are film producers.  He produced a couple of horror movies - not blockbuster and she produced some older films (including The Wedding Date as a production consultant). Not too famous."/>
    <x v="4"/>
    <m/>
    <m/>
    <m/>
    <s v="Patterson"/>
    <m/>
    <m/>
    <n v="0"/>
  </r>
  <r>
    <x v="265"/>
    <s v="Hull CA"/>
    <s v="Stockton"/>
    <s v="Melissa"/>
    <s v="Call"/>
    <m/>
    <m/>
    <x v="8"/>
    <m/>
    <x v="3"/>
    <m/>
    <x v="0"/>
    <x v="0"/>
    <x v="0"/>
    <s v="Flat Roof"/>
    <s v="A flat roof needs a $10K ded, but this one is older so the roof exclusion was applied. Are both needed?"/>
    <x v="4"/>
    <s v="Approved with roof exclusion only. The exclusion applies to resulting damage so we should be covered."/>
    <m/>
    <m/>
    <s v="Patterson"/>
    <m/>
    <m/>
    <n v="0"/>
  </r>
  <r>
    <x v="266"/>
    <s v="Hull CA"/>
    <s v="Irvine"/>
    <s v="Melissa S"/>
    <s v="Email"/>
    <m/>
    <m/>
    <x v="8"/>
    <m/>
    <x v="3"/>
    <m/>
    <x v="0"/>
    <x v="0"/>
    <x v="0"/>
    <s v="Backdating"/>
    <s v="Agent asking to backdate to 7/31 due to vacations and needing to gather addition information."/>
    <x v="1"/>
    <s v="Not a valid reason to backdate."/>
    <m/>
    <m/>
    <s v="Patterson"/>
    <m/>
    <m/>
    <n v="1"/>
  </r>
  <r>
    <x v="267"/>
    <s v="Hull CA"/>
    <s v="Stockton"/>
    <s v="Lisa"/>
    <s v="Email"/>
    <s v="Meyer, Richard"/>
    <m/>
    <x v="0"/>
    <m/>
    <x v="3"/>
    <m/>
    <x v="0"/>
    <x v="0"/>
    <x v="0"/>
    <s v="Cast iron plumb"/>
    <s v="1930 home with partial cast iron plumbing update done in 1990. Lisa wanted okay to quote excluding water damage."/>
    <x v="4"/>
    <m/>
    <m/>
    <m/>
    <s v="Patterson"/>
    <m/>
    <m/>
    <n v="0"/>
  </r>
  <r>
    <x v="268"/>
    <s v="Hull CA"/>
    <s v="Irvine"/>
    <s v="Alison"/>
    <s v="Call"/>
    <m/>
    <m/>
    <x v="8"/>
    <m/>
    <x v="3"/>
    <m/>
    <x v="0"/>
    <x v="0"/>
    <x v="0"/>
    <s v="Brush area; wood roof"/>
    <s v="New risk. Insp came back showing wood shake roof and wiring issues. In brush zone. Agent sent DNOC. Wiring being fixed, any chance we could stay on a wood roof. It is not a newer roof."/>
    <x v="1"/>
    <s v="Discussed options w/Alison and really we can't do anything. DNOC stands."/>
    <m/>
    <m/>
    <s v="Patterson"/>
    <m/>
    <m/>
    <n v="1"/>
  </r>
  <r>
    <x v="269"/>
    <s v="Hull CO"/>
    <s v="Charlotte"/>
    <s v="Tammi"/>
    <s v="Email"/>
    <s v="Ray   "/>
    <m/>
    <x v="1"/>
    <m/>
    <x v="3"/>
    <m/>
    <x v="0"/>
    <x v="0"/>
    <x v="0"/>
    <s v="Coastal Builders Risk"/>
    <s v="We restrict builders risk within 2 miles of coast. This current policy NCRUA1104104 is currently owner occupied, but they are going to be moving out, renovating kitchen and downstairs. .13 miles from coast."/>
    <x v="4"/>
    <m/>
    <m/>
    <m/>
    <s v="Patterson"/>
    <m/>
    <m/>
    <n v="0"/>
  </r>
  <r>
    <x v="269"/>
    <s v="Hull CA"/>
    <s v="Irvine"/>
    <s v="Alison"/>
    <s v="Call"/>
    <m/>
    <m/>
    <x v="46"/>
    <s v="Northern "/>
    <x v="1"/>
    <m/>
    <x v="0"/>
    <x v="0"/>
    <x v="0"/>
    <s v="Guest house renovation"/>
    <s v="Home and guest house has been on a Markel HO3 as Builders Risk. Home is done, guest house still under reno. Discussed best approach."/>
    <x v="3"/>
    <s v="Approved to continue on as builders risk. When complete, will add back in other coverage water backup, mold, ERC. Didn't want to do now since those extend to the guest house. Limited to prem liab. Bobbi called back and asked for OK to add contents - approved."/>
    <m/>
    <m/>
    <s v="Patterson"/>
    <m/>
    <m/>
    <n v="0"/>
  </r>
  <r>
    <x v="269"/>
    <s v="Hull CA"/>
    <s v="Irvine"/>
    <s v="Alex"/>
    <s v="Call"/>
    <m/>
    <m/>
    <x v="8"/>
    <m/>
    <x v="3"/>
    <m/>
    <x v="0"/>
    <x v="0"/>
    <x v="0"/>
    <s v="Historical home"/>
    <s v="Alex has a risk that is on historical registry. Some portion rented out via Airbnb. Insd gives tours, so declined. Turns out, they are just showing the home to people who stay there via Airbnb. Can't really stop that. These are not scheduled general public tours. A"/>
    <x v="2"/>
    <s v="Alex to get signed statement and submit for review."/>
    <m/>
    <m/>
    <s v="Patterson"/>
    <m/>
    <m/>
    <n v="0"/>
  </r>
  <r>
    <x v="270"/>
    <s v="Burns"/>
    <s v="MI"/>
    <s v="Jill"/>
    <s v="Email"/>
    <m/>
    <m/>
    <x v="47"/>
    <m/>
    <x v="3"/>
    <m/>
    <x v="0"/>
    <x v="0"/>
    <x v="0"/>
    <s v="Business in Oth Str"/>
    <s v="Jill has a policy where State Farm is excluding an other structure the insured uses to make jewelry to sell online and at fairs. Will Markel write a stand alone for the building X-liab."/>
    <x v="1"/>
    <s v="The policy language excludes any business out of an other structure. Can't override the policy language. Suggested a commercial policy."/>
    <m/>
    <m/>
    <s v="Patterson"/>
    <m/>
    <m/>
    <n v="1"/>
  </r>
  <r>
    <x v="270"/>
    <s v="Hull CA"/>
    <s v="Irvine"/>
    <s v="Bobbi"/>
    <s v="Email"/>
    <s v="Alexandra"/>
    <m/>
    <x v="0"/>
    <s v="Santa Barbara"/>
    <x v="1"/>
    <m/>
    <x v="4"/>
    <x v="0"/>
    <x v="0"/>
    <s v="Response Time"/>
    <s v="28 minute response time, PC10. There is a closer FD manned during fire season that is 11 mimutes away. Plus a volunteer squad nearby.  Still not liking the 28 minutes."/>
    <x v="1"/>
    <m/>
    <m/>
    <m/>
    <s v="Patterson"/>
    <m/>
    <m/>
    <n v="1"/>
  </r>
  <r>
    <x v="270"/>
    <s v="Hull CA"/>
    <s v="Stockton"/>
    <s v="Lisa"/>
    <s v="Call"/>
    <s v="Sieford"/>
    <m/>
    <x v="0"/>
    <m/>
    <x v="3"/>
    <m/>
    <x v="0"/>
    <x v="0"/>
    <x v="0"/>
    <s v="EQ Coverage"/>
    <s v="HUCAH150000877 retailer asked for EQ and home to be bound. Lisa overlooked because no one ever wants EQ. No losses. Eff 8/18. I approved w/no SNL as broker did have the bind request and bound the policy portion of it."/>
    <x v="4"/>
    <m/>
    <m/>
    <m/>
    <s v="Patterson"/>
    <m/>
    <m/>
    <n v="0"/>
  </r>
  <r>
    <x v="271"/>
    <s v="SCU"/>
    <s v="CO"/>
    <s v="Allison"/>
    <s v="Email"/>
    <s v="McLeskey, Charles"/>
    <m/>
    <x v="2"/>
    <s v="Conifer"/>
    <x v="19"/>
    <m/>
    <x v="0"/>
    <x v="0"/>
    <x v="0"/>
    <s v="Debris on property"/>
    <s v="Inspection for rental property shows a lot of debris around property. Discussed w/agent. There is a prop mgt co to take care of maint issues. Move gas cans away from house to shed. Liab is for the owner."/>
    <x v="3"/>
    <s v="Approved subj to moving gas cans away from house preferably to shed."/>
    <m/>
    <m/>
    <s v="Patterson"/>
    <m/>
    <m/>
    <n v="0"/>
  </r>
  <r>
    <x v="271"/>
    <s v="Hull CA"/>
    <s v="Irvine"/>
    <s v="Alex"/>
    <s v="Call"/>
    <m/>
    <m/>
    <x v="0"/>
    <m/>
    <x v="3"/>
    <m/>
    <x v="0"/>
    <x v="0"/>
    <x v="0"/>
    <s v="Open Claim"/>
    <s v="Open water damage claim. $36K reserve, work is just starting. Kemper is nonrenewing eff 9/20/16. Leak in bathroom pipe into rooms on floor below. Loss occurred 8/4."/>
    <x v="1"/>
    <s v="Advised Alex of our concerns with open water damage claims. If they find other issues and we are the insuror, who will it fall back on? (us)  Even with existing damage exclusion, if it is newly discovered issue, still could fall on us."/>
    <m/>
    <m/>
    <s v="Patterson"/>
    <m/>
    <m/>
    <n v="1"/>
  </r>
  <r>
    <x v="272"/>
    <s v="Hull CA"/>
    <s v="Irvine"/>
    <s v="Alex"/>
    <s v="Call"/>
    <s v="Boal"/>
    <m/>
    <x v="0"/>
    <m/>
    <x v="3"/>
    <m/>
    <x v="0"/>
    <x v="0"/>
    <x v="0"/>
    <s v="Prior loss  "/>
    <s v="This is a vacant home with a decent rate. There is a loss that came up in loss runs. It was declined. It does not appear there was damage. Insured discovered a tree root in the septic line. Discussed and Alex will attempt to apply 1/2 a loss surcharge."/>
    <x v="3"/>
    <s v="Approved w/some rate increase since there was a loss filed, there would have been some expense involved.]"/>
    <m/>
    <m/>
    <s v="Patterson"/>
    <m/>
    <m/>
    <n v="0"/>
  </r>
  <r>
    <x v="272"/>
    <s v="Hull CA"/>
    <s v="Irvine"/>
    <s v="Alison"/>
    <s v="Call"/>
    <s v="Hernandez"/>
    <m/>
    <x v="2"/>
    <m/>
    <x v="3"/>
    <m/>
    <x v="0"/>
    <x v="0"/>
    <x v="0"/>
    <s v="Sub-leased rental"/>
    <s v="Our proposed insured has a rental home leased to a tenant. That tenant is sub-leasing to another family. "/>
    <x v="1"/>
    <s v="We have no control over the exposure."/>
    <m/>
    <m/>
    <s v="Patterson"/>
    <m/>
    <m/>
    <n v="1"/>
  </r>
  <r>
    <x v="273"/>
    <s v="Hull CA"/>
    <s v="Irvine"/>
    <s v="Alex"/>
    <s v="Call"/>
    <s v="Boughey"/>
    <m/>
    <x v="0"/>
    <m/>
    <x v="3"/>
    <m/>
    <x v="0"/>
    <x v="0"/>
    <x v="0"/>
    <s v="Renewal expired"/>
    <s v="Policy renewal with Markel expired on 9/2.  Insured has been traveling for a couple of weeks and missed the email from the agent letting them know.  Has been a good risk. Agreed to renew with no lapse with signed statement of no loss."/>
    <x v="4"/>
    <s v="Discussed procedure w/Jeff. Exception basis, need &quot;valid&quot; explanation. Reiterated procedure via email with Alex."/>
    <m/>
    <m/>
    <s v="Patterson"/>
    <m/>
    <m/>
    <n v="0"/>
  </r>
  <r>
    <x v="274"/>
    <s v="Burns"/>
    <s v="MI"/>
    <s v="Leslie"/>
    <s v="Email/Call"/>
    <s v="Finley, Joy"/>
    <m/>
    <x v="0"/>
    <m/>
    <x v="3"/>
    <m/>
    <x v="0"/>
    <x v="0"/>
    <x v="0"/>
    <s v="Add Addl Insured"/>
    <s v="Approval to add LLC as AI to policy. Leslie found out it is the insured's LLC. Reviewed questionnaire."/>
    <x v="4"/>
    <m/>
    <m/>
    <m/>
    <s v="Patterson"/>
    <m/>
    <m/>
    <n v="0"/>
  </r>
  <r>
    <x v="275"/>
    <s v="Hull CA"/>
    <s v="Irvine"/>
    <s v="Alex"/>
    <s v="Email"/>
    <s v="Gilman, Laura"/>
    <m/>
    <x v="23"/>
    <m/>
    <x v="1"/>
    <m/>
    <x v="0"/>
    <x v="0"/>
    <x v="0"/>
    <s v="Add Addl Insured"/>
    <s v="Rental company (generic airbnb type) demanding they be added as additional insured."/>
    <x v="1"/>
    <s v="Reviewed w/ Alex who does not want to offer to list them at all.  Really no interest at all in being Addl Insured. Also no reason to list as Addl Interest (even though no coverage). They just connect renters to the property. They are not managing anything."/>
    <m/>
    <m/>
    <s v="Patterson"/>
    <m/>
    <m/>
    <n v="1"/>
  </r>
  <r>
    <x v="276"/>
    <s v="Hull CA"/>
    <s v="Irvine"/>
    <s v="Alex"/>
    <s v="Call"/>
    <m/>
    <m/>
    <x v="2"/>
    <m/>
    <x v="3"/>
    <m/>
    <x v="0"/>
    <x v="0"/>
    <x v="0"/>
    <s v="2 duplexes COC"/>
    <s v="Agent does not usually write more than 3 rental units. Would we take 4."/>
    <x v="1"/>
    <s v="Mutually agreed this was more than we would do, even though on a COC."/>
    <m/>
    <m/>
    <s v="Patterson"/>
    <m/>
    <m/>
    <n v="1"/>
  </r>
  <r>
    <x v="277"/>
    <s v="Hull CA"/>
    <s v="Irvine"/>
    <s v="Alex"/>
    <s v="Call"/>
    <s v="Emerson/Sweet"/>
    <m/>
    <x v="2"/>
    <m/>
    <x v="3"/>
    <m/>
    <x v="0"/>
    <x v="0"/>
    <x v="0"/>
    <s v="Rental on prop w/mobile home"/>
    <s v="Eligible rental cottage, but it is on the same property (same address) as a mobile home."/>
    <x v="3"/>
    <s v="Approved X-Liability if there is min of 15' from mbl hm. If unable to extend from SF policy, we need to know separation and if it is well apart and defined space from mbl home, may consider liab."/>
    <s v="Turns out home is 30-50 feet away and has a separate drive. SF won't extend liab. Alex allowed at $500k ded. Advised a condition is that a policy stay in force with liab."/>
    <m/>
    <s v="Patterson"/>
    <m/>
    <m/>
    <n v="0"/>
  </r>
  <r>
    <x v="278"/>
    <s v="Hull CA"/>
    <s v="Irvine"/>
    <s v="Melissa"/>
    <s v="Email"/>
    <m/>
    <m/>
    <x v="0"/>
    <m/>
    <x v="3"/>
    <m/>
    <x v="0"/>
    <x v="0"/>
    <x v="0"/>
    <s v="Railings?"/>
    <s v="Melissa had several photos of stairs w/no railing. We discussed and decided they were not needed."/>
    <x v="4"/>
    <m/>
    <m/>
    <m/>
    <s v="Patterson"/>
    <m/>
    <m/>
    <n v="0"/>
  </r>
  <r>
    <x v="279"/>
    <s v="Bolton"/>
    <s v="AL"/>
    <s v="Janet"/>
    <s v="Email"/>
    <s v="Looney, Steve"/>
    <m/>
    <x v="0"/>
    <s v="Ocean Springs "/>
    <x v="16"/>
    <m/>
    <x v="0"/>
    <x v="0"/>
    <x v="0"/>
    <s v="Open foundation"/>
    <s v="Inspection shows home with open foundation."/>
    <x v="1"/>
    <s v="Not a risk we want."/>
    <m/>
    <m/>
    <s v="Patterson"/>
    <m/>
    <m/>
    <n v="1"/>
  </r>
  <r>
    <x v="280"/>
    <s v="SCU"/>
    <s v="CO"/>
    <s v="Allison"/>
    <s v="Email"/>
    <s v="Grand Lake Plumbing Co"/>
    <m/>
    <x v="43"/>
    <s v="Grand Lake "/>
    <x v="19"/>
    <m/>
    <x v="0"/>
    <x v="0"/>
    <x v="0"/>
    <s v="2 rentals in business name"/>
    <s v="Insured has plumbing company and bought 2 rentals in his business name. One occupied by employee, one by an independent nurse."/>
    <x v="3"/>
    <s v="Approved subject to prem liab only."/>
    <m/>
    <m/>
    <s v="Patterson"/>
    <m/>
    <m/>
    <n v="0"/>
  </r>
  <r>
    <x v="281"/>
    <s v="Hull CA"/>
    <s v="Irvine"/>
    <s v="Alex"/>
    <s v="Email"/>
    <s v="Whaley"/>
    <m/>
    <x v="1"/>
    <m/>
    <x v="3"/>
    <m/>
    <x v="0"/>
    <x v="0"/>
    <x v="0"/>
    <s v="One of two units on property"/>
    <s v="There is a property near the beach with 2 units, A&amp;B. They are owned by different individuals.  Our insured is renovating unit B. Any concern with liability?"/>
    <x v="4"/>
    <s v="Approved as we would for a single family home renovation. "/>
    <m/>
    <m/>
    <s v="Patterson"/>
    <m/>
    <m/>
    <n v="0"/>
  </r>
  <r>
    <x v="282"/>
    <s v="Hull CA"/>
    <s v="Irvine"/>
    <s v="Alex"/>
    <s v="Call"/>
    <m/>
    <m/>
    <x v="8"/>
    <m/>
    <x v="3"/>
    <m/>
    <x v="0"/>
    <x v="0"/>
    <x v="0"/>
    <s v="Triplex rental"/>
    <s v="Insured owns a duplex rented to 2 familiies.  Recent property inspection indicated one unused room actually qualifies this as a triplex. Can we remain on the risk?"/>
    <x v="3"/>
    <s v="Approved staying on subject to this not turning into a 3 family. Okay to keep rating for a 2 family."/>
    <m/>
    <m/>
    <s v="Patterson"/>
    <m/>
    <m/>
    <n v="0"/>
  </r>
  <r>
    <x v="283"/>
    <s v="Hull CA"/>
    <s v="Irvine"/>
    <s v="Alex"/>
    <s v="Call"/>
    <m/>
    <m/>
    <x v="8"/>
    <m/>
    <x v="3"/>
    <m/>
    <x v="0"/>
    <x v="0"/>
    <x v="0"/>
    <s v="Estate name"/>
    <s v="Elderly mother passed away. Daughter is living in the home and will stay there. Home is not yet cleared probate. Alex not sure who titled owner is at this point. No other relatives. No will"/>
    <x v="2"/>
    <s v="Alex is getting full info-quick inquiry from retailer. We decided he could write a Dwelling Fire - covg on dwelling only, no liab, no other coverages. Verify occupancy and rate accordingly. Even though we don't have a true owner (since daughter isn't the executor yet) we feel it's an okay situation. He will verify condition as well."/>
    <m/>
    <m/>
    <s v="Patterson"/>
    <m/>
    <m/>
    <n v="0"/>
  </r>
  <r>
    <x v="283"/>
    <s v="Hull CA"/>
    <s v="Irvine"/>
    <s v="Kelly"/>
    <s v="Email"/>
    <m/>
    <m/>
    <x v="8"/>
    <m/>
    <x v="3"/>
    <m/>
    <x v="0"/>
    <x v="0"/>
    <x v="0"/>
    <s v="Agent is POA"/>
    <s v="Will we approve a risk where the agent is POA"/>
    <x v="2"/>
    <s v="Asked kelly to refer risk w/info on the relationship and why insd made them POA.  Share results w/Louisa per her request."/>
    <m/>
    <m/>
    <s v="Patterson"/>
    <m/>
    <m/>
    <n v="0"/>
  </r>
  <r>
    <x v="284"/>
    <s v="Hull CA"/>
    <s v="Irvine"/>
    <s v="Alex"/>
    <s v="Email"/>
    <s v="McRae"/>
    <m/>
    <x v="0"/>
    <m/>
    <x v="3"/>
    <m/>
    <x v="0"/>
    <x v="0"/>
    <x v="0"/>
    <s v="Business on premises"/>
    <s v="Insured has a shipping business in a detached 3000 SF building. They blend, package, and store non hazardous chemicals and packaging materials. They do their own shipping. No trucks. No empl, visitors, etc. Coml insured.   2nd business is administrative only - they maintain interior plants at client facilities. Also has 2 horses personal use."/>
    <x v="0"/>
    <s v="Asked to verify that the underlying being maintained by the retailer selling the Markel policy. Asked for app and other info to review. Subj to building exclu, total business exclusion, also, keep coml in force."/>
    <m/>
    <m/>
    <s v="Patterson"/>
    <m/>
    <m/>
    <n v="0"/>
  </r>
  <r>
    <x v="285"/>
    <s v="Burns"/>
    <s v="MI"/>
    <s v="Matt"/>
    <s v="Email/Call"/>
    <m/>
    <m/>
    <x v="2"/>
    <m/>
    <x v="3"/>
    <m/>
    <x v="0"/>
    <x v="0"/>
    <x v="0"/>
    <s v="HO3 vs DP3"/>
    <s v="Insured owns a home and is renting to own to a renter who can buy it within 5 years. Renter wants HO3 in his name. Matt suggests DP3 w/HO4."/>
    <x v="4"/>
    <m/>
    <m/>
    <m/>
    <s v="Patterson"/>
    <m/>
    <m/>
    <n v="0"/>
  </r>
  <r>
    <x v="285"/>
    <s v="Hull CA"/>
    <s v="Irvine"/>
    <s v="Alex"/>
    <s v="Email"/>
    <s v="Loschitzer"/>
    <m/>
    <x v="0"/>
    <m/>
    <x v="3"/>
    <m/>
    <x v="0"/>
    <x v="0"/>
    <x v="0"/>
    <s v="Prior loss"/>
    <s v="Loss runs show Theft 12/2013 $0 - maid stole watch (on camera proof). Reported to Farmers agt for info only - he opened a claim. Insd wanted maid to give back. During the course of that discussion, 1/2014, they arrived home to find maid on the floor saying she fell down the stairs - all tapes were missing. Insd called police - they went to maids home to find 40 illegal immigrants who were then deported. $3,000 reserve still open since 1/2014. Should we s/c?"/>
    <x v="3"/>
    <s v="Good agent, nice rental home in Beverly Hills. Lawyer sending info to support insured's report of the story. If we get that, no surcharge for the losses. If we don't, we will s/c for 1 loss as the 2 are somewhat related. "/>
    <m/>
    <m/>
    <s v="Patterson"/>
    <m/>
    <m/>
    <n v="0"/>
  </r>
  <r>
    <x v="285"/>
    <s v="Hull CO"/>
    <s v="Horsham"/>
    <s v="Tamika"/>
    <s v="Call"/>
    <s v="101 Rt 23"/>
    <m/>
    <x v="1"/>
    <s v="Hamburg"/>
    <x v="9"/>
    <m/>
    <x v="0"/>
    <x v="0"/>
    <x v="0"/>
    <s v="Type of structure"/>
    <s v="Insured purchased church and parsonage. Living in parsonage while they reno church to be primary residence. Both at same address."/>
    <x v="3"/>
    <s v="Decided to write as address A &amp; B on separate properties since uses are so different and are going to be changing."/>
    <m/>
    <m/>
    <s v="Patterson"/>
    <m/>
    <m/>
    <n v="0"/>
  </r>
  <r>
    <x v="286"/>
    <s v="Hull CO"/>
    <s v="Charlotte"/>
    <s v="Alia"/>
    <s v="Email"/>
    <m/>
    <m/>
    <x v="8"/>
    <m/>
    <x v="3"/>
    <m/>
    <x v="0"/>
    <x v="0"/>
    <x v="0"/>
    <s v="COC Insd is GC"/>
    <s v="COC where insured is acting as contractor and hiring subs."/>
    <x v="1"/>
    <m/>
    <m/>
    <m/>
    <s v="Patterson"/>
    <m/>
    <m/>
    <n v="1"/>
  </r>
  <r>
    <x v="287"/>
    <s v="Hull CA"/>
    <s v="Irvine"/>
    <s v="Alison"/>
    <s v="Call"/>
    <s v="Bernsen, Corbin"/>
    <m/>
    <x v="0"/>
    <s v="Los Angeles"/>
    <x v="1"/>
    <m/>
    <x v="0"/>
    <x v="0"/>
    <x v="0"/>
    <s v="High profile"/>
    <s v="Agent asked if we would consider Corbin Bernsens 1936 home. Could we do a discount? It is in a Renie fire zone."/>
    <x v="2"/>
    <s v="Advised we could only consider X-Liability, but not sure if we would be comfortable with a discount.  Willing to look at the risk. Agent not sure if she will submit."/>
    <m/>
    <m/>
    <s v="Patterson"/>
    <m/>
    <m/>
    <n v="0"/>
  </r>
  <r>
    <x v="287"/>
    <s v="Hull CA"/>
    <s v="Irvine"/>
    <s v="Alison"/>
    <s v="Call"/>
    <m/>
    <m/>
    <x v="2"/>
    <m/>
    <x v="3"/>
    <m/>
    <x v="0"/>
    <x v="0"/>
    <x v="0"/>
    <s v="2 dwellings on same prop"/>
    <s v="Agent has a single family being made into a duplex and a separate structure single family home being built. "/>
    <x v="2"/>
    <s v="Sending app. Discussed and decided this was best on two separate policies."/>
    <m/>
    <m/>
    <s v="Patterson"/>
    <m/>
    <m/>
    <n v="0"/>
  </r>
  <r>
    <x v="287"/>
    <s v="Hull CA"/>
    <s v="Irvine"/>
    <s v="Alison"/>
    <s v="Call/Email"/>
    <s v="626 Menlo Dr"/>
    <m/>
    <x v="0"/>
    <s v="Big Bear Lake"/>
    <x v="1"/>
    <m/>
    <x v="0"/>
    <x v="0"/>
    <x v="0"/>
    <s v="2 addresses"/>
    <s v="Insured home is on a cul-de-sac between 2 streets. There is a primary home and a vacant parcel w/2 different addresses."/>
    <x v="4"/>
    <s v="Add 2 addresses to location, or manuscript endorsement."/>
    <m/>
    <m/>
    <s v="Patterson"/>
    <m/>
    <m/>
    <n v="0"/>
  </r>
  <r>
    <x v="287"/>
    <s v="Hull CA"/>
    <s v="Irvine"/>
    <s v="Alex"/>
    <s v="Call"/>
    <m/>
    <m/>
    <x v="1"/>
    <m/>
    <x v="3"/>
    <m/>
    <x v="0"/>
    <x v="0"/>
    <x v="0"/>
    <s v="Coverages allowed on COC"/>
    <s v="Insured will be living in home during renovation. We will allow contents, loss of use, personal liability, med pay, personal injury. Different situation when insured is there and they have no other source of liab/med pay."/>
    <x v="4"/>
    <m/>
    <m/>
    <m/>
    <s v="Patterson"/>
    <m/>
    <m/>
    <n v="0"/>
  </r>
  <r>
    <x v="288"/>
    <s v="Hull CA"/>
    <s v="Irvine"/>
    <s v="Bobbi"/>
    <s v="Email"/>
    <s v="Leyton, Corey"/>
    <m/>
    <x v="6"/>
    <m/>
    <x v="3"/>
    <m/>
    <x v="0"/>
    <x v="0"/>
    <x v="0"/>
    <s v="3 month renewal"/>
    <s v="Advised Bobbi we allow 1 12 month renewal. If they want to do in 3 month increments it's okay with us. Beyond 1 12 month renewal requires Markel UW approval."/>
    <x v="4"/>
    <m/>
    <m/>
    <m/>
    <s v="Patterson"/>
    <m/>
    <m/>
    <n v="0"/>
  </r>
  <r>
    <x v="289"/>
    <s v="Hull CA"/>
    <s v="Irvine"/>
    <s v="Alex"/>
    <s v="Call"/>
    <s v="Raymond"/>
    <m/>
    <x v="0"/>
    <m/>
    <x v="3"/>
    <m/>
    <x v="0"/>
    <x v="0"/>
    <x v="0"/>
    <s v="Animals"/>
    <s v="Insured has 4 goats and 20 chickens.  Alex will be excluding animal liability."/>
    <x v="4"/>
    <m/>
    <m/>
    <m/>
    <s v="Patterson"/>
    <m/>
    <m/>
    <n v="0"/>
  </r>
  <r>
    <x v="290"/>
    <s v="Hull CA"/>
    <s v="Irvine"/>
    <s v="Alison"/>
    <s v="Call"/>
    <m/>
    <m/>
    <x v="5"/>
    <m/>
    <x v="3"/>
    <m/>
    <x v="0"/>
    <x v="0"/>
    <x v="0"/>
    <s v="Model home"/>
    <s v="Risk is a model home the insured bought and will live in eventually. Leased back to builder."/>
    <x v="1"/>
    <s v="Probably better served on a commercial policy. If they won't do, we can consider  on DP3, X-Liability, would need info on security, location, who has access, kept locked, alarms."/>
    <m/>
    <m/>
    <s v="Patterson"/>
    <m/>
    <m/>
    <n v="1"/>
  </r>
  <r>
    <x v="291"/>
    <s v="Hull CA"/>
    <s v="Irvine"/>
    <s v="Alex"/>
    <s v="Call"/>
    <s v="Tarson"/>
    <m/>
    <x v="8"/>
    <m/>
    <x v="3"/>
    <m/>
    <x v="0"/>
    <x v="0"/>
    <x v="0"/>
    <s v="Prior loss"/>
    <s v="Risk within Alex' authority. Loss runs show a fire loss for prior owner. $50K debris caught in pool heater started a fire, damaged pool and landscaping."/>
    <x v="4"/>
    <m/>
    <m/>
    <m/>
    <s v="Patterson"/>
    <m/>
    <m/>
    <n v="0"/>
  </r>
  <r>
    <x v="292"/>
    <s v="Burns"/>
    <s v="MI"/>
    <s v="Delta"/>
    <s v="Call"/>
    <m/>
    <m/>
    <x v="8"/>
    <s v="Lake Arrowhead"/>
    <x v="1"/>
    <m/>
    <x v="0"/>
    <x v="0"/>
    <x v="0"/>
    <s v="Extend Liability to Dock"/>
    <s v="Delta has a risk she is looking at writing with us. Insured has a dock at a separate location.  Not a lot of details from branch - wanted to discuss before she called them."/>
    <x v="2"/>
    <s v="Discussed various options. Stand alone liab would be best. We don't have a form to extend. Would need full UW info on where is the dock, what is security, can just anyone get on it or pull up to it, what are circumstances that they have this at a separate prop, owned/rented/leased? Advised if all answers were great and we felt comfortable, we could always write a manuscript form. "/>
    <m/>
    <m/>
    <s v="Patterson"/>
    <m/>
    <m/>
    <n v="0"/>
  </r>
  <r>
    <x v="293"/>
    <s v="Hull CA"/>
    <s v="Irvine"/>
    <s v="Alex"/>
    <s v="Call/Email"/>
    <s v="Ansari, Kouros"/>
    <m/>
    <x v="2"/>
    <m/>
    <x v="3"/>
    <m/>
    <x v="0"/>
    <x v="0"/>
    <x v="0"/>
    <s v="Prior loss"/>
    <s v="Insured had $145,000 VMM claim at primary residence in 2014. At time of loss it was a rental. Tenant stole fixtures/contents. Carrier subrogated and recovered. Home is now insds primary. This unit is now a rental which is rented to friends of the insured. No surcharge for loss since different location and not within control of insured."/>
    <x v="4"/>
    <m/>
    <m/>
    <m/>
    <s v="Patterson"/>
    <m/>
    <m/>
    <n v="0"/>
  </r>
  <r>
    <x v="294"/>
    <s v="Hull CA"/>
    <s v="Irvine"/>
    <s v="Lisa"/>
    <s v="Call"/>
    <s v="Akiki"/>
    <m/>
    <x v="1"/>
    <m/>
    <x v="3"/>
    <m/>
    <x v="0"/>
    <x v="0"/>
    <x v="0"/>
    <s v="Renting back to seller"/>
    <s v="Insured is purchasing a home, renting back to the seller for 30 days and then starting a builders risk. May take 30-60 days to get the permits. Premium will be based on builders risk."/>
    <x v="3"/>
    <s v="Approved provided the home is vacant less than 60 while they are getting the permits (policy language)."/>
    <m/>
    <m/>
    <s v="Patterson"/>
    <m/>
    <m/>
    <n v="0"/>
  </r>
  <r>
    <x v="295"/>
    <s v="Hull CA"/>
    <s v="Irvine"/>
    <s v="Alison"/>
    <s v="Email"/>
    <s v="Lindenmeyer"/>
    <m/>
    <x v="2"/>
    <m/>
    <x v="3"/>
    <m/>
    <x v="0"/>
    <x v="0"/>
    <x v="0"/>
    <s v="Prior loss"/>
    <s v="Home w/prior suspicious fire loss and possible liability loss almost done being renovated since 2013 loss. Agent wants coverage as home will be up for sale and sold."/>
    <x v="1"/>
    <s v="Not much here for us."/>
    <s v="Agt f/u- Would you consider this one written on a DP3 with a surcharge that we can endorse to vacant once the reno is completed? Advised based on history, still not comfortable with risk. K.Burdine"/>
    <m/>
    <s v="Patterson"/>
    <m/>
    <m/>
    <n v="1"/>
  </r>
  <r>
    <x v="295"/>
    <s v="Hull CA"/>
    <s v="Irvine"/>
    <s v="Bobbi"/>
    <s v="Email"/>
    <s v="Pickles, Andrew"/>
    <m/>
    <x v="0"/>
    <m/>
    <x v="3"/>
    <m/>
    <x v="0"/>
    <x v="0"/>
    <x v="0"/>
    <s v="Short term policy"/>
    <s v="Lexington renewal they want to change to Markel but then cancel on 11/21/16 as escrow is closing. Would MEP apply.  Yes it would."/>
    <x v="3"/>
    <s v="Advised MEP would apply."/>
    <m/>
    <m/>
    <s v="Patterson"/>
    <m/>
    <m/>
    <n v="0"/>
  </r>
  <r>
    <x v="295"/>
    <s v="Hull CA"/>
    <s v="Irvine"/>
    <s v="Bobbi"/>
    <s v="Email"/>
    <s v="Barkett, Catherine"/>
    <m/>
    <x v="0"/>
    <m/>
    <x v="3"/>
    <m/>
    <x v="0"/>
    <x v="0"/>
    <x v="0"/>
    <s v="Usage"/>
    <s v="Risk is currently primary. Insured is moving out. Son will be living there weekdays and it will be rented out most weekends of snow ski season. Would we rate as secondary/rental or full rental."/>
    <x v="3"/>
    <s v="Advised if son is really living there, it would qualify as secondary/rental."/>
    <m/>
    <m/>
    <s v="Patterson"/>
    <m/>
    <m/>
    <n v="0"/>
  </r>
  <r>
    <x v="296"/>
    <s v="Hull CA"/>
    <s v="CA"/>
    <s v="Alex"/>
    <s v="Phone/Email"/>
    <s v="Greenberg, Gary &amp; Betina"/>
    <m/>
    <x v="2"/>
    <m/>
    <x v="3"/>
    <m/>
    <x v="0"/>
    <x v="0"/>
    <x v="0"/>
    <s v="Prior Loss w/ Bind Request"/>
    <s v="HUCAH15000112-Prior loss-slip and fall at prop in another state; client feels claimant may have staged loss, about $17K paid out. "/>
    <x v="3"/>
    <s v="approved with a rush prop inspection; Loss on another prop, diff tenant, no longer owns that prop; inspection will reveal any liability concerns on current property"/>
    <m/>
    <m/>
    <s v="Burdine"/>
    <m/>
    <m/>
    <n v="0"/>
  </r>
  <r>
    <x v="297"/>
    <s v="Hull CA"/>
    <s v="Irvine"/>
    <s v="Alex"/>
    <s v="Call"/>
    <s v="Burns Family Trust (Burns, Martin)"/>
    <m/>
    <x v="2"/>
    <m/>
    <x v="3"/>
    <m/>
    <x v="0"/>
    <x v="0"/>
    <x v="0"/>
    <s v="Prop Mgt Co in home"/>
    <s v="Family business w/3 fam members and 1 addl employee.  Office only w/no foot traffic. Prem liab only. Home in name of 2 trusts. Insd rents from the trust. Ho4 policy written for them."/>
    <x v="3"/>
    <s v="Approved with Total Business Exclusion."/>
    <m/>
    <m/>
    <s v="Patterson"/>
    <m/>
    <m/>
    <n v="0"/>
  </r>
  <r>
    <x v="298"/>
    <s v="Burns"/>
    <s v="MI"/>
    <s v="Delta"/>
    <s v="Email"/>
    <s v="Martin, James"/>
    <m/>
    <x v="0"/>
    <s v="Coarsegold"/>
    <x v="1"/>
    <m/>
    <x v="0"/>
    <x v="0"/>
    <x v="0"/>
    <s v="18 minute response time"/>
    <s v="This is a renewal that we previously approved. Facts have not changed. Delta was courteously checking to see if we wanted to reunderwrite since our referral criteria tightened up."/>
    <x v="3"/>
    <s v="Advised if prev approved, we don't need to see renewals as we were previously more lenient. If FD changes or material facts of risk change, then we want to see those."/>
    <m/>
    <m/>
    <s v="Patterson"/>
    <m/>
    <m/>
    <n v="0"/>
  </r>
  <r>
    <x v="298"/>
    <s v="Burns"/>
    <s v="MI"/>
    <s v="Leslie"/>
    <s v="Email"/>
    <s v="Ellsworth, Anthony"/>
    <m/>
    <x v="48"/>
    <s v="Ramona"/>
    <x v="1"/>
    <m/>
    <x v="0"/>
    <x v="0"/>
    <x v="0"/>
    <s v="Brush clearance"/>
    <s v="Burns sent DNOC due to not meeting brush clearance. Insured had pro landscaper come in and trim, etc and letter form insd states they have 100' defensible space.  "/>
    <x v="1"/>
    <s v="Leslie was inquiring as there are many excellent things about the risk. Advised the Wildfire Warranty form will stand if there is a claim so we have to get confirmation from an inspector that there is 150' clearance and requirements of the form are met."/>
    <m/>
    <m/>
    <s v="Patterson"/>
    <m/>
    <m/>
    <n v="1"/>
  </r>
  <r>
    <x v="298"/>
    <s v="Hull CA"/>
    <s v="Irvine"/>
    <s v="Alex"/>
    <s v="Email"/>
    <s v="Marwood"/>
    <m/>
    <x v="0"/>
    <m/>
    <x v="3"/>
    <m/>
    <x v="0"/>
    <x v="0"/>
    <x v="0"/>
    <s v="Business in home"/>
    <s v="Insured is in the business of &quot;energy healing&quot; (Reiki). They work from home but majority is through skype and zoom. They &quot;may&quot; see 1 client per month."/>
    <x v="3"/>
    <s v="Add Total Business Exclusion.  1 client per month is not too much of an exposure to trust the excl. Agt will review limitations. No increased phys dmg exposures."/>
    <m/>
    <m/>
    <s v="Patterson"/>
    <m/>
    <m/>
    <n v="0"/>
  </r>
  <r>
    <x v="298"/>
    <s v="Hull CO"/>
    <s v="Horsham"/>
    <s v="Tamika"/>
    <s v="Email"/>
    <s v="Avana, LLC"/>
    <m/>
    <x v="2"/>
    <m/>
    <x v="2"/>
    <m/>
    <x v="0"/>
    <x v="0"/>
    <x v="0"/>
    <s v="Student housing"/>
    <s v="1933 home updated. Student housing at Lehigh University for 4 students. Rented to &quot;upperclassman - juniors&quot;. "/>
    <x v="1"/>
    <s v="Advised we are not comfortable. May consider grad student exceptions."/>
    <m/>
    <m/>
    <s v="Patterson"/>
    <m/>
    <m/>
    <n v="1"/>
  </r>
  <r>
    <x v="298"/>
    <s v="Hull CA"/>
    <s v="Irvine"/>
    <s v="Melissa"/>
    <s v="Email"/>
    <s v="Kashat, Ayad"/>
    <m/>
    <x v="1"/>
    <m/>
    <x v="3"/>
    <m/>
    <x v="0"/>
    <x v="0"/>
    <x v="0"/>
    <s v="Increase Cov A"/>
    <s v="Wrote at $800K. Inspection came in around $600K. SF has now increased with the COC. $900K Cov A is now justified."/>
    <x v="4"/>
    <m/>
    <m/>
    <m/>
    <s v="Patterson"/>
    <m/>
    <m/>
    <n v="0"/>
  </r>
  <r>
    <x v="298"/>
    <s v="Hull CA"/>
    <s v="Irvine"/>
    <s v="Alison"/>
    <s v="Email"/>
    <s v="Schwarts"/>
    <m/>
    <x v="1"/>
    <m/>
    <x v="1"/>
    <m/>
    <x v="0"/>
    <x v="0"/>
    <x v="0"/>
    <s v="$25K tool schedule"/>
    <s v="COC with GC doing the work. Insured has $20-$25K in tools he wants insured. Will be at the prop during renovation."/>
    <x v="2"/>
    <s v="What kind? How secured? Other contents?"/>
    <m/>
    <m/>
    <s v="Patterson"/>
    <m/>
    <m/>
    <n v="0"/>
  </r>
  <r>
    <x v="299"/>
    <s v="Hull CO"/>
    <s v="Horsham"/>
    <s v="Lisa"/>
    <s v="Email"/>
    <m/>
    <m/>
    <x v="8"/>
    <m/>
    <x v="3"/>
    <m/>
    <x v="0"/>
    <x v="0"/>
    <x v="0"/>
    <s v="Foreclosure"/>
    <s v="Insured sold home to new owner and kept the mortgage. New owner didn't pay, home being foreclosed. Will be a rental."/>
    <x v="3"/>
    <s v="Can write when owner is out and home is tenant occ. Don't want to insure during foreclosure."/>
    <m/>
    <m/>
    <s v="Patterson"/>
    <m/>
    <m/>
    <n v="0"/>
  </r>
  <r>
    <x v="300"/>
    <s v="Hull CO"/>
    <s v="Horsham"/>
    <s v="Tamika"/>
    <s v="Email"/>
    <s v="Apice, Raymond"/>
    <m/>
    <x v="0"/>
    <m/>
    <x v="3"/>
    <m/>
    <x v="0"/>
    <x v="0"/>
    <x v="0"/>
    <s v="Extend Liability to Seasonal"/>
    <s v="Agent wanted to extend liab to seasonal in Ocean City, NJ. "/>
    <x v="1"/>
    <s v="Advised we do not extend to seasonal or rental properties as we can't underwrite or monitor."/>
    <m/>
    <m/>
    <s v="Patterson"/>
    <m/>
    <m/>
    <n v="1"/>
  </r>
  <r>
    <x v="301"/>
    <s v="Hull CO"/>
    <s v="Horsham"/>
    <s v="Lisa"/>
    <s v="Email"/>
    <s v="VV Invest LLC"/>
    <m/>
    <x v="2"/>
    <m/>
    <x v="3"/>
    <m/>
    <x v="0"/>
    <x v="0"/>
    <x v="0"/>
    <s v="Leaking oil tank"/>
    <s v="Insured has a property he will be fixing up to rent. There is leaking underground oil tank on the property. Prior owner removing it."/>
    <x v="1"/>
    <s v="Big concern with environmental hazard. Not comfortable, even if we knew it was prof co and we drafted specific addl exclusions."/>
    <m/>
    <m/>
    <s v="Patterson"/>
    <m/>
    <m/>
    <n v="1"/>
  </r>
  <r>
    <x v="301"/>
    <s v="Hull CO"/>
    <s v="Horsham"/>
    <s v="Andrea"/>
    <s v="Email"/>
    <s v="Thomsen, Nina"/>
    <m/>
    <x v="5"/>
    <m/>
    <x v="3"/>
    <m/>
    <x v="0"/>
    <x v="0"/>
    <x v="0"/>
    <s v="4th vacancy renewal"/>
    <s v="Too late to NRN. Insured expects to put up for sale soon. "/>
    <x v="4"/>
    <s v="Advised preference is nrn after 2 terms. Asked for $5000 ded and 15% surcharge for $2643 premium."/>
    <m/>
    <m/>
    <s v="Patterson"/>
    <m/>
    <m/>
    <n v="0"/>
  </r>
  <r>
    <x v="302"/>
    <s v="Hull CA"/>
    <s v="Irvine"/>
    <s v="Kelly"/>
    <s v="Email"/>
    <s v="Busse Consulting LTD"/>
    <m/>
    <x v="8"/>
    <m/>
    <x v="3"/>
    <m/>
    <x v="0"/>
    <x v="0"/>
    <x v="0"/>
    <s v="17 mortgagees"/>
    <s v="Newer policy where agent wants to add 17 mortgagees - random people with $50K + invested it appears."/>
    <x v="1"/>
    <s v="NB criteria says more than 3 ineligible. Raises red flags on financial situation."/>
    <m/>
    <m/>
    <m/>
    <m/>
    <m/>
    <n v="1"/>
  </r>
  <r>
    <x v="302"/>
    <s v="Hull CA"/>
    <s v="Irvine"/>
    <s v="Alex"/>
    <s v="Call"/>
    <s v="Auerbach"/>
    <m/>
    <x v="0"/>
    <m/>
    <x v="3"/>
    <m/>
    <x v="0"/>
    <x v="0"/>
    <x v="0"/>
    <s v="Business in home"/>
    <s v="Insured is an online ticket broker, no traffic. Agent applying Total Business Exc."/>
    <x v="4"/>
    <m/>
    <m/>
    <m/>
    <m/>
    <m/>
    <m/>
    <n v="0"/>
  </r>
  <r>
    <x v="303"/>
    <s v="Hull CA"/>
    <s v="Irvine"/>
    <s v="Alex"/>
    <s v="Call"/>
    <m/>
    <m/>
    <x v="8"/>
    <m/>
    <x v="3"/>
    <m/>
    <x v="0"/>
    <x v="0"/>
    <x v="0"/>
    <s v="Pool slide"/>
    <s v="Risk has a rock slide with steps built into a hill. Slightly over 5'. Do they have to exclude."/>
    <x v="4"/>
    <s v="Concern is over free standing slides where people fall off the top. Photos look okay of this slide built into a hill."/>
    <m/>
    <m/>
    <s v="Patterson"/>
    <m/>
    <m/>
    <n v="0"/>
  </r>
  <r>
    <x v="304"/>
    <s v="Hull CA"/>
    <s v="Stockton"/>
    <s v="Melissa"/>
    <s v="Email"/>
    <s v="HUCAH150001117"/>
    <m/>
    <x v="49"/>
    <m/>
    <x v="3"/>
    <m/>
    <x v="0"/>
    <x v="0"/>
    <x v="0"/>
    <s v="Property hazard"/>
    <s v="Policy HUCAH150001117-insured doesn't want to install handrail on steps since built to code"/>
    <x v="4"/>
    <s v="Approved since photo shows walls on either side of steps (in backyard) to mitigate fall hazard"/>
    <m/>
    <m/>
    <s v="K.Burdine"/>
    <m/>
    <m/>
    <n v="0"/>
  </r>
  <r>
    <x v="304"/>
    <s v="Hull CA"/>
    <s v="Irvine"/>
    <s v="Alison"/>
    <s v="Email"/>
    <s v="HUCAH150000184"/>
    <m/>
    <x v="50"/>
    <m/>
    <x v="1"/>
    <m/>
    <x v="0"/>
    <x v="0"/>
    <x v="0"/>
    <s v="Builders Risk Renewal"/>
    <s v="Renewal of vacant home/for sale, dmg to a tub faucet (completely ripped off), questioned if repairs needed"/>
    <x v="0"/>
    <s v="Requested info on renewal since sounds like it may be the second renewal so requesting explanation. Advised would suggest faucet repair (in case water turned on for a home inspection), but won't require"/>
    <s v="Agt confirmed first renewal, and will request insured fix faucet. Approved to release terms"/>
    <m/>
    <s v="K.Burdine"/>
    <m/>
    <m/>
    <n v="0"/>
  </r>
  <r>
    <x v="304"/>
    <s v="Hull CO"/>
    <s v="Horsham"/>
    <s v="Ray"/>
    <s v="Email"/>
    <s v="Allia, Charles  RUA14077"/>
    <m/>
    <x v="2"/>
    <m/>
    <x v="3"/>
    <m/>
    <x v="0"/>
    <x v="0"/>
    <x v="0"/>
    <s v="Other structures &gt;50%"/>
    <s v="Insured has renovated a garage on the property into a rental apartment. Ray asked to exceed 50% and write as a 2 family risk."/>
    <x v="4"/>
    <m/>
    <m/>
    <m/>
    <s v="Patterson"/>
    <m/>
    <m/>
    <n v="0"/>
  </r>
  <r>
    <x v="305"/>
    <s v="Hull CA"/>
    <s v="Irvine"/>
    <s v="Melissa"/>
    <s v="Email"/>
    <s v="HUCAH150001017"/>
    <m/>
    <x v="0"/>
    <m/>
    <x v="3"/>
    <m/>
    <x v="0"/>
    <x v="0"/>
    <x v="0"/>
    <s v="Empty pool - COC"/>
    <s v="Inspection shows pool and spa almost empty with stagnant water in the bottom. Agent asks if pool exclusion should be added for this COC."/>
    <x v="4"/>
    <s v="Yes, apply exclusion due to exposure of workers coming and going getting"/>
    <m/>
    <m/>
    <s v="Patterson"/>
    <m/>
    <m/>
    <n v="0"/>
  </r>
  <r>
    <x v="306"/>
    <s v="Hull CA"/>
    <s v="Irvine"/>
    <s v="Bobbi"/>
    <s v="Call"/>
    <s v="Hawkins"/>
    <m/>
    <x v="0"/>
    <m/>
    <x v="3"/>
    <m/>
    <x v="0"/>
    <x v="0"/>
    <x v="0"/>
    <s v="Prior loss"/>
    <s v="Insured had a $30K claim - their bird bit someone. They no longer have the bird. They do have 2 dogs. Okay to provide animal liab?"/>
    <x v="4"/>
    <m/>
    <m/>
    <m/>
    <s v="Patterson"/>
    <m/>
    <m/>
    <n v="0"/>
  </r>
  <r>
    <x v="307"/>
    <s v="Hull CA"/>
    <s v="CA"/>
    <s v="Kelly"/>
    <s v="Email"/>
    <s v="Ketz, Donald"/>
    <m/>
    <x v="8"/>
    <m/>
    <x v="3"/>
    <m/>
    <x v="0"/>
    <x v="0"/>
    <x v="0"/>
    <s v="Endorsement"/>
    <s v="HUCAH150000269 / Endorsement-insured passed away. Home now in name of son/daughter in law. Requesting perm to endorse name change"/>
    <x v="3"/>
    <s v="approved subject to same risk usage, but advised will have to redo app to confirm new owners still meet eligibility and to reaffirm acceptance of coverages so may be easier to do new pol"/>
    <m/>
    <m/>
    <s v="Burdine"/>
    <m/>
    <m/>
    <n v="0"/>
  </r>
  <r>
    <x v="308"/>
    <s v="Hull CA"/>
    <s v="CA"/>
    <s v="Alison"/>
    <s v="Email"/>
    <s v="Martin and Janet Sheen, The View Trust"/>
    <m/>
    <x v="37"/>
    <m/>
    <x v="1"/>
    <m/>
    <x v="0"/>
    <x v="0"/>
    <x v="0"/>
    <s v="High profile"/>
    <s v="Martin Sheen, Actor/Producer; only interested in a quote including liab for 4 properties"/>
    <x v="1"/>
    <s v="Reviewed and since still active in the industry, and well-connected, unable to approve w/liab"/>
    <m/>
    <m/>
    <s v="Burdine"/>
    <m/>
    <m/>
    <n v="1"/>
  </r>
  <r>
    <x v="309"/>
    <s v="Hull CA"/>
    <s v="CA"/>
    <s v="Alison"/>
    <s v="Call/Email"/>
    <s v="Kao, Wayne"/>
    <m/>
    <x v="8"/>
    <m/>
    <x v="1"/>
    <m/>
    <x v="0"/>
    <x v="0"/>
    <x v="0"/>
    <s v="High profile"/>
    <s v="Looking for liab coverage; primary home TIV is $12Mil so placing elsewhere, interested in 3 other properties w/liab. Client is in the music industry. Seems to be currently active, with links to  high-profile artists and events"/>
    <x v="0"/>
    <s v="Risk has a lot of links to high-profiles in entertainment industry, a few negative remarks on a personal level. Not comfortable offering w/liab"/>
    <s v="Agt may submit 3 of risks prop x-liab"/>
    <m/>
    <s v="Burdine"/>
    <m/>
    <m/>
    <n v="0"/>
  </r>
  <r>
    <x v="185"/>
    <s v="SCU"/>
    <s v="CO"/>
    <s v="Allison"/>
    <s v="Email"/>
    <s v="Brooks Spring LLC"/>
    <s v="Brooks Spring LLC"/>
    <x v="16"/>
    <s v="Montroce"/>
    <x v="19"/>
    <m/>
    <x v="4"/>
    <x v="0"/>
    <x v="1"/>
    <s v="Coverage A"/>
    <s v="This property has two small hunting cabins on it that are used as secondary homes.  Primarily during hunting season.  They are only 328 square feet and 210 square feet.  Then there’s a well house.  The insured really wants to insure the buildings since they are fairly nice and newer dwellings.  They both have electricity, water, and heating, PCQ says 30 min response, map shows over 1 hour"/>
    <x v="1"/>
    <s v="Discussed w/ PM. Rate ($900) not adequate for risk and unusual that now seeking insurance (pics from 2008); response time to great"/>
    <m/>
    <m/>
    <s v="Burdine"/>
    <m/>
    <m/>
    <n v="1"/>
  </r>
  <r>
    <x v="296"/>
    <s v="SCU"/>
    <s v="CO"/>
    <s v="Allison"/>
    <s v="Email"/>
    <s v="Jarrod Thomas, Peter"/>
    <m/>
    <x v="16"/>
    <s v="Feather Lakes"/>
    <x v="19"/>
    <m/>
    <x v="4"/>
    <x v="0"/>
    <x v="1"/>
    <s v="PC/Woodstove"/>
    <s v="This is going to be a new purchase secondary property.  The current owner (not our insured) filled out the woodstove questionnaire for us, but they will maintain and clean as needed.  The cabin is accessible year round, and will be used year round.  The properties in the area are within a locked gated area.  It has a combo lock that is shared by the owners, and the local fire department has the combination as well.  "/>
    <x v="1"/>
    <s v="Response time for seasonal home is outside our comfort level. Even though lower valued, response time is over an hour"/>
    <m/>
    <m/>
    <s v="Burdine"/>
    <m/>
    <m/>
    <n v="1"/>
  </r>
  <r>
    <x v="310"/>
    <s v="Hull CO"/>
    <s v="Charlotte"/>
    <s v="Alia"/>
    <s v="Email"/>
    <s v="Durharra LLC"/>
    <m/>
    <x v="51"/>
    <s v="Green Pond"/>
    <x v="20"/>
    <m/>
    <x v="0"/>
    <x v="0"/>
    <x v="2"/>
    <s v="Hunting on property"/>
    <s v="Insured may hunt with friends on property"/>
    <x v="4"/>
    <s v="No payment to hunt on prop; insured will always be w/ guests, 74 acres, not stocked with any animals. Discussed taking some addt'l premium if we are able to do so and remain competitive."/>
    <m/>
    <m/>
    <s v="Burdine"/>
    <m/>
    <m/>
    <n v="0"/>
  </r>
  <r>
    <x v="311"/>
    <s v="Hull CA"/>
    <s v="Irvine"/>
    <s v="Alison"/>
    <s v="Email"/>
    <s v="Joan Hall-Doyan"/>
    <m/>
    <x v="26"/>
    <s v="24291 Great View Drive Crestline, CA"/>
    <x v="3"/>
    <m/>
    <x v="0"/>
    <x v="0"/>
    <x v="3"/>
    <s v="Builders Risk"/>
    <s v="Builders risk, complete rebuild"/>
    <x v="3"/>
    <s v="Not many details provided, advised OK to proceed if licensed GC, work &lt;1 year, supp app completed. "/>
    <m/>
    <m/>
    <s v="K.Burdine/After-hours final approval by J. May"/>
    <m/>
    <m/>
    <n v="0"/>
  </r>
  <r>
    <x v="33"/>
    <s v="Hull Irvine"/>
    <s v="CA"/>
    <s v="Melissa"/>
    <s v="Email"/>
    <s v="Bender"/>
    <s v="Ryan"/>
    <x v="0"/>
    <s v="Arrowhead"/>
    <x v="1"/>
    <m/>
    <x v="0"/>
    <x v="0"/>
    <x v="4"/>
    <s v="Condition"/>
    <s v="wood shake roof, nr from prior carrier due to no longer writing in zip"/>
    <x v="4"/>
    <s v="RM included, not in brush. Advised wood roof alone does not make it ineligible"/>
    <m/>
    <m/>
    <s v="Burdine"/>
    <m/>
    <m/>
    <n v="0"/>
  </r>
  <r>
    <x v="312"/>
    <s v="Hull Horsham"/>
    <s v="CA"/>
    <s v="Lisa"/>
    <s v="Email"/>
    <s v="301 Orange Street LLC "/>
    <s v="301 Orange Street LLC "/>
    <x v="6"/>
    <s v="Newark"/>
    <x v="9"/>
    <m/>
    <x v="0"/>
    <x v="0"/>
    <x v="5"/>
    <s v="Proximity to commercial prop"/>
    <s v="This is next to a business – car shop. It is NOT part of the property of the 3 family; gut/rehab"/>
    <x v="3"/>
    <s v="Confirmation that owners of property have no ownership in the car shop next door; appropriate use of flat roof guidelines per online pics of home"/>
    <m/>
    <m/>
    <s v="Burdine"/>
    <m/>
    <m/>
    <n v="0"/>
  </r>
  <r>
    <x v="256"/>
    <s v="Hull CA"/>
    <s v="Irvine"/>
    <s v="Alex"/>
    <s v="Call"/>
    <s v="Graham "/>
    <m/>
    <x v="0"/>
    <m/>
    <x v="1"/>
    <m/>
    <x v="0"/>
    <x v="0"/>
    <x v="6"/>
    <s v="Prior water losses"/>
    <s v="2 water losses in 2015. $15K clogged condenser pan overflow. $10k toilet waterline loose. Insured had all waterlines replaced. She checks all these items annually."/>
    <x v="3"/>
    <s v="Approved subject to a $2500 deductible. Felt insured had done what she could to mitigate, and performs annual maintenance."/>
    <m/>
    <m/>
    <s v="Patterson"/>
    <m/>
    <m/>
    <n v="0"/>
  </r>
  <r>
    <x v="313"/>
    <s v="Burns"/>
    <s v="MI"/>
    <s v="Leslie"/>
    <s v="Email"/>
    <s v="Marjon, Lou"/>
    <m/>
    <x v="2"/>
    <s v="Santa Fe"/>
    <x v="15"/>
    <m/>
    <x v="12"/>
    <x v="0"/>
    <x v="7"/>
    <s v="Commercial business in building"/>
    <s v="1915 building fully updated. In Santa Fe historical district. Front is leased to a lawyers office. Back is leased residential.  Coverage is lapsed. No losses. Agent asking to consider with total business excl, SNL, etc."/>
    <x v="1"/>
    <s v="This would be more appropriately written on a commercial policy in my opinion since part is leased to a business. It is not the insured's business."/>
    <m/>
    <m/>
    <s v="Patterson"/>
    <m/>
    <m/>
    <n v="1"/>
  </r>
  <r>
    <x v="311"/>
    <s v="SCU"/>
    <m/>
    <s v="Allison"/>
    <s v="Email"/>
    <s v="Rutan, Richard &amp; Paula"/>
    <m/>
    <x v="8"/>
    <m/>
    <x v="3"/>
    <m/>
    <x v="0"/>
    <x v="0"/>
    <x v="8"/>
    <s v="loss over 100k"/>
    <s v="Large water loss in 2013 that took over a year for repairs to be completed, PC3, all updates completed since 2006."/>
    <x v="4"/>
    <s v="Repairs were a major update to the systems, floors, walls, and some cabinets. "/>
    <m/>
    <m/>
    <s v="Trott"/>
    <m/>
    <m/>
    <n v="0"/>
  </r>
  <r>
    <x v="314"/>
    <s v="SCU"/>
    <s v="CO"/>
    <s v="Allison"/>
    <s v="Email"/>
    <s v="Mansur, Jon"/>
    <m/>
    <x v="14"/>
    <m/>
    <x v="19"/>
    <m/>
    <x v="4"/>
    <x v="0"/>
    <x v="9"/>
    <s v="Response time &gt;20 mins"/>
    <s v="This is a brand new build, secondary, PC 10.  Estimated response time is between 20-30 minutes.  Responding fire department is 10.3 miles from the home, and is a volunteer station.  There is a paid, live-in caretaker at the home.  There is a 5,000 gallon cistern next to the house, but the fire department also has the capability to bring 1 tender (2,000 gallons), and 2 engines (500-1,000 gallons). "/>
    <x v="3"/>
    <s v="Per agt, can't take more than a 10% surcharge as want to beat Lex. Approved subj to getting a central/monitored alarm"/>
    <s v="agt advised need higher TIV for Coverage B, and can't get alarm so will offer Lex terms unless we want to compete. Declined as per app 26-30 minutes is the best case scenario in response w/ good weather so need more premium or a mitigator"/>
    <m/>
    <s v="Burdine"/>
    <m/>
    <m/>
    <n v="0"/>
  </r>
  <r>
    <x v="31"/>
    <s v="Hull Irvine"/>
    <s v="CA"/>
    <s v="Alison"/>
    <s v="Email"/>
    <s v="Lappen"/>
    <m/>
    <x v="1"/>
    <s v="Pacific Palisades"/>
    <x v="1"/>
    <m/>
    <x v="0"/>
    <x v="0"/>
    <x v="10"/>
    <s v="TIV"/>
    <s v="Malibu is restricted - good quality risks only. Alison confirms this is nice home. Online looks okay.  Not in brush but she is applying some brush s/c anyway."/>
    <x v="4"/>
    <s v="Good risk for Malibu exception.  // Alison replied the next day that Malibu was the mailing. Turns out it's really in Pacific Palisades."/>
    <m/>
    <m/>
    <s v="Patterson"/>
    <m/>
    <m/>
    <n v="0"/>
  </r>
  <r>
    <x v="315"/>
    <s v="SCU"/>
    <s v="CO"/>
    <s v="Ashley"/>
    <s v="Email"/>
    <s v="Bonnell"/>
    <s v="Douglas &amp; Terri"/>
    <x v="7"/>
    <m/>
    <x v="3"/>
    <m/>
    <x v="9"/>
    <x v="0"/>
    <x v="11"/>
    <s v="Occupancy/Use"/>
    <s v="MPLCO00001309-Insured moving to Australia for 2 years, renting out home for long term basis. Wishes to add MPLH0179 for remainder of this term, then rewrite next term"/>
    <x v="4"/>
    <s v="Discussed w/ MP, since home was owner occupied half of the term, agree to allow for endorsement for remainder of term"/>
    <m/>
    <m/>
    <s v="Burdine"/>
    <m/>
    <m/>
    <n v="0"/>
  </r>
  <r>
    <x v="138"/>
    <s v="Hull Irvine"/>
    <m/>
    <s v="Alex"/>
    <s v="Call"/>
    <s v="Little"/>
    <s v="Audrey"/>
    <x v="0"/>
    <m/>
    <x v="1"/>
    <m/>
    <x v="0"/>
    <x v="0"/>
    <x v="12"/>
    <s v="10 prior losses"/>
    <s v="Insured has multiple mysterious disappearance/theft losses close together with $0 paid. Apparently babysitter or nephew took items from her. Was insured w/USAA, Safeco, then Lloyds. There were thefts w/ all the carriers in addition to other types of losses. Insured added alarm to her closet where someone was taking items. Apparently she called every time she found one thing missing."/>
    <x v="1"/>
    <s v="Claim frequency. Question of state of mind. Morale hazard."/>
    <m/>
    <n v="13"/>
    <s v="Patterson"/>
    <m/>
    <m/>
    <n v="1"/>
  </r>
  <r>
    <x v="316"/>
    <s v="SCU"/>
    <s v="CO"/>
    <s v="Allison"/>
    <m/>
    <s v="Hedgelock"/>
    <s v="Roger &amp; Cynthia"/>
    <x v="0"/>
    <s v="Julian"/>
    <x v="1"/>
    <s v="92036"/>
    <x v="0"/>
    <x v="0"/>
    <x v="13"/>
    <s v="TIV"/>
    <s v="Agent asking for exception to our $1M limit for WRS 30-49."/>
    <x v="1"/>
    <s v="Not eligible per guidelines. Advised the CA guidelines are not flexible. "/>
    <m/>
    <m/>
    <s v="Patterson"/>
    <m/>
    <m/>
    <n v="1"/>
  </r>
  <r>
    <x v="317"/>
    <s v="Hull Irvine"/>
    <s v="CA"/>
    <s v="Alison"/>
    <s v="Email"/>
    <s v="Amirpour"/>
    <s v="Mina"/>
    <x v="1"/>
    <s v="Newport Coast"/>
    <x v="1"/>
    <m/>
    <x v="0"/>
    <x v="0"/>
    <x v="14"/>
    <s v="Builders Risk"/>
    <s v="COC, primary and moving in upon completion of renovations. Farmers NR due to extent of renovation: walls, doors, window space, kitchen, flooring (no additional square footage)"/>
    <x v="3"/>
    <s v="risk acceptable per provided info, advised need completed app to confirm"/>
    <m/>
    <m/>
    <s v="Burdine"/>
    <m/>
    <m/>
    <n v="0"/>
  </r>
  <r>
    <x v="318"/>
    <s v="Hull Irvine"/>
    <s v="CA"/>
    <s v="Alison"/>
    <s v="Email"/>
    <s v="Dunn"/>
    <s v="Vera"/>
    <x v="0"/>
    <s v="Beverly Hills "/>
    <x v="1"/>
    <m/>
    <x v="0"/>
    <x v="0"/>
    <x v="15"/>
    <s v="Business on Premises"/>
    <s v="Not in brush, over 150 feet from, insured is therapist and see clients in home"/>
    <x v="3"/>
    <s v=" subject to confirmation of the GL policy and the total business exclusion being applied."/>
    <m/>
    <m/>
    <s v="Burdine"/>
    <m/>
    <m/>
    <n v="0"/>
  </r>
  <r>
    <x v="241"/>
    <s v="Burns"/>
    <s v="MI"/>
    <s v="Leslie"/>
    <s v="Email"/>
    <s v="Lewis, Reed"/>
    <m/>
    <x v="16"/>
    <s v="Minnesota Island PC9"/>
    <x v="3"/>
    <m/>
    <x v="0"/>
    <x v="0"/>
    <x v="16"/>
    <s v="Not accessible yr round"/>
    <s v="No app provided. PC quest provided. Secondary home on island. Not accessible year round (when lake is not thawed or frozen). Accessible by snowmobile when lake is frozen.  No bridge access. Insured has wifi, burglar, smoke det, cameras w/alerts to cell phone.  There is mutual aid with fireboats. Volunteer FD. "/>
    <x v="1"/>
    <m/>
    <m/>
    <m/>
    <s v="Patterson"/>
    <m/>
    <m/>
    <n v="1"/>
  </r>
  <r>
    <x v="242"/>
    <s v="Hull CA"/>
    <s v="Irvine"/>
    <s v="Bobbi"/>
    <s v="Email"/>
    <s v="Jarvis, Holly"/>
    <m/>
    <x v="1"/>
    <s v="Newport Beach CA"/>
    <x v="3"/>
    <m/>
    <x v="0"/>
    <x v="0"/>
    <x v="17"/>
    <s v="3 mo builders risk"/>
    <s v="Tail end construction, only wants 3 mo policy. Has 3 horses - 2 belong to a friend."/>
    <x v="1"/>
    <s v="Bobbi was pretty sure we didn't want the risk."/>
    <m/>
    <m/>
    <s v="Patterson"/>
    <m/>
    <m/>
    <n v="1"/>
  </r>
  <r>
    <x v="319"/>
    <s v="SCU"/>
    <s v="CO"/>
    <s v="Ashley"/>
    <s v="Email"/>
    <s v="Moore"/>
    <s v="John &amp; Alma"/>
    <x v="1"/>
    <m/>
    <x v="3"/>
    <m/>
    <x v="4"/>
    <x v="0"/>
    <x v="18"/>
    <s v="TIV"/>
    <s v="BR, didn't realize coverage was needed, now ready to purchase, 14 min drive time"/>
    <x v="3"/>
    <s v="approval to offer terms subject to a no loss statement, confirmation of GC liability, a lapse and 25% surcharge, and a PC 10 rating"/>
    <m/>
    <m/>
    <s v="Burdine"/>
    <m/>
    <m/>
    <n v="0"/>
  </r>
  <r>
    <x v="187"/>
    <s v="Hull Irvine"/>
    <s v="CA"/>
    <s v="Alex"/>
    <s v="Call/Email"/>
    <s v="Sahba"/>
    <m/>
    <x v="26"/>
    <m/>
    <x v="3"/>
    <m/>
    <x v="0"/>
    <x v="0"/>
    <x v="19"/>
    <s v="Mid term builders risk"/>
    <s v="Agt quoted ground up in Feb, but insured didn't take as thought GC GL would cover. After GL advised didn't, now seeking cov. Foundation, framing, roofing, windows, rough heating and Air conditioning and plumbing are done.  Surcharging 20%"/>
    <x v="3"/>
    <s v="20% surcharge"/>
    <m/>
    <m/>
    <s v="Burdine"/>
    <m/>
    <m/>
    <n v="0"/>
  </r>
  <r>
    <x v="318"/>
    <s v="Quaker"/>
    <s v="MA"/>
    <s v="Austin"/>
    <s v="Email"/>
    <s v="Dershowitz"/>
    <s v="Austin"/>
    <x v="4"/>
    <s v="Chilmark"/>
    <x v="21"/>
    <m/>
    <x v="13"/>
    <x v="0"/>
    <x v="20"/>
    <s v="Losses"/>
    <s v="09/10/2015-lightning, 04/10/2017-water. All repairs made, 01/2015-$932,000 liability for libel/slander/defamation; wants PAF schedule as well"/>
    <x v="3"/>
    <s v="$5K ded, PAF guidelines met, x-liab due to liab loss"/>
    <m/>
    <m/>
    <s v="Burdine"/>
    <m/>
    <m/>
    <n v="0"/>
  </r>
  <r>
    <x v="320"/>
    <s v="Hull Irvine"/>
    <s v="CA"/>
    <s v="Melissa"/>
    <s v="Email"/>
    <s v="Libre"/>
    <s v="Juan"/>
    <x v="0"/>
    <s v="Malibu"/>
    <x v="1"/>
    <m/>
    <x v="14"/>
    <x v="0"/>
    <x v="21"/>
    <s v="TIV"/>
    <s v="Malibu risk, in brush"/>
    <x v="1"/>
    <s v="declined due to brush"/>
    <m/>
    <m/>
    <s v="Burdine"/>
    <m/>
    <m/>
    <n v="1"/>
  </r>
  <r>
    <x v="321"/>
    <s v="Hull Irvine"/>
    <s v="CA"/>
    <s v="Alison"/>
    <m/>
    <s v="Third Day Investments / Magglos"/>
    <s v="Jim"/>
    <x v="0"/>
    <s v="Moorpark "/>
    <x v="1"/>
    <s v="93021"/>
    <x v="10"/>
    <x v="0"/>
    <x v="22"/>
    <s v="Other UW Reason"/>
    <s v="8 miles from Woolsey fire (per my search today). Fire is 98% contained. Not in brush. PC unknown. Property was an equestrian training facility."/>
    <x v="2"/>
    <s v="If PC 8-10 decline. If protected, fire must be 100% contained. Need to make sure this is not an active equestrian operation. Make sure we have Cov B right or exclude fences and structures.  There is a LOT going on per online search."/>
    <m/>
    <m/>
    <s v="Patterson"/>
    <m/>
    <m/>
    <n v="0"/>
  </r>
  <r>
    <x v="241"/>
    <s v="Hull CA"/>
    <s v="Irvine"/>
    <s v="Alison"/>
    <s v="Call"/>
    <m/>
    <m/>
    <x v="2"/>
    <s v="Beverly Hills CA"/>
    <x v="3"/>
    <m/>
    <x v="0"/>
    <x v="0"/>
    <x v="23"/>
    <s v="Alarm credit requirements"/>
    <s v="What testing is needed or required?  The insured read the alarm form and wants to know, since it is a rental"/>
    <x v="3"/>
    <s v="Advised Alison All alarms should be periodically tested.  The insured may want to consider adding a clause to their lease that the tenant test the alarm monthly and report any concerns.  The insured should probably oversee the testing once annually.  They could do this in conjunction with the alarm company and the tenant.  If they keep a record of this, they should have no problem being in compliance with the requirements of the form."/>
    <s v="Alison advised the insured isn't comfortable keeping the alarm form. Alison is removing the credit, but I agreed we could still write even though over $2M. We are assuming the tenant will likely maintain the alarm and monitoring. Additional call on 7/12/16, insured is wanting $25K mold. Got an okay from Jeff for $250 rate."/>
    <m/>
    <s v="Patterson"/>
    <m/>
    <m/>
    <n v="0"/>
  </r>
  <r>
    <x v="322"/>
    <s v="Hull Horsham"/>
    <m/>
    <s v="Nichole"/>
    <s v="Email"/>
    <s v="Bahmani, Carole"/>
    <m/>
    <x v="0"/>
    <s v="Spotsylvania"/>
    <x v="10"/>
    <m/>
    <x v="0"/>
    <x v="0"/>
    <x v="24"/>
    <s v="Dry hydrant"/>
    <s v="Will we give credit for dry hydrant?"/>
    <x v="3"/>
    <s v="Confirm PC9 now, 11 min response, excellent risk. Could allow 5% credit. PC 9&gt;8 would be 10%. Officially we do not give credit for dry hydrants in a PC9 or 10, but they are recognized by ISO as a creditable water source."/>
    <m/>
    <m/>
    <s v="Patterson"/>
    <m/>
    <m/>
    <n v="0"/>
  </r>
  <r>
    <x v="100"/>
    <s v="Hull Irvine"/>
    <m/>
    <s v="Alex"/>
    <s v="Call"/>
    <s v="Cox, Kenneth &amp; Susan"/>
    <m/>
    <x v="0"/>
    <m/>
    <x v="3"/>
    <m/>
    <x v="0"/>
    <x v="0"/>
    <x v="25"/>
    <s v="Alarm requirement"/>
    <s v="This was a Burns risk, agent wants Hull to rewrite. There are no alarms and it's over $2M TIV."/>
    <x v="4"/>
    <s v="Agreed to waive requirement to match competitor expiring."/>
    <m/>
    <m/>
    <s v="Patterson"/>
    <m/>
    <m/>
    <n v="0"/>
  </r>
  <r>
    <x v="323"/>
    <s v="Hull Charlotte"/>
    <s v="NC"/>
    <s v="Alia"/>
    <s v="Email"/>
    <s v="Tague"/>
    <s v="Cheryl"/>
    <x v="0"/>
    <s v="Charleston"/>
    <x v="20"/>
    <m/>
    <x v="0"/>
    <x v="0"/>
    <x v="26"/>
    <s v="Age of Home"/>
    <s v="Historic registry; renovations"/>
    <x v="3"/>
    <s v="MFRC only, home is not super ornate, but def some unique qualities per online review. Also contingent to no tours"/>
    <m/>
    <m/>
    <s v="Burdine"/>
    <m/>
    <m/>
    <n v="0"/>
  </r>
  <r>
    <x v="324"/>
    <s v="SCU"/>
    <s v="CO"/>
    <s v="Allison"/>
    <s v="Email"/>
    <s v="Litner"/>
    <s v="Alan &amp; Lorin"/>
    <x v="0"/>
    <s v="Boulder"/>
    <x v="19"/>
    <m/>
    <x v="8"/>
    <x v="0"/>
    <x v="27"/>
    <s v="Losses"/>
    <s v="Open loss:2 losses within 3 years, but all loss history is listed on the application.  There is a 5/20/2018 water damage claim that is open, and potential loss value could be $175,000 if not denied.  Chubb is having an engineer complete an inspection on the property to see if it’s a construction defect or ongoing issue.  They said if it’s not then the claim will pay around $175,000.  They are having water intrusion from their windows.  "/>
    <x v="3"/>
    <s v="We could offer terms as suggested (with the roof and water damage exclusion), but must wait until the claim is closed or at least the repairs are nearly complete. We aren’t comfortable binding policies in the middle of a claims process, so would need to wait until we offer terms. "/>
    <m/>
    <m/>
    <s v="Burdine"/>
    <m/>
    <m/>
    <n v="0"/>
  </r>
  <r>
    <x v="325"/>
    <s v="Hull Irvine"/>
    <s v="CA"/>
    <s v="Alison"/>
    <s v="Email"/>
    <s v="Sanders"/>
    <m/>
    <x v="0"/>
    <s v="Calabasas"/>
    <x v="1"/>
    <m/>
    <x v="0"/>
    <x v="0"/>
    <x v="28"/>
    <s v="TIV"/>
    <s v="Near a brush zone."/>
    <x v="3"/>
    <s v="Jeff reviewed. Risk was okay but questioned surcharge. Some back and forth. Finally, Alison agreed to apply full surcharge."/>
    <m/>
    <m/>
    <s v="Patterson"/>
    <m/>
    <m/>
    <n v="0"/>
  </r>
  <r>
    <x v="138"/>
    <s v="Hull Irvine"/>
    <m/>
    <s v="Alex"/>
    <s v="Call"/>
    <s v="Huynh"/>
    <m/>
    <x v="2"/>
    <m/>
    <x v="1"/>
    <m/>
    <x v="0"/>
    <x v="0"/>
    <x v="29"/>
    <s v="No alarms"/>
    <s v="Nice risk but it has no c/s alarm. Does $10K AOP apply since it is a rental risk and insured can't confirm whether alarms will be used?"/>
    <x v="3"/>
    <s v="Fire/smoke detectors don't require activation by a tenant , they are always active. We would require them at a minimum. Could forego burglar since no guaranty of use. $10K ded applies if no alarms."/>
    <m/>
    <n v="13"/>
    <s v="Patterson"/>
    <m/>
    <m/>
    <n v="0"/>
  </r>
  <r>
    <x v="183"/>
    <s v="Hull Irvine"/>
    <s v="CA"/>
    <s v="Alison"/>
    <s v="Email"/>
    <s v="Tooma"/>
    <s v="Tom &amp; Marta"/>
    <x v="5"/>
    <s v="Laguna Beach "/>
    <x v="1"/>
    <m/>
    <x v="0"/>
    <x v="0"/>
    <x v="30"/>
    <s v="TIV"/>
    <s v="Coming off COC, vacant/up for sale"/>
    <x v="4"/>
    <s v="Insured lives close to home, easy to monitor, photos OK"/>
    <m/>
    <m/>
    <s v="Burdine"/>
    <m/>
    <m/>
    <n v="0"/>
  </r>
  <r>
    <x v="317"/>
    <s v="Hull Irvine"/>
    <s v="CA"/>
    <s v="Alison"/>
    <s v="Email"/>
    <s v="Wagner"/>
    <m/>
    <x v="4"/>
    <s v="Mokelumne Hill"/>
    <x v="1"/>
    <m/>
    <x v="15"/>
    <x v="0"/>
    <x v="31"/>
    <s v="PC"/>
    <s v="Secondary home, roads paved, tankers on property, but no hydrants"/>
    <x v="1"/>
    <s v="Advised of $3M PC10 cap, so unable to bind location 1599 Top Dollar Rd, but other 3 OK (they are w/in her authority)"/>
    <m/>
    <m/>
    <s v="Burdine"/>
    <m/>
    <m/>
    <n v="1"/>
  </r>
  <r>
    <x v="326"/>
    <s v="Hull Irvine"/>
    <s v="CA"/>
    <s v="Michelle"/>
    <m/>
    <s v="Dill"/>
    <s v="Matt"/>
    <x v="0"/>
    <m/>
    <x v="1"/>
    <m/>
    <x v="8"/>
    <x v="0"/>
    <x v="32"/>
    <s v="TIV"/>
    <s v="$3.6M TIV in brush. "/>
    <x v="1"/>
    <s v="12/17 implemented rules not to write risks over $3M in brush. No exceptions."/>
    <m/>
    <m/>
    <s v="Patterson"/>
    <m/>
    <m/>
    <n v="1"/>
  </r>
  <r>
    <x v="107"/>
    <s v="Hull Irvine"/>
    <m/>
    <s v="Alison"/>
    <s v="Email"/>
    <s v="Lafayette Scott Street LLC"/>
    <m/>
    <x v="1"/>
    <s v="San Francisco"/>
    <x v="1"/>
    <m/>
    <x v="0"/>
    <x v="0"/>
    <x v="33"/>
    <s v="Condition"/>
    <s v="Insured bought this high value home to renovate. Currently it is not habitable per city. "/>
    <x v="1"/>
    <s v="Reviewed inspection and discussed w/agent. No system updates. Fireman inspecting home fell when stairs he was using broke."/>
    <m/>
    <m/>
    <s v="Patterson"/>
    <m/>
    <m/>
    <n v="1"/>
  </r>
  <r>
    <x v="40"/>
    <s v="SCU"/>
    <s v="CO"/>
    <s v="Allison"/>
    <s v="Email"/>
    <s v="Salgado Living Trust"/>
    <s v="Salgado Living Trust"/>
    <x v="0"/>
    <m/>
    <x v="1"/>
    <m/>
    <x v="11"/>
    <x v="0"/>
    <x v="34"/>
    <s v="Losses"/>
    <s v="not in fire zone, sustained smoke damage (over $100K) last year, repairs made., alarms in home, 2000 build"/>
    <x v="3"/>
    <s v="requested additional 10% as claim $400K"/>
    <m/>
    <m/>
    <s v="Burdine"/>
    <m/>
    <m/>
    <n v="0"/>
  </r>
  <r>
    <x v="327"/>
    <s v="Hull Irvine"/>
    <s v="CA"/>
    <s v="Alison"/>
    <s v="Email"/>
    <s v="Parry"/>
    <s v="Norma"/>
    <x v="0"/>
    <s v="Beverly Hills "/>
    <x v="1"/>
    <m/>
    <x v="0"/>
    <x v="0"/>
    <x v="35"/>
    <s v="TIV"/>
    <s v="technically not in brush but added a 10% s/c. App, RM, aerial and quote attached. Rate is at $.20., 50 feet from brush per RM"/>
    <x v="4"/>
    <s v="discussed with LT. Ok to offer terms since not in brush, FireLine score 10, large agency relationship for GA"/>
    <m/>
    <m/>
    <s v="Burdine"/>
    <m/>
    <m/>
    <n v="0"/>
  </r>
  <r>
    <x v="328"/>
    <s v="Burns"/>
    <s v="MI"/>
    <s v="Jeffrey"/>
    <s v="Email"/>
    <s v="Wasson"/>
    <s v="Greg"/>
    <x v="1"/>
    <s v="Long Grove"/>
    <x v="4"/>
    <m/>
    <x v="15"/>
    <x v="0"/>
    <x v="36"/>
    <s v="Builders Risk"/>
    <s v="50% into build (before GC had insurance on it), GC no longer involved. Now insured securing, and has subcontractors/architect in place to do work. "/>
    <x v="3"/>
    <s v="Approved subject to a new GC being in charge of project, "/>
    <m/>
    <m/>
    <s v="Burdine"/>
    <m/>
    <m/>
    <n v="0"/>
  </r>
  <r>
    <x v="329"/>
    <s v="SCU"/>
    <s v="CO"/>
    <s v="Allison"/>
    <s v="Email"/>
    <s v="Allen"/>
    <s v="David"/>
    <x v="3"/>
    <s v="Keystone"/>
    <x v="19"/>
    <m/>
    <x v="8"/>
    <x v="0"/>
    <x v="37"/>
    <s v="TIV"/>
    <s v="Secondary home,  rental 45 days a year. CSFB alarms, interior sprinklers, 2001 build"/>
    <x v="4"/>
    <s v="PC, alarms, photos, online review acceptable"/>
    <m/>
    <m/>
    <s v="Burdine"/>
    <m/>
    <m/>
    <n v="0"/>
  </r>
  <r>
    <x v="148"/>
    <s v="Hull Irvine"/>
    <s v="CA"/>
    <s v="Alison"/>
    <s v="Email"/>
    <s v="Elihu"/>
    <s v="Albert"/>
    <x v="0"/>
    <s v="Los Angeles"/>
    <x v="1"/>
    <m/>
    <x v="0"/>
    <x v="0"/>
    <x v="38"/>
    <s v="TIV"/>
    <s v="1999 home with 3 losses - wind, pipe burst, rain damage to roof. Insured is business owner. Search reveals lawsuits and lost copyright infringement suit."/>
    <x v="1"/>
    <s v="Moral hazard"/>
    <m/>
    <n v="44"/>
    <s v="Patterson"/>
    <m/>
    <m/>
    <n v="1"/>
  </r>
  <r>
    <x v="330"/>
    <s v="Hull Irvine"/>
    <s v="CA"/>
    <s v="Alison"/>
    <s v="Email"/>
    <s v="Delrahim"/>
    <s v="Vahid David"/>
    <x v="0"/>
    <s v="Malibu"/>
    <x v="1"/>
    <m/>
    <x v="0"/>
    <x v="0"/>
    <x v="39"/>
    <s v="TIV"/>
    <s v="Owned by insured's company, Ventura Oil. Concerning online articles."/>
    <x v="1"/>
    <s v="See email"/>
    <m/>
    <m/>
    <s v="Patterson"/>
    <m/>
    <m/>
    <n v="1"/>
  </r>
  <r>
    <x v="331"/>
    <s v="SCU"/>
    <s v="CO"/>
    <s v="Allison"/>
    <s v="Email"/>
    <s v="Brown, Ken"/>
    <m/>
    <x v="21"/>
    <s v="Silverthorne CO PC10"/>
    <x v="3"/>
    <m/>
    <x v="0"/>
    <x v="0"/>
    <x v="39"/>
    <s v="TIV&gt;$1.5M"/>
    <s v="1992 home 11 miles from DF-open highway. Home on a river. 5 other FD's within area. Visible from neighbors. 20 minute response. "/>
    <x v="3"/>
    <s v="Allison expects to revise Cov B, C, D and will add surcharge at that time."/>
    <m/>
    <m/>
    <s v="Patterson"/>
    <m/>
    <m/>
    <n v="0"/>
  </r>
  <r>
    <x v="332"/>
    <s v="JM Wilson"/>
    <s v="MI"/>
    <s v="Cheryl"/>
    <m/>
    <s v="Bulla"/>
    <s v="Douglas"/>
    <x v="4"/>
    <s v="Mackinac Island"/>
    <x v="8"/>
    <s v="49757"/>
    <x v="2"/>
    <x v="0"/>
    <x v="40"/>
    <s v="TIV"/>
    <s v="2002 home on the island. Very nice online photos. No alarms. Island has police and fire depts. Is mostly seasonal occupancy.  Small community."/>
    <x v="3"/>
    <s v="5% s/c for no alarms. Feel police/fire will watch off season and neighbors are seasonal and look out for each other. If valuation tool doesn't account for island extra expense, need to surcharge.  May reconsider if s/c make us uncompetitive.  Nice home."/>
    <m/>
    <m/>
    <s v="Patterson"/>
    <m/>
    <m/>
    <n v="0"/>
  </r>
  <r>
    <x v="333"/>
    <s v="Burns"/>
    <s v="CA"/>
    <s v="Danielle"/>
    <s v="Email"/>
    <s v="Woods, Carl"/>
    <m/>
    <x v="0"/>
    <m/>
    <x v="1"/>
    <m/>
    <x v="0"/>
    <x v="0"/>
    <x v="40"/>
    <s v="TIV/Renewal"/>
    <s v="BWH104709-35753198 CARL WOODS-renewal."/>
    <x v="3"/>
    <s v="Reviewed 2016 approval; gave OK to renew as total business exclusion still endorsed on pol. Advised approved subject to agent still in control of comm policy"/>
    <m/>
    <m/>
    <s v="K.Burdine"/>
    <m/>
    <m/>
    <n v="0"/>
  </r>
  <r>
    <x v="161"/>
    <s v="Hull Irvine"/>
    <s v="CA"/>
    <s v="Alex"/>
    <s v="Call"/>
    <s v="Littlefield"/>
    <s v="Renewal"/>
    <x v="8"/>
    <m/>
    <x v="1"/>
    <m/>
    <x v="0"/>
    <x v="0"/>
    <x v="40"/>
    <s v="TIV"/>
    <s v="Insured has completed renovation and is now asking for increased coverages which put the risk over $5M TIV.  How do they handle, it's too late to legally NRN."/>
    <x v="3"/>
    <s v="Offer renewal with full amount of Cov A only and offer competing quotes. Suggest to increase rate."/>
    <m/>
    <n v="10"/>
    <s v="Patterson"/>
    <m/>
    <m/>
    <n v="0"/>
  </r>
  <r>
    <x v="233"/>
    <s v="Hull CA"/>
    <s v="Irvine"/>
    <s v="Alex"/>
    <s v="Call"/>
    <m/>
    <m/>
    <x v="0"/>
    <m/>
    <x v="3"/>
    <m/>
    <x v="0"/>
    <x v="0"/>
    <x v="40"/>
    <s v="Historical home"/>
    <s v="1925 home updated. On Natl Historic Registry. Registry requires exterior to be maintained as original. Interior does not have to be. No tours. Not very ornate. "/>
    <x v="1"/>
    <s v="Alex is submitting w/inspection. Since we can't do MFRC on the exterior, we may be able to surcharge some to cover that. MFRC ok for the interior."/>
    <s v="Lloyds is writing for 7200. We're coming in at 8239. I'm not willing to debit for a historic home."/>
    <m/>
    <s v="Patterson"/>
    <m/>
    <m/>
    <n v="1"/>
  </r>
  <r>
    <x v="334"/>
    <s v="Quaker"/>
    <s v="MA"/>
    <s v="Tim"/>
    <s v="Email"/>
    <s v="Conigliaro"/>
    <s v="Brother"/>
    <x v="0"/>
    <s v="Southborough"/>
    <x v="21"/>
    <m/>
    <x v="0"/>
    <x v="0"/>
    <x v="41"/>
    <s v="Prior Lapse/NRN"/>
    <s v="Insured is owner of a pharmacy that had a major suit issue. Insured found moving their personal funds and was fined (no jail). Chubb NRN'd"/>
    <x v="1"/>
    <s v="Over our TIV max"/>
    <m/>
    <m/>
    <s v="Patterson"/>
    <m/>
    <m/>
    <n v="1"/>
  </r>
  <r>
    <x v="223"/>
    <s v="Hull CO"/>
    <s v="Horsham"/>
    <s v="Lisa"/>
    <s v="Email"/>
    <s v="Liu, Zuopeng"/>
    <m/>
    <x v="1"/>
    <s v="Mt Laurel NJ"/>
    <x v="3"/>
    <m/>
    <x v="0"/>
    <x v="0"/>
    <x v="42"/>
    <s v="Builders risk"/>
    <s v="Home under construction $8.25 TIV"/>
    <x v="1"/>
    <s v="We can't write over $5M TIV."/>
    <m/>
    <m/>
    <s v="Patterson"/>
    <m/>
    <m/>
    <n v="1"/>
  </r>
  <r>
    <x v="24"/>
    <s v="Hull Charlotte"/>
    <s v="PA"/>
    <s v="Alia"/>
    <s v="Email"/>
    <s v="Baxley Revocable Trust"/>
    <m/>
    <x v="0"/>
    <s v="Charleston"/>
    <x v="20"/>
    <m/>
    <x v="0"/>
    <x v="0"/>
    <x v="43"/>
    <s v="TIV"/>
    <s v="Agent referred a $13M TIV risk.  "/>
    <x v="1"/>
    <s v="Reminded of our max TIV. Note to Bethany, maybe put a hard stop in the rater as a reminder? Also check other raters?"/>
    <m/>
    <m/>
    <s v="Patterson"/>
    <m/>
    <m/>
    <n v="1"/>
  </r>
  <r>
    <x v="17"/>
    <s v="SCU"/>
    <s v="CO"/>
    <s v="Allison"/>
    <s v="Email"/>
    <s v="Wiehe"/>
    <s v="Everett"/>
    <x v="2"/>
    <s v="Lafayette"/>
    <x v="19"/>
    <m/>
    <x v="9"/>
    <x v="0"/>
    <x v="44"/>
    <s v="TIV"/>
    <s v="4 hail score for sample of risks. Brush score is 0-1. Agent asking for 1% wind/hail, ACV roof if over 15 years old, exclude if over 25 (only one). Homes built in late 90's - 2000's. Insured is the property manager."/>
    <x v="2"/>
    <s v="Sent follow up questions to agent. Proposal pending to Louisa and Bethany. 2/12/18 Agent still not sure if they want to write as they found out it is the insured who is shopping the policy. Might mean a lot of work only to have it shopped again. If they go forward I advised it was looking good.  All of my email w/Louisa and Bethany is filed in the agent's email file, along w/the original submission."/>
    <m/>
    <m/>
    <s v="Patterson"/>
    <m/>
    <m/>
    <n v="0"/>
  </r>
  <r>
    <x v="18"/>
    <s v="SCU"/>
    <s v="CO"/>
    <s v="Allison"/>
    <s v="Call"/>
    <s v="TBD"/>
    <m/>
    <x v="0"/>
    <m/>
    <x v="19"/>
    <m/>
    <x v="0"/>
    <x v="0"/>
    <x v="45"/>
    <s v="TIV"/>
    <s v="Agent realizes we can't write a $29M home. They called asking if we could write a following form layer of it, or write the first layer with no coinsurance.  "/>
    <x v="1"/>
    <s v="Reviewed w/Louisa.  Too soon to pursue.  I advised SCU we don't have the forms or procedures for this.  Also, not advantageous since we only write $5M."/>
    <m/>
    <m/>
    <s v="Patterson"/>
    <m/>
    <m/>
    <n v="1"/>
  </r>
  <r>
    <x v="335"/>
    <s v="XS Brokers"/>
    <s v="MA"/>
    <s v="Barbara"/>
    <s v="Email"/>
    <s v="McQuillian"/>
    <s v="Noel"/>
    <x v="0"/>
    <s v="Unknown"/>
    <x v="25"/>
    <m/>
    <x v="16"/>
    <x v="0"/>
    <x v="0"/>
    <s v="Losses"/>
    <s v="Not given much information regarding the risk. The insured has one closed claim (no payment) for providing under aged minor with alcohol which lead to fatal accident. "/>
    <x v="3"/>
    <s v="Approved but without liability."/>
    <m/>
    <m/>
    <s v="Lazovik"/>
    <m/>
    <m/>
    <n v="0"/>
  </r>
  <r>
    <x v="336"/>
    <s v="JM Wilson"/>
    <s v="MI"/>
    <s v="John"/>
    <s v="Email"/>
    <s v="Hudson"/>
    <s v="Matthew"/>
    <x v="0"/>
    <s v="Trenton"/>
    <x v="18"/>
    <m/>
    <x v="10"/>
    <x v="1"/>
    <x v="46"/>
    <s v="Other UW Reason"/>
    <s v="Tiny House.  John is not aware this is ineligible per our guidelines. "/>
    <x v="1"/>
    <s v="Provided research on tiny houses to give some other carriers that maybe could help."/>
    <m/>
    <m/>
    <s v="Patterson"/>
    <m/>
    <m/>
    <n v="1"/>
  </r>
  <r>
    <x v="337"/>
    <s v="Hull Horsham"/>
    <s v="PA"/>
    <s v="Tamika"/>
    <s v="Email"/>
    <s v="Metcoff"/>
    <s v="Norman &amp; Irene"/>
    <x v="52"/>
    <m/>
    <x v="9"/>
    <m/>
    <x v="0"/>
    <x v="2"/>
    <x v="0"/>
    <s v="Active claim"/>
    <s v="Insured wants quotes on increasing Cov A. Agent wants to know if it is okay to increase."/>
    <x v="3"/>
    <s v="Quality risk, get a valid Cov A and quote that. (Insd asking for $20K &amp; 50K)"/>
    <m/>
    <m/>
    <s v="Patterson"/>
    <m/>
    <m/>
    <n v="0"/>
  </r>
  <r>
    <x v="338"/>
    <s v="SCU"/>
    <s v="CO"/>
    <s v="Allison"/>
    <s v="Email"/>
    <s v="Sontonastasi"/>
    <s v="Joan &amp; Kenneth Phillips"/>
    <x v="5"/>
    <s v="Conifer"/>
    <x v="19"/>
    <m/>
    <x v="11"/>
    <x v="2"/>
    <x v="47"/>
    <s v="Occupancy/Use"/>
    <s v="1986 1600 SF airplane hangar used as storage for $250K contents until the insured's home is complete. Gated airport w/fire station. HH goods, nothing commercial or hazardous. Locked building. Roof and cosmetic exclusions. No one else uses."/>
    <x v="3"/>
    <s v="Low exposure, good security, metal building. Great insurance scores."/>
    <s v="Ran insurance score - 780/840"/>
    <m/>
    <s v="Patterson"/>
    <m/>
    <m/>
    <n v="0"/>
  </r>
  <r>
    <x v="339"/>
    <s v="Burns"/>
    <s v="MI"/>
    <s v="Leslie"/>
    <s v="Email"/>
    <s v="Duley"/>
    <s v="John"/>
    <x v="0"/>
    <s v="Newport Beach"/>
    <x v="1"/>
    <m/>
    <x v="0"/>
    <x v="2"/>
    <x v="48"/>
    <s v="Prior loss"/>
    <s v="Condo in CA, not in brush. $300K prior liab loss. Son and friend in dingy that was hit going to insured's yacht. No info on whether son was at fault or negligent."/>
    <x v="0"/>
    <s v="Allowed x-liab. If they want liab, let us know more of the story about son being at fault or negligent.//9/8 more info indicates okay to write premises liability only. No boat or umbrella. // 9/12  another request received to add liab. Sent copy of the 9/8 approval to add prem liab. Discussed w/Rachel and this is not available. I was responding to reasonableness of the request and didn't check forms. Revised terms back to x-liab."/>
    <m/>
    <n v="29"/>
    <s v="Patterson"/>
    <m/>
    <m/>
    <n v="0"/>
  </r>
  <r>
    <x v="340"/>
    <s v="Burns"/>
    <s v="MI"/>
    <s v="Danielle"/>
    <s v="Email"/>
    <s v="Young"/>
    <s v="Warren F"/>
    <x v="53"/>
    <s v="Tulsa"/>
    <x v="30"/>
    <m/>
    <x v="0"/>
    <x v="2"/>
    <x v="49"/>
    <s v="Losses"/>
    <s v="1982 condo w/updates. 3 water losses since 2004. Theft of watch and lost watch losses. PAF excluded.  Insd installed Water Leak Detection System w/shutoff and flowmeter. Repairs made."/>
    <x v="3"/>
    <s v="Excellent ins score, so less concern on any fraud aspect of PAF losses - although we won't cover PAF. Asked for $10K water damage ded for loss that could occur 'til shutoff kicks in. Asked for 10% s/c vs 5% credit."/>
    <m/>
    <m/>
    <s v="Patterson"/>
    <m/>
    <m/>
    <n v="0"/>
  </r>
  <r>
    <x v="341"/>
    <s v="Burns"/>
    <s v="MI"/>
    <s v="Danielle"/>
    <s v="Email"/>
    <s v="Young"/>
    <s v="Warren F"/>
    <x v="53"/>
    <s v="Tulsa"/>
    <x v="30"/>
    <m/>
    <x v="0"/>
    <x v="2"/>
    <x v="49"/>
    <s v="Losses"/>
    <s v="PRIOR REFERRAL. WANT ADDITIONAL COVERAGE A AMOUNT NOW. &quot;1982 condo w/updates. 3 water losses since 2004. Theft of watch and lost watch losses. PAF excluded.  Insd installed Water Leak Detection System w/shutoff and flowmeter. Repairs made.&quot; mp"/>
    <x v="4"/>
    <s v="Given Melissa already underwrote, felt comfortable coverage A increase was ok. MP: &quot;Excellent ins score, so less concern on any fraud aspect of PAF losses - although we won't cover PAF. Asked for $10K water damage ded for loss that could occur 'til shutoff kicks in. Asked for 10% s/c vs 5% credit.&quot;"/>
    <m/>
    <m/>
    <s v="Lazovik"/>
    <m/>
    <m/>
    <n v="0"/>
  </r>
  <r>
    <x v="342"/>
    <s v="Burns"/>
    <s v="MI"/>
    <s v="Jill"/>
    <s v="Email"/>
    <s v="Theobald"/>
    <s v="Matthew"/>
    <x v="54"/>
    <m/>
    <x v="3"/>
    <m/>
    <x v="0"/>
    <x v="3"/>
    <x v="50"/>
    <s v="Cov C &gt;10%"/>
    <s v="Pump and filtration is $20K, pump house is $11K. Okay?"/>
    <x v="4"/>
    <m/>
    <m/>
    <m/>
    <s v="Patterson"/>
    <m/>
    <m/>
    <n v="0"/>
  </r>
  <r>
    <x v="146"/>
    <s v="Burns"/>
    <s v="MI"/>
    <s v="Rachel"/>
    <s v="Email"/>
    <m/>
    <m/>
    <x v="55"/>
    <s v="Sebago"/>
    <x v="6"/>
    <m/>
    <x v="0"/>
    <x v="4"/>
    <x v="51"/>
    <s v="Stand alone other structure"/>
    <s v="They own an expensive dock that comes out of the water in the winter, but their homeowners won't cover the dock. It cost $20k "/>
    <x v="3"/>
    <s v="Confirmed that dock on insured residence/not used by others. Reviewed with LT and agreed to offer x-liab since on same property as HO policy."/>
    <m/>
    <m/>
    <s v="K.Burdine"/>
    <m/>
    <m/>
    <n v="0"/>
  </r>
  <r>
    <x v="343"/>
    <s v="Burns"/>
    <s v="MI"/>
    <s v="Matt"/>
    <s v="Email"/>
    <s v="Healy, Thomas"/>
    <m/>
    <x v="5"/>
    <s v="Columbus"/>
    <x v="31"/>
    <m/>
    <x v="0"/>
    <x v="4"/>
    <x v="52"/>
    <s v="Auto condo"/>
    <s v="2015 auto condo in MN. No alarms. No sleeping quarters."/>
    <x v="3"/>
    <s v="In line with other risks we have had like this, approved on DP form, vacant rate, X-Liability subj to conf of firewalls between units."/>
    <m/>
    <m/>
    <s v="Patterson"/>
    <m/>
    <m/>
    <n v="0"/>
  </r>
  <r>
    <x v="252"/>
    <s v="Burns"/>
    <s v="MI"/>
    <s v="Leslie"/>
    <s v="Email"/>
    <s v="Staudt, Marc/Staudt Storage LLC"/>
    <m/>
    <x v="5"/>
    <s v="Pontiac MI PC3"/>
    <x v="8"/>
    <m/>
    <x v="9"/>
    <x v="4"/>
    <x v="53"/>
    <s v="Auto condo"/>
    <s v="2016 auto condo. Previously reviewed w/Jeff Leone. All issues addressed. $0 liab. Sprinkler, alarm. Prem $1584."/>
    <x v="3"/>
    <s v="Approved subject to acceptable LLC form and confirmation this was quoted as DP3 Vacant."/>
    <s v="Note See guidelines document in S:\Product Management\Property\E&amp;S Property\Brokers\Burns &amp; Wilcox\Rates &amp; Guidelines\Current Rates &amp; UW Guides\Guidelines for Writing Auto Condos in Michigan"/>
    <m/>
    <s v="Patterson"/>
    <m/>
    <m/>
    <n v="0"/>
  </r>
  <r>
    <x v="344"/>
    <s v="Appalachian"/>
    <s v="TN"/>
    <s v="Jared"/>
    <m/>
    <s v="Lupo"/>
    <s v="Thomas &amp; Vincent"/>
    <x v="42"/>
    <s v="West Palm Beach"/>
    <x v="32"/>
    <s v="33415"/>
    <x v="8"/>
    <x v="5"/>
    <x v="54"/>
    <s v="Prior Lapse/NRN"/>
    <s v="1974 condo. Mtg co has now required an HO6 policy . Good ins score. No losses. Getting SNL"/>
    <x v="3"/>
    <s v="Ok with lapse surcharge. Reason makes sense."/>
    <m/>
    <m/>
    <s v="Patterson"/>
    <m/>
    <m/>
    <n v="0"/>
  </r>
  <r>
    <x v="255"/>
    <s v="Burns"/>
    <s v="MI"/>
    <s v="Ben"/>
    <s v="Email"/>
    <s v="Christian, Nathaniel"/>
    <m/>
    <x v="56"/>
    <s v="Maple Plain MN  PC5"/>
    <x v="31"/>
    <m/>
    <x v="2"/>
    <x v="5"/>
    <x v="55"/>
    <s v="Auto condo"/>
    <s v="2007 auto storage condo in Minnesota. Website looks okay, but different than Pontiac auto condos - I see no indication of living facilities. No burglar alarm - only $10K contents. Has SC fire. Wants liability."/>
    <x v="3"/>
    <s v="Approved on a DP vacant policy X-liab w/confirmation of firewalls."/>
    <m/>
    <m/>
    <s v="Patterson"/>
    <m/>
    <m/>
    <n v="0"/>
  </r>
  <r>
    <x v="166"/>
    <s v="SCU"/>
    <s v="CO"/>
    <s v="Allison"/>
    <s v="Email"/>
    <s v="Tatton"/>
    <s v="Rhett &amp; Andrea"/>
    <x v="57"/>
    <s v="Park City"/>
    <x v="22"/>
    <m/>
    <x v="0"/>
    <x v="6"/>
    <x v="56"/>
    <s v="Occupancy"/>
    <s v="Condo that is allowed to be rented for 1 night. Will we allow?  2007 risk."/>
    <x v="1"/>
    <s v="If it is primarily rented 2 nights and 1 night is just to fill a few openings, we could consider. (95% 2 nights pretty good). Otherwise, if open to 1 night always, we should decline.// Primarily 1 night rental - listed that way on AirBnB site per Allison. Declined."/>
    <m/>
    <m/>
    <s v="Patterson"/>
    <m/>
    <m/>
    <n v="1"/>
  </r>
  <r>
    <x v="345"/>
    <s v="Burns"/>
    <s v="MI"/>
    <s v="Jeffrey"/>
    <s v="Email"/>
    <s v="Kroon, Debra"/>
    <m/>
    <x v="58"/>
    <s v="Yosemite West CA PC10"/>
    <x v="3"/>
    <m/>
    <x v="0"/>
    <x v="7"/>
    <x v="57"/>
    <s v="PC10"/>
    <s v="1974 condo w/updated roof. Seasonal rental. PC10 paved, year round access. 29 minute response."/>
    <x v="4"/>
    <s v="Sprinkler and alarm system in building. Lower limits."/>
    <m/>
    <m/>
    <s v="Patterson"/>
    <m/>
    <m/>
    <n v="0"/>
  </r>
  <r>
    <x v="153"/>
    <s v="Hull Horsham"/>
    <s v="PA"/>
    <s v="Andrea"/>
    <s v="Email"/>
    <s v="Thrall"/>
    <s v="Thomas"/>
    <x v="59"/>
    <s v="Atlantic City"/>
    <x v="9"/>
    <m/>
    <x v="0"/>
    <x v="8"/>
    <x v="52"/>
    <s v="Policy form"/>
    <s v="Agent inquiring if 2 condo units in a multi-unit building can be together on one policy or separate. They've been on an HO-6 together. "/>
    <x v="3"/>
    <s v="Need new apps with all info completed and update info."/>
    <m/>
    <n v="14"/>
    <s v="Patterson"/>
    <m/>
    <m/>
    <n v="0"/>
  </r>
  <r>
    <x v="346"/>
    <s v="Burns"/>
    <s v="MI"/>
    <s v="Nicole"/>
    <m/>
    <s v="Tabor"/>
    <s v="Cecilia"/>
    <x v="42"/>
    <s v="Lake Geneva"/>
    <x v="33"/>
    <s v="53147"/>
    <x v="0"/>
    <x v="9"/>
    <x v="58"/>
    <s v="Other UW Reason"/>
    <s v="1980 year built condo. Condo is a caboose. It is part of a line of condos all built from a train. This is a seasonal condo for the applicant. Roof is membrane with sealant. Referral states caboose is stationary, and looking online it confirms that they are all permanently parked at the location. "/>
    <x v="4"/>
    <s v="Approved terms. Comfortable with risk since it is a condo, otherwise roof would've been a concern. Condition appears to be good on this risk and all the others that are there. "/>
    <m/>
    <m/>
    <s v="Busse"/>
    <m/>
    <m/>
    <n v="0"/>
  </r>
  <r>
    <x v="347"/>
    <s v="Burns"/>
    <s v="MI"/>
    <s v="Nicole"/>
    <m/>
    <s v="Helms"/>
    <s v="Zach"/>
    <x v="2"/>
    <s v="Wichita"/>
    <x v="28"/>
    <s v="67216"/>
    <x v="9"/>
    <x v="10"/>
    <x v="59"/>
    <s v="Heat Source"/>
    <s v="1952 year built with no indication of any system updates to the dwelling. Primary heat source is a wall furnace that is not thermostatically controlled."/>
    <x v="1"/>
    <s v="Declined risk given no known updates of systems and a heat source that is not thermostatically controlled. "/>
    <m/>
    <m/>
    <s v="Busse"/>
    <m/>
    <m/>
    <n v="1"/>
  </r>
  <r>
    <x v="241"/>
    <s v="Burns"/>
    <s v="MI"/>
    <s v="Ben"/>
    <s v="Call"/>
    <s v="Brockman, Nancy"/>
    <m/>
    <x v="60"/>
    <m/>
    <x v="3"/>
    <m/>
    <x v="0"/>
    <x v="10"/>
    <x v="60"/>
    <s v="$50K Contents"/>
    <s v="1964 condo fully updated. Ben says guidelines indicate $50K would be a referral. "/>
    <x v="4"/>
    <s v="Updated the UW guidelines so this does not have to be referred in the future. Advised Bill &amp; Donna via email."/>
    <m/>
    <m/>
    <s v="Patterson"/>
    <m/>
    <m/>
    <n v="0"/>
  </r>
  <r>
    <x v="348"/>
    <s v="Burns"/>
    <s v="MI"/>
    <s v="David"/>
    <s v="Email"/>
    <s v="Chulu"/>
    <s v="Valerie"/>
    <x v="42"/>
    <s v="Urbandale"/>
    <x v="34"/>
    <m/>
    <x v="9"/>
    <x v="11"/>
    <x v="61"/>
    <s v="Business on Premises"/>
    <s v="Daycare in home, GL policy in place, "/>
    <x v="3"/>
    <s v="subject to the applicant maintaining a GL policy on the daycare exposure and the quote including the Total Business Exclusion. Also, since there was a lapse in coverage since 11/30/2017, please quote a $2500 deductible and obtain a signed no loss letter prior to binding."/>
    <m/>
    <m/>
    <s v="Burdine"/>
    <m/>
    <m/>
    <n v="0"/>
  </r>
  <r>
    <x v="58"/>
    <s v="Burns"/>
    <s v="MI"/>
    <s v="Delta"/>
    <s v="Email"/>
    <s v="Lawrence, David"/>
    <m/>
    <x v="37"/>
    <s v="Burbank"/>
    <x v="1"/>
    <m/>
    <x v="11"/>
    <x v="12"/>
    <x v="62"/>
    <s v="High profile"/>
    <s v="Insured is TV actor. No concern with lifestyle. Low cov A, modest condo. Liab not a concern. Not in brush. 3 prior water losses under $5K. $5K water damage ded quoted."/>
    <x v="4"/>
    <m/>
    <m/>
    <m/>
    <s v="Patterson"/>
    <m/>
    <m/>
    <n v="0"/>
  </r>
  <r>
    <x v="235"/>
    <s v="SCU"/>
    <s v="CO"/>
    <s v="Allison"/>
    <s v="Email"/>
    <s v="Coleman, Nick"/>
    <m/>
    <x v="2"/>
    <s v="Grand Junction CO PC2"/>
    <x v="3"/>
    <m/>
    <x v="0"/>
    <x v="13"/>
    <x v="63"/>
    <s v="Yurt"/>
    <s v="We are not a market for Yurts. Advised Allison I found a NY and Hawaii Company - Midrox.  None in Colorado.  I checked w/friend at Farmers/Foremost and they don't do Yurts."/>
    <x v="1"/>
    <m/>
    <m/>
    <m/>
    <s v="Patterson"/>
    <m/>
    <m/>
    <n v="1"/>
  </r>
  <r>
    <x v="349"/>
    <s v="SCU"/>
    <s v="CO"/>
    <s v="Allison"/>
    <s v="Email"/>
    <s v="Muir"/>
    <s v="Chris"/>
    <x v="5"/>
    <s v="La Pine"/>
    <x v="35"/>
    <m/>
    <x v="2"/>
    <x v="14"/>
    <x v="52"/>
    <s v="Other UW Reason"/>
    <s v="Framed, vacant shed on land in OR. Insured will be living in RV while looking for house (moving from TX to OR). Once they have a home, the RV will go into the shed and the coverage will be dropped as the homeowners coverage will cover the shed then."/>
    <x v="4"/>
    <s v="Excellent risk. PC 5 means fire may be mitigate, but likely will lose it. No plumbing or electricity for perils. Shed seems to be in good condition based on limited pictures online."/>
    <m/>
    <m/>
    <s v="Lazovik"/>
    <m/>
    <m/>
    <n v="0"/>
  </r>
  <r>
    <x v="350"/>
    <s v="SCU"/>
    <s v="CO"/>
    <s v="Allison"/>
    <s v="Email"/>
    <s v="Cruse"/>
    <s v="Toby"/>
    <x v="42"/>
    <s v="Silverthorne"/>
    <x v="19"/>
    <m/>
    <x v="8"/>
    <x v="14"/>
    <x v="1"/>
    <s v="Prior Lapse/NRN"/>
    <s v="Insured purchased in 12/2017 but failed to get insurance (too busy with work). Written through top agency, surcharged 10%, will do interior inspection and no loss letter"/>
    <x v="4"/>
    <s v="Approved as quoted"/>
    <m/>
    <m/>
    <s v="Burdine"/>
    <m/>
    <m/>
    <n v="0"/>
  </r>
  <r>
    <x v="232"/>
    <s v="Burns"/>
    <s v="MI"/>
    <s v="Ben"/>
    <s v="Email"/>
    <s v="2002 Werklund Family Trust"/>
    <m/>
    <x v="21"/>
    <s v="Kihei, HI"/>
    <x v="3"/>
    <m/>
    <x v="0"/>
    <x v="14"/>
    <x v="64"/>
    <s v="Rate reduction"/>
    <s v="2006 seasonal condo near coast. Has 10% wind/hail ded. Agent asking us to match Scottsdales expiring $1988 with 2% ded. "/>
    <x v="4"/>
    <s v="Referred to Jeff with my recommendation to approve. No AAL rating in Hawaii. "/>
    <s v="Jeff ok'd. This is a roll and we are getting almost 4x our current rate."/>
    <m/>
    <s v="Patterson"/>
    <m/>
    <m/>
    <n v="0"/>
  </r>
  <r>
    <x v="243"/>
    <s v="Burns"/>
    <s v="MI"/>
    <s v="Ben"/>
    <s v="Email"/>
    <s v="86 Real Estate"/>
    <m/>
    <x v="5"/>
    <s v="Pontiac MI"/>
    <x v="3"/>
    <m/>
    <x v="0"/>
    <x v="14"/>
    <x v="65"/>
    <s v="Auto condo"/>
    <s v="2016 auto condo. Previously reviewed w/Jeff Leone. All issues addressed. $0 liab. "/>
    <x v="3"/>
    <s v="Approved subject to determining, is the 1 or 2 condos (notes say insd bought 2). Need pricing - Verify occupancy. Is this HO6 Seas or DP3 Vacant"/>
    <s v="$1387. No debit applied per Jeff. DP3 Vacant."/>
    <m/>
    <s v="Patterson"/>
    <m/>
    <m/>
    <n v="0"/>
  </r>
  <r>
    <x v="351"/>
    <s v="SCU"/>
    <s v="CO"/>
    <s v="Allison"/>
    <m/>
    <s v="Keith"/>
    <s v="Patrick"/>
    <x v="0"/>
    <s v="Bailey"/>
    <x v="19"/>
    <n v="80421"/>
    <x v="5"/>
    <x v="14"/>
    <x v="47"/>
    <s v="Prior Lapse/NRN"/>
    <s v="Two log cabinson the property. A woodstove is the primary heat source. One home was built in 1996 and the other in 2015. Soary power only, no plumbing except a 525 gallon cistern.  Cabins never insured but wants coverage now."/>
    <x v="3"/>
    <s v="IS is excellent. Never had a mortgage on either building - is a veterinarian that travels around quite a bit. Log cabins are &quot;off the grid&quot; with not a lot of exposure. Winterizes cabins when gone in the winter. Fully accessible (PC4) and relatively low value."/>
    <m/>
    <m/>
    <s v="Lazovik"/>
    <m/>
    <m/>
    <n v="0"/>
  </r>
  <r>
    <x v="188"/>
    <s v="Burns"/>
    <s v="CA"/>
    <s v="Rachel"/>
    <s v="Email"/>
    <s v="JTB &amp; COS PROPERTIES, L.L.C."/>
    <s v=" "/>
    <x v="16"/>
    <m/>
    <x v="22"/>
    <m/>
    <x v="5"/>
    <x v="14"/>
    <x v="66"/>
    <s v="Content Limit"/>
    <s v="Attached is a seasonal home for the above applicant located in UT. Home was built in 2000, no updates. It is built of 100% frame construction. PC4. No losses. $350,000 in contents"/>
    <x v="3"/>
    <s v="however due to the higher contents limit and no burglar alarm in the home a $10K theft deductible will be required."/>
    <m/>
    <m/>
    <s v="Burdine"/>
    <m/>
    <m/>
    <n v="0"/>
  </r>
  <r>
    <x v="74"/>
    <s v="Burns"/>
    <s v="MI"/>
    <s v="Jill"/>
    <s v="Email"/>
    <s v="Doris Pike Guthrie TX Trust"/>
    <m/>
    <x v="2"/>
    <s v="Concan"/>
    <x v="23"/>
    <m/>
    <x v="6"/>
    <x v="14"/>
    <x v="67"/>
    <s v="Open Claim"/>
    <s v="206 rental home. Loss 8/19/16 5 yr old child drowned in insured's pool - was a guest of the renter - parents failed to supervise the child. Nothing paid, reserves $605,000. No liab requested."/>
    <x v="4"/>
    <m/>
    <m/>
    <m/>
    <s v="Patterson"/>
    <m/>
    <m/>
    <n v="0"/>
  </r>
  <r>
    <x v="352"/>
    <s v="Burns"/>
    <s v="MI"/>
    <s v="Danielle"/>
    <s v="Email"/>
    <s v="Oh, Colin"/>
    <m/>
    <x v="37"/>
    <s v="Los Angeles CA PC2"/>
    <x v="3"/>
    <m/>
    <x v="0"/>
    <x v="15"/>
    <x v="68"/>
    <s v="High profile"/>
    <s v="2007 primary condo. Insured had 2 prior water losses in 2015 and was nrn'd by State Farm. He is a cinematographer. No adverse information online and &quot;not too famous&quot;.  Extremely low per RM. Negligible per FireLine."/>
    <x v="4"/>
    <m/>
    <m/>
    <m/>
    <s v="Patterson"/>
    <m/>
    <m/>
    <n v="0"/>
  </r>
  <r>
    <x v="308"/>
    <s v="SCU"/>
    <s v="CO"/>
    <s v="Allison"/>
    <s v="Email"/>
    <s v="Stan &amp; Linda Mannschreck"/>
    <m/>
    <x v="61"/>
    <s v="Grand Lake "/>
    <x v="19"/>
    <m/>
    <x v="3"/>
    <x v="16"/>
    <x v="69"/>
    <s v="Stand alone other structure"/>
    <s v="2016 frame built, nice pics, 868 sq ft, This is a utility shed/garage only.  primary home is 1.3 miles away. only a utility trailer and ATV’s stored in there (insured on an auto pol).   visited about 2 times a month.  It has locks, security lights, and a cell phone monitored alarm.  "/>
    <x v="4"/>
    <s v="Good condition. Frequent visitation and well monitored/secured"/>
    <m/>
    <m/>
    <s v="Burdine"/>
    <m/>
    <m/>
    <n v="0"/>
  </r>
  <r>
    <x v="353"/>
    <s v="Burns"/>
    <s v="MI"/>
    <s v="Jill"/>
    <s v="Email"/>
    <s v="Becker"/>
    <s v="Michael"/>
    <x v="62"/>
    <s v="O'Fallon"/>
    <x v="36"/>
    <m/>
    <x v="4"/>
    <x v="17"/>
    <x v="63"/>
    <s v="PC"/>
    <s v="Storage shed in rural setting with 17 minute response time on a PC 10. "/>
    <x v="1"/>
    <s v="Even with a DP1, the response time and PC combined make the risk unpalatable."/>
    <m/>
    <m/>
    <s v="Lazovik"/>
    <m/>
    <m/>
    <n v="1"/>
  </r>
  <r>
    <x v="124"/>
    <s v="Burns"/>
    <s v="MI"/>
    <s v="Jill"/>
    <s v="Email"/>
    <s v="Trevithick, Karla"/>
    <m/>
    <x v="54"/>
    <s v="Hayden"/>
    <x v="19"/>
    <m/>
    <x v="4"/>
    <x v="17"/>
    <x v="70"/>
    <s v="PC10"/>
    <s v="2016 masonry structure only. 14 min response time. FD is 5.8 miles away. Not paved but accessible, visible. Pond freezes over but there are tankers and a well."/>
    <x v="4"/>
    <m/>
    <m/>
    <m/>
    <s v="Patterson"/>
    <m/>
    <m/>
    <n v="0"/>
  </r>
  <r>
    <x v="279"/>
    <s v="Burns"/>
    <s v="MI"/>
    <s v="Ben"/>
    <s v="Email"/>
    <s v="Paden, Diane"/>
    <m/>
    <x v="37"/>
    <s v="Mesa"/>
    <x v="7"/>
    <m/>
    <x v="9"/>
    <x v="17"/>
    <x v="71"/>
    <s v="8 claims"/>
    <s v="1982 frame condo with 7 water claims and 1 liab claim. 4 water claims are the insureds. Others, she was advised by her agent to file when a neighbor had a loss. There is one liab claim with $0 paid. Agent proposes $5K water dmg ded."/>
    <x v="3"/>
    <s v="Agreed to proceed w/Water Damage Excl (would need to be added to Burns forms), no mold coverage, verification of the liab loss. No additional s/c to the 4 claim s/c because we are eliminating our exposure w/the exclusion.  Per Ben 10/12, the liab loss was the neighbors too."/>
    <m/>
    <m/>
    <s v="Patterson"/>
    <m/>
    <m/>
    <n v="0"/>
  </r>
  <r>
    <x v="354"/>
    <s v="SCU"/>
    <s v="CO"/>
    <s v="Allison"/>
    <s v="Email"/>
    <s v="Nelson, Mike"/>
    <m/>
    <x v="5"/>
    <s v="Nunn CO"/>
    <x v="3"/>
    <m/>
    <x v="0"/>
    <x v="17"/>
    <x v="1"/>
    <s v="Dwelling is other structure"/>
    <s v="Insured has a pole barn w/no windows used to store his belongings as he travels most of the month.  $50K contents. Agent applied 10% theft ded which we previously discussed. In rural area, locked."/>
    <x v="4"/>
    <s v="Comfortable with lower value."/>
    <m/>
    <m/>
    <s v="Patterson"/>
    <m/>
    <m/>
    <n v="0"/>
  </r>
  <r>
    <x v="355"/>
    <s v="XS Brokers"/>
    <s v="MA"/>
    <s v="Sean"/>
    <s v="Email"/>
    <s v="Beauregard"/>
    <s v="Donald K &amp; Antonietta"/>
    <x v="0"/>
    <s v="Wellfleet"/>
    <x v="21"/>
    <m/>
    <x v="0"/>
    <x v="18"/>
    <x v="72"/>
    <s v="Occupancy/Use"/>
    <s v="Agent inquiring if a mobile home on blocks qualifies for an HO-3."/>
    <x v="1"/>
    <s v="Advised of our position - once a MH always a MH"/>
    <m/>
    <m/>
    <s v="Patterson"/>
    <m/>
    <m/>
    <n v="1"/>
  </r>
  <r>
    <x v="356"/>
    <s v="SCU"/>
    <s v="CO"/>
    <s v="Allison"/>
    <s v="Email"/>
    <s v="Gruenberger, Michael"/>
    <m/>
    <x v="5"/>
    <s v="Vacant Prop CO PC9"/>
    <x v="3"/>
    <m/>
    <x v="0"/>
    <x v="19"/>
    <x v="73"/>
    <s v="Oth Str as Covg A"/>
    <s v="Used for camping and storage. Plan to build there in 2-3 years. FD 3 miles. Yr rnd access."/>
    <x v="4"/>
    <s v="Approved w/$100K A (exception ok'd by Jeff) and $75K C with a $50K theft deductible. Asked for exclusion Keep prem around $1350."/>
    <m/>
    <m/>
    <s v="Patterson"/>
    <m/>
    <m/>
    <n v="0"/>
  </r>
  <r>
    <x v="116"/>
    <s v="SCU"/>
    <s v="CO"/>
    <s v="Allison"/>
    <s v="Email"/>
    <s v="VonDreele, Jim"/>
    <m/>
    <x v="63"/>
    <m/>
    <x v="3"/>
    <m/>
    <x v="0"/>
    <x v="20"/>
    <x v="0"/>
    <s v="Other structure only"/>
    <s v="2000 barn w/ office. Insuring just the barn and liability Insd will be living on the property with their motor home. 22 acres. Fenced, gated driveway. Agent charging $1500 min prem."/>
    <x v="4"/>
    <m/>
    <m/>
    <m/>
    <s v="Patterson"/>
    <m/>
    <m/>
    <n v="0"/>
  </r>
  <r>
    <x v="357"/>
    <s v="Burns"/>
    <s v="MI"/>
    <s v="Nicole"/>
    <m/>
    <s v="Boseman"/>
    <s v="Keith"/>
    <x v="4"/>
    <s v="Crossett"/>
    <x v="37"/>
    <n v="71635"/>
    <x v="4"/>
    <x v="20"/>
    <x v="74"/>
    <s v="PC"/>
    <s v="Home built in 1982 and is on stilts. Metal roof. Partial updates to wiring in 2018 and plumbing and heating in 2016. The roof was completely replaced by 2010. Primary heat is infrared gas heaters which are not rated for residential use"/>
    <x v="1"/>
    <s v="Infrared heaters are not rated for residential use but mostly in commercial settings. Also a PC 10 with 20 minutes response time."/>
    <m/>
    <m/>
    <s v="Lazovik"/>
    <m/>
    <m/>
    <n v="1"/>
  </r>
  <r>
    <x v="258"/>
    <s v="Burns"/>
    <s v="MI"/>
    <s v="Ben"/>
    <s v="Email"/>
    <s v="Li, Jing"/>
    <m/>
    <x v="11"/>
    <s v="Indianapolis "/>
    <x v="17"/>
    <m/>
    <x v="8"/>
    <x v="20"/>
    <x v="60"/>
    <s v="Daycare in home"/>
    <s v="1953 home updated. Tenant will have in home daycare. They carry a GL. Can we include $500K liability."/>
    <x v="3"/>
    <s v="I approved subject to meeting the guidelines Burns follows today - licensed for no more than 5 children. DL 24 16 Daycare exclusion applies."/>
    <m/>
    <m/>
    <s v="Patterson"/>
    <m/>
    <m/>
    <n v="0"/>
  </r>
  <r>
    <x v="358"/>
    <s v="Burns"/>
    <s v="MI"/>
    <s v="Jill"/>
    <s v="Email"/>
    <s v="Herzog, Michael"/>
    <m/>
    <x v="64"/>
    <s v="Omaha"/>
    <x v="38"/>
    <m/>
    <x v="3"/>
    <x v="20"/>
    <x v="75"/>
    <s v="No heat"/>
    <s v="Frame, secondary, built in 1950/updated, new purchase, rated as PC6 , no heat; active policy BWH107552-3983205, no heat not disclosed but discovered during inspection"/>
    <x v="3"/>
    <s v="Home is winterized, not in use in winter (Seasonal in warmer months only). Piping updated in 2008; subject to 10% surcharge since not disclosed at rating and requested rewritten to a DP3 form if not already"/>
    <m/>
    <m/>
    <s v="Burdine"/>
    <m/>
    <m/>
    <n v="0"/>
  </r>
  <r>
    <x v="67"/>
    <s v="Burns"/>
    <s v="MI"/>
    <s v="Leslie"/>
    <s v="Email"/>
    <s v="Smalling, Gerald"/>
    <m/>
    <x v="0"/>
    <s v="Taos"/>
    <x v="15"/>
    <m/>
    <x v="12"/>
    <x v="20"/>
    <x v="76"/>
    <s v="Business in home"/>
    <s v="2010 condo part living, part business-sectioned off w/separate entrance. Chiropractor w/8-10 clients per day. Prof liab in place. Liab and In-home business liability requested."/>
    <x v="3"/>
    <s v="X-Liability, X-in home business liab; add Total Business Excl-discuss implications w/insured."/>
    <m/>
    <m/>
    <s v="Patterson"/>
    <m/>
    <m/>
    <n v="0"/>
  </r>
  <r>
    <x v="302"/>
    <s v="Burns"/>
    <s v="MI"/>
    <s v="Ben"/>
    <s v="Email"/>
    <s v="Rios, Angel"/>
    <m/>
    <x v="0"/>
    <s v="Batesville"/>
    <x v="37"/>
    <m/>
    <x v="8"/>
    <x v="20"/>
    <x v="77"/>
    <s v="Business on premises"/>
    <s v="1975 frame home updated. Insured sets up food truck on weekends in driveway. 30 customers all weekend. No GL policy. No liability quoted."/>
    <x v="0"/>
    <s v="• We are unable to find good online photos.  Do you have a recent inspection or photos?  (We have a concern with the condition of a home with a $75,000 Cov A.)_x000a_• App indicates updates completed in 2016 and 2005.  Were these full or partial updates?_x000a_• How far is the food truck parked away from the home?_x000a_• Is there cooking conducted?  What is the source of fuel for cooking?  Where is it stored? _x000a_• Is there a fire extinguisher in or outside of the food truck?_x000a_• If we do proceed, it would be subject to the Total Business Exclusion.  _x000a_"/>
    <s v="Home updated, looks okay. 20' from home w/propane tank for cooking and FE. Approved subj to no liab (as quoted-front steps a concern, outside fridge and chest freezer a concern). Total Biz Excl."/>
    <m/>
    <m/>
    <m/>
    <m/>
    <n v="0"/>
  </r>
  <r>
    <x v="348"/>
    <s v="Burns"/>
    <s v="MI"/>
    <s v="Jill"/>
    <s v="Email"/>
    <s v="Anders"/>
    <s v="Rhonda Moss"/>
    <x v="0"/>
    <s v="Poplar Bluffs"/>
    <x v="36"/>
    <m/>
    <x v="5"/>
    <x v="20"/>
    <x v="78"/>
    <s v="Business on Premises"/>
    <s v="1978 home. Online pics look ok.  Has 7 children. 5 is limit in program. $100K liab."/>
    <x v="3"/>
    <s v="Must apply TBE and get a GL. If not GL, X liab ok with TBE. Doesn't qualify for Burns in home daycare program."/>
    <m/>
    <m/>
    <s v="Patterson"/>
    <m/>
    <m/>
    <n v="0"/>
  </r>
  <r>
    <x v="306"/>
    <s v="Burns"/>
    <s v="MI"/>
    <s v="Danielle"/>
    <s v="Email"/>
    <s v="Rapoport, Ronald"/>
    <m/>
    <x v="37"/>
    <s v="Santa Monica"/>
    <x v="1"/>
    <m/>
    <x v="9"/>
    <x v="20"/>
    <x v="79"/>
    <s v="High profile"/>
    <s v="Insured is a writer/journalist. Online search not concerning. Had prior loss 3.14.16 pipe burst in adj unit $5K. State Farm nrn per app-no info about why."/>
    <x v="3"/>
    <s v="Approve subj to acceptable reason for NRN."/>
    <m/>
    <m/>
    <s v="Patterson"/>
    <m/>
    <m/>
    <n v="0"/>
  </r>
  <r>
    <x v="68"/>
    <s v="Burns"/>
    <s v="MI"/>
    <s v="Delta"/>
    <s v="Email"/>
    <s v="Sher, Edward &amp; Mona"/>
    <m/>
    <x v="65"/>
    <s v="Las Vegas "/>
    <x v="39"/>
    <m/>
    <x v="17"/>
    <x v="20"/>
    <x v="80"/>
    <s v="Vacant Condo"/>
    <s v="1974 home fully updated. Burns had insured. Then moved to AIG who is hassling them assuming this is under reno. Per insd, they purchased this unit above theirs.  There is no reno. They are mad at AIG."/>
    <x v="4"/>
    <m/>
    <m/>
    <m/>
    <s v="Patterson"/>
    <m/>
    <m/>
    <n v="0"/>
  </r>
  <r>
    <x v="176"/>
    <s v="Burns"/>
    <s v="MI"/>
    <s v="Delta"/>
    <s v="Email"/>
    <s v="Jayjack"/>
    <s v="Andrew"/>
    <x v="16"/>
    <m/>
    <x v="40"/>
    <m/>
    <x v="4"/>
    <x v="21"/>
    <x v="81"/>
    <s v="PC 10"/>
    <s v="Attached is a secondary risk located in OH. Frame construction, built in 2000, PC10, 14-18 min drive time, no alarms, no losses. The company they currently have coverage with is no longer writing in OH."/>
    <x v="4"/>
    <s v="Online photos and PCQ Ok. OK with possible 18 min drive time since to lower value"/>
    <m/>
    <m/>
    <s v="Burdine"/>
    <m/>
    <m/>
    <n v="0"/>
  </r>
  <r>
    <x v="359"/>
    <s v="JM Wilson"/>
    <s v="MI"/>
    <s v="John"/>
    <m/>
    <s v="Pruitt"/>
    <s v="Patricia"/>
    <x v="0"/>
    <s v="Crawfordsville"/>
    <x v="37"/>
    <s v="72327"/>
    <x v="3"/>
    <x v="22"/>
    <x v="82"/>
    <s v="Builders Risk"/>
    <s v="1964 year built, listed updates 2008-2011 for all systems and roof. Replacing siding, windows, and a porch. Completion date is September 2019? Replacement cost of property is $153k, but market value and desired Cov A is $77k. Agent advised home is in &quot;fairly rough shape&quot;."/>
    <x v="1"/>
    <s v="Too many red flags - far completion date for what seems to be little work, market value vs replacement cost, agent advised in rough shape. Insured is also on disability and asking for monthly installments. Due to all factors we are declining. "/>
    <m/>
    <m/>
    <s v="Busse"/>
    <m/>
    <m/>
    <n v="1"/>
  </r>
  <r>
    <x v="287"/>
    <s v="Hull CO"/>
    <s v="Horsham"/>
    <s v="Tamika"/>
    <s v="Call"/>
    <s v="Houghton Lake Risk"/>
    <m/>
    <x v="21"/>
    <s v="Houghton Lake"/>
    <x v="8"/>
    <m/>
    <x v="0"/>
    <x v="23"/>
    <x v="0"/>
    <m/>
    <s v="600 SF home on shore of Houghton Lake purchased for $112,000. RC coming in at $80,000. Can we help?"/>
    <x v="2"/>
    <s v="Advised Tamika I would run insurance score to rule out any moral hazard. Also need to see if we can allow them to write a risk in Michigan. This is for one of their offices in Michigan."/>
    <m/>
    <m/>
    <s v="Patterson"/>
    <m/>
    <m/>
    <n v="0"/>
  </r>
  <r>
    <x v="360"/>
    <s v="SCU"/>
    <s v="CO"/>
    <s v="Allison"/>
    <s v="Email"/>
    <s v="Altz, George"/>
    <m/>
    <x v="21"/>
    <s v="Silverthorne CO PC10"/>
    <x v="3"/>
    <m/>
    <x v="0"/>
    <x v="23"/>
    <x v="74"/>
    <s v="PC10"/>
    <s v="1960 log cabin w/no utilities. Primary use woodstove. Online photos show a scrubby cabin in the weeds and woods. This is brush zone. 30-55 minute response time seasonally. Reviewed w/Jeff"/>
    <x v="1"/>
    <m/>
    <m/>
    <m/>
    <s v="Patterson"/>
    <m/>
    <m/>
    <n v="1"/>
  </r>
  <r>
    <x v="114"/>
    <s v="SCU"/>
    <s v="CO"/>
    <s v="Allison"/>
    <s v="Email"/>
    <s v="Hahn "/>
    <s v="Bonnie"/>
    <x v="16"/>
    <s v="Livermore "/>
    <x v="19"/>
    <m/>
    <x v="4"/>
    <x v="23"/>
    <x v="75"/>
    <s v="PC10"/>
    <s v="1986 home w/no plumbing except running water for sink. WBS for heat but pretty much decoration only as it is used 4-6 weeks/year.150' clearance. No online photos. Dirt roads but accessible year round."/>
    <x v="0"/>
    <s v="Get WBS as app states it is for heat.  Inspection determined this is inaccessible year round, brushy, and 60 min response time. Adjusted rate with 50% s/c vs. original 20%."/>
    <m/>
    <m/>
    <s v="Patterson"/>
    <m/>
    <m/>
    <n v="0"/>
  </r>
  <r>
    <x v="361"/>
    <s v="Burns"/>
    <s v="MI"/>
    <s v="Leslie"/>
    <s v="Email"/>
    <s v="Adams, Jay"/>
    <m/>
    <x v="66"/>
    <s v="Cedar City UT PC10"/>
    <x v="3"/>
    <m/>
    <x v="0"/>
    <x v="23"/>
    <x v="72"/>
    <s v="Response time"/>
    <s v="1973 home not accessible year round. 30 min response, roads not paved.  Log home. Space heater."/>
    <x v="1"/>
    <m/>
    <m/>
    <m/>
    <s v="Patterson"/>
    <m/>
    <m/>
    <n v="1"/>
  </r>
  <r>
    <x v="156"/>
    <s v="Burns"/>
    <s v="MI"/>
    <s v="Jill"/>
    <s v="Email"/>
    <s v="Jackson"/>
    <s v="Lakesha"/>
    <x v="0"/>
    <s v="Milwaukee"/>
    <x v="12"/>
    <m/>
    <x v="8"/>
    <x v="23"/>
    <x v="83"/>
    <s v="Daycare"/>
    <s v="1919 home minor updates, roof exclusion, no losses. Lapse since 7/13/17. Daycare for 8 kids. May be getting GL. Consider with liab and TBE."/>
    <x v="1"/>
    <s v="Due to lapse. (Also advised Jill of concern with insurance score. Adverse information)"/>
    <s v="Score under 600 with judgements and collections"/>
    <n v="28"/>
    <s v="Patterson"/>
    <m/>
    <m/>
    <n v="1"/>
  </r>
  <r>
    <x v="362"/>
    <s v="JM Wilson"/>
    <s v="MI"/>
    <s v="Cheryl"/>
    <m/>
    <s v="Bussell"/>
    <s v="Paul"/>
    <x v="62"/>
    <s v="Atlanta"/>
    <x v="8"/>
    <s v="49709"/>
    <x v="6"/>
    <x v="24"/>
    <x v="84"/>
    <s v="Other UW Reason"/>
    <s v="This is the first stand alone other structure risk that JM Wilson is quoting after we advised we are allowing them. Structure is 250 miles from insured's home. PC 9, pole barn. Insured's occupation is &quot;construction&quot;"/>
    <x v="2"/>
    <s v="Seemed odd that the structure was so far away from the insured's home. Asked for clarification as to why it is so far away and what type of security measures are in place. How often it is checked on and by whom. Regarding the insured's occupation, want to know what is stored in the building, if any employees come to the premises and if there is any construction work done there or any other connection with the insured's work. "/>
    <s v="Received response from JM Wilson advising that they are placing the risk elsewhere because they &quot;didn’t ask as many questions&quot;"/>
    <m/>
    <s v="Busse"/>
    <m/>
    <m/>
    <n v="0"/>
  </r>
  <r>
    <x v="363"/>
    <s v="SCU"/>
    <s v="Colorado"/>
    <s v="Alison"/>
    <s v="Email"/>
    <s v="Behring, Delbert &amp; Delma"/>
    <m/>
    <x v="36"/>
    <s v="Clifton"/>
    <x v="19"/>
    <m/>
    <x v="5"/>
    <x v="25"/>
    <x v="0"/>
    <s v="Business &amp; Lapse"/>
    <s v="Gun repair/customization shop in detached garage. Thought had coverage on primary home as well, but realized didn't so lapse in insurance"/>
    <x v="1"/>
    <s v="Gun shop hazards and too large of a lapse"/>
    <m/>
    <m/>
    <s v="Burdine"/>
    <m/>
    <m/>
    <n v="1"/>
  </r>
  <r>
    <x v="357"/>
    <s v="Burns"/>
    <s v="MI"/>
    <s v="Rachel"/>
    <m/>
    <s v="Markley"/>
    <s v="Howard"/>
    <x v="4"/>
    <s v="Rye"/>
    <x v="19"/>
    <n v="81069"/>
    <x v="4"/>
    <x v="25"/>
    <x v="85"/>
    <s v="PC"/>
    <s v="1945 frame home with full heating, wiring and plumbing updates in 1993. New roof in 2005. Looking for FRC terms. IS was a no hit. There is a 15 minute response time."/>
    <x v="3"/>
    <s v="The CovA does not hit the minimum $100k but this is a cabin in CO which may have lower values. Fire wood pile must be moved and submit evidence that has been done.  Insurance score is a no hit."/>
    <m/>
    <m/>
    <s v="Lazovik"/>
    <m/>
    <m/>
    <n v="0"/>
  </r>
  <r>
    <x v="364"/>
    <s v="Burns"/>
    <s v="MI"/>
    <s v="Jill"/>
    <s v="Email"/>
    <s v="Jackson, Cathy"/>
    <m/>
    <x v="0"/>
    <s v="Holly Ridge"/>
    <x v="11"/>
    <m/>
    <x v="5"/>
    <x v="26"/>
    <x v="86"/>
    <s v="Business in home"/>
    <s v="1939 home unsure of updates. Sign business in home and in garage. Lite traffic. No GL."/>
    <x v="2"/>
    <s v="Additional business questions and info on updates - increased demand."/>
    <m/>
    <m/>
    <s v="Patterson"/>
    <m/>
    <m/>
    <n v="0"/>
  </r>
  <r>
    <x v="365"/>
    <s v="Burns"/>
    <s v="MI"/>
    <s v="Jeff"/>
    <m/>
    <s v="Byrd"/>
    <s v="Richard"/>
    <x v="0"/>
    <s v="Webb City"/>
    <x v="41"/>
    <s v="64870"/>
    <x v="9"/>
    <x v="26"/>
    <x v="87"/>
    <s v="Occupancy/Use"/>
    <s v="1906 commercial building now being used as primary residence. Agt to order insp, EHP, confirm no losses, confirm no coml use, confirm coml neighbor."/>
    <x v="3"/>
    <s v="Asked for confirmation of condition and reno completed. Also need to verify size, covg, Cov A.  Need 100% ITV of ACV or RC."/>
    <s v="Burns consistently states that they do not want to change Cov A until they get the inspection back so they don't have to make changes twice.  "/>
    <m/>
    <s v="Patterson"/>
    <m/>
    <m/>
    <n v="0"/>
  </r>
  <r>
    <x v="248"/>
    <s v="Burns"/>
    <s v="MI"/>
    <s v="Leslie"/>
    <s v="Email"/>
    <s v="Donovan, Deanna"/>
    <m/>
    <x v="11"/>
    <s v="Titusville PA   PC9"/>
    <x v="3"/>
    <m/>
    <x v="0"/>
    <x v="27"/>
    <x v="88"/>
    <s v="Farm property"/>
    <s v="1920 home updated and rented out. Insured also leases land for farming. 2 large barns. Reviewed agt photos and online. Home looks good. Barn looks threadbare and full of hay.  Agt asking to exclude liab but cover home and barns."/>
    <x v="3"/>
    <s v="Approved subject to excluding other structures and liability."/>
    <m/>
    <m/>
    <s v="Patterson"/>
    <m/>
    <m/>
    <n v="0"/>
  </r>
  <r>
    <x v="76"/>
    <s v="Burns"/>
    <s v="MI"/>
    <s v="Delta"/>
    <s v="Email"/>
    <s v="Bartosh, Frank"/>
    <m/>
    <x v="16"/>
    <s v="Carthage"/>
    <x v="36"/>
    <m/>
    <x v="0"/>
    <x v="28"/>
    <x v="89"/>
    <s v="Business on premises"/>
    <s v="1991 frame home. 145 acres - insd bales hay from property as secondary profession. Prim home has auto body and airstrip-insured by Lloyds. Agnt applying Total Business Exclusion."/>
    <x v="3"/>
    <s v="Verify use of Machine Shed noted on app $71,200. If biz equip stored in it, the TBE will exclude covg if a loss occurs from the equip. May need to insure elsewhere. If personal use, okay."/>
    <m/>
    <m/>
    <s v="Patterson"/>
    <m/>
    <m/>
    <n v="0"/>
  </r>
  <r>
    <x v="128"/>
    <s v="Burns"/>
    <s v="MI"/>
    <s v="Alexa"/>
    <s v="Email"/>
    <s v="De LaGarza, Dolores"/>
    <m/>
    <x v="15"/>
    <s v="Laredo "/>
    <x v="23"/>
    <m/>
    <x v="9"/>
    <x v="29"/>
    <x v="90"/>
    <s v="2 dwellings on property"/>
    <s v="Seasonal 2016 home on rear, front home is duplex rented long/short term. Photo condition looks good. Rail missing on rental home deck. Was with Fair Plan."/>
    <x v="3"/>
    <s v="You are approved to release terms with a 50% surcharge on the $1000 rate for a total premium of $1500, subject to:_x000a_• Confirmation that the reason the risk was with Fair Plan was due to coastal exposure and not condition or other concern._x000a_• Front rental home upper level deck appears to be missing a large section of railing.  This must be repaired immediately and proof provided to you._x000a_"/>
    <m/>
    <m/>
    <s v="Patterson"/>
    <m/>
    <m/>
    <n v="0"/>
  </r>
  <r>
    <x v="366"/>
    <s v="Burns"/>
    <s v="MI"/>
    <s v="Leslie"/>
    <s v="Email"/>
    <s v="Guillanme, Beth"/>
    <m/>
    <x v="11"/>
    <s v="Saegertown"/>
    <x v="2"/>
    <m/>
    <x v="0"/>
    <x v="30"/>
    <x v="91"/>
    <s v="No heat source"/>
    <s v="1950 home updated. Has no heart. Occupancy is by insured's aunt for 6 months over the summer. Home is winterized off season. NRN by prior carrier due to prev insured deeding to daughter, our new insured."/>
    <x v="4"/>
    <m/>
    <m/>
    <m/>
    <s v="Patterson"/>
    <m/>
    <m/>
    <n v="0"/>
  </r>
  <r>
    <x v="282"/>
    <s v="Burns"/>
    <s v="MI"/>
    <s v="Delta"/>
    <s v="Email"/>
    <s v="Delaware Valley Concrete"/>
    <m/>
    <x v="2"/>
    <s v="Hatboro "/>
    <x v="2"/>
    <m/>
    <x v="3"/>
    <x v="31"/>
    <x v="92"/>
    <s v="Business on premises"/>
    <s v="1980 home updated in 2000. No alarm, no losses. Shares drive w/Delaware Valley Concrete. Large materials business per internet search. Agent is requesting liability."/>
    <x v="2"/>
    <s v="• Please verify the condition of dwelling and the Cov A.  Value seems very low for RC on a 1200 SF home_x000a_• Please provide sketch of where the dwelling is located in relation to the business buildings, also the driveways_x000a_• Does anything separate the dwelling and business (e.g. fence, wall, etc.)_x000a_• Is the commercial policy for buildings, business contents, and liability maintained by the retail agent_x000a_• Would you have another source for liability if we cannot provide premises liability?_x000a_"/>
    <m/>
    <m/>
    <s v="Patterson"/>
    <m/>
    <m/>
    <n v="0"/>
  </r>
  <r>
    <x v="41"/>
    <s v="Burns"/>
    <s v="MI"/>
    <s v="Jill"/>
    <s v="Email"/>
    <s v="Kemner"/>
    <s v="Kimberly"/>
    <x v="4"/>
    <m/>
    <x v="8"/>
    <m/>
    <x v="4"/>
    <x v="31"/>
    <x v="93"/>
    <s v="PC"/>
    <s v="Frame, secondary, no losses, built in 1956/updated in 2006, located in MI, PC10, not accessible year round"/>
    <x v="3"/>
    <s v="Premium appropriate for exposure, debris in pics so subj to debris removal"/>
    <m/>
    <m/>
    <s v="Burdine"/>
    <m/>
    <m/>
    <n v="0"/>
  </r>
  <r>
    <x v="84"/>
    <s v="SCU"/>
    <s v="CO"/>
    <s v="Allison"/>
    <s v="Email"/>
    <s v="Marchase, Anthony &amp; Cherith"/>
    <m/>
    <x v="21"/>
    <s v="Woodland Park"/>
    <x v="19"/>
    <m/>
    <x v="4"/>
    <x v="32"/>
    <x v="94"/>
    <s v="Response time"/>
    <s v="1912 home/wupdates, MFRC &amp; roof exclusion until roof is replaced. With Allied for 30 years. Allied NRN due to wildfire score. In brush zone. Cabin is 50' behind a lake that can be used by pumper. Has gas furnace in good condition. "/>
    <x v="3"/>
    <s v="Subj to home being winterized off season. Agent applied 10% s/c due to summer use only."/>
    <m/>
    <m/>
    <s v="Patterson"/>
    <m/>
    <m/>
    <n v="0"/>
  </r>
  <r>
    <x v="70"/>
    <s v="Burns"/>
    <s v="MI"/>
    <s v="Leslie"/>
    <s v="Email"/>
    <s v="Buckingham, Gary"/>
    <m/>
    <x v="67"/>
    <s v="Woodland Park"/>
    <x v="19"/>
    <m/>
    <x v="2"/>
    <x v="33"/>
    <x v="95"/>
    <s v="No heat"/>
    <s v="1970 home updated in 2014. Inherited from father who never insured. Insd updated and now wants insd. No heat. Only used in summer. Agt quoted DP1 ACV, 10% SC, 2500 AOP"/>
    <x v="4"/>
    <s v="Verified PPC"/>
    <m/>
    <m/>
    <s v="Patterson"/>
    <m/>
    <m/>
    <n v="0"/>
  </r>
  <r>
    <x v="367"/>
    <s v="Burns"/>
    <s v="MI"/>
    <s v="Jill"/>
    <s v="Email/Call"/>
    <s v="Tarbis, Stacy"/>
    <m/>
    <x v="37"/>
    <s v="Chicago IL PC2"/>
    <x v="3"/>
    <m/>
    <x v="0"/>
    <x v="34"/>
    <x v="96"/>
    <s v="2 water losses"/>
    <s v="$57K fridge line 4/15; $105K sink backup 9/12"/>
    <x v="4"/>
    <s v="Approved subject to $25K ded w/water sensor monitored alarm"/>
    <m/>
    <m/>
    <s v="Patterson"/>
    <m/>
    <m/>
    <n v="0"/>
  </r>
  <r>
    <x v="368"/>
    <s v="Burns"/>
    <s v="MI"/>
    <s v="Leslie"/>
    <m/>
    <s v="Daddy Buck FLP"/>
    <m/>
    <x v="4"/>
    <s v="Canton"/>
    <x v="23"/>
    <s v="75103"/>
    <x v="6"/>
    <x v="34"/>
    <x v="97"/>
    <s v="High Profile"/>
    <s v="1972 year built fully updated in 2009. Applicant is Deion Sanders, pretty high profile retired football player. Has home in FLP with mother and sister to protect his name. Couldn’t find any information on property online. Liability is excluded on the referral from agent. "/>
    <x v="1"/>
    <s v="Overall, the profile of applicant is pretty significant. When searching online, at least 4 different lawsuits/cases were found that involved this applicant and other businesses/organizations that he runs. Also, not necessarily an immediate concern, but questions as to why such a low value and small property for someone with as much wealth as applicant. All of this considered, we are declining. "/>
    <m/>
    <m/>
    <s v="Busse"/>
    <m/>
    <m/>
    <n v="1"/>
  </r>
  <r>
    <x v="91"/>
    <s v="Burns"/>
    <s v="MI"/>
    <s v="Leslie"/>
    <s v="Email"/>
    <s v="Babbs, Carlton &amp; Maia"/>
    <m/>
    <x v="28"/>
    <m/>
    <x v="19"/>
    <m/>
    <x v="4"/>
    <x v="35"/>
    <x v="0"/>
    <s v="Stand alone other structure"/>
    <s v="The insured built a barn in Colorado and they  are looking for  $100K property coverage only with a $5,000 ded.  Response time is 25 minutes.  Insured received a Markel quote from another wholesaler so submitting for review. 2016 barn, vacant DP1 rating. In brush. "/>
    <x v="4"/>
    <s v="Approved at rate quoted"/>
    <s v="Verified rating w/ apples to apples competitor quote and this rate is fine.  $1272 DP3; $750 DP1."/>
    <m/>
    <s v="Patterson"/>
    <m/>
    <m/>
    <n v="0"/>
  </r>
  <r>
    <x v="39"/>
    <s v="Burns"/>
    <s v="MI"/>
    <s v="Leslie"/>
    <s v="Email"/>
    <s v="Estate of Gerald Lind"/>
    <s v="Estate of Gerald Lind"/>
    <x v="5"/>
    <s v="Ganado"/>
    <x v="23"/>
    <m/>
    <x v="2"/>
    <x v="35"/>
    <x v="71"/>
    <s v="Heat Source"/>
    <s v="Infrared heaters mounted to property"/>
    <x v="3"/>
    <s v="Reviewed-very few freezing days in this area, heater will not be needed nor used regularly. 5% surcharge for heat type"/>
    <m/>
    <m/>
    <s v="Burdine"/>
    <m/>
    <m/>
    <n v="0"/>
  </r>
  <r>
    <x v="369"/>
    <s v="Burns"/>
    <s v="MI"/>
    <s v="David"/>
    <s v="Email"/>
    <s v="Weyerich"/>
    <s v="Erin"/>
    <x v="6"/>
    <s v="New Haven"/>
    <x v="36"/>
    <m/>
    <x v="2"/>
    <x v="35"/>
    <x v="71"/>
    <s v="Builders Risk"/>
    <s v="1900 dwelling that was a church, currently a library, being renovated to be a home. Agent says there are updates on systems. Roof is metal from 1968."/>
    <x v="2"/>
    <s v="Numerous questions about updates as there is galvanized plumbing. Roof exclusion. Covg A inadequate. "/>
    <m/>
    <m/>
    <s v="Patterson"/>
    <m/>
    <m/>
    <n v="0"/>
  </r>
  <r>
    <x v="208"/>
    <s v="SCU"/>
    <s v="CO"/>
    <s v="Allison"/>
    <s v="Email"/>
    <s v="Babbs, Carlton &amp; Maia"/>
    <m/>
    <x v="6"/>
    <s v="Walsenburg, CO PC10"/>
    <x v="3"/>
    <m/>
    <x v="0"/>
    <x v="35"/>
    <x v="71"/>
    <s v="standalone structure, builders risk"/>
    <s v="ground-up pole barn construction, 3 month build, PC 10, viewable to neighbors, insured checking every weekend, requested at Dp3; eventually secondary home on prop"/>
    <x v="4"/>
    <s v="approved terms as a builders risk Dp1 (confirmed w/Jeff OK to offer DP1 on barn under construction) on  barn only. Advised should home be constructed would need to resubmit for consideration"/>
    <m/>
    <m/>
    <s v="Burdine"/>
    <m/>
    <m/>
    <n v="0"/>
  </r>
  <r>
    <x v="370"/>
    <s v="Burns"/>
    <s v="MI"/>
    <s v="Rachel"/>
    <s v="Email"/>
    <s v="Vanhorn"/>
    <s v="John"/>
    <x v="2"/>
    <m/>
    <x v="12"/>
    <m/>
    <x v="2"/>
    <x v="35"/>
    <x v="98"/>
    <s v="Business on Premises"/>
    <s v="Home was built in 1980. It is frame construction, no alarms. PC5. No losses. Roof was updated in 2017. The insured owns a painting business. There is a shed on premise that the painting business is operated out of."/>
    <x v="3"/>
    <s v="Subject to TBE, OK with separation/type of business"/>
    <m/>
    <m/>
    <s v="Burdine"/>
    <m/>
    <m/>
    <n v="0"/>
  </r>
  <r>
    <x v="360"/>
    <s v="Burns"/>
    <s v="MI"/>
    <s v="Matt"/>
    <s v="Email"/>
    <s v="Romero, Miguel"/>
    <m/>
    <x v="21"/>
    <s v="Red Feather Lakes CO  PC9"/>
    <x v="3"/>
    <m/>
    <x v="0"/>
    <x v="35"/>
    <x v="99"/>
    <s v="Response time 20-25 mins"/>
    <s v="2016 cabin with hardie board cement siding (virtually fire proof rated). No alarms. FD 2 miles away, but roads are dirt, and team is volunteer, so agent is probably accurate with their 20-25 min response time. Fully accessible, visible to neighbors."/>
    <x v="0"/>
    <s v="Asked for more info on the woodstove. If used in warmer months, may not be as big an issue.  Lower value and hardie cement siding are positives to allow for longer response time."/>
    <s v="Used occasionally in winter.  Water is gravity fed. Always winterized when not in use. Stove is professionally installed. $100K value. FireLine could only do a zip code level match - came in at a 6 (lower end of high)"/>
    <m/>
    <s v="Patterson"/>
    <m/>
    <m/>
    <n v="0"/>
  </r>
  <r>
    <x v="371"/>
    <s v="Burns"/>
    <s v="MI"/>
    <s v="David"/>
    <s v="Email"/>
    <s v="Hein Heritage Trust"/>
    <s v="Hein Heritage Trust"/>
    <x v="62"/>
    <s v="Prescott Valley"/>
    <x v="1"/>
    <m/>
    <x v="4"/>
    <x v="35"/>
    <x v="1"/>
    <s v="Prior Lapse/NRN"/>
    <s v="wood stove and solar panel primary heat source, never had insurance on it, responding fire department over 15 minutes, 482 sq ft, 1982 build, 5 acres with a well, visits about 4 times a year"/>
    <x v="1"/>
    <s v="Too many eligibility concerns"/>
    <m/>
    <m/>
    <s v="Burdine"/>
    <m/>
    <m/>
    <n v="1"/>
  </r>
  <r>
    <x v="372"/>
    <s v="Burns"/>
    <s v="MI"/>
    <s v="Jill"/>
    <s v="Email"/>
    <s v="Chin"/>
    <s v="David"/>
    <x v="0"/>
    <m/>
    <x v="36"/>
    <m/>
    <x v="0"/>
    <x v="35"/>
    <x v="73"/>
    <s v="Business on Premises"/>
    <s v="Zoned commercial, used to be a restaurant but now strictly used as residence. Insured is a handy man so will get a GL policy for that exposure"/>
    <x v="3"/>
    <s v="be sure to include the total business exclusion too. Just in case he does change his mind in the near future; pics of property OK"/>
    <m/>
    <m/>
    <s v="Burdine"/>
    <m/>
    <m/>
    <n v="0"/>
  </r>
  <r>
    <x v="373"/>
    <s v="RPS Covington"/>
    <s v="LA"/>
    <s v="Hillary"/>
    <m/>
    <s v="Rook Enterprise LLC"/>
    <m/>
    <x v="0"/>
    <s v="Theriot "/>
    <x v="0"/>
    <s v="70397"/>
    <x v="4"/>
    <x v="35"/>
    <x v="53"/>
    <s v="PC"/>
    <s v="1990 home w/updated roof. Home on pilings. "/>
    <x v="3"/>
    <s v="Confirmed online this is a frame home. Advised this is below intracoastal, so no wind/hail. Need completed/acceptable PC quest, can't be over 15 min response time."/>
    <m/>
    <m/>
    <s v="Patterson"/>
    <m/>
    <m/>
    <n v="0"/>
  </r>
  <r>
    <x v="290"/>
    <s v="Burns"/>
    <s v="MI"/>
    <s v="Delta"/>
    <s v="Email"/>
    <s v="Brickell, Guy"/>
    <m/>
    <x v="0"/>
    <m/>
    <x v="19"/>
    <m/>
    <x v="14"/>
    <x v="35"/>
    <x v="78"/>
    <s v="No heat/cabin"/>
    <s v="2016 kit log home w/no heat, no plumbing. Has generator. No portable heating, no woodstove. No prev ins as they expected value to be $35 K and it expanded."/>
    <x v="2"/>
    <s v="Asked numerous questions: • What current premium are you coming up with?  I may want to add a slight surcharge._x000a_• When cabin was being built, did insured have typical permits and inspections?_x000a_• Is the house wired electrically?_x000a_• What systems or appliances does the generator power?_x000a_• There are 2 location addresses on the app.  Where is the home located?_x000a_• One of the address is the same as the school where the insured teaches._x000a_"/>
    <m/>
    <m/>
    <s v="Patterson"/>
    <m/>
    <m/>
    <n v="0"/>
  </r>
  <r>
    <x v="374"/>
    <s v="AmWINS"/>
    <s v="SC"/>
    <s v="Kathryn"/>
    <m/>
    <s v="Bates"/>
    <s v="Julie"/>
    <x v="4"/>
    <s v="Cheraw"/>
    <x v="20"/>
    <s v="29520"/>
    <x v="2"/>
    <x v="35"/>
    <x v="100"/>
    <s v="Occupancy/Use"/>
    <s v="1966 home with updates to all systems and roof. Referred due to 82 acres w/2 ponds. No coml, farm, or hunting. "/>
    <x v="3"/>
    <s v="Confirm that home is accessible and location on prop does not impact response time."/>
    <m/>
    <m/>
    <s v="Patterson"/>
    <m/>
    <m/>
    <n v="0"/>
  </r>
  <r>
    <x v="344"/>
    <s v="Appalachian"/>
    <s v="TN"/>
    <s v="Brett"/>
    <m/>
    <s v="Fowler"/>
    <s v="Jennifer &amp; Theresa"/>
    <x v="42"/>
    <s v="Delray Beach"/>
    <x v="32"/>
    <s v="33445"/>
    <x v="5"/>
    <x v="35"/>
    <x v="100"/>
    <s v="Prior Lapse/NRN"/>
    <s v="2005 condo purchased new. Never had coverage. New condo assoc requires it now. Good ins score. Getting SNL"/>
    <x v="3"/>
    <s v="Ok to ask for no losses in last 5 years - seems odd to ask back to 2005. Reason makes sense."/>
    <m/>
    <m/>
    <s v="Patterson"/>
    <m/>
    <m/>
    <n v="0"/>
  </r>
  <r>
    <x v="375"/>
    <s v="SCU"/>
    <s v="CO"/>
    <s v="Allison"/>
    <s v="Email"/>
    <s v="Babbs, Carlton &amp; Maia"/>
    <m/>
    <x v="68"/>
    <s v="Golden"/>
    <x v="19"/>
    <m/>
    <x v="4"/>
    <x v="35"/>
    <x v="100"/>
    <s v="Response time"/>
    <s v="Stand alone other structure built in 2016 is a  barn with some contents. Insd has a builders risk &amp; liab from their primary. Constructing new home on this prop. Company won't cover the Oth Str. 25 min response time. $0.94 rate very strong. Top agent."/>
    <x v="3"/>
    <s v="Subj to no heat or acceptable heat. Turns out there is a low output heater. Advised okay as long as not portable and is thermostatically controlled.  4/26 agreed to remove Vacancy Clause form as insd going there every 2 mos. Neighbor watching, but not weekly inspection. Discussed w/Jeff."/>
    <m/>
    <m/>
    <s v="Patterson"/>
    <m/>
    <m/>
    <n v="0"/>
  </r>
  <r>
    <x v="270"/>
    <s v="Bolton"/>
    <s v="KY"/>
    <s v="Chris"/>
    <s v="Email"/>
    <s v="Brown, Richard"/>
    <m/>
    <x v="0"/>
    <s v="Biloxi"/>
    <x v="16"/>
    <m/>
    <x v="0"/>
    <x v="35"/>
    <x v="100"/>
    <s v="Bankruptcy"/>
    <s v="Insured says bankruptcy due to bank not wanting to refinance home due to motorhome loan so he just told them to take the motorhome back. Info on credit file does not support this. Has score in the 1.50 s/c range. Terrier dog - no other info."/>
    <x v="1"/>
    <s v="Decline due to financial responsibility."/>
    <m/>
    <m/>
    <s v="Patterson"/>
    <m/>
    <m/>
    <n v="1"/>
  </r>
  <r>
    <x v="376"/>
    <s v="Hull Horsham"/>
    <s v="PA"/>
    <s v="Tamika"/>
    <s v="Email"/>
    <s v="Mussi Properties"/>
    <m/>
    <x v="2"/>
    <s v="Bowden"/>
    <x v="26"/>
    <m/>
    <x v="6"/>
    <x v="35"/>
    <x v="101"/>
    <s v="PC"/>
    <s v="2007 2 cabins. PCQ shows 20 min response time and no hydrant. Rated as PC9. Can't find location addr on a map. Can't find address for Witmer VFD online. Rough search shows 16 miles away."/>
    <x v="3"/>
    <s v="Asked agent for proof or rate as PC10 and send back so we can assure rate adequacy.  Current rate is $.66/100 TIV//Revised rating to PC10 makes it .77/100. Agent only rating as 1 family. Advised if the 2 cabins are rented separately, it needs to be 2 family.  If the &quot;property&quot; is rented, it can be 1 family.  Suggested changing to 2 family since it's only 2%."/>
    <m/>
    <m/>
    <s v="Patterson"/>
    <m/>
    <m/>
    <n v="0"/>
  </r>
  <r>
    <x v="377"/>
    <s v="Burns"/>
    <s v="MI"/>
    <s v="Lindsay"/>
    <m/>
    <s v="Gooing"/>
    <s v="Michael"/>
    <x v="42"/>
    <s v="Catalina Island"/>
    <x v="1"/>
    <s v="90704"/>
    <x v="2"/>
    <x v="35"/>
    <x v="102"/>
    <s v="Rate"/>
    <s v="1988 condo on Catalina Island. RiskMeter won't run. Says out of area. "/>
    <x v="3"/>
    <s v="Per PM, rate with additional 60%.  Rest of risk okay."/>
    <s v="Bethany says consider this in the 40-49 WRS and surcharge 60%."/>
    <m/>
    <s v="Patterson"/>
    <m/>
    <m/>
    <n v="0"/>
  </r>
  <r>
    <x v="378"/>
    <s v="Burns"/>
    <s v="MI"/>
    <s v="Lindsay"/>
    <m/>
    <s v="Gooing"/>
    <s v="Michael"/>
    <x v="42"/>
    <s v="Catalina Island"/>
    <x v="1"/>
    <s v="90704"/>
    <x v="2"/>
    <x v="35"/>
    <x v="102"/>
    <s v="Rate"/>
    <s v="1988 condo on Catalina Island. RiskMeter won't run. Says out of area. "/>
    <x v="3"/>
    <s v="Advised to use WRS40-49 with 60% manual surcharge."/>
    <s v="Okayed this to be the direction without referral, provided we don't change other guidelines."/>
    <m/>
    <s v="Patterson"/>
    <m/>
    <m/>
    <n v="0"/>
  </r>
  <r>
    <x v="379"/>
    <s v="Burns"/>
    <s v="MI"/>
    <s v="Rachel"/>
    <s v="Email"/>
    <s v="Wilson"/>
    <s v="Michael"/>
    <x v="0"/>
    <m/>
    <x v="37"/>
    <m/>
    <x v="18"/>
    <x v="35"/>
    <x v="102"/>
    <s v="Occupancy/Use"/>
    <s v="Metal building, no losses, no central heat or air. Only source of heat is fireplace. Applicant lives in part of building, other part is shop/storage"/>
    <x v="2"/>
    <s v="Questioning if any fuels or wood activity stored/done in unit"/>
    <m/>
    <m/>
    <s v="Burdine"/>
    <m/>
    <m/>
    <n v="0"/>
  </r>
  <r>
    <x v="380"/>
    <s v="Hull Horsham"/>
    <m/>
    <s v="Nichole"/>
    <s v="Email"/>
    <s v="Kerstetter"/>
    <m/>
    <x v="69"/>
    <s v="Kulpmont"/>
    <x v="2"/>
    <m/>
    <x v="0"/>
    <x v="35"/>
    <x v="102"/>
    <s v="Knob &amp; Tube wiring"/>
    <s v="1908 home updated except for 1 floor of knob &amp; tube wiring. Will be updated within 6 months. Also has asbestos siding."/>
    <x v="1"/>
    <s v="Not comfortable with any K&amp;T, and no to asbestos siding."/>
    <m/>
    <m/>
    <s v="Patterson"/>
    <m/>
    <m/>
    <n v="1"/>
  </r>
  <r>
    <x v="381"/>
    <s v="AmWINS"/>
    <s v="FL"/>
    <s v="Niki"/>
    <m/>
    <s v="Gamble"/>
    <s v="Richard Lee"/>
    <x v="4"/>
    <s v="Mayo"/>
    <x v="32"/>
    <s v="32066"/>
    <x v="4"/>
    <x v="35"/>
    <x v="103"/>
    <s v="Prior Lapse/NRN"/>
    <s v="New purchase in 2017. No insurance since. Renovations just completed and insured now wants insurance. Insured is Chairman of County Commissioners. Volunteer FD 15 miles from home, dirt road, response time over 15 minutes."/>
    <x v="1"/>
    <s v="Response time over 15 min (and ins score low with 2 year lapse)"/>
    <s v="2 star ins score per Niki = surcharge"/>
    <m/>
    <s v="Patterson"/>
    <m/>
    <m/>
    <n v="1"/>
  </r>
  <r>
    <x v="382"/>
    <s v="Burns"/>
    <s v="MI"/>
    <s v="Jill"/>
    <s v="Email"/>
    <s v="Wright, Marvin"/>
    <m/>
    <x v="0"/>
    <s v="Bartlesville"/>
    <x v="30"/>
    <m/>
    <x v="0"/>
    <x v="35"/>
    <x v="103"/>
    <s v="Business on premises"/>
    <s v="1978 home w/updated roof in 2014. Insured welds and fixes lawnmowers and motors in his garage. Has a GL. Per inspection, the work is done in an attached garage. There are tarp covered lawnmowers around the exterior of the building and many in the driveway and in the garage. This is part time per questionnaire. 3 prior claims - 2 wind, theft. No $ amounts."/>
    <x v="0"/>
    <s v="Declined as presented. Can't exclude the building. If we write with Total Business Excl, anything business related is excluded. Such a high fire exposure, don't feel we should take this on knowing it will be excluded. If a coml pol could be put in place that covers business related property losses, we could offer terms w/Total Business Exclusion.  4/26-addl info. Insured has a CGL in place which covers BI and Prop Dmg. Got loss info, no addl concerns."/>
    <m/>
    <m/>
    <s v="Patterson"/>
    <m/>
    <m/>
    <n v="0"/>
  </r>
  <r>
    <x v="98"/>
    <s v="SCU"/>
    <s v="CO"/>
    <s v="Allison"/>
    <s v="Email"/>
    <s v="Taylor, Jason &amp; Grace"/>
    <m/>
    <x v="57"/>
    <s v="Steamboat"/>
    <x v="19"/>
    <m/>
    <x v="5"/>
    <x v="35"/>
    <x v="103"/>
    <s v="TIV"/>
    <s v="Current authority is $150K TIV. Changed that!"/>
    <x v="4"/>
    <m/>
    <m/>
    <m/>
    <s v="Patterson"/>
    <m/>
    <m/>
    <n v="0"/>
  </r>
  <r>
    <x v="28"/>
    <s v="Burns"/>
    <s v="MI"/>
    <s v="Danielle"/>
    <s v="Email"/>
    <s v="Connell"/>
    <s v="Teresa"/>
    <x v="0"/>
    <s v="Girardeau"/>
    <x v="36"/>
    <m/>
    <x v="5"/>
    <x v="35"/>
    <x v="104"/>
    <s v="Age of Home"/>
    <s v="Age of Home: Cellar was built in 1847, but the home's  structural integrity from the ground up was built in 1920 and home renovated fully again in 2008 for roof, 2012 for electric/plumbing &amp; heating 2015.  Masonry construction with no alarms and no losses"/>
    <x v="3"/>
    <s v="subject to no outdated components in cellar"/>
    <m/>
    <m/>
    <s v="Burdine"/>
    <m/>
    <m/>
    <n v="0"/>
  </r>
  <r>
    <x v="33"/>
    <s v="Burns"/>
    <s v="MI"/>
    <s v="David"/>
    <s v="Email"/>
    <s v="Vaughn"/>
    <s v="Brett"/>
    <x v="0"/>
    <s v="Gassville"/>
    <x v="37"/>
    <m/>
    <x v="2"/>
    <x v="35"/>
    <x v="104"/>
    <s v="Business on Premises"/>
    <s v="Sawmill operated on property, PC 6, home built in 2013. Cash purchase, so no insurance"/>
    <x v="1"/>
    <s v="Unfortunately, this property is ineligible for our product.  The type of business exposure is one that is pretty unique, and we may have been able to consider with a total business exclusion. I'm not too familiar with sawmill work, so would have to research it more to see if it is an exposure that a business exclusion could properly mitigate. Also, 5 years gap in coverage"/>
    <m/>
    <m/>
    <s v="Burdine"/>
    <m/>
    <m/>
    <n v="1"/>
  </r>
  <r>
    <x v="326"/>
    <s v="SCU"/>
    <s v="CO"/>
    <s v="Allison"/>
    <m/>
    <s v="Carroll"/>
    <s v="Lincoln"/>
    <x v="4"/>
    <s v="Idaho Springs "/>
    <x v="42"/>
    <s v="80452"/>
    <x v="6"/>
    <x v="35"/>
    <x v="104"/>
    <s v="Condition"/>
    <s v="Low value new purchase with limited utilities and higher response time. Roof condition questionable - exclusion applied. Agt quoting DP1 with 80% s/c."/>
    <x v="3"/>
    <s v="Bethany discussed w/ Jeff - approved since good agent and surcharge/low value."/>
    <m/>
    <m/>
    <s v="Patterson"/>
    <m/>
    <m/>
    <n v="0"/>
  </r>
  <r>
    <x v="84"/>
    <s v="SCU"/>
    <s v="CO"/>
    <s v="Allison"/>
    <s v="Email"/>
    <s v="Gardiner, Brian"/>
    <m/>
    <x v="21"/>
    <s v="Guffey "/>
    <x v="19"/>
    <m/>
    <x v="4"/>
    <x v="35"/>
    <x v="104"/>
    <s v="Response time/Lapse"/>
    <s v="1950 home w/updates. 2-3 year lapse as they couldn't find coverage. Insd is FD Lieutenant. 30 min response time due to volunteer, dirt roads and gate. 1/2 acre pond 300' from property. Agent surcharged prem 50%. Zip code match on  FireLine with a 4 rating."/>
    <x v="4"/>
    <m/>
    <m/>
    <m/>
    <s v="Patterson"/>
    <m/>
    <m/>
    <n v="0"/>
  </r>
  <r>
    <x v="97"/>
    <s v="Burns"/>
    <s v="MI"/>
    <s v="Delta"/>
    <s v="Email"/>
    <s v="Pece, Linda"/>
    <m/>
    <x v="0"/>
    <s v="Vinita"/>
    <x v="30"/>
    <m/>
    <x v="2"/>
    <x v="35"/>
    <x v="104"/>
    <s v="Business on premise"/>
    <s v="2014 home (was a restaurant- it moved and insd converted it to their home). Bait shop on premises covered commercially (bldg and liab). Delta excluded other str and added Total Business exclusion form."/>
    <x v="4"/>
    <s v="• Confirmation of at least 15 feet separation between the bait shop and the dwelling_x000a_• Confirmation that the bait shop is staffed with regular posted hours, and customers do not come to the dwelling to get assistance_x000a_"/>
    <s v="Went over 30 days, so agt sent again; confirmed OK to offer terms as previously agreed.  6/5/17 okay with 10% surcharge and SNL."/>
    <m/>
    <s v="Patterson"/>
    <m/>
    <m/>
    <n v="0"/>
  </r>
  <r>
    <x v="167"/>
    <s v="Burns"/>
    <s v="MI"/>
    <s v="Jill"/>
    <s v="Email"/>
    <s v="Fuerguson"/>
    <s v="William F"/>
    <x v="70"/>
    <s v="Ely "/>
    <x v="31"/>
    <m/>
    <x v="4"/>
    <x v="35"/>
    <x v="104"/>
    <s v="Not accessible"/>
    <s v="1954 frame cabin, updated in 1996. Elec baseboard heat. Access by boat, no vehicle. FD has access by boat and water pumped from lake. VMGA $1214. Agt to get pumper info and wbs quest."/>
    <x v="0"/>
    <s v="Subj to winterized, WBS quest, 35% surcharge."/>
    <s v="Forwarded to Bethany for rate review. Bethany approved with .90 rate"/>
    <m/>
    <s v="Patterson"/>
    <m/>
    <m/>
    <n v="0"/>
  </r>
  <r>
    <x v="383"/>
    <s v="Burns"/>
    <s v="MI"/>
    <s v="Leslie"/>
    <s v="Email"/>
    <s v="Thompson"/>
    <s v="Louisa"/>
    <x v="2"/>
    <s v="Foley"/>
    <x v="31"/>
    <m/>
    <x v="0"/>
    <x v="35"/>
    <x v="105"/>
    <s v="Business on Premises"/>
    <s v="Insured owns entire building. Lower level will be their art and furniture business. Upper level will be their home. Avg condition per online photos. 1939 building w/flat roof. Water stain on ceiling noted in online photos. Total business exclusion quoted."/>
    <x v="3"/>
    <s v="Check ACV-bldg is 3720 SF. Add $5K water dmg ded due to flat roof and possible stain. Also existing damage excl. Make sure coml covers personal loss due to TBE exclusions. Confirm $100K oth str noted in email. Exclude liab - unknown amt of foot traffic. Sugg quote as commercial w/ insd renting apt and writing an HO4."/>
    <m/>
    <m/>
    <s v="Patterson"/>
    <m/>
    <m/>
    <n v="0"/>
  </r>
  <r>
    <x v="384"/>
    <s v="Burns"/>
    <s v="MI"/>
    <s v="Rachel"/>
    <m/>
    <s v="Ruppert"/>
    <s v="Bernard"/>
    <x v="0"/>
    <s v="McCook"/>
    <x v="38"/>
    <s v="69001"/>
    <x v="4"/>
    <x v="35"/>
    <x v="106"/>
    <s v="PC"/>
    <s v="1994 year built with complete updates to everything in 2016. PC 10 with response time listed of 40 minutes. Unprotected quest shows volunteer FD that is 25 miles away. 7 miles of the road is gravel. No hydrant/dry hydrant. Currently rated at $.75 per $100. "/>
    <x v="3"/>
    <s v="The rest of the risk was acceptable. Allowing exception given low TIV. Confirmed through ISO and google search that response time is right around 40 minutes. Given time, partial gravel road, and volunteer FD a higher rate will be needed in order to approve. Approved terms subject to using a rate of $.85/$100 which is a premium of $1,637."/>
    <m/>
    <m/>
    <s v="Busse"/>
    <m/>
    <m/>
    <n v="0"/>
  </r>
  <r>
    <x v="268"/>
    <s v="SCU"/>
    <s v="CO"/>
    <s v="Ashley"/>
    <s v="Email"/>
    <s v="New Direction IRA"/>
    <m/>
    <x v="59"/>
    <s v="Westminster"/>
    <x v="19"/>
    <m/>
    <x v="8"/>
    <x v="35"/>
    <x v="107"/>
    <s v="Coverage question"/>
    <s v="Agent wondering if okay to include Personal Injury and ID Fraud on a rental quote. Allison is out of town and Ashley wants to review."/>
    <x v="3"/>
    <s v="Approved subject to verification of their Standard Procedure. We are okay with the coverages - could be duplicate from primary and then unnecessary. Asked Ashley to confirm named insured is titled and no other members. "/>
    <m/>
    <m/>
    <s v="Patterson"/>
    <m/>
    <m/>
    <n v="0"/>
  </r>
  <r>
    <x v="385"/>
    <s v="Burns"/>
    <s v="MI"/>
    <s v="Jeffrey"/>
    <m/>
    <s v="Peterson"/>
    <s v="Norman E"/>
    <x v="4"/>
    <s v="Enterprise"/>
    <x v="28"/>
    <s v="67441"/>
    <x v="3"/>
    <x v="35"/>
    <x v="108"/>
    <s v="Occupancy/Use"/>
    <s v="1940 building w/updates. No alarms, no losses. Coml building not used for business in 20 years. Relatives stay here when visiting. Shares wall w/small business. Zoned coml, but residency okay with zoning."/>
    <x v="3"/>
    <s v="Make sure seasonal use and not a vacant coml building. Need uw ? Answered on app. "/>
    <m/>
    <m/>
    <s v="Patterson"/>
    <m/>
    <m/>
    <n v="0"/>
  </r>
  <r>
    <x v="138"/>
    <s v="Burns"/>
    <s v="MI"/>
    <s v="Danielle"/>
    <s v="Email"/>
    <s v="Chang-Haywood"/>
    <s v="Rosa"/>
    <x v="0"/>
    <m/>
    <x v="30"/>
    <m/>
    <x v="9"/>
    <x v="35"/>
    <x v="108"/>
    <s v="Business on premises"/>
    <s v="Home was built in 1952 and updated of masonry construction.  PC3 with no alarms and no losses. Storage facility on premises(home behind). GL in place, and quoted with TBE"/>
    <x v="3"/>
    <s v="Reviewed online photos, home pretty close to business. Due to potential amount of traffic on premise (about 10 per month per questionnaire) and type of risk, OK with x-liab and tbe"/>
    <m/>
    <m/>
    <s v="K.Burdine"/>
    <m/>
    <m/>
    <n v="0"/>
  </r>
  <r>
    <x v="151"/>
    <s v="Burns"/>
    <s v="MI"/>
    <s v="Jill"/>
    <s v="Email"/>
    <s v="Bauer"/>
    <s v="Kevin"/>
    <x v="0"/>
    <s v="Monrovia"/>
    <x v="1"/>
    <m/>
    <x v="0"/>
    <x v="35"/>
    <x v="109"/>
    <s v="Liability hazard"/>
    <s v="1963 home updated in brush. Prior carrier Fair Plan. Insd has batting cage on property that is used by son and sometimes children from son's baseball team."/>
    <x v="3"/>
    <s v="Exclude liab. Verify why w/Fair plan. Ok if due to brush."/>
    <m/>
    <n v="12"/>
    <s v="Patterson"/>
    <m/>
    <m/>
    <n v="0"/>
  </r>
  <r>
    <x v="386"/>
    <s v="Hull Irvine"/>
    <s v="CA"/>
    <s v="Alison"/>
    <m/>
    <s v="C&amp;M Ventures LLC"/>
    <m/>
    <x v="0"/>
    <s v="Indio"/>
    <x v="1"/>
    <s v="92201"/>
    <x v="2"/>
    <x v="35"/>
    <x v="110"/>
    <s v="High Profile"/>
    <s v="2015 home owned by an LLC but the applicant is Chris Comstock - DJ Marshmellow."/>
    <x v="1"/>
    <s v="Young EDM DJ. Concern of parties, etc. Phys dmg and liab concerns."/>
    <m/>
    <m/>
    <s v="Patterson"/>
    <m/>
    <m/>
    <n v="1"/>
  </r>
  <r>
    <x v="387"/>
    <s v="Burns"/>
    <s v="MI"/>
    <s v="Leslie"/>
    <s v="Email"/>
    <s v="Yacoub, Fadi"/>
    <m/>
    <x v="0"/>
    <s v="Cedar Rapids"/>
    <x v="34"/>
    <m/>
    <x v="6"/>
    <x v="35"/>
    <x v="24"/>
    <s v="TIV"/>
    <s v="Retailer advised this is PC4, app says 4x, described as 4 miles to FD, no hydrant. Verified w/Verisk and they say this is a 9.  Tanker brings 2500 gallons. "/>
    <x v="3"/>
    <s v="Rate as PC9. Discussed 2500 gallon w/Product and all are okay."/>
    <m/>
    <m/>
    <s v="Patterson"/>
    <m/>
    <m/>
    <n v="0"/>
  </r>
  <r>
    <x v="254"/>
    <s v="SCU"/>
    <s v="CO"/>
    <s v="Allison"/>
    <s v="Email"/>
    <s v="Aspromonte, Ray"/>
    <m/>
    <x v="67"/>
    <s v="Mancos CO PC10"/>
    <x v="19"/>
    <m/>
    <x v="4"/>
    <x v="36"/>
    <x v="111"/>
    <s v="Not accessible yr round"/>
    <s v="1984 home (adding roof exclusion) quoting on a DP1 since small and not accessible year round. Insured is the fire chief. Woodstove that is &quot;primary&quot; but since not used in winter, isn't used much. Installed by insured, so ok w/clearances."/>
    <x v="1"/>
    <s v="Originally approved; but then Allison found out foundation is pier and beam. We agreed to decline."/>
    <m/>
    <m/>
    <s v="Patterson"/>
    <m/>
    <m/>
    <n v="1"/>
  </r>
  <r>
    <x v="388"/>
    <s v="Burns"/>
    <s v="MI"/>
    <s v="Jeffrey"/>
    <m/>
    <s v="Ferry"/>
    <s v="Eric"/>
    <x v="0"/>
    <s v="Maysville"/>
    <x v="36"/>
    <n v="64469"/>
    <x v="4"/>
    <x v="37"/>
    <x v="112"/>
    <s v="Losses"/>
    <s v="Frame home built in 2008. Original wiring, plumbing and roofing. Heat completely updated in 2018. Roof is metal. Had large fire loss in February 2018 over $300k. Insurance Score is an 'S'. "/>
    <x v="1"/>
    <s v="I am not seeing a fire station within .1 miles but about a 15 minute response time. Coupled with a volunteer fire department response, this would be ineligible for the program unless confirm the address was incorrect or the correct fire station address. "/>
    <m/>
    <m/>
    <s v="Lazovik"/>
    <m/>
    <m/>
    <n v="1"/>
  </r>
  <r>
    <x v="51"/>
    <s v="SCU"/>
    <s v="CO"/>
    <s v="Allison"/>
    <s v="Email"/>
    <s v="2429 Vermijo LLC"/>
    <m/>
    <x v="2"/>
    <s v="Colorado Springs"/>
    <x v="19"/>
    <m/>
    <x v="8"/>
    <x v="38"/>
    <x v="113"/>
    <s v="Other UW Reason"/>
    <s v="Three buildings on the premises. Main smaller home and larger newly renovated rental. Homes built in 1900 and 1986 (rental)."/>
    <x v="4"/>
    <s v="Referred due to unusual limits. Coverage B is higher than A as large home is rental unit (newly renovated)."/>
    <m/>
    <m/>
    <s v="Lazovik"/>
    <m/>
    <m/>
    <n v="0"/>
  </r>
  <r>
    <x v="389"/>
    <s v="Burns"/>
    <s v="MI"/>
    <s v="Jeffrey"/>
    <s v="Call"/>
    <s v="Unknown"/>
    <m/>
    <x v="71"/>
    <s v="Pennsylvania PC5"/>
    <x v="3"/>
    <m/>
    <x v="0"/>
    <x v="39"/>
    <x v="81"/>
    <s v="1901 Plumbing"/>
    <s v="Updates on all systems except plumbing which is original, 1901."/>
    <x v="4"/>
    <s v="Plumbing in early 1900's was lead, with 100 yr life expectancy.  "/>
    <s v="Followed up with written email."/>
    <m/>
    <s v="Patterson"/>
    <m/>
    <m/>
    <n v="0"/>
  </r>
  <r>
    <x v="390"/>
    <s v="Burns"/>
    <s v="MI"/>
    <s v="Leslie"/>
    <s v="Email"/>
    <s v="Nehring"/>
    <s v="Phillip"/>
    <x v="4"/>
    <s v="Gravois Mills"/>
    <x v="36"/>
    <m/>
    <x v="18"/>
    <x v="40"/>
    <x v="114"/>
    <s v="Occupancy/Use"/>
    <s v="metal building, 1-2 blocks from his lake home, stores boats and PWC's, has small living space (kitchen and bath), appraisal included"/>
    <x v="4"/>
    <s v="premium OK for risk"/>
    <m/>
    <m/>
    <s v="Burdine"/>
    <m/>
    <m/>
    <n v="0"/>
  </r>
  <r>
    <x v="391"/>
    <s v="Burns"/>
    <s v="MI"/>
    <s v="Jill"/>
    <s v="Email"/>
    <s v="Gillum"/>
    <s v="Ron"/>
    <x v="0"/>
    <m/>
    <x v="40"/>
    <m/>
    <x v="11"/>
    <x v="41"/>
    <x v="115"/>
    <m/>
    <s v="Open loss with reserve of $250,000 - The insured's dog (boxer/mastiff) got out of his fence and jumped on an elderly neighbor who fell and fractured her pelvis.  Still owns dog."/>
    <x v="3"/>
    <s v="Approved as quoted, with xliability and animal exclusion"/>
    <m/>
    <m/>
    <s v="Burdine"/>
    <m/>
    <m/>
    <n v="0"/>
  </r>
  <r>
    <x v="51"/>
    <s v="Burns"/>
    <s v="MI"/>
    <s v="Jill"/>
    <s v="Email"/>
    <s v="Hageman"/>
    <s v="Greg"/>
    <x v="4"/>
    <s v="Kingman"/>
    <x v="28"/>
    <m/>
    <x v="4"/>
    <x v="42"/>
    <x v="116"/>
    <s v="PC"/>
    <s v="1958 frame home updated heat in 2018, plumbing in 2008 and roof in 1998. 20 minute response time."/>
    <x v="3"/>
    <s v="Although the response time is high, the home has a lower value. IS is D."/>
    <m/>
    <m/>
    <s v="Lazovik"/>
    <m/>
    <m/>
    <n v="0"/>
  </r>
  <r>
    <x v="392"/>
    <s v="SCU"/>
    <s v="CO"/>
    <s v="Allison"/>
    <s v="Email"/>
    <s v="Fairbanks, Mary"/>
    <m/>
    <x v="14"/>
    <s v="Boulder"/>
    <x v="19"/>
    <m/>
    <x v="4"/>
    <x v="42"/>
    <x v="117"/>
    <s v="TIV/accessibility"/>
    <s v="Written on pol MPLCO00001138, but delays in inspection as wasn't disclosed home is inaccessible from october-april. Log home, 1934 build date, in brush, 5 min response time in summer"/>
    <x v="1"/>
    <s v="Info not originally disclosed, home is in need of renovations, inspection confirmed in area prone to wildfires, older home, advised to cancel when able"/>
    <m/>
    <m/>
    <s v="Burdine"/>
    <m/>
    <m/>
    <n v="1"/>
  </r>
  <r>
    <x v="336"/>
    <s v="Burns"/>
    <s v="MI"/>
    <s v="Rachel"/>
    <s v="Email"/>
    <s v="Rosenquist"/>
    <s v="Thor"/>
    <x v="4"/>
    <s v="Leshara "/>
    <x v="38"/>
    <m/>
    <x v="4"/>
    <x v="43"/>
    <x v="118"/>
    <s v="Heat Source"/>
    <s v="1920 dwelling w/WBS as heat. Updates to other systems. Prof installed WBS.  $1.06 rate"/>
    <x v="3"/>
    <s v="Adequate rate, lower value. Requested proper clearance to flammables and proper floor protection for safety."/>
    <m/>
    <m/>
    <s v="Patterson"/>
    <m/>
    <m/>
    <n v="0"/>
  </r>
  <r>
    <x v="254"/>
    <s v="Burns"/>
    <s v="MI"/>
    <s v="Leslie"/>
    <s v="Email"/>
    <s v="Breashears, Larry"/>
    <m/>
    <x v="2"/>
    <s v="Hermitage Arkansas PC10"/>
    <x v="37"/>
    <m/>
    <x v="4"/>
    <x v="44"/>
    <x v="53"/>
    <s v="PC10"/>
    <s v="1964 home updated. 48 acres near paved road. 11 road miles to FD. 20 min response time. Volunteer. Accessible. "/>
    <x v="3"/>
    <s v="Approved subject to $200 s/c on $1320 premium.  Lower value, updated home, felt okay with the extended response time."/>
    <m/>
    <m/>
    <s v="Patterson"/>
    <m/>
    <m/>
    <n v="0"/>
  </r>
  <r>
    <x v="101"/>
    <s v="Burns"/>
    <s v="MI"/>
    <s v="Leslie"/>
    <s v="Email"/>
    <s v="Homola, Steven"/>
    <m/>
    <x v="72"/>
    <s v="Annandale"/>
    <x v="31"/>
    <m/>
    <x v="4"/>
    <x v="44"/>
    <x v="119"/>
    <s v="PC10"/>
    <s v="1935 home w/roof update in 2002, wiring update in 1997, plumbing update in 1997. No heat source - woodburning stove is primary heat. No fire department, on lake, no sprinkler, no alarms. 647 SF cabin. Online photos look okay. This is on an island NW of Minneapolis on an inland lake.  $912 rate = $0.75"/>
    <x v="2"/>
    <s v="Asked how often risk is visited. What is done w/utilities when gone. (Is elec turned off by utility co. Winterizing?). Also asked for WBS info if they have it. This will be a definite total if a fire starts. Evaluating exposure to see if we are comfortable taking that on. May consider with a higher rate like $1.25 or $1.50 per $100/TIV.  Discussed w/Louisa. 50% s/c at minimum. We do not want to be low on premium against competition. Asked agent for feedback before finalizing terms."/>
    <m/>
    <m/>
    <s v="Patterson"/>
    <m/>
    <m/>
    <n v="0"/>
  </r>
  <r>
    <x v="393"/>
    <s v="Burns"/>
    <s v="MI"/>
    <s v="Lindsay"/>
    <m/>
    <s v="Walden"/>
    <s v="Daniel"/>
    <x v="0"/>
    <s v="Richmond   "/>
    <x v="17"/>
    <s v="47374"/>
    <x v="9"/>
    <x v="44"/>
    <x v="120"/>
    <s v="Business on Premises"/>
    <s v="1900 home w/updated. High RC but partner says they are insuring for ACV. Printing business in basement. No employees, no foot traffic, prints real estate booklet for realtor's monthly listings. Has a GL."/>
    <x v="1"/>
    <s v="SF on app doesn't match online, yoc on app doesn't match online. Value does not reflect ACV-too low. Concern of condition. Concern w/chemicals used in printing business - can be hazardous, flammable. Asked numerous questions re use/storage/fire rating."/>
    <s v="Ins score L = surcharge"/>
    <m/>
    <s v="Patterson"/>
    <m/>
    <m/>
    <n v="1"/>
  </r>
  <r>
    <x v="292"/>
    <s v="Burns"/>
    <s v="MI"/>
    <s v="Delta"/>
    <s v="Email"/>
    <s v="Cripe, Terri"/>
    <m/>
    <x v="21"/>
    <s v="Delong"/>
    <x v="17"/>
    <m/>
    <x v="6"/>
    <x v="44"/>
    <x v="121"/>
    <s v="No heat"/>
    <s v="1948 home updated in 2015-2016. No heat. Water is drained. $2500 ded and surcharge due to no ins since purchase. 2 different families named on the app."/>
    <x v="2"/>
    <s v="Why buying coverage now?  Ins scores are acceptable. Asked to confirm no portable heater, no WBS. 20% s/c due to length of lapse."/>
    <m/>
    <m/>
    <s v="Patterson"/>
    <m/>
    <m/>
    <n v="0"/>
  </r>
  <r>
    <x v="394"/>
    <s v="Burns"/>
    <s v="MI"/>
    <s v="Alexa"/>
    <m/>
    <s v="Daniels"/>
    <s v="Virginia"/>
    <x v="0"/>
    <s v="Elwood"/>
    <x v="17"/>
    <s v="46036"/>
    <x v="2"/>
    <x v="44"/>
    <x v="122"/>
    <s v="Other UW Reason"/>
    <s v="1697 year built with updates to heating 1998, roof 1999 and plumbing 1995. Wiring/electric is being updated this year. Very small amount of knob and tube wiring is present. Agent advised that closing is 2/12/2019 and insured has already hired contractor to come update electrical within 10 days of closing. "/>
    <x v="3"/>
    <s v="Approved subject to k&amp;t and fuses are updated within 10 days of binding, along with an OHQ. "/>
    <s v="Some chaos this week with a RUSH Stockton audit that backed up referrals.  Turnaround may have been impacted."/>
    <m/>
    <s v="Busse"/>
    <m/>
    <m/>
    <n v="0"/>
  </r>
  <r>
    <x v="268"/>
    <s v="Burns"/>
    <s v="MI"/>
    <s v="Ben"/>
    <s v="Email"/>
    <s v="Sorgatz, David"/>
    <m/>
    <x v="0"/>
    <s v="Kidder "/>
    <x v="43"/>
    <m/>
    <x v="6"/>
    <x v="44"/>
    <x v="123"/>
    <s v="Cov B exceeds A"/>
    <s v="$110,000 dwelling with $150,000 garage."/>
    <x v="4"/>
    <m/>
    <m/>
    <m/>
    <s v="Patterson"/>
    <m/>
    <m/>
    <n v="0"/>
  </r>
  <r>
    <x v="395"/>
    <s v="Burns"/>
    <s v="MI"/>
    <s v="Jill"/>
    <s v="Email"/>
    <s v="Lance, Brent"/>
    <m/>
    <x v="0"/>
    <s v="Idyllwild"/>
    <x v="1"/>
    <m/>
    <x v="9"/>
    <x v="44"/>
    <x v="124"/>
    <s v="5 horses"/>
    <s v="2006 home in brush. Prev approved risk on 5/25/17. That home sale fell through and this is a different property. "/>
    <x v="3"/>
    <s v="As long as horse situation is the same (personal only, no breed, board, sales, riding lessons) then liab is still okay."/>
    <m/>
    <m/>
    <s v="Patterson"/>
    <m/>
    <m/>
    <n v="0"/>
  </r>
  <r>
    <x v="117"/>
    <s v="Bolton"/>
    <s v="KY"/>
    <s v="Janet"/>
    <s v="Email"/>
    <s v="Bullard, Sharon"/>
    <m/>
    <x v="0"/>
    <s v="Gulf Port"/>
    <x v="16"/>
    <m/>
    <x v="9"/>
    <x v="45"/>
    <x v="125"/>
    <s v="Lapse"/>
    <s v="Client purchased year ago, paid cash, no insurance since"/>
    <x v="1"/>
    <s v="Declined due to length of time, reason for lapse"/>
    <s v="Ran credit, decent (mid 600s), but 2011 bankruptcy (now discharged). Not comfortable with sudden desire for insurance"/>
    <m/>
    <s v="Burdine"/>
    <m/>
    <m/>
    <n v="1"/>
  </r>
  <r>
    <x v="396"/>
    <s v="Burns"/>
    <s v="MI"/>
    <s v="Danielle"/>
    <s v="Email"/>
    <s v="Gatherum, Gary"/>
    <m/>
    <x v="21"/>
    <s v="Pine Meadow UT PC10"/>
    <x v="3"/>
    <m/>
    <x v="0"/>
    <x v="46"/>
    <x v="126"/>
    <s v="PC10/Not accessible"/>
    <s v="1978 frame home. PC10. Primary heat is a fireplace. Not accessible year round. Still has plumbing and electric. Cabin not used in winter."/>
    <x v="1"/>
    <s v="Concern if there is a fire, it will be a total. (There is still wiring).  Concern of freezing loss even when insured is there. Exposed pipes in crawl."/>
    <m/>
    <m/>
    <s v="Patterson"/>
    <m/>
    <m/>
    <n v="1"/>
  </r>
  <r>
    <x v="397"/>
    <s v="JM Wilson"/>
    <s v="MI"/>
    <s v="Cheryl"/>
    <s v="Email"/>
    <s v="Mercer"/>
    <s v="Michael"/>
    <x v="0"/>
    <m/>
    <x v="40"/>
    <m/>
    <x v="0"/>
    <x v="47"/>
    <x v="0"/>
    <s v="Losses"/>
    <s v="nonrenewed form prior carrier due to open liab claim-friend in home during the night mis-took basement door as bathroom and fell down steps"/>
    <x v="3"/>
    <s v="offer property terms on this risk, but must exclude liability. Once the claim is closed, and the liability decision is available, we could further review to determine if appropriate mitigators have been put in place to include liability. However, at this point, we cannot include liability."/>
    <m/>
    <m/>
    <s v="Burdine"/>
    <m/>
    <m/>
    <n v="0"/>
  </r>
  <r>
    <x v="398"/>
    <s v="Burns"/>
    <s v="MI"/>
    <s v="Rachel"/>
    <m/>
    <s v="Piatt"/>
    <s v="Caryn"/>
    <x v="0"/>
    <s v="Overgaard"/>
    <x v="7"/>
    <s v="85933"/>
    <x v="5"/>
    <x v="47"/>
    <x v="127"/>
    <s v="Heat Source"/>
    <s v="1987 year built with only update to heating in 2000. Agent would apply roof exclusion. Lapse in coverage since 2016, applicant is getting home loan to do some remodeling/updating and needs insurance to get a loan. Primary heat source is a wall heater that blows air. Home is about 800 sq ft.  "/>
    <x v="1"/>
    <s v="Applicant is only getting insurance because they have to, a bit of a concern. Due to combination of lapse and heat source we are going to decline. "/>
    <m/>
    <m/>
    <s v="Busse"/>
    <m/>
    <m/>
    <n v="1"/>
  </r>
  <r>
    <x v="399"/>
    <s v="Burns NC"/>
    <m/>
    <s v="Lauren"/>
    <s v="Email"/>
    <s v="Schramel"/>
    <s v="Nathaniel "/>
    <x v="0"/>
    <s v="Ocracoke"/>
    <x v="11"/>
    <m/>
    <x v="0"/>
    <x v="47"/>
    <x v="108"/>
    <s v="Business on premises"/>
    <s v="1950 home w/updates. Business on property. Insd owns building and rents it to a gift shop/massage studio. "/>
    <x v="2"/>
    <m/>
    <s v="Checking w/Tim"/>
    <n v="26"/>
    <s v="Patterson"/>
    <m/>
    <m/>
    <n v="0"/>
  </r>
  <r>
    <x v="37"/>
    <s v="Burns"/>
    <s v="MI"/>
    <s v="Leslie"/>
    <s v="Email"/>
    <s v="Ludlow"/>
    <s v="Paul"/>
    <x v="4"/>
    <s v="Sandy"/>
    <x v="22"/>
    <m/>
    <x v="4"/>
    <x v="47"/>
    <x v="128"/>
    <s v="PC"/>
    <s v="2010 log home w/woodstove as primary heat. Not accessible year round. Nice home. Cov A=$64/SF. Rate=$871/.40. Heat reclaimer per WBS quest. "/>
    <x v="3"/>
    <s v="When is home used? (If in summer, stove will rarely be used). Need better Cov A - can be a subjectivity. Get info on heat reclaimer - not eligible if that is correct. //Danielle advised limited summer use, no heat reclaimer, will incr rate."/>
    <s v="Look at a .80 rate for 20 min response and a woodstove."/>
    <m/>
    <s v="Patterson"/>
    <m/>
    <m/>
    <n v="0"/>
  </r>
  <r>
    <x v="28"/>
    <s v="JM Wilson"/>
    <s v="MI"/>
    <s v="Lori"/>
    <s v="Email"/>
    <s v="Gast"/>
    <s v="Kelly"/>
    <x v="0"/>
    <s v="Hancock"/>
    <x v="8"/>
    <m/>
    <x v="0"/>
    <x v="47"/>
    <x v="129"/>
    <s v="Business on Premises"/>
    <s v="daycare on premises, seeking coverage elsewhere for business exposure"/>
    <x v="3"/>
    <s v="subject to TBE and securing business coverage for daycare exposure; reviewed online info and home is licensed for up to 6 children"/>
    <m/>
    <m/>
    <s v="Burdine"/>
    <m/>
    <m/>
    <n v="0"/>
  </r>
  <r>
    <x v="400"/>
    <s v="Burns"/>
    <s v="MI"/>
    <s v="Rachel"/>
    <m/>
    <s v="Caur"/>
    <s v="Balwinder"/>
    <x v="0"/>
    <s v="North Little Rock"/>
    <x v="37"/>
    <s v="72117"/>
    <x v="11"/>
    <x v="48"/>
    <x v="130"/>
    <s v="Business on Premises"/>
    <s v="1953 year built with complete updates in 2004 and roof in 2012. Property address is also shared with a liquor store, which the applicant is purchasing and will be operating. "/>
    <x v="3"/>
    <s v="Approving subject to TBE, liability exclusion, GL in place for the store prior to binding, and other structure exclusion. Standard inspection with EHP per guidelines. "/>
    <m/>
    <m/>
    <s v="Busse"/>
    <m/>
    <m/>
    <n v="0"/>
  </r>
  <r>
    <x v="401"/>
    <s v="JM Wilson"/>
    <s v="MI"/>
    <s v="Cheryl"/>
    <s v="Email"/>
    <s v="Clinton"/>
    <s v="Joe &amp; Linda"/>
    <x v="0"/>
    <s v="West Memphis"/>
    <x v="37"/>
    <m/>
    <x v="11"/>
    <x v="49"/>
    <x v="131"/>
    <s v="Losses"/>
    <s v="10/2013-burglarly $5K; 07/14-water ($359.00) water ($963.00)"/>
    <x v="3"/>
    <s v="$2500 AOP due to the loss history."/>
    <m/>
    <m/>
    <s v="Burdine"/>
    <m/>
    <m/>
    <n v="0"/>
  </r>
  <r>
    <x v="402"/>
    <s v="Burns"/>
    <s v="MI"/>
    <s v="Ben"/>
    <s v="Email"/>
    <s v="Lindborg, Charlotte"/>
    <m/>
    <x v="73"/>
    <s v="Pollock Pines"/>
    <x v="1"/>
    <m/>
    <x v="4"/>
    <x v="50"/>
    <x v="132"/>
    <s v="PC10"/>
    <s v="Insured is rebuilding home after the King Fire 9/15. They have a COC elsewhere.  Other structures are rebuilt and they need coverage.  In brush, 16 min response, no fires nearby."/>
    <x v="4"/>
    <s v="We are getting about 1.00 rate"/>
    <m/>
    <m/>
    <s v="Patterson"/>
    <m/>
    <m/>
    <n v="0"/>
  </r>
  <r>
    <x v="403"/>
    <s v="Burns"/>
    <s v="MI"/>
    <s v="Delta"/>
    <s v="Email"/>
    <s v="Bravo, Joe R"/>
    <m/>
    <x v="16"/>
    <s v="Livermore "/>
    <x v="19"/>
    <m/>
    <x v="4"/>
    <x v="51"/>
    <x v="133"/>
    <s v="Response time"/>
    <s v="1972 home updated. Pro:  Low value  Con:  No alarms, secondary home not visible to neighbors, volunteer FD, dirt roads, 200 yard driveway.  "/>
    <x v="1"/>
    <s v="actual response time will be over 25 minutes meaning a definite total loss.  Are we getting enough premium to support that possibility?"/>
    <m/>
    <m/>
    <s v="Patterson"/>
    <m/>
    <m/>
    <n v="1"/>
  </r>
  <r>
    <x v="404"/>
    <s v="Burns"/>
    <s v="MI"/>
    <s v="Jill"/>
    <s v="Email"/>
    <s v="Christisen"/>
    <s v="Darryl &amp; Lisa"/>
    <x v="62"/>
    <s v="Foristell"/>
    <x v="36"/>
    <m/>
    <x v="3"/>
    <x v="52"/>
    <x v="53"/>
    <s v="Occupancy/Use"/>
    <s v="insured living in garage, main home is with another carrier and being demolished (builders risk on that policy)."/>
    <x v="4"/>
    <s v="discussed w/ MP, this fits in their DP stand alone program."/>
    <m/>
    <m/>
    <s v="Burdine"/>
    <m/>
    <m/>
    <n v="0"/>
  </r>
  <r>
    <x v="405"/>
    <s v="SCU"/>
    <s v="CO"/>
    <s v="Allison"/>
    <m/>
    <s v="Jackson"/>
    <s v="Eric   "/>
    <x v="5"/>
    <s v="Loma"/>
    <x v="1"/>
    <s v="81524"/>
    <x v="4"/>
    <x v="52"/>
    <x v="134"/>
    <s v="Occupancy/Use"/>
    <s v="2018 pole barn that insd uses to live and store his camper/trailer.  Small living area, kitchen, bath.  Accessible year round. $.87 rate. No business use, no hunting. Insd travels for work in his camper but parks it and lives here as his primary home when not traveling."/>
    <x v="4"/>
    <s v="Strong rate.  Deadbolts and cameras with an alarm system."/>
    <m/>
    <m/>
    <s v="Patterson"/>
    <m/>
    <m/>
    <n v="0"/>
  </r>
  <r>
    <x v="406"/>
    <s v="Burns"/>
    <s v="MI"/>
    <s v="Linda"/>
    <s v="Email"/>
    <s v="Mullan"/>
    <s v="Elizabeth &amp; Stephen"/>
    <x v="4"/>
    <s v="Columbia"/>
    <x v="9"/>
    <m/>
    <x v="5"/>
    <x v="52"/>
    <x v="135"/>
    <s v="Heat Source"/>
    <s v="No heat on seasonal home. Referred as HO-3 Secondary. No heat. Home updated in 2008."/>
    <x v="3"/>
    <s v="Approved subject to DP1, ACV and removal of mold and water backup."/>
    <m/>
    <m/>
    <s v="Lazovik"/>
    <m/>
    <m/>
    <n v="0"/>
  </r>
  <r>
    <x v="407"/>
    <s v="Burns"/>
    <s v="MI"/>
    <s v="Danielle"/>
    <s v="Email"/>
    <s v="Gant, Robert"/>
    <m/>
    <x v="0"/>
    <s v="Westport IN PC10"/>
    <x v="3"/>
    <m/>
    <x v="0"/>
    <x v="52"/>
    <x v="83"/>
    <s v="PC10"/>
    <s v="1946 updated frame home. PC10-FD 3-4 miles; visible; insds are retired; primary res. Prior carrier NRN due to Cane Corso dog. Reviewed online, ok. Agent wants to exclude barn. Had a 8/14 barn fire $23K paid. Provided copy of our exclusion. "/>
    <x v="2"/>
    <s v="EHP rider? Cause of fire? Which oth str are we covering?"/>
    <m/>
    <m/>
    <s v="Patterson"/>
    <m/>
    <m/>
    <n v="0"/>
  </r>
  <r>
    <x v="386"/>
    <s v="Burns"/>
    <s v="MI"/>
    <s v="Alexa"/>
    <m/>
    <s v="Lackey"/>
    <s v="Raymond"/>
    <x v="4"/>
    <s v="North Wildwood"/>
    <x v="9"/>
    <s v="08260"/>
    <x v="9"/>
    <x v="52"/>
    <x v="136"/>
    <s v="Other UW Reason"/>
    <s v="1930 dwelling with updates to roof 1998 and wiring and plumbing in 2000. This is a seasonal risk. No heat source and the dwelling is professionally winterized. There is also a lapse in coverage due to non-pay 9/2014, no insurance since then. H insurance score"/>
    <x v="2"/>
    <s v="Since the home is professionally winterized, we can consider given there is no heat source. Most likely used as a summer vacation home. If we consider, will require $5,000 special water deductible. Pended to ask for clarification as to why coverage is just now being looked at since the 2014 lapse. "/>
    <m/>
    <m/>
    <s v="Busse"/>
    <m/>
    <m/>
    <n v="0"/>
  </r>
  <r>
    <x v="37"/>
    <s v="RPS Covington"/>
    <s v="LA"/>
    <s v="Hillary"/>
    <s v="Email"/>
    <s v="Paape"/>
    <s v="Kerry"/>
    <x v="0"/>
    <s v="Houma"/>
    <x v="0"/>
    <m/>
    <x v="0"/>
    <x v="52"/>
    <x v="102"/>
    <s v="Occupancy/Use"/>
    <s v="2005 primary dwelling. Insured has 8 horses, personal use, kept in barn. 28 fenced acres. No cov B on app."/>
    <x v="3"/>
    <s v="Asked addl questions see email. Considering because if it is truly personal use, we can surcharge for the additional exposure.//Has Equestrian liab policy. Has Lloyds policy for barn/arena-no Cov B for us. 8 horses, no business, no riding, no lessons, etc.  Approved with animal exclusion, okay with CPL, no Cov B."/>
    <m/>
    <m/>
    <s v="Patterson"/>
    <m/>
    <m/>
    <n v="0"/>
  </r>
  <r>
    <x v="408"/>
    <s v="Burns"/>
    <s v="MI"/>
    <s v="David"/>
    <s v="Email"/>
    <s v="Caldwell"/>
    <s v="Michael"/>
    <x v="0"/>
    <s v="Fountain Hill"/>
    <x v="37"/>
    <m/>
    <x v="4"/>
    <x v="52"/>
    <x v="79"/>
    <s v="PC"/>
    <s v="2001 dwelling with updates, metal roof. 20 minute drive time w/volunteer FD 10 miles from dwelling. New purchase. No online photos of dwelling."/>
    <x v="4"/>
    <s v="Adequate rate, lower value."/>
    <s v="$0.91 rate."/>
    <m/>
    <s v="Patterson"/>
    <m/>
    <m/>
    <n v="0"/>
  </r>
  <r>
    <x v="21"/>
    <s v="Burns"/>
    <s v="MI"/>
    <s v="Rachel"/>
    <s v="Email"/>
    <s v="Martinez"/>
    <s v="Henry"/>
    <x v="4"/>
    <m/>
    <x v="15"/>
    <m/>
    <x v="4"/>
    <x v="52"/>
    <x v="112"/>
    <s v="PC"/>
    <s v="Home was built in 1972, with a full updates in 1998. It is masonry construction, no alarms. PC10. No losses"/>
    <x v="3"/>
    <s v="subject to confirmation of response time w/in 15 minutes."/>
    <m/>
    <m/>
    <s v="Burdine"/>
    <m/>
    <m/>
    <n v="0"/>
  </r>
  <r>
    <x v="117"/>
    <s v="Burns"/>
    <s v="CA"/>
    <s v="Danielle"/>
    <s v="Email"/>
    <s v="O'Fallon, Melissa"/>
    <m/>
    <x v="0"/>
    <s v="Winthrop"/>
    <x v="31"/>
    <m/>
    <x v="0"/>
    <x v="52"/>
    <x v="112"/>
    <s v="Daycare in home"/>
    <s v="Licensed for 12 kids, usually has 6-8 (1 overnight), CGL in place; Home was built in 1948 and updated in 2017 of frame construction.  PC6 with no alarms and no losses"/>
    <x v="3"/>
    <s v="Approved subject to not offering day care program since &gt;5 kids, total business exclusion (w/discussion of limitations), and x-liability, and maintenance of CGL pol"/>
    <m/>
    <m/>
    <s v="Burdine"/>
    <m/>
    <m/>
    <n v="0"/>
  </r>
  <r>
    <x v="281"/>
    <s v="Burns"/>
    <s v="MI"/>
    <s v="Ben"/>
    <s v="Email"/>
    <s v="Fotsch, Michael"/>
    <m/>
    <x v="21"/>
    <s v="Bellvue"/>
    <x v="19"/>
    <m/>
    <x v="4"/>
    <x v="52"/>
    <x v="137"/>
    <s v="90 minute response time"/>
    <s v="Ben asked for review - 28 miles to FD (agt orig said 6). Volunteer, unpaved, accessible. Surcharge 120%. 1983 seasonal PC10 not in brush. Looks decent online."/>
    <x v="3"/>
    <s v="Approve subj to acceptable woodstove questionnaire. Okay due to low value, high premium, non-brush."/>
    <m/>
    <m/>
    <s v="Patterson"/>
    <m/>
    <m/>
    <n v="0"/>
  </r>
  <r>
    <x v="409"/>
    <s v="Burns"/>
    <s v="MI"/>
    <s v="David"/>
    <m/>
    <s v="Ballard"/>
    <s v="Carolyn"/>
    <x v="4"/>
    <s v="Spring City"/>
    <x v="5"/>
    <n v="37381"/>
    <x v="6"/>
    <x v="52"/>
    <x v="138"/>
    <s v="PC"/>
    <s v="Frame construction home built in 1959. Partial updates in 1990 and offering FRC. Original response time was 38 min and 26 min (per the attached). There is a volunteer FD 10 minutes away and some of it is gravel. There are CSA and family uses most weekends."/>
    <x v="3"/>
    <s v="Confirm the PPC. The water source 100 ft from their house is good, but they still have gravel roads. Adding surcharge of 10% for potential inaccessibility oif they do not confirm CS fire alarm monitored 24/7.  Lower TIV so a longer response time is more acceptable."/>
    <m/>
    <m/>
    <s v="Lazovik"/>
    <m/>
    <m/>
    <n v="0"/>
  </r>
  <r>
    <x v="82"/>
    <s v="Burns"/>
    <s v="MI"/>
    <s v="Jill"/>
    <s v="Email"/>
    <s v="Cambre, Carla "/>
    <m/>
    <x v="21"/>
    <s v="Vacherie"/>
    <x v="0"/>
    <m/>
    <x v="4"/>
    <x v="53"/>
    <x v="139"/>
    <s v="Response time"/>
    <s v="27 minute response time in PC10. 1970 home updated. "/>
    <x v="1"/>
    <s v="FD 19 miles away with 27 min response time. Definite total loss if fire starts. Advised Jill to send supporting info and strong pricing if she feels strongly about writing."/>
    <m/>
    <m/>
    <s v="Patterson"/>
    <m/>
    <m/>
    <n v="1"/>
  </r>
  <r>
    <x v="410"/>
    <s v="Burns"/>
    <m/>
    <s v="Matthew"/>
    <s v="Email"/>
    <s v="Curry, Calvin"/>
    <m/>
    <x v="8"/>
    <s v="Longwood, FL"/>
    <x v="3"/>
    <m/>
    <x v="0"/>
    <x v="54"/>
    <x v="0"/>
    <s v="Silo home"/>
    <s v="Secondary home located in Fl that is a silo, built in 2007, PC4, no alarm, no losses."/>
    <x v="1"/>
    <s v="historically we have had issues with properly estimating value on these and give it's a FL exposure with unknown performance in wind is a concern"/>
    <m/>
    <m/>
    <s v="Trott"/>
    <m/>
    <m/>
    <n v="1"/>
  </r>
  <r>
    <x v="71"/>
    <s v="Burns"/>
    <s v="MI"/>
    <s v="Delta"/>
    <s v="Email"/>
    <s v="Dworaczyk, Shawn"/>
    <m/>
    <x v="5"/>
    <s v="Eldon"/>
    <x v="36"/>
    <m/>
    <x v="5"/>
    <x v="54"/>
    <x v="78"/>
    <s v="Stand alone other structure"/>
    <s v="2016 frame structure. Prior total fire loss due to heat lamp in dog house. Avg/below avg ins scores. Self employed SS Auto Transport."/>
    <x v="0"/>
    <s v="Asked questions about use, storage, occupation related to building. All personal use."/>
    <m/>
    <m/>
    <s v="Patterson"/>
    <m/>
    <m/>
    <n v="0"/>
  </r>
  <r>
    <x v="411"/>
    <s v="Burns"/>
    <s v="MI"/>
    <s v="David"/>
    <m/>
    <s v="Falvey"/>
    <s v="Kim"/>
    <x v="0"/>
    <s v="Cypress"/>
    <x v="23"/>
    <m/>
    <x v="0"/>
    <x v="54"/>
    <x v="100"/>
    <s v="Other UW Reason"/>
    <s v="Home referred for active horse stable on property. Barn is leased out for boarding and training horses. GL is required on lease and the insured is getting added as AI. Four acres of land and 10-15 horses in the stable. Actual home has privacy fence around it to separate it from the stables and shed. Woo burning stove occasionally used. Frame home built in 1992. "/>
    <x v="3"/>
    <s v="Does not appear to have the proper fire mat/surface surrounding fireplace. Subject to fixing the fireplace, they have approval with no animal liability, TBE and excluding all outbuildings and barns related to the business on property. Also ACV roof or exclusion."/>
    <m/>
    <m/>
    <s v="Lazovik"/>
    <m/>
    <m/>
    <n v="0"/>
  </r>
  <r>
    <x v="412"/>
    <s v="Burns"/>
    <s v="MI"/>
    <s v="Danielle"/>
    <s v="Email"/>
    <s v="Tesoro De Luz"/>
    <m/>
    <x v="0"/>
    <s v="Vashon Island WA PC6"/>
    <x v="13"/>
    <m/>
    <x v="3"/>
    <x v="54"/>
    <x v="83"/>
    <s v="Tree house   "/>
    <s v="2014 tree house.  "/>
    <x v="1"/>
    <s v="We are not a market for tree houses.  We will be adding to UW Guidelines."/>
    <m/>
    <m/>
    <s v="Patterson"/>
    <m/>
    <m/>
    <n v="1"/>
  </r>
  <r>
    <x v="79"/>
    <s v="Burns"/>
    <s v="MI"/>
    <s v="Delta"/>
    <s v="Email"/>
    <s v="Hodges, Cyndy"/>
    <m/>
    <x v="2"/>
    <s v="Carmel"/>
    <x v="1"/>
    <m/>
    <x v="8"/>
    <x v="54"/>
    <x v="140"/>
    <s v="Can't get RiskMeter"/>
    <s v="1962 rental condo updated in 07. Prior water loss charged for $51K water pipe burst. Address has no street #."/>
    <x v="4"/>
    <s v="Ran FireLine-got zip level match. Appears to be majority is 6 exposure which equates to low in RiskMeter."/>
    <m/>
    <m/>
    <s v="Patterson"/>
    <m/>
    <m/>
    <n v="0"/>
  </r>
  <r>
    <x v="413"/>
    <s v="Burns"/>
    <s v="CA"/>
    <s v="Rachel"/>
    <s v="Email"/>
    <s v="Alexander"/>
    <s v="Frank &amp; Melanie"/>
    <x v="62"/>
    <s v="Brian Head"/>
    <x v="22"/>
    <m/>
    <x v="4"/>
    <x v="54"/>
    <x v="141"/>
    <s v="Heat Source"/>
    <s v="Home was built in 1970 of frame construction with no updates. PC10, with no losses; no electricity, propane tank/generator used when in home (seasonal), woodstove also used, 6.5 miles from FD (14 Drive time)."/>
    <x v="1"/>
    <s v="Too many factors for concern of fire loss (home also not accessible year round)"/>
    <m/>
    <m/>
    <s v="Burdine"/>
    <m/>
    <m/>
    <n v="1"/>
  </r>
  <r>
    <x v="414"/>
    <s v="Burns"/>
    <s v="MI"/>
    <s v="Benjamin"/>
    <s v="Email"/>
    <s v="Kasperek, Marian"/>
    <m/>
    <x v="2"/>
    <s v="Liberty, MO"/>
    <x v="3"/>
    <m/>
    <x v="0"/>
    <x v="54"/>
    <x v="142"/>
    <s v="Day Care in Home"/>
    <s v="tenant runs daycare (6 kids), has comm GL for daycare exposure, needing coverage for owner-requesting $1Mil Liab"/>
    <x v="3"/>
    <s v="approved prop, but only if x-liab due to day care exposure"/>
    <m/>
    <m/>
    <s v="K.Burdine"/>
    <m/>
    <m/>
    <n v="0"/>
  </r>
  <r>
    <x v="415"/>
    <s v="SCU"/>
    <s v="CO"/>
    <s v="Allison"/>
    <s v="Email"/>
    <s v="Manuszak, Roy"/>
    <m/>
    <x v="21"/>
    <m/>
    <x v="19"/>
    <m/>
    <x v="4"/>
    <x v="54"/>
    <x v="143"/>
    <s v="Woodstove primary/ 30 min response"/>
    <s v="1972 cabin. Generator and woodstove. Used seasonally. Near current wildfire. 30 min response - FD 19 miles. "/>
    <x v="2"/>
    <s v="Allison sending full submission w/unprotected questionnaire and rater (can't open it).  FireLine says Moderate 3, med fuels, mild slope, no access problems. Agreed on 20% surcharge $1208 total."/>
    <m/>
    <m/>
    <s v="Patterson"/>
    <m/>
    <m/>
    <n v="0"/>
  </r>
  <r>
    <x v="406"/>
    <s v="RPS Covington"/>
    <s v="LA"/>
    <s v="Hillary"/>
    <s v="Email"/>
    <s v="Moran"/>
    <s v="Thomas"/>
    <x v="0"/>
    <s v="Slidell"/>
    <x v="0"/>
    <m/>
    <x v="0"/>
    <x v="54"/>
    <x v="65"/>
    <s v="Business on Premises"/>
    <s v="1989 home with &quot;overflow&quot; from insd auto sales on premises.  App says n/a to furnace update. Determined there is a furnace. Insd added a 3 bay garage to their house used for auto tinting. Used cars also on the property. Customers drop off and pick up cars for tinting. $300,000 GL policy."/>
    <x v="1"/>
    <s v="Additional information shows business is more than first realized. Advised to take out an overall commercial policy and an HO4 thru another carrier.  Too much for us.  "/>
    <m/>
    <m/>
    <s v="Patterson"/>
    <m/>
    <m/>
    <n v="1"/>
  </r>
  <r>
    <x v="367"/>
    <s v="Bolton"/>
    <m/>
    <s v="Chris"/>
    <s v="Email"/>
    <s v="Thornburg, Charles"/>
    <m/>
    <x v="0"/>
    <s v="Gautier MS PC6"/>
    <x v="3"/>
    <m/>
    <x v="0"/>
    <x v="54"/>
    <x v="65"/>
    <s v="No prior"/>
    <s v="Built in 2001. Insured said ins was too expensive, hasn't had since 2006."/>
    <x v="4"/>
    <s v="Subject to explanation of why, and verify no damage or losses."/>
    <m/>
    <m/>
    <s v="Patterson"/>
    <m/>
    <m/>
    <n v="0"/>
  </r>
  <r>
    <x v="416"/>
    <s v="AmWINS"/>
    <s v="FL"/>
    <s v="Niki"/>
    <m/>
    <s v="DeRaimo"/>
    <s v="Anthony &amp; Brenda Foreman"/>
    <x v="3"/>
    <s v="Mount Pleasant"/>
    <x v="5"/>
    <s v="38474"/>
    <x v="9"/>
    <x v="54"/>
    <x v="144"/>
    <s v="Prior Lapse/NRN"/>
    <s v="1945 year built with complete updates to systems and roof in 2015. Lapse in coverage for 2 years. Prior agent sent documentation to incorrect address and they didn’t realize there was a lapse until yesterday. "/>
    <x v="3"/>
    <s v="The risk itself seems acceptable. Updated and online looks to be in good condition. They quoted with $1000 AOP, and per guidelines lapse with greater than 90 days requires at least $2500 AOP. Approved subject to increasing AOP to $2500, acceptable signed no loss, and additional 20% surcharge due to the lapse. "/>
    <m/>
    <m/>
    <s v="Busse"/>
    <m/>
    <m/>
    <n v="0"/>
  </r>
  <r>
    <x v="24"/>
    <s v="Burns"/>
    <s v="MI"/>
    <s v="Rachel"/>
    <s v="Email"/>
    <s v="O'Guinn LLC"/>
    <s v="O'Guinn LLC"/>
    <x v="0"/>
    <m/>
    <x v="23"/>
    <m/>
    <x v="11"/>
    <x v="54"/>
    <x v="108"/>
    <s v="Occupancy/Use"/>
    <s v="2007, metal warehouse but used as primary residence, no losses, no alarms, consists of living space and garage space"/>
    <x v="3"/>
    <s v="acceptable w/ plumbing/heating/electric in home"/>
    <m/>
    <m/>
    <s v="Burdine"/>
    <m/>
    <m/>
    <n v="0"/>
  </r>
  <r>
    <x v="139"/>
    <s v="Burns"/>
    <s v="MI"/>
    <s v="Jill"/>
    <s v="Email"/>
    <s v="Aguilar "/>
    <s v="Dorothy"/>
    <x v="0"/>
    <s v="Las Cruces"/>
    <x v="15"/>
    <m/>
    <x v="0"/>
    <x v="54"/>
    <x v="145"/>
    <s v="Business on premises"/>
    <s v="1947 home updated. Insd has an upholstery business on premises. No GL. Prior carrier cancelled due to discovery of business and lender force placed."/>
    <x v="2"/>
    <s v="Need addl business info to proceed. Outlined in email."/>
    <m/>
    <n v="15"/>
    <s v="Patterson"/>
    <m/>
    <m/>
    <n v="0"/>
  </r>
  <r>
    <x v="163"/>
    <s v="Burns"/>
    <s v="MI"/>
    <s v="Jill"/>
    <s v="Email"/>
    <s v="Gotuaco"/>
    <s v="Margaret"/>
    <x v="37"/>
    <s v="San Francisco"/>
    <x v="1"/>
    <m/>
    <x v="0"/>
    <x v="54"/>
    <x v="146"/>
    <s v="Year of construction"/>
    <s v="Risk originally submitted to Burns as 1975, which is the year the condo was converted.  Actual YOC is 1889. Reviewed inspection and EHP."/>
    <x v="3"/>
    <s v="Correct YOC at renewal"/>
    <m/>
    <n v="22"/>
    <s v="Patterson"/>
    <m/>
    <m/>
    <n v="0"/>
  </r>
  <r>
    <x v="417"/>
    <s v="Burns"/>
    <s v="MI"/>
    <s v="Leslie"/>
    <s v="Email"/>
    <s v="Cook, Rodney"/>
    <m/>
    <x v="38"/>
    <s v="South Haven MI PC4"/>
    <x v="3"/>
    <m/>
    <x v="0"/>
    <x v="54"/>
    <x v="147"/>
    <s v="Pole Barn"/>
    <s v="PC 9, Pole barn used as primary residence"/>
    <x v="2"/>
    <s v="questioning central heat/air; and if site built or factory built"/>
    <m/>
    <m/>
    <s v="K.Burdine"/>
    <m/>
    <m/>
    <n v="0"/>
  </r>
  <r>
    <x v="418"/>
    <s v="Burns"/>
    <s v="MI"/>
    <s v="Jill"/>
    <m/>
    <s v="Maugans"/>
    <s v="Chris"/>
    <x v="0"/>
    <s v="Leawood"/>
    <x v="28"/>
    <s v="66206"/>
    <x v="4"/>
    <x v="54"/>
    <x v="148"/>
    <s v="PC"/>
    <s v="Small PC10 home in Kansas. Frame home built in 1998 for 1280 sq feet. Roof was replaced completely in 2016 "/>
    <x v="0"/>
    <s v="Home is low value. No liability due to hunting on the premises. // 12/4 MP-Agent getting written confirmation that it is insd only personally hunting on prop. Ok'd liability."/>
    <m/>
    <m/>
    <s v="Lazovik"/>
    <m/>
    <m/>
    <n v="0"/>
  </r>
  <r>
    <x v="33"/>
    <s v="JM Wilson"/>
    <s v="MI"/>
    <s v="Lori"/>
    <s v="Email"/>
    <s v="Tolliver"/>
    <s v="Cecilia"/>
    <x v="0"/>
    <s v="Detroit"/>
    <x v="8"/>
    <m/>
    <x v="8"/>
    <x v="55"/>
    <x v="108"/>
    <s v="Prior Lapse/NRN"/>
    <s v="She was insured through the Michigan Fair Plan for a while but has been without insurance for about two years now "/>
    <x v="1"/>
    <s v="Due to lapse"/>
    <m/>
    <m/>
    <s v="Burdine"/>
    <m/>
    <m/>
    <n v="1"/>
  </r>
  <r>
    <x v="419"/>
    <s v="Burns"/>
    <s v="MI"/>
    <s v="Jill"/>
    <s v="Email"/>
    <s v="Baldwin, Jeffrey"/>
    <m/>
    <x v="2"/>
    <s v="Woodland Park CO PC5"/>
    <x v="3"/>
    <m/>
    <x v="0"/>
    <x v="56"/>
    <x v="149"/>
    <s v="Berm Home"/>
    <s v="1971, some updates in 2007."/>
    <x v="4"/>
    <s v="Confusion on direction. Resolved that these can be reviewed on a submit basis. Looking for professionally installed. Jill will confirm prior to binding."/>
    <m/>
    <m/>
    <s v="Patterson"/>
    <m/>
    <m/>
    <n v="0"/>
  </r>
  <r>
    <x v="420"/>
    <s v="AmWINS"/>
    <s v="NC"/>
    <s v="Brendon"/>
    <m/>
    <s v="Wiggins"/>
    <s v="George"/>
    <x v="0"/>
    <s v="Emerson"/>
    <x v="37"/>
    <s v="71740"/>
    <x v="6"/>
    <x v="57"/>
    <x v="150"/>
    <s v="Occupancy/Use"/>
    <s v="1950 home updated. Insured has 100 acres, not used for farming or livestock. Personal hunting only. No membership or leasing."/>
    <x v="3"/>
    <s v="Occ=Agriculture?  No online info. As long as it is confirmed there is no farming, okay. Personal hunting can happen on any acreage."/>
    <m/>
    <m/>
    <s v="Patterson"/>
    <m/>
    <m/>
    <n v="0"/>
  </r>
  <r>
    <x v="421"/>
    <s v="Hull CO"/>
    <s v="PA"/>
    <s v="Tamika"/>
    <s v="Email"/>
    <s v="Hedstrom, Karen"/>
    <m/>
    <x v="74"/>
    <s v="Villas NJ"/>
    <x v="3"/>
    <m/>
    <x v="0"/>
    <x v="58"/>
    <x v="0"/>
    <s v="Home raised"/>
    <s v="Being raised-Sandy code. 20% s/c"/>
    <x v="4"/>
    <s v="Rates show 40% SC. Agent will use that."/>
    <m/>
    <m/>
    <s v="Patterson"/>
    <m/>
    <m/>
    <n v="0"/>
  </r>
  <r>
    <x v="421"/>
    <s v="Burns"/>
    <s v="MI"/>
    <s v="Matt"/>
    <s v="Email"/>
    <s v="Anderson, Jamie"/>
    <m/>
    <x v="58"/>
    <s v="Lake Tahoe PC5"/>
    <x v="3"/>
    <m/>
    <x v="0"/>
    <x v="58"/>
    <x v="0"/>
    <s v="VRBO"/>
    <s v="Secondary rental VRBO 2-3 day min"/>
    <x v="4"/>
    <s v="Matt will require 3 day minimum"/>
    <m/>
    <m/>
    <s v="Patterson"/>
    <m/>
    <m/>
    <n v="0"/>
  </r>
  <r>
    <x v="377"/>
    <s v="RPS Covington"/>
    <s v="LA"/>
    <s v="Hillary"/>
    <m/>
    <s v="Byars"/>
    <s v="Nicole"/>
    <x v="0"/>
    <s v="Marrero"/>
    <x v="0"/>
    <s v="70072"/>
    <x v="8"/>
    <x v="58"/>
    <x v="102"/>
    <s v="Other UW Reason"/>
    <s v="1961 home. Insd had bankruptcy 2 years ago due to husband being laid off. No ins score provided. Mr now employed by Jefferson Parish."/>
    <x v="1"/>
    <s v="Need to look at report to see if acceptable and confirm bankruptcy closed. "/>
    <s v="Bankruptcy confirmed 10/20/12 Chapter 13 for Husband and Wife/Discharged. Also bankruptcy found for mother who owns the home too. 11/19/12 - personal bankruptcy.  Did not review entire risk."/>
    <m/>
    <s v="Patterson"/>
    <m/>
    <m/>
    <n v="1"/>
  </r>
  <r>
    <x v="422"/>
    <s v="Burns"/>
    <s v="MI"/>
    <s v="David"/>
    <m/>
    <s v="Stewart"/>
    <s v="Jack"/>
    <x v="4"/>
    <s v="Judea"/>
    <x v="37"/>
    <s v="72655"/>
    <x v="4"/>
    <x v="58"/>
    <x v="151"/>
    <s v="Heat Source"/>
    <s v="2012 hand hewn log home. PC 10 with primary heat source is woodstove. Secondary home. It is winterized. H insurance score. Address wasn’t clear on app, but listed in email."/>
    <x v="3"/>
    <s v="Approved subject to confirmation of legal/911 address. App didn’t have it and PC questionnaire wasn’t clear, but email had it. It appears to be correct in the email but confirmation before binding is required. Also, woodstove floor clearance in front of the stove needs to be extended to 18&quot;, currently only at 12&quot;. Since winterized, not large coverage amounts, approved with subjectivities. "/>
    <m/>
    <m/>
    <s v="Busse"/>
    <m/>
    <m/>
    <n v="0"/>
  </r>
  <r>
    <x v="266"/>
    <s v="Burns"/>
    <s v="MI"/>
    <s v="Jeff"/>
    <s v="Email"/>
    <s v="Pena, Jo"/>
    <m/>
    <x v="21"/>
    <s v="Riviera"/>
    <x v="23"/>
    <m/>
    <x v="4"/>
    <x v="59"/>
    <x v="150"/>
    <s v="30 min response time"/>
    <s v="1950 home updated. Coastal seasonal risk. FD is appx. 10 miles away. 15 minute response time per google, but PC quest says 30, likely due to volunteer staff."/>
    <x v="1"/>
    <s v="Response time for seasonal home is outside our comfort level."/>
    <m/>
    <m/>
    <s v="Patterson"/>
    <m/>
    <m/>
    <n v="1"/>
  </r>
  <r>
    <x v="423"/>
    <s v="Burns"/>
    <s v="MI"/>
    <s v="Rachel"/>
    <s v="Email"/>
    <s v="White"/>
    <s v="Michelle"/>
    <x v="0"/>
    <m/>
    <x v="5"/>
    <m/>
    <x v="4"/>
    <x v="60"/>
    <x v="152"/>
    <s v="PC"/>
    <s v="Built in 1975 with full update to the roof in 2014 and partial update to the heating in 2014. Brick veneer, PC10, no losses. 15-25 min response time"/>
    <x v="3"/>
    <s v="approved, VMGA premium appropriate"/>
    <m/>
    <m/>
    <s v="Burdine"/>
    <m/>
    <m/>
    <n v="0"/>
  </r>
  <r>
    <x v="167"/>
    <s v="Burns"/>
    <s v="CO"/>
    <s v="Danielle"/>
    <s v="Email"/>
    <s v="Pruitt"/>
    <s v="Jasika"/>
    <x v="11"/>
    <s v="Los Angeles"/>
    <x v="1"/>
    <m/>
    <x v="11"/>
    <x v="60"/>
    <x v="153"/>
    <s v="Other Structure"/>
    <s v="Guest house rented out. 1914 updated in 2013. Actress with a few films and TV shows."/>
    <x v="0"/>
    <s v="Insd not too famous. Trying to determine if there is another primary home on the property.// Per Danielle, prim home on prop that would not insure this one. Approved X-Liab (due to prim home on prop).// Per Danielle 10/18, agent needs liability, primary is excluding. Advised her to add the Building Exclusion to specifically exclude the primary home and any structures insured on that policy. We would be okay then."/>
    <m/>
    <m/>
    <s v="Patterson"/>
    <m/>
    <m/>
    <n v="0"/>
  </r>
  <r>
    <x v="424"/>
    <s v="Burns"/>
    <s v="MI"/>
    <s v="Rachel"/>
    <m/>
    <s v="Voss"/>
    <s v="Noah"/>
    <x v="0"/>
    <s v="Steuben"/>
    <x v="33"/>
    <s v="54657"/>
    <x v="4"/>
    <x v="60"/>
    <x v="154"/>
    <s v="Heat Source"/>
    <s v="2018 year built. Woodstove is primary heat source, installed by insured who is a senior lead life safety/fire alarm inspector. Measurements and installation of stove appear to be done well. PC is 10 with 12 minute response time. "/>
    <x v="3"/>
    <s v="My initial response was to decline, since the risk was PC 10 and the stove was not installed by a professional/contractor. The insured, however, does have knowledge of fire safety per occupation. Agent came back asking if we would approve with a 10% surcharge and subject to woodstove being inspected by a licensed contractor within 30 days. Given Burns, relatively low TIV, approved subject to items listed by agent"/>
    <m/>
    <m/>
    <s v="Busse"/>
    <m/>
    <m/>
    <n v="0"/>
  </r>
  <r>
    <x v="251"/>
    <s v="Burns"/>
    <s v="MI"/>
    <s v="Leslie"/>
    <s v="Email"/>
    <s v="Curtis, Anthony"/>
    <m/>
    <x v="0"/>
    <s v="Camden AR PC"/>
    <x v="37"/>
    <m/>
    <x v="0"/>
    <x v="61"/>
    <x v="155"/>
    <s v="Daycare in home"/>
    <s v="1984 home w/no updates. Daycare licensed for 10 children, usually has 8."/>
    <x v="3"/>
    <s v="Approved X-liability and with roof exclusion due to no updates."/>
    <m/>
    <m/>
    <s v="Patterson"/>
    <m/>
    <m/>
    <n v="0"/>
  </r>
  <r>
    <x v="392"/>
    <s v="Burns"/>
    <s v="MI"/>
    <s v="Leslie"/>
    <s v="Email"/>
    <s v="Howard, Bobbi"/>
    <m/>
    <x v="75"/>
    <s v="Indianapolis"/>
    <x v="17"/>
    <m/>
    <x v="9"/>
    <x v="62"/>
    <x v="156"/>
    <s v="Business in Home"/>
    <s v="insured operates a printing business out of. The insured has no employees, GL is in place, printing is outsourced and very little foot traffic.  Built in 1964"/>
    <x v="3"/>
    <s v="reviewed online sources, ok with business exposure. Sub to updates and total business exclusion"/>
    <m/>
    <m/>
    <s v="Burdine"/>
    <m/>
    <m/>
    <n v="0"/>
  </r>
  <r>
    <x v="425"/>
    <s v="Burns"/>
    <s v="MI"/>
    <s v="Nicole"/>
    <m/>
    <s v="County Home Cabin LLC"/>
    <m/>
    <x v="3"/>
    <s v="Bluffton"/>
    <x v="17"/>
    <s v="46714"/>
    <x v="4"/>
    <x v="63"/>
    <x v="157"/>
    <s v="Other UW Reason"/>
    <s v="2009 year built with complete updates to systems and roof in 2018. PC 10 with response time around 10 minutes. There is a pond near the property, support for FD. Season rental, with minimum of only 1 night rental. No public listing for the cabin, word of mouth primarily for family, friends, and sometimes clients. Total rental time of 6 weeks throughout the year. "/>
    <x v="4"/>
    <s v="They applied a 5% surcharge per the guidelines of rentals with minimum 2 nights or less. Since the risk isn't a publicly advertised location I am comfortable with the 1 night rental. Approving terms as quoted. "/>
    <m/>
    <m/>
    <s v="Busse"/>
    <m/>
    <m/>
    <n v="0"/>
  </r>
  <r>
    <x v="426"/>
    <s v="Burns"/>
    <s v="MI"/>
    <s v="Lindsay"/>
    <s v="Email"/>
    <s v="Collman"/>
    <s v="Rodney"/>
    <x v="1"/>
    <m/>
    <x v="32"/>
    <m/>
    <x v="0"/>
    <x v="64"/>
    <x v="101"/>
    <s v="Occupancy/Use"/>
    <s v="Home is currently on one lot, and they plan to move to another lot. "/>
    <x v="1"/>
    <s v="Advised can consider once reached final destination, if work done by a professional contractor"/>
    <m/>
    <m/>
    <s v="Burdine"/>
    <m/>
    <m/>
    <n v="1"/>
  </r>
  <r>
    <x v="102"/>
    <s v="Burns"/>
    <m/>
    <s v="Jill"/>
    <s v="Email"/>
    <s v="Thomas Richards"/>
    <m/>
    <x v="14"/>
    <m/>
    <x v="15"/>
    <m/>
    <x v="0"/>
    <x v="64"/>
    <x v="158"/>
    <s v="response time"/>
    <s v="response time 15-20 minutes, current policy but wasn't aware of distance issues until renewal submission (previously rated PC8)"/>
    <x v="4"/>
    <s v="low TIV, FD 2.8 miles (but volunteer), doesn't use WBS"/>
    <m/>
    <m/>
    <s v="Burdine"/>
    <m/>
    <m/>
    <n v="0"/>
  </r>
  <r>
    <x v="427"/>
    <s v="Burns"/>
    <s v="MI"/>
    <s v="Alexa"/>
    <s v="Email"/>
    <s v="Schofner"/>
    <s v="Linda"/>
    <x v="0"/>
    <s v="Grandview"/>
    <x v="17"/>
    <m/>
    <x v="14"/>
    <x v="65"/>
    <x v="159"/>
    <s v="Heat Source"/>
    <s v="Lapse since 01/2018, no central heat, 2007 build, log construction, supplemental heat source used"/>
    <x v="1"/>
    <s v="Declined due to multiple concerns (non-renewal led to lapse, cold climate with supp heat in a log home)"/>
    <m/>
    <m/>
    <s v="Burdine"/>
    <m/>
    <m/>
    <n v="1"/>
  </r>
  <r>
    <x v="152"/>
    <s v="Burns NC"/>
    <s v="NC"/>
    <s v="Anella"/>
    <s v="Email"/>
    <s v="Lewicki"/>
    <s v="Thoms"/>
    <x v="0"/>
    <s v="Newport   "/>
    <x v="11"/>
    <m/>
    <x v="0"/>
    <x v="66"/>
    <x v="47"/>
    <s v="Prior loss"/>
    <s v="2016 home w/ $115K prior fire loss. Fire Marshal report indicates unknown cause. Electrical meter is being tested. (as of 12/2015 report). Quoted, they have bind request, wasn't referred prior to quoting."/>
    <x v="1"/>
    <s v="Declined due to no clear cause/origin of the fire and the fact that American Modern non-renewed it. If AM decided to get off this for only a single loss (despite the fact that it's a large fire) then it feels as though there may be more to the story. Didn't get the final report showing results of electrical meter test."/>
    <s v="Discussed with Tim"/>
    <n v="20"/>
    <s v="Patterson"/>
    <m/>
    <m/>
    <n v="1"/>
  </r>
  <r>
    <x v="192"/>
    <s v="SCU"/>
    <s v="CO"/>
    <s v="Ashley"/>
    <s v="Email"/>
    <s v="Miller Irrevocable Trust"/>
    <m/>
    <x v="34"/>
    <s v="Evergreen CO PC6"/>
    <x v="3"/>
    <m/>
    <x v="0"/>
    <x v="67"/>
    <x v="160"/>
    <s v="Vacant-out of state owner"/>
    <s v="Insured lives in CA, only visits during the summer. State Farm is nonrenewing. Pipes and HWT are drained in winter. Gas stove is removed. In brush. Agent applied 50% s/c"/>
    <x v="4"/>
    <s v="Agt sent rater but I can't see it, asked for copy. $1072 rate. Cov A seems a bit high but online sources support and this is not a valued policy state. DP1 ACV. Roof updated in 2006. Online photos look ok."/>
    <m/>
    <m/>
    <s v="Patterson"/>
    <m/>
    <m/>
    <n v="0"/>
  </r>
  <r>
    <x v="315"/>
    <s v="Burns"/>
    <s v="MI"/>
    <s v="Jill"/>
    <s v="Email"/>
    <s v="SL Ranch LLC"/>
    <s v="SL Ranch LLC"/>
    <x v="4"/>
    <s v="George West"/>
    <x v="23"/>
    <m/>
    <x v="4"/>
    <x v="68"/>
    <x v="161"/>
    <s v="PC"/>
    <s v="weekend ranch, 700 acres, no rental, 30 minutes response, 2007, no losses, secondary"/>
    <x v="3"/>
    <s v="Details OK, no rental use of acreage, response time to be surcharged 10%"/>
    <s v="Sent Kirsten a copy of the pricing we provided to Burns. I'm not sure I sent it to her.  MP"/>
    <m/>
    <s v="Burdine"/>
    <m/>
    <m/>
    <n v="0"/>
  </r>
  <r>
    <x v="428"/>
    <s v="Burns"/>
    <s v="MI"/>
    <s v="David"/>
    <s v="Email"/>
    <s v="Nitsch"/>
    <s v="Craig"/>
    <x v="4"/>
    <s v="Halletsville"/>
    <x v="23"/>
    <m/>
    <x v="4"/>
    <x v="69"/>
    <x v="162"/>
    <s v="PC"/>
    <s v="PC 10, 25-30 min response time. 15 heads of cattle, 75 acres"/>
    <x v="3"/>
    <s v="due to the extended response time please add a surcharge of 10%. Additionally, due to the cattle exposure, the quote would need to be offered x-liability."/>
    <m/>
    <m/>
    <s v="Burdine"/>
    <m/>
    <m/>
    <n v="0"/>
  </r>
  <r>
    <x v="429"/>
    <s v="ASL"/>
    <m/>
    <s v="Tina"/>
    <s v="Email"/>
    <s v="Magee, James"/>
    <m/>
    <x v="21"/>
    <s v="Pocono Pines PA PC9"/>
    <x v="3"/>
    <m/>
    <x v="0"/>
    <x v="69"/>
    <x v="163"/>
    <s v="PC9"/>
    <s v="Built in 1972 w/2007 updates. No alarms. 22 minute response time. Visible from neighbors."/>
    <x v="4"/>
    <s v="Approved subject to 20% surcharge ($881&gt;$1057) for no alarm and 22 min response."/>
    <m/>
    <m/>
    <s v="Patterson"/>
    <m/>
    <m/>
    <n v="0"/>
  </r>
  <r>
    <x v="430"/>
    <s v="Burns"/>
    <s v="MI"/>
    <s v="Jill"/>
    <m/>
    <s v="Jennings"/>
    <s v="Stephany"/>
    <x v="0"/>
    <s v="Indianapolis"/>
    <x v="17"/>
    <s v="46220"/>
    <x v="8"/>
    <x v="70"/>
    <x v="4"/>
    <s v="Business on Premises"/>
    <s v="1966 dwelling w/updates. In home daycare with 10 children, 4 employees. Mother (next door) carries the daycare policy. "/>
    <x v="0"/>
    <s v="Considering pending for answers, but know agent will investigate online discrepancies found. Need to make sure this addr and this insured are covered on the commercial policies for the daycare. Excl liab (+TBE) due to # of children, employees, and P ins score. // This addr on the policy. Insd isn't. Ok'd subject to them being added. Also TBE and Exclude Liab. Agt really wants liab. Feeling is this 2 location business on 1 policy could be looked at collectively. We have to look at the whole exposure. Offered if GL was w/Markel, we could consider offering liab."/>
    <m/>
    <m/>
    <s v="Patterson"/>
    <m/>
    <m/>
    <n v="0"/>
  </r>
  <r>
    <x v="336"/>
    <s v="Burns"/>
    <s v="MI"/>
    <s v="Danielle"/>
    <s v="Email"/>
    <s v="Chandler"/>
    <s v="Weston"/>
    <x v="76"/>
    <m/>
    <x v="44"/>
    <m/>
    <x v="2"/>
    <x v="71"/>
    <x v="83"/>
    <s v="Heat Source"/>
    <s v="1985 dwelling winterized. WBS primary heat. Roof and liab exclusion. Will be updated next year."/>
    <x v="3"/>
    <s v="Small winterized cabin ok w/o heat. Agt to underwrite WBS. Ck occupancy. Verify lapse. No water, no collapse coverage. "/>
    <m/>
    <m/>
    <s v="Patterson"/>
    <m/>
    <m/>
    <n v="0"/>
  </r>
  <r>
    <x v="431"/>
    <s v="SCU"/>
    <s v="CO"/>
    <s v="Allison"/>
    <m/>
    <s v="Lawson"/>
    <s v="Kristian &amp; Tami"/>
    <x v="2"/>
    <s v="Golden"/>
    <x v="19"/>
    <s v="90403"/>
    <x v="6"/>
    <x v="71"/>
    <x v="164"/>
    <s v="Prior Lapse/NRN"/>
    <s v="They have this applicants other rental property already insured and are looking to add this second rental dwelling. Other policy has been since 2016 with no losses. This property was purchased a few months ago, did full gut/remodel, and now ready to rent it. Was not insured before then. Unprotected quest says &quot;unknown&quot; for response time and &quot;no&quot; for all roads paved and accessible year round. App, however, says response time is 5 minutes. Per quest, FD is volunteer. Currently with 10% surcharge for lapse and at a rate of $.58 per 100. "/>
    <x v="3"/>
    <s v="Not certain who completed unprotected quest, but if correct we will want a higher rate per 100. I am thinking closer to $.80. Advised I saw app said something different, but the answers across app/quest are quite off. Updated rate would be closer to $1,270 premium. Advised if an updated quest is completed by RFD and shows response time of under 15 minutes, I would be OK with rate of $.58. Approved subject to using $.80 rate per 100 unless updated quest is completed by RFD confirming response time less than 15 minutes. "/>
    <m/>
    <m/>
    <s v="Busse"/>
    <m/>
    <m/>
    <n v="0"/>
  </r>
  <r>
    <x v="432"/>
    <s v="Hull Horsham"/>
    <s v="CA"/>
    <s v="Tamika"/>
    <m/>
    <s v="Bleck"/>
    <s v="Tina &amp; Dennis"/>
    <x v="0"/>
    <m/>
    <x v="26"/>
    <m/>
    <x v="6"/>
    <x v="71"/>
    <x v="165"/>
    <s v="Rate"/>
    <s v="WV home coming in at $1.08 - total premium $2368. Can we do any better?"/>
    <x v="3"/>
    <s v="Bethany reviewed - 10% discount okay."/>
    <m/>
    <m/>
    <s v="Patterson"/>
    <m/>
    <m/>
    <n v="0"/>
  </r>
  <r>
    <x v="218"/>
    <s v="Burns"/>
    <m/>
    <s v="Ben"/>
    <s v="Email"/>
    <s v="Scott, Jeffery"/>
    <m/>
    <x v="0"/>
    <s v="Vidalia GA PC6"/>
    <x v="3"/>
    <m/>
    <x v="0"/>
    <x v="71"/>
    <x v="166"/>
    <s v="Insd installed WBS"/>
    <s v="1980 frame home w/ occasionally used stove installed by insured. Clearances don’t meet minimums."/>
    <x v="1"/>
    <s v="Insd would need to provide mfg specs proving clearances, or inspection by FD or wbs installation company."/>
    <m/>
    <m/>
    <s v="Patterson"/>
    <m/>
    <m/>
    <n v="1"/>
  </r>
  <r>
    <x v="199"/>
    <s v="Burns"/>
    <s v="MI"/>
    <s v="Jill"/>
    <s v="Email"/>
    <s v="Gauthier, Richard"/>
    <m/>
    <x v="2"/>
    <s v="Deltona FL PC4"/>
    <x v="3"/>
    <m/>
    <x v="0"/>
    <x v="72"/>
    <x v="167"/>
    <s v="4 losses @ rental properties"/>
    <s v="1986 rental with no losses. Roof updated. "/>
    <x v="4"/>
    <s v="Approved w/$2500 AOP ded. 3 losses were around $2K. One open liab loss - adjuster fell through ceiling. Losses were at 3 other rental properties."/>
    <m/>
    <m/>
    <s v="Patterson"/>
    <m/>
    <m/>
    <n v="0"/>
  </r>
  <r>
    <x v="4"/>
    <s v="Burns"/>
    <s v="MI"/>
    <s v="Alexa"/>
    <m/>
    <s v="Burns"/>
    <s v="Melissa"/>
    <x v="0"/>
    <s v="Surfside Beach"/>
    <x v="20"/>
    <s v="29575"/>
    <x v="11"/>
    <x v="73"/>
    <x v="168"/>
    <s v="Losses"/>
    <s v="Risk is a townhome built in 1984, full updates in 2018. 3 losses, 1) neighbor unit caught fire caused smoke damage to insured $97k. 2) neighbor had water leak that created standing water in insureds home $14k. 3) wind loss over 2 years old $1747. Applicant also has in home business, sells 31 products. no foot traffic. "/>
    <x v="3"/>
    <s v="Approved subject to surcharging for the losses and confirmation that the losses originated in the neighboring townhome. "/>
    <m/>
    <m/>
    <s v="Busse"/>
    <m/>
    <m/>
    <n v="0"/>
  </r>
  <r>
    <x v="433"/>
    <s v="Burns"/>
    <s v="MI"/>
    <s v="Rachel"/>
    <s v="Email"/>
    <s v="Chaudoir"/>
    <s v="Harold"/>
    <x v="2"/>
    <s v="Pagosa Springs"/>
    <x v="19"/>
    <m/>
    <x v="4"/>
    <x v="74"/>
    <x v="169"/>
    <s v="PC"/>
    <s v="Renewal that was coded as PC5 but appears to be a PC10. Drive time is 16 minutes. "/>
    <x v="3"/>
    <s v="Confirm the framing and siding is complete before renewal (shown in inspection) and railings on back steps were done. Smoke and CO detectors were also not present."/>
    <m/>
    <m/>
    <s v="Lazovik"/>
    <m/>
    <m/>
    <n v="0"/>
  </r>
  <r>
    <x v="434"/>
    <s v="JM Wilson"/>
    <s v="MI"/>
    <s v="Cheryl"/>
    <s v="Email"/>
    <s v="Keel"/>
    <s v="Ann"/>
    <x v="0"/>
    <s v="Midland"/>
    <x v="8"/>
    <m/>
    <x v="5"/>
    <x v="75"/>
    <x v="170"/>
    <s v="Losses"/>
    <s v="3 losses-water 2015, fire (lightning) 2017-still open, 12/14/17-water leak"/>
    <x v="1"/>
    <s v="frequency/open losses"/>
    <m/>
    <m/>
    <s v="Burdine"/>
    <m/>
    <m/>
    <n v="1"/>
  </r>
  <r>
    <x v="56"/>
    <s v="Burns"/>
    <s v="MI"/>
    <s v="Delta"/>
    <s v="Email"/>
    <s v="Myers, Richard"/>
    <m/>
    <x v="0"/>
    <s v="Haysville"/>
    <x v="28"/>
    <m/>
    <x v="8"/>
    <x v="76"/>
    <x v="171"/>
    <s v="Business on premises"/>
    <s v="1955 home fully updated. NRN due to prior wind and 2 hail losses. All near or under $7K. 3% wind/hail ded. Insd has in home hair salon. GL; total business excl"/>
    <x v="3"/>
    <s v="Confirm roof update; ensure insured understands roof excl; confirm no other salon type exposures (tanning etc.)"/>
    <m/>
    <m/>
    <s v="Patterson"/>
    <m/>
    <m/>
    <n v="0"/>
  </r>
  <r>
    <x v="435"/>
    <s v="Burns"/>
    <s v="MI"/>
    <s v="Alexa"/>
    <s v="Email"/>
    <s v="Bowie, Phillip David"/>
    <m/>
    <x v="16"/>
    <s v="Fairmount"/>
    <x v="18"/>
    <m/>
    <x v="4"/>
    <x v="77"/>
    <x v="172"/>
    <s v="Response Time  "/>
    <s v="1979 home updated in 2012. Secondary but prim is only 12 miles away. $13K Hail loss in 2016. Lapse since 12/31/16. Drive time&gt;15 per internet. Volunteer FD, dirt roads"/>
    <x v="1"/>
    <s v=" (Lapse, large recent claim, PC10, extended response time, volunteer FD, dirt roads.)  Additionally, I'm always a little skeptical of homes that are presented by the insured as &quot;secondary&quot; when they are close to their primary, in this case only 12 miles away.  (Always wonder if they aren't just vacant homes that are checked on regularly.)"/>
    <m/>
    <m/>
    <s v="Patterson"/>
    <m/>
    <m/>
    <n v="1"/>
  </r>
  <r>
    <x v="397"/>
    <s v="Burns"/>
    <s v="MI"/>
    <s v="Jill"/>
    <s v="Email"/>
    <s v="Horton"/>
    <s v="Thomas"/>
    <x v="4"/>
    <s v="Hastings"/>
    <x v="8"/>
    <m/>
    <x v="4"/>
    <x v="77"/>
    <x v="173"/>
    <s v="PC"/>
    <s v="PC 10 &amp; not accessible during winter, 14 min response time"/>
    <x v="4"/>
    <s v="low TIV, insurance score A, premium appropriate"/>
    <m/>
    <m/>
    <s v="Burdine"/>
    <m/>
    <m/>
    <n v="0"/>
  </r>
  <r>
    <x v="436"/>
    <s v="Burns"/>
    <s v="MI"/>
    <s v="Jeff"/>
    <s v="Email"/>
    <s v="Fisher, Francesca"/>
    <m/>
    <x v="77"/>
    <s v="Temucula"/>
    <x v="1"/>
    <m/>
    <x v="0"/>
    <x v="78"/>
    <x v="174"/>
    <s v="PC9/TIV"/>
    <s v="2010 alarmed home in high brush. FD is 4 miles away. They have gate access.  Paid FD, 10-15 min response. Not visible, seasonal home.  Property line is &gt;200'. "/>
    <x v="3"/>
    <s v="Approved subject to brush clearance to lot line."/>
    <m/>
    <m/>
    <s v="Patterson"/>
    <m/>
    <m/>
    <n v="0"/>
  </r>
  <r>
    <x v="85"/>
    <s v="Hull Horsham"/>
    <s v="PA"/>
    <s v="Tamika"/>
    <s v="Email"/>
    <m/>
    <m/>
    <x v="1"/>
    <m/>
    <x v="37"/>
    <m/>
    <x v="0"/>
    <x v="79"/>
    <x v="0"/>
    <s v="Log home builders risk"/>
    <s v="Not sure why this is a referral. Asked additional questions. Received app. Insd is having a log home professionally constructed - hand hewn logs. Looks fine."/>
    <x v="0"/>
    <s v=" When questioned by Tamika on TIV rate, suggested 10% surcharge for log home construction. K.Burdine 03/27/17"/>
    <m/>
    <m/>
    <s v="Patterson"/>
    <m/>
    <m/>
    <n v="0"/>
  </r>
  <r>
    <x v="257"/>
    <s v="Burns"/>
    <s v="MI"/>
    <s v="Ben"/>
    <s v="Email"/>
    <s v="Aaron Family"/>
    <m/>
    <x v="2"/>
    <s v="Devol "/>
    <x v="30"/>
    <m/>
    <x v="0"/>
    <x v="79"/>
    <x v="65"/>
    <s v="Cattle farm and 84 acres"/>
    <s v="Renewal policy. NB written x-liability. Would we consider with premises liability."/>
    <x v="1"/>
    <s v="We do not currently have a way to formally exclude farming or business on Dwelling Fire policy."/>
    <m/>
    <m/>
    <s v="Patterson"/>
    <m/>
    <m/>
    <n v="1"/>
  </r>
  <r>
    <x v="140"/>
    <s v="Burns"/>
    <s v="MI"/>
    <s v="Jill"/>
    <s v="Email"/>
    <s v="Noe"/>
    <s v="Patricia"/>
    <x v="0"/>
    <m/>
    <x v="23"/>
    <m/>
    <x v="0"/>
    <x v="79"/>
    <x v="154"/>
    <s v="Federal Pacific Stab-Lok panel"/>
    <s v="1974 home w/ no elec updates and FPSL panel.  Rest of risk looks okay."/>
    <x v="1"/>
    <s v="Fire hazard. Provided online info. If replaced w/licensed contractor, rest of risk is okay."/>
    <m/>
    <n v="10"/>
    <s v="Patterson"/>
    <m/>
    <m/>
    <n v="1"/>
  </r>
  <r>
    <x v="11"/>
    <s v="Burns"/>
    <s v="MI"/>
    <s v="Jeff"/>
    <s v="Email"/>
    <s v="Talburt"/>
    <s v="Tabitha"/>
    <x v="0"/>
    <s v="Garfield"/>
    <x v="37"/>
    <m/>
    <x v="2"/>
    <x v="79"/>
    <x v="175"/>
    <s v="Business on Premises"/>
    <s v="Attached is a primary in AR, no losses. two 5 acre lots, but they own an auto repair shop on the same 5 acres as the home. Looking for RC, home built in 1984, full updates to heating and roofing in 2005, partial to wiring and plumbing in that same year. Attached is an app, the GL for the business, and an ISO"/>
    <x v="3"/>
    <s v="Subject to TBE and other building excl; reviewed satellite images and there is clear separation from primary home and business"/>
    <m/>
    <m/>
    <s v="Burdine"/>
    <m/>
    <m/>
    <n v="0"/>
  </r>
  <r>
    <x v="437"/>
    <s v="JM Wilson"/>
    <s v="MI"/>
    <s v="Cheryl"/>
    <s v="Email"/>
    <s v="Buckle"/>
    <s v="Brandon &amp; Lori"/>
    <x v="0"/>
    <m/>
    <x v="28"/>
    <m/>
    <x v="0"/>
    <x v="80"/>
    <x v="0"/>
    <s v="Prior Lapse/NRN"/>
    <s v="KS, Markel only market, 2 losses, lapse since 10/30/2017"/>
    <x v="2"/>
    <s v="You have approval to offer terms on this property. However, due to the reason for the lapse the premium must be surcharged by 5%, the deductible must be a minimum of $2500, and a signed no loss must be completed."/>
    <m/>
    <m/>
    <s v="Burdine"/>
    <m/>
    <m/>
    <n v="0"/>
  </r>
  <r>
    <x v="190"/>
    <s v="JM Wilson"/>
    <s v="MI"/>
    <s v="John"/>
    <s v="Email"/>
    <s v="Kirkendall"/>
    <s v="Roger &amp; Alice"/>
    <x v="0"/>
    <s v="Oak Park"/>
    <x v="40"/>
    <m/>
    <x v="0"/>
    <x v="80"/>
    <x v="47"/>
    <s v="Prior losses"/>
    <s v="1900 home updated. Agent pre-screening before quoting. 4 prior losses. 3/14 Fire $2994. 12/13 Refrig prod $519. 9/13 &amp; 4/13 Theft $348 and $1030. Currently lapsed for non pay since 11/15. "/>
    <x v="1"/>
    <s v="Poor ins score, curr non pay, prior losses."/>
    <s v="458 score with judgements, liens and collections."/>
    <m/>
    <s v="Patterson"/>
    <m/>
    <m/>
    <n v="1"/>
  </r>
  <r>
    <x v="438"/>
    <s v="JM Wilson"/>
    <s v="MI"/>
    <s v="Cheryl"/>
    <s v="Email"/>
    <s v="Allen"/>
    <s v="Derric &amp; Jenny"/>
    <x v="2"/>
    <s v="Badin"/>
    <x v="11"/>
    <m/>
    <x v="0"/>
    <x v="81"/>
    <x v="176"/>
    <s v="Condition"/>
    <s v="some asbestos still present in home"/>
    <x v="1"/>
    <s v="ineligible due to asbestos material"/>
    <m/>
    <m/>
    <s v="Burdine"/>
    <m/>
    <m/>
    <n v="1"/>
  </r>
  <r>
    <x v="439"/>
    <s v="Burns"/>
    <s v="MI"/>
    <s v="Leslie"/>
    <s v="Email"/>
    <s v="Dugger, Lesley"/>
    <m/>
    <x v="16"/>
    <s v="Amarillo"/>
    <x v="15"/>
    <m/>
    <x v="4"/>
    <x v="81"/>
    <x v="177"/>
    <s v="Response time"/>
    <s v="20-25 min response time by volunteer FD. FD is 15 miles away. Pumper w/lake 500'-1/4 mile away. Alarms. Locked gate to property."/>
    <x v="1"/>
    <s v="Volunteer FD w/FD 15 miles away and pumper. Definite total loss if a fire starts. Advised Alexa to send supporting info and strong pricing if she feels strongly about writing."/>
    <m/>
    <m/>
    <s v="Patterson"/>
    <m/>
    <m/>
    <n v="1"/>
  </r>
  <r>
    <x v="311"/>
    <s v="Burns"/>
    <m/>
    <s v="Benjamin"/>
    <s v="Email"/>
    <s v="O'Neal, Edward"/>
    <m/>
    <x v="8"/>
    <m/>
    <x v="3"/>
    <m/>
    <x v="0"/>
    <x v="82"/>
    <x v="178"/>
    <s v="leased acreage "/>
    <s v="160+ leased land for farming, PC9, built 1920"/>
    <x v="4"/>
    <s v="Burns will be obtaining the farm liability dec prior to binding."/>
    <m/>
    <m/>
    <s v="Trott"/>
    <m/>
    <m/>
    <n v="0"/>
  </r>
  <r>
    <x v="30"/>
    <s v="Burns"/>
    <s v="MI"/>
    <s v="Lindsay"/>
    <s v="Email"/>
    <s v="Garden Glade LLC"/>
    <s v="Garden Glade LLC"/>
    <x v="2"/>
    <s v="Lithonia"/>
    <x v="18"/>
    <m/>
    <x v="0"/>
    <x v="82"/>
    <x v="179"/>
    <s v="High Profile"/>
    <s v="Brandon Marshall, wide receiver for the New York Giants, recent free agent, is purchasing this condo for one of his family members to live in. The condo is going to be in the name of an LLC for tax purposes and we will get a completed LLC questionnaire prior to binding"/>
    <x v="4"/>
    <s v="Approval to release as quoted, no concerns w. online review for a DP risk."/>
    <m/>
    <m/>
    <s v="Burdine"/>
    <m/>
    <m/>
    <n v="0"/>
  </r>
  <r>
    <x v="440"/>
    <s v="Burns"/>
    <s v="MI"/>
    <s v="Jill"/>
    <s v="Email"/>
    <s v="Schmidt"/>
    <s v="Danelle"/>
    <x v="0"/>
    <s v="Beatrice "/>
    <x v="38"/>
    <m/>
    <x v="9"/>
    <x v="83"/>
    <x v="4"/>
    <s v="Daycare/Open loss"/>
    <s v="1978 home with wind damage to shingles-adjuster has visited - open loss, not repaired yet. Daycare on premises that does not qualify. Agent quoting w/Business exclusion, liab excluded, existing dmg excl, roof excl."/>
    <x v="3"/>
    <s v="Can't write now due to open claim but can consider after claim is closed (or near closed) once all damage is assessed and repaired.  Would write X-liab and with Total business excl."/>
    <m/>
    <n v="17"/>
    <s v="Patterson"/>
    <m/>
    <m/>
    <n v="0"/>
  </r>
  <r>
    <x v="138"/>
    <s v="Hull Irvine"/>
    <m/>
    <s v="Alex"/>
    <s v="Call"/>
    <s v="Nunez"/>
    <m/>
    <x v="39"/>
    <m/>
    <x v="1"/>
    <m/>
    <x v="10"/>
    <x v="84"/>
    <x v="0"/>
    <s v="2nd dwelling on property  (5 risks on same call)"/>
    <s v="Insured has a primary home on same prop as this tenant dwelling. Insured w/Safeco - they will not insure or extend liab. Agent will exclude other structures if needed so we don't insure the primary and any related structures. If the tenant dwelling has none, they will issue w/no Cov B."/>
    <x v="4"/>
    <m/>
    <m/>
    <n v="13"/>
    <s v="Patterson"/>
    <m/>
    <m/>
    <n v="0"/>
  </r>
  <r>
    <x v="396"/>
    <s v="Hull CO"/>
    <s v="SC"/>
    <s v="Shana"/>
    <s v="Email"/>
    <s v="Davis"/>
    <m/>
    <x v="0"/>
    <m/>
    <x v="3"/>
    <m/>
    <x v="0"/>
    <x v="84"/>
    <x v="0"/>
    <s v="PC10 345 acres"/>
    <s v="No commercial use, no business, no animals. Pond is water source."/>
    <x v="1"/>
    <s v="Asked for placement on 345 acres and response time.// Turns out house is in middle of the property and the fire department accessible road is not yet finished. "/>
    <m/>
    <m/>
    <s v="Patterson"/>
    <m/>
    <m/>
    <n v="1"/>
  </r>
  <r>
    <x v="109"/>
    <s v="Burns"/>
    <s v="MI"/>
    <s v="Delta"/>
    <s v="Email"/>
    <s v="Amstutz, Austin"/>
    <m/>
    <x v="22"/>
    <s v="Norwalk "/>
    <x v="34"/>
    <m/>
    <x v="0"/>
    <x v="84"/>
    <x v="102"/>
    <s v="Apartment in business"/>
    <s v="2016 building is insureds flat concrete work business. He has an apartment in it. Wants contents and liability."/>
    <x v="3"/>
    <s v="Add Total Business Exclusion. (Compliance verifying use of current form; or will update to create a new one.)"/>
    <m/>
    <m/>
    <s v="Patterson"/>
    <m/>
    <m/>
    <n v="0"/>
  </r>
  <r>
    <x v="114"/>
    <s v="Hull Horsham"/>
    <s v="PA"/>
    <s v="Nichole"/>
    <s v="Email"/>
    <s v="Fdurborow, F.Palmer &amp; Shirley"/>
    <m/>
    <x v="78"/>
    <s v="Oxford"/>
    <x v="2"/>
    <m/>
    <x v="0"/>
    <x v="84"/>
    <x v="102"/>
    <s v="Manufactured home"/>
    <s v="Insured is removing a mobile home and replacing w/a manufactured home on a perm foundation. COC. Insd is the contractor."/>
    <x v="1"/>
    <s v="Gave suggestion to Nichole to make sure this is a manufactured and not modular home.  Won't qualify with us due to insd is the GC, but maybe she can find a market."/>
    <m/>
    <m/>
    <s v="Patterson"/>
    <m/>
    <m/>
    <n v="1"/>
  </r>
  <r>
    <x v="441"/>
    <s v="Hull CO"/>
    <s v="NJ"/>
    <s v="Lisa"/>
    <s v="Email"/>
    <s v="Rober, Kathy"/>
    <m/>
    <x v="34"/>
    <s v="Bradford PA PC9"/>
    <x v="3"/>
    <m/>
    <x v="0"/>
    <x v="84"/>
    <x v="102"/>
    <s v="Vacant "/>
    <s v="2003 home in mid-remodel. Insured's husband passed. Selling home as is, need vacant coverage."/>
    <x v="4"/>
    <s v="Approved pending confirmation of mold issue professionally remediated/tested. Don't want to be on it indefinitely. Also moral hazard."/>
    <m/>
    <m/>
    <s v="Patterson"/>
    <m/>
    <m/>
    <n v="0"/>
  </r>
  <r>
    <x v="442"/>
    <s v="Burns"/>
    <s v="MI"/>
    <s v="Ben"/>
    <s v="Email"/>
    <s v="Numsen, Paul"/>
    <m/>
    <x v="21"/>
    <s v="Garfield"/>
    <x v="19"/>
    <m/>
    <x v="4"/>
    <x v="84"/>
    <x v="141"/>
    <s v="Response time 15-20 mins"/>
    <s v="2016 home not in brush. Has WBS. PC quest says not paved and not accessible - not sure which or both as info is conflicting. "/>
    <x v="2"/>
    <s v="• How was response time verified? _x000a_• I am unable to find the address on a google search.  Please verify home address and fire department address_x000a_• Are the roads not paved, or is the home not accessible?  Information isn't clear on the PC quest._x000a_• What is the primary heat source?  _x000a_• Is home winterized when not in use?  Is heat kept on?_x000a_• App notes there is a FT employee.  How often are they at the home?  Is this the case year round?_x000a_"/>
    <m/>
    <m/>
    <s v="Patterson"/>
    <m/>
    <m/>
    <n v="0"/>
  </r>
  <r>
    <x v="270"/>
    <s v="SCU"/>
    <s v="CO"/>
    <s v="Allison"/>
    <s v="Email"/>
    <s v="Appelman, Guy"/>
    <m/>
    <x v="47"/>
    <s v="Elephant Butte"/>
    <x v="15"/>
    <m/>
    <x v="18"/>
    <x v="84"/>
    <x v="94"/>
    <s v="Stand alone other structure"/>
    <s v="Insured has a 2015 5000 SF Garage on a separate structure. It has bath and kitchen to meet code - no living space. Typical contents. Has a bolt lock. Will be adding cellular monitoring alarm. Vacant rate. $1467 premium"/>
    <x v="4"/>
    <m/>
    <m/>
    <m/>
    <s v="Patterson"/>
    <m/>
    <m/>
    <n v="0"/>
  </r>
  <r>
    <x v="64"/>
    <s v="SCU"/>
    <s v="CO"/>
    <s v="Allison"/>
    <s v="Email"/>
    <s v="Davenport, Brad &amp; Barbara"/>
    <m/>
    <x v="21"/>
    <s v="Placerville"/>
    <x v="19"/>
    <m/>
    <x v="19"/>
    <x v="84"/>
    <x v="103"/>
    <s v="Not accessible year round"/>
    <s v="1970 home which has been remodeled and upgraded. Photos in file look great. Uses every weekend. Winterized if not that frequent. Still some mild updates to make - cabinets, trim. Note on app indicates fixing to rent? Ho3 policy quoted. Rate came in at $935. Agent quoted $1600 due to accessibility and 20 min response time."/>
    <x v="3"/>
    <s v="Confirm future planned occupancy. $1600 rate good."/>
    <m/>
    <m/>
    <s v="Patterson"/>
    <m/>
    <m/>
    <n v="0"/>
  </r>
  <r>
    <x v="280"/>
    <s v="Hull CO"/>
    <s v="Charlotte"/>
    <s v="Alia"/>
    <s v="Email"/>
    <s v="Boulia"/>
    <m/>
    <x v="1"/>
    <s v="Newport"/>
    <x v="11"/>
    <m/>
    <x v="0"/>
    <x v="84"/>
    <x v="65"/>
    <s v="Business name, rate verification"/>
    <s v="1937 home under construction while insured is living in home."/>
    <x v="3"/>
    <s v="Rate as builders risk $2029. Corporate questionnaire okay."/>
    <m/>
    <m/>
    <s v="Patterson"/>
    <m/>
    <m/>
    <n v="0"/>
  </r>
  <r>
    <x v="443"/>
    <s v="SCU"/>
    <s v="CO"/>
    <s v="Allison"/>
    <s v="Email"/>
    <s v="Rowland, Edwin"/>
    <m/>
    <x v="72"/>
    <s v="Court Jefferson"/>
    <x v="19"/>
    <m/>
    <x v="4"/>
    <x v="84"/>
    <x v="180"/>
    <s v="WBS primary heat"/>
    <s v="1992 cabin, nice online photos. Unknown roof update - agt applying exclusion. 30 day lapse as insd couldn't find covg for primary wbs. 20 min response time; risk is in brush, but value is lower.  Agt applied 10% s/c. Increase to 20% s/c for lapse, wbs primary, and resp time."/>
    <x v="3"/>
    <s v="Approved subj to roof excl; 20% s/c; must winterize pipes"/>
    <m/>
    <m/>
    <s v="Patterson"/>
    <m/>
    <m/>
    <n v="0"/>
  </r>
  <r>
    <x v="373"/>
    <s v="Burns"/>
    <s v="MI"/>
    <s v="Nicole"/>
    <m/>
    <s v="Watts"/>
    <s v="Dennis Keith"/>
    <x v="0"/>
    <s v="Calabash"/>
    <x v="11"/>
    <s v="28467"/>
    <x v="6"/>
    <x v="84"/>
    <x v="3"/>
    <s v="PC"/>
    <s v="2019 modular home 4.76 miles to coast, PC9. "/>
    <x v="4"/>
    <s v="Referred for modular since direction in past was conflicting. Approved and advised okay on HO3. Make sure modular and not manufactured. Cov A will run lower."/>
    <m/>
    <m/>
    <s v="Patterson"/>
    <m/>
    <m/>
    <n v="0"/>
  </r>
  <r>
    <x v="407"/>
    <s v="Burns"/>
    <s v="MI"/>
    <s v="Jill"/>
    <s v="Email"/>
    <s v="Jones, Jerry"/>
    <m/>
    <x v="0"/>
    <s v="Grimsley TN PC6"/>
    <x v="3"/>
    <m/>
    <x v="0"/>
    <x v="84"/>
    <x v="151"/>
    <s v="Basement Home"/>
    <s v="2005 rear and sides are basement, front is fully accessible. Outside woodstove-can't tell if homemade and if meets specs. Looks close to home. Matt advises it is installed by the manufacture. Not a wood boiler."/>
    <x v="4"/>
    <s v=" "/>
    <m/>
    <m/>
    <s v="Patterson"/>
    <m/>
    <m/>
    <n v="0"/>
  </r>
  <r>
    <x v="283"/>
    <s v="Burns"/>
    <s v="MI"/>
    <s v="Ben"/>
    <s v="Email"/>
    <s v="Brems, Christie"/>
    <m/>
    <x v="0"/>
    <s v="Fruitland"/>
    <x v="22"/>
    <m/>
    <x v="6"/>
    <x v="84"/>
    <x v="181"/>
    <s v="Response time over 15 min"/>
    <s v="1980 frame home in utah, PC9, $150K (lower value) wood shake roof will be excluded due to no update. Has WBS-looks like insuff protection in front of loading door. UW questions on app not complete."/>
    <x v="0"/>
    <s v="Subj to map address of dwelling and FD. WBS quest, verify floor protection in front of loading door, complete UW questions.  10/24 - provided UW answers-OK. WBS will be brought up to specs after taking possession. 5.1 miles 15 minutes per map provided."/>
    <m/>
    <m/>
    <s v="Patterson"/>
    <m/>
    <m/>
    <n v="0"/>
  </r>
  <r>
    <x v="444"/>
    <s v="Burns"/>
    <s v="MI"/>
    <s v="Delta"/>
    <s v="Email"/>
    <s v="Billings, Ward"/>
    <m/>
    <x v="0"/>
    <s v="Drexel"/>
    <x v="36"/>
    <m/>
    <x v="20"/>
    <x v="84"/>
    <x v="182"/>
    <s v="Renovated from a restaurant"/>
    <s v="1908 home fully updated. 2 story brick that used to be a restaurant. Upstairs used for storage. Downstairs for living. Torch down roof with slight pitch. 100% circuit breaker/copper wire."/>
    <x v="3"/>
    <s v="• Please ensure interior inspection is ordered so we can confirm quality of renovation and electric, plumbing, and heating condition.  Make sure second floor is inspected to look for signs of roof leak issues.  (Common in these type of buildings.)_x000a_• Complete answers to underwriting questions received with bind request - several critical questions have been left blank._x000a_"/>
    <m/>
    <m/>
    <s v="Patterson"/>
    <m/>
    <m/>
    <n v="0"/>
  </r>
  <r>
    <x v="440"/>
    <s v="Burns"/>
    <s v="MI"/>
    <s v="Jill"/>
    <s v="Email"/>
    <s v="Sutton"/>
    <s v="Troy"/>
    <x v="0"/>
    <s v="Sterling"/>
    <x v="28"/>
    <m/>
    <x v="4"/>
    <x v="84"/>
    <x v="47"/>
    <s v="Business on premises"/>
    <s v="1935 home w/updates. Insured operates dog breeding and boarding operation. No note of GL. Diagram in file. Kennel is attached to home. Agent offering with Total Business exclusion. $71K of oth str but Cov B is $15K. Reviewed online info - sounds reputable."/>
    <x v="3"/>
    <s v="• Apply Total Business Exclusion_x000a_• Exclude liability _x000a_• Review condition of other structures and apply Building Exclusions for all structures we are not insuring.  App notes $71,000 of other structures. Cov B is $15,000.  Concern with condition noted for structures in photo page 1, 2, and 16.  Any structures in good condition that we are insuring should be insured to 100% replacement cost.  _x000a_"/>
    <m/>
    <n v="31"/>
    <s v="Patterson"/>
    <s v="X"/>
    <s v="If written, make sure limited animal liab was not applied as this was approved X-Liab."/>
    <n v="0"/>
  </r>
  <r>
    <x v="445"/>
    <s v="ASL"/>
    <s v=" "/>
    <s v="Charity"/>
    <s v="Email"/>
    <s v="Brandt, Katherine"/>
    <m/>
    <x v="0"/>
    <s v="Mdws of Dan VA PC10"/>
    <x v="3"/>
    <m/>
    <x v="0"/>
    <x v="84"/>
    <x v="47"/>
    <s v="PC10"/>
    <s v="1974 updt in 2010, 864 sf cabin. In a community. FD is 4.7 miles away. Paved road. .7 acres"/>
    <x v="4"/>
    <s v="Clean PC10 situation. Low value"/>
    <m/>
    <m/>
    <s v="Patterson"/>
    <m/>
    <m/>
    <n v="0"/>
  </r>
  <r>
    <x v="446"/>
    <s v="SCU"/>
    <s v="CO"/>
    <s v="Allison"/>
    <s v="Email"/>
    <s v="Sattler, Jeffrey"/>
    <m/>
    <x v="5"/>
    <s v="Cortez CO  PC4"/>
    <x v="3"/>
    <m/>
    <x v="0"/>
    <x v="84"/>
    <x v="47"/>
    <s v="Oth Str as Covg A"/>
    <s v="New 3200 SF metal building visible from insured's home on separate lot. Primary carrier won't extend coverage."/>
    <x v="4"/>
    <s v="Used for personal storage. Eventually will build here and sell or rent primary home. Insd is related to agent. Some welding and car tools. Required no supplemental or portable heat, and add fire extinguisher. $50,000 theft ded"/>
    <m/>
    <m/>
    <s v="Patterson"/>
    <m/>
    <m/>
    <n v="0"/>
  </r>
  <r>
    <x v="447"/>
    <s v="AmWINS"/>
    <s v="FL"/>
    <s v="Julie"/>
    <m/>
    <s v="Mobley"/>
    <s v="Alan"/>
    <x v="4"/>
    <s v="Live Oak"/>
    <x v="32"/>
    <s v="32060"/>
    <x v="0"/>
    <x v="84"/>
    <x v="183"/>
    <s v="Prior Lapse/NRN"/>
    <s v="Quote only provided. Need app."/>
    <x v="0"/>
    <s v="Asked for app and lapse info.  Insd has several properties. Came in to review to find this one was not covered. Lapse since 2017. 4 star ins score. Had a septic loss at another tenant occupied dwelling. Asking for update info, clarif of claim. (Agt says pipes replaced, offered no mold, higher water ded.) // 4/23/19 received addl details. Loss was at diff rental loc. Home updated fully 12 years ago. No galvanized."/>
    <m/>
    <m/>
    <s v="Patterson"/>
    <m/>
    <m/>
    <n v="0"/>
  </r>
  <r>
    <x v="448"/>
    <s v="Burns"/>
    <s v="MI"/>
    <s v="Jill"/>
    <m/>
    <s v="Dennis"/>
    <s v="Adam"/>
    <x v="0"/>
    <s v="Nashville "/>
    <x v="5"/>
    <n v="37214"/>
    <x v="5"/>
    <x v="84"/>
    <x v="183"/>
    <s v="Losses"/>
    <s v="Insured lives in home built in 1958. Frame construction. Do not see what renovations have been done, if any."/>
    <x v="3"/>
    <s v="Confirm age of roof, electrical and plumbing and handle according to the guidelines (given age of home). No liability allowed. Suggest minimum water deductible of $10k. Charge for the three losses"/>
    <m/>
    <m/>
    <s v="Lazovik"/>
    <m/>
    <m/>
    <n v="0"/>
  </r>
  <r>
    <x v="388"/>
    <s v="Burns"/>
    <s v="MI"/>
    <s v="Alexa"/>
    <m/>
    <s v="Jones"/>
    <s v="Paige"/>
    <x v="0"/>
    <s v="Ironton"/>
    <x v="36"/>
    <n v="63650"/>
    <x v="4"/>
    <x v="84"/>
    <x v="183"/>
    <s v="PC"/>
    <s v="Large fire loss at a previous address due to lightening. Home was 25 miles from the home and was complete loss. About $78k loss. This is different home with water damage, wind and extended coverage Perils of $21,366. Insurance Score is an 'R'. Home has CSA for burglary and fire. Complete updates in 2000. Lapse as they moved in a month ago."/>
    <x v="1"/>
    <s v="With the large loss, PPC and lapse for two months, the risk as a whole does not look favorable."/>
    <m/>
    <m/>
    <s v="Lazovik"/>
    <m/>
    <m/>
    <n v="1"/>
  </r>
  <r>
    <x v="449"/>
    <s v="Burns"/>
    <s v="MI"/>
    <s v="Leslie"/>
    <m/>
    <s v="O'Flanagan"/>
    <s v="Sandra"/>
    <x v="0"/>
    <s v="Grafton"/>
    <x v="40"/>
    <n v="44044"/>
    <x v="3"/>
    <x v="84"/>
    <x v="183"/>
    <s v="Losses"/>
    <s v="Open total fire loss ($249,929). Cause is undetermined. IS is a 'K'.  Home was re-built in 2018 after the fire."/>
    <x v="0"/>
    <s v="Waiting for reason another 45 days on open claim. Referral guide cautions open physical damage claims. Will need to charge for 2 losses as there is another one listed on the app. Water loss from 2015. Pending contents settlement, losses are repaired. "/>
    <m/>
    <m/>
    <s v="Lazovik"/>
    <m/>
    <m/>
    <n v="0"/>
  </r>
  <r>
    <x v="126"/>
    <s v="Burns"/>
    <s v="MI"/>
    <s v="Leslie"/>
    <s v="Email"/>
    <s v="Wagner, Edna"/>
    <m/>
    <x v="0"/>
    <s v="Greensburg"/>
    <x v="17"/>
    <m/>
    <x v="0"/>
    <x v="84"/>
    <x v="183"/>
    <s v="Commercial property adjacent"/>
    <s v="This is a row house between 2 commercial businesses. Prior vandalism 2015 $1400. Water from fridge 2015 $3000."/>
    <x v="0"/>
    <s v="What are the neighboring businesses? Details on vandalism?//6/27. Businesses sound fine and insd has installed lighted (theft of copper from AC unit)"/>
    <m/>
    <m/>
    <s v="Patterson"/>
    <m/>
    <m/>
    <n v="0"/>
  </r>
  <r>
    <x v="129"/>
    <s v="Burns"/>
    <s v="MI"/>
    <s v="Danielle"/>
    <s v="Email"/>
    <s v="Wall, William &amp; Teresa"/>
    <m/>
    <x v="0"/>
    <s v="Irving"/>
    <x v="23"/>
    <m/>
    <x v="5"/>
    <x v="84"/>
    <x v="183"/>
    <s v="Business on premise"/>
    <s v="1962 home w/updates. Insd has Cool 2 Inc. business on property. House is fenced off. No foot traffic. 4 employees. They rent out tents, tables, equipment, generators for events. Reviewed aerial photo of property and business website online. 2012 roof loss noted on app - no detail."/>
    <x v="3"/>
    <s v="• Add the Total Business Exclusion form_x000a_• Add a Building Exclusion for specifically listing any structures on the property that are used and/or insured commercially_x000a_• Obtain information on the 2012 roof claim noted on the app - what happened? What was the total amount of damage?  Have all repairs been made?  (This is outside the surcharge period, but we still want to know.)_x000a_"/>
    <m/>
    <m/>
    <s v="Patterson"/>
    <m/>
    <m/>
    <n v="0"/>
  </r>
  <r>
    <x v="248"/>
    <s v="Burns"/>
    <s v="MI"/>
    <s v="Leslie"/>
    <s v="Email"/>
    <s v="DiCristo, David"/>
    <m/>
    <x v="0"/>
    <s v="Milwaukee WI PC2"/>
    <x v="3"/>
    <m/>
    <x v="0"/>
    <x v="84"/>
    <x v="183"/>
    <s v="Prior bankruptcy"/>
    <s v="1943 home updated. Questioned Cov A due to online photos and discrepancy w/SF. Ran ins score - both show discharged bankruptcy and decent scores."/>
    <x v="3"/>
    <s v="Approved subject to verification of Cov A."/>
    <m/>
    <m/>
    <s v="Patterson"/>
    <m/>
    <m/>
    <n v="0"/>
  </r>
  <r>
    <x v="281"/>
    <s v="SCU"/>
    <s v="CO"/>
    <s v="Allison"/>
    <s v="Email"/>
    <s v="Schippel, Jeff"/>
    <m/>
    <x v="0"/>
    <s v="Sedalia"/>
    <x v="19"/>
    <m/>
    <x v="6"/>
    <x v="84"/>
    <x v="184"/>
    <s v="Woodstove primary/rate reduction"/>
    <s v="1969 home updated. Appears there is a heat system, but woodstove is used as primary. Agent looking for rate match to Lex $1043. Markel rater without brush s/c is $1309."/>
    <x v="1"/>
    <s v="Don't want to come down that much for a PC9 in brush."/>
    <m/>
    <m/>
    <s v="Patterson"/>
    <m/>
    <m/>
    <n v="1"/>
  </r>
  <r>
    <x v="450"/>
    <s v="SCU"/>
    <s v="CO"/>
    <s v="Allison"/>
    <s v="Email"/>
    <s v="Phillips, Dianne"/>
    <m/>
    <x v="0"/>
    <s v="Denver "/>
    <x v="19"/>
    <m/>
    <x v="8"/>
    <x v="84"/>
    <x v="153"/>
    <s v="Bankruptcy/Losses"/>
    <s v="1983 home with 2013 Chapter 7 bankruptcy and 3 losses.  Roof loss paid in 6/15, never fixed. Insured has refinanced and will use part of that money and some left from claim to replace roof. "/>
    <x v="1"/>
    <s v="Concern w/moral hazard. Bankruptcy and losses raise a red flag. Insurance score under 550."/>
    <m/>
    <m/>
    <s v="Patterson"/>
    <m/>
    <m/>
    <n v="1"/>
  </r>
  <r>
    <x v="191"/>
    <s v="JM Wilson"/>
    <s v="MI"/>
    <s v="Lori"/>
    <s v="Email"/>
    <s v="Meadows"/>
    <s v="Brenda Mingo"/>
    <x v="0"/>
    <s v="Charlotte"/>
    <x v="11"/>
    <m/>
    <x v="11"/>
    <x v="84"/>
    <x v="185"/>
    <s v="Lapse"/>
    <s v="1968 dwelling with unknown updates. Underwriter &quot;guessed&quot; at dates. 1 year lapse due to nonrenewed and agency did not replace in error.  Rated as PC7-underwriter &quot;guessed&quot;. Not all UW questions answered."/>
    <x v="3"/>
    <s v="Addl 10% for lapse. Signed no loss. Add roof excl (suppl says roof it 26-50 years old). I ran PPC - it is PC1 - advised UW not to guess. All UW questions need to be answered."/>
    <m/>
    <m/>
    <s v="Patterson"/>
    <m/>
    <m/>
    <n v="0"/>
  </r>
  <r>
    <x v="205"/>
    <s v="Hull CA"/>
    <s v="Stockton"/>
    <s v="Lisa"/>
    <s v="Email"/>
    <s v="Lack, Geoffrey"/>
    <m/>
    <x v="16"/>
    <s v="Pioneer CA PC6"/>
    <x v="3"/>
    <m/>
    <x v="0"/>
    <x v="84"/>
    <x v="185"/>
    <s v="Dome home"/>
    <s v="1973 partially updated home. Roof fully updated in 2005.  Medium brush per RM. High per FireLine."/>
    <x v="1"/>
    <s v="We are not a market for dome homes due to inability to get an accurate Covg A."/>
    <m/>
    <m/>
    <m/>
    <m/>
    <m/>
    <n v="1"/>
  </r>
  <r>
    <x v="248"/>
    <s v="Burns"/>
    <s v="MI"/>
    <s v="Leslie"/>
    <s v="Email"/>
    <s v="Karr, Nathan"/>
    <m/>
    <x v="0"/>
    <s v="St. Joseph MO"/>
    <x v="3"/>
    <m/>
    <x v="0"/>
    <x v="84"/>
    <x v="185"/>
    <s v="Yes answer to UW question"/>
    <s v="Insd answered yes to bankruptcy/lien. Ran insurance score. It is low (surcharge category) and shows 22 tax liens."/>
    <x v="1"/>
    <s v="Declined officially due to answer to UW question. Advised SRD of low rating and 22 tax liens."/>
    <m/>
    <m/>
    <s v="Patterson"/>
    <m/>
    <m/>
    <n v="1"/>
  </r>
  <r>
    <x v="343"/>
    <s v="Burns"/>
    <s v="MI"/>
    <s v="Delta"/>
    <s v="Email"/>
    <s v="Stevenson, Margie"/>
    <m/>
    <x v="1"/>
    <s v="Evansville"/>
    <x v="17"/>
    <m/>
    <x v="3"/>
    <x v="84"/>
    <x v="186"/>
    <s v="Business on Premises"/>
    <s v="1902 home updated in 2000. No losses per email. Dwelling will be converted to bookstore. Has coml covgs in place. Looking to insure personal liab and &quot;back dwelling&quot;. Write w/business excl and oth struc excl."/>
    <x v="3"/>
    <s v="Need answers to business on prem questions. Addl info about the 2 structures.  Per Delta, separate building. Approved subj to excl of bookstore bldg and Total Business Excl."/>
    <m/>
    <m/>
    <s v="Patterson"/>
    <m/>
    <m/>
    <n v="0"/>
  </r>
  <r>
    <x v="451"/>
    <s v="Burns"/>
    <s v="MI"/>
    <s v="Jeff"/>
    <m/>
    <s v="Long"/>
    <s v="Robert"/>
    <x v="0"/>
    <s v="Little Rock"/>
    <x v="37"/>
    <s v="72223"/>
    <x v="11"/>
    <x v="84"/>
    <x v="4"/>
    <s v="Business on Premises"/>
    <s v="1961 home w/roof update only. Business on prem - screen printing and sales. Lapse for 18 mos. Due to non pay. T score. Wind/hail $1,000 prior loss."/>
    <x v="1"/>
    <s v="Concern with older home, lapse, loss, low score, along with our AR results."/>
    <m/>
    <m/>
    <s v="Patterson"/>
    <m/>
    <m/>
    <n v="1"/>
  </r>
  <r>
    <x v="452"/>
    <s v="JM Wilson"/>
    <s v="MI"/>
    <s v="John"/>
    <m/>
    <s v="Hohulin"/>
    <s v="Martin Jr &amp; Marilyn"/>
    <x v="4"/>
    <s v="Fort Scott"/>
    <x v="28"/>
    <s v="66701"/>
    <x v="4"/>
    <x v="84"/>
    <x v="4"/>
    <s v="Business on Premises"/>
    <s v="1920 home w/full updates. Insd has 80 acres w/cattle operations. Silo and other barns per pics. Home looks in decent condition.  This is &quot;seasonal&quot; inherited home, but insured is retired. It is about 45 miles from primary home."/>
    <x v="2"/>
    <s v="Asked questions about most concerning liability issues (# cattle, meat processing, check fencing). If those check out, this risk is in line w/others we approved w/ liability exclusion, no cov B, Total Business Excl, Farm policy. Also need older home app and protection class app."/>
    <m/>
    <m/>
    <s v="Patterson"/>
    <m/>
    <m/>
    <n v="0"/>
  </r>
  <r>
    <x v="159"/>
    <s v="Burns"/>
    <s v="MI"/>
    <s v="Jill"/>
    <s v="Email"/>
    <s v="Rombalski"/>
    <s v="Megan &amp; Rom, Jordan"/>
    <x v="0"/>
    <s v="Tucson"/>
    <x v="7"/>
    <m/>
    <x v="9"/>
    <x v="84"/>
    <x v="4"/>
    <s v="Business on premises"/>
    <s v="1984 home updated. 1 prior loss 7/17 water heater leaked-closed/repaired. Insd has salon in the garage. (Not known if attached or detached) Has business policy. Zoned commercial."/>
    <x v="0"/>
    <s v="• Entrance to salon is separate from the entrance to the dwelling_x000a_• No tanning beds if the garage is attached or within 15 feet of the dwelling_x000a_• No more than 2 chairs if the garage is attached or within 15 feet of the dwelling_x000a_• Exclude the garage structure if it is detached using the Building Exclusion_x000a_• Apply Total Business Exclusion_x000a_// 9/25 heard back. Attached, separate, no tanning, 1 chair. Approved w/TBE."/>
    <m/>
    <n v="38"/>
    <s v="Patterson"/>
    <m/>
    <m/>
    <n v="0"/>
  </r>
  <r>
    <x v="453"/>
    <s v="Burns"/>
    <s v="MI"/>
    <s v="Danielle"/>
    <s v="Email"/>
    <s v="Arnold, Mary &amp; Mankad, Raj"/>
    <m/>
    <x v="0"/>
    <m/>
    <x v="23"/>
    <m/>
    <x v="8"/>
    <x v="84"/>
    <x v="187"/>
    <s v="Business on premise"/>
    <s v="1930 home w/updates. Insured has detached apartment/garage that has a studio insured uses to hold writing classes once a week with about 12 kids._x000a_They will have GL for the business._x000a_ "/>
    <x v="3"/>
    <s v="Business info. If we proceed, Total Business Exclusion and need pier/beam foundation inspected.  5/17 students go to oth str, no one in home. Also added subj to exclude the other structure."/>
    <m/>
    <m/>
    <s v="Patterson"/>
    <m/>
    <m/>
    <n v="0"/>
  </r>
  <r>
    <x v="108"/>
    <s v="Burns"/>
    <s v="MI"/>
    <s v="Alexa"/>
    <s v="Email"/>
    <s v="Breeman, Jason &amp; Cariya"/>
    <m/>
    <x v="37"/>
    <m/>
    <x v="3"/>
    <m/>
    <x v="11"/>
    <x v="84"/>
    <x v="188"/>
    <s v="Prior losses"/>
    <s v="2008 condo w/ 2 prior water losses.  10/16 water leak from 3rd floor bath $19K; 11/16 water leak from outdoor sprinklers $15K. Agent quoting w/$25,000 water damage ded."/>
    <x v="3"/>
    <s v="Confirm reason for NRN"/>
    <m/>
    <m/>
    <s v="Patterson"/>
    <m/>
    <m/>
    <n v="0"/>
  </r>
  <r>
    <x v="90"/>
    <s v="Hull Horsham"/>
    <s v="PA"/>
    <s v="Ray"/>
    <s v="Email"/>
    <s v="McCoy, Johnny C"/>
    <m/>
    <x v="21"/>
    <s v="Corolla"/>
    <x v="11"/>
    <m/>
    <x v="6"/>
    <x v="85"/>
    <x v="189"/>
    <s v="Wind exception"/>
    <s v="1991 home near NC coast. No losses. Had for 7 years; with agency for 15. Has had 1% named storm. Should be exclusion based on guidelines. Agency asking for exception for 3% wind/hail, rate of $1.29; prem $3212.  RUA5492 06 "/>
    <x v="3"/>
    <s v="Ran AAL - $2627 wind and property. Roof exclusion; no oth structures coverage."/>
    <m/>
    <m/>
    <s v="Patterson"/>
    <m/>
    <m/>
    <n v="0"/>
  </r>
  <r>
    <x v="1"/>
    <s v="Quaker"/>
    <s v="MA"/>
    <s v="Lori"/>
    <m/>
    <s v="Gill"/>
    <s v="Joseph &amp; Nancy"/>
    <x v="4"/>
    <s v="Murrells Inlet"/>
    <x v="20"/>
    <s v="29576"/>
    <x v="0"/>
    <x v="86"/>
    <x v="190"/>
    <s v="Other UW Reason"/>
    <s v="Secondary home located in SC, not authorized to write in SC"/>
    <x v="1"/>
    <s v="Advised we are not able to accept a quote in a state they are not authorized. Advised if they have more that they see come through for the state and are interested in adding it to let us know. "/>
    <m/>
    <m/>
    <s v="Busse"/>
    <m/>
    <m/>
    <n v="1"/>
  </r>
  <r>
    <x v="454"/>
    <s v="Burns"/>
    <s v="MI"/>
    <s v="Jeffrey"/>
    <s v="Emails"/>
    <s v="Fisher"/>
    <s v="Angela"/>
    <x v="0"/>
    <m/>
    <x v="36"/>
    <m/>
    <x v="9"/>
    <x v="87"/>
    <x v="191"/>
    <s v="Business on Premises"/>
    <s v="Business-assemble muzzle loaders and ship to customers. O, 1962, fully updated in 2000, HO3, PC 3, RC. This is an &quot;N&quot; insurance score. "/>
    <x v="3"/>
    <s v="even with the exclusions in place, we would not be able to offer liability coverage on this risk. The exposure from most businesses related to firearms are beyond are appetite at this time. However, you do have approval to offer terms on this risk, x-liability."/>
    <m/>
    <m/>
    <s v="Burdine"/>
    <m/>
    <m/>
    <n v="0"/>
  </r>
  <r>
    <x v="455"/>
    <s v="Burns"/>
    <s v="MI"/>
    <s v="Lindsay"/>
    <s v="Email"/>
    <s v="Johnson "/>
    <s v="Yvonne &amp; Craig"/>
    <x v="2"/>
    <s v="Milwaukee"/>
    <x v="12"/>
    <m/>
    <x v="0"/>
    <x v="88"/>
    <x v="181"/>
    <s v="Business on Premises"/>
    <s v="1957 dwelling rented annually. Tenant runs a daycare for 4-8 kids out of house. Foremost found out and got off the risk."/>
    <x v="4"/>
    <s v="OK w/TBE. We are insuring our insured, not the tenant. Tenant has GL"/>
    <s v="Email to Bethany/Louisa for direction. Bethany's response in file. Analysis is this scenario is okay. Ask for a GL to be in place."/>
    <m/>
    <s v="Patterson"/>
    <m/>
    <m/>
    <n v="0"/>
  </r>
  <r>
    <x v="110"/>
    <s v="Burns"/>
    <s v="MI"/>
    <s v="Alexa"/>
    <s v="Email"/>
    <s v="Martineau, Robin"/>
    <m/>
    <x v="0"/>
    <s v="Fergus Falls "/>
    <x v="31"/>
    <m/>
    <x v="2"/>
    <x v="88"/>
    <x v="192"/>
    <s v="Daycare in home"/>
    <s v="1946 home updated in 2000. Insured runs daycare in home licensed for 12 children. Has GL in place."/>
    <x v="3"/>
    <s v="• Excluding liability  _x000a_• Please do not add form BWH0141 as this risk does not qualify for the Burns &amp; Wilcox Daycare program_x000a_• GL must remain in place, controlled by agent_x000a_• Include Total Business Exclusion form – please make sure insured is aware of the restrictions of this form for an in home business.  If any loss occurs related to the business, claims will deny the loss.  (e.g. A bottle warmer used for a daycare child shorts out, starts a fire and the house burns to the ground. Claims would deny all damage to the home, contents, etc.)_x000a_"/>
    <m/>
    <m/>
    <s v="Patterson"/>
    <s v="X"/>
    <s v="No policy on file 7.31.17"/>
    <n v="0"/>
  </r>
  <r>
    <x v="93"/>
    <s v="Hull Horsham"/>
    <s v="PA"/>
    <s v="Nichole"/>
    <s v="Email"/>
    <s v="Evans, John"/>
    <m/>
    <x v="21"/>
    <s v="Gap Mills"/>
    <x v="26"/>
    <m/>
    <x v="6"/>
    <x v="88"/>
    <x v="193"/>
    <s v="Response time"/>
    <s v="1997 log home w/updated plumbing. FD is 4.2 miles away w/8 min drive time. Chief reports 15-20 min which seems honest. Portion of gravel road. Insd has alarm. Agnt surcharged 10%. Lower value."/>
    <x v="4"/>
    <m/>
    <m/>
    <m/>
    <s v="Patterson"/>
    <m/>
    <m/>
    <n v="0"/>
  </r>
  <r>
    <x v="295"/>
    <s v="ASL"/>
    <m/>
    <s v="Tina"/>
    <s v="Email"/>
    <s v="Tartic, David"/>
    <m/>
    <x v="21"/>
    <s v="Heathsville"/>
    <x v="10"/>
    <m/>
    <x v="4"/>
    <x v="89"/>
    <x v="194"/>
    <s v="PC10"/>
    <s v="1989 home, lower value, FD is 7 miles away. Drive time appx 14 mins. It is a volunteer FD, but alarms will be installed."/>
    <x v="3"/>
    <s v="Approved subj to alarms being installed."/>
    <m/>
    <m/>
    <s v="Patterson"/>
    <m/>
    <m/>
    <n v="0"/>
  </r>
  <r>
    <x v="139"/>
    <s v="ASL"/>
    <s v="VA"/>
    <s v="Charity"/>
    <s v="Email"/>
    <s v="Marsh    "/>
    <s v="Arbutus"/>
    <x v="0"/>
    <s v="Ewell"/>
    <x v="29"/>
    <m/>
    <x v="4"/>
    <x v="90"/>
    <x v="195"/>
    <s v="Island"/>
    <s v="1975 home w/updates located on Smith Island. Volunteer FD on island w/9 min response time (2 tankers/2 pumpers) Located on western part of island. Agt quoting w/.61 rate. 45 min ferry ride. Somerset county.  .247 PC1-8 base rate remainder of state."/>
    <x v="0"/>
    <s v="Approved at .61 rate. Notes in file re adequate premium reviewed w/Bethany &amp; Jeff."/>
    <m/>
    <n v="43"/>
    <s v="Patterson"/>
    <m/>
    <m/>
    <n v="0"/>
  </r>
  <r>
    <x v="248"/>
    <s v="Hull CO"/>
    <s v="Horsham"/>
    <s v="Tamika"/>
    <s v="Call"/>
    <s v="Unknown"/>
    <m/>
    <x v="0"/>
    <s v="Virginia Beach"/>
    <x v="3"/>
    <m/>
    <x v="0"/>
    <x v="91"/>
    <x v="0"/>
    <s v="Prior liability loss"/>
    <s v="Prior loss - guest at party pulled out a gun to &quot;show it off&quot; and accidentally shot himself and died. Claim submitted for cleanup. Prior carrier nonrenewed."/>
    <x v="3"/>
    <s v="Approved subject to acceptable app and police report. Make sure to review internet for stories."/>
    <m/>
    <m/>
    <s v="Patterson"/>
    <m/>
    <m/>
    <n v="0"/>
  </r>
  <r>
    <x v="456"/>
    <s v="Burns"/>
    <s v="MI"/>
    <s v="Leslie"/>
    <s v="Email"/>
    <s v="Burroughs"/>
    <s v="Robert &amp; Andrea"/>
    <x v="69"/>
    <s v="Odessa"/>
    <x v="36"/>
    <m/>
    <x v="0"/>
    <x v="91"/>
    <x v="164"/>
    <s v="Earth home"/>
    <s v="1983 home w/ updated roof. Prev inspection in file is okay. Outbuildings excluded. Contents excluded. No water damage since quoting as DP1. Usage unclear. DP1, but app says secondary and rental."/>
    <x v="3"/>
    <s v="Answer to prior ca/nrn question. Confirm occupancy. (Does not make a difference to terms, just need to note file.)"/>
    <m/>
    <n v="19"/>
    <s v="Patterson"/>
    <m/>
    <m/>
    <n v="0"/>
  </r>
  <r>
    <x v="457"/>
    <s v="ASL"/>
    <s v="VA"/>
    <s v="Charity"/>
    <s v="Email"/>
    <s v="Goodwyn, Dora A"/>
    <m/>
    <x v="2"/>
    <s v="Church Road"/>
    <x v="10"/>
    <m/>
    <x v="4"/>
    <x v="91"/>
    <x v="196"/>
    <s v="PC10"/>
    <s v="1968 home updated. No detail on PC10."/>
    <x v="2"/>
    <s v="Asked for name/addr of FD, response, paid/volunteer, etc."/>
    <m/>
    <m/>
    <s v="Patterson"/>
    <m/>
    <m/>
    <n v="0"/>
  </r>
  <r>
    <x v="88"/>
    <s v="Hull Irvine"/>
    <s v="CA"/>
    <s v="Lisa"/>
    <s v="Email"/>
    <s v="Lunde, Everard"/>
    <m/>
    <x v="0"/>
    <s v="Acton"/>
    <x v="1"/>
    <m/>
    <x v="5"/>
    <x v="91"/>
    <x v="197"/>
    <s v="Business on premises"/>
    <s v="No losses, business on premises so quoted w/ total business exclusion"/>
    <x v="3"/>
    <s v="granted approval to release terms subject to x-liability, building exclusions on any outbuildings used for the business (if any), and with the total business exclusion in place.  Advised if can provide specific business info and separation (appears to be a water delivery business), then can consider w/ liab. During review, also noted that there is a obituary from October 2016 w/applicants name so requested confirmation on who we are quoting"/>
    <m/>
    <m/>
    <s v="Burdine"/>
    <m/>
    <m/>
    <n v="0"/>
  </r>
  <r>
    <x v="280"/>
    <s v="Bolton"/>
    <s v="AL"/>
    <s v="Janet"/>
    <s v="Email"/>
    <s v="Smith, Terry"/>
    <m/>
    <x v="0"/>
    <s v="Diamondhead"/>
    <x v="16"/>
    <m/>
    <x v="0"/>
    <x v="92"/>
    <x v="104"/>
    <s v="No insurance for 3 years"/>
    <s v="Insured could not previously afford the insurance, now they have a loan and need it."/>
    <x v="1"/>
    <s v="Ran insurance score - was in the next to lowest tier."/>
    <m/>
    <m/>
    <s v="Patterson"/>
    <m/>
    <m/>
    <n v="1"/>
  </r>
  <r>
    <x v="158"/>
    <s v="Burns"/>
    <s v="MI"/>
    <s v="Jill"/>
    <s v="Email"/>
    <s v="Montoya"/>
    <s v="Janiece"/>
    <x v="79"/>
    <s v="Denver"/>
    <x v="19"/>
    <m/>
    <x v="0"/>
    <x v="92"/>
    <x v="198"/>
    <s v="Prior losses"/>
    <s v="11/16 and 1/17 water backup. 7/16 leaking pipe. Agent writing on HO-8 (named perils excludes water)"/>
    <x v="4"/>
    <m/>
    <m/>
    <n v="18"/>
    <s v="Patterson"/>
    <m/>
    <m/>
    <n v="0"/>
  </r>
  <r>
    <x v="94"/>
    <s v="Burns"/>
    <s v="NE"/>
    <s v="Alexa"/>
    <s v="Email"/>
    <s v="Rush, Melinda"/>
    <m/>
    <x v="0"/>
    <s v="Omaha"/>
    <x v="38"/>
    <m/>
    <x v="9"/>
    <x v="93"/>
    <x v="199"/>
    <s v="Daycare in home"/>
    <s v="1920 home updated. Insured runs 12 child daycare in home. Wants total business excl. 5/16 Hail $12K; 8/16 Wind $3868. Found 2 other losses on app 5/12 Hail $10K; 5/13 Wind $6585. No info on where daycare is insured."/>
    <x v="3"/>
    <s v="• 5% (five percent) W/H ded = $7811_x000a_• Add 15% additional surcharge/debit for frequency/severity of W/H claims_x000a_• Excluding liability – we’re not comfortable offering liability with a daycare in the home_x000a_• Include Total Business Exclusion form – please make sure insured is aware of the severe restrictions of this form for an in home business.  If any loss occurs related to the business, claims will deny the loss.  (e.g. A bottle warmer used for a daycare child shorts out, starts a fire and the house burns to the ground. Claims would deny all damage to the home and contents.)_x000a_• A commercial liability policy for the daycare must be in place (this lets us know the risk has been underwritten and gives us a comfort level with our property exposure)_x000a_"/>
    <m/>
    <m/>
    <s v="Patterson"/>
    <m/>
    <m/>
    <n v="0"/>
  </r>
  <r>
    <x v="458"/>
    <s v="Hull CO"/>
    <s v="PA"/>
    <s v="Tamika"/>
    <s v="Email"/>
    <s v="Sprinkle, John"/>
    <m/>
    <x v="1"/>
    <s v="Falling Waters WV PC10"/>
    <x v="3"/>
    <m/>
    <x v="0"/>
    <x v="94"/>
    <x v="200"/>
    <s v="Total fire still open"/>
    <s v="Total fire loss due to faulty bathroom fan. Subrogated. Claim is still open, but insured is starting rebuild. PC10"/>
    <x v="0"/>
    <s v="Asked for unprotected questionnaire and other info in email. Info came back, re-evaluated. Was pending, converted to Approved."/>
    <m/>
    <m/>
    <s v="Patterson"/>
    <m/>
    <m/>
    <n v="0"/>
  </r>
  <r>
    <x v="83"/>
    <s v="Burns NC"/>
    <s v="NC"/>
    <s v="Anella"/>
    <s v="Email"/>
    <s v="Holmes, Mark"/>
    <m/>
    <x v="0"/>
    <s v="Manteo"/>
    <x v="11"/>
    <m/>
    <x v="2"/>
    <x v="95"/>
    <x v="201"/>
    <s v="Ins Score"/>
    <s v="1993 home. 5 mi from coast. Low ins score, home &gt;10 years old. "/>
    <x v="4"/>
    <s v="Reviewed w/Tim. Comfortable with risk."/>
    <m/>
    <m/>
    <s v="Patterson"/>
    <m/>
    <m/>
    <n v="0"/>
  </r>
  <r>
    <x v="336"/>
    <s v="Burns"/>
    <s v="MI"/>
    <s v="Jill"/>
    <s v="Email"/>
    <s v="Ron-Doug-Robert Liebl Living Est"/>
    <m/>
    <x v="62"/>
    <s v="Nashville "/>
    <x v="28"/>
    <m/>
    <x v="4"/>
    <x v="96"/>
    <x v="94"/>
    <s v="PC"/>
    <s v="1916 dwelling w/updates. 192 acres farmed and leased. Dwelling coverage only-x-liab. .64 rate quoted."/>
    <x v="3"/>
    <s v=".75 rate ($1,200). Confirm updates on OHQ (except water since DP1). Confirm condition w/inspection."/>
    <m/>
    <m/>
    <s v="Patterson"/>
    <m/>
    <m/>
    <n v="0"/>
  </r>
  <r>
    <x v="148"/>
    <s v="Burns"/>
    <s v="MI"/>
    <s v="Danielle"/>
    <s v="Email"/>
    <s v="Jamieson"/>
    <s v="Christopher"/>
    <x v="21"/>
    <s v="Mercer"/>
    <x v="12"/>
    <m/>
    <x v="4"/>
    <x v="96"/>
    <x v="94"/>
    <s v="Response time"/>
    <s v="1925 risk fully updated in 2017. No alarms. 22 minute drive time by volunteer fire dept. Not paved, not visible, accessible. 2 woodstoves-have quest on 1. $1029 prem (.64) 9+ families (relatives) use the home."/>
    <x v="3"/>
    <s v="WBS quest, EHQ, 30% surcharge."/>
    <m/>
    <n v="33"/>
    <s v="Patterson"/>
    <m/>
    <m/>
    <n v="0"/>
  </r>
  <r>
    <x v="459"/>
    <s v="Burns"/>
    <s v="MI"/>
    <s v="Jill"/>
    <m/>
    <s v="Sheldon"/>
    <s v="Jason"/>
    <x v="5"/>
    <s v="Antioch"/>
    <x v="1"/>
    <s v="98282"/>
    <x v="9"/>
    <x v="96"/>
    <x v="103"/>
    <s v="Prior Lapse/NRN"/>
    <s v="1928 dwelling that insured has owned since 2008 with no insurance. Purchased and just now wants to get coverage since it is going to be for sale. Also, no listing of updates to home. "/>
    <x v="1"/>
    <s v="Declined due to length of time without insurance. Seems to be a bit of a moral and morale hazard."/>
    <m/>
    <m/>
    <s v="Busse"/>
    <m/>
    <m/>
    <n v="1"/>
  </r>
  <r>
    <x v="118"/>
    <s v="Hull Horsham"/>
    <m/>
    <s v="Andrea"/>
    <s v="Email"/>
    <s v="Digiovanni, Gerard &amp; Audrey"/>
    <m/>
    <x v="2"/>
    <s v="West Dennis"/>
    <x v="21"/>
    <m/>
    <x v="0"/>
    <x v="96"/>
    <x v="104"/>
    <s v="2 units"/>
    <s v="Policy written as DP3 w/2 units added together under Cov A. Appears unit 1 is seasonal w/rental and unit 2 is rental."/>
    <x v="3"/>
    <s v="Advised agt to write as HO3 w/ rental and add Cov B for 2nd unit. Rate as 2 family. If both are rental, no seasonal, DP3 w/Cov A unit 1, Cov B unit 2. Rate as 2 family."/>
    <m/>
    <m/>
    <s v="Patterson"/>
    <m/>
    <m/>
    <n v="0"/>
  </r>
  <r>
    <x v="44"/>
    <s v="Hull Irvine"/>
    <s v="CA"/>
    <s v="Bobbi"/>
    <s v="Email"/>
    <s v="Kriezel"/>
    <s v="Curtiss"/>
    <x v="0"/>
    <s v="Wrightwood"/>
    <x v="1"/>
    <m/>
    <x v="8"/>
    <x v="96"/>
    <x v="202"/>
    <s v="Other UW Reason"/>
    <s v="1957 home fully updated in the 70's-90s however it is unknown if there is lead plumbing. Agent applied $5,000 water damage deductible but wants to know if they can bind with water damage exclusion and remove if no lead."/>
    <x v="3"/>
    <s v="Home looks to be in ok condition (listed online). The roof appears to be older and have asked for ACV settlement. There is also what appears to be a terraced area in the back. Have asked agent to review the area and take appropriate action if warranted."/>
    <m/>
    <m/>
    <s v="Lazovik"/>
    <m/>
    <m/>
    <n v="0"/>
  </r>
  <r>
    <x v="460"/>
    <s v="Burns"/>
    <s v="MI"/>
    <s v="Rachel"/>
    <s v="Email"/>
    <s v="THE RIVERA-CORUM LIV"/>
    <s v="THE RIVERA-CORUM LIV"/>
    <x v="23"/>
    <s v="Placerville"/>
    <x v="1"/>
    <m/>
    <x v="4"/>
    <x v="96"/>
    <x v="203"/>
    <s v="Response Time "/>
    <s v="renewal policy-BWH100719R1-secondary rental home for the above applicant located in CA, in brush. Home was built in 1950 with full updates to heating, wiring, roofing and plumbing in 2007. It is built of 100% frame construction. PC10. No losses. Response time 17 minutes;"/>
    <x v="3"/>
    <s v="there is a closer volunteer FD that is on call to assist should there be a report; lower valued, renews 12/22/2017…subject to issues noted on attached inspection being addressed(e.g. brush clearance)"/>
    <m/>
    <m/>
    <s v="Burdine"/>
    <m/>
    <m/>
    <n v="0"/>
  </r>
  <r>
    <x v="439"/>
    <s v="Burns"/>
    <s v="MI"/>
    <s v="Leslie"/>
    <s v="Email"/>
    <s v="Readdick, Cocoa"/>
    <m/>
    <x v="16"/>
    <s v="Hird Island"/>
    <x v="18"/>
    <m/>
    <x v="21"/>
    <x v="96"/>
    <x v="204"/>
    <s v="PC10/TIV"/>
    <s v="2000 dwelling w/no rental, no losses. Could not find exact addr online, but map shows &gt;2 miles. "/>
    <x v="1"/>
    <s v="Seasonal, no alarms, not accessible, long response time from volunteers by boat. Definite total loss if a fire starts. Advised Leslie to write back with supporting info and pricing rec if she feels strongly about writing."/>
    <m/>
    <m/>
    <s v="Patterson"/>
    <m/>
    <m/>
    <n v="1"/>
  </r>
  <r>
    <x v="437"/>
    <s v="Burns"/>
    <s v="MI"/>
    <s v="Rachel"/>
    <s v="Email"/>
    <s v="Layne"/>
    <s v="Charles"/>
    <x v="0"/>
    <m/>
    <x v="37"/>
    <m/>
    <x v="4"/>
    <x v="96"/>
    <x v="198"/>
    <s v="PC"/>
    <s v="Attached is a primary home for the above applicant located in AR. Home was built in 2007. It is frame construction, no alarms. PC10. No losses."/>
    <x v="3"/>
    <s v="You have approval to offer terms on this risk. From the one pic I was able to locate online, this may have a supplemental heating device. If that is correct, please review with the applicant and handle accordingly."/>
    <m/>
    <m/>
    <s v="Burdine"/>
    <m/>
    <m/>
    <n v="0"/>
  </r>
  <r>
    <x v="112"/>
    <s v="Burns"/>
    <m/>
    <s v="Danielle"/>
    <s v="Email"/>
    <s v="Baginski, Michael"/>
    <m/>
    <x v="0"/>
    <s v="Pacific Palisades"/>
    <x v="1"/>
    <m/>
    <x v="11"/>
    <x v="96"/>
    <x v="205"/>
    <s v="TIV"/>
    <s v="1977 home updated in 2010. Not in brush. Alarms."/>
    <x v="4"/>
    <m/>
    <m/>
    <m/>
    <s v="Patterson"/>
    <m/>
    <m/>
    <n v="0"/>
  </r>
  <r>
    <x v="461"/>
    <s v="Burns"/>
    <s v="MI"/>
    <s v="Jeff"/>
    <m/>
    <s v="Story"/>
    <s v="Corinne"/>
    <x v="0"/>
    <s v="Buhl"/>
    <x v="45"/>
    <s v="83316"/>
    <x v="8"/>
    <x v="97"/>
    <x v="206"/>
    <s v="Losses"/>
    <s v="2001 frame home. WBS secondary heat. Bankruptcy started in 2015; closed 2/13/17. Info indicates it was due to taxes which are now paid.  4 losses since 2014. 3/14 wind damage to roof $11K. 3/15 toilet overflow $9K. 6/17 toilet overflow $7K. 7/18 contents stolen from truck $760."/>
    <x v="1"/>
    <s v="Concern with score, losses, bankruptcy."/>
    <s v="Next to lowest tier score. Report shows broader info than what was provided. Home entered foreclosure and was part of bankruptcy."/>
    <m/>
    <s v="Patterson"/>
    <m/>
    <m/>
    <n v="1"/>
  </r>
  <r>
    <x v="265"/>
    <s v="Burns"/>
    <s v="MI"/>
    <s v="Jeff"/>
    <s v="Email/Call"/>
    <s v="Witkowski, Anna"/>
    <m/>
    <x v="0"/>
    <s v="Pittsburg"/>
    <x v="2"/>
    <m/>
    <x v="3"/>
    <x v="98"/>
    <x v="185"/>
    <s v="Retaining wall issue"/>
    <s v="1943 home fully updated. Photos included of severely leaning rear retaining wall. It is contained in a fenced rear yard."/>
    <x v="3"/>
    <s v="Reviewed HO3 language. Collapse would not be covered. Injury would most likely be to a resident, unless there was guest. We can't let it go. Choices are 55 days or 1 year. Discussed w/Jeff. He is sending copy of the Travelers NRN. Understands wall would need to be fixed. Approved subj to repair in 55 days, or cancellation and R/W to policy X-liability. Include existing damage exclusion. Added 20% s/c for total prem of $1540."/>
    <m/>
    <m/>
    <s v="Patterson"/>
    <m/>
    <m/>
    <n v="0"/>
  </r>
  <r>
    <x v="273"/>
    <s v="SCU"/>
    <s v="CO"/>
    <s v="Allison"/>
    <s v="Email"/>
    <s v="Mullins Property Co"/>
    <m/>
    <x v="72"/>
    <s v="Almont"/>
    <x v="19"/>
    <m/>
    <x v="4"/>
    <x v="99"/>
    <x v="207"/>
    <s v="Stand alone other structure"/>
    <s v="1994 log garage used seasonally with the home across the street. Storage is normal garage items. Deadbolt. 6B but agent rated 10. Applied $5,000 theft ded."/>
    <x v="4"/>
    <m/>
    <m/>
    <m/>
    <s v="Patterson"/>
    <m/>
    <m/>
    <n v="0"/>
  </r>
  <r>
    <x v="462"/>
    <s v="AmWINS"/>
    <s v="LA"/>
    <s v="Crystal"/>
    <m/>
    <s v="Papamichael"/>
    <s v="Chris   "/>
    <x v="2"/>
    <s v="New Orleans "/>
    <x v="0"/>
    <s v="70130"/>
    <x v="9"/>
    <x v="100"/>
    <x v="145"/>
    <s v="Losses"/>
    <s v="2008 rental home. No pets allowed but insd wants $50K animal liability. Insured's Jack Russel bit an uninvited person who reached over the fence. $17,500 paid and the claim is closed. Loss occurred almost 3 years ago. Insured still has the dog.  This loss was at the insured's residence, not this location."/>
    <x v="2"/>
    <s v="Reviewing w/Bethany. Outstanding concern is if the insured brings the dog with him to this rental property and this dog bites someone. We do have an exclusion for a dog that bit before. However, at this rental property, higher duty is owed to tenant and guests. Advised I could approve now for property only. I can also approve liab w/animal exclusion at this point."/>
    <s v="Ins score = 5 star"/>
    <m/>
    <s v="Patterson"/>
    <m/>
    <m/>
    <n v="0"/>
  </r>
  <r>
    <x v="31"/>
    <s v="JM Wilson"/>
    <s v="MI"/>
    <s v="John"/>
    <s v="Email"/>
    <s v="Crite"/>
    <s v="Betty"/>
    <x v="0"/>
    <s v="Greensboro"/>
    <x v="11"/>
    <m/>
    <x v="11"/>
    <x v="100"/>
    <x v="145"/>
    <s v="Rate"/>
    <s v="Has a cheaper quote from Lex and wants us to match. 1952 home with 5 prior claims.  Had tenants in there, now owner occ. Not all claims could be attributed to tenant. They are home maintenance and others."/>
    <x v="1"/>
    <s v="Advised $5k AOP, no credit and charge for all losses."/>
    <m/>
    <m/>
    <s v="Patterson"/>
    <m/>
    <m/>
    <n v="1"/>
  </r>
  <r>
    <x v="463"/>
    <s v="Burns"/>
    <m/>
    <s v="Jill"/>
    <s v="Email"/>
    <s v="Fulton, Airon"/>
    <m/>
    <x v="0"/>
    <s v="Marrero, LA"/>
    <x v="3"/>
    <m/>
    <x v="0"/>
    <x v="100"/>
    <x v="208"/>
    <s v="Lapse"/>
    <s v="1971 home, updated, no losses. Lapse is more than 180 days and Jill wants us to lower the rate $540 to match."/>
    <x v="1"/>
    <s v="Declining as I don't feel comfortable lowering the rate based on the substantial lapse. "/>
    <m/>
    <m/>
    <s v="Trott"/>
    <m/>
    <m/>
    <n v="1"/>
  </r>
  <r>
    <x v="464"/>
    <s v="Hull Horsham"/>
    <m/>
    <s v="Tamika"/>
    <s v="Email"/>
    <s v="Smith, Tyronne"/>
    <m/>
    <x v="0"/>
    <s v="Glassboro"/>
    <x v="9"/>
    <m/>
    <x v="0"/>
    <x v="100"/>
    <x v="209"/>
    <s v="Prior loss"/>
    <s v="1979 home w/ partial updates. 8/13 water loss $13K; 12/14 fire loss $262K. Fire Marshal report included. "/>
    <x v="1"/>
    <s v="Ins score in the surcharge category 660. Med bill in collection; verizon prior collection; $10K credit card debt. Fire report has wrong date of loss. Verified signers of the report and that Wednesday was 12/24/14. Thursday was 12/25/15. Believe it is a typo vs. fake. Verbiage in report is suspect, but with score, not worth confirming if valid."/>
    <m/>
    <m/>
    <s v="Patterson"/>
    <m/>
    <m/>
    <n v="1"/>
  </r>
  <r>
    <x v="75"/>
    <s v="Burns"/>
    <s v="MI"/>
    <s v="Jill"/>
    <s v="Email"/>
    <s v="Renner, Debby"/>
    <m/>
    <x v="0"/>
    <s v="Farmington "/>
    <x v="37"/>
    <m/>
    <x v="9"/>
    <x v="101"/>
    <x v="5"/>
    <s v="Business on premises"/>
    <s v="Insured owns/operates an RV park on the premises. Coml covg in place. 1963 updated home. Good online reviews and nice home pics."/>
    <x v="3"/>
    <s v="Okay as long as dwelling isn't used for park registrations, etc and there is a separate office for handling that. Verify what Cov B includes and exclude any business structures.//2/27 info came back that this is the office, no other str. Approved x-liab; w/TBE; confirm office only."/>
    <m/>
    <m/>
    <s v="Patterson"/>
    <m/>
    <m/>
    <n v="0"/>
  </r>
  <r>
    <x v="465"/>
    <s v="AmWINS"/>
    <s v="LA"/>
    <s v="Crystal"/>
    <m/>
    <s v="Wren"/>
    <s v="John &amp; Angela"/>
    <x v="4"/>
    <s v="Greensburg"/>
    <x v="0"/>
    <s v="70441"/>
    <x v="4"/>
    <x v="102"/>
    <x v="103"/>
    <s v="PC"/>
    <s v="New construction, insured states he is there 3-4 times per week. FD is 5.9 miles with 12 min response time. Everything appears to be in line"/>
    <x v="4"/>
    <s v="Approved terms as quoted. "/>
    <m/>
    <m/>
    <s v="Busse"/>
    <m/>
    <m/>
    <n v="0"/>
  </r>
  <r>
    <x v="34"/>
    <s v="Hull Irvine"/>
    <s v="CA"/>
    <s v="Bobbi"/>
    <s v="Email"/>
    <s v="DGML Real Estate LLC"/>
    <m/>
    <x v="2"/>
    <s v="San Diego"/>
    <x v="1"/>
    <m/>
    <x v="11"/>
    <x v="102"/>
    <x v="210"/>
    <s v="Occupancy/Use"/>
    <s v="Tenant is a hoarder. Stacks of belongings in yard. No interior photos. 1927 dwelling with only partial updates. Prior carrier cancelling due to condition.  Insd says they are cleaning up and tenant will be out in a few months. Want 7/1/18 eff date for top agent. "/>
    <x v="1"/>
    <s v="Concerned of the morale hazard w/older home/partial updates.  Advised if we had an EHP, it might help. Although if we saw interior, we may not want to write."/>
    <m/>
    <m/>
    <s v="Patterson"/>
    <m/>
    <m/>
    <n v="1"/>
  </r>
  <r>
    <x v="48"/>
    <s v="Burns"/>
    <s v="MI"/>
    <s v="Rachel"/>
    <s v="Email"/>
    <s v="Allgood"/>
    <s v="Debra"/>
    <x v="6"/>
    <s v="Naperville"/>
    <x v="4"/>
    <m/>
    <x v="8"/>
    <x v="102"/>
    <x v="210"/>
    <s v="Losses"/>
    <s v="1939 frame home. Large loss on January 29th, 2018 for fire with open reserves of $105k. They are using a licensed and insured contractor (and all subs)."/>
    <x v="3"/>
    <s v="Mostly water damage at the back of the house."/>
    <m/>
    <m/>
    <s v="Lazovik"/>
    <m/>
    <m/>
    <n v="0"/>
  </r>
  <r>
    <x v="113"/>
    <s v="ASL"/>
    <s v="VA"/>
    <s v="Charity"/>
    <s v="Email"/>
    <s v="Dudley, Gregory"/>
    <m/>
    <x v="0"/>
    <s v="Bumpass"/>
    <x v="10"/>
    <m/>
    <x v="6"/>
    <x v="102"/>
    <x v="211"/>
    <s v="Response time"/>
    <s v="PC9 with 8-9 minute response time. 2004 home."/>
    <x v="4"/>
    <m/>
    <m/>
    <m/>
    <s v="Patterson"/>
    <m/>
    <m/>
    <n v="0"/>
  </r>
  <r>
    <x v="119"/>
    <s v="ASL"/>
    <s v="VA"/>
    <s v="Charity"/>
    <s v="Email"/>
    <s v="France, Kay"/>
    <m/>
    <x v="0"/>
    <s v="Virginia Beach"/>
    <x v="10"/>
    <m/>
    <x v="4"/>
    <x v="102"/>
    <x v="211"/>
    <s v="PC10"/>
    <s v="1945 home w/all systems updated. Roof in 2015. "/>
    <x v="0"/>
    <s v="name/address of responding fire station, paid or volunteer, response time, all paved roads?  (Online photos show the home is visible to neighbors.)  6/15 Volunteer FD 5 min 1.7 mi paved."/>
    <m/>
    <m/>
    <s v="Patterson"/>
    <m/>
    <m/>
    <n v="0"/>
  </r>
  <r>
    <x v="283"/>
    <s v="Hull CA"/>
    <s v="Irvine"/>
    <s v="Alison"/>
    <s v="Email"/>
    <s v="Sheedy, Debra"/>
    <m/>
    <x v="2"/>
    <s v="Twain harte"/>
    <x v="1"/>
    <m/>
    <x v="9"/>
    <x v="102"/>
    <x v="212"/>
    <s v="Question on policy form"/>
    <s v="Brother is full time resident. Insured uses seasonally per agent.  Risk is 4 hours away from insured's primary. Insured is State Farm Agent. Fireplace insert in home per app - minimal info."/>
    <x v="3"/>
    <s v="Since bro is full time resident, approved DP3 vs. HO3. Subj to insured checking flue annually."/>
    <m/>
    <m/>
    <s v="Patterson"/>
    <m/>
    <m/>
    <n v="0"/>
  </r>
  <r>
    <x v="335"/>
    <s v="Burns"/>
    <s v="MI"/>
    <s v="Jill"/>
    <s v="Email"/>
    <s v="Marquis"/>
    <s v="Jayson"/>
    <x v="80"/>
    <s v="Poplar Bluff"/>
    <x v="36"/>
    <m/>
    <x v="14"/>
    <x v="102"/>
    <x v="213"/>
    <s v="Business on Premises"/>
    <s v="Primary home built in 2014. Runs boat business on the property (selling and customizing). Foot traffic from customers coming to get their boats."/>
    <x v="1"/>
    <s v="Not interested in this risk due to the exposure."/>
    <m/>
    <m/>
    <s v="Lazovik"/>
    <m/>
    <m/>
    <n v="1"/>
  </r>
  <r>
    <x v="140"/>
    <s v="Burns"/>
    <s v="MI"/>
    <s v="Rachel"/>
    <s v="Email"/>
    <s v="Begala   BWH105269"/>
    <s v="Kristian"/>
    <x v="0"/>
    <s v="Allegan"/>
    <x v="8"/>
    <m/>
    <x v="11"/>
    <x v="103"/>
    <x v="214"/>
    <s v="14 chickens"/>
    <s v="1969 home w/1 water loss 2016 $2925. $2500 water damage ded applied. Insured has 14 penned chickens on property. "/>
    <x v="3"/>
    <s v="Confirm no business, no buying/selling, no egg sales without further review."/>
    <m/>
    <n v="10"/>
    <s v="Patterson"/>
    <m/>
    <m/>
    <n v="0"/>
  </r>
  <r>
    <x v="143"/>
    <s v="Hull Irvine"/>
    <m/>
    <s v="Alex"/>
    <s v="Call/Email"/>
    <s v="Trevino "/>
    <s v="Josie"/>
    <x v="39"/>
    <s v="Victorville"/>
    <x v="1"/>
    <m/>
    <x v="5"/>
    <x v="104"/>
    <x v="169"/>
    <s v="Prior loss"/>
    <s v="Prior tenant's adult child w/mental illness started a fire -2015 - $100K. That tenant moved out."/>
    <x v="0"/>
    <s v="Agent may quote, but proof of loss (fire marshal or carrier report) needed prior to bind. Markel to review.//8/11 fire report reviewed, okay."/>
    <m/>
    <n v="21"/>
    <s v="Patterson"/>
    <m/>
    <m/>
    <n v="0"/>
  </r>
  <r>
    <x v="393"/>
    <s v="Burns"/>
    <s v="MI"/>
    <s v="Leslie"/>
    <m/>
    <s v="Fehrenbacher"/>
    <s v="Kevin"/>
    <x v="0"/>
    <s v="St. Peters"/>
    <x v="36"/>
    <s v="63376"/>
    <x v="9"/>
    <x v="105"/>
    <x v="5"/>
    <s v="Business on Premises"/>
    <s v="1959 home w/ part updates. Insd has scrap metal business in fenced back yard."/>
    <x v="1"/>
    <s v="Scrap metal business is high theft and high liability exposure. Even with TBE and GL in place, this is a concerning exposure."/>
    <s v="Ins score L = surcharge"/>
    <m/>
    <s v="Patterson"/>
    <m/>
    <m/>
    <n v="1"/>
  </r>
  <r>
    <x v="354"/>
    <s v="SCU"/>
    <s v="CO"/>
    <s v="Allison"/>
    <s v="Email"/>
    <s v="Smedsrud, Andrew"/>
    <m/>
    <x v="0"/>
    <s v="Colorado Springs CO"/>
    <x v="3"/>
    <m/>
    <x v="0"/>
    <x v="106"/>
    <x v="215"/>
    <s v="Addl Insured"/>
    <s v="1935 home fully updated in 2006. Mother bought home, son is buying it from her.  "/>
    <x v="4"/>
    <s v="Allison and I agree, this is a Land Contract situation where it is appropriate to add the owner as an Addl Insured."/>
    <m/>
    <m/>
    <s v="Patterson"/>
    <m/>
    <m/>
    <n v="0"/>
  </r>
  <r>
    <x v="466"/>
    <s v="Burns"/>
    <s v="MI"/>
    <s v="Rachel"/>
    <s v="Email"/>
    <s v="Vankooten"/>
    <s v="Ruth"/>
    <x v="2"/>
    <m/>
    <x v="34"/>
    <m/>
    <x v="2"/>
    <x v="106"/>
    <x v="216"/>
    <s v="Business on Premises"/>
    <s v="nr due to roof condition, agent quoted with roof exclusion and existing damage exclusion. Day care on premises owned by tenant"/>
    <x v="3"/>
    <s v="quoted exclusions, TBE, an GL maintained"/>
    <m/>
    <m/>
    <s v="Burdine"/>
    <m/>
    <m/>
    <n v="0"/>
  </r>
  <r>
    <x v="321"/>
    <s v="Burns"/>
    <s v="MI"/>
    <s v="Rachel"/>
    <m/>
    <s v="Risley"/>
    <s v="James"/>
    <x v="0"/>
    <s v="Dillard"/>
    <x v="35"/>
    <s v="97432"/>
    <x v="5"/>
    <x v="106"/>
    <x v="217"/>
    <s v="Business on Premises"/>
    <s v="1947 home w/some updates. Repair garage in detached structure which is said to be 30 feet from the dwelling. Separate GL policy. Good ins score."/>
    <x v="2"/>
    <s v="Online shows garage very close to dwelling, maybe attached by a fence. Must prove distance. If ok, add TBE and exclude liability due to increased concern with garage. Higher concern for injury that TBE may not hold up."/>
    <m/>
    <m/>
    <s v="Patterson"/>
    <m/>
    <m/>
    <n v="0"/>
  </r>
  <r>
    <x v="467"/>
    <s v="Burns"/>
    <s v="MI"/>
    <s v="Jill"/>
    <s v="Email"/>
    <s v="Allamon, Wesley"/>
    <m/>
    <x v="0"/>
    <s v="Washington PA PC6"/>
    <x v="3"/>
    <m/>
    <x v="0"/>
    <x v="107"/>
    <x v="218"/>
    <s v="Rent to Own"/>
    <s v="1910 fully updated. Insured is renting to own and &quot;owner&quot; is listed as mortgagee."/>
    <x v="0"/>
    <s v="Asked for contract info to ensure insured has insurable interest, and &quot;owner&quot; has right to be listed as mtg."/>
    <s v="Received and looks in order. Approved 5/6/16"/>
    <m/>
    <s v="Patterson"/>
    <m/>
    <m/>
    <n v="0"/>
  </r>
  <r>
    <x v="468"/>
    <s v="Burns"/>
    <s v="MI"/>
    <s v="Ben"/>
    <s v="Email"/>
    <s v="Diehl, Brad"/>
    <m/>
    <x v="81"/>
    <s v="Corunna"/>
    <x v="17"/>
    <m/>
    <x v="14"/>
    <x v="108"/>
    <x v="219"/>
    <s v="Business on premises"/>
    <s v="1995 home with Certified Harley Davidson repair shop in separate building on property. Aerial photo received. Business insured w/another carrier."/>
    <x v="3"/>
    <s v="1.Name of business - Dynamic Diagnostics - no website 2.Same address as dwelling._x000a_3.45 feet between business and dwelling._x000a_4.Yes, there is a separate policy for property and GL for the business, and yes the agent controls that business._x000a__x000a_*Looks good since separate structure. Approved w/full business exclusion"/>
    <m/>
    <m/>
    <s v="Patterson"/>
    <m/>
    <m/>
    <n v="0"/>
  </r>
  <r>
    <x v="351"/>
    <s v="Burns"/>
    <s v="MI"/>
    <s v="Lindsay"/>
    <m/>
    <s v="Freytag"/>
    <s v="Kurt"/>
    <x v="0"/>
    <s v="Lima"/>
    <x v="40"/>
    <n v="45804"/>
    <x v="5"/>
    <x v="109"/>
    <x v="220"/>
    <s v="Losses"/>
    <s v="One open total fire loss on previous residence. Primary home built in 1993 with roof updated in 2004.  Above ground pool with approved fence. "/>
    <x v="3"/>
    <s v="The prior fire was due to furnace connection on older furnace and was found to be accidental (due to corrosion). The current home is in good condition."/>
    <m/>
    <m/>
    <s v="Lazovik"/>
    <m/>
    <m/>
    <n v="0"/>
  </r>
  <r>
    <x v="469"/>
    <s v="SCU"/>
    <s v="CO"/>
    <s v="Allison"/>
    <s v="Email"/>
    <s v="Hastman"/>
    <s v="James &amp; Kelly"/>
    <x v="2"/>
    <s v="Denver"/>
    <x v="19"/>
    <m/>
    <x v="8"/>
    <x v="110"/>
    <x v="104"/>
    <s v="Prior Lapse/NRN"/>
    <s v="This is a detached garage that has a suite above it that they rent out short term with more than 2 nights minimum.  The insured’s primary home is on the same property, and insured with Travelers, but they will not insure the outbuilding due to short term rental.  We quoted this back in August, but the construction wasn’t finished so they didn’t take the policy.  Construction is now complete, but there has been a lapse since construction started on the outbuilding."/>
    <x v="3"/>
    <s v="other building exclusion listing home since on same address"/>
    <m/>
    <m/>
    <s v="Burdine"/>
    <m/>
    <m/>
    <n v="0"/>
  </r>
  <r>
    <x v="346"/>
    <s v="Burns"/>
    <s v="MI"/>
    <s v="Nicole"/>
    <m/>
    <s v="White  "/>
    <s v="Richard"/>
    <x v="2"/>
    <s v="Andrews"/>
    <x v="17"/>
    <s v="46702"/>
    <x v="4"/>
    <x v="110"/>
    <x v="105"/>
    <s v="PC"/>
    <s v="1949 dwelling w/updates. Response time under 15 min w/ 11 min drive plus volunteer FD. 60 acres of rented farming use-farm liab policy. No Cov B-barn excluded and covered elsewhere."/>
    <x v="3"/>
    <s v="Confirmed rental and future endorse to vacant when son moves out. Confirm 60 acres farmed for crops- no other use or animals. Require farm liab. There is no Cov B, so no barn coverage. Barn is insured elsewhere."/>
    <m/>
    <m/>
    <s v="Patterson"/>
    <m/>
    <m/>
    <n v="0"/>
  </r>
  <r>
    <x v="97"/>
    <s v="ASL"/>
    <s v="VA"/>
    <s v="Garry"/>
    <s v="Email"/>
    <s v="Meehan, Nathan"/>
    <m/>
    <x v="2"/>
    <s v="Alexandria"/>
    <x v="10"/>
    <m/>
    <x v="2"/>
    <x v="110"/>
    <x v="181"/>
    <s v="Prior losses"/>
    <s v="11/15 water leak; 1/17 burst pipe. 1949 home plumbing updated to PVC in 05. Garry checking to see if this is okay or more info needed. $2500 ded applied."/>
    <x v="3"/>
    <s v="Suggested possibility of plumbing not updated completely - could be galvanized. Suggest inspection. Higher water ded if it is galvanized."/>
    <m/>
    <m/>
    <s v="Patterson"/>
    <m/>
    <m/>
    <n v="0"/>
  </r>
  <r>
    <x v="470"/>
    <s v="Burns"/>
    <s v="MI"/>
    <s v="Jill"/>
    <m/>
    <s v="Nolen"/>
    <s v="Scott &amp; Patricia"/>
    <x v="4"/>
    <s v="Benson"/>
    <x v="7"/>
    <s v="85602"/>
    <x v="4"/>
    <x v="110"/>
    <x v="150"/>
    <s v="PC"/>
    <s v="1952 updated home. FRC. 40 min response time. Quoted w/20% s/c."/>
    <x v="4"/>
    <s v=".80 rate and 40 min within range of our exception agreement. Lower value with longer response time okay. // MP 5/21/19 Agt changed quote to apply water damage exclusion because there is galvanized plumbing in bathroom."/>
    <s v="C ins score.  Verified drive time to be 28 min, 15.7 mi."/>
    <m/>
    <s v="Patterson"/>
    <m/>
    <m/>
    <n v="0"/>
  </r>
  <r>
    <x v="467"/>
    <s v="Hull CA"/>
    <s v="Stockton"/>
    <s v="Lisa"/>
    <s v="Email"/>
    <s v="Heiss, Randy"/>
    <m/>
    <x v="2"/>
    <s v="Bella Vista CA PC10"/>
    <x v="3"/>
    <m/>
    <x v="0"/>
    <x v="110"/>
    <x v="221"/>
    <s v="PC10/20 min response"/>
    <s v="1999 full time rental in med-high brush zone. Volunteer FD, 21 acres, woodstove. No alarms."/>
    <x v="1"/>
    <s v="Explained issues:21 acres (could be an issued depending on where home is situated)_x000a_Woodburning stove used by tenants_x000a_No alarms_x000a_Volunteer fire department_x000a_Medium-high brush zone_x000a_"/>
    <m/>
    <m/>
    <s v="Patterson"/>
    <m/>
    <m/>
    <n v="1"/>
  </r>
  <r>
    <x v="471"/>
    <s v="Hull CO"/>
    <s v="Horsham"/>
    <s v="Andrea"/>
    <s v="Email"/>
    <s v="Downs, David"/>
    <m/>
    <x v="23"/>
    <s v="Thomas"/>
    <x v="26"/>
    <m/>
    <x v="18"/>
    <x v="110"/>
    <x v="222"/>
    <s v="Home on national registry"/>
    <s v="1910 home gutted and remodeled in 2016. 10% ord/law. Rented 10-14 weeks. Per agt home is beautiful. Found online historic district that encompasses 48 buildings in this area."/>
    <x v="0"/>
    <s v="• With this home being on the National Registry, are there ever any tours conducted of the home, or any events held at the home related to this?_x000a_• Could you please forward me either a recent inspection or a web address to look at interior/exterior photos?_x000a_• Was the interior completely gutted, or was some of the architecture maintained?  Are walls drywall or plaster?  Original woodwork or new?  Any unique features inside?_x000a_• What are the attributes of the home that have it on the historic register._x000a_• Is this quoted with Modified Functional Replacement Cost?• What kind of requirements are there from the registry for maintaining the condition or features should a loss occur?_x000a_• Do you need the 6% credit to be competitive?  We typically add a 10% surcharge for homes on National Registry due to additional exposure if there is a loss._x000a_"/>
    <s v="Agreed to write with MFRC and 10% surcharge per answers from agent."/>
    <m/>
    <s v="Patterson"/>
    <m/>
    <m/>
    <n v="0"/>
  </r>
  <r>
    <x v="80"/>
    <s v="SCU"/>
    <s v="CO"/>
    <s v="Allison"/>
    <s v="Email"/>
    <s v=" Allor, Charles &amp; Wendy"/>
    <m/>
    <x v="6"/>
    <s v="Englewood"/>
    <x v="19"/>
    <m/>
    <x v="8"/>
    <x v="110"/>
    <x v="223"/>
    <s v="Mid term builders risk"/>
    <s v="1939 home w/reno mostly complete. Home closed in, still walls, final elec/hear, floor, kitch, bath. Licensed contractor. Big agent for Allison. Insured never responded to questions last fall to take coverage then. 20% s/c added."/>
    <x v="4"/>
    <m/>
    <m/>
    <m/>
    <s v="Patterson"/>
    <m/>
    <m/>
    <n v="0"/>
  </r>
  <r>
    <x v="472"/>
    <s v="AmWINS"/>
    <s v="FL"/>
    <s v="Niki"/>
    <m/>
    <s v="Byrd"/>
    <s v="Steve &amp; Jackie"/>
    <x v="0"/>
    <s v="Crawfordville"/>
    <x v="32"/>
    <s v="32327"/>
    <x v="2"/>
    <x v="110"/>
    <x v="47"/>
    <s v="Condition"/>
    <s v="2019 new build. Dwelling with carport on either side. Metal siding similar to a barn roofline. 44 acres, no farming."/>
    <x v="3"/>
    <s v="Okay with metal siding. Asked questions to confirm prof constr and no WBS."/>
    <m/>
    <m/>
    <s v="Patterson"/>
    <m/>
    <m/>
    <n v="0"/>
  </r>
  <r>
    <x v="94"/>
    <s v="Hull Horsham"/>
    <s v="NJ"/>
    <s v="Lisa"/>
    <s v="Email"/>
    <s v="Hill, John "/>
    <m/>
    <x v="0"/>
    <s v="N Middletown"/>
    <x v="9"/>
    <m/>
    <x v="0"/>
    <x v="110"/>
    <x v="224"/>
    <s v="Bankruptcy"/>
    <s v="Insured had bankruptcy in 2014. 1937 home updated. Online photos ok. Tried running ins score - no hit. Only have dob, common name."/>
    <x v="0"/>
    <s v="Need ss# to run ins score. Ins doesn't want a hit against his credit score due to financing for a mortgage. Declined but offered to take a look at a credit report the mortgage co could send and possibly that would help us.//Credit score averages 650/818. Considered fair per internet search. Asked for employment info: Foreman for First Transit, Cincinnati OH for 11 years. Stable employment. Score not bad for bankruptcy in 2014."/>
    <m/>
    <m/>
    <s v="Patterson"/>
    <m/>
    <m/>
    <n v="0"/>
  </r>
  <r>
    <x v="473"/>
    <s v="Burns"/>
    <s v="MI"/>
    <s v="Danielle"/>
    <s v="Email"/>
    <s v="Rice"/>
    <s v="Mary J"/>
    <x v="0"/>
    <s v="Cape May"/>
    <x v="9"/>
    <m/>
    <x v="6"/>
    <x v="110"/>
    <x v="225"/>
    <s v="Prior Lapse/NRN"/>
    <s v="1940 dwelling updated on 2008. No losses. On pilings .2 miles from coast. Prior nrn. Lapsed 7/17/18. Agt to get no loss statement."/>
    <x v="1"/>
    <s v="Ran insurance score - okay."/>
    <m/>
    <m/>
    <s v="Patterson"/>
    <m/>
    <m/>
    <n v="1"/>
  </r>
  <r>
    <x v="474"/>
    <s v="Burns"/>
    <s v="MI"/>
    <s v="Leslie"/>
    <s v="Email"/>
    <s v="Sparks, Mike &amp; Alyson"/>
    <m/>
    <x v="0"/>
    <s v="Diamond"/>
    <x v="36"/>
    <m/>
    <x v="3"/>
    <x v="110"/>
    <x v="225"/>
    <s v="Business on premises"/>
    <s v="1990 home w/new roof in 2016. 2 prior losses. 2/16 wind $6649; 5/15 lightning/electrical $8483. Insd has body shop on property in separate building 25 feet from the dwelling. Employees, customers, etc. Excluding building and Total Business Exclusion. "/>
    <x v="4"/>
    <s v="Approve excluding building and w/Total Business Exclusion. 75' is enough space between. Good online reviews of the business. Operated since 2006. Insured w/AutoOwners."/>
    <m/>
    <m/>
    <s v="Patterson"/>
    <m/>
    <m/>
    <n v="0"/>
  </r>
  <r>
    <x v="475"/>
    <s v="ASL"/>
    <s v="VA"/>
    <s v="Charity"/>
    <s v="Email"/>
    <s v="Riley, Stephen D"/>
    <m/>
    <x v="21"/>
    <s v="Heathsville VA PC 10"/>
    <x v="3"/>
    <m/>
    <x v="0"/>
    <x v="110"/>
    <x v="225"/>
    <s v="PC10"/>
    <s v="Near sound, not first row. $2500 AOP. "/>
    <x v="4"/>
    <s v="Email to Jeff - need to check AAL? Not needed per Jeff"/>
    <m/>
    <m/>
    <s v="Patterson"/>
    <m/>
    <m/>
    <n v="0"/>
  </r>
  <r>
    <x v="128"/>
    <s v="Burns"/>
    <s v="MI"/>
    <s v="Alexa"/>
    <s v="Email"/>
    <s v="Johnson, Meredith M"/>
    <m/>
    <x v="21"/>
    <s v="Fishlake"/>
    <x v="22"/>
    <m/>
    <x v="4"/>
    <x v="110"/>
    <x v="226"/>
    <s v="PC10"/>
    <s v="1944 home updated in 2014. No alarms. 30-40 min response, not accessible. Zip 84701 not on moratorium list. Y answer to UW question on app.  .74 pricing. $2500 ded. Notes say excellent condition and no woodstove."/>
    <x v="3"/>
    <s v="not within 20 mi of an active fire. Resolve Y answer to &quot;Any brush, flood, forest fire, landslide&quot;"/>
    <m/>
    <m/>
    <s v="Patterson"/>
    <m/>
    <m/>
    <n v="0"/>
  </r>
  <r>
    <x v="476"/>
    <s v="Burns"/>
    <s v="MI"/>
    <s v="Rachel"/>
    <s v="Email"/>
    <s v="Hager"/>
    <s v="Breeze"/>
    <x v="0"/>
    <m/>
    <x v="8"/>
    <m/>
    <x v="0"/>
    <x v="110"/>
    <x v="227"/>
    <s v="Business on Premises"/>
    <s v="daycare-6 kids, no GL, German sheppard (quoted with animal exclusion)"/>
    <x v="3"/>
    <s v="Approved only if secure GL, and apply TBE and animal exclusion"/>
    <m/>
    <m/>
    <s v="Burdine"/>
    <m/>
    <m/>
    <n v="0"/>
  </r>
  <r>
    <x v="477"/>
    <s v="Burns"/>
    <s v="MI"/>
    <s v="Nicole"/>
    <s v="Email"/>
    <s v="Lloyd"/>
    <s v="Dustin"/>
    <x v="0"/>
    <s v="Pretty Prairie"/>
    <x v="28"/>
    <m/>
    <x v="0"/>
    <x v="110"/>
    <x v="228"/>
    <s v="Business on Premises"/>
    <s v="1919 home fully updated w/RC. Agt getting EHP suppl w/inspection. Equine operation on prem quoting w/Markel. No liability. Barns excluded."/>
    <x v="4"/>
    <m/>
    <m/>
    <s v="Patterson"/>
    <s v="Lazovik"/>
    <m/>
    <m/>
    <n v="0"/>
  </r>
  <r>
    <x v="104"/>
    <s v="Burns"/>
    <s v="MI"/>
    <s v="Jill"/>
    <s v="Email"/>
    <s v="Loyd, Dustin"/>
    <m/>
    <x v="0"/>
    <s v="Pretty Prairie"/>
    <x v="28"/>
    <m/>
    <x v="0"/>
    <x v="110"/>
    <x v="228"/>
    <s v="Year built/Equine exposure"/>
    <s v="1919 home fully updated w/RC. Agt getting EHP suppl w/inspection. Equine operation on prem quoting w/Markel. No liability. Barns excluded."/>
    <x v="3"/>
    <s v="Subj to barn excl and EHP suppl. Will review post-issuance."/>
    <m/>
    <m/>
    <s v="Patterson"/>
    <m/>
    <m/>
    <n v="0"/>
  </r>
  <r>
    <x v="51"/>
    <s v="Burns"/>
    <s v="MI"/>
    <s v="David"/>
    <s v="Email"/>
    <s v="Kelly"/>
    <s v="Robert"/>
    <x v="0"/>
    <s v="Nevada City"/>
    <x v="1"/>
    <m/>
    <x v="4"/>
    <x v="110"/>
    <x v="229"/>
    <s v="Prior Lapse/NRN"/>
    <s v="PC 10 with 14 min drive time. Property was not insurable for a little over a year after purchase. They have renovated the home and now want to insure it. Applicant grows vegetables for the farmers market on the land. 5 acres. Frame construction built in 1980 with full updates to wiring, roofing and plumbing. "/>
    <x v="1"/>
    <s v="Due to distance to fire station and PC Code, Jeff opted to decline"/>
    <m/>
    <m/>
    <s v="May"/>
    <m/>
    <m/>
    <n v="1"/>
  </r>
  <r>
    <x v="478"/>
    <s v="Burns"/>
    <s v="MI"/>
    <s v="David"/>
    <s v="Email"/>
    <s v="Kelly"/>
    <s v="Robert"/>
    <x v="0"/>
    <s v="Nevada City"/>
    <x v="1"/>
    <m/>
    <x v="4"/>
    <x v="110"/>
    <x v="229"/>
    <s v="PC"/>
    <s v="PC10 single home in high brush zone"/>
    <x v="1"/>
    <s v="Not interested in PC10 brush at this point if the home is by itself and not accessible by more than 1 road"/>
    <m/>
    <m/>
    <s v="May"/>
    <m/>
    <m/>
    <n v="1"/>
  </r>
  <r>
    <x v="479"/>
    <s v="SCU"/>
    <s v="CO"/>
    <s v="Alison"/>
    <s v="Email"/>
    <s v="Denmore, LLC"/>
    <s v="Denmore, LLC"/>
    <x v="82"/>
    <s v="Boulder"/>
    <x v="19"/>
    <m/>
    <x v="5"/>
    <x v="110"/>
    <x v="5"/>
    <s v="139 acres/lapse"/>
    <s v="Approved in April, but insured did not secure coverage at that time for unknown reason. Now interested in pursuing quote again. Agt applied 10% surcharge to quote due to the lapse"/>
    <x v="1"/>
    <s v="Declined due to 6 month lapse, and unclear why sudden decision to insure. Advised should there have in fact been coverage in place since April, could reconsider"/>
    <m/>
    <m/>
    <s v="Burdine"/>
    <m/>
    <m/>
    <n v="1"/>
  </r>
  <r>
    <x v="372"/>
    <s v="Hull Irvine"/>
    <s v="CA"/>
    <s v="Alison"/>
    <s v="Email"/>
    <s v="Streltsov"/>
    <s v="Vladislav"/>
    <x v="2"/>
    <s v="Valley Glen"/>
    <x v="1"/>
    <m/>
    <x v="0"/>
    <x v="110"/>
    <x v="230"/>
    <s v="Losses"/>
    <s v="the fire was caused by fire under the chimney. All repairs were getting completed last week. Insured has reinforced the fireplace. The payout amount was just under $16K."/>
    <x v="3"/>
    <s v="the fire was caused by fire under the chimney. All repairs were getting completed last week. Insured has reinforced the fireplace. The payout amount was just under $16K."/>
    <m/>
    <m/>
    <s v="Burdine"/>
    <m/>
    <m/>
    <n v="0"/>
  </r>
  <r>
    <x v="328"/>
    <s v="Burns"/>
    <s v="MI"/>
    <s v="David"/>
    <s v="Email"/>
    <s v="Twitchell"/>
    <s v="Richard"/>
    <x v="0"/>
    <s v="Riverdale"/>
    <x v="22"/>
    <m/>
    <x v="5"/>
    <x v="111"/>
    <x v="0"/>
    <s v="Losses"/>
    <s v="$100K claim-child fell at pool (off 8 in platform) in 2017. Quoted with pool exclusion and added surcharge"/>
    <x v="3"/>
    <s v="Approved with rush inspection, confirmed that platform removed or not a liability concern to rest of premises"/>
    <m/>
    <m/>
    <s v="Burdine"/>
    <m/>
    <m/>
    <n v="0"/>
  </r>
  <r>
    <x v="480"/>
    <s v="JM Wilson"/>
    <s v="MI"/>
    <s v="John"/>
    <m/>
    <s v="Young"/>
    <s v="James &amp; Donna"/>
    <x v="0"/>
    <s v="Winnebago "/>
    <x v="4"/>
    <s v="61115"/>
    <x v="0"/>
    <x v="112"/>
    <x v="231"/>
    <s v="Losses"/>
    <s v="1940 home updated in 2015. $8K hail loss. 4/18 fire loss due to water heater malfunction $159K."/>
    <x v="1"/>
    <s v="Need C&amp;O or Fire Marshal report. Ok'd rate indication only.  // Got a report but it is the first responder report.  Indicates lots of clothing in laundry room and water heater malfunction possibly caught clothes on fire. Consider this some negligence, so declined. Advised if a fire marshal report &quot;clears&quot; the insured, send it over."/>
    <m/>
    <m/>
    <s v="Patterson"/>
    <m/>
    <m/>
    <n v="1"/>
  </r>
  <r>
    <x v="35"/>
    <s v="RPS Covington"/>
    <s v="LA"/>
    <s v="Hillary"/>
    <s v="Email"/>
    <s v="Mcnemar"/>
    <s v="Vickie"/>
    <x v="0"/>
    <s v="Columbia"/>
    <x v="0"/>
    <m/>
    <x v="0"/>
    <x v="113"/>
    <x v="232"/>
    <s v="High Profile"/>
    <s v="2016 fire claim for a payout of 110,000."/>
    <x v="2"/>
    <s v="Requested additional information on fire loss as no details provided"/>
    <m/>
    <m/>
    <s v="Burdine"/>
    <m/>
    <m/>
    <n v="0"/>
  </r>
  <r>
    <x v="149"/>
    <s v="Burns NC"/>
    <s v="NC"/>
    <s v="Anella"/>
    <s v="Email"/>
    <s v="Mears"/>
    <s v="James"/>
    <x v="83"/>
    <m/>
    <x v="11"/>
    <m/>
    <x v="0"/>
    <x v="114"/>
    <x v="0"/>
    <s v="Lapse"/>
    <s v="New quote with lapse from 7/17/17 to 8/24/17. Insured thought they had renewed their prior policy."/>
    <x v="3"/>
    <s v="Signed no loss. Verify location is not Suffolk, VA."/>
    <m/>
    <n v="12"/>
    <s v="Patterson"/>
    <m/>
    <m/>
    <n v="0"/>
  </r>
  <r>
    <x v="328"/>
    <s v="Burns"/>
    <s v="MI"/>
    <s v="Rachel"/>
    <s v="Email"/>
    <s v="Schroeder"/>
    <s v="Samantha"/>
    <x v="0"/>
    <m/>
    <x v="12"/>
    <m/>
    <x v="0"/>
    <x v="115"/>
    <x v="233"/>
    <s v="Losses"/>
    <s v="built in 1940 with full updates to heating in 1999, wiring in 2007, roof in 2000 and plumbing in 2017 offering FRC dwelling settlement. Frame, PC2, one large fire loss"/>
    <x v="1"/>
    <s v="Fire loss insured negligence, due to deep fryer left unattended. "/>
    <m/>
    <m/>
    <s v="Burdine"/>
    <m/>
    <m/>
    <n v="1"/>
  </r>
  <r>
    <x v="481"/>
    <s v="Burns"/>
    <s v="MI"/>
    <s v="Ben"/>
    <s v="Email"/>
    <s v="Crossin, Jay"/>
    <m/>
    <x v="70"/>
    <s v="Harvey's Lake"/>
    <x v="2"/>
    <m/>
    <x v="6"/>
    <x v="115"/>
    <x v="234"/>
    <s v="Pier home on water"/>
    <s v="2011 frame home on piers on Harvey's Lake. Photo does not look like floating home. "/>
    <x v="3"/>
    <s v="Approved subj to conf this is not a floating home. Not a market we are looking for, but okay with a DP1."/>
    <m/>
    <m/>
    <s v="Patterson"/>
    <m/>
    <m/>
    <n v="0"/>
  </r>
  <r>
    <x v="236"/>
    <s v="Hull CO"/>
    <s v="Horsham"/>
    <s v="Nichole"/>
    <s v="Email"/>
    <s v="Riddell, Michael"/>
    <m/>
    <x v="0"/>
    <s v="Alderson WV PC5"/>
    <x v="3"/>
    <m/>
    <x v="0"/>
    <x v="115"/>
    <x v="235"/>
    <s v="Prior loss"/>
    <s v="1960 home updated. New purchase for $55,000. RC $178,000. Insured is a gutter contractor. 2/5/15 insured burned his owned duplex down trying to thaw out frozen pipes."/>
    <x v="1"/>
    <s v="Poor insurance score. Moral hazard concern.  Called Nichole to explain."/>
    <m/>
    <m/>
    <s v="Patterson"/>
    <m/>
    <m/>
    <n v="1"/>
  </r>
  <r>
    <x v="482"/>
    <s v="Hull CO"/>
    <s v="Horsham"/>
    <s v="Tamika"/>
    <s v="Email"/>
    <s v="Hewett, Melanie"/>
    <m/>
    <x v="0"/>
    <s v="Martinsburg WV PC6"/>
    <x v="3"/>
    <m/>
    <x v="0"/>
    <x v="116"/>
    <x v="236"/>
    <s v="3 prior claims"/>
    <s v="1980 home, no updates. Insd has 3 prior claims: 12/2/13 $765 damage to roof; 9/3/14 $16,689 stolen car driven into house; 1/24/16 $189,372 total weight of snow collapsed roof."/>
    <x v="4"/>
    <s v="WV didn't have a bad winter per Weather Underground.  Questions to agent:  • Was the prior home the insured’s primary residence as well?_x000a_• How deep was the snow that caused the collapse_x000a_• How did the snow build up to a level that it caused a collapse?_x000a_• Was there a structural issue with the home that caused the collapse?_x000a_• Is there any maintenance plan in place to deal with this in the future?_x000a_Roof exclusion required if not fully updated."/>
    <s v="Loss was during the fluke January 2016 blizzard. The weight of snow was for 1 storm. The insured could not get out to clear it because of the storm."/>
    <m/>
    <s v="Patterson"/>
    <m/>
    <m/>
    <n v="0"/>
  </r>
  <r>
    <x v="433"/>
    <s v="Burns"/>
    <s v="MI"/>
    <s v="Jeffrey"/>
    <s v="Email"/>
    <s v="Merrell"/>
    <s v="Kevin"/>
    <x v="0"/>
    <s v="Ashdown"/>
    <x v="37"/>
    <m/>
    <x v="5"/>
    <x v="117"/>
    <x v="237"/>
    <s v="Business on Premises"/>
    <s v="Referred due to fish market on premises. Primary home, with updates to roof and heating within last 5 years, and partial updates to plumbing and wiring. Fish market appeared to be ran out of front end of home from an attached structure. No CGL in place. Asking $100,000 liability. Stated 1-5 customers a day, 15 a week. "/>
    <x v="1"/>
    <s v="Declined due to no CGL in place. Not a high limit of liability requested, but dealing with raw fish was a concern. The area where the business was conducted was in a structure attached to the home. Higher amount of foot traffic, based on info provided seemed to be more than 15 people a week. "/>
    <m/>
    <m/>
    <s v="Busse"/>
    <m/>
    <m/>
    <n v="1"/>
  </r>
  <r>
    <x v="201"/>
    <s v="Hull CO"/>
    <s v="PA"/>
    <s v="Tamika"/>
    <s v="Email"/>
    <s v="Like, Lily"/>
    <m/>
    <x v="0"/>
    <s v="Steelton PA PC?"/>
    <x v="3"/>
    <m/>
    <x v="0"/>
    <x v="118"/>
    <x v="0"/>
    <s v="Row House"/>
    <s v="1944 updated in 2007. 2 prior wind losses. No fire walls. Photo online shows run down condition and neighboring properties questionable."/>
    <x v="1"/>
    <m/>
    <m/>
    <m/>
    <s v="Patterson"/>
    <m/>
    <m/>
    <n v="1"/>
  </r>
  <r>
    <x v="306"/>
    <s v="SCU"/>
    <s v="CO"/>
    <s v="Ashley"/>
    <s v="Email"/>
    <s v="Rubinfeld, Julie"/>
    <m/>
    <x v="67"/>
    <s v="Mendham"/>
    <x v="9"/>
    <m/>
    <x v="4"/>
    <x v="118"/>
    <x v="222"/>
    <s v="Response time 35-45 min"/>
    <s v="1939 log home w/metal roof. In brush. Home professionally winterized. Propane heat.  WBS is never used. Risk is for large coml agt SCU is trying to build PL business with. $1M liability. Rated as DP1; added 15% debit."/>
    <x v="3"/>
    <s v="Approved as quoted subj to brush clearance."/>
    <m/>
    <m/>
    <s v="Patterson"/>
    <m/>
    <m/>
    <n v="0"/>
  </r>
  <r>
    <x v="483"/>
    <s v="Burns"/>
    <s v="MI"/>
    <s v="Ben"/>
    <s v="Email"/>
    <s v="Garcia, Debra"/>
    <m/>
    <x v="0"/>
    <s v="Bradley CA PC6"/>
    <x v="1"/>
    <m/>
    <x v="3"/>
    <x v="118"/>
    <x v="238"/>
    <s v="Built around trees"/>
    <s v="1988 frame home updated in 2001. In brush. Hard money loan thru individual. No alarms"/>
    <x v="0"/>
    <s v="Need more info - is this a tree house? See email w/questions. Water damage per online photos. If we go forward, individual is okay as lien. Need brush and branches cleared."/>
    <s v="Not a tree house. Professionally built. Insd having roof, windows, skylight replaced. Approved subj to:  • Trees being removed or branches and brush being trimmed per requirements in wildfire mitigation form._x000a_• Existing damage exclusion _x000a_• Roof exclusion_x000a_• Confirmation of repairs of source of ceiling water damage. Agent says roof, windows and skylight are being replaced. Once confirmation is of repairs is received, you could remove the roof exclusion._x000a_"/>
    <m/>
    <s v="Patterson"/>
    <m/>
    <m/>
    <n v="0"/>
  </r>
  <r>
    <x v="484"/>
    <s v="ASL"/>
    <m/>
    <s v="Tina"/>
    <s v="Email"/>
    <s v="Barham, Edward"/>
    <m/>
    <x v="21"/>
    <s v="North VA PC10"/>
    <x v="3"/>
    <m/>
    <x v="0"/>
    <x v="118"/>
    <x v="212"/>
    <s v="PC10"/>
    <s v="1991 home no updates. Response &lt;10 min per agt. Google shows FD 3.7 miles (6 min). No alarms on PC10 Seasonal, but lower value so I feel okay."/>
    <x v="4"/>
    <s v="No alarms on PC10 Seasonal, but lower value so I feel okay."/>
    <m/>
    <m/>
    <s v="Patterson"/>
    <m/>
    <m/>
    <n v="0"/>
  </r>
  <r>
    <x v="220"/>
    <s v="ASL"/>
    <m/>
    <s v="Charity"/>
    <s v="Email"/>
    <s v="Hairston, Blondie"/>
    <m/>
    <x v="0"/>
    <s v="Danville VA PC5"/>
    <x v="3"/>
    <m/>
    <x v="0"/>
    <x v="118"/>
    <x v="212"/>
    <s v="1 year lapse"/>
    <s v="1960 home. Insured could not afford insurance. Now has a loan and needs it.  Ran insurance score and came in at 60% surcharge range."/>
    <x v="1"/>
    <m/>
    <m/>
    <m/>
    <s v="Patterson"/>
    <m/>
    <m/>
    <n v="1"/>
  </r>
  <r>
    <x v="408"/>
    <s v="XS Brokers"/>
    <s v="MA"/>
    <s v="Barbara"/>
    <s v="Email"/>
    <s v="Abelhard"/>
    <s v="Roger"/>
    <x v="0"/>
    <m/>
    <x v="25"/>
    <m/>
    <x v="5"/>
    <x v="118"/>
    <x v="239"/>
    <s v="Losses"/>
    <s v="Open claim: $75K payout so far, water back up, repairs underway"/>
    <x v="3"/>
    <s v="You may quote this risk with no backup coverage, but we cannot bind until the repairs are completed. "/>
    <m/>
    <m/>
    <s v="Burdine"/>
    <m/>
    <m/>
    <n v="0"/>
  </r>
  <r>
    <x v="380"/>
    <s v="Burns"/>
    <s v="MI"/>
    <s v="Delta"/>
    <s v="Email"/>
    <s v="Nissen, Peter"/>
    <m/>
    <x v="0"/>
    <m/>
    <x v="30"/>
    <m/>
    <x v="5"/>
    <x v="118"/>
    <x v="239"/>
    <s v="Berm (earth) home"/>
    <s v="1985 cement home 2 sides 100% enclosed by earth, 1 side 65%, 1 side open. Unknown if professionally built (we require this-agt will verify). Comp shingle roof, no updates noted so roof exclusion applies per agent."/>
    <x v="3"/>
    <s v="Nice online photos. https://www.zillow.com/homedetails/5-Privateer-Dr-Afton-OK-74331/2141180464_zpid/"/>
    <m/>
    <m/>
    <s v="Patterson"/>
    <m/>
    <m/>
    <n v="0"/>
  </r>
  <r>
    <x v="139"/>
    <s v="Burns"/>
    <s v="MI"/>
    <s v="Delta"/>
    <s v="Email"/>
    <s v="Bell"/>
    <s v="Pamela"/>
    <x v="0"/>
    <s v="Wichita"/>
    <x v="28"/>
    <m/>
    <x v="9"/>
    <x v="118"/>
    <x v="240"/>
    <s v="Daycare in home"/>
    <s v="1950 home fully updated. Daycare has 10 kids at a time (17 registered). Will have GL. Lapse due to mistaken non-pay since 11/2016. Agt applied $2500 ded and surcharge. Adding total business exclusion."/>
    <x v="3"/>
    <s v="If GL is with Markel, we can write w/liab and TBE. If elsewhere, exclude liab and add TBE. Need signed no loss."/>
    <m/>
    <n v="12"/>
    <s v="Patterson"/>
    <m/>
    <m/>
    <n v="0"/>
  </r>
  <r>
    <x v="183"/>
    <s v="SCU"/>
    <s v="CO"/>
    <s v="Allison"/>
    <s v="Email"/>
    <s v="Colbert Properties LLC"/>
    <s v="Colbert Properties LLC"/>
    <x v="23"/>
    <s v="Steamboat Springs"/>
    <x v="19"/>
    <m/>
    <x v="5"/>
    <x v="119"/>
    <x v="241"/>
    <s v="Lapse"/>
    <s v="Originally quoted w/ 5% credit, but at bind discovered 90+ day lapse; so adding 5% surcharge"/>
    <x v="3"/>
    <s v="Lapse at 9 months, didn't realize as prior agent left the company; approved with $2500 ded and surcharge"/>
    <m/>
    <m/>
    <s v="Burdine"/>
    <m/>
    <m/>
    <n v="0"/>
  </r>
  <r>
    <x v="12"/>
    <s v="ASL"/>
    <s v="VA"/>
    <s v="Charity"/>
    <s v="Email"/>
    <s v="Mackie"/>
    <s v="Kenneth"/>
    <x v="4"/>
    <s v="Greenbackville"/>
    <x v="10"/>
    <m/>
    <x v="6"/>
    <x v="120"/>
    <x v="242"/>
    <s v="PC"/>
    <s v="PC 9, c/s alarms, 2008 build, 23356 zip (agt wants help with premium)"/>
    <x v="2"/>
    <s v="Raters not clear, assistance requested from PM and have questions pending to Charity (Melissa/Kirsten)"/>
    <m/>
    <m/>
    <s v="Burdine"/>
    <m/>
    <m/>
    <n v="0"/>
  </r>
  <r>
    <x v="298"/>
    <s v="ASL"/>
    <m/>
    <s v="Charity"/>
    <s v="Email"/>
    <s v="Russell, Martha"/>
    <m/>
    <x v="0"/>
    <s v="Charlottesville "/>
    <x v="10"/>
    <m/>
    <x v="2"/>
    <x v="121"/>
    <x v="243"/>
    <s v="Asbestos siding"/>
    <s v="1919 home w/small amt of asbestos under the windows."/>
    <x v="1"/>
    <s v="Not something we wish to insure. Home online doesn't look great."/>
    <m/>
    <m/>
    <s v="Patterson"/>
    <m/>
    <m/>
    <n v="1"/>
  </r>
  <r>
    <x v="485"/>
    <s v="Hull Stockton"/>
    <s v="CA"/>
    <s v="Lisa"/>
    <m/>
    <s v="Zalamal"/>
    <s v="Sheree"/>
    <x v="0"/>
    <s v="Stirling City"/>
    <x v="46"/>
    <s v="95978"/>
    <x v="5"/>
    <x v="121"/>
    <x v="244"/>
    <s v="Losses"/>
    <s v="2005 home w/prior CAT fire (Camp). Agent getting proof it was from Camp fire and will forward asap. Signed app shows it."/>
    <x v="3"/>
    <s v="If proof ends up not showing this was a CAT fire, we have a signed app."/>
    <m/>
    <m/>
    <s v="Patterson"/>
    <m/>
    <m/>
    <n v="0"/>
  </r>
  <r>
    <x v="441"/>
    <s v="ASL"/>
    <m/>
    <s v="Charity"/>
    <s v="Email"/>
    <s v="Evans, Katherine"/>
    <m/>
    <x v="0"/>
    <s v="Piney Pt MD PC10"/>
    <x v="3"/>
    <m/>
    <x v="0"/>
    <x v="122"/>
    <x v="245"/>
    <s v="PC10"/>
    <s v="1950 home updated in 2010. Located on the sound. No info on response time."/>
    <x v="2"/>
    <s v="Asked for distance to FD, response time, fully accessible on paved roads."/>
    <m/>
    <m/>
    <s v="Patterson"/>
    <m/>
    <m/>
    <n v="0"/>
  </r>
  <r>
    <x v="486"/>
    <s v="Burns"/>
    <s v="MI"/>
    <s v="Alexa"/>
    <s v="Email"/>
    <s v="Graves"/>
    <s v="Jim"/>
    <x v="6"/>
    <s v="Little Rock"/>
    <x v="37"/>
    <m/>
    <x v="11"/>
    <x v="123"/>
    <x v="246"/>
    <s v="Builders Risk"/>
    <s v="DP3-1900 build, will be fully updated, son moving in home upon completion, on historic registry, $5K ded"/>
    <x v="3"/>
    <s v="confirmation of no tours (unlikely given online review and rebuild)"/>
    <m/>
    <m/>
    <s v="Burdine"/>
    <m/>
    <m/>
    <n v="0"/>
  </r>
  <r>
    <x v="487"/>
    <s v="XS Brokers"/>
    <s v="MA"/>
    <s v="Ryan"/>
    <m/>
    <s v="Donahoe"/>
    <s v="Lawrence &amp; AnnaMarie"/>
    <x v="2"/>
    <s v="Garnet Valley"/>
    <x v="47"/>
    <s v="19060"/>
    <x v="2"/>
    <x v="123"/>
    <x v="247"/>
    <s v="Losses"/>
    <s v="1901 year built, no mention of updates. 4 losses - 2 from 2014 that were hail in total about $23k. 2017 and 2018 water losses $4k and $6k. No further details about the losses. "/>
    <x v="1"/>
    <s v="Due to combination of age of the dwelling and loss history. "/>
    <s v="Very low insurance score. Basically in the &quot;do not write&quot; category. "/>
    <m/>
    <s v="Busse"/>
    <m/>
    <m/>
    <n v="1"/>
  </r>
  <r>
    <x v="196"/>
    <s v="SCU"/>
    <s v="CO"/>
    <s v="Allison"/>
    <s v="Email"/>
    <s v="Carufel, Robert"/>
    <m/>
    <x v="21"/>
    <s v="Ouray CO  PC8"/>
    <x v="3"/>
    <m/>
    <x v="0"/>
    <x v="123"/>
    <x v="248"/>
    <s v="Woodstove primary. Not accessible yr round"/>
    <s v="1978, updated plumbing. Log home. Cosmetic roof endorsement. Prior tree fall loss to guest cabin. Used May-Sept. Then closed up and not accessible in winter. Brush &lt;150'."/>
    <x v="4"/>
    <s v="Reviewed w/Jeff. Notes in file. All PC8's in CO mountains will have fire exposure if occupied or accessible or not. Trying our hand at lower values to check performance"/>
    <m/>
    <m/>
    <s v="Patterson"/>
    <m/>
    <m/>
    <n v="0"/>
  </r>
  <r>
    <x v="202"/>
    <s v="Burns"/>
    <s v="MI"/>
    <s v="Matt"/>
    <s v="Email"/>
    <s v="McFadden, Joseph"/>
    <m/>
    <x v="16"/>
    <s v="Camp Nelson CA PC10"/>
    <x v="3"/>
    <m/>
    <x v="0"/>
    <x v="123"/>
    <x v="249"/>
    <s v="No heat update"/>
    <s v="1930 home. Heating serviced in 2015 but not updated. (UW requirements that all be updated to offer FRC vs ACV) Elec/Plumb 92; roof 2012. Low brush. PC10 - visible, accessible, confirmed short response time to FD 1 mile away."/>
    <x v="4"/>
    <s v="Approved writing FRC pending acceptable service record for furnace and acceptable inspection showing home in good condition."/>
    <m/>
    <m/>
    <s v="Patterson"/>
    <m/>
    <m/>
    <n v="0"/>
  </r>
  <r>
    <x v="118"/>
    <s v="Burns"/>
    <s v="MI"/>
    <s v="Danielle"/>
    <s v="Email"/>
    <s v="Rosenthal, James E"/>
    <m/>
    <x v="0"/>
    <s v="Dayton"/>
    <x v="40"/>
    <m/>
    <x v="9"/>
    <x v="123"/>
    <x v="250"/>
    <s v="Business on premise"/>
    <s v="1904 home updated. Insd operates Martial Arts studio in other structure. Coml policy in place. Online info re business ok. Looks like walkway goes along home to the back."/>
    <x v="3"/>
    <s v="Total business exclusion, exclude other structure."/>
    <m/>
    <m/>
    <s v="Patterson"/>
    <m/>
    <m/>
    <n v="0"/>
  </r>
  <r>
    <x v="148"/>
    <s v="Burns"/>
    <s v="MI"/>
    <s v="Jill"/>
    <s v="Email"/>
    <s v="Blanch"/>
    <s v="Joshua"/>
    <x v="0"/>
    <m/>
    <x v="36"/>
    <m/>
    <x v="9"/>
    <x v="124"/>
    <x v="250"/>
    <s v="Business in home"/>
    <s v="1956 home w/some updates. Insured has business in basement - sells clothes to appx 20 walk ins per month and also online."/>
    <x v="2"/>
    <s v="Need page 1 of app to review address and see if there is any online info. Business name? Employees? May be able to proceed X liab and need uw questions answered on app."/>
    <m/>
    <n v="17"/>
    <s v="Patterson"/>
    <m/>
    <m/>
    <n v="0"/>
  </r>
  <r>
    <x v="488"/>
    <s v="JM Wilson"/>
    <s v="MI"/>
    <s v="Cheryl"/>
    <m/>
    <s v="Mysliwiec"/>
    <s v="William &amp; Diane"/>
    <x v="2"/>
    <s v="Marne"/>
    <x v="8"/>
    <s v="49435"/>
    <x v="3"/>
    <x v="125"/>
    <x v="251"/>
    <s v="Losses"/>
    <s v="1952 year built. There was not a full app, seems as if they were just asking if we would consider. 4/2018 wind loss with water damage to home $10k, 5/2017 fire to detached garage, caught fire by tenant who was smoking, since been evicted $29k. C insurance score. No notes regarding updates or anything since no full app. "/>
    <x v="0"/>
    <s v="Advised that they could release the rate indication, but that we would need to review a cause and origin report before a final decision is made. If approved, it would also be subject to a completed app, system updates info, and a completed and acceptable OHQ.  // 2/5/19 MP Cheryl sent a first responder report, not a C&amp;O. OHQ okay. Terms would be ok subject to a submitted app IF we get the C&amp;O report (fire marshal). // 2/25/19 Cheryl called the fire marshal and they did not conduct an investigation. This seems to support that the fire was not suspicious.  Agreed to go forward with terms since the tenant was no longer renting this home."/>
    <m/>
    <m/>
    <s v="Patterson"/>
    <m/>
    <m/>
    <n v="0"/>
  </r>
  <r>
    <x v="81"/>
    <s v="Hull Stockton"/>
    <m/>
    <s v="Lisa"/>
    <s v="Email"/>
    <s v="Kawahara Revocable Trust"/>
    <m/>
    <x v="0"/>
    <s v="Placerville"/>
    <x v="1"/>
    <m/>
    <x v="6"/>
    <x v="125"/>
    <x v="252"/>
    <s v="PC9"/>
    <s v="1986 home w/updated roof. Online pics ok. Insd appears to be a professional artist per google. Has a detached art studio for total of $185,000 Cov B w/ garage and art studio."/>
    <x v="3"/>
    <s v="Reviewed w/Jeff - Fireline is High 6. Good rate for the brush zones now. Asked Lisa if any professional work in studio, delivery, etc, need to re-review."/>
    <m/>
    <m/>
    <s v="Patterson"/>
    <m/>
    <m/>
    <n v="0"/>
  </r>
  <r>
    <x v="421"/>
    <s v="Hull CO"/>
    <s v="SC"/>
    <s v="Shana"/>
    <s v="Email"/>
    <s v="Schell, Ken"/>
    <m/>
    <x v="0"/>
    <s v="NC"/>
    <x v="3"/>
    <m/>
    <x v="0"/>
    <x v="126"/>
    <x v="0"/>
    <s v="Siding ineligible"/>
    <s v="Asbestos cement siding, poor condition"/>
    <x v="1"/>
    <s v="Asbestos cement siding is ineligible"/>
    <m/>
    <m/>
    <s v="Patterson"/>
    <m/>
    <m/>
    <n v="1"/>
  </r>
  <r>
    <x v="0"/>
    <s v="JM Wilson"/>
    <s v="MI"/>
    <s v="John"/>
    <m/>
    <s v="VanHoeck"/>
    <s v="Jim &amp; Joann &amp; Marie Trojanowski"/>
    <x v="5"/>
    <m/>
    <x v="3"/>
    <m/>
    <x v="0"/>
    <x v="126"/>
    <x v="253"/>
    <s v="Business on Premises"/>
    <s v="1940 home w/plumbing and roof updates. Currently vacant, will be rented. 3 applicants. Another farmer leases 80 acres for farming. Will have farm policy in place. "/>
    <x v="3"/>
    <s v="Add Total Business Excl. With that and farm policy in place, exposure should be minimal. Don't feel addl s/c needed. Check on updates to wire/heat. Need info on insurable interest. Write as DP3 vacant until occupancy changes."/>
    <m/>
    <m/>
    <s v="Patterson"/>
    <m/>
    <m/>
    <n v="0"/>
  </r>
  <r>
    <x v="489"/>
    <s v="Burns"/>
    <s v="MI"/>
    <s v="Lindsay"/>
    <m/>
    <s v="Hanson"/>
    <s v="Katie"/>
    <x v="0"/>
    <s v="Milwaukee"/>
    <x v="12"/>
    <n v="53221"/>
    <x v="9"/>
    <x v="126"/>
    <x v="234"/>
    <s v="Losses"/>
    <s v="Home built in 1958. Open claim regarding insured dog (coonhound) bit neighbor after they fell down. Ongoing legal matter. Complete system work in 2012."/>
    <x v="1"/>
    <s v="I feel the ongoing legal matter with the neighbor could make this home a target."/>
    <m/>
    <m/>
    <s v="Lazovik"/>
    <m/>
    <m/>
    <n v="1"/>
  </r>
  <r>
    <x v="260"/>
    <s v="Burns"/>
    <s v="MI"/>
    <s v="Leslie"/>
    <s v="Email"/>
    <s v="Anderson, Robert"/>
    <m/>
    <x v="0"/>
    <s v="Vale "/>
    <x v="48"/>
    <m/>
    <x v="4"/>
    <x v="126"/>
    <x v="254"/>
    <s v="Open hail loss"/>
    <s v="2006 modular home with 3 hail losses, one currently open.  5/13 $37K, 7/15 $12K, 7/16 $30K open."/>
    <x v="1"/>
    <s v="Declined due to trend of hail losses. 5% ded would have eliminated one of the three, and cut the other 2 by 50%.  Still a concerning trend."/>
    <m/>
    <m/>
    <s v="Patterson"/>
    <m/>
    <m/>
    <n v="1"/>
  </r>
  <r>
    <x v="62"/>
    <s v="Hull Horsham"/>
    <m/>
    <s v="Tamika"/>
    <s v="Email/Call"/>
    <s v="Mason, Violet"/>
    <m/>
    <x v="0"/>
    <s v="Inwood "/>
    <x v="26"/>
    <m/>
    <x v="0"/>
    <x v="127"/>
    <x v="0"/>
    <s v="Prior loss  "/>
    <s v="2016 home. Risk suffered a not at fault electrical fire $400K in 2015. Fire Marshall report provided. Lapse since November since insd couldn't find coverage. Agent will get no loss letter."/>
    <x v="0"/>
    <s v="Declined at this time. News story online http://www.your4state.com/news/news/early-morning-fire-leaves-family-displaced/252561622 refers to &quot;Powers&quot; family. App is in name of Violet Mason. Also, no name/addr on Fire report. We only got page 18 and 19."/>
    <s v="Powers is her son in law and daughter who are residents. Full Fire Report received - checks out. Ins Score good. Advised ok w/20% s/c - 10 for lapse, 10 for total loss size."/>
    <m/>
    <s v="Patterson"/>
    <m/>
    <m/>
    <n v="0"/>
  </r>
  <r>
    <x v="490"/>
    <s v="RPS Covington"/>
    <s v="LA"/>
    <s v="Hillary"/>
    <m/>
    <s v="Rando"/>
    <s v="Marie Claire"/>
    <x v="0"/>
    <s v="Harvey"/>
    <x v="0"/>
    <s v="70058"/>
    <x v="8"/>
    <x v="127"/>
    <x v="187"/>
    <s v="Condition"/>
    <s v="1937 home with full updates. Referred for &quot;EIFS/Stucco&quot; exterior. "/>
    <x v="3"/>
    <s v="EIFS not in production until later 50's. This is probably stucco. Approved subj to confirmation of stucco and condition at inspection. Also confirm updates."/>
    <m/>
    <m/>
    <s v="Patterson"/>
    <m/>
    <m/>
    <n v="0"/>
  </r>
  <r>
    <x v="491"/>
    <s v="AmWINS"/>
    <s v="IL"/>
    <s v="Tasha"/>
    <m/>
    <s v="Garcia"/>
    <s v="Jorge"/>
    <x v="0"/>
    <s v="Chicago"/>
    <x v="4"/>
    <s v="60636"/>
    <x v="3"/>
    <x v="128"/>
    <x v="255"/>
    <s v="Prior Lapse/NRN"/>
    <s v="1908 year built with gut/rebuild 2016 and all systems updated. Lapse in coverage since 8/2018. Applicant thought prior insurance was too expensive and decided not to renew. Agent advised insured was unable to location any other coverage. No losses, applicant signed no loss statement as well. "/>
    <x v="1"/>
    <s v="Length of lapse is pretty significant and the reason of &quot;not able to locate other coverage&quot; does not seem justifiable. As such, declining due to lapse. "/>
    <s v="Looked at property online. Photos were from 2014 but property had broken windows, doors boarded, etc. Neighboring property and other properties across street and on same street had same condition. I know this property mentions it was updated, but with as many other properties in short distance to this with same issues, there is concern."/>
    <m/>
    <s v="Busse"/>
    <m/>
    <m/>
    <n v="1"/>
  </r>
  <r>
    <x v="344"/>
    <s v="Burns"/>
    <s v="MI"/>
    <s v="Alexa"/>
    <m/>
    <s v="Rodriguez"/>
    <s v="Ronald    "/>
    <x v="6"/>
    <s v="Houston"/>
    <x v="23"/>
    <s v="77068"/>
    <x v="11"/>
    <x v="129"/>
    <x v="256"/>
    <s v="Prior Lapse/NRN"/>
    <s v="1961 dwelling w/updates. Writing as BR and will convert to rental when reno is done. Contractor updating septic and some minor interior starting in January. Was previously rented. Lengthy lapse - no explanation."/>
    <x v="3"/>
    <s v="Nice online photo. A ins score. Would normally get full detail on lapse before offering terms, but with A score, made this a subjectivity. No backup. Verify avg condition."/>
    <m/>
    <m/>
    <s v="Patterson"/>
    <m/>
    <m/>
    <n v="0"/>
  </r>
  <r>
    <x v="69"/>
    <s v="Hull Stockton"/>
    <m/>
    <s v="Melissa"/>
    <s v="Email"/>
    <s v="Wright, Clark"/>
    <m/>
    <x v="2"/>
    <s v="Truckee"/>
    <x v="1"/>
    <m/>
    <x v="0"/>
    <x v="129"/>
    <x v="257"/>
    <s v="Lapse "/>
    <s v="1973 rental lapsed since August. Was w/Scottsdale. Cancelled for non pay."/>
    <x v="1"/>
    <s v="Ins score and report shows concerns."/>
    <m/>
    <m/>
    <s v="Patterson"/>
    <m/>
    <m/>
    <n v="1"/>
  </r>
  <r>
    <x v="492"/>
    <s v="Burns NC"/>
    <s v="NC"/>
    <s v="Alecia"/>
    <s v="Email"/>
    <s v="Bentley"/>
    <s v="Thomas"/>
    <x v="4"/>
    <s v="Wilmington"/>
    <x v="11"/>
    <m/>
    <x v="0"/>
    <x v="129"/>
    <x v="5"/>
    <s v="Rate"/>
    <s v="Agent quoted on 3/5. New rates 3/7. Bind request 4/10. Will we honor?"/>
    <x v="4"/>
    <s v="Jeff ok'd 45 day honor."/>
    <s v="Verified w/Louisa since this involve using a prior rate."/>
    <m/>
    <s v="Patterson"/>
    <m/>
    <m/>
    <n v="0"/>
  </r>
  <r>
    <x v="493"/>
    <s v="Hull CA"/>
    <s v="Irvine"/>
    <s v="Vanessa"/>
    <s v="Email"/>
    <s v="Rutherford, Duston"/>
    <m/>
    <x v="0"/>
    <s v="Simi Vally CA PC5"/>
    <x v="3"/>
    <m/>
    <x v="0"/>
    <x v="129"/>
    <x v="258"/>
    <s v="Horse board/ride"/>
    <s v="1980 modular home not updated. Internet shows horse boarding/riding business. Agt to exclude animals and roof."/>
    <x v="2"/>
    <s v="Questions: Need Coml policy and separation."/>
    <m/>
    <m/>
    <s v="Patterson"/>
    <m/>
    <m/>
    <n v="0"/>
  </r>
  <r>
    <x v="494"/>
    <s v="Burns"/>
    <s v="MI"/>
    <s v="Rachel"/>
    <s v="Email"/>
    <s v="Deese"/>
    <s v="Jeffrey"/>
    <x v="0"/>
    <s v="Lyons"/>
    <x v="19"/>
    <m/>
    <x v="4"/>
    <x v="130"/>
    <x v="259"/>
    <s v="PC"/>
    <s v="primary home in CO. Built in 1971 with no known updates, roof exclusion has been added until updates can be confirmed. PC10, with no losses."/>
    <x v="3"/>
    <s v="approval to offer terms on this risk. However, a 40% surcharge needs to be added to account for the increased response time and the periodic inaccessibility."/>
    <m/>
    <m/>
    <s v="Burdine"/>
    <m/>
    <m/>
    <n v="0"/>
  </r>
  <r>
    <x v="456"/>
    <s v="Burns"/>
    <s v="MI"/>
    <s v="Jill"/>
    <s v="Email"/>
    <s v="Ribelin"/>
    <s v="Roy"/>
    <x v="0"/>
    <s v="Austin"/>
    <x v="23"/>
    <m/>
    <x v="5"/>
    <x v="130"/>
    <x v="240"/>
    <s v="Open claim"/>
    <s v="1954 home updated. Open claim from Hurricane Harvey. Shingles blown off, no flood damage. Jill proposing with roof excl and existing damage excl."/>
    <x v="1"/>
    <s v="Concerned with storm so recent. Suggest stay with Scottsdale exp 3/11/18. "/>
    <m/>
    <n v="22"/>
    <s v="Patterson"/>
    <m/>
    <m/>
    <n v="1"/>
  </r>
  <r>
    <x v="39"/>
    <s v="JM Wilson"/>
    <s v="MI"/>
    <s v="Cheryl"/>
    <s v="Email"/>
    <s v="Schwerman"/>
    <s v="William &amp; Susan"/>
    <x v="0"/>
    <s v="Belton"/>
    <x v="36"/>
    <m/>
    <x v="8"/>
    <x v="131"/>
    <x v="260"/>
    <s v="Losses"/>
    <s v="NR due to losses, 10/2016 kitchen fire (electric issue), repairs made, 07/2017-water loss due to storms (no issues with home)"/>
    <x v="3"/>
    <s v="offer terms on the risk, subject to a Cause &amp; Origin report confirming the fire loss was as described. If there was any insured negligence involved, we will not be able to bind this risk. Additionally, a 5% surcharge must be added to account for the large payout of the claim."/>
    <m/>
    <m/>
    <s v="Burdine"/>
    <m/>
    <m/>
    <n v="0"/>
  </r>
  <r>
    <x v="495"/>
    <s v="Burns"/>
    <m/>
    <s v="Rachel"/>
    <s v="Email"/>
    <s v="Marshall, Brenda"/>
    <m/>
    <x v="75"/>
    <s v="Tulsa"/>
    <x v="30"/>
    <m/>
    <x v="2"/>
    <x v="132"/>
    <x v="261"/>
    <s v="Business on Premise"/>
    <s v="1965 home, PC 5 w/alarms; 2 losses-11/1/15-water-paid $6418 and 07/14/16-wind/hail-$0 paid Trucking business conducted on premises"/>
    <x v="3"/>
    <s v="x-liab and total business exclusion. Advised if want liab need more info on trucking business on premises"/>
    <s v="Granted approval again on 12/06/2017 after receiving request from Danielle to approve again. K.Burdine"/>
    <m/>
    <s v="K.Burdine"/>
    <m/>
    <m/>
    <n v="0"/>
  </r>
  <r>
    <x v="439"/>
    <s v="ASL"/>
    <m/>
    <s v="Garry"/>
    <s v="Email"/>
    <s v="Powers, John"/>
    <m/>
    <x v="0"/>
    <s v="Pocomoke City"/>
    <x v="29"/>
    <m/>
    <x v="4"/>
    <x v="133"/>
    <x v="262"/>
    <s v="PC10   "/>
    <s v="1985 frame home. Volunteer FD is 10.2 miles away, 18 min response per google. "/>
    <x v="1"/>
    <m/>
    <m/>
    <m/>
    <s v="Patterson"/>
    <m/>
    <m/>
    <n v="1"/>
  </r>
  <r>
    <x v="496"/>
    <s v="Burns"/>
    <s v="MI"/>
    <s v="Leslie"/>
    <m/>
    <s v="Cabell"/>
    <s v="Charles"/>
    <x v="2"/>
    <s v="Colorado Springs"/>
    <x v="19"/>
    <s v="80911"/>
    <x v="8"/>
    <x v="134"/>
    <x v="263"/>
    <s v="Losses"/>
    <s v="1967 year built with roof update in 2016 and heating in 1999, no other updates. 5 hail losses, 6/2014 $2k, 7/2016 $13k, 6/2018 $15k, 8/2018 $14k. SRD quoted with 5% w/h deductible. Hail damage score is 10 for past 7 years, Hail score came back as 5."/>
    <x v="1"/>
    <s v="Declined risk due to loss history. Even with 5% w/h deductible, not comfortable with loss history."/>
    <m/>
    <m/>
    <s v="Busse"/>
    <m/>
    <m/>
    <n v="1"/>
  </r>
  <r>
    <x v="497"/>
    <s v="Burns"/>
    <s v="MI"/>
    <s v="Delta"/>
    <s v="Email"/>
    <s v="Thompson"/>
    <s v="Stacy"/>
    <x v="0"/>
    <m/>
    <x v="13"/>
    <m/>
    <x v="2"/>
    <x v="135"/>
    <x v="264"/>
    <s v="Business on Premises"/>
    <s v="primary home located in WA. Frame construction, built in 1993, PC5, no losses, C/S fire alarm only, C insurance score. Dog boarding business in detached garage-No foot traffic in actual home. Customer can go a month or so without having any dogs boarding with her, foot traffic very low; 0 employees; Customer has the ability to hold up to 10 dogs but hasn't had that many at one time before."/>
    <x v="3"/>
    <s v="approval to offer terms as suggested (with the total business and animal liability exclusion). This is subject to a GL policy being put into place and maintained at each renewal."/>
    <m/>
    <m/>
    <s v="Burdine"/>
    <m/>
    <m/>
    <n v="0"/>
  </r>
  <r>
    <x v="43"/>
    <s v="Burns"/>
    <s v="MI"/>
    <s v="Rachel"/>
    <s v="Email"/>
    <s v="Remond"/>
    <s v="William"/>
    <x v="2"/>
    <s v="Everett"/>
    <x v="2"/>
    <m/>
    <x v="3"/>
    <x v="136"/>
    <x v="265"/>
    <s v="Losses"/>
    <s v="Built in 1925, partial plumbing update in 2016, partial heating update in 2013, full wiring update in 2014 and full roof update in 1987 (roof exclusion will be added). 1 loss at another rental (fire due to tenant negligence); quoted on DP1"/>
    <x v="4"/>
    <s v="loss on another premise, no insured negligence an DP1"/>
    <m/>
    <m/>
    <s v="Burdine"/>
    <m/>
    <m/>
    <n v="0"/>
  </r>
  <r>
    <x v="265"/>
    <s v="ASL"/>
    <s v="VA"/>
    <s v="Brandon Harris"/>
    <s v="Email"/>
    <s v="Sarver, Karen"/>
    <m/>
    <x v="21"/>
    <s v="Gwynn"/>
    <x v="10"/>
    <m/>
    <x v="4"/>
    <x v="136"/>
    <x v="266"/>
    <s v="PC10"/>
    <s v="1970 home updated in 2008. Home is on an &quot;island&quot;, but there it is more of a peninsula with road access. There is a volunteer FD 2.5 mi away (&lt;10 min) on the &quot;island&quot;. Seasonal home but visible to neighbors and accessible."/>
    <x v="4"/>
    <m/>
    <m/>
    <m/>
    <s v="Patterson"/>
    <m/>
    <m/>
    <n v="0"/>
  </r>
  <r>
    <x v="415"/>
    <s v="Burns"/>
    <s v="MI"/>
    <s v="Leslie"/>
    <s v="Email"/>
    <s v="Miskowiak, Michael"/>
    <m/>
    <x v="0"/>
    <s v="Stillwater"/>
    <x v="31"/>
    <m/>
    <x v="5"/>
    <x v="136"/>
    <x v="258"/>
    <s v="Partial Updates/Age of home"/>
    <s v="2013 home with partial wiring and plumbing updates. Circuit breakers/no galvanized. 2 losses - water backup; sewer backup."/>
    <x v="2"/>
    <s v="Asked for details on the claims to assess if we have a plumbing concern."/>
    <m/>
    <m/>
    <s v="Patterson"/>
    <m/>
    <m/>
    <n v="0"/>
  </r>
  <r>
    <x v="466"/>
    <s v="JM Wilson"/>
    <s v="MI"/>
    <s v="Cheryl"/>
    <s v="Email"/>
    <s v="Fowler"/>
    <s v="Jon (Jonathan)"/>
    <x v="0"/>
    <s v="Sanford"/>
    <x v="11"/>
    <m/>
    <x v="0"/>
    <x v="136"/>
    <x v="267"/>
    <s v="Other UW Reason"/>
    <s v="Insured has a felony assault conviction (no jail time) for fighting with ex-girlfriend and her boyfriend he caught in his family beachhouse. "/>
    <x v="1"/>
    <s v="Ran insurance score for support in the decision and it showed concerns of bad debt and delinquent accounts. Score UNDER 600 IN SURCHARGE RANGE."/>
    <m/>
    <m/>
    <s v="Patterson"/>
    <m/>
    <m/>
    <n v="1"/>
  </r>
  <r>
    <x v="498"/>
    <s v="Bolton"/>
    <s v="AL"/>
    <s v="Janet"/>
    <s v="Email"/>
    <s v="Est of Fazende"/>
    <m/>
    <x v="84"/>
    <s v="Picayune MS PC5"/>
    <x v="3"/>
    <m/>
    <x v="0"/>
    <x v="137"/>
    <x v="268"/>
    <s v="Insd Deceased"/>
    <s v="1986 home, roof updated in 2006. Insured passed away; son is living in home. HO3 or DP3."/>
    <x v="4"/>
    <s v="Advised Janet if son is full time occupant he is an insured and HO3 is okay. If just caretaker, need DP3 Vacant."/>
    <m/>
    <m/>
    <s v="Patterson"/>
    <m/>
    <m/>
    <n v="0"/>
  </r>
  <r>
    <x v="499"/>
    <s v="Burns"/>
    <s v="MI"/>
    <s v="Nicole"/>
    <s v="Email"/>
    <s v="Belt"/>
    <s v="Denise"/>
    <x v="0"/>
    <s v="Springfield"/>
    <x v="36"/>
    <m/>
    <x v="8"/>
    <x v="138"/>
    <x v="269"/>
    <s v="Business on Premises"/>
    <s v="Built in 1986 with complete updates to roof and heating in 2018. Frame construction, PC2 with no alarms and no losses. Bankruptcy 6 years ago that was dismissed. Pottery business on premises. "/>
    <x v="3"/>
    <s v="Confirm condition of home, TBE due to kiln and pottery kept at the home. Little to no foot traffic involved. Subject to inspection. Attach supplemental heat form. "/>
    <m/>
    <m/>
    <s v="Busse"/>
    <m/>
    <m/>
    <n v="0"/>
  </r>
  <r>
    <x v="500"/>
    <s v="ASL"/>
    <m/>
    <s v="Tina"/>
    <s v="Email"/>
    <s v="West, Rebecca"/>
    <m/>
    <x v="0"/>
    <s v="Disputanta VA PC10"/>
    <x v="3"/>
    <m/>
    <x v="0"/>
    <x v="138"/>
    <x v="269"/>
    <s v="PC10/2 wind claims"/>
    <s v="1960 home updated in 2000-2009. Nice pic online. Paved roads, 20 min response to paid FD, other volunteer FD's are closer. 3.8 acres. 2 wind claims 2/14-$900; 2/15-$2551"/>
    <x v="4"/>
    <s v="Acceptable response time. $1000 AOP ded. Away from coast."/>
    <m/>
    <m/>
    <s v="Patterson"/>
    <m/>
    <m/>
    <n v="0"/>
  </r>
  <r>
    <x v="404"/>
    <s v="Burns"/>
    <s v="MI"/>
    <s v="David"/>
    <s v="Email"/>
    <s v="Riley"/>
    <s v="Marcus"/>
    <x v="0"/>
    <s v="Sunman"/>
    <x v="17"/>
    <m/>
    <x v="2"/>
    <x v="138"/>
    <x v="270"/>
    <s v="Losses"/>
    <s v="1910 with full updates, property originally had two dwellings. One burned down due to overloaded power outlet; leases out land to father in law for farming"/>
    <x v="3"/>
    <s v="GL and TBE in place, 20% surcharge for loss"/>
    <m/>
    <m/>
    <s v="Burdine"/>
    <m/>
    <m/>
    <n v="0"/>
  </r>
  <r>
    <x v="362"/>
    <s v="JM Wilson"/>
    <s v="MI"/>
    <s v="John"/>
    <m/>
    <s v="Miller"/>
    <s v="Clint &amp; Bethany"/>
    <x v="0"/>
    <s v="Eaton Rapids"/>
    <x v="49"/>
    <s v="48827"/>
    <x v="22"/>
    <x v="139"/>
    <x v="271"/>
    <s v="Occupancy/Use"/>
    <s v="1959 home with elec updates only. R ins score. Non pay cancel, Hunt/trap on premises, 4 farm buildings which include 2 large 1959 barns per prior carrier app. Insd has 2 goats and some chickens."/>
    <x v="1"/>
    <s v="Goats and chickens okay. Concerned with the rest with an R ins score. Too many issues."/>
    <m/>
    <m/>
    <s v="Patterson"/>
    <m/>
    <m/>
    <n v="1"/>
  </r>
  <r>
    <x v="431"/>
    <s v="Burns"/>
    <s v="MI"/>
    <s v="Jill"/>
    <m/>
    <s v="Lucero"/>
    <s v="Johnny &amp; Kay"/>
    <x v="0"/>
    <s v="Clovis"/>
    <x v="15"/>
    <s v="88101"/>
    <x v="9"/>
    <x v="140"/>
    <x v="272"/>
    <s v="Business on Premises"/>
    <s v="1961 year built with updates to everything in 2000, 2012, and 2014. Applicant designs t-shirts, signs, and banners. Is in an attached structure of the home, but has a locking door that separates it from the home. At most there might be 1-2 people that visit per week. Applicant recent had a knee surgery and will not being doing much business for the next 6 months. They do not have a GL for the business."/>
    <x v="4"/>
    <s v="Agent already advised TBE, so approved as is. Not so much concerned that they do not have a GL due to the type of business and very limited foot traffic. "/>
    <m/>
    <m/>
    <s v="Busse"/>
    <m/>
    <m/>
    <n v="0"/>
  </r>
  <r>
    <x v="417"/>
    <s v="Burns"/>
    <s v="MI"/>
    <s v="Leslie"/>
    <s v="Email"/>
    <s v="Chesser, Melissa"/>
    <m/>
    <x v="38"/>
    <s v="Pinecrest, CA"/>
    <x v="3"/>
    <m/>
    <x v="0"/>
    <x v="141"/>
    <x v="0"/>
    <s v="wood stove-primary heat source"/>
    <s v="Wood stove professionally installed, primary heat source for home"/>
    <x v="1"/>
    <s v="Wood stove primary heat source, no water sources w/in 1000 feet, FD 5 miles over"/>
    <m/>
    <m/>
    <s v="K.Burdine"/>
    <m/>
    <m/>
    <n v="1"/>
  </r>
  <r>
    <x v="501"/>
    <s v="Burns"/>
    <s v="MI"/>
    <s v="Lindsay"/>
    <m/>
    <s v="Semmler"/>
    <s v="John"/>
    <x v="0"/>
    <s v="Fulton"/>
    <x v="23"/>
    <s v="78358"/>
    <x v="9"/>
    <x v="141"/>
    <x v="273"/>
    <s v="Condition"/>
    <s v="1926 home w/ full updates except partial on plumbing. OHQ agt obtained shows 100% galvanized. Seeking approval for total water damage exclusion."/>
    <x v="3"/>
    <s v="Ok w/water damage excl. Pol already has mold excl. Has water/sewer backup-asked that to be removed due to plumbing concerns. No exposure with water damage exclusion."/>
    <s v="Ins score A"/>
    <m/>
    <s v="Patterson"/>
    <m/>
    <m/>
    <n v="0"/>
  </r>
  <r>
    <x v="502"/>
    <s v="Burns"/>
    <s v="MI"/>
    <s v="Jill"/>
    <s v="Email"/>
    <s v="Scrivner"/>
    <s v="William"/>
    <x v="0"/>
    <s v="Ozark"/>
    <x v="36"/>
    <m/>
    <x v="5"/>
    <x v="141"/>
    <x v="271"/>
    <s v="Business on Premises"/>
    <s v="1972 dwelling w/partial updates. Insured has a shop 20 feet from the dwelling where he makes cast bullets using a die cast machine. He runs &quot;Meister Bullets&quot; business."/>
    <x v="3"/>
    <s v="TBE, $10,000 theft ded(no credit), uw questions, do not insure the shop. Reviewed web and fb in detail. These are lead cast bullets, no powder. No gun sales. Insured is clearly an enthusiast and addr is published - hence the $10K theft ded."/>
    <m/>
    <m/>
    <s v="Patterson"/>
    <m/>
    <m/>
    <n v="0"/>
  </r>
  <r>
    <x v="503"/>
    <s v="Burns"/>
    <s v="MI"/>
    <s v="Danielle"/>
    <s v="Email"/>
    <s v="Est of Audrey Bradley"/>
    <m/>
    <x v="32"/>
    <s v="New Berlin WI PC5"/>
    <x v="3"/>
    <m/>
    <x v="0"/>
    <x v="142"/>
    <x v="0"/>
    <s v="Existing Dmg/Open Claim"/>
    <s v="Overall clean risk. Insd died recently. Acuity is nonrenewing eff 1/16/16. Claim 12/23/15 $10,000 tree fell on house"/>
    <x v="2"/>
    <s v="Advised Danielle by phone/email-we are not a market for existing dmg/open claim, but if they can't find one, I will discuss and try to get exception."/>
    <m/>
    <m/>
    <s v="Patterson"/>
    <m/>
    <m/>
    <n v="0"/>
  </r>
  <r>
    <x v="504"/>
    <s v="Burns"/>
    <s v="MI"/>
    <s v="Jill"/>
    <m/>
    <s v="Fox"/>
    <s v="Ronald"/>
    <x v="0"/>
    <s v="North Loup"/>
    <x v="38"/>
    <s v="68859"/>
    <x v="2"/>
    <x v="142"/>
    <x v="274"/>
    <s v="Business on Premises"/>
    <s v="1950 year built with updates to systems in 1980 and roof in 2014. Insured owns small auto sales business. There is a building for the auto dealership, a garage for the business and some carports. There is a GL in place. 20 people per month listed on bus quest. No other employees. "/>
    <x v="2"/>
    <s v="TBE already applied. Approved terms subject to adding a building exclusion for all structures related to the business.// 6/5/19 MP received a 2nd submission that gives different info, but from the same retailer. Burns advises this is from 2 different branches.  Biz and dwelling connect. Asking about auto detailing, auto repair, storage of chemicals, paint, gas. WITHDREW terms on 1st subm and declined 2nd subm. Advised Mitchell and John Bach."/>
    <m/>
    <m/>
    <s v="Busse"/>
    <m/>
    <m/>
    <n v="0"/>
  </r>
  <r>
    <x v="472"/>
    <s v="AmWINS"/>
    <s v="FL"/>
    <s v="Niki"/>
    <m/>
    <s v="Pasley"/>
    <s v="James"/>
    <x v="1"/>
    <s v="Miami Gardens"/>
    <x v="32"/>
    <s v="33055"/>
    <x v="5"/>
    <x v="143"/>
    <x v="275"/>
    <s v="Losses"/>
    <s v="1958 home with prior losses. 11/1/17 Pipe leak, 12/15/17 mildew, 12/15/17 pipe leak under kitchen floor. Current claim is open. Curr carrier nonrenewed."/>
    <x v="1"/>
    <s v="We don't like to come in the middle of a water damage claim where repairs have barely started. If more damage is found, it could come back on us."/>
    <m/>
    <m/>
    <s v="Patterson"/>
    <m/>
    <m/>
    <n v="1"/>
  </r>
  <r>
    <x v="447"/>
    <s v="Burns"/>
    <s v="MI"/>
    <s v="Leslie"/>
    <m/>
    <s v="Allison"/>
    <s v="Randy"/>
    <x v="0"/>
    <s v="Oberlin"/>
    <x v="28"/>
    <s v="67749"/>
    <x v="0"/>
    <x v="143"/>
    <x v="276"/>
    <s v="Occupancy/Use"/>
    <s v="1900 commercial building being used as a primary residence (2nd floor) and storage (1st floor).  Between beauty shop and hardware store. Applying FRC. Fully updated in 05. No losses. Ins score B."/>
    <x v="3"/>
    <s v="Submitted risk sounds fine. Asked for confirmation of possible issues. Mailing CA/Dwelling KS. No business. Use. Any constr/reno. Confirm size/Cov A. (Ok at inspection.) Completed app and OHQ. Liab ok with risk as it is. Roof is likely flat, but was updated in 2005, so there are no issues to follow up on."/>
    <s v="Burns consistently states that they do not want to change Cov A until they get the inspection back so they don't have to make changes twice.  "/>
    <m/>
    <s v="Patterson"/>
    <m/>
    <m/>
    <n v="0"/>
  </r>
  <r>
    <x v="13"/>
    <s v="Burns"/>
    <s v="MI"/>
    <s v="Rachel"/>
    <s v="Email"/>
    <s v="Holmberg"/>
    <s v="Robert"/>
    <x v="0"/>
    <s v="Buckner"/>
    <x v="36"/>
    <m/>
    <x v="2"/>
    <x v="144"/>
    <x v="277"/>
    <s v="Business on Premises"/>
    <s v="primary home for the above applicant located in MO. Home was built in 1960,  with full updates to heating, wiring, roofing, and plumbing in 2000. It is built of 100% frame construction with central station fire alarm. PC5. 1 loss, . The business is called AAA Disposal Service Inc http://www.aaadisposal.net/."/>
    <x v="3"/>
    <s v="approval to offer terms on this risk, subject to the total business exclusion being added as well as liability being excluded. Based on a review of the site, it does appear they may operate a landfill (or recycling fill) of some sort. Please just be sure this is occurring off-premises. If there is in fact a landfill on the same property, please let me know as we would need to re-evaluate the property coverages as well."/>
    <m/>
    <m/>
    <s v="Burdine"/>
    <m/>
    <m/>
    <n v="0"/>
  </r>
  <r>
    <x v="220"/>
    <s v="Burns"/>
    <s v="MI"/>
    <s v="Ben"/>
    <s v="Email"/>
    <s v="Richardson, Perry"/>
    <m/>
    <x v="2"/>
    <s v="Martinsville IN PC5"/>
    <x v="3"/>
    <m/>
    <x v="0"/>
    <x v="145"/>
    <x v="278"/>
    <s v="Farm Market on Premises"/>
    <s v="1917 home fully updated in 1990/2000. There is a farmers market held in the front and side yard of the dwelling which is tenant occupied."/>
    <x v="0"/>
    <s v="Sent business questions to Ben. Consider with Full Business Exclusion. Also found &quot;Allens Seeds &amp; Plants&quot; at this address. Making sure this is the same business."/>
    <s v="There is a farm policy in place to cover all activities. Customers, visitors and employees would be in the farm market area. No equipment. Everything is covered by the farm policy. Allen's Seeds is the name of the business…didn't change from Grandparent's business."/>
    <m/>
    <s v="Patterson"/>
    <m/>
    <m/>
    <n v="0"/>
  </r>
  <r>
    <x v="382"/>
    <s v="Hull Horsham"/>
    <m/>
    <s v="Tamika"/>
    <s v="Email/Call"/>
    <s v="Sanchez, Fernando"/>
    <m/>
    <x v="2"/>
    <s v="Richmond"/>
    <x v="10"/>
    <m/>
    <x v="8"/>
    <x v="146"/>
    <x v="0"/>
    <s v="Prior losses"/>
    <s v="2004 frame single family home will be rented. Insured had prior fire $110K 6/16 at rental property in Baltimore MD under name Empire Property Management. Also prior water $33K at primary in Bethesda MD (details to follow). Fire report is initial report - indicates arson inspector was called. Online report also lists arson inspector called. No dob to run score. "/>
    <x v="2"/>
    <s v="Need Fire Marshall or Cause and Origin report. Need water loss detail. Need insd dob to run score.  No adverse info on insured or Empire Prop Mgt. "/>
    <m/>
    <m/>
    <s v="Patterson"/>
    <m/>
    <m/>
    <n v="0"/>
  </r>
  <r>
    <x v="336"/>
    <s v="Burns"/>
    <s v="MI"/>
    <s v="David"/>
    <s v="Email"/>
    <s v="Schwarz"/>
    <s v="Brian"/>
    <x v="4"/>
    <s v="Arkville"/>
    <x v="44"/>
    <m/>
    <x v="4"/>
    <x v="146"/>
    <x v="108"/>
    <s v="PC"/>
    <s v="1958 dwelling w/full updates in 03-05.  30 min response time. $1.25 rate"/>
    <x v="4"/>
    <s v="Solid rate. "/>
    <m/>
    <m/>
    <s v="Patterson"/>
    <m/>
    <m/>
    <n v="0"/>
  </r>
  <r>
    <x v="76"/>
    <s v="Hull Irvine"/>
    <m/>
    <s v="Alison"/>
    <s v="Email"/>
    <s v="Hercules Development"/>
    <m/>
    <x v="5"/>
    <s v="Los Angeles"/>
    <x v="1"/>
    <m/>
    <x v="8"/>
    <x v="146"/>
    <x v="108"/>
    <s v="COC by developer"/>
    <s v="1980 home updated in 2000. No demo. Interior construction only being done by a developer to sell. GC involved to oversee reno. Agt adding 15-20%."/>
    <x v="3"/>
    <s v="Online photos - possible flat roof."/>
    <m/>
    <m/>
    <s v="Patterson"/>
    <m/>
    <m/>
    <n v="0"/>
  </r>
  <r>
    <x v="505"/>
    <s v="SCU"/>
    <s v="CO"/>
    <s v="Allison"/>
    <s v="Email"/>
    <s v="Pratt"/>
    <s v="Ruby"/>
    <x v="1"/>
    <s v="Canon City"/>
    <x v="19"/>
    <m/>
    <x v="0"/>
    <x v="146"/>
    <x v="108"/>
    <s v="Insured is GC"/>
    <s v="Home started in 2014. 1 1/2 years left. Insured is contractor, working on home in their spare time - retired. Photos show some plywood covering, some Tyvek. SF now getting off. "/>
    <x v="1"/>
    <s v="Concerned with length of time and owner/builder. Considered other options like if they brought in a GC, but no guaranty of the quality of the work done so far."/>
    <m/>
    <n v="30"/>
    <s v="Patterson"/>
    <m/>
    <m/>
    <n v="1"/>
  </r>
  <r>
    <x v="506"/>
    <s v="Hull CO"/>
    <s v="PA"/>
    <s v="Nichole"/>
    <s v="Email"/>
    <s v="Rush ME"/>
    <m/>
    <x v="6"/>
    <s v="Maine PC5"/>
    <x v="3"/>
    <m/>
    <x v="0"/>
    <x v="146"/>
    <x v="108"/>
    <s v="Flip"/>
    <s v="1915 home w/updates within 20 years."/>
    <x v="4"/>
    <s v="Insured having licensed contractor do the work."/>
    <m/>
    <m/>
    <s v="Patterson"/>
    <m/>
    <m/>
    <n v="0"/>
  </r>
  <r>
    <x v="117"/>
    <s v="Burns"/>
    <s v="MI"/>
    <s v="Leslie"/>
    <s v="Email"/>
    <s v="WPW LLC"/>
    <m/>
    <x v="11"/>
    <s v="Bloomington"/>
    <x v="17"/>
    <m/>
    <x v="0"/>
    <x v="146"/>
    <x v="181"/>
    <s v="Business on premise"/>
    <s v="Rental home that shares driveway with commercial building also owned by the insured. No oth str; no liab; agt to add Total Business Exclusion. Photos included look okay. Agt to verify updates as there is a discrepancy."/>
    <x v="4"/>
    <s v="Agt advised actually DP3, not DP1. Advised still OK to offer terms"/>
    <m/>
    <m/>
    <s v="Patterson"/>
    <m/>
    <m/>
    <n v="0"/>
  </r>
  <r>
    <x v="67"/>
    <s v="Hull Horsham"/>
    <m/>
    <s v="Lisa"/>
    <s v="Email"/>
    <s v="Kane, Kevin"/>
    <m/>
    <x v="85"/>
    <s v="Califon"/>
    <x v="9"/>
    <m/>
    <x v="23"/>
    <x v="146"/>
    <x v="279"/>
    <s v="Home titled to Co-Op"/>
    <s v="Insured purchasing a home titled to a co-op. Insured is on a bill of sale. Co-op stays on title. Insured gets shares in the co-op. Agt wants to write with insured as NI, co-op as addl insd. Reviewed forms."/>
    <x v="3"/>
    <s v="• With the policy in the insured’s name and the Co-op as Additional Insured._x000a_• Verify woodburning stove was professionally installed. Obtain acceptable questionnaire asap._x000a_• Acceptable Protection Class questionnaire – response time less than 15 minutes, paved roads, fully accessible to emergency vehicles_x000a_• Verify there is thermostatically controlled heat source prior to binding. (Photo shows a wall mounted gas heater.)_x000a_"/>
    <m/>
    <m/>
    <s v="Patterson"/>
    <m/>
    <m/>
    <n v="0"/>
  </r>
  <r>
    <x v="114"/>
    <s v="Burns"/>
    <s v="MI"/>
    <s v="Delta"/>
    <s v="Email"/>
    <s v="Detroit Renovations LLC"/>
    <m/>
    <x v="2"/>
    <s v="Detroit"/>
    <x v="8"/>
    <m/>
    <x v="9"/>
    <x v="146"/>
    <x v="279"/>
    <s v="Insured is HGTV star"/>
    <s v="Nichole Curtis - HGTV Rehab Addict. We had another referral in June 2016 from Jill for this insured. Research shows she has homes in avg-below avg Detroit neighborhoods. Articles I researched previously indicate Curtis has had issues with pulling proper permits. Negative info about the building process.  Along with her celebrity and being a builder, liability and building condition are a concern.  We will pass on any risks for this insured."/>
    <x v="1"/>
    <m/>
    <m/>
    <m/>
    <s v="Patterson"/>
    <m/>
    <m/>
    <n v="1"/>
  </r>
  <r>
    <x v="133"/>
    <s v="Burns"/>
    <s v="MI"/>
    <s v="Jill"/>
    <s v="Email"/>
    <s v="Ford    "/>
    <s v="Gwen"/>
    <x v="2"/>
    <s v="Dandridge"/>
    <x v="5"/>
    <m/>
    <x v="4"/>
    <x v="146"/>
    <x v="279"/>
    <s v="Business use other structure"/>
    <s v="Short term renal to ministry members.  (??) Broadcast for local TV from garage. No crew, insured &amp; camera only."/>
    <x v="1"/>
    <s v="Could you please expand on this a little more:  &quot;short term rental rented to members of a ministry&quot;.  Is this for ministry use or residential?  Is it for missionaries, or is it a halfway house or something like that?  I'm sure there are other questions, this is just a little vague._x000a__x000a_Regarding the broadcast out of the garage:_x000a_• Is there any equipment that would increase the fire hazard (which might affect the main dwelling)?_x000a_• Is there a website?_x000a__x000a_As you noted, we would be applying the Total Business Exclusion, but just want a feel for the overall exposure before we go forward._x000a_//7/20/17 This is a commercial risk w/rental. Suggested Jill pursue a church BOP or commercial policy."/>
    <m/>
    <m/>
    <s v="Patterson"/>
    <m/>
    <m/>
    <n v="1"/>
  </r>
  <r>
    <x v="507"/>
    <s v="Burns"/>
    <s v="MI"/>
    <s v="Alexa"/>
    <s v="Email"/>
    <s v="Snider"/>
    <s v="Jones"/>
    <x v="2"/>
    <s v="Cape Girardeau"/>
    <x v="36"/>
    <m/>
    <x v="3"/>
    <x v="146"/>
    <x v="279"/>
    <s v="Prior Loss"/>
    <s v="1984 (Home updated-except wiring), no alarms, one loss-sept 2016-drunk man climbed on roof and fell off"/>
    <x v="3"/>
    <s v="Confirmation that area of roof closed off as stated"/>
    <m/>
    <m/>
    <s v="Burdine"/>
    <m/>
    <m/>
    <n v="0"/>
  </r>
  <r>
    <x v="164"/>
    <s v="Burns"/>
    <s v="CA"/>
    <s v="Jill"/>
    <s v="Email"/>
    <s v="Central Palm Properties LLC"/>
    <m/>
    <x v="86"/>
    <s v="Oakland"/>
    <x v="29"/>
    <m/>
    <x v="3"/>
    <x v="146"/>
    <x v="202"/>
    <s v="Open loss"/>
    <s v="1988 seasonal rental condo. 2 night min rental.  Good condition.  Open liab loss at different location in CA."/>
    <x v="4"/>
    <s v=" "/>
    <s v="Property with mold/liability claim is a 1940 dwelling. This is a newer condo.  We don't do roof exclusions on condos where we are insuring interior only."/>
    <n v="24"/>
    <s v="Patterson"/>
    <m/>
    <m/>
    <n v="0"/>
  </r>
  <r>
    <x v="508"/>
    <s v="Burns"/>
    <s v="MI"/>
    <s v="Leslie"/>
    <s v="Email"/>
    <s v="Panas, Cynthia"/>
    <m/>
    <x v="20"/>
    <s v="Allentown"/>
    <x v="2"/>
    <m/>
    <x v="9"/>
    <x v="146"/>
    <x v="145"/>
    <s v="Older home w/ RC"/>
    <s v="This was built in 1920, tenant occupied, located in PA and fully updated.  Heatiing 1996, wiring 1996, plumbing  1996 and roofing 2012. No losses."/>
    <x v="3"/>
    <s v="Reviewed google maps, no flat roof, Home looks OK. Sinc gutted, Approval subject to  inspection including EHP "/>
    <m/>
    <m/>
    <s v="K.Burdine"/>
    <m/>
    <m/>
    <n v="0"/>
  </r>
  <r>
    <x v="279"/>
    <s v="Hull CO"/>
    <s v="Horsham"/>
    <s v="Tamika"/>
    <s v="Email"/>
    <s v="Garrison, Robert"/>
    <m/>
    <x v="1"/>
    <s v="Lyndhurst"/>
    <x v="9"/>
    <m/>
    <x v="5"/>
    <x v="146"/>
    <x v="280"/>
    <s v="Prior owner foreclosure"/>
    <s v="Insured was living in home, found out it was a foreclosure. Acquired from bank and is remodeling."/>
    <x v="4"/>
    <m/>
    <m/>
    <m/>
    <s v="Patterson"/>
    <m/>
    <m/>
    <n v="0"/>
  </r>
  <r>
    <x v="509"/>
    <s v="Burns"/>
    <s v="MI"/>
    <s v="Leslie"/>
    <s v="Email"/>
    <s v="Schill"/>
    <s v="James"/>
    <x v="3"/>
    <s v="Alberton"/>
    <x v="50"/>
    <m/>
    <x v="4"/>
    <x v="146"/>
    <x v="281"/>
    <s v="PC"/>
    <s v="Renewal that was coded as PC 5 but really a PC10. 2016 risk with central alarms and metal roof. This is in a more remote area that has brush exposure in montana. Home cleared to 300'."/>
    <x v="2"/>
    <s v="Sent over as a PC9 but clearly a PC10. Awaiting suggested rate per guidelines for a PC10."/>
    <m/>
    <m/>
    <s v="Lazovik"/>
    <m/>
    <m/>
    <n v="0"/>
  </r>
  <r>
    <x v="510"/>
    <s v="Burns"/>
    <s v="MI"/>
    <s v="Leslie"/>
    <s v="Email"/>
    <s v="Jones"/>
    <s v="Richard"/>
    <x v="4"/>
    <s v="Dubois"/>
    <x v="51"/>
    <m/>
    <x v="4"/>
    <x v="146"/>
    <x v="282"/>
    <s v="PC"/>
    <s v="Secondary, 26 min response time, $2500 AOP, not accessible year round, quoted at $1632"/>
    <x v="3"/>
    <s v="; lower valued, so subject to 15% surcharge "/>
    <m/>
    <m/>
    <s v="Burdine"/>
    <m/>
    <m/>
    <n v="0"/>
  </r>
  <r>
    <x v="511"/>
    <s v="Burns"/>
    <s v="MI"/>
    <s v="Leslie"/>
    <s v="Email"/>
    <s v="Fox"/>
    <s v="Karen"/>
    <x v="21"/>
    <s v="Calistoga"/>
    <x v="1"/>
    <m/>
    <x v="3"/>
    <x v="146"/>
    <x v="4"/>
    <s v="TIV"/>
    <s v="2000 home w/hydrant on property. Low brush. Reviewed online photos - all ok."/>
    <x v="4"/>
    <m/>
    <s v="(per PC Bulletin by Tim C, hydrant on prop is acceptable). "/>
    <n v="15"/>
    <s v="Patterson"/>
    <m/>
    <m/>
    <n v="0"/>
  </r>
  <r>
    <x v="512"/>
    <s v="Hull Horsham"/>
    <s v="PA"/>
    <s v="Nichole"/>
    <s v="Email"/>
    <s v="Shreve"/>
    <s v="John &amp; Johnna"/>
    <x v="0"/>
    <s v="Romney"/>
    <x v="26"/>
    <m/>
    <x v="6"/>
    <x v="146"/>
    <x v="283"/>
    <s v="PC"/>
    <s v="Protection Class 9, PCQ attached, prior loss-fire loss at prior property. Fire report confirms was from a faulty extension cord."/>
    <x v="3"/>
    <s v="Suggested alarms in home"/>
    <m/>
    <m/>
    <s v="Burdine"/>
    <m/>
    <m/>
    <n v="0"/>
  </r>
  <r>
    <x v="50"/>
    <s v="Hull Irvine"/>
    <s v="CA"/>
    <s v="Alison"/>
    <s v="Email"/>
    <s v="Becker"/>
    <s v="Alec"/>
    <x v="0"/>
    <s v="Vista"/>
    <x v="1"/>
    <m/>
    <x v="9"/>
    <x v="146"/>
    <x v="198"/>
    <s v="Other UW Reason"/>
    <s v="Trampoline on premises. However, they note there is a guest house they will be using for rentals. Home built in 1941. Complete updates but year not noted. "/>
    <x v="2"/>
    <s v="Need more information on the guest house."/>
    <m/>
    <m/>
    <s v="Lazovik"/>
    <m/>
    <m/>
    <n v="0"/>
  </r>
  <r>
    <x v="481"/>
    <s v="SCU"/>
    <s v="CO"/>
    <s v="Ashley"/>
    <s v="Email"/>
    <s v="Anna L Bell Trust"/>
    <m/>
    <x v="21"/>
    <s v="Cedaredge"/>
    <x v="19"/>
    <m/>
    <x v="4"/>
    <x v="146"/>
    <x v="198"/>
    <s v="PC/response time"/>
    <s v="1950 log home partially updated in 1980 w/metal roof. 20-35 min response/inaccessible in winter. Brush zone cleared 150-300 feet."/>
    <x v="3"/>
    <s v="Approved subj to 150' clearance. Acceptable woodstove questionnaire. 30% surcharge (.80 rate) due to this being possible total loss should there be a fire. Older home quest is okay. Photos look okay. Lower value."/>
    <m/>
    <m/>
    <s v="Patterson"/>
    <m/>
    <m/>
    <n v="0"/>
  </r>
  <r>
    <x v="405"/>
    <s v="Burns"/>
    <s v="MI"/>
    <s v="Nicole"/>
    <m/>
    <s v="Morgan"/>
    <s v="Dave"/>
    <x v="0"/>
    <s v="Mooresville "/>
    <x v="17"/>
    <s v="46158"/>
    <x v="2"/>
    <x v="146"/>
    <x v="276"/>
    <s v="Losses"/>
    <s v="1950 home that is currently a church. Insd will live in it. No renovations at this time. Updated. Modular building on property that will be a game room. 4/18 fire $542K careless smoking by wife who is now in assisted living and they are getting a divorce. 7/17 wind $30K. Both at prior location."/>
    <x v="2"/>
    <s v="Need C&amp;O or Fire Marshal report. Ok'd rate indication only. If we go forward, need to confirm this is modular. Also let us know if renovations happen. "/>
    <s v="Not asking for proof of the address of Mrs or that they are going through a divorce."/>
    <m/>
    <s v="Patterson"/>
    <m/>
    <m/>
    <n v="0"/>
  </r>
  <r>
    <x v="185"/>
    <s v="Burns"/>
    <s v="MI"/>
    <s v="Jill"/>
    <s v="Email"/>
    <s v="Zephier"/>
    <s v="Ward"/>
    <x v="0"/>
    <m/>
    <x v="48"/>
    <m/>
    <x v="3"/>
    <x v="146"/>
    <x v="276"/>
    <s v="Open claim"/>
    <s v="Loss 06/24/2017-should be settled in December, prior prop has fire loss. Loss cause: kids playing w/fireworks, 1910 build on new prop (updates)"/>
    <x v="3"/>
    <s v="Subject to children that played with fireworks not moving to new prop (ex: prior loss children in that neighborhood). If are moving, advised to resubmit for further review"/>
    <m/>
    <m/>
    <s v="Burdine"/>
    <m/>
    <m/>
    <n v="0"/>
  </r>
  <r>
    <x v="513"/>
    <s v="Burns"/>
    <s v="MI"/>
    <s v="Jill"/>
    <s v="Email"/>
    <s v="Aquino, George"/>
    <m/>
    <x v="0"/>
    <s v="Bass Lake CA  PC9"/>
    <x v="3"/>
    <m/>
    <x v="0"/>
    <x v="146"/>
    <x v="276"/>
    <s v="No full updates"/>
    <s v="1964 home w/partial updates to systems. Full roof update (metal 1994). Low brush. 6 miles to FD, 12 min response."/>
    <x v="4"/>
    <m/>
    <m/>
    <m/>
    <s v="Patterson"/>
    <m/>
    <m/>
    <n v="0"/>
  </r>
  <r>
    <x v="452"/>
    <s v="AmWINS"/>
    <s v="FL"/>
    <s v="Niki"/>
    <m/>
    <s v="Goosen"/>
    <s v="Arlene"/>
    <x v="0"/>
    <s v="Jacksonville"/>
    <x v="32"/>
    <s v="32216"/>
    <x v="11"/>
    <x v="146"/>
    <x v="284"/>
    <s v="Other UW Reason"/>
    <s v="Location.  1960 home backs up to Jacksonville VA hospital.  Appx 150' away per aerial view. Many trees in the photo.  It backs up to the back of the building. Had prior plumbing leak.  Pipes re-routed and all fixtures replaced. Supply and drain lines replaced. (2016) "/>
    <x v="2"/>
    <s v="Discussed w/JB and we agreed the distance to the coml bldgs were okay.  Will need OHQ. At first advised no water backup due to prior slab leak loss.  Loss was not related to backup.  The loss was over 3 years ago, plus the plumbing docs say the drain lines were replaced.  I felt comfortable offering water backup.  "/>
    <m/>
    <m/>
    <s v="Patterson"/>
    <m/>
    <m/>
    <n v="0"/>
  </r>
  <r>
    <x v="247"/>
    <s v="ASL"/>
    <s v=" "/>
    <s v="Charity"/>
    <s v="Email"/>
    <s v="Loncki, Christine"/>
    <m/>
    <x v="21"/>
    <s v="Rock Hall MD  PC 9"/>
    <x v="3"/>
    <m/>
    <x v="0"/>
    <x v="146"/>
    <x v="240"/>
    <s v="PC9"/>
    <s v="1992 home. No alarms. Online photos show other structures in rough condition. "/>
    <x v="3"/>
    <s v="Approved with no other str covg until condition can be confirmed with new photos or inspection."/>
    <m/>
    <m/>
    <s v="Patterson"/>
    <m/>
    <m/>
    <n v="0"/>
  </r>
  <r>
    <x v="514"/>
    <s v="Burns"/>
    <s v="MI"/>
    <s v="Nicole"/>
    <m/>
    <s v="Philo"/>
    <s v="Scott"/>
    <x v="0"/>
    <s v="Cedar Springs"/>
    <x v="8"/>
    <s v="49319"/>
    <x v="5"/>
    <x v="146"/>
    <x v="231"/>
    <s v="Business on Premises"/>
    <s v="2005 year built. Daycare on premises, with 6 children. Quoted with TBE in place, they will have GL in place. Application and questionnaire shows above ground pool and trampoline are at the risk. "/>
    <x v="2"/>
    <s v="Need to know more info on pool and trampoline. Pended to ask: are either the pool or trampoline used by the daycare children? If so, for how long and what type of supervision. If not, are both fenced off from where the children are allowed to go and with no way for them to access. Advised if we do approve terms, a pool exclusion, trampoline exclusion and TBE will all apply. Advised we would also want to see photos of the pool and trampoline. "/>
    <m/>
    <m/>
    <s v="Busse"/>
    <m/>
    <m/>
    <n v="0"/>
  </r>
  <r>
    <x v="82"/>
    <s v="Burns"/>
    <s v="MI"/>
    <s v="Alexa"/>
    <s v="Email"/>
    <s v="Roll, George"/>
    <m/>
    <x v="0"/>
    <s v="Lecompton"/>
    <x v="28"/>
    <m/>
    <x v="2"/>
    <x v="146"/>
    <x v="271"/>
    <s v="Business on premises"/>
    <s v="1925 home updated in 1996. Nice online photos. Large open carport structures for boat storage. 10 customers per month. Has GL w/Allied. Separate from home."/>
    <x v="3"/>
    <s v="Total Business Excl; Exclude other str ($20K Cov B included); get reason for prior cancel/nrn."/>
    <m/>
    <m/>
    <s v="Patterson"/>
    <m/>
    <m/>
    <n v="0"/>
  </r>
  <r>
    <x v="350"/>
    <s v="JM Wilson"/>
    <s v="MI"/>
    <s v="Cheryl"/>
    <s v="Email"/>
    <s v="Dohm"/>
    <s v="Thelma"/>
    <x v="7"/>
    <m/>
    <x v="8"/>
    <m/>
    <x v="5"/>
    <x v="146"/>
    <x v="285"/>
    <s v="Losses"/>
    <s v="Coverage A $200,000 Protection class 4, 100 Amp, Natural Gas; 3 weather claims in last 3 years, 5 in last 7"/>
    <x v="3"/>
    <s v="minimum $2500 AOP deductible for loss history, ACV roof endorsement; $5000-$10K water damage deductible"/>
    <m/>
    <m/>
    <s v="Burdine"/>
    <m/>
    <m/>
    <n v="0"/>
  </r>
  <r>
    <x v="515"/>
    <s v="Burns"/>
    <s v="MI"/>
    <s v="Ben"/>
    <s v="Email"/>
    <s v="Novotny, Ken"/>
    <m/>
    <x v="0"/>
    <s v="Indianapolis, IN PC4"/>
    <x v="3"/>
    <m/>
    <x v="0"/>
    <x v="146"/>
    <x v="286"/>
    <s v="5 losses in 3 years"/>
    <s v="Ran insurance score and it is bad. Discussed verbally with Ben, but declined due to number of prior losses."/>
    <x v="1"/>
    <m/>
    <m/>
    <m/>
    <s v="Patterson"/>
    <m/>
    <m/>
    <n v="1"/>
  </r>
  <r>
    <x v="19"/>
    <s v="Burns"/>
    <s v="MI"/>
    <s v="Matthew"/>
    <s v="Email"/>
    <s v="Johnson"/>
    <s v="Barbara"/>
    <x v="0"/>
    <m/>
    <x v="36"/>
    <m/>
    <x v="6"/>
    <x v="146"/>
    <x v="287"/>
    <s v="Business on Premises"/>
    <s v="Home was built in 2005 of frame construction.  PC9 with no alarm, but visible to neighbors and accessible all year, and no losses; horse breeding company-wants liability"/>
    <x v="3"/>
    <s v="In order to include liability we would need to confirm that a GL policy is in place to cover the horse breeding exposure. We would also need to include the total business and animal liability exclusions. If they do not have a GL policy in place, or don't want to add the exclusions, then we would have to exclude the liability."/>
    <m/>
    <m/>
    <s v="Burdine"/>
    <m/>
    <m/>
    <n v="0"/>
  </r>
  <r>
    <x v="516"/>
    <s v="Burns"/>
    <s v="MI"/>
    <s v="Jill"/>
    <s v="Email/Call"/>
    <s v="Culton, Joseph"/>
    <m/>
    <x v="21"/>
    <s v="Idyllwild CA PC4"/>
    <x v="3"/>
    <m/>
    <x v="0"/>
    <x v="146"/>
    <x v="288"/>
    <s v="$200 Covg B"/>
    <s v="1978 home. Detached garage w/living quarters not rented"/>
    <x v="4"/>
    <s v="No rental-used in conjunction w/seasonal home."/>
    <m/>
    <m/>
    <s v="Patterson"/>
    <m/>
    <m/>
    <n v="0"/>
  </r>
  <r>
    <x v="517"/>
    <s v="Quaker"/>
    <s v="MA"/>
    <s v="Mary"/>
    <s v="Email"/>
    <s v="Hierarchy Gardens LLC"/>
    <m/>
    <x v="0"/>
    <s v="Orrington"/>
    <x v="6"/>
    <m/>
    <x v="0"/>
    <x v="146"/>
    <x v="289"/>
    <s v="Business on Premises"/>
    <s v="Dwelling with a cannabis farm on premises.  Business is insured commercially.  Agent looking for coverage for main owner occupied house.  Cov B of $180,000 is for 2 greenhouses used for the cannabis farm."/>
    <x v="1"/>
    <s v="Currently not entertaining risks with cannabis operations on premises.  Still federally illegal. Increased fire, theft, phys dmg exposure."/>
    <m/>
    <m/>
    <s v="Patterson"/>
    <m/>
    <m/>
    <n v="1"/>
  </r>
  <r>
    <x v="144"/>
    <s v="SCU"/>
    <s v="CO"/>
    <s v="Allison"/>
    <s v="Email"/>
    <s v="Neumiller"/>
    <s v="Neil"/>
    <x v="57"/>
    <s v="Steamboat Springs"/>
    <x v="19"/>
    <m/>
    <x v="9"/>
    <x v="146"/>
    <x v="290"/>
    <s v="TIV"/>
    <s v="Beautiful condo in Steamboat Springs rented for 15 weeks a year. High end. $7500-$30,000 for 5 days. Management co. Climbing wall in condo so excluding liab.  Not in brush. Alarms."/>
    <x v="3"/>
    <s v="No scheduled items. Confirm only residential use. "/>
    <s v="Found online info about insured building a property to rent for weddings. Make sure it isn't happening. May be okay since x-liab. We would need to evaluate."/>
    <n v="32"/>
    <s v="Patterson"/>
    <m/>
    <m/>
    <n v="0"/>
  </r>
  <r>
    <x v="155"/>
    <s v="SCU"/>
    <s v="CO"/>
    <s v="Ashley"/>
    <s v="Email"/>
    <s v="Piuma Properties"/>
    <m/>
    <x v="0"/>
    <s v="Malibu"/>
    <x v="1"/>
    <m/>
    <x v="5"/>
    <x v="146"/>
    <x v="291"/>
    <s v="TIV"/>
    <s v="2009 home w/central alarms and sprinkler. In high brush, but aerial view looks okay. Agent will enforce 150' clearance and get corp quest for LLC."/>
    <x v="4"/>
    <m/>
    <m/>
    <n v="21"/>
    <s v="Patterson"/>
    <m/>
    <m/>
    <n v="0"/>
  </r>
  <r>
    <x v="333"/>
    <s v="Burns"/>
    <s v="MI"/>
    <s v="Jill"/>
    <s v="Email"/>
    <s v="Park, Chanwang"/>
    <m/>
    <x v="0"/>
    <s v="Carmel"/>
    <x v="17"/>
    <m/>
    <x v="2"/>
    <x v="146"/>
    <x v="32"/>
    <s v="TIV"/>
    <s v="Built in 2005, brick veneer, primary, PC5, no alarms, no losses, located in IN, reviewed google. Insured is a anesthesiologist "/>
    <x v="3"/>
    <s v="Per app and photos, pool has diving board. Unclear from photos if pool fenced. Advised subject to pool exclusion"/>
    <m/>
    <m/>
    <s v="K.Burdine"/>
    <m/>
    <m/>
    <n v="0"/>
  </r>
  <r>
    <x v="518"/>
    <s v="SCU"/>
    <s v="CO"/>
    <s v="Allison"/>
    <s v="Email"/>
    <s v="Stevenson"/>
    <s v="John"/>
    <x v="16"/>
    <s v="Norwood"/>
    <x v="19"/>
    <m/>
    <x v="4"/>
    <x v="146"/>
    <x v="292"/>
    <s v="TIV"/>
    <s v="2000 home, alarms, not in brush per RM, zip code match 6 high FireLine. Hail score =1. 20 min response time for volunteer FD 3.8 miles away (10 min google drive time). Lex $13,817, a $2K incr over expiring. We are at $14,138. Alison wants to apply a 10% credit for $12,742  .29.  Animal mounts going elsewhere."/>
    <x v="4"/>
    <s v="Reviewed w/Jeff   "/>
    <m/>
    <n v="50"/>
    <s v="Patterson"/>
    <m/>
    <m/>
    <n v="0"/>
  </r>
  <r>
    <x v="30"/>
    <s v="Burns"/>
    <s v="MI"/>
    <s v="Lindsay"/>
    <s v="Email"/>
    <s v="Green Benson"/>
    <s v="Kirsten"/>
    <x v="0"/>
    <s v="O'Fallon"/>
    <x v="36"/>
    <m/>
    <x v="5"/>
    <x v="147"/>
    <x v="293"/>
    <s v="Business on Premises"/>
    <s v="1979 build with updates, no losses, applicant is counselor with business in outbuilding, approx 100 visitors a month. They quoted with the total business exclusion and an other structure exclusion"/>
    <x v="3"/>
    <s v="Advised Ok to offer terms with TBE; advised that this doesn’t qualify for home business program (they also had included the HBB supp)."/>
    <m/>
    <m/>
    <s v="Burdine"/>
    <m/>
    <m/>
    <n v="0"/>
  </r>
  <r>
    <x v="519"/>
    <s v="Burns"/>
    <s v="MI"/>
    <s v="Delta"/>
    <s v="Email"/>
    <s v="Nelson"/>
    <s v="Beulah"/>
    <x v="5"/>
    <s v="Lacygne"/>
    <x v="28"/>
    <m/>
    <x v="4"/>
    <x v="148"/>
    <x v="294"/>
    <s v="Occupancy/Use"/>
    <s v="2004, PC 10, 20-25 min response, visible to neighbors, family not ready to see (in living trust). No liab offered as acreage rented for hay"/>
    <x v="3"/>
    <s v="approval to offer terms, with the liability being excluded and the 10% surcharge due to the extended vacancy (as quoted)"/>
    <m/>
    <m/>
    <s v="Burdine"/>
    <m/>
    <m/>
    <n v="0"/>
  </r>
  <r>
    <x v="441"/>
    <s v="ASL"/>
    <m/>
    <s v="Charity"/>
    <s v="Email"/>
    <s v="Kirkland, Jason"/>
    <m/>
    <x v="0"/>
    <s v="Williamsburg VA PC10"/>
    <x v="3"/>
    <m/>
    <x v="0"/>
    <x v="149"/>
    <x v="295"/>
    <s v="PC10 Log Home"/>
    <s v="2000 Log home w/no info on type. PC10, no info on response time."/>
    <x v="2"/>
    <s v="Asked for distance to FD, response time, fully accessible on paved roads."/>
    <m/>
    <m/>
    <s v="Patterson"/>
    <m/>
    <m/>
    <n v="0"/>
  </r>
  <r>
    <x v="520"/>
    <s v="Burns"/>
    <s v="MI"/>
    <s v="Jeff"/>
    <s v="Email"/>
    <s v="Madden"/>
    <s v="Michael"/>
    <x v="5"/>
    <s v="Pueblo"/>
    <x v="19"/>
    <m/>
    <x v="5"/>
    <x v="150"/>
    <x v="296"/>
    <s v="Open loss"/>
    <s v="1997 vacant dwelling.  Wind claim 4/17 - roof replaced. Current open liab loss. Handrail was loose and pulled off wall - claimant fell. "/>
    <x v="3"/>
    <s v="Subj to confirmation that the damaged rail was repaired by a licensed contractor and there are no other liability issues inside or outside the home."/>
    <m/>
    <m/>
    <s v="Patterson"/>
    <m/>
    <m/>
    <n v="0"/>
  </r>
  <r>
    <x v="179"/>
    <s v="Hull Horsham"/>
    <s v="PA"/>
    <s v="Tamika"/>
    <s v="Email"/>
    <s v="Marion"/>
    <s v="Mackie"/>
    <x v="0"/>
    <m/>
    <x v="9"/>
    <m/>
    <x v="0"/>
    <x v="151"/>
    <x v="297"/>
    <s v="Open claim"/>
    <s v="DOL 10/3/17 – wind blew some shingles off the roof - $1,697  is being paid on the claim.  The insured is just waiting for the carrier to release the check for payment. Loss surcharge included"/>
    <x v="4"/>
    <s v="Quote includes roof exclusion, existing damage exclusion"/>
    <m/>
    <m/>
    <s v="Burdine"/>
    <m/>
    <m/>
    <n v="0"/>
  </r>
  <r>
    <x v="417"/>
    <s v="ASL"/>
    <m/>
    <m/>
    <s v="Email"/>
    <s v="Rodriguez-Diaz, Emilia"/>
    <m/>
    <x v="38"/>
    <s v="Philadelphia, PA"/>
    <x v="3"/>
    <m/>
    <x v="0"/>
    <x v="152"/>
    <x v="0"/>
    <s v="Ineligible Zip"/>
    <s v="Per agt, got message that ineligible Zip"/>
    <x v="4"/>
    <s v="Confirmed with Jeff that OK to release terms"/>
    <s v="Jeff will check to see why zip showing as ineligible"/>
    <m/>
    <s v="K.Burdine"/>
    <m/>
    <m/>
    <n v="0"/>
  </r>
  <r>
    <x v="336"/>
    <s v="Hull Stockton"/>
    <s v="CA"/>
    <s v="Lisa"/>
    <s v="Email"/>
    <s v="Dardis"/>
    <s v="John"/>
    <x v="1"/>
    <s v="Pine Grove"/>
    <x v="1"/>
    <m/>
    <x v="3"/>
    <x v="152"/>
    <x v="182"/>
    <s v="Builders Risk"/>
    <s v="2016 home w/ detached storage structure. Building an attached garage - licensed contractor. Insd living there."/>
    <x v="4"/>
    <s v="OK for additional coverages since insd is living there."/>
    <m/>
    <m/>
    <s v="Patterson"/>
    <m/>
    <m/>
    <n v="0"/>
  </r>
  <r>
    <x v="490"/>
    <s v="Burns"/>
    <s v="MI"/>
    <s v="Jill"/>
    <m/>
    <s v="Lockwood"/>
    <s v="James"/>
    <x v="0"/>
    <s v="Marshfield"/>
    <x v="36"/>
    <s v="65706"/>
    <x v="3"/>
    <x v="153"/>
    <x v="250"/>
    <s v="Business on Premises"/>
    <s v="1996 home with business on premises.  Business questionnaire answers ok. Earthberm home - prof constructed. 4 animals - 3 Golden Retrievers and Great Pyranese. Total business excl."/>
    <x v="3"/>
    <s v="Business is empl only, no customers. Confirm no farming. TBE and Coml pol required. Berm home photos look good. Confirm no business str under Cov B."/>
    <m/>
    <m/>
    <s v="Patterson"/>
    <m/>
    <m/>
    <n v="0"/>
  </r>
  <r>
    <x v="32"/>
    <s v="Burns"/>
    <s v="MI"/>
    <s v="Rachel"/>
    <s v="Email/Call"/>
    <s v="Graves"/>
    <s v="Joseph Eugene"/>
    <x v="2"/>
    <m/>
    <x v="31"/>
    <m/>
    <x v="5"/>
    <x v="154"/>
    <x v="298"/>
    <s v="Business on Premises"/>
    <s v="1943 dwelling w/updated occupied by an tenant/employee of a Metal Working business on the premises which is run by the insured.  Branch pushing back on Rachel's decline trying to get this whole risk insured commercially."/>
    <x v="1"/>
    <s v="Agree with Rachel's decline.  This should be written on a commercial policy."/>
    <m/>
    <m/>
    <s v="Patterson"/>
    <m/>
    <m/>
    <n v="1"/>
  </r>
  <r>
    <x v="521"/>
    <s v="Hull Irvine"/>
    <s v="CA"/>
    <s v="Kelly"/>
    <s v="Email"/>
    <s v="Haines"/>
    <s v="Willits"/>
    <x v="0"/>
    <s v="Tustin"/>
    <x v="1"/>
    <m/>
    <x v="9"/>
    <x v="154"/>
    <x v="299"/>
    <s v="Losses"/>
    <s v="2012 dwelling not in brush. Prior fire loss in 2012 $189K in damage. Agent doesn't know cause. Dwelling was rebuilt. Agt asking to quote pending fire marshal report."/>
    <x v="3"/>
    <s v="Ok'd the quote pending the fire marshal report if there is a request to bind. May also want to run insurance score. This is per procedures agreed to with management."/>
    <m/>
    <m/>
    <s v="Patterson"/>
    <s v=" "/>
    <m/>
    <n v="0"/>
  </r>
  <r>
    <x v="143"/>
    <s v="ASL"/>
    <s v="VA"/>
    <s v="Garry"/>
    <s v="Email"/>
    <s v="Rice"/>
    <s v="William"/>
    <x v="0"/>
    <s v="Gordonsville"/>
    <x v="10"/>
    <m/>
    <x v="4"/>
    <x v="155"/>
    <x v="300"/>
    <s v="Response time"/>
    <s v="2005 home. Volunteer FD is 16 min away. Quoted w/prem of $1575  (.45)"/>
    <x v="3"/>
    <s v="Apply 20% s/c for .54 rate."/>
    <m/>
    <n v="16"/>
    <s v="Patterson"/>
    <m/>
    <m/>
    <n v="0"/>
  </r>
  <r>
    <x v="269"/>
    <s v="Bolton"/>
    <s v="AL"/>
    <s v="Janet"/>
    <s v="Email"/>
    <s v="Morton, Lan"/>
    <m/>
    <x v="0"/>
    <s v="Biloxi"/>
    <x v="16"/>
    <m/>
    <x v="0"/>
    <x v="156"/>
    <x v="301"/>
    <s v="Current bankruptcy"/>
    <s v="1985 home no update info. Insd in Chapter 13 bankruptcy for 2 years (repayment plan). There was a noncompete w/his business and he was ordered to pay $126K. Had to do chapter 13. Was with Nationwide for 8 years, no issues."/>
    <x v="4"/>
    <s v="Approved. Reviewed ins score. 1.10 factor. All accts under ch 13 okay. Other accounts show no late payments. Roof excl applies due to no update info."/>
    <m/>
    <m/>
    <s v="Patterson"/>
    <m/>
    <m/>
    <n v="0"/>
  </r>
  <r>
    <x v="31"/>
    <s v="Burns"/>
    <s v="MI"/>
    <s v="Rachel"/>
    <s v="Email"/>
    <s v="Devito"/>
    <s v="Carol"/>
    <x v="0"/>
    <s v="Mears"/>
    <x v="8"/>
    <m/>
    <x v="2"/>
    <x v="157"/>
    <x v="302"/>
    <s v="Occupancy/Use"/>
    <s v="1900 dwelling updated in 2012. Online photos ok w/many large outbuildings. $32K Cov B. Insd bought home from 90 year old man who is living in a mobile home on the property w/a life lease. Children will remove trailer when insd passes."/>
    <x v="3"/>
    <s v="Ok with building exclusion for the mobile home as this will exclude phys dmg and liability.  Need to evaluate Cov B - lots of structures. Exclude or increase covg."/>
    <m/>
    <m/>
    <s v="Patterson"/>
    <m/>
    <m/>
    <n v="0"/>
  </r>
  <r>
    <x v="522"/>
    <s v="AmWINS"/>
    <s v="TX"/>
    <s v="Georgina"/>
    <m/>
    <s v="Medley"/>
    <s v="Ellen"/>
    <x v="0"/>
    <s v="Saint Albans"/>
    <x v="26"/>
    <s v="25177"/>
    <x v="2"/>
    <x v="158"/>
    <x v="303"/>
    <s v="Losses"/>
    <s v="1945 home updated in 2009. No OH App$2500 ded. Insd had fire 12/13/18 at prior residence $113K. Only first responder report provided - no info on cause. No ins score provided. CSFB. Clue shows prior fire at this location 9/13/16 $39K."/>
    <x v="2"/>
    <s v="Asked for ins score, OH App, FM or O&amp;C report to see cause, detail on fire loss at this location in 2016. Also asked why WV insd would have a TN agt (Farmers 9.5 hours away). "/>
    <s v="There is an online Go Fund Me from the fire with positive remarks, created day after the fire by a family member.  First responder report provided tells nothing. "/>
    <m/>
    <s v="Patterson"/>
    <m/>
    <m/>
    <n v="0"/>
  </r>
  <r>
    <x v="143"/>
    <s v="Hull Irvine"/>
    <m/>
    <s v="Alison"/>
    <s v="Call"/>
    <s v="Cairns"/>
    <m/>
    <x v="21"/>
    <s v="Big Bear"/>
    <x v="1"/>
    <m/>
    <x v="0"/>
    <x v="159"/>
    <x v="0"/>
    <s v="Zinsco Breakers"/>
    <s v="1920 home updated to c/b however they are Zinsco. This is a new purchase -it was pointed out in the inspection. Closing is proceeding. Insured getting an electrician to fix. Also has a HWT issue - getting a plumber. May have a roof issue - getting a contractor."/>
    <x v="3"/>
    <s v="Breaker panel to be replaced within 14 days or DNOC - agnt to advise of hazard of Zinsco. Don't move in until replaced. Excluding water until HWT is fixed. Excluding roof until determined condition is okay."/>
    <m/>
    <n v="27"/>
    <s v="Patterson"/>
    <m/>
    <m/>
    <n v="0"/>
  </r>
  <r>
    <x v="42"/>
    <s v="JM Wilson"/>
    <s v="MI"/>
    <s v="John"/>
    <s v="Email"/>
    <s v="McDougle "/>
    <s v="Drskin"/>
    <x v="2"/>
    <s v="Detroit"/>
    <x v="8"/>
    <m/>
    <x v="5"/>
    <x v="159"/>
    <x v="182"/>
    <s v="Condition"/>
    <s v="1948 dwelling with asbestos roof. Allegedly updated in 2000 but that does not make sense. Detroit location. $70K purchase; $210 mkt value. No prior coverage, now insuring."/>
    <x v="1"/>
    <s v="Asbestos roof, no prior coverage - why now? Detroit address. Mkt val/RCE discrepancy."/>
    <m/>
    <m/>
    <s v="Patterson"/>
    <m/>
    <m/>
    <n v="1"/>
  </r>
  <r>
    <x v="498"/>
    <s v="Burns"/>
    <s v="MI"/>
    <s v="Jeffrey"/>
    <s v="Email"/>
    <s v="Carey, Kate"/>
    <m/>
    <x v="21"/>
    <s v="Cass Lake, MN PC10"/>
    <x v="3"/>
    <m/>
    <x v="0"/>
    <x v="159"/>
    <x v="304"/>
    <s v="PC10/Island"/>
    <s v="1973 home updated acceptably. On Star Island - 60 homes. Mainland vlunteer FD takes fireboat to island if there is a fire. Scottsdale quoted."/>
    <x v="4"/>
    <s v="Per Jeff May discussion, any risk on an island could be a total, that is why this falls to E&amp;S. Approved since it is a lower coverage A."/>
    <m/>
    <m/>
    <s v="Patterson"/>
    <m/>
    <m/>
    <n v="0"/>
  </r>
  <r>
    <x v="330"/>
    <s v="Burns"/>
    <s v="MI"/>
    <s v="Lindsay"/>
    <s v="Email"/>
    <s v="Billeter-Young"/>
    <s v="Mary"/>
    <x v="4"/>
    <s v="Lehi"/>
    <x v="22"/>
    <m/>
    <x v="4"/>
    <x v="159"/>
    <x v="305"/>
    <s v="PC"/>
    <s v="me construction, secondary, no  losses, c/s alarms, built in 1975 - roof was fully updated in 2013 and partial update on the plumbing in 2013, located in UT. 21 min response time, alarms in home, no losses"/>
    <x v="3"/>
    <s v="approval to offer terms on this risk. However, due the response time, inaccessibility, and original wiring, please surcharge the VMGA premium by at least 30%."/>
    <m/>
    <m/>
    <s v="Burdine"/>
    <m/>
    <m/>
    <n v="0"/>
  </r>
  <r>
    <x v="523"/>
    <s v="Hull CA"/>
    <s v="Irvine"/>
    <s v="Alison"/>
    <s v="Email"/>
    <s v="Hanks, Jason"/>
    <m/>
    <x v="0"/>
    <s v="Lemon Grove CA "/>
    <x v="3"/>
    <m/>
    <x v="0"/>
    <x v="160"/>
    <x v="306"/>
    <s v="Appliances outside"/>
    <s v="Agent questioned if we had an issue with appliances outside behind house. They are on a cement pad with a roof overhang.  "/>
    <x v="1"/>
    <s v="I advised this is an attractive nuisance and suggested removing, securing, or building a better railing and gate around the porch they are on."/>
    <m/>
    <m/>
    <s v="Patterson"/>
    <m/>
    <m/>
    <n v="1"/>
  </r>
  <r>
    <x v="158"/>
    <s v="Burns"/>
    <s v="MI"/>
    <s v="Jill"/>
    <s v="Email"/>
    <s v="Republic National Inc"/>
    <m/>
    <x v="87"/>
    <s v="Apopka "/>
    <x v="32"/>
    <m/>
    <x v="0"/>
    <x v="160"/>
    <x v="154"/>
    <s v="Corporate Name"/>
    <s v="1970 dwelling owned by corporation (commercial land surveyors). Owner stays here seasonally along with other family members and employees when they work in the area. "/>
    <x v="3"/>
    <s v="Total business exclusion. Prem liab only."/>
    <m/>
    <n v="24"/>
    <s v="Patterson"/>
    <m/>
    <m/>
    <n v="0"/>
  </r>
  <r>
    <x v="524"/>
    <s v="Burns"/>
    <s v="MI"/>
    <s v="Nicole"/>
    <m/>
    <s v="Stout"/>
    <s v="Christine"/>
    <x v="0"/>
    <s v="Three Forks"/>
    <x v="50"/>
    <s v="59752"/>
    <x v="4"/>
    <x v="161"/>
    <x v="307"/>
    <s v="PC"/>
    <s v="1990 home in MT. FD 19.1 miles, 31 min drive time. Volunteer.  Estimate up to 40 min response. Local alarms. Hobby farm on property."/>
    <x v="3"/>
    <s v="Approved a rate indication of .85 = $3,410 subj to full info on hobby farm to determine eligibility. Response time falls within our exception guidelines.  Local alarms do not reduce response time."/>
    <m/>
    <m/>
    <s v="Patterson"/>
    <m/>
    <m/>
    <n v="0"/>
  </r>
  <r>
    <x v="220"/>
    <s v="Bolton"/>
    <s v="AL"/>
    <s v="Janet"/>
    <s v="Email"/>
    <s v="Russell, Cynthia"/>
    <m/>
    <x v="0"/>
    <s v="Ocean Springs MS PC8"/>
    <x v="3"/>
    <m/>
    <x v="0"/>
    <x v="162"/>
    <x v="308"/>
    <s v="3 yr lapse"/>
    <s v="Lapse since 2013 due to unemployed and couldn't afford. Online photos and info was okay. One source showed foreclosure sale in 2011.  Ran insurance score and it came in the 50% surcharge range."/>
    <x v="1"/>
    <s v="Insurance score in file. 50% surcharge range."/>
    <m/>
    <m/>
    <s v="Patterson"/>
    <m/>
    <m/>
    <n v="1"/>
  </r>
  <r>
    <x v="18"/>
    <s v="Burns"/>
    <s v="MI"/>
    <s v="David"/>
    <s v="Email"/>
    <s v="Weatherly"/>
    <s v="James"/>
    <x v="0"/>
    <s v="Romance"/>
    <x v="37"/>
    <m/>
    <x v="2"/>
    <x v="163"/>
    <x v="309"/>
    <s v="Business on Premises"/>
    <s v="wedding business on premises. No access to the home, layout confirms separation, will require CGL, 199 build, updates, "/>
    <x v="3"/>
    <s v="Confirmation of CGL and total business exclusion. Also app stated 02/2017 expiration date of prior policy. Perhaps typo? If not, need to discuss"/>
    <m/>
    <m/>
    <s v="Burdine"/>
    <m/>
    <m/>
    <n v="0"/>
  </r>
  <r>
    <x v="525"/>
    <s v="AmWINS"/>
    <s v="IL"/>
    <s v="Tasha"/>
    <m/>
    <s v="Turner"/>
    <s v="Rebecca"/>
    <x v="0"/>
    <s v="Lester Prairie"/>
    <x v="31"/>
    <s v="55354"/>
    <x v="3"/>
    <x v="164"/>
    <x v="310"/>
    <s v="Business on Premises"/>
    <s v="1973 home with updates to systems in 2006 and roof in 2002. Insured runs daycare from home with 10 children, 4 of which are the insured's. Has a GL in place for the daycare $1M per occurrence/$2M aggregate. Two prior water losses ($17k 4/2016 and $2500 9/2018) and was non-renewed. Water exclusion, water back up exclusion added by agent."/>
    <x v="3"/>
    <s v="Will also want to include mold exclusion to coverage all aspects of a potential water loss. OK to proceed with daycare since GL in place and even though 10 children, 4 are the insured's. Liability can stay on the policy. "/>
    <m/>
    <m/>
    <s v="Busse"/>
    <m/>
    <m/>
    <n v="0"/>
  </r>
  <r>
    <x v="327"/>
    <s v="Burns"/>
    <s v="MI"/>
    <s v="Danielle"/>
    <s v="Email"/>
    <s v="Boersig"/>
    <s v="Randall"/>
    <x v="0"/>
    <m/>
    <x v="36"/>
    <m/>
    <x v="0"/>
    <x v="164"/>
    <x v="311"/>
    <s v="Losses"/>
    <s v="11/2017 fire loss-insured was using metal saw in basement. Combustible's nearby lit"/>
    <x v="3"/>
    <s v="confirmation no longer engages in similar activities in basement"/>
    <m/>
    <m/>
    <s v="Burdine"/>
    <m/>
    <m/>
    <n v="0"/>
  </r>
  <r>
    <x v="526"/>
    <s v="Burns"/>
    <s v="MI"/>
    <s v="Rachel"/>
    <m/>
    <s v="Salazar"/>
    <s v="Carol B"/>
    <x v="1"/>
    <m/>
    <x v="7"/>
    <m/>
    <x v="0"/>
    <x v="165"/>
    <x v="312"/>
    <s v="Losses"/>
    <s v="Prior fire loss 2018 $266K insured using propane to char some wood slats for her fence (to prevent rot). Leaned on cardboard, caught fire, burned down the house."/>
    <x v="1"/>
    <s v="Careless loss."/>
    <s v="Ins score O.   "/>
    <m/>
    <s v="Busse"/>
    <m/>
    <m/>
    <n v="1"/>
  </r>
  <r>
    <x v="248"/>
    <s v="Hull CO"/>
    <s v="Horsham"/>
    <s v="Tamika"/>
    <s v="Call"/>
    <s v="Strickland, Michael"/>
    <m/>
    <x v="0"/>
    <s v="Charleston WV "/>
    <x v="3"/>
    <m/>
    <x v="0"/>
    <x v="165"/>
    <x v="313"/>
    <s v="Prior fire loss   "/>
    <s v="Prior $249K fire loss. Habitat home accidental wiring fire. There is subro against the electrician. The new home is a new purchase for the insured. Agent quoted this with Lex in Dec 2015. Agent is now wanting it, but Lex is no longer writing in WV. Ran insurance scores and they were bad. Collections and bad debt. "/>
    <x v="1"/>
    <s v="Declined due to prior loss."/>
    <m/>
    <m/>
    <s v="Patterson"/>
    <m/>
    <m/>
    <n v="1"/>
  </r>
  <r>
    <x v="111"/>
    <s v="Burns"/>
    <s v="MI"/>
    <s v="Jill"/>
    <s v="Email"/>
    <s v="Delgado, Frank"/>
    <m/>
    <x v="88"/>
    <s v="Oroville"/>
    <x v="1"/>
    <m/>
    <x v="4"/>
    <x v="165"/>
    <x v="314"/>
    <s v="Response time"/>
    <s v="This is a renewal. Agent originally sent as a PC9 with 12 min response time. Inspection revealed PC10. Renewal UW found 8.1 miles and 21 min response time. Too late to NRN. "/>
    <x v="3"/>
    <s v="10% surcharge for response time. Reviewed FireLine - high 11. "/>
    <m/>
    <m/>
    <s v="Patterson"/>
    <m/>
    <m/>
    <n v="0"/>
  </r>
  <r>
    <x v="527"/>
    <s v="ASL"/>
    <s v=" "/>
    <s v="Charity"/>
    <s v="Email"/>
    <s v="Rainey, Catherin"/>
    <m/>
    <x v="0"/>
    <s v="Richmond VA PC 5"/>
    <x v="3"/>
    <m/>
    <x v="0"/>
    <x v="165"/>
    <x v="315"/>
    <s v="Bankruptcy"/>
    <s v="1925 home updated. Insured received in will from her father who passed away. She has a chapter 13 bankruptcy she is paying on. Online sources show the home was foreclosed to the bank on 12/23/15. Ins score 50+% surcharge."/>
    <x v="1"/>
    <m/>
    <m/>
    <m/>
    <s v="Patterson"/>
    <m/>
    <m/>
    <n v="1"/>
  </r>
  <r>
    <x v="528"/>
    <s v="JM Wilson"/>
    <s v="MI"/>
    <s v="Cheryl"/>
    <m/>
    <s v="Seiflow"/>
    <s v="Gerald"/>
    <x v="4"/>
    <s v="McHenry"/>
    <x v="4"/>
    <s v="60050"/>
    <x v="5"/>
    <x v="165"/>
    <x v="316"/>
    <s v="Other UW Reason"/>
    <s v="1940 year built with updates to wiring and roof in 2003, heating 2008, and plumbing 1995. "/>
    <x v="3"/>
    <s v="Approved subject to completed OHQ and FRC due to year built and not fully gutted/redone"/>
    <m/>
    <m/>
    <s v="Busse"/>
    <m/>
    <m/>
    <n v="0"/>
  </r>
  <r>
    <x v="153"/>
    <s v="ASL"/>
    <s v="VA"/>
    <s v="Garry"/>
    <s v="Email"/>
    <s v="Smith"/>
    <s v="Johnnie"/>
    <x v="0"/>
    <s v="Clinton"/>
    <x v="29"/>
    <m/>
    <x v="2"/>
    <x v="165"/>
    <x v="317"/>
    <s v="Daycare in home"/>
    <s v="1989 home updated. In home daycare 6 kids,, licensed for 12. GL in place. 2 prior wind losses $2K 11/14; 7K 5/16."/>
    <x v="3"/>
    <s v="Okay excluding liability. Found and reviewed Safe Haven Child Care online.  Professional, nothing concerning (x-liab)."/>
    <m/>
    <n v="25"/>
    <s v="Patterson"/>
    <m/>
    <m/>
    <n v="0"/>
  </r>
  <r>
    <x v="391"/>
    <s v="Hull Horsham"/>
    <s v="PA"/>
    <s v="Tamika"/>
    <s v="Email"/>
    <s v="Gines"/>
    <s v="Erica"/>
    <x v="0"/>
    <s v="Sicklerville"/>
    <x v="9"/>
    <m/>
    <x v="0"/>
    <x v="165"/>
    <x v="318"/>
    <s v="Losses"/>
    <s v="1991 dwelling. Son was cooking 1/18 and burned the house down when a kitchen towel caught on fire, he put it in the trash, thought fire was out but it wasn't. He put the can outside and it caught the side of the house on fire. It spread and affected attached neighbors house too. No fire marshal report. "/>
    <x v="1"/>
    <s v="Ran insurance score  "/>
    <s v="poor score with collections and bad debt"/>
    <m/>
    <s v="Patterson"/>
    <m/>
    <m/>
    <n v="1"/>
  </r>
  <r>
    <x v="256"/>
    <s v="Hull CA"/>
    <s v="Irvine"/>
    <s v="Alex"/>
    <s v="Call"/>
    <m/>
    <m/>
    <x v="0"/>
    <m/>
    <x v="1"/>
    <m/>
    <x v="0"/>
    <x v="166"/>
    <x v="0"/>
    <s v="Fire loss/shake roof"/>
    <s v="2014 home rebuilt after total fire from faulty flue in the chimney. Has wood shake roof, in brush zone."/>
    <x v="1"/>
    <s v="Can't do a wood roof in a brush zone."/>
    <m/>
    <m/>
    <s v="Patterson"/>
    <m/>
    <m/>
    <n v="1"/>
  </r>
  <r>
    <x v="529"/>
    <s v="SCU"/>
    <s v="CO"/>
    <s v="Allison"/>
    <m/>
    <s v="Adler"/>
    <s v="Susan   "/>
    <x v="62"/>
    <s v="Evergreen "/>
    <x v="19"/>
    <s v="80439"/>
    <x v="5"/>
    <x v="166"/>
    <x v="5"/>
    <s v="Condition"/>
    <s v="1875 home w/partial updates. Historic landmark w/no rebuilding restrictions, no tours. Currently w/Lloyds on DP1."/>
    <x v="0"/>
    <s v="Asked about plans for the dwelling. How long vacant. Advised our guidelines require gut/reno for older than 1900. Still have fire hazard on a DP1. Asked for photos. After reviewing photos and noting potential aluminum wiring, I decline. I did ask her to send others if she has them. (BL)"/>
    <s v="Not sure we are a market, but asked additional questions. Allison has been working on growing w/us in spite of the CA restrictions."/>
    <m/>
    <s v="Patterson"/>
    <m/>
    <m/>
    <n v="0"/>
  </r>
  <r>
    <x v="392"/>
    <s v="SCU"/>
    <s v="CO"/>
    <s v="Allison"/>
    <s v="Email"/>
    <s v="Muniz, Renata"/>
    <m/>
    <x v="75"/>
    <s v="Clifton"/>
    <x v="19"/>
    <m/>
    <x v="9"/>
    <x v="167"/>
    <x v="319"/>
    <s v="Claims History"/>
    <s v="1979 build year, 3 claims: 08/2014-water heater leak ($2K), 04/2015-son/friends playing with matches, lit mattress on fire. Didn't fully extinguish as thought, and damaged neighbors home at night ($7K); 03/2017-basement flooded ($13K); $300K liab, surcharge for loss, higher water ded"/>
    <x v="1"/>
    <s v="Even w/ x-liab, since child in home not comfortable offering terms. New insured relationship with customer/agency"/>
    <m/>
    <m/>
    <s v="Burdine"/>
    <m/>
    <m/>
    <n v="1"/>
  </r>
  <r>
    <x v="530"/>
    <s v="Burns"/>
    <s v="MI"/>
    <s v="Jill"/>
    <s v="Email"/>
    <s v="Cover, Jean &amp; Suzanne"/>
    <m/>
    <x v="2"/>
    <s v="Grass Valley"/>
    <x v="1"/>
    <m/>
    <x v="6"/>
    <x v="168"/>
    <x v="320"/>
    <s v="Response time"/>
    <s v="1974 home updated in 2010. In brush. 18 min response time. Visible to neighbors. Paid department. Pond on prem accessible to FD."/>
    <x v="3"/>
    <s v="Lower value, paid department, visible, brush cleared. 10% addl s/c.  Need WBS quest if there is one (photo appears to show a pipe)"/>
    <m/>
    <m/>
    <s v="Patterson"/>
    <m/>
    <m/>
    <n v="0"/>
  </r>
  <r>
    <x v="531"/>
    <s v="Burns"/>
    <s v="MI"/>
    <s v="Jill"/>
    <s v="Email"/>
    <s v="Sheperd, John"/>
    <m/>
    <x v="89"/>
    <s v="Lumbertsville, PA"/>
    <x v="3"/>
    <m/>
    <x v="0"/>
    <x v="169"/>
    <x v="0"/>
    <s v="Gun shop in home"/>
    <s v="1929 home with gun shop in the home. Wanted to use business exclusion"/>
    <x v="1"/>
    <s v="Exposure too high, even with exclusion. Other exposures of theft and explosion are a concern."/>
    <s v="Jill came back on 5/26/16 advising that the shop is detached from the home and that there are alarms installed at both. Google maps does show about 50% of the driveway is shared. Advised there are still too many variables I'm not comfortable with. 5/26/16 ltrott"/>
    <m/>
    <s v="Patterson"/>
    <m/>
    <m/>
    <n v="1"/>
  </r>
  <r>
    <x v="7"/>
    <s v="Burns"/>
    <s v="MI"/>
    <s v="Lindsay"/>
    <s v="Email"/>
    <s v="Onabula"/>
    <s v="Adewale"/>
    <x v="0"/>
    <s v="Madison"/>
    <x v="12"/>
    <s v="53704"/>
    <x v="11"/>
    <x v="169"/>
    <x v="211"/>
    <s v="Business on Premises"/>
    <s v="Adult care provider, Applicant been caring for the individuals since 2011, applicant has licensing in place for the caring of these individual, a team and family members may come check on residents, residents may go out for day programs and come back in the afternoon, it is a home to provide companionship.; quoted with TBE"/>
    <x v="2"/>
    <s v="Approved last year, but since we got direction from Jeff (in ES Direction Doc) day care only, no assisted living. Sent info on direction and questions to partner."/>
    <m/>
    <m/>
    <s v="Patterson"/>
    <m/>
    <m/>
    <n v="0"/>
  </r>
  <r>
    <x v="427"/>
    <s v="Hull Horsham"/>
    <s v="PA"/>
    <s v="Tamika"/>
    <s v="Email"/>
    <s v="Raynie"/>
    <s v="Edward"/>
    <x v="1"/>
    <s v="Green Creek "/>
    <x v="9"/>
    <m/>
    <x v="0"/>
    <x v="170"/>
    <x v="0"/>
    <s v="Condition"/>
    <s v="Builders risk on dwelling that is in very poor condition. New roof put on. Siding very poor condition. "/>
    <x v="1"/>
    <s v="Provided copy of the email to Ray."/>
    <m/>
    <m/>
    <s v="Patterson"/>
    <m/>
    <m/>
    <n v="1"/>
  </r>
  <r>
    <x v="259"/>
    <s v="Burns"/>
    <s v="MI"/>
    <s v="Ben"/>
    <s v="Email"/>
    <s v="Catlin, Jason"/>
    <m/>
    <x v="2"/>
    <s v="Grass Valley "/>
    <x v="1"/>
    <m/>
    <x v="4"/>
    <x v="171"/>
    <x v="321"/>
    <s v="18+ min response time"/>
    <s v="2005 frame home in med brush per RM. FireLine High 9 moderate fuels, limited access, moderate fuels. Brush is 90' from house, cleared to property line. On 10 acres. NRN due to distance to FD by Lloyds."/>
    <x v="1"/>
    <s v="Comfort level w/the response time and other factors."/>
    <m/>
    <m/>
    <s v="Patterson"/>
    <m/>
    <m/>
    <n v="1"/>
  </r>
  <r>
    <x v="5"/>
    <s v="Burns"/>
    <s v="MI"/>
    <s v="Alexa"/>
    <m/>
    <s v="Berg"/>
    <s v="Jonathan"/>
    <x v="5"/>
    <s v="Albuquerque"/>
    <x v="15"/>
    <s v="67110"/>
    <x v="11"/>
    <x v="172"/>
    <x v="322"/>
    <s v="Other UW Reason"/>
    <s v="1965 year built with full updates in 1995. Branch quoted subject to OHQ and it came back 90% copper with 2 aluminum circuit breakers. It was declined unless they were willing to replace prior to requested 4/14/2019 effective date. Agent came back with electrician invoice/comments that there is only one breaker tied to 30 amp 240 volt circuit for the clothes dryer and as such meets code. "/>
    <x v="4"/>
    <s v="Lower value property, home is vacant for sale - don’t foresee clothes dryer being used at any point while vacant. Reassuring knowing an electrician looked a the system and confirmed it meets code. Approved terms as quoted and advised the invoice/comments from the electrician should be kept on file. "/>
    <m/>
    <m/>
    <s v="Busse"/>
    <m/>
    <m/>
    <n v="0"/>
  </r>
  <r>
    <x v="532"/>
    <s v="Burns"/>
    <s v="MI"/>
    <s v="Delta"/>
    <s v="Email"/>
    <s v="Valley Dream Center"/>
    <m/>
    <x v="2"/>
    <s v="Fresno"/>
    <x v="1"/>
    <m/>
    <x v="5"/>
    <x v="173"/>
    <x v="154"/>
    <s v="Owned by non-profit"/>
    <s v="1968 home updated. Owned by non-profit. Tenant is the Exec Director."/>
    <x v="4"/>
    <m/>
    <m/>
    <m/>
    <s v="Patterson"/>
    <m/>
    <m/>
    <n v="0"/>
  </r>
  <r>
    <x v="533"/>
    <s v="Burns"/>
    <s v="MI"/>
    <s v="Jill"/>
    <s v="Email"/>
    <s v="AZEVEDO"/>
    <s v="Manuel &amp; Rosa"/>
    <x v="9"/>
    <m/>
    <x v="9"/>
    <m/>
    <x v="5"/>
    <x v="174"/>
    <x v="279"/>
    <s v="COC question"/>
    <s v="This is a COC risk where they are lifting the home 3 ft"/>
    <x v="1"/>
    <s v="Too much risk while home is being lifted"/>
    <m/>
    <m/>
    <s v="Burdine"/>
    <m/>
    <m/>
    <n v="1"/>
  </r>
  <r>
    <x v="360"/>
    <s v="Burns"/>
    <s v="MI"/>
    <s v="Matt"/>
    <s v="Email"/>
    <s v="Baluyot, Marivel"/>
    <m/>
    <x v="0"/>
    <s v="Oakland CA PC2"/>
    <x v="3"/>
    <m/>
    <x v="0"/>
    <x v="174"/>
    <x v="279"/>
    <s v="Change eff date"/>
    <s v="Confusion between retail agent and Burns. No clear bind order sent, but retail agent thought there was. Burns bound as of 7/13. Agreed to revise eff date to 6/30 with signed statement of no loss and certification of no losses. If any losses, it is clear there was no bind order.  Doing this as an exception."/>
    <x v="4"/>
    <m/>
    <m/>
    <m/>
    <s v="Patterson"/>
    <m/>
    <m/>
    <n v="0"/>
  </r>
  <r>
    <x v="534"/>
    <s v="Burns"/>
    <s v="MI"/>
    <s v="Rachel"/>
    <s v="Email"/>
    <s v="Darrock"/>
    <s v="Donald &amp; Naomi"/>
    <x v="2"/>
    <s v="Tucson"/>
    <x v="7"/>
    <m/>
    <x v="5"/>
    <x v="174"/>
    <x v="323"/>
    <s v="Occupancy/Use"/>
    <s v="2003 dwelling w/7/17 bath fan malfunction loss $13,400. Insured owns this as a residential rental in a neighborhood.  The State of AZ has placed 2 handicapped individuals there with 2 caretakers. State of AZ has provided a liability policy. This quote excludes liab and includes Total Business Exclusion."/>
    <x v="4"/>
    <s v="Residential dwelling, insured is not conducting a group home or assisted living. Occupancy is reasonable. No liability."/>
    <m/>
    <m/>
    <s v="Patterson"/>
    <m/>
    <m/>
    <n v="0"/>
  </r>
  <r>
    <x v="98"/>
    <s v="SCU"/>
    <s v="CO"/>
    <s v="Allison"/>
    <s v="Email"/>
    <s v="Stankevich, Stephen"/>
    <m/>
    <x v="57"/>
    <s v="Crested Butte"/>
    <x v="19"/>
    <m/>
    <x v="3"/>
    <x v="174"/>
    <x v="185"/>
    <s v="TIV"/>
    <s v="Current authority is $150K TIV. Changed that!"/>
    <x v="4"/>
    <m/>
    <m/>
    <m/>
    <s v="Patterson"/>
    <m/>
    <m/>
    <n v="0"/>
  </r>
  <r>
    <x v="308"/>
    <s v="Burns"/>
    <s v="MI"/>
    <s v="Ben"/>
    <s v="Email"/>
    <s v="Phillips, Aaron"/>
    <m/>
    <x v="37"/>
    <s v="Longmont"/>
    <x v="19"/>
    <m/>
    <x v="5"/>
    <x v="174"/>
    <x v="324"/>
    <s v="Individual Lender"/>
    <s v="Phillips currently rents, but will be buying home eff 01/03/2017. The person he was renting from is serving as the bank, and provinding financingl requests to be added as mortagee"/>
    <x v="3"/>
    <s v="Approved subject to Phillips being deeded the home, if so OK to add Kristen as mortgagee"/>
    <m/>
    <m/>
    <s v="Burdine"/>
    <m/>
    <m/>
    <n v="0"/>
  </r>
  <r>
    <x v="509"/>
    <s v="JM Wilson"/>
    <s v="MI"/>
    <s v="John"/>
    <s v="Email"/>
    <s v="Estes"/>
    <s v="Delores"/>
    <x v="0"/>
    <s v="Powell"/>
    <x v="27"/>
    <m/>
    <x v="3"/>
    <x v="174"/>
    <x v="4"/>
    <s v="Losses"/>
    <s v="1986 dwelling w/no update info. Roof over 25 years old. UW quest re prior cancel/nrn blank on app. Fire dept first responder report included but not the full report; and no specific cause. Alludes to neighbors showing a/c seized up making noise. House already on fire then."/>
    <x v="2"/>
    <s v="Need C&amp;O or fire marshal report. Need uw quest answered. Possible roof exclusion"/>
    <m/>
    <m/>
    <s v="Patterson"/>
    <m/>
    <m/>
    <n v="0"/>
  </r>
  <r>
    <x v="535"/>
    <s v="Bolton"/>
    <m/>
    <s v="Chris"/>
    <s v="Email"/>
    <s v="Brown, Kellee"/>
    <m/>
    <x v="0"/>
    <s v="Pascaquola MS  "/>
    <x v="3"/>
    <m/>
    <x v="0"/>
    <x v="174"/>
    <x v="198"/>
    <s v="Prior fire loss &gt;$25K"/>
    <s v="2014 brick home w/ alarms. $120K fire loss due to defective oven/stove. Ins co subrogated against manufacturer."/>
    <x v="4"/>
    <m/>
    <m/>
    <m/>
    <s v="Patterson"/>
    <m/>
    <m/>
    <n v="0"/>
  </r>
  <r>
    <x v="534"/>
    <s v="Burns"/>
    <s v="MI"/>
    <s v="Rachel"/>
    <s v="Email"/>
    <s v="Brown"/>
    <s v="Joseph J"/>
    <x v="0"/>
    <s v="Cheboygan "/>
    <x v="12"/>
    <m/>
    <x v="8"/>
    <x v="174"/>
    <x v="325"/>
    <s v="Business on Premises"/>
    <s v="1964 home with heat, roof, plumb updates. Elec not updated. Insd starting a welding and woodworking business in his detached garage. Smootharc LLC. GL will be obtained. Light foot traffic. Garage exclusion and Total Business exclusion."/>
    <x v="1"/>
    <s v="OK with exclusions IF there is 30' clearance on all sides. Online photos show a close neighborhood. Also need garage on separate breaker/circuit. 1964 home no updates, don't want this drawing off/taxing/overloading the house circuits. Also require GL to be maintained. // Received information that the clearance on 2 sides is more like 20 feet. Considered adjusting our terms to exclude liability, but honestly feel we need 30 feet. This is a residential neighborhood.  If something happens we could be looking at a very large defense cost. Determined declination was the best option. "/>
    <m/>
    <m/>
    <s v="Patterson"/>
    <m/>
    <m/>
    <n v="1"/>
  </r>
  <r>
    <x v="536"/>
    <s v="Burns"/>
    <s v="MI"/>
    <s v="Delta"/>
    <s v="Email"/>
    <s v="Warden, Scott"/>
    <m/>
    <x v="0"/>
    <s v="Durango"/>
    <x v="19"/>
    <m/>
    <x v="4"/>
    <x v="174"/>
    <x v="244"/>
    <s v="Response time"/>
    <s v="1999 home. No alarms. 7 mile/20 min response time, visible, accessible. Paid FD. Gravel roads. Tankers bring water, no other sources. App says 10 mi to FD. Google says 15 mi/33 min."/>
    <x v="2"/>
    <s v="Asked Delta to get FD address and confirm response time.  WBS quest needed if we proceed."/>
    <m/>
    <m/>
    <s v="Patterson"/>
    <m/>
    <m/>
    <n v="0"/>
  </r>
  <r>
    <x v="167"/>
    <s v="Burns"/>
    <s v="MI"/>
    <s v="Jill"/>
    <s v="Email"/>
    <s v="Elston"/>
    <s v="Mark"/>
    <x v="16"/>
    <s v="Fallon"/>
    <x v="39"/>
    <m/>
    <x v="4"/>
    <x v="174"/>
    <x v="244"/>
    <s v="Response time"/>
    <s v="1995 risk 20 miles/25 min from FD. Mostly volunteer. FT Caretaker. Quoted at $1666."/>
    <x v="3"/>
    <s v="Looking for rate around .75 for lengthy response time. 75% surcharge on VMGA rate=$2730."/>
    <m/>
    <m/>
    <s v="Patterson"/>
    <m/>
    <m/>
    <n v="0"/>
  </r>
  <r>
    <x v="520"/>
    <s v="Burns"/>
    <s v="MI"/>
    <s v="Delta"/>
    <s v="Email"/>
    <s v="Elston"/>
    <s v="Mark"/>
    <x v="2"/>
    <s v="Fallon"/>
    <x v="39"/>
    <m/>
    <x v="4"/>
    <x v="174"/>
    <x v="244"/>
    <s v="Response time"/>
    <s v="1995 risk 20 miles/25 min from FD. Mostly volunteer. FT Caretaker. Quoted at $1770.  Risk quoted in October as an HO3; resubmitted as a DP3."/>
    <x v="3"/>
    <s v="Ok w/WBS quest and rate around $2730."/>
    <m/>
    <m/>
    <s v="Patterson"/>
    <m/>
    <m/>
    <n v="0"/>
  </r>
  <r>
    <x v="537"/>
    <s v="ASL"/>
    <s v="VA"/>
    <s v="Charity"/>
    <s v="Email"/>
    <s v="Baldino, Susan"/>
    <m/>
    <x v="0"/>
    <s v="Lynch Station VA PC9"/>
    <x v="3"/>
    <m/>
    <x v="0"/>
    <x v="174"/>
    <x v="326"/>
    <s v="PC9"/>
    <s v="Built in 04. Other homes in area, paved road, nice home online. 4.1 miles to FD."/>
    <x v="4"/>
    <m/>
    <m/>
    <m/>
    <s v="Patterson"/>
    <m/>
    <m/>
    <n v="0"/>
  </r>
  <r>
    <x v="226"/>
    <s v="Burns"/>
    <s v="MI"/>
    <s v="Jill"/>
    <s v="Email"/>
    <s v="Rickert, Scott"/>
    <m/>
    <x v="0"/>
    <s v="New Orleans LA PC2"/>
    <x v="3"/>
    <m/>
    <x v="0"/>
    <x v="174"/>
    <x v="326"/>
    <s v="Premium Adj?"/>
    <s v="2016 home 26 miles from coast with alarms, EIFS. Branch is requesting a credit (prem to beat is $13,000)"/>
    <x v="0"/>
    <s v="Ran AAL and came up with $9741. Asked agent for current premium.  If we offer terms it needs to be subject to apples/apples competitor coverages."/>
    <s v="Matthew came back and said our base premium was $16,149. Advised we need to be in the $11-12k range. Trying not to leave $ on the table. LT 5/23/16_x000a__x000a_Jill was able to get the premium to $12k. Will allow them to release terms.  LT 5/26/16"/>
    <m/>
    <s v="Patterson"/>
    <m/>
    <m/>
    <n v="0"/>
  </r>
  <r>
    <x v="116"/>
    <s v="Hull Irvine"/>
    <m/>
    <s v="Alison"/>
    <s v="Email"/>
    <s v="Alder, Shannon"/>
    <m/>
    <x v="0"/>
    <s v="Shingle Springs"/>
    <x v="1"/>
    <m/>
    <x v="0"/>
    <x v="174"/>
    <x v="327"/>
    <s v="Construction"/>
    <s v="2004 home.  2nd floor is either modular or manufactured/mobile. No evidence of it being man/mob.  Appears to be modular. It would be very unusual to crane lift a mobile home to a 2nd floor of a home like this.  Condition of home in online photos in and out looks very nice. Considering it modular."/>
    <x v="3"/>
    <s v="Confirm w/inspection that it is modular."/>
    <m/>
    <m/>
    <s v="Patterson"/>
    <m/>
    <m/>
    <n v="0"/>
  </r>
  <r>
    <x v="538"/>
    <s v="JM Wilson"/>
    <s v="MI"/>
    <s v="Cheryl"/>
    <s v="Email"/>
    <s v="Vodde"/>
    <s v="Ronald"/>
    <x v="0"/>
    <s v="Cincinnati"/>
    <x v="40"/>
    <m/>
    <x v="0"/>
    <x v="174"/>
    <x v="328"/>
    <s v="Losses"/>
    <s v="3 claims in one year, all dog scratches, still has dog. Quoted with animal liab exclusion"/>
    <x v="4"/>
    <s v="Quoted w/ animal liab exclusion"/>
    <m/>
    <m/>
    <s v="Burdine"/>
    <m/>
    <m/>
    <n v="0"/>
  </r>
  <r>
    <x v="13"/>
    <s v="Burns"/>
    <s v="MI"/>
    <s v="Matthew"/>
    <s v="Email"/>
    <s v="Herdman"/>
    <s v="Rhonda"/>
    <x v="0"/>
    <s v="Paige"/>
    <x v="23"/>
    <m/>
    <x v="3"/>
    <x v="174"/>
    <x v="329"/>
    <s v="Business on Premises"/>
    <s v="Insured is operating a massage therapist business out of their garage.  about 20 visits a month.  GL is in place through ABP;Home was built in 1920 with full updates in 2017 of frame/stucco construction.  PC6 per attached iso with no alarm, but visible to neighbors and accessible all year, and no losses."/>
    <x v="3"/>
    <s v="Approval to offer terms on this risk with liability, but to do so the total business exclusion must be in place"/>
    <m/>
    <m/>
    <s v="Burdine"/>
    <m/>
    <m/>
    <n v="0"/>
  </r>
  <r>
    <x v="539"/>
    <s v="JM Wilson"/>
    <s v="MI"/>
    <s v="Cheryl"/>
    <s v="Email"/>
    <s v="Foran"/>
    <s v="Michael P &amp; Kendle L"/>
    <x v="0"/>
    <s v="Bristol"/>
    <x v="5"/>
    <m/>
    <x v="8"/>
    <x v="174"/>
    <x v="329"/>
    <s v="Prior Lapse/NRN"/>
    <s v="Lapse since 2/2018, escrow was supposed to pay."/>
    <x v="1"/>
    <s v="Insurance score both under 500 w/numerous collections and more adverse info."/>
    <m/>
    <m/>
    <s v="Patterson"/>
    <m/>
    <m/>
    <n v="1"/>
  </r>
  <r>
    <x v="461"/>
    <s v="Burns"/>
    <s v="MI"/>
    <s v="Jill"/>
    <m/>
    <s v="Zenizo"/>
    <s v="Amy"/>
    <x v="0"/>
    <s v="Tucson"/>
    <x v="7"/>
    <s v="85712"/>
    <x v="8"/>
    <x v="174"/>
    <x v="330"/>
    <s v="Business on Premises"/>
    <s v="1955 home with full updates on all but plumbing. 90% partial 2015. Quoted w/water backup. 3/18 broken pipe by contractor - subrogated. 9/18 $10K theft from home. Insd is a midwife and sees 40 patients a month in 1 room in her home. Restroom also used. $10K business equip. No empl, but may have 1-2 students/assistants per year. Has prof liab policy. Quoted w/$300K liab."/>
    <x v="1"/>
    <s v="Despite possibly excluding liability, TBE, Prof Liab.  4 layers of exclusion - policy excludes prof services, excludes liab, TBE excludes everything, plus prof liab policy, defense costs could be monumental if there was a loss involving patient and/or a child.  "/>
    <s v="Referred to John for review 4/4/19.  Declined"/>
    <m/>
    <s v="Patterson"/>
    <m/>
    <m/>
    <n v="1"/>
  </r>
  <r>
    <x v="226"/>
    <s v="Burns"/>
    <s v="MI"/>
    <s v="Jill"/>
    <s v="Email"/>
    <s v="Oakes, Richard"/>
    <m/>
    <x v="0"/>
    <s v="Tumtum WA PC10"/>
    <x v="3"/>
    <m/>
    <x v="0"/>
    <x v="175"/>
    <x v="331"/>
    <s v="Reduce Cov C?"/>
    <s v="1994 frame home PC10. 6 miles to volunteer FD. Has exterior roof sprinklers2 prior losses: 5/1/14 fire in barn due to crack in new extension cord $94,023; 7/7/15 broken water pipe $6,814. Fire investigation report states the damage is probably due to failure of a 6 year old electrical extension cord. It is ruled accidental. Guidelines state a minimum of 50% of Cov A. This is appx. 40%."/>
    <x v="4"/>
    <m/>
    <m/>
    <m/>
    <s v="Patterson"/>
    <m/>
    <m/>
    <n v="0"/>
  </r>
  <r>
    <x v="175"/>
    <s v="Hull Horsham"/>
    <s v="PA"/>
    <s v="Tamika"/>
    <s v="Email"/>
    <s v="Berberian"/>
    <s v="Alexander &amp; Sheri Saltzman"/>
    <x v="90"/>
    <s v="Arnold"/>
    <x v="29"/>
    <m/>
    <x v="9"/>
    <x v="176"/>
    <x v="332"/>
    <s v="Occupancy"/>
    <s v="1982 dwelling vacant and up for short sale. "/>
    <x v="1"/>
    <s v="Insurance scores are a concern. Possible moral hazard."/>
    <m/>
    <m/>
    <s v="Patterson"/>
    <m/>
    <m/>
    <n v="1"/>
  </r>
  <r>
    <x v="420"/>
    <s v="Burns"/>
    <s v="MI"/>
    <s v="Lindsay"/>
    <m/>
    <s v="Khalaf"/>
    <s v="Azzam"/>
    <x v="0"/>
    <s v="Lincoln"/>
    <x v="38"/>
    <s v="68504"/>
    <x v="8"/>
    <x v="176"/>
    <x v="333"/>
    <s v="Business on Premises"/>
    <s v="1920 home, new purchase, partial updates to systems 2011-2013 and full roof in 2011. No Losses, wanting to offer FRC. On property is the home, private garage, and a commercial building. Insured runs an auto sales business out of comm building. Has a CGL for business. "/>
    <x v="3"/>
    <s v="It looked as if the insured had lived at the property for over a year now, so gave approval subject to confirmation there is no lapse in coverage. Further more, TBE, exclude commercial building, and completed and acceptable OHQ."/>
    <m/>
    <m/>
    <s v="Busse"/>
    <m/>
    <m/>
    <n v="0"/>
  </r>
  <r>
    <x v="269"/>
    <s v="Hull CA"/>
    <s v="Irvine"/>
    <s v="Alison"/>
    <s v="Call/Email"/>
    <s v="Whitelaw, Katrina"/>
    <m/>
    <x v="1"/>
    <s v="Sacramento"/>
    <x v="1"/>
    <m/>
    <x v="9"/>
    <x v="177"/>
    <x v="334"/>
    <s v="Knob &amp; Tube"/>
    <s v="1915 home was going to write as DP1 w/Scottsdale, but home is nicer than expcected. Roof/heat update in 2015. Curr has knob &amp; tube which will be replaced by 10/1 move in date. $7500 water dmg ded due to galvanized. "/>
    <x v="2"/>
    <s v="Approved as builders risk. Provided online site already and pics look nice. "/>
    <m/>
    <m/>
    <s v="Patterson"/>
    <m/>
    <m/>
    <n v="0"/>
  </r>
  <r>
    <x v="109"/>
    <s v="Burns"/>
    <s v="MI"/>
    <s v="Leslie"/>
    <s v="Email"/>
    <s v="Brandt, Chad"/>
    <m/>
    <x v="0"/>
    <s v="Grand Rapids"/>
    <x v="31"/>
    <m/>
    <x v="0"/>
    <x v="178"/>
    <x v="335"/>
    <s v="Business in home"/>
    <s v="1958 home w/updates. Insured has a massage therapy business in home. Reviewed website, looks fine. Includes Total Business Excl."/>
    <x v="4"/>
    <s v="Reminded agt about TBE limitations and make sure insured knows."/>
    <m/>
    <m/>
    <s v="Patterson"/>
    <m/>
    <m/>
    <n v="0"/>
  </r>
  <r>
    <x v="39"/>
    <s v="JM Wilson"/>
    <s v="MI"/>
    <s v="Lori"/>
    <s v="Email"/>
    <s v="Chicago Title Land Trust"/>
    <s v="Chicago Title Land Trust"/>
    <x v="0"/>
    <s v="Oak Park"/>
    <x v="4"/>
    <m/>
    <x v="8"/>
    <x v="179"/>
    <x v="336"/>
    <s v="Losses"/>
    <s v="fire loss-creosote buildup in fireplace led to fire. Contained in fire place, but smoke damage throughout home"/>
    <x v="3"/>
    <s v="If Les Golden was the occupant at the time of the loss, then I wouldn’t want to offer terms. However, if he is now in charge of the upkeep, and wasn’t in the home prior, I would be comfortable with you offering terms"/>
    <m/>
    <m/>
    <s v="Burdine"/>
    <m/>
    <m/>
    <n v="0"/>
  </r>
  <r>
    <x v="540"/>
    <s v="Burns"/>
    <s v="MI"/>
    <s v="Jill"/>
    <s v="Email"/>
    <s v="Walderbach"/>
    <s v="Daniel"/>
    <x v="0"/>
    <m/>
    <x v="34"/>
    <m/>
    <x v="0"/>
    <x v="180"/>
    <x v="337"/>
    <s v="Business on Premises"/>
    <s v="1958 home updated in 2010. Insured runs gunsmith and locksmith business out of home w/5-10 visitors per month. Has a GL."/>
    <x v="1"/>
    <s v="Not comfortable with this exposure even with TBE."/>
    <m/>
    <m/>
    <s v="Patterson"/>
    <m/>
    <m/>
    <n v="1"/>
  </r>
  <r>
    <x v="68"/>
    <s v="Burns"/>
    <s v="MI"/>
    <s v="Jill"/>
    <s v="Email"/>
    <s v="Mandylas, Thomas"/>
    <m/>
    <x v="34"/>
    <s v="San Francisco"/>
    <x v="1"/>
    <m/>
    <x v="0"/>
    <x v="181"/>
    <x v="0"/>
    <s v="Stand alone other structure"/>
    <s v="Insured has responsibility through easement agreement to insured $225K garage on neighbors property. "/>
    <x v="4"/>
    <s v="Sent guidelines to Jill from DP manual and advised this is acceptable."/>
    <m/>
    <m/>
    <s v="Patterson"/>
    <m/>
    <m/>
    <n v="0"/>
  </r>
  <r>
    <x v="541"/>
    <s v="Hull CA"/>
    <s v="Stockton"/>
    <s v="Kirk"/>
    <s v="Email"/>
    <s v="Seitles Family Trust"/>
    <m/>
    <x v="0"/>
    <s v="Camino CA"/>
    <x v="3"/>
    <m/>
    <x v="0"/>
    <x v="181"/>
    <x v="0"/>
    <s v="$195K Oth Str"/>
    <s v="Agent wants approval to add a $195,000 shop and garage. Agent outlined construction specs. Sounds fine. "/>
    <x v="3"/>
    <s v="Approved subject to verification there is no business use, only personal use. No woodstove/portable heat."/>
    <m/>
    <m/>
    <s v="Patterson"/>
    <m/>
    <m/>
    <n v="0"/>
  </r>
  <r>
    <x v="265"/>
    <s v="Hull CA"/>
    <s v="Irvine"/>
    <s v="Alison"/>
    <s v="Email"/>
    <m/>
    <m/>
    <x v="0"/>
    <s v="Los Angeles "/>
    <x v="1"/>
    <m/>
    <x v="0"/>
    <x v="181"/>
    <x v="0"/>
    <m/>
    <s v="Tiny house 10449 Scenario Lane"/>
    <x v="1"/>
    <s v="Provided tiny house research info."/>
    <m/>
    <m/>
    <s v="Patterson"/>
    <m/>
    <m/>
    <n v="1"/>
  </r>
  <r>
    <x v="66"/>
    <s v="Hull Horsham"/>
    <m/>
    <s v="Andrea"/>
    <s v="Email"/>
    <s v="Arms, Rob RUA14067"/>
    <m/>
    <x v="5"/>
    <s v="Bloomfield"/>
    <x v="9"/>
    <m/>
    <x v="0"/>
    <x v="181"/>
    <x v="202"/>
    <s v="Vacant 3rd term"/>
    <s v="1957 home updated. This is large agent for Hull. Insured is having realtor finish renovations and put home up for sale.  Agent confident only this 3rd term will be needed. Inspections from 15 and 16 look okay. Decent average home. Insured there regularly."/>
    <x v="3"/>
    <s v="Add 15% surcharge to 16-17 rate."/>
    <m/>
    <m/>
    <s v="Patterson"/>
    <m/>
    <m/>
    <n v="0"/>
  </r>
  <r>
    <x v="234"/>
    <s v="Burns"/>
    <s v="MI"/>
    <s v="Ben"/>
    <s v="Email"/>
    <s v="Whitfield, Dana"/>
    <m/>
    <x v="21"/>
    <s v="Clipper Mills CA PC10"/>
    <x v="3"/>
    <m/>
    <x v="0"/>
    <x v="181"/>
    <x v="154"/>
    <s v="Response time 18 mins"/>
    <s v="1995 frame home. PC10 in brush. FireLine is High-9. 12 miles to paid FD. Roads are paved and accessible. Very narrow and steep driveway in photos. Asked agent if it is accessible.  Visible to neighbors. 2 water losses on app 6/21/14 with Scottsdale. Asked agent for more info. "/>
    <x v="0"/>
    <s v="Subjectivities:  Woodstove does not meet clearances for a radiant stove. Need to correct.  Brush clearance of 150' required. Driveway and roads fully accessible by fire trucks. Acceptable info on prior losses."/>
    <s v="2 losses on app is actually one loss with 2 payouts.  1 was for the cleanup and on was for the repair. There was a line from the toilet to the wall that broke. $75,242 total loss, but only this one. Home is 1995. $2500 deductible. I'm okay with that since there is only 1 loss."/>
    <m/>
    <s v="Patterson"/>
    <m/>
    <m/>
    <n v="0"/>
  </r>
  <r>
    <x v="491"/>
    <s v="Burns"/>
    <s v="MI"/>
    <s v="Alexa"/>
    <m/>
    <s v="Gross"/>
    <s v="Lois A"/>
    <x v="5"/>
    <s v="Muncie"/>
    <x v="17"/>
    <s v="47304"/>
    <x v="6"/>
    <x v="181"/>
    <x v="338"/>
    <s v="Losses"/>
    <s v="1965 home updated with open water loss.  Agent has authority to handle open claims. They approved w/ roof exclusion, existing damage exclusion and contents excl ($100K requested).  Now the insd is asking for $50K and agency wants our approval.  "/>
    <x v="1"/>
    <s v="Asked for more info on the repair. Advised our stance on open water claims. Asked for mold exclusion. Declined contents covg - not comfortable with recent roof and water claim. Asked to verify PC. PCQ says 20 min response for PC9??// Received info back. Not comfortable with open claim and repairs not started. "/>
    <s v=" "/>
    <m/>
    <s v="Patterson"/>
    <m/>
    <m/>
    <n v="1"/>
  </r>
  <r>
    <x v="542"/>
    <s v="Burns"/>
    <s v="MI"/>
    <s v="Alexa"/>
    <s v="Email"/>
    <s v="Moreno"/>
    <s v="Tara"/>
    <x v="2"/>
    <s v="Berthoud"/>
    <x v="19"/>
    <m/>
    <x v="8"/>
    <x v="181"/>
    <x v="338"/>
    <s v="Home is subdivision model"/>
    <s v="2017 home purchased by realtor insureds and leased back to builder as model. Alarms/camera. Employee present, otherwise locked. Agt proposing TBE &amp; full coverage."/>
    <x v="0"/>
    <s v="• I see the insured's are realtors.  What do they intend to do with the home after the year is up?_x000a_• Are the insured’s involved as the property realtors and/or do they have any business involvement or connection with the builders?_x000a_• Is the builder's office in this dwelling, or is it just used as a model?_x000a_• What occupancy was used in the rating?  Tenant or vacant?_x000a_• What is being insured under Cov C?_x000a__x000a_This may be leaning toward a commercial exposure, I'm trying to evaluate if I can fit it into our program.  If we can, I'd probably propose issuing excluding liability because of the exposure and public traffic.  I’d also propose not applying the Total Business Exclusion.  I’m concerned that the TBE is going to really limit the coverage because everything that would happen (other than weather) could be attributed to the business.    //  8/7 approved subj to rate as vacant, no liab, agt call on TBE_x000a_"/>
    <s v="Concern that this is a realtor trying to find cheap model home insurance. Quote is for $760. Way to cheap for this exposure."/>
    <n v="38"/>
    <s v="Patterson"/>
    <m/>
    <m/>
    <n v="0"/>
  </r>
  <r>
    <x v="39"/>
    <s v="Hull Irvine"/>
    <s v="CA"/>
    <s v="Melissa"/>
    <s v="Email"/>
    <s v="Holland"/>
    <s v="Robert"/>
    <x v="0"/>
    <s v="Los Angeles"/>
    <x v="1"/>
    <m/>
    <x v="0"/>
    <x v="181"/>
    <x v="275"/>
    <s v="Losses"/>
    <s v="1924 dwelling updates sporadic. Unknown if all plumbing is copper. Prior $40K loss - sprinkler system caused water to run to neighbors house and caused damage.  Initially said french drains installed; then found out that was not the case. Vegetation removed and sprinkler volume reduced by gardener. Also, house built on 2 parcels, need both addresses listed. Near brush."/>
    <x v="3"/>
    <s v="Exclude liab and $25K water ded to protect us until expert report on drainage received. Roof exclusion. MFRC. 5% brush surcharge. Statement from insd in file about their confusion on the drainage correction."/>
    <m/>
    <m/>
    <s v="Patterson"/>
    <m/>
    <m/>
    <n v="0"/>
  </r>
  <r>
    <x v="494"/>
    <s v="Burns"/>
    <s v="MI"/>
    <s v="Jill"/>
    <s v="Email"/>
    <s v="Onabula"/>
    <s v="Adewale"/>
    <x v="0"/>
    <s v="Madison"/>
    <x v="12"/>
    <m/>
    <x v="11"/>
    <x v="181"/>
    <x v="314"/>
    <s v="Business on Premises"/>
    <s v="Adult care provider, Applicant been caring for the individuals since 2011, applicant has licensing in place for the caring of these individual, a team and family members may come check on residents, residents may go out for day programs and come back in the afternoon, it is a home to provide companionship.; quoted with TBE"/>
    <x v="3"/>
    <s v="subject to a GL being in place for that exposure as well."/>
    <m/>
    <m/>
    <s v="Burdine"/>
    <m/>
    <m/>
    <n v="0"/>
  </r>
  <r>
    <x v="445"/>
    <s v="ASL"/>
    <m/>
    <s v="Charity"/>
    <s v="Email"/>
    <s v="White, Sonya"/>
    <m/>
    <x v="0"/>
    <s v="Greenbackville VA PC9"/>
    <x v="3"/>
    <m/>
    <x v="0"/>
    <x v="181"/>
    <x v="339"/>
    <s v="PC9"/>
    <s v="2009 1 1/2 mi from bay. Nice home per internet search. "/>
    <x v="4"/>
    <m/>
    <m/>
    <m/>
    <s v="Patterson"/>
    <m/>
    <m/>
    <n v="0"/>
  </r>
  <r>
    <x v="55"/>
    <s v="Burns"/>
    <s v="MI"/>
    <s v="David"/>
    <m/>
    <s v="Shelley"/>
    <s v="Amanda Tate"/>
    <x v="0"/>
    <s v="Tampa"/>
    <x v="32"/>
    <s v="33616"/>
    <x v="5"/>
    <x v="181"/>
    <x v="316"/>
    <s v="Business on Premises"/>
    <s v="1963 home updated. Ins Score O. Insd has dog walking business w/occ dog sitting. Occasional that dogs come to insured home. No GL, but can get one. No large or dangerous breeds."/>
    <x v="3"/>
    <s v="GL is required.  TBE and Animal Liab Excl.  "/>
    <s v="Even though low score, we have removed most of our exposure, and it was low to begin with."/>
    <m/>
    <s v="Patterson"/>
    <m/>
    <m/>
    <n v="0"/>
  </r>
  <r>
    <x v="464"/>
    <s v="Burns"/>
    <s v="MI"/>
    <s v="Jill"/>
    <s v="Email"/>
    <s v="Newsom, Patricia"/>
    <m/>
    <x v="0"/>
    <s v="Freeport"/>
    <x v="23"/>
    <m/>
    <x v="4"/>
    <x v="181"/>
    <x v="271"/>
    <s v="Response time"/>
    <s v="1991 home fully updated in 2009. 20 min response time w/volunteer fire department. Brazoria County 1000' from gulf. (Tier 1)"/>
    <x v="3"/>
    <s v="• Verifying wind/hail exclusion is applied as this is in a Tier 1 county within 1 mile to the coast_x000a_• Verifying roof was fully updated in 2009. App does not indicate full or partial. If partial, roof exclusion applies as roof would be over 25 years old._x000a_• Completed app (several areas left blank)_x000a_• I’d like to get some additional premium due to the longer response time, something that amounts to around $200.  (I’m not sure of your quoted premium).  It’s a 20 minute drive time by a volunteer FD._x000a_"/>
    <m/>
    <m/>
    <s v="Patterson"/>
    <m/>
    <m/>
    <n v="0"/>
  </r>
  <r>
    <x v="359"/>
    <s v="Burns"/>
    <s v="MI"/>
    <s v="Nicole"/>
    <m/>
    <s v="Green"/>
    <s v="Paul"/>
    <x v="0"/>
    <s v="Mesa"/>
    <x v="7"/>
    <s v="85203"/>
    <x v="11"/>
    <x v="181"/>
    <x v="340"/>
    <s v="Business on Premises"/>
    <s v="1957 year built with updates heating 2008, wiring 1983, plumbing 1983, and roof 2012. Organ repair business runs out of shed on property behind home, repairs some electronic keyboards. Also goes to clients home to repair larger organs/pianos. Larger shed on property in poor condition which is being torn down. Empty pool in back yard. Being non-renewed for business and pool. Has GL for business"/>
    <x v="3"/>
    <s v="Photos provided by agent show only two other structures on property - shed for business and other larger shed in poor condition. Advised that Cov B should be revised since TBE will exclude business shed and a building exclusion will be applied to poor condition shed. Approved subject to TBE, building exclusion for poor shed, pool exclusion and maintain GL"/>
    <m/>
    <m/>
    <s v="Busse"/>
    <m/>
    <m/>
    <n v="0"/>
  </r>
  <r>
    <x v="472"/>
    <s v="Burns"/>
    <s v="MI"/>
    <s v="Alexa"/>
    <s v="Email"/>
    <s v="Luke"/>
    <s v="Robert"/>
    <x v="0"/>
    <s v="Independence"/>
    <x v="36"/>
    <s v="64058"/>
    <x v="6"/>
    <x v="181"/>
    <x v="341"/>
    <s v="Business on Premises"/>
    <s v="Approved last year by Kirsten-quoted as in home business-x-mass tree family November-dec, $70K per year income. "/>
    <x v="0"/>
    <s v="Need info on event venue and what else goes on  the property.  Also, farm website says business provides the saws to cut trees. May not be able to add liab.//4/23/19 approved x-liab, with TBE, CGL."/>
    <s v="O insurance score"/>
    <m/>
    <s v="Patterson"/>
    <m/>
    <m/>
    <n v="0"/>
  </r>
  <r>
    <x v="329"/>
    <s v="Burns"/>
    <s v="MI"/>
    <s v="Jeffrey"/>
    <s v="Email"/>
    <s v="Luke"/>
    <s v="Robert"/>
    <x v="0"/>
    <m/>
    <x v="36"/>
    <m/>
    <x v="6"/>
    <x v="181"/>
    <x v="341"/>
    <s v="Business on Premises"/>
    <s v="quoted as in home business-x-mass tree family November-dec, $70K a year. Also plan to build an event center to host weddings, etc."/>
    <x v="3"/>
    <s v="Advised can currently quote, but not considered for in-home program, so need GL and TBE in place. Advised would have to exclude liability if elect to build an event center in the future"/>
    <m/>
    <m/>
    <s v="Burdine"/>
    <m/>
    <m/>
    <n v="0"/>
  </r>
  <r>
    <x v="168"/>
    <s v="Burns"/>
    <s v="MI"/>
    <s v="Danielle"/>
    <s v="Email"/>
    <s v="Starkey   BWH106402"/>
    <s v="Taylor &amp; Myra"/>
    <x v="16"/>
    <s v="Aransas"/>
    <x v="23"/>
    <m/>
    <x v="4"/>
    <x v="182"/>
    <x v="342"/>
    <s v="Response time"/>
    <s v="Renewal that appears may not have been referred at NB (from Danielle) X-wind. 15-20 min response time. 1996 stucco."/>
    <x v="3"/>
    <s v=".32 rate excluding wind is adequate for this response time.  11/10 - agent found out there is a Harvey wind loss. (Likely will be denied per notes on 17C4773). Asked agent to ensure damages are repaired."/>
    <s v="I show 7.9 miles to the property from the volunteer FD.  Shows 13 min drive time."/>
    <m/>
    <s v="Patterson"/>
    <m/>
    <m/>
    <n v="0"/>
  </r>
  <r>
    <x v="286"/>
    <s v="SCU"/>
    <s v="CO"/>
    <s v="Allison"/>
    <s v="Email"/>
    <s v="Padilla, Jeremy"/>
    <m/>
    <x v="2"/>
    <s v="Ignacio"/>
    <x v="19"/>
    <m/>
    <x v="4"/>
    <x v="183"/>
    <x v="343"/>
    <s v="Lapse and 30 min response time"/>
    <s v="1980 home updated.  FD 10 miles away with up to 30 min response time. Rated for &lt;150' clearance. FireLine shows High 6. RM is high. Lapse since 7/16. Mtg was supposed to pay; then insd went thru divorce. Agt applied total 15% s/c."/>
    <x v="3"/>
    <s v="Asked for 20% s/c (10 for lapse, 10 for response time) and 150' clearance."/>
    <m/>
    <m/>
    <s v="Patterson"/>
    <m/>
    <m/>
    <n v="0"/>
  </r>
  <r>
    <x v="70"/>
    <s v="Burns NC"/>
    <s v="NC"/>
    <s v="Kasey"/>
    <s v="Email"/>
    <s v="Perrine, John"/>
    <m/>
    <x v="0"/>
    <s v="Manteo"/>
    <x v="11"/>
    <m/>
    <x v="10"/>
    <x v="184"/>
    <x v="344"/>
    <s v="1900 home not gutted"/>
    <s v="1900 home not gutted but all systems updated. Nice online pix. Reviewed with Tim. Shiplap walls and maybe ceilings. Online descr says &quot;historic&quot;. App asks for ERC but Kasey didn't quote. Age fits balloon construction."/>
    <x v="3"/>
    <s v="No balloon. No historic registry, zoning, or tours. No ERC (Kasey didn't quote, just confirming), Verify Cov A. Consider interior insp."/>
    <m/>
    <m/>
    <s v="Patterson"/>
    <m/>
    <m/>
    <n v="0"/>
  </r>
  <r>
    <x v="543"/>
    <s v="Burns"/>
    <s v="MI"/>
    <s v="Alexa"/>
    <s v="Email"/>
    <s v="Tryon, David"/>
    <m/>
    <x v="0"/>
    <m/>
    <x v="1"/>
    <m/>
    <x v="6"/>
    <x v="185"/>
    <x v="345"/>
    <s v="RC - Not Gutted"/>
    <s v="1947 home updated, not gutted. Average looking home per insp. In brush zone, 15 min response. "/>
    <x v="2"/>
    <s v="Danielle reviewing possible backend procedure."/>
    <m/>
    <m/>
    <s v="Patterson"/>
    <m/>
    <m/>
    <n v="0"/>
  </r>
  <r>
    <x v="297"/>
    <s v="Hull CO"/>
    <s v="Horsham"/>
    <s v="Andrea"/>
    <s v="Email"/>
    <s v="Dagle, Dorothea"/>
    <m/>
    <x v="5"/>
    <s v="Cromwell"/>
    <x v="25"/>
    <m/>
    <x v="0"/>
    <x v="186"/>
    <x v="0"/>
    <s v="Vacant 2 terms"/>
    <s v="Agent looking to renew home that has been vacant with us for 2 terms. No solid plans. Work still needs to be done. "/>
    <x v="3"/>
    <s v="Initially advised we are not comfortable renewing. Several days later agt said grandson is planning to move in but no date. I pressed for info and found out the policy renewed yesterday (12/5). Supposed to be 90-120 day review prior to renewal. Asked, and they are behind."/>
    <m/>
    <m/>
    <s v="Patterson"/>
    <s v="X"/>
    <m/>
    <n v="0"/>
  </r>
  <r>
    <x v="391"/>
    <s v="Burns"/>
    <s v="MI"/>
    <s v="Rachel"/>
    <s v="Email"/>
    <s v="Crockett"/>
    <s v="Kimberly &amp; Craig"/>
    <x v="2"/>
    <m/>
    <x v="11"/>
    <m/>
    <x v="5"/>
    <x v="186"/>
    <x v="346"/>
    <s v="Rate"/>
    <s v="Built in 1967 with full updates to wiring, heating, and plumbing in 2017 and roof in 2012. Frame, PC4, no losses, VMGA premium $1944, want to beat Allrisks Lloyd quote"/>
    <x v="3"/>
    <s v="Approved risk, but at our VMGA premium. Can not beat quote"/>
    <m/>
    <m/>
    <s v="Burdine"/>
    <m/>
    <m/>
    <n v="0"/>
  </r>
  <r>
    <x v="544"/>
    <s v="JM Wilson"/>
    <s v="MI"/>
    <s v="Cheryl"/>
    <m/>
    <s v="Stokes"/>
    <s v="Albert L Sr &amp; Nellie"/>
    <x v="0"/>
    <s v="Valdosta"/>
    <x v="18"/>
    <s v="31601"/>
    <x v="14"/>
    <x v="186"/>
    <x v="299"/>
    <s v="Business on Premises"/>
    <s v="1999 home. Insd is farmer. Has corn and hay and appx. 48 head of cattle. Rated as PC8. "/>
    <x v="3"/>
    <s v="Animal and business exclusion will take care of our biggest concerns. Also need farm policy to be maintained. Verify PC. Probably an 8B."/>
    <m/>
    <m/>
    <s v="Patterson"/>
    <m/>
    <m/>
    <n v="0"/>
  </r>
  <r>
    <x v="113"/>
    <s v="Burns"/>
    <s v="MI"/>
    <s v="Danielle"/>
    <s v="Email"/>
    <s v="Vanderwaal, Patrice"/>
    <m/>
    <x v="0"/>
    <s v="Maplewood"/>
    <x v="31"/>
    <m/>
    <x v="2"/>
    <x v="187"/>
    <x v="347"/>
    <s v="Daycare in home"/>
    <s v="1957 home updated. In home daycare w/10 kids. Insd has GL. Reviewed online-no concerns found. Agent asking for $300K liab."/>
    <x v="3"/>
    <s v="Subj to excluding liab, unless GL is in place and stays in place with Markel."/>
    <m/>
    <m/>
    <s v="Patterson"/>
    <m/>
    <m/>
    <n v="0"/>
  </r>
  <r>
    <x v="545"/>
    <s v="Hull Irvine"/>
    <m/>
    <s v="Bobbi"/>
    <s v="Email"/>
    <s v="Matson, Ginger"/>
    <m/>
    <x v="23"/>
    <s v="Big Bear City"/>
    <x v="1"/>
    <m/>
    <x v="9"/>
    <x v="188"/>
    <x v="348"/>
    <s v="Backdate"/>
    <s v="1970 home updated. Escrow closed - escrow office neglected to advise covg to be bound. Agt provide e-signed no loss letter. Agt says very organized retailer."/>
    <x v="3"/>
    <s v="Addl info that prior owner had 2 water losses. Agt quoted w/5K water ded. Also asked for rush EHP inspection and make sure to get off if any issues."/>
    <m/>
    <m/>
    <s v="Patterson"/>
    <m/>
    <m/>
    <n v="0"/>
  </r>
  <r>
    <x v="241"/>
    <s v="Burns"/>
    <s v="MI"/>
    <s v="Ben"/>
    <s v="Email"/>
    <s v="Huston, Robert"/>
    <m/>
    <x v="5"/>
    <s v="Muncie IN PC4"/>
    <x v="3"/>
    <m/>
    <x v="0"/>
    <x v="189"/>
    <x v="349"/>
    <s v="Rating question"/>
    <s v="1936 home fully updated in 2014, roof in 2000. 2014 pipe break loss. Pipes updated after loss. Insured is in nursing home. Family members occasionally stay. Daughter is POA"/>
    <x v="3"/>
    <s v="Agreed to write as DP3 vacant with a 10% discount for family caretaking."/>
    <m/>
    <m/>
    <s v="Patterson"/>
    <m/>
    <m/>
    <n v="0"/>
  </r>
  <r>
    <x v="121"/>
    <s v="Hull Stockton"/>
    <m/>
    <s v="Lisa"/>
    <s v="Email"/>
    <s v="Legionarios Del Trabajo"/>
    <m/>
    <x v="2"/>
    <s v="San Joaquin"/>
    <x v="1"/>
    <m/>
    <x v="0"/>
    <x v="190"/>
    <x v="0"/>
    <s v="Corporate Name"/>
    <s v="Insured owns this rental home in many partner names but it is strictly used as a rental for long term tenants. No business on property."/>
    <x v="4"/>
    <m/>
    <m/>
    <m/>
    <s v="Patterson"/>
    <m/>
    <m/>
    <n v="0"/>
  </r>
  <r>
    <x v="361"/>
    <s v="Hull CA"/>
    <s v="Stockton"/>
    <s v="Lisa"/>
    <s v="Email"/>
    <s v="Legionarious Del Trabajo"/>
    <m/>
    <x v="2"/>
    <s v="Stockton CA PC3"/>
    <x v="3"/>
    <m/>
    <x v="0"/>
    <x v="190"/>
    <x v="350"/>
    <s v="Business name"/>
    <s v="Reviewed corp questionnnaire. All sounds okay except we need the names of the corp principals. Also asked to verify use is strictly a home they own that they rent out - no business."/>
    <x v="0"/>
    <s v="Received list of owners and confirmed this is just a rental in a business name."/>
    <m/>
    <m/>
    <s v="Patterson"/>
    <m/>
    <m/>
    <n v="0"/>
  </r>
  <r>
    <x v="546"/>
    <s v="Burns"/>
    <s v="MI"/>
    <s v="Alexa"/>
    <s v="Email"/>
    <s v="Fernbaugh"/>
    <s v="James"/>
    <x v="0"/>
    <s v="Rim Forest"/>
    <x v="1"/>
    <m/>
    <x v="2"/>
    <x v="190"/>
    <x v="351"/>
    <s v="Business on Premises"/>
    <s v="Home was built in 1978 of frame construction, PC5 ,local alarm. Full roof update in 2006. Rated as brush as the risk meter would not pull the address. The insured's make toffee in their home and sell for profit. Absolutely no foot traffic in the home, no employees and they have BPP &amp; CGL in place."/>
    <x v="4"/>
    <s v="Proper insurance in place for business exposure;  website OK: https://thetoffeepot.com/"/>
    <m/>
    <m/>
    <s v="Burdine"/>
    <m/>
    <m/>
    <n v="0"/>
  </r>
  <r>
    <x v="142"/>
    <s v="Burns NC"/>
    <s v="NC"/>
    <s v="Anella"/>
    <s v="Email"/>
    <s v="Ketchum"/>
    <s v="Paul &amp; Nancy"/>
    <x v="25"/>
    <s v="North Topsail Beach"/>
    <x v="11"/>
    <m/>
    <x v="5"/>
    <x v="190"/>
    <x v="351"/>
    <s v="Prior bankruptcy"/>
    <s v="1994 home rented 30 weeks. Prior bankruptcy discharged in 2009. Home shows for sale for at least 2 years. Don't know if insd is selling or just buying."/>
    <x v="4"/>
    <s v="This is a new purchase per phone conversation with Craig Smith. "/>
    <s v="Reviewed w/Tim. Agreed if new purchase, they've apparently turned credit around."/>
    <n v="14"/>
    <s v="Patterson"/>
    <m/>
    <m/>
    <n v="0"/>
  </r>
  <r>
    <x v="31"/>
    <s v="Burns"/>
    <s v="MI"/>
    <s v="Alexa"/>
    <s v="Email"/>
    <s v="Williams"/>
    <s v="Christopher &amp; Jessica"/>
    <x v="0"/>
    <m/>
    <x v="7"/>
    <m/>
    <x v="9"/>
    <x v="190"/>
    <x v="352"/>
    <s v="Business on Premises"/>
    <s v="1989 dwelling, updated, alarms. Qualified for 10 part time children/typically 5 attend in in home daycare. Farmers CGL for daycare. New purchase (prev rented from parents.) Incomplete app uw questions."/>
    <x v="3"/>
    <s v="As quoted TBE, Animal Excl. Get app completed. "/>
    <m/>
    <m/>
    <s v="Patterson"/>
    <m/>
    <m/>
    <n v="0"/>
  </r>
  <r>
    <x v="27"/>
    <s v="Burns"/>
    <s v="MI"/>
    <s v="Delta"/>
    <s v="Email"/>
    <s v="Porec"/>
    <s v="Sherwin"/>
    <x v="0"/>
    <s v="Deerfield"/>
    <x v="4"/>
    <m/>
    <x v="9"/>
    <x v="190"/>
    <x v="353"/>
    <s v="Losses"/>
    <s v="1956 home updated. K ins score. 3 losses - 1/18 car hit garage $2500; 4/17 hail roof $7732; 2/16 car hit garage $988. $2500 ded applied. Total business excl applied."/>
    <x v="3"/>
    <s v="Considered excluding garage, but losses were small and $2500 ded is quoted. Asked agt to note file to consider excluding garage if there are other losses. Reviewed policy language. Vehicle and equipment stored in garage is not considered excluded under business Cov B."/>
    <m/>
    <m/>
    <s v="Patterson"/>
    <m/>
    <m/>
    <n v="0"/>
  </r>
  <r>
    <x v="280"/>
    <s v="SCU"/>
    <s v="CO"/>
    <s v="Allison"/>
    <s v="Email"/>
    <s v="Ramirez, Pete"/>
    <m/>
    <x v="7"/>
    <s v="Denver "/>
    <x v="19"/>
    <m/>
    <x v="9"/>
    <x v="191"/>
    <x v="354"/>
    <s v="Primary w/rental"/>
    <s v="2005 primary home w/some Airbnb short term rental. Agent wants to leave personal liability."/>
    <x v="4"/>
    <m/>
    <m/>
    <m/>
    <s v="Patterson"/>
    <m/>
    <m/>
    <n v="0"/>
  </r>
  <r>
    <x v="547"/>
    <s v="JM Wilson"/>
    <s v="MI"/>
    <s v="Lori"/>
    <s v="Email"/>
    <s v="Reyes"/>
    <s v="Jorge &amp; Denise"/>
    <x v="0"/>
    <s v="Salisbury"/>
    <x v="11"/>
    <m/>
    <x v="3"/>
    <x v="192"/>
    <x v="355"/>
    <s v="Other UW Reason"/>
    <s v="primary home, animals for personal use on property: 2 pigs, 1 llama, 3 horses, 3 goats NO BITE HISTORY"/>
    <x v="4"/>
    <s v="personal use only, no petting zoo,variety of animals but none too exotic, agreed to include limited animal liability"/>
    <m/>
    <m/>
    <s v="Burdine"/>
    <m/>
    <m/>
    <n v="0"/>
  </r>
  <r>
    <x v="548"/>
    <s v="Burns"/>
    <s v="MI"/>
    <s v="Leslie"/>
    <m/>
    <s v="Kassebaum"/>
    <s v="Patrick"/>
    <x v="0"/>
    <s v="Lincoln"/>
    <x v="38"/>
    <s v="68521"/>
    <x v="8"/>
    <x v="193"/>
    <x v="287"/>
    <s v="Losses"/>
    <s v="1998 home. Insured does personal training in home. 5 clients per week trained in living room. Has Markel CGL for the business. 6/22/18 loss filed 9/7/18 under Markel CGL FTG4268. Dog is an Akita. Insd is keeping the dog and will continue training clients in the home."/>
    <x v="1"/>
    <s v="Akita = dangerous/excluded. Keeping dog. Continuing business. Any future bite could be absolute liability and we could be called to defend regardless of coverages on policy.  Could be exorbitant defense costs."/>
    <s v="Bit client on the back of the neck. Per insd, client wanted dog to be in house during training session. (not an excuse)  Akita is excluded breed=dangerous. Forwarded info to Dawn Denzler-Trace (contact per Corporate Pol Prefix List) that insured is keeping the dog per the PL submission, and that we declined. // Markel commercial advised they will be non-renewing the risk.  They do not take in home business risks in this class."/>
    <m/>
    <s v="Patterson"/>
    <m/>
    <m/>
    <n v="1"/>
  </r>
  <r>
    <x v="549"/>
    <s v="Hull Irvine"/>
    <s v="CA"/>
    <s v="Gina"/>
    <m/>
    <s v="Sellers"/>
    <s v="Franklin"/>
    <x v="0"/>
    <s v="Los Angeles"/>
    <x v="1"/>
    <s v="90746"/>
    <x v="8"/>
    <x v="194"/>
    <x v="0"/>
    <s v="Losses"/>
    <s v="Five losses since 2012. Frame home built in 1971. Frame home. Roof leak in 2012 but last complete renovation on roof was 1994."/>
    <x v="3"/>
    <s v="Believe we can mitigate future losses with increased deductibles. AOP, theft and water all must be $5k. Exclude roof if wasn't replaced in 1994 (confirm replacement), no water backup and surcharge for 4 losses (2x premium)."/>
    <m/>
    <m/>
    <s v="Lazovik"/>
    <m/>
    <m/>
    <n v="0"/>
  </r>
  <r>
    <x v="229"/>
    <s v="Burns"/>
    <s v="MI"/>
    <s v="Delta"/>
    <s v="Email"/>
    <s v="Walters, EL"/>
    <m/>
    <x v="2"/>
    <s v="Evansville IN"/>
    <x v="3"/>
    <m/>
    <x v="0"/>
    <x v="194"/>
    <x v="356"/>
    <s v="Open Liab claim"/>
    <s v="1941 rental. Open liability loss from 2/8/16. Tenant visitor slipped on one of the steps."/>
    <x v="2"/>
    <s v="Asked addl info about the claim. If it checks out we could proceed.   • Has anything been paid yet or are they anticipating $6,000 will be it?  _x000a_• Any indication this is not a legitimate loss?  _x000a_• Where were the steps located?  _x000a_• What were the conditions surrounding the loss?  _x000a_• What was wrong with the steps?  _x000a_• What has the insured done to rectify the situation?_x000a_• What is holding up the loss from being settled?_x000a_"/>
    <s v="Per Delta, There is 6,000 in the reserve and nothing has been paid out yet. The person was a visitor to see the tenant and stepped on one of the steps going to the back door, the board came loose and he fell and hurt his knee. The steps have been repaired. They believe they are waiting to make sure about his knee.  Considered this to be acceptable and don't see a concern starting a new policy."/>
    <m/>
    <s v="Patterson"/>
    <m/>
    <m/>
    <n v="0"/>
  </r>
  <r>
    <x v="374"/>
    <s v="AmWINS"/>
    <s v="PA"/>
    <s v="Heather"/>
    <m/>
    <s v="Gentile"/>
    <s v="Mary &amp; Erin Rodgers"/>
    <x v="0"/>
    <s v="Yellow Springs"/>
    <x v="40"/>
    <s v="45387"/>
    <x v="2"/>
    <x v="194"/>
    <x v="271"/>
    <s v="Business on Premises"/>
    <s v="Risk question about whether we can insure a massage therapist who does business out of a room in the home."/>
    <x v="1"/>
    <s v="Advised to submit an app, quote, ins score, business questions. Good chance we can include liab w/ TBE and GL. // 5/23/19 received full submission. Meets our business guidelines. Would have been ok w/ TBE and GL. Liab okay because policy excludes prof services, TBE excludes business, and GL covers business. HOWEVER, per app, 1880-no info if gut reno. Aluminum wiring - ineligible. Ended up declining."/>
    <s v="Ins score no hit per partner."/>
    <m/>
    <s v="Patterson"/>
    <m/>
    <m/>
    <n v="1"/>
  </r>
  <r>
    <x v="447"/>
    <s v="JM Wilson"/>
    <s v="MI"/>
    <s v="John"/>
    <m/>
    <s v="Long"/>
    <s v="Ronald &amp; Tammi"/>
    <x v="0"/>
    <s v="Gibralter "/>
    <x v="8"/>
    <s v="48173"/>
    <x v="2"/>
    <x v="194"/>
    <x v="305"/>
    <s v="Prior Lapse/NRN"/>
    <s v="1942 home on Detroit River. Ins score R. Had covg with Progressive. Allowed it to lapse. Had significant wind loss that was not covered. Replaced roof out of their own pocket. Hasn't had insurance in 2 years because they could not afford it."/>
    <x v="1"/>
    <s v="2 year lapse, low ins score. Couldn't afford insurance, why now? $3,227 premium."/>
    <s v="R=10% surcharge"/>
    <m/>
    <s v="Patterson"/>
    <m/>
    <m/>
    <n v="1"/>
  </r>
  <r>
    <x v="550"/>
    <s v="JM Wilson"/>
    <s v="MI"/>
    <s v="Lori"/>
    <s v="Email"/>
    <s v="Brown"/>
    <s v="Frederick"/>
    <x v="0"/>
    <s v="Bay Village"/>
    <x v="40"/>
    <m/>
    <x v="9"/>
    <x v="194"/>
    <x v="357"/>
    <s v="Losses"/>
    <s v="Year built is 1971 and no updates are given, so the roof is 47 years old.  Personal property is 75% of Coverage A, not 70%.  There were two sizable claims, both water based, so I put a $5,000 water deductible and excluded water backup.   "/>
    <x v="2"/>
    <s v="requested OHQ, roof exclusion, and $10K water ded or damage. Pended for OHQ"/>
    <m/>
    <m/>
    <s v="Burdine"/>
    <m/>
    <m/>
    <n v="0"/>
  </r>
  <r>
    <x v="233"/>
    <s v="Burns"/>
    <s v="MI"/>
    <s v="Leslie"/>
    <s v="Email"/>
    <s v="Stretch, Nancy"/>
    <m/>
    <x v="21"/>
    <s v="Echo Lake CA PC10"/>
    <x v="3"/>
    <m/>
    <x v="0"/>
    <x v="195"/>
    <x v="358"/>
    <s v="Road closed in winter"/>
    <s v="1945 home updated. Inspection looks good. Paved road, but pass is closed in the winter. This is a seasonal home."/>
    <x v="3"/>
    <s v="Need premium to add surcharge. We normally don't do these, but since lower value, and not used in winter, I'm more comfortable. Side steps need rail per inspection. App says PC9, it is a 10."/>
    <s v="Rate coming in at $1875 PC10.  Approved w/50% surcharge ($2812) subj to railings on steps.  7/19/16 additional info from Ben. Insd removing oth struct, pers prop and liab. Still 50% s/c $2339 Cov A only"/>
    <m/>
    <s v="Patterson"/>
    <m/>
    <m/>
    <n v="0"/>
  </r>
  <r>
    <x v="236"/>
    <s v="Bolton"/>
    <m/>
    <s v="Janet"/>
    <s v="Email"/>
    <s v="Reynolds, Timothy"/>
    <m/>
    <x v="2"/>
    <s v="Ocean Springs MS  PC5"/>
    <x v="3"/>
    <m/>
    <x v="0"/>
    <x v="196"/>
    <x v="359"/>
    <s v="Lapse"/>
    <s v="2002 tenant occupied rental. Insd says they didn't get their renewal and insurance slipped through the cracks. Lapse is more than 6 months. Ran insurance score and it is moderate in the credit range."/>
    <x v="3"/>
    <s v="Approved with 10% surcharge."/>
    <m/>
    <m/>
    <s v="Patterson"/>
    <m/>
    <m/>
    <n v="0"/>
  </r>
  <r>
    <x v="348"/>
    <s v="Burns"/>
    <s v="MI"/>
    <s v="Danielle"/>
    <s v="Email"/>
    <s v="Weixelman"/>
    <s v="Gary"/>
    <x v="2"/>
    <m/>
    <x v="19"/>
    <m/>
    <x v="6"/>
    <x v="197"/>
    <x v="360"/>
    <s v="PC"/>
    <s v="Home was built in 1979 with no updates, excluding roof &amp; offering ACV Dwelling Settlement.  Frame construction, PC9 with no year round access.  No losses"/>
    <x v="1"/>
    <s v="approval to offer terms, with the woodstove cleaning/surcharge, roof exclusion, ACV settlement, and increased rate (.60-.70/100 TIV)//Agt advised 03/29 that woodstove primary heat source. CO risk w/ no yr round accessibility, or central heat for plumb, etc, declined."/>
    <m/>
    <m/>
    <s v="Burdine"/>
    <m/>
    <m/>
    <n v="1"/>
  </r>
  <r>
    <x v="551"/>
    <s v="JM Wilson"/>
    <s v="MI"/>
    <s v="Lori"/>
    <s v="Email"/>
    <s v="Estate of Patrick J &amp; Carlotta Davis"/>
    <m/>
    <x v="5"/>
    <s v="Freeport"/>
    <x v="4"/>
    <m/>
    <x v="0"/>
    <x v="198"/>
    <x v="288"/>
    <s v="Losses"/>
    <s v="1964 dwelling. No update info. Prior water loss 7/17 $1000.  Also claim 2/17 - mentally ill adult son living in home murdered both parents. Claim was for cleanup. Agt asking for quote with roof exclusion."/>
    <x v="1"/>
    <s v="Discussed with Bethany who discussed with Audrey. Concern with moral hazard with house not selling."/>
    <m/>
    <m/>
    <s v="Patterson"/>
    <m/>
    <m/>
    <n v="1"/>
  </r>
  <r>
    <x v="173"/>
    <s v="Burns"/>
    <s v="CA"/>
    <s v="Jill"/>
    <s v="Email"/>
    <s v="Stevens"/>
    <s v="Joe"/>
    <x v="16"/>
    <m/>
    <x v="3"/>
    <m/>
    <x v="6"/>
    <x v="199"/>
    <x v="361"/>
    <s v="Price match"/>
    <s v="1970 home in brush. Agt wants to match $1582 Scottsdale quote. Our rate is $1818."/>
    <x v="1"/>
    <s v="Advised we won't rate match since in brush. Also pointed out concerning Federal Pacific Stab Lok type electrical panel."/>
    <m/>
    <m/>
    <s v="Patterson"/>
    <m/>
    <m/>
    <n v="1"/>
  </r>
  <r>
    <x v="43"/>
    <s v="Burns"/>
    <s v="MI"/>
    <s v="Lindsay"/>
    <s v="Email"/>
    <s v="Marcous"/>
    <s v="Robert"/>
    <x v="4"/>
    <s v="Bailey Island"/>
    <x v="6"/>
    <m/>
    <x v="3"/>
    <x v="199"/>
    <x v="362"/>
    <s v="Heat Source"/>
    <s v="Secondary home in ME. Frame, 2012 roof and PC6. Home is winterized in the cold months but no heat source. Looking for ACV"/>
    <x v="3"/>
    <s v="Requested it on a DP-1, complete the OHQ, confirm full roof replacement in 2012, no knob and tube or fuses. Surcharge 10% due to no heat and electrical and no water back up"/>
    <m/>
    <m/>
    <s v="Lazovik"/>
    <m/>
    <m/>
    <n v="0"/>
  </r>
  <r>
    <x v="51"/>
    <s v="Appalachian"/>
    <s v="TN"/>
    <s v="Paul"/>
    <s v="Email"/>
    <s v="Future History Music Group"/>
    <m/>
    <x v="2"/>
    <s v="Davie"/>
    <x v="32"/>
    <m/>
    <x v="9"/>
    <x v="200"/>
    <x v="363"/>
    <s v="High Profile"/>
    <s v="2005 frame home in broward county FL. Owned by singer Jason Desrouleaux (Jason Derulo). Restricted liability due and no PI."/>
    <x v="1"/>
    <s v="Too famous. Desrouleaux is too high of a profile. Thought there is an LLC, you can easily google that the name is his record company."/>
    <m/>
    <m/>
    <s v="Lazovik"/>
    <m/>
    <m/>
    <n v="1"/>
  </r>
  <r>
    <x v="134"/>
    <s v="Burns"/>
    <s v="MI"/>
    <s v="Danielle"/>
    <s v="Email"/>
    <s v="Hidden Valley Properties BWD107998"/>
    <m/>
    <x v="2"/>
    <s v="Easton"/>
    <x v="28"/>
    <m/>
    <x v="4"/>
    <x v="201"/>
    <x v="5"/>
    <s v="Treehouse "/>
    <s v="Existing DP3. House is rented. Now added treehouse which will be rented separately. $50K, high off ground, doesn't look like all balusters are in place. "/>
    <x v="1"/>
    <s v="Not comfortable with this construction or height. Especially since it is a rental. Other programs have treehouses as ineligible. Since existing, will require excluding treehouse, removing liab, or moving risk. Pro-rata cancel ok."/>
    <m/>
    <m/>
    <s v="Patterson"/>
    <m/>
    <m/>
    <n v="1"/>
  </r>
  <r>
    <x v="117"/>
    <s v="Burns"/>
    <s v="MI"/>
    <s v="Alexa"/>
    <s v="Email"/>
    <s v="Quiles, Emily &amp; Eric"/>
    <m/>
    <x v="0"/>
    <s v="Manhattan "/>
    <x v="28"/>
    <m/>
    <x v="10"/>
    <x v="202"/>
    <x v="0"/>
    <s v="Piano lessons in home"/>
    <s v="1972 home w/updates. Insured has piano lessons in home 50-80 clients/month. $500K liab. GL in place."/>
    <x v="4"/>
    <m/>
    <s v="Fits criteria per review of guidelines."/>
    <m/>
    <s v="Patterson"/>
    <s v="X"/>
    <s v="Fully completed app?  Many spots were blank.  No policy on file 7.31.17"/>
    <n v="0"/>
  </r>
  <r>
    <x v="181"/>
    <s v="Hull Horsham"/>
    <s v="PA"/>
    <s v="Tamika"/>
    <s v="Call"/>
    <s v="TBD"/>
    <m/>
    <x v="2"/>
    <s v="East Charlburg"/>
    <x v="2"/>
    <m/>
    <x v="0"/>
    <x v="202"/>
    <x v="0"/>
    <s v="Occupancy"/>
    <s v="2 structures on one parcel, owned by daughter who lives in FL. Primary home is rented out. Barn is converted to living and occupied by insd father. $57K value so can't go on stand alone.  Father is an independent trucker and sometimes keeps a trailer or two on prop and does paperwork in his residence.  There is a historic Flour Mill on the property that they can't tear down. Currently no info on age, value, condition."/>
    <x v="3"/>
    <s v="Include TBE. Okay on one policy. Check inspection for the Flour Mill and exclude if any issues."/>
    <m/>
    <m/>
    <s v="Patterson"/>
    <m/>
    <m/>
    <n v="0"/>
  </r>
  <r>
    <x v="462"/>
    <s v="Burns"/>
    <s v="MI"/>
    <s v="Jill"/>
    <m/>
    <s v="Lawhorn"/>
    <s v="Lindsay"/>
    <x v="1"/>
    <s v="Noblesville"/>
    <x v="17"/>
    <s v="46060"/>
    <x v="22"/>
    <x v="202"/>
    <x v="185"/>
    <s v="Builders Risk"/>
    <s v="New construction. In order to close on loan and get a house # assigned, the insured has to have an indication quote.  They plan on building on 216th St."/>
    <x v="2"/>
    <s v="Approved rate indication only.  All aspects of risk meet our guidelines except there is no house #. Since ground is not breaking until after we have all that reviewed and approved, there is basically no exposure now. Also, this is an indication only. Verified furthest point on 216th st to fire station is appx 6 miles."/>
    <m/>
    <m/>
    <s v="Patterson"/>
    <m/>
    <m/>
    <n v="0"/>
  </r>
  <r>
    <x v="552"/>
    <s v="SCU"/>
    <s v="CO"/>
    <s v="Allison"/>
    <m/>
    <s v="Mauser"/>
    <s v="Gary"/>
    <x v="0"/>
    <s v="Colorado Springs"/>
    <x v="19"/>
    <s v="80911"/>
    <x v="8"/>
    <x v="202"/>
    <x v="364"/>
    <s v="Losses"/>
    <s v="1968 home w/new roof in 2016 after $10K hail loss. Also had $3k water back up in 2/16. No backup will be offered. No mold. Also had 9/17/18 $1,835 fire loss from neighbors children playing w/matches."/>
    <x v="4"/>
    <s v="Need fire report to approve fire loss. Roof replaced-helps for future. Excluding backup and mold., so no future backup issues. Require OHQ to make sure systems are acceptable. We have no requirements for updates w/this age of home, but our OHQ will draw out ineligible issues. Agt usually obtains at time of binding. Agt added 10% debit. // 5/28/19 MP Police report confirms original reported cause. OK. Older Home Quest ok, agent to obtain Markel form."/>
    <m/>
    <m/>
    <s v="Patterson"/>
    <m/>
    <m/>
    <n v="0"/>
  </r>
  <r>
    <x v="538"/>
    <s v="Burns"/>
    <s v="MI"/>
    <s v="Jeffrey"/>
    <s v="Email"/>
    <s v="Gaudynski"/>
    <s v="James &amp; Lorene"/>
    <x v="0"/>
    <s v="Wild Rose"/>
    <x v="12"/>
    <m/>
    <x v="3"/>
    <x v="202"/>
    <x v="365"/>
    <s v="PC"/>
    <s v="Risk is secondary family lake cottage home that had a total fire loss on 10/18/2016. No other losses. They were unable to determine what started the fire, but that it started in the living room"/>
    <x v="1"/>
    <s v="fire claim with an undetermined loss cause. Particularly one of this size. Given the Protection Class and the loss history, I'm not comfortable offering terms at this time. "/>
    <m/>
    <m/>
    <s v="Burdine"/>
    <m/>
    <m/>
    <n v="1"/>
  </r>
  <r>
    <x v="553"/>
    <s v="Burns"/>
    <s v="MI"/>
    <s v="Jill"/>
    <s v="Email"/>
    <s v="STOFFLE"/>
    <s v="Connie"/>
    <x v="91"/>
    <s v="Holt"/>
    <x v="36"/>
    <m/>
    <x v="2"/>
    <x v="202"/>
    <x v="366"/>
    <s v="Business on Premises"/>
    <s v="This insured and her late husband opened their large barn up as LLC to rent our for venues such as weddings. There is a separate driveway/entrance to this barn. All on the same address though. Insured has a commercial property &amp; CGL for this barn."/>
    <x v="3"/>
    <s v="TBE (as quoted); since same address also x-liab and other structure exclusion"/>
    <m/>
    <m/>
    <s v="Burdine"/>
    <m/>
    <m/>
    <n v="0"/>
  </r>
  <r>
    <x v="554"/>
    <s v="Burns"/>
    <s v="MI"/>
    <s v="Jill"/>
    <s v="Email"/>
    <s v="Halstead"/>
    <s v="Joy"/>
    <x v="0"/>
    <m/>
    <x v="12"/>
    <m/>
    <x v="3"/>
    <x v="203"/>
    <x v="367"/>
    <s v="Business/Bankruptcy"/>
    <s v="Built in 1989/updated, PC6, frame, no losses within last 3 years, primary, located in WI.The insured operates a group home out of her house under name of Compassions Connection LLC, insured with Philadelphia. There are 2 group home residents. The insured had a bankruptcy due to medical reasons in 2014. Her HO3 cancelled for non-payment last month. But the agent is requiring her to pay the full amount prior to binding if we can quote"/>
    <x v="1"/>
    <s v="Financial concerns/lapse"/>
    <s v="Ran report, poor financials"/>
    <m/>
    <s v="Burdine"/>
    <m/>
    <m/>
    <n v="1"/>
  </r>
  <r>
    <x v="350"/>
    <s v="RPS Covington"/>
    <s v="LA"/>
    <s v="Hillary"/>
    <s v="Email"/>
    <s v="Campbell"/>
    <s v="Ranadrea &amp; Jeremiah Moore"/>
    <x v="0"/>
    <m/>
    <x v="3"/>
    <m/>
    <x v="0"/>
    <x v="204"/>
    <x v="0"/>
    <s v="Other UW Reason"/>
    <s v="Insured filed bankruptcy 3 years ago and then withdrew it, per agt. "/>
    <x v="1"/>
    <s v="Got info and ran scores. Advised agent we could not write."/>
    <s v="555,565, bankruptcy showing from 8/2014"/>
    <m/>
    <s v="Patterson"/>
    <m/>
    <m/>
    <n v="1"/>
  </r>
  <r>
    <x v="184"/>
    <s v="Burns"/>
    <s v="MI"/>
    <s v="Jill"/>
    <s v="Email"/>
    <s v="Jones"/>
    <s v="Jeffrey"/>
    <x v="16"/>
    <s v="Trail"/>
    <x v="35"/>
    <m/>
    <x v="4"/>
    <x v="205"/>
    <x v="368"/>
    <s v="Liability exposure"/>
    <s v="1972 dwelling on 127 acres. Walking bridge on property with No trespassing signs and barbed wire."/>
    <x v="3"/>
    <s v="Concerned with condition and part is insured built. Also concerned with barbed wire."/>
    <s v="Checked with Louisa. Burdine-Agt came back 12/6, retail very upset (Large agt). Renewal was already offered, and concern was discovered during bind. Agt advised would complain to Markel and CA DOI if renewal offer not honored, and suggested instead renew as offered and send NR for next term. Also, advised that it is inspected regularly by city or county engineers and meets all inspector codes and  is in better condition today then has been in the past (agt has been on prop many times over 25+ years). Agreed to renew as suggested, with NR next term if doesn't exclude liab. "/>
    <m/>
    <s v="Patterson"/>
    <m/>
    <m/>
    <n v="0"/>
  </r>
  <r>
    <x v="555"/>
    <s v="Burns"/>
    <s v="MI"/>
    <s v="Ben"/>
    <s v="Email"/>
    <s v="Glosser, Antoinette"/>
    <m/>
    <x v="92"/>
    <s v="Johnstown"/>
    <x v="2"/>
    <m/>
    <x v="12"/>
    <x v="206"/>
    <x v="369"/>
    <s v="Occupancy"/>
    <s v="1950 home w/partial updates, flat roof new in 2004. Top floor owner occupied. 3 units on 1st floor mix of rental, vacant and storage. Has a separate address as door opens on another street."/>
    <x v="3"/>
    <s v="Increase ded. Is this a lapse? Check wire,plumb,heat carefully due to partial update, 1950."/>
    <m/>
    <m/>
    <s v="Patterson"/>
    <m/>
    <m/>
    <n v="0"/>
  </r>
  <r>
    <x v="556"/>
    <s v="Burns"/>
    <s v="MI"/>
    <s v="Ben"/>
    <s v="Email"/>
    <s v="Taylor, Robert"/>
    <m/>
    <x v="0"/>
    <s v="Idaho Falls "/>
    <x v="45"/>
    <m/>
    <x v="9"/>
    <x v="206"/>
    <x v="369"/>
    <s v="Bankruptcy and Claims"/>
    <s v="1960 home w/updates. Has 4 losses in 2016 - toilet backup, food spoilage, water line hole, roof leak.  Has 1 bankruptcy per app, but found 2 bankruptcies on ins score report - 10/11 and 6/13."/>
    <x v="1"/>
    <s v="Advised Ben with 2 bankruptcies and 4 claims in current year there are concerns with the risk - insured's ability to maintain home, etc."/>
    <m/>
    <m/>
    <s v="Patterson"/>
    <m/>
    <m/>
    <n v="1"/>
  </r>
  <r>
    <x v="39"/>
    <s v="Burns"/>
    <s v="MI"/>
    <s v="Lindsay"/>
    <s v="Email"/>
    <s v="Huebert"/>
    <s v="Donna"/>
    <x v="62"/>
    <m/>
    <x v="1"/>
    <m/>
    <x v="6"/>
    <x v="206"/>
    <x v="370"/>
    <s v="Business on Premises"/>
    <s v="no brush, 1940 build, full updates to roof but partial to heat, wire, plumbing in 2017 so quoting Dp1 ACV, 22 acres leased out for orchards by Moonlight Company. Have own GL, quoted with TBE, other structures exclusions, farming"/>
    <x v="4"/>
    <s v="appropriate exclusions/policy form in place"/>
    <m/>
    <m/>
    <s v="Burdine"/>
    <m/>
    <m/>
    <n v="0"/>
  </r>
  <r>
    <x v="51"/>
    <s v="Appalachian"/>
    <s v="TN"/>
    <s v="Paul"/>
    <s v="Email"/>
    <s v="Future History Music Group"/>
    <m/>
    <x v="2"/>
    <s v="Davie"/>
    <x v="32"/>
    <m/>
    <x v="9"/>
    <x v="207"/>
    <x v="371"/>
    <s v="High Profile"/>
    <s v="2009 frame home in broward county FL. Owned by singer Jason Desrouleaux (Jason Derulo). Restricted liability due and no PI."/>
    <x v="1"/>
    <s v="Too famous. Desrouleaux is too high of a profile. Thought there is an LLC, you can easily google that the name is his record company."/>
    <m/>
    <m/>
    <s v="Lazovik"/>
    <m/>
    <m/>
    <n v="1"/>
  </r>
  <r>
    <x v="83"/>
    <s v="Burns"/>
    <s v="MI"/>
    <s v="Delta"/>
    <s v="Email"/>
    <s v="Polik, Jeffrey"/>
    <m/>
    <x v="25"/>
    <m/>
    <x v="1"/>
    <m/>
    <x v="10"/>
    <x v="208"/>
    <x v="240"/>
    <s v="RC - Not Gutted"/>
    <m/>
    <x v="2"/>
    <s v="Danielle reviewing possible backend procedure."/>
    <m/>
    <m/>
    <s v="Patterson"/>
    <m/>
    <m/>
    <n v="0"/>
  </r>
  <r>
    <x v="557"/>
    <s v="Hull Irvine"/>
    <s v="CA"/>
    <s v="Lucas"/>
    <m/>
    <s v="Mumm"/>
    <s v="Jonathan &amp; Roberta"/>
    <x v="0"/>
    <s v="Twin Peaks"/>
    <x v="1"/>
    <s v="92391"/>
    <x v="2"/>
    <x v="208"/>
    <x v="317"/>
    <s v="High Profile"/>
    <s v="1950 home with updates to all systems and roof. Applicant was in a few smaller films and now is a tv journalist in the Sacramento area. WBS in property. "/>
    <x v="3"/>
    <s v="No concerns with profile of applicant, lower value risk. Subject to supplemental heating questionnaire. "/>
    <m/>
    <m/>
    <s v="Busse"/>
    <m/>
    <m/>
    <n v="0"/>
  </r>
  <r>
    <x v="58"/>
    <s v="Hull Horsham"/>
    <s v="  "/>
    <s v="Andrea"/>
    <s v="Email"/>
    <s v="Scorza, Ralph"/>
    <m/>
    <x v="0"/>
    <s v="Shepherdstown"/>
    <x v="26"/>
    <m/>
    <x v="3"/>
    <x v="208"/>
    <x v="317"/>
    <s v="Open Claim"/>
    <s v="1981 home with 2 losses. Water-washer overflow 6/14; propane explosion 10/16-claim still open. Insured making jewelry and spark exploded propane tank. Work underway by busy contractor who found additional damage on recent visit."/>
    <x v="1"/>
    <s v="Not comfortable taking on risk that has work underway and not all damage is discovered."/>
    <m/>
    <m/>
    <s v="Patterson"/>
    <m/>
    <m/>
    <n v="1"/>
  </r>
  <r>
    <x v="558"/>
    <s v="ASL"/>
    <s v="VA"/>
    <s v="Charity"/>
    <s v="Email"/>
    <s v="Brown, Donna"/>
    <m/>
    <x v="0"/>
    <s v="Marion Station"/>
    <x v="29"/>
    <m/>
    <x v="0"/>
    <x v="208"/>
    <x v="317"/>
    <s v="PC9"/>
    <s v="1920 home updated. Checked FD online. 8 minute drive time, Volunteer, about 4 miles away. 35 volunteer fire fighters."/>
    <x v="4"/>
    <m/>
    <m/>
    <m/>
    <s v="Patterson"/>
    <m/>
    <m/>
    <n v="0"/>
  </r>
  <r>
    <x v="289"/>
    <s v="Hull CA"/>
    <s v="Stockton"/>
    <s v="Lisa"/>
    <s v="Email"/>
    <s v="Hart, Joan"/>
    <m/>
    <x v="0"/>
    <s v="Colfax"/>
    <x v="1"/>
    <m/>
    <x v="5"/>
    <x v="208"/>
    <x v="317"/>
    <s v="Lapse 2 years"/>
    <s v="1953 home partially updated, new roof. Letter from FD that brush clearance is adequate. 2 year lapse due to &quot;brush hazard and roof that needed to be fixed&quot;."/>
    <x v="3"/>
    <s v="Decent insurance score.  • The fire department letter is addressed to “Mike Godwin”.  The insured is Joan Hart.  Can you fill us in on who Mike Godwin is?  Is Joan Hart the owner of the property?  Per Lisa 11/7, He is her GC and lives near this seasonal home. She is the owner and occupant._x000a_• We also want to add a 10% additional surcharge due to the length of the lapse."/>
    <m/>
    <m/>
    <s v="Patterson"/>
    <m/>
    <m/>
    <n v="0"/>
  </r>
  <r>
    <x v="559"/>
    <s v="Burns"/>
    <s v="MI"/>
    <s v="Danielle"/>
    <s v="Email"/>
    <s v="Lorenzo, Reyes"/>
    <m/>
    <x v="0"/>
    <s v="Denver CO PC2"/>
    <x v="3"/>
    <m/>
    <x v="0"/>
    <x v="208"/>
    <x v="372"/>
    <s v="Loss history"/>
    <s v="1981 Masonry home w/3 losses. 5/14 froz pipe $4421; 12/14 hail $4422; 8/14 $144087 fire - started at neighbors property and spread via fence."/>
    <x v="4"/>
    <s v="One loss not their fault. Suggested $2500 AOP ded."/>
    <m/>
    <m/>
    <s v="Patterson"/>
    <m/>
    <m/>
    <n v="0"/>
  </r>
  <r>
    <x v="422"/>
    <s v="AmWINS"/>
    <s v="NC"/>
    <s v="Hayden"/>
    <m/>
    <s v="Zetzer"/>
    <s v="George A"/>
    <x v="0"/>
    <s v="Richmond Heights"/>
    <x v="40"/>
    <s v="44143"/>
    <x v="5"/>
    <x v="208"/>
    <x v="48"/>
    <s v="Losses"/>
    <s v="2018 home rebuilt after total fire loss. $459,566 fire claim on 12/09/17. Cause listed as spark from fireplace.  Fireplace completely torn down and the rest of the house torn down to the studs."/>
    <x v="2"/>
    <s v="Need origin and loss report. Surcharge + 10% for large loss."/>
    <s v="Good ins score."/>
    <m/>
    <s v="Patterson"/>
    <m/>
    <m/>
    <n v="0"/>
  </r>
  <r>
    <x v="175"/>
    <s v="JM Wilson"/>
    <s v="MI"/>
    <s v="Cheryl"/>
    <s v="Email"/>
    <s v="Metz"/>
    <s v="Stephanie"/>
    <x v="0"/>
    <s v="Hastings"/>
    <x v="8"/>
    <m/>
    <x v="0"/>
    <x v="208"/>
    <x v="48"/>
    <s v="Losses and Age of Home"/>
    <s v="1900 home w/some updates. Average new purchase. 3 prior losses - 2 form a rental and 1 from primary which is sold. Agent proposing FRC."/>
    <x v="3"/>
    <s v="FRC, roof and mold exclusion. Consider HO-8"/>
    <m/>
    <m/>
    <s v="Patterson"/>
    <m/>
    <m/>
    <n v="0"/>
  </r>
  <r>
    <x v="560"/>
    <s v="Burns"/>
    <s v="MI"/>
    <s v="Matt"/>
    <s v="Email"/>
    <s v="Ebbett, Denise"/>
    <m/>
    <x v="0"/>
    <s v="Mokeluame Hill CA PC8"/>
    <x v="3"/>
    <m/>
    <x v="0"/>
    <x v="208"/>
    <x v="373"/>
    <s v="Open loss"/>
    <s v="1983 frame, $70,582 loss to fence, water tank, solar system, generator. Did not reach house. Has 1 horse. Det garage w/guest house."/>
    <x v="4"/>
    <s v="Approved subject to verification that home was not affected. Also that other structures included what I know of. If not, Matt is to contact me."/>
    <s v="2/19 Jill replied that it was mostly contents and provided list which had saddles, bridles etc. Replied w/questions about animals, breeding, boarding, riding, est. No business exposure."/>
    <m/>
    <s v="Patterson"/>
    <m/>
    <m/>
    <n v="0"/>
  </r>
  <r>
    <x v="13"/>
    <s v="Burns"/>
    <s v="MI"/>
    <s v="Jill"/>
    <s v="Email"/>
    <s v="Bettencourt"/>
    <s v="Joseph"/>
    <x v="0"/>
    <s v="Mequoin"/>
    <x v="12"/>
    <m/>
    <x v="6"/>
    <x v="209"/>
    <x v="374"/>
    <s v="Business on Premises"/>
    <s v="Commercial property on same property-grows orchids and has green house. Agent's advised there is coverage for the business.  Added total business exclusion and added building exclusion for greenhouse. In spring they get about 2 people/day, otherwise 2 people/week. The other structure is about 50-60 ft from home and uses the same driveway."/>
    <x v="3"/>
    <s v="approval to offer terms on this risk as quoted with the total business and other structure exclusion"/>
    <m/>
    <m/>
    <s v="Burdine"/>
    <m/>
    <m/>
    <n v="0"/>
  </r>
  <r>
    <x v="561"/>
    <s v="SCU"/>
    <s v="CO"/>
    <s v="Allison"/>
    <s v="Email"/>
    <s v="1041 Mapleton LLC"/>
    <m/>
    <x v="0"/>
    <s v="Boulder CO PC5"/>
    <x v="3"/>
    <m/>
    <x v="0"/>
    <x v="210"/>
    <x v="375"/>
    <s v="10 miles from Fire Line"/>
    <s v="Risk is 10 miles from active fire. Would have to burn through a mile of Boulder to get to the home.  "/>
    <x v="0"/>
    <s v="Jeff agrees this is a low risk area, but given low prem and the fact this will likely move as soon as fire subsides, we declined."/>
    <s v="Allison advises since this is bldrs risk, we will have for 6 months. We agreed on a $.75 rate. Jeff is on board."/>
    <m/>
    <s v="Patterson"/>
    <m/>
    <m/>
    <n v="0"/>
  </r>
  <r>
    <x v="263"/>
    <s v="Hull CO"/>
    <s v="Horsham"/>
    <s v="Andrea"/>
    <s v="Email"/>
    <s v="Lapins, Denise"/>
    <m/>
    <x v="2"/>
    <s v="York Beach "/>
    <x v="6"/>
    <m/>
    <x v="0"/>
    <x v="211"/>
    <x v="0"/>
    <s v="Student housing"/>
    <s v="Insured wants to rent to 4 students and their coach."/>
    <x v="2"/>
    <s v="Renting for the school year. 3 students 18-20 years old with their coach for hockey camp."/>
    <m/>
    <m/>
    <s v="Patterson"/>
    <m/>
    <m/>
    <n v="0"/>
  </r>
  <r>
    <x v="13"/>
    <s v="Burns"/>
    <s v="MI"/>
    <s v="Jill"/>
    <s v="Email"/>
    <s v="Hughes"/>
    <s v="Jarvis"/>
    <x v="4"/>
    <s v="Lenoir City"/>
    <x v="5"/>
    <m/>
    <x v="2"/>
    <x v="211"/>
    <x v="376"/>
    <s v="Business on Premises"/>
    <s v="PC5, frame, secondary, built in 1900/updated, located in TN; insured leasing part of the property for a cell tower located on the property to a cell carrier"/>
    <x v="3"/>
    <s v="in addition to the total business exclusion, please also add the Building Exclusion and specifically list the non-owned cell tower on property leased to cell carrier"/>
    <m/>
    <m/>
    <s v="Burdine"/>
    <m/>
    <m/>
    <n v="0"/>
  </r>
  <r>
    <x v="562"/>
    <s v="Burns"/>
    <s v="MI"/>
    <s v="Lindsay"/>
    <m/>
    <s v="Afton"/>
    <s v="Terry"/>
    <x v="0"/>
    <s v="Kent City"/>
    <x v="8"/>
    <s v="49330"/>
    <x v="4"/>
    <x v="212"/>
    <x v="377"/>
    <s v="Business on Premises"/>
    <s v="1963 home w/updates. FD is 5.6 miles away/9 min drive time. No PCQ. Excavation on premises. Employees are his children. No clients on premises. Shared driveway. Commercial policy in place."/>
    <x v="3"/>
    <s v="Total business excl., maintain coml policies, PCQ to confirm responding FD is Solon Twp FD 5.6 miles away. No client or empl exposure, pole barn and business liab excluded by TBE. No concerning online info about business operations."/>
    <m/>
    <m/>
    <s v="Patterson"/>
    <m/>
    <m/>
    <n v="0"/>
  </r>
  <r>
    <x v="183"/>
    <s v="Burns"/>
    <s v="CA"/>
    <s v="Jill"/>
    <s v="Email"/>
    <s v="King"/>
    <s v="Kathleen"/>
    <x v="0"/>
    <s v="Raytown"/>
    <x v="36"/>
    <m/>
    <x v="5"/>
    <x v="213"/>
    <x v="378"/>
    <s v="Business on Premises"/>
    <s v="1955 build, partially updated, no losses, insured hair dresses-one chair/6 customers week. Quoted w/ no liab and TBE"/>
    <x v="4"/>
    <s v="Approved as quoted; inspection photos/online review OK"/>
    <m/>
    <m/>
    <s v="Burdine"/>
    <m/>
    <m/>
    <n v="0"/>
  </r>
  <r>
    <x v="113"/>
    <s v="ASL"/>
    <s v="VA"/>
    <s v="Charity"/>
    <s v="Email"/>
    <s v="Harris, Joshua"/>
    <m/>
    <x v="21"/>
    <s v="Jamesville"/>
    <x v="10"/>
    <m/>
    <x v="4"/>
    <x v="213"/>
    <x v="379"/>
    <s v="PC10"/>
    <s v="1980 home updated in 2010. Googled nearest FD. 11.7 mi w/21 min response. 14.2 mi w/23 min response. Both are volunteer."/>
    <x v="1"/>
    <s v="Advised if she gets different info on an unprotected questionnaire, let us know."/>
    <m/>
    <m/>
    <s v="Patterson"/>
    <m/>
    <m/>
    <n v="1"/>
  </r>
  <r>
    <x v="524"/>
    <s v="AmWINS"/>
    <s v="LA"/>
    <s v="Crystal"/>
    <m/>
    <s v="Martin"/>
    <s v="Bryan &amp; Leslie"/>
    <x v="0"/>
    <s v="Covington"/>
    <x v="0"/>
    <s v="70433"/>
    <x v="2"/>
    <x v="214"/>
    <x v="48"/>
    <s v="Condition"/>
    <s v="1964 home w/PE and PEX plumbing. Prior demotech carrier rejected risk due to plumbing.  Plumbing was updated twice, most recently in 2008. Found addl questions - need OHQ, incorrect Animal Excl form. Crystal confirmed PC5."/>
    <x v="3"/>
    <s v=" Pics from inspection look fine, update dates fine, type of plumbing fine. Advised Crystal of addl concerns."/>
    <m/>
    <m/>
    <s v="Patterson"/>
    <m/>
    <m/>
    <n v="0"/>
  </r>
  <r>
    <x v="563"/>
    <s v="XS Brokers"/>
    <s v="MA"/>
    <s v="Barbara"/>
    <m/>
    <s v="Taylor "/>
    <s v="Thomas Jr"/>
    <x v="2"/>
    <s v="West Haven"/>
    <x v="25"/>
    <s v="06516"/>
    <x v="0"/>
    <x v="215"/>
    <x v="380"/>
    <s v="Losses"/>
    <s v="Prior dog bite loss. $300K. Claim is closed, insd no longer has dog. This is changing from owner occupied to tenant. "/>
    <x v="4"/>
    <s v="Insd no longer has the dog."/>
    <s v="Some chaos this week with a RUSH Stockton audit that backed up referrals.  Turnaround may have been impacted."/>
    <m/>
    <s v="Patterson"/>
    <m/>
    <m/>
    <n v="0"/>
  </r>
  <r>
    <x v="139"/>
    <s v="ASL"/>
    <s v="VA"/>
    <s v="Charity"/>
    <s v="Email"/>
    <s v="Eskridge"/>
    <s v="William"/>
    <x v="0"/>
    <s v="Tangier"/>
    <x v="10"/>
    <m/>
    <x v="4"/>
    <x v="215"/>
    <x v="381"/>
    <s v="Island"/>
    <s v="1969 home w/updates located on Tangier Island. Volunteer FD on island w/5 min response time. (1 tanker/1 pumper) Located mid-island. Agent quoting with .59 rate. 1 hr ferry ride."/>
    <x v="0"/>
    <s v="Refer to Jeff for input on island and need pricing from Bethany. Per Jeff, we can price for the wind and addl s/c for repair increased cost. //  .59 rate confirmed by Bethany &amp; Jeff."/>
    <m/>
    <n v="41"/>
    <s v="Patterson"/>
    <m/>
    <m/>
    <n v="0"/>
  </r>
  <r>
    <x v="122"/>
    <s v="Burns"/>
    <s v="MI"/>
    <s v="Jill"/>
    <s v="Email"/>
    <s v="Stretch, Nancy"/>
    <m/>
    <x v="16"/>
    <s v="Echo Lake"/>
    <x v="1"/>
    <m/>
    <x v="4"/>
    <x v="215"/>
    <x v="382"/>
    <s v="Inaccessible year round"/>
    <s v="1944 home updated, not in brush. No PC Quest. Inaccessible year round."/>
    <x v="3"/>
    <s v="• Acceptable PCQ showing response time meets 15 minute criteria.  (Due to lower value, we are okay with an inaccessible period, also not in brush)  10% s/c for inaccessibility_x000a_• Confirmation home is winterized when not in use_x000a_• Steps in photo need a railing added_x000a_"/>
    <m/>
    <m/>
    <s v="Patterson"/>
    <m/>
    <m/>
    <n v="0"/>
  </r>
  <r>
    <x v="564"/>
    <s v="Burns"/>
    <s v="MI"/>
    <s v="Rachel"/>
    <s v="Email"/>
    <s v="Piglitsin"/>
    <s v="Vyacheslav"/>
    <x v="1"/>
    <s v="Sacramento"/>
    <x v="1"/>
    <m/>
    <x v="8"/>
    <x v="215"/>
    <x v="383"/>
    <s v="Losses"/>
    <s v="Losses was in 2016 due to faulty fires in roof which was redone. App says home built in 2016 (seems off). "/>
    <x v="3"/>
    <s v="Googled home shows a junk yard or something nearby. Gave approval subject to confirmation no business."/>
    <m/>
    <m/>
    <s v="Lazovik"/>
    <m/>
    <m/>
    <n v="0"/>
  </r>
  <r>
    <x v="223"/>
    <s v="Burns"/>
    <s v="MI"/>
    <s v="Ben"/>
    <s v="Email"/>
    <s v="Sattler, Ellen"/>
    <m/>
    <x v="21"/>
    <s v="Somerset CA PC10"/>
    <x v="3"/>
    <m/>
    <x v="0"/>
    <x v="216"/>
    <x v="384"/>
    <s v="PC10 15-16 min response"/>
    <s v="2009 frame home seasonal use. Has been cleared of brush and overhanging trees per last inspection. Insured is on unpaved road, but FD would access this road for only a very short distance. Otherwise paved, accessible, little snow. No alarms. Inspection looks good. Lower value for PC10."/>
    <x v="0"/>
    <s v="I will approve with a surcharge. Asked agent current rate so I can determine how much."/>
    <s v="Jill responded $2152. Replied that this is approved with a 10% surcharge.  Jill came back advising Scottsdale's rate is $2136, wants us to consider lowering.  This is a nice risk and has had brush cleared.  I approved with rate around $2100."/>
    <m/>
    <s v="Patterson"/>
    <m/>
    <m/>
    <n v="0"/>
  </r>
  <r>
    <x v="183"/>
    <s v="Burns NC"/>
    <s v="NC"/>
    <s v="Lauren"/>
    <s v="Email"/>
    <s v="TBM LLC"/>
    <s v="TBM LLC"/>
    <x v="0"/>
    <s v="Southern Shores"/>
    <x v="11"/>
    <m/>
    <x v="0"/>
    <x v="217"/>
    <x v="385"/>
    <s v="NC X-Wind"/>
    <s v="Primary, wind excluded, PC OK, no claims, agent just checking to be sure OK"/>
    <x v="4"/>
    <s v="quote OK"/>
    <m/>
    <m/>
    <s v="Burdine"/>
    <m/>
    <m/>
    <n v="0"/>
  </r>
  <r>
    <x v="473"/>
    <s v="Burns"/>
    <s v="MI"/>
    <s v="Alexa"/>
    <s v="Email"/>
    <s v="Florian"/>
    <s v="Michael J"/>
    <x v="0"/>
    <s v="St Charles"/>
    <x v="36"/>
    <m/>
    <x v="0"/>
    <x v="218"/>
    <x v="386"/>
    <s v="Losses"/>
    <s v="1963 dwelling updated. Open liability loss - insd lab dog bit neighbor. Insd keeping dog. Liability excluded."/>
    <x v="4"/>
    <s v="x-liab"/>
    <m/>
    <m/>
    <s v="Patterson"/>
    <m/>
    <m/>
    <n v="0"/>
  </r>
  <r>
    <x v="88"/>
    <s v="ASL"/>
    <s v="VA"/>
    <s v="Charity"/>
    <s v="Email"/>
    <s v="Whorley, Victoria"/>
    <m/>
    <x v="0"/>
    <s v="Monroe"/>
    <x v="10"/>
    <m/>
    <x v="4"/>
    <x v="219"/>
    <x v="281"/>
    <s v="PC 10"/>
    <s v="PC 10, no prior claims, 1993 build year"/>
    <x v="4"/>
    <m/>
    <m/>
    <m/>
    <s v="Burdine"/>
    <m/>
    <m/>
    <n v="0"/>
  </r>
  <r>
    <x v="97"/>
    <s v="Hull Horsham"/>
    <m/>
    <s v="Nichole"/>
    <s v="Email"/>
    <s v="Dwyer, Colleen"/>
    <m/>
    <x v="16"/>
    <s v="Galloway"/>
    <x v="9"/>
    <m/>
    <x v="6"/>
    <x v="219"/>
    <x v="226"/>
    <s v="House sits over water"/>
    <s v="1970 home updated in last 20 years. Sits over water. Online youtube video looks okay. Looks like built mostly on land, a portion extends over water. Not a floating home. 5 slips, insd rents out 4. Uses a space heater as secondary - okay per guidelines. App states flat roof. Per photos it is only a portion so decided $5K is okay vs. $10K ded in guidelines."/>
    <x v="4"/>
    <m/>
    <m/>
    <m/>
    <s v="Patterson"/>
    <m/>
    <m/>
    <n v="0"/>
  </r>
  <r>
    <x v="374"/>
    <s v="Burns"/>
    <s v="MI"/>
    <s v="Lindsay"/>
    <m/>
    <s v="Koontz"/>
    <s v="David &amp; Sherry"/>
    <x v="0"/>
    <s v="Westfield"/>
    <x v="17"/>
    <s v="46074"/>
    <x v="5"/>
    <x v="219"/>
    <x v="80"/>
    <s v="Business on Premises"/>
    <s v="1993 home. One prior wind loss 2/24/19 $3K repaired/closed. Mrs. Trains dogs for clients either at their home or hers. If at hers, training includes a 2-3 week boarding/training/time. They have a GL. Partner quoted with TBE and Animal Liab Excl."/>
    <x v="3"/>
    <s v="Terms subj to finding out how many dogs at one time.  If 10 or less, partner can proceed. GL, TBE, Animal Exclusion. Prior loss ok. Insd has 2 dogs of her own."/>
    <s v="We have approved many dog boarding operations with 10-15 dogs."/>
    <m/>
    <s v="Patterson"/>
    <m/>
    <m/>
    <n v="0"/>
  </r>
  <r>
    <x v="500"/>
    <s v="Burns"/>
    <s v="MI"/>
    <s v="Jill"/>
    <s v="Email"/>
    <s v="Scalise, Louis"/>
    <m/>
    <x v="2"/>
    <s v="Twain Harte CA PC3"/>
    <x v="3"/>
    <m/>
    <x v="0"/>
    <x v="219"/>
    <x v="387"/>
    <s v="Oth Str &gt;35%"/>
    <s v="Built in 1979; updated. Possible woodstove. Brush zone."/>
    <x v="4"/>
    <s v="Approved subject to underwriting for possible woodstove (wood/pipe). Need new inspection."/>
    <m/>
    <m/>
    <s v="Patterson"/>
    <m/>
    <m/>
    <n v="0"/>
  </r>
  <r>
    <x v="395"/>
    <s v="Burns"/>
    <s v="MI"/>
    <s v="Jill"/>
    <s v="Email"/>
    <s v="Sheely, Kathleen"/>
    <m/>
    <x v="0"/>
    <s v="Plymouth"/>
    <x v="17"/>
    <m/>
    <x v="6"/>
    <x v="220"/>
    <x v="388"/>
    <s v="Business on premise"/>
    <s v="2002 home w/alarms. PC9 10 min response.  Business on prem is concrete flatwork company. 7 employees but many go to job site.  Aerial photo shows separation. Total Business Excl is included."/>
    <x v="3"/>
    <s v="Exclude any commercial other structures. Confirm no other business on prem. Found an online source connecting Kathleen to &quot;Dream Maker Homes LLC&quot;."/>
    <s v="Agt confirmed no other business exposure (Dream Maker LLC is not an active business, but insured still has name registered just in case). Gave OK to release terms with a lower ded, higher loss of use; but subject to total business exclusion/other structure exclusion as needed"/>
    <m/>
    <s v="Patterson"/>
    <m/>
    <m/>
    <n v="0"/>
  </r>
  <r>
    <x v="419"/>
    <s v="Burns"/>
    <s v="MI"/>
    <s v="Matt"/>
    <s v="Email"/>
    <s v="Adehelm, Billy"/>
    <m/>
    <x v="0"/>
    <s v="Arnold, CA PC5"/>
    <x v="3"/>
    <m/>
    <x v="0"/>
    <x v="221"/>
    <x v="389"/>
    <s v="2 private lenders/35 day lapse"/>
    <s v="2 lender who are trustees. 1980 home updated in 2010.  Policy lapsed 1/3/16 w/Hartford."/>
    <x v="4"/>
    <s v="Trustees common mortgage holders in CA. Burns getting surcharge, no loss, full payment."/>
    <m/>
    <m/>
    <s v="Patterson"/>
    <m/>
    <m/>
    <n v="0"/>
  </r>
  <r>
    <x v="327"/>
    <s v="Hull Irvine"/>
    <s v="CA"/>
    <s v="Michelle"/>
    <s v="Email"/>
    <s v="Clavin"/>
    <s v="Jennifer"/>
    <x v="0"/>
    <s v="Crestline"/>
    <x v="1"/>
    <m/>
    <x v="0"/>
    <x v="222"/>
    <x v="390"/>
    <s v="High Profile"/>
    <s v="famous musician, brush"/>
    <x v="3"/>
    <s v="x-liability. Reviewed and still upcoming and very active in industry. Advised prop terms only"/>
    <m/>
    <m/>
    <s v="Burdine"/>
    <m/>
    <m/>
    <n v="0"/>
  </r>
  <r>
    <x v="135"/>
    <s v="Hull Horsham"/>
    <m/>
    <s v="Tamika"/>
    <s v="Email"/>
    <s v="Rider"/>
    <s v="Evelyn"/>
    <x v="0"/>
    <s v="Franklin"/>
    <x v="9"/>
    <m/>
    <x v="0"/>
    <x v="223"/>
    <x v="0"/>
    <s v="Pending foreclosure"/>
    <s v="Hospitalization left insured with months of unpaid bills resulting in foreclosure."/>
    <x v="1"/>
    <s v="Ins score reveals other issues."/>
    <m/>
    <m/>
    <s v="Patterson"/>
    <m/>
    <m/>
    <n v="1"/>
  </r>
  <r>
    <x v="565"/>
    <s v="Burns NC"/>
    <s v="NC"/>
    <s v="Anella"/>
    <s v="Email"/>
    <s v="Realtor"/>
    <s v="Marsha   "/>
    <x v="0"/>
    <s v="Oak Island"/>
    <x v="11"/>
    <m/>
    <x v="2"/>
    <x v="223"/>
    <x v="0"/>
    <s v="Log cabin"/>
    <s v="1979 full log cabin w/galvanized metal roof. Updated in 2012. "/>
    <x v="3"/>
    <s v="Asked Tim for input.  If kit log home, okay to quote but get good estimator. Value seems low. We figure around $175/psf. If hand hewn, not eligible."/>
    <m/>
    <m/>
    <s v="Patterson"/>
    <m/>
    <m/>
    <n v="0"/>
  </r>
  <r>
    <x v="566"/>
    <s v="Hull CO"/>
    <s v="PA"/>
    <s v="Tamika"/>
    <s v="Email"/>
    <s v="Dinkes"/>
    <m/>
    <x v="37"/>
    <s v="Boston MA"/>
    <x v="3"/>
    <m/>
    <x v="0"/>
    <x v="223"/>
    <x v="0"/>
    <s v="Prior losses"/>
    <s v="2 prior claims: pipe break 10/12 $519,000; unit above pipe break/subro $81K claim still open."/>
    <x v="2"/>
    <s v="Asked age of unit, type of pipes, how far along are repairs."/>
    <m/>
    <m/>
    <s v="Patterson"/>
    <m/>
    <m/>
    <n v="0"/>
  </r>
  <r>
    <x v="567"/>
    <s v="Hull CA"/>
    <s v="Irvine"/>
    <s v="Alex"/>
    <s v="Call"/>
    <m/>
    <m/>
    <x v="0"/>
    <m/>
    <x v="3"/>
    <m/>
    <x v="0"/>
    <x v="223"/>
    <x v="0"/>
    <s v="Prior loss"/>
    <s v="1973 home renovated in 2015. PC8. $120,000 prior fire loss in the Butte fire.  We are coming in competitive. Discussed with Alex and we felt it best to decline."/>
    <x v="1"/>
    <m/>
    <m/>
    <m/>
    <s v="Patterson"/>
    <m/>
    <m/>
    <n v="1"/>
  </r>
  <r>
    <x v="568"/>
    <s v="Burns"/>
    <s v="MI"/>
    <s v="Jeff  "/>
    <s v="Email"/>
    <s v="Rhoads "/>
    <s v="Susan"/>
    <x v="2"/>
    <s v="San Diego"/>
    <x v="1"/>
    <m/>
    <x v="8"/>
    <x v="223"/>
    <x v="47"/>
    <s v="Business on Premises"/>
    <s v="1960 dwelling w/updates to heat and roof. Not in brush. Tenant runs an 8 child daycare. Agt quoted with TBE."/>
    <x v="3"/>
    <s v="Completed app, TBE, require GL covering the dwelling if business causes a loss, excluding liability because we have no control of the insured's business. Insured could be pulled into losses especially since children are involved."/>
    <m/>
    <m/>
    <s v="Patterson"/>
    <m/>
    <m/>
    <n v="0"/>
  </r>
  <r>
    <x v="39"/>
    <s v="Burns"/>
    <s v="MI"/>
    <s v="Jeffrey"/>
    <s v="Email"/>
    <s v="Costello"/>
    <s v="Corinne"/>
    <x v="6"/>
    <s v="Tulsa"/>
    <x v="30"/>
    <m/>
    <x v="9"/>
    <x v="223"/>
    <x v="47"/>
    <s v="Losses"/>
    <s v="Fire loss, originated in garage. Home was occupied by 91 year old woman, now in an apartment. Home completely rebuilt in 2013. Vacant/for sale"/>
    <x v="4"/>
    <s v="Approved with appropriate claim surcharge"/>
    <m/>
    <m/>
    <s v="Burdine"/>
    <m/>
    <m/>
    <n v="0"/>
  </r>
  <r>
    <x v="569"/>
    <s v="Hull CO"/>
    <s v="PA"/>
    <s v="Nichole"/>
    <s v="Email"/>
    <s v="Hutchins, Wayne"/>
    <m/>
    <x v="6"/>
    <s v="Brooksville ME PC9"/>
    <x v="3"/>
    <m/>
    <x v="0"/>
    <x v="223"/>
    <x v="47"/>
    <n v="280000"/>
    <s v="1900 home being renovated inside by insured who will act as GC with plumbing and wiring handled by other contractors."/>
    <x v="0"/>
    <s v="Unprotected questionnaire ok - 10 minute response.   Our criteria states insured who is GC is okay w/o liability covg. That is how agent quoted. We will be changing that.  30% s/c applied."/>
    <m/>
    <m/>
    <s v="Patterson"/>
    <m/>
    <m/>
    <n v="0"/>
  </r>
  <r>
    <x v="253"/>
    <s v="Hull CA"/>
    <s v="Irvine"/>
    <s v="Alison"/>
    <s v="Email"/>
    <s v="Easley, Ronald"/>
    <m/>
    <x v="0"/>
    <s v="Cambria CA PC4"/>
    <x v="1"/>
    <m/>
    <x v="5"/>
    <x v="223"/>
    <x v="47"/>
    <s v="Business -Manor and guest house on prem"/>
    <s v="Insured operates Greystone Manor and a guest house for vaca rental. On a CGL. One of the other structures is now their residence. 1940 no updates listed. "/>
    <x v="3"/>
    <s v="• Please add the guest house to the CGL. I’d like to keep all the vacation rental exposure off our policy since it has a CGL._x000a_• Home is 1940 – no updates are listed.  Must have acceptable plumbing, electrical and heat updates.  Roof exclusion applies if not updated._x000a_• App says “On same premises as business family owns”. If that is the Greystone Manor Vaca Rental, that is fine. If it is something else, please advise._x000a_• Please add the total business exclusion.  This will eliminate any exposure to other structures and liability for Greystone Manor and the guest house._x000a_• If the owner occupied home were the only structure on its own legal address; with the guest house and the Manor on a separate address; we could reconsider the total business exclusion.  Although I am still thinking it would be wise to keep it in place.  _x000a_"/>
    <m/>
    <m/>
    <s v="Patterson"/>
    <m/>
    <m/>
    <n v="0"/>
  </r>
  <r>
    <x v="570"/>
    <s v="Burns"/>
    <s v="MI"/>
    <s v="Danielle"/>
    <m/>
    <s v="Longino"/>
    <s v="Fred"/>
    <x v="4"/>
    <s v="Lonsdale"/>
    <x v="37"/>
    <s v="72087"/>
    <x v="4"/>
    <x v="223"/>
    <x v="273"/>
    <s v="Other UW Reason"/>
    <s v="2019 year built metal building that has a living residence for the applicant and a personal shop that is used to store ATVs, personal projects, etc. There are 6-10 cattle on the property for personal use. "/>
    <x v="3"/>
    <s v="They excluded liability from the quote, and a commercial app was provided. There didn’t seem to be any concern of commercial use. Approved subject to confirmation there is no business use or renting of the shop/land, confirmation heating, plumbing, and electric were done by a professional, and confirmation there is no WBS or other supp heat, as those are common in risks like this."/>
    <m/>
    <m/>
    <s v="Busse"/>
    <m/>
    <m/>
    <n v="0"/>
  </r>
  <r>
    <x v="459"/>
    <s v="AmWINS"/>
    <s v="IL"/>
    <s v="Tasha Burnett"/>
    <m/>
    <s v="Arrington"/>
    <s v="William E &amp; Karen L"/>
    <x v="2"/>
    <s v="Jacksonville "/>
    <x v="32"/>
    <s v="32208"/>
    <x v="0"/>
    <x v="223"/>
    <x v="338"/>
    <s v="Occupancy/Use"/>
    <s v="1950 home with updates. Online pics look okay. 1200 SF ranch. Agt inquiring if airbnb is acceptable. Planning to quote x-wind."/>
    <x v="3"/>
    <s v="Gave parameters for quoting. Advised Cov A may be high. $200/SF."/>
    <m/>
    <m/>
    <s v="Patterson"/>
    <m/>
    <m/>
    <n v="0"/>
  </r>
  <r>
    <x v="109"/>
    <s v="Burns"/>
    <s v="MI"/>
    <s v="Matt"/>
    <s v="Email"/>
    <s v="Sandbakken, Steven"/>
    <m/>
    <x v="1"/>
    <s v="St. Paul"/>
    <x v="31"/>
    <m/>
    <x v="0"/>
    <x v="223"/>
    <x v="197"/>
    <s v="Lift to replace foundation"/>
    <s v="1913 home being lifted to replace foundation."/>
    <x v="1"/>
    <s v="Concern w/ what gaps in covg there may be from contractor."/>
    <s v="Discussed w/Jeff   "/>
    <m/>
    <s v="Patterson"/>
    <m/>
    <m/>
    <n v="1"/>
  </r>
  <r>
    <x v="175"/>
    <s v="Hull Irvine"/>
    <s v="CA"/>
    <s v="Alex"/>
    <s v="Call"/>
    <s v="Kremesec"/>
    <s v="Kenneth"/>
    <x v="6"/>
    <s v="Rohnert Park"/>
    <x v="1"/>
    <m/>
    <x v="0"/>
    <x v="223"/>
    <x v="275"/>
    <s v="Active wildfire"/>
    <s v="Dwelling is 10 miles from the 99% contained Tubbs fire in Santa Rosa area. Can we make an exception?  "/>
    <x v="3"/>
    <s v="Sent to Jeff for review - he approved. Subject to lapse surcharge and signed no loss stmt."/>
    <m/>
    <m/>
    <s v="Patterson"/>
    <m/>
    <m/>
    <n v="0"/>
  </r>
  <r>
    <x v="259"/>
    <s v="Burns"/>
    <s v="MI"/>
    <s v="Ben"/>
    <s v="Email"/>
    <s v=" Lund, Colleen"/>
    <m/>
    <x v="93"/>
    <s v="Santa Cruz"/>
    <x v="1"/>
    <m/>
    <x v="9"/>
    <x v="223"/>
    <x v="391"/>
    <s v="Cov D&gt;100% of C"/>
    <s v="1920 condo w/full updates in 1998. Cov C is only $5K. D is $41,600 reasonable."/>
    <x v="4"/>
    <s v="Revise guidelines so this does not need to be referred in the future."/>
    <m/>
    <m/>
    <s v="Patterson"/>
    <m/>
    <m/>
    <n v="0"/>
  </r>
  <r>
    <x v="378"/>
    <s v="XS Brokers"/>
    <s v="MA"/>
    <s v="Kristen"/>
    <m/>
    <s v="Vinagre"/>
    <s v="Jose &amp; Ana"/>
    <x v="2"/>
    <s v="New Bedford"/>
    <x v="21"/>
    <s v="02740"/>
    <x v="2"/>
    <x v="223"/>
    <x v="4"/>
    <s v="Losses"/>
    <s v="1892 home w/updates in 2005. Open liab loss $20K. Tenant tripped on damaged floor. Housing Authority required flooring repairs."/>
    <x v="1"/>
    <s v="Older homes require good maintenance and condition along with full updates. The loss is an indication this is a concern."/>
    <m/>
    <m/>
    <s v="Patterson"/>
    <m/>
    <m/>
    <n v="1"/>
  </r>
  <r>
    <x v="116"/>
    <s v="Hull Horsham"/>
    <s v="PA"/>
    <s v="Tamika"/>
    <s v="Email"/>
    <s v="Total Holdings LLC"/>
    <m/>
    <x v="2"/>
    <s v="Glassboro"/>
    <x v="9"/>
    <m/>
    <x v="0"/>
    <x v="223"/>
    <x v="4"/>
    <s v="Occupancy"/>
    <s v="2017 home insured rents to 4 grad students of Rowan university.  Built in 2017. Online pic shows prev home on the lot."/>
    <x v="3"/>
    <s v="• Confirm there is a vetting process in place to screen the students (such as background check, deposit)_x000a_• Confirm there is some limitation in place to the number of visitors (to avoid big parties on the private off campus property)_x000a_• Acceptable LLC form_x000a_• Add a generous surcharge for the increased liability and physical damage exposure_x000a_"/>
    <m/>
    <m/>
    <s v="Patterson"/>
    <m/>
    <m/>
    <n v="0"/>
  </r>
  <r>
    <x v="571"/>
    <s v="Burns"/>
    <m/>
    <s v="Danielle"/>
    <s v="Email"/>
    <s v="Serafin, Robert"/>
    <m/>
    <x v="94"/>
    <s v="Acworth/PC10"/>
    <x v="3"/>
    <m/>
    <x v="0"/>
    <x v="223"/>
    <x v="4"/>
    <s v="Floating home"/>
    <s v="floating home in Acworth. PC10-no alarms, no losses."/>
    <x v="1"/>
    <s v="Asking several questions regarding stability of the home should the water level fall or rise. "/>
    <s v="We declined and also advised Burns we are not a market for floating homes.  They may be able to get hull coverage form through Marine.  "/>
    <m/>
    <s v="Trott/Patterson"/>
    <m/>
    <m/>
    <n v="1"/>
  </r>
  <r>
    <x v="556"/>
    <s v="Bolton"/>
    <s v="AL"/>
    <s v="Janet"/>
    <s v="Email"/>
    <s v="Pullin, James"/>
    <m/>
    <x v="0"/>
    <s v="Gulfport"/>
    <x v="16"/>
    <m/>
    <x v="3"/>
    <x v="223"/>
    <x v="198"/>
    <s v="Bankruptcy"/>
    <s v="1994 home - new purchase. Insured has a bankruptcy. Does not want to give ss# and dob as he doesn’t want hits on his credit report. Confirmed with Lex/Nex that it will show as an inquiry."/>
    <x v="1"/>
    <s v="Unable to help. Suggested the customer ck w/bank to ask if ins co inquiry would reflect negatively."/>
    <m/>
    <m/>
    <s v="Patterson"/>
    <m/>
    <m/>
    <n v="1"/>
  </r>
  <r>
    <x v="572"/>
    <s v="Burns"/>
    <s v="MI"/>
    <s v="Jill"/>
    <m/>
    <s v="Durer"/>
    <s v="Jennifer"/>
    <x v="62"/>
    <s v="Laramie"/>
    <x v="51"/>
    <s v="82070"/>
    <x v="8"/>
    <x v="223"/>
    <x v="315"/>
    <s v="Condition"/>
    <s v="1900 dwelling with updates listed on app within past two years. However, referral noted knob and tube is still used and amps are only 75 amps. Plumbing is not fully updated and OHQ indicates cast iron and galvanized is still present. 3 family rental. Asking if we will allow DP-1 subject to electrical being updated within 30 days."/>
    <x v="3"/>
    <s v="Not willing to make an exception to issue policy with k&amp;t present. As such, approved subject to k&amp;t replaced/updated to 100 amp circuits prior to binding. Was also going to apply water exclusion due to plumbing condition, but since this is DP1 there is no need as water damage is not covered. "/>
    <m/>
    <m/>
    <s v="Busse"/>
    <m/>
    <m/>
    <n v="0"/>
  </r>
  <r>
    <x v="573"/>
    <s v="Burns"/>
    <s v="CA"/>
    <s v="Benjamin"/>
    <s v="Email"/>
    <s v="Williams, Donald"/>
    <m/>
    <x v="95"/>
    <s v="Kissimmee"/>
    <x v="32"/>
    <m/>
    <x v="6"/>
    <x v="223"/>
    <x v="315"/>
    <s v="Business Exposure; lapse over 180 days"/>
    <s v="Y fork in road, one side leads to business office (no foot traffic), other side leads to home. Occasional fixing of their business cars in the other structure. When home deed to insured after passing of father, had trouble secruing insurance so accepted force placed. Mortgage to be paid off, so now wants coverage."/>
    <x v="3"/>
    <s v="Approved; CGL pol in place for business exposured-advised approval subject to maintaining that cov. Great insurance score. Reviewed with mgr and agreed ok with former forced placed coverage. "/>
    <m/>
    <m/>
    <s v="K.Burdine"/>
    <m/>
    <m/>
    <n v="0"/>
  </r>
  <r>
    <x v="190"/>
    <s v="Hull Irvine"/>
    <s v="CA"/>
    <s v="Bobbi"/>
    <s v="Email"/>
    <s v="Diggins &amp; Fitgerald"/>
    <s v="Lawrence &amp; Kelly"/>
    <x v="1"/>
    <s v="Long Beach"/>
    <x v="1"/>
    <m/>
    <x v="0"/>
    <x v="223"/>
    <x v="5"/>
    <s v="No electrical updates"/>
    <s v="COC submission for a home that will be the insured’s primary upon completion. The home is old (built 1929) and currently has knob and tube wiring. The agent advised all electrical and plumbing will replaced shortly after escrow closes"/>
    <x v="3"/>
    <s v="approval with complete updates w/in 30 days after closing"/>
    <m/>
    <m/>
    <s v="Burdine"/>
    <m/>
    <m/>
    <n v="0"/>
  </r>
  <r>
    <x v="160"/>
    <s v="Burns"/>
    <s v="MI"/>
    <s v="Jeff"/>
    <s v="Email"/>
    <s v="Watkins Property Management"/>
    <m/>
    <x v="59"/>
    <s v="Carmel"/>
    <x v="17"/>
    <m/>
    <x v="0"/>
    <x v="223"/>
    <x v="392"/>
    <s v="Occupancy"/>
    <s v="2006 condo with 4 units. Insd has a property management co office in one and rents 3 others on a short term basis. Can't tell if owner lives here or just has their office here. Separate access to office. Has commercial policy in place. Quoted with Total Business Exclusion"/>
    <x v="3"/>
    <s v="Must have owner occupancy to qualify. Otherwise, this is office and rental and should go commercial.  Could not tell from description if owner lived here."/>
    <s v="This is a condo exposure, so .21 rate is okay."/>
    <n v="22"/>
    <s v="Patterson"/>
    <m/>
    <m/>
    <n v="0"/>
  </r>
  <r>
    <x v="141"/>
    <s v="Bolton"/>
    <m/>
    <s v="Janet"/>
    <s v="Email/Call"/>
    <s v="Osterberg"/>
    <s v="Bruce"/>
    <x v="0"/>
    <s v="Gulfport"/>
    <x v="16"/>
    <m/>
    <x v="0"/>
    <x v="223"/>
    <x v="250"/>
    <s v="Closed territory"/>
    <s v="1998 home quoted by agent at the end of June for an 8/3 effective date. They received bind request. Also includes a $125K fine arts schedule"/>
    <x v="3"/>
    <s v="No to the schedule. Gave Jamie Gregory info. Jeff's email to agt advises we will honor existing quotes. Gave heads up to Jamie."/>
    <m/>
    <n v="34"/>
    <s v="Patterson"/>
    <m/>
    <m/>
    <n v="0"/>
  </r>
  <r>
    <x v="574"/>
    <s v="Burns"/>
    <s v="MI"/>
    <s v="Nicole"/>
    <m/>
    <s v="Santana"/>
    <s v="Rosa"/>
    <x v="0"/>
    <s v="Miami Gardens"/>
    <x v="32"/>
    <s v="33182"/>
    <x v="5"/>
    <x v="223"/>
    <x v="364"/>
    <s v="Prior Lapse/NRN"/>
    <s v="1989 home w/updates. No losses. Has alarms. Prior lapse and bankruptcy due to husband passing away. "/>
    <x v="1"/>
    <s v="Due to lapse and bankruptcy."/>
    <s v="Ins score E.  Discussed with JB and we agree with lapse and bankruptcy, just decline."/>
    <m/>
    <s v="Patterson"/>
    <m/>
    <m/>
    <n v="1"/>
  </r>
  <r>
    <x v="134"/>
    <s v="Hull Irvine"/>
    <m/>
    <s v="Alex"/>
    <s v="Email"/>
    <s v="Taus, Jason &amp; Michelle"/>
    <m/>
    <x v="16"/>
    <s v="Groveland"/>
    <x v="1"/>
    <m/>
    <x v="5"/>
    <x v="223"/>
    <x v="364"/>
    <s v="Wildfire within 20 miles"/>
    <s v="Detwiler Fire (Mariposa County) is 17 miles away and heading away from the risk. Can we bind eff 7/27 which is date closing takes place."/>
    <x v="0"/>
    <s v="Only 7% contained - new fire. Agent rarely asks for these exceptions but too soon to consider this one. Agent will monitor and resubmit if they still need an exception next week.//7/24 sent again. Fire 50% contained and admitted markets are lifting moratoriums. Online site shows fire 5 miles closer to property. Extensive damage, evac orders till in place. Advised Alex I can't send this to management. Decline stands.//Fire cleared and risk was bound 8/30/17"/>
    <m/>
    <m/>
    <s v="Patterson"/>
    <s v="X"/>
    <s v="See if anything was ever written for this insured. We declined."/>
    <n v="0"/>
  </r>
  <r>
    <x v="346"/>
    <s v="AmWINS"/>
    <s v="FL"/>
    <s v="Wendy"/>
    <m/>
    <s v="Mangas"/>
    <s v="Marcela"/>
    <x v="0"/>
    <s v="Hollywood"/>
    <x v="32"/>
    <s v="33029"/>
    <x v="9"/>
    <x v="223"/>
    <x v="393"/>
    <s v="Losses"/>
    <s v="2019 year built (being reconstructed after total fire loss). Not clear as to whether COC has started or yet to start. AmWINS stated COC will be with another carrier but want to place HO3 with us afterwards. $200k+ fire loss, did not receive C&amp;O or fire marshal report. "/>
    <x v="0"/>
    <s v="Pended to ask for clarification on status of COC. Not sure as to whether that has started, is completed, or yet to begin. Also, will need to review C&amp;O or fire marshal report as that information was not included with claim docs that were submitted, only payout amounts. // MP 4/16/19 Received C&amp;O-cause of fire was lightning strike. Approved HO3 primary w/June date; or HO3 builders risk now. Submit pricing so I can add surcharge and give final rate."/>
    <m/>
    <m/>
    <s v="Busse"/>
    <m/>
    <m/>
    <n v="0"/>
  </r>
  <r>
    <x v="233"/>
    <s v="Bolton"/>
    <m/>
    <s v="Janet"/>
    <s v="Email"/>
    <s v="Roberts, Gloria"/>
    <m/>
    <x v="96"/>
    <s v="Ocean Springs MS PC5"/>
    <x v="3"/>
    <m/>
    <x v="0"/>
    <x v="223"/>
    <x v="286"/>
    <s v="No prior coverage"/>
    <s v="Insured has been self insuring for 2 years. She is a doctor. No claims. 1994 masonry home. Looks nice online. Ran insurance score and it is decent."/>
    <x v="3"/>
    <s v="Approved subject to a 10% surcharge on the technical premium for the lapse."/>
    <m/>
    <m/>
    <s v="Patterson"/>
    <m/>
    <m/>
    <n v="0"/>
  </r>
  <r>
    <x v="575"/>
    <s v="Burns"/>
    <s v="MI"/>
    <s v="Jill"/>
    <m/>
    <s v="Keener"/>
    <s v="Aleatha"/>
    <x v="0"/>
    <s v="New Smyrna Beach"/>
    <x v="32"/>
    <s v="32168"/>
    <x v="5"/>
    <x v="223"/>
    <x v="80"/>
    <s v="Business on Premises"/>
    <s v="1967 home updated. Insd has dog boarding business on premises run out of a separate structure. Has GL and Prop on the business."/>
    <x v="3"/>
    <s v="Confirm updates - app doesn't list. Viewed aerial view of home property which shows adequate separation of home and business. Barn behind home accounts for $25K Cov B. With separation and GL/Prop in place and TBE, concerns are minimal."/>
    <m/>
    <m/>
    <s v="Patterson"/>
    <m/>
    <m/>
    <n v="0"/>
  </r>
  <r>
    <x v="490"/>
    <s v="AmWINS"/>
    <s v="FL"/>
    <s v="Niki"/>
    <m/>
    <s v="Racine"/>
    <s v="Dale &amp; Nancy"/>
    <x v="4"/>
    <s v="Lawtey"/>
    <x v="32"/>
    <s v="32058"/>
    <x v="4"/>
    <x v="223"/>
    <x v="80"/>
    <s v="Prior Lapse/NRN"/>
    <s v="2018 new build, insured is a contractor and built the house constr completed in Nov and they did not consider the need for ins at the time. 3 star ins score = credit.  PC10 volunteer FD."/>
    <x v="3"/>
    <s v="Okay with 15% surcharge for lapse (total) and signed no loss. Also existing dmg excl. Mapped FD to residence - 7.4 miles/10 min. Should be less than 15 min response."/>
    <m/>
    <m/>
    <s v="Patterson"/>
    <m/>
    <m/>
    <n v="0"/>
  </r>
  <r>
    <x v="576"/>
    <s v="Burns"/>
    <s v="MI"/>
    <s v="Jeff"/>
    <s v="Email"/>
    <s v="Franz Johann Investments LLC"/>
    <s v="Franz Johann Investments LLC"/>
    <x v="0"/>
    <s v="Pewaukee"/>
    <x v="12"/>
    <m/>
    <x v="5"/>
    <x v="223"/>
    <x v="80"/>
    <s v="Business on Premises"/>
    <s v="Greenhouse on property; grow/sell vegetables, garden tools, no marijuana. Owner/wife only employees, customers arrive via car, 1938 build, want FRC (all complete updates except plumbing-partial)"/>
    <x v="3"/>
    <s v="TBE, GL, and FRC (all were quoted by agent). Per FB page, greenhouse and fun center (appears occasional &quot;fairy parties&quot;). Advised agt be sure GL covers this exposure as well"/>
    <m/>
    <m/>
    <s v="Burdine"/>
    <m/>
    <m/>
    <n v="0"/>
  </r>
  <r>
    <x v="51"/>
    <s v="Hull Stockton"/>
    <s v="CA"/>
    <s v="Lisa"/>
    <s v="Email"/>
    <s v="Johnson "/>
    <s v="Gary"/>
    <x v="1"/>
    <m/>
    <x v="1"/>
    <m/>
    <x v="5"/>
    <x v="223"/>
    <x v="80"/>
    <s v="Other UW Reason"/>
    <s v="This insured was non-renewed due to loss of appetite and brush concerns.  They have recently moved earth and built a pad in which to build a 2-car detached garage (1020 sq') and are just waiting for the permits to come through before their contractor starts. Partial wiring in 2017, plumbing (2008), heating (1988), roof (2008)."/>
    <x v="3"/>
    <s v="Confirm fire department accessibility as the road is very narrow, make sure the contractor is covered and exclude the deck until it has been repaired."/>
    <m/>
    <m/>
    <s v="Lazovik"/>
    <m/>
    <m/>
    <n v="0"/>
  </r>
  <r>
    <x v="440"/>
    <s v="Burns"/>
    <s v="MI"/>
    <s v="Jill"/>
    <s v="Email"/>
    <s v="Willson "/>
    <s v="Ashlyn &amp; Miller, Cody"/>
    <x v="0"/>
    <s v="Los Angeles"/>
    <x v="1"/>
    <m/>
    <x v="11"/>
    <x v="223"/>
    <x v="80"/>
    <s v="High profile"/>
    <s v="1954 home w/updates. Insured is young singer/songwriter. No adverse info. Quote includes $1M liab/$1M PI."/>
    <x v="0"/>
    <s v="Reviewed online info - ok. // 8/23 Danielle asked for 25%/50% ERC. OK as long as Cov A is 100% ITV."/>
    <s v="Jeff reviewing - approved. Case by case basis on the Personal Injury. In this case, okay."/>
    <n v="23"/>
    <s v="Patterson"/>
    <m/>
    <m/>
    <n v="0"/>
  </r>
  <r>
    <x v="164"/>
    <s v="Burns"/>
    <s v="CA"/>
    <s v="Rachel"/>
    <s v="Email"/>
    <s v="Howard"/>
    <s v="Booth"/>
    <x v="16"/>
    <s v="Grassy Sounds"/>
    <x v="9"/>
    <m/>
    <x v="9"/>
    <x v="223"/>
    <x v="80"/>
    <s v="High profile"/>
    <s v="1941 dwelling with current updates. Could not find online photo. Home will be raised by licensed contractor. No mention of builders risk. Insd is a director/producer."/>
    <x v="3"/>
    <s v="Verify builders risk. Confirm this is frame, not something unique like houseboat. (Address brings up a marina. Other unique dwellings in that area.) Is it being raised over water? If so, resubmit with full details of contractor plan."/>
    <s v=".46 rate. Probably builders risk. "/>
    <n v="30"/>
    <s v="Patterson"/>
    <m/>
    <m/>
    <n v="0"/>
  </r>
  <r>
    <x v="225"/>
    <s v="Burns"/>
    <s v="MI"/>
    <s v="Matt"/>
    <s v="Email"/>
    <s v="Winkler, Lisa"/>
    <m/>
    <x v="0"/>
    <s v="Lake Isabella CA  PC5"/>
    <x v="3"/>
    <m/>
    <x v="0"/>
    <x v="223"/>
    <x v="329"/>
    <s v="Tree house in yard"/>
    <s v="1979 frame home updated. No losses. Rustic but nice looking treehouse photo. Access is by ladder. Insufficient balusters on railing."/>
    <x v="3"/>
    <s v="Approved subj to confirmation that the risk is a home, and this is an other structure in the yard. $25K Cov B is okay. Exclude liability."/>
    <m/>
    <m/>
    <s v="Patterson"/>
    <m/>
    <m/>
    <n v="0"/>
  </r>
  <r>
    <x v="347"/>
    <s v="Appalachian"/>
    <s v="TN"/>
    <s v="Whitney"/>
    <m/>
    <s v="Milam"/>
    <s v="Matthew &amp; Jessica"/>
    <x v="0"/>
    <s v="Myrtle Beach"/>
    <x v="20"/>
    <s v="29582"/>
    <x v="8"/>
    <x v="223"/>
    <x v="330"/>
    <s v="Losses"/>
    <s v="Agent sent it over because the prior owner had a fire loss in 2016 for $14k. Applicant is just purchasing this property. "/>
    <x v="4"/>
    <s v="Advised that we are not worried about losses that occurred under prior owner, unless for some reason it was brought to their attention that the damages were not yet repaired. "/>
    <m/>
    <m/>
    <s v="Busse"/>
    <m/>
    <m/>
    <n v="0"/>
  </r>
  <r>
    <x v="577"/>
    <s v="AmWINS"/>
    <s v="FL"/>
    <s v="Julie"/>
    <m/>
    <s v="Lyden"/>
    <s v="Peter"/>
    <x v="0"/>
    <s v="Bunnell"/>
    <x v="32"/>
    <s v="32110"/>
    <x v="14"/>
    <x v="223"/>
    <x v="330"/>
    <s v="Other UW Reason"/>
    <s v="Referred because it is a metal building. Built in 2019. Living area is 2400 sq ft, total area of building is 8000 sq ft. Per agent email, other area is used to store ATV, boats, and toys. "/>
    <x v="3"/>
    <s v="Approving risk subject to confirmation that the other storage area is for the applicants personal use only and that there is no renting to others for storage or living purposes, and also no business use. "/>
    <m/>
    <m/>
    <s v="Busse"/>
    <m/>
    <m/>
    <n v="0"/>
  </r>
  <r>
    <x v="15"/>
    <s v="Hull Stockton"/>
    <s v="CA"/>
    <s v="Kirk"/>
    <s v="Email"/>
    <s v="Sliwa"/>
    <s v="Marek"/>
    <x v="0"/>
    <s v="Colfax"/>
    <x v="1"/>
    <m/>
    <x v="6"/>
    <x v="223"/>
    <x v="330"/>
    <s v="Losses"/>
    <s v="$120,000 claim on prior home"/>
    <x v="2"/>
    <s v="Fire claim--requested cause and origin or fire report for review of specific causes"/>
    <m/>
    <m/>
    <s v="Burdine"/>
    <m/>
    <m/>
    <n v="0"/>
  </r>
  <r>
    <x v="578"/>
    <s v="Burns"/>
    <s v="MI"/>
    <s v="Rachel"/>
    <s v="Email"/>
    <s v="Edmondson"/>
    <s v="Jerry"/>
    <x v="0"/>
    <s v="St. Louis"/>
    <x v="36"/>
    <m/>
    <x v="9"/>
    <x v="223"/>
    <x v="330"/>
    <s v="Business on Premises"/>
    <s v="family counselor, 10 patients a week, separate area in home"/>
    <x v="3"/>
    <s v="TBE and GL in place; online review OK"/>
    <m/>
    <m/>
    <s v="Burdine"/>
    <m/>
    <m/>
    <n v="0"/>
  </r>
  <r>
    <x v="60"/>
    <s v="Burns NC"/>
    <s v="NC"/>
    <s v="Anella"/>
    <s v="Email/Call"/>
    <s v="Walters, Scott"/>
    <m/>
    <x v="0"/>
    <s v="New Bern"/>
    <x v="11"/>
    <m/>
    <x v="24"/>
    <x v="223"/>
    <x v="330"/>
    <s v="Older roof"/>
    <s v="1919 home w/original roof. Inspected, painted, sealed regularly. Last done in 2012. Online photos look great. Plumb part updated in 2012. Question about prior carrier."/>
    <x v="0"/>
    <s v="Asked Anella for info on plumbing and prior carrier. Will approve If it checks out. Reviewed risk w/Tim. Plumbing is updated. Confirm at inspection. Not nonrenewed."/>
    <m/>
    <m/>
    <s v="Patterson"/>
    <m/>
    <m/>
    <n v="0"/>
  </r>
  <r>
    <x v="144"/>
    <s v="Burns"/>
    <s v="MI"/>
    <s v="Leslie"/>
    <s v="Email"/>
    <s v="Asubar"/>
    <s v="Steven &amp; Concepcion"/>
    <x v="0"/>
    <s v="Vancouver"/>
    <x v="13"/>
    <m/>
    <x v="0"/>
    <x v="223"/>
    <x v="330"/>
    <n v="4"/>
    <s v="1995 home; new pipes installed under the home, new furnace, new roof and new fence. Has 6 losses since 12/11/14. 2 wind; 2 are related, furnace breakdown/freeze, water line failed, water leak on roof."/>
    <x v="2"/>
    <s v="Long list of additional questions to evaluate the loss history."/>
    <m/>
    <n v="21"/>
    <s v="Patterson"/>
    <m/>
    <m/>
    <n v="0"/>
  </r>
  <r>
    <x v="579"/>
    <s v="Burns"/>
    <s v="MI"/>
    <s v="Nicole"/>
    <m/>
    <s v="Tramel"/>
    <s v="Alan &amp; Connie"/>
    <x v="0"/>
    <s v="Wofford Heights"/>
    <x v="1"/>
    <s v="93285"/>
    <x v="4"/>
    <x v="223"/>
    <x v="394"/>
    <s v="PC"/>
    <s v="1951 home w/ full updates in 2016 (1995 per app). 20 minute response time. No time to nonrenew. Will NRN in 2020. Prem $17,111 w/ new brush s/c and PC10."/>
    <x v="4"/>
    <s v="Renew now, set up for NRN in 2020. Did not add any addl prem for 20 min response time. Expiring was around $4K."/>
    <m/>
    <m/>
    <s v="Patterson"/>
    <m/>
    <m/>
    <n v="0"/>
  </r>
  <r>
    <x v="186"/>
    <s v="Burns"/>
    <s v="MI"/>
    <s v="Rachel"/>
    <s v="Email"/>
    <s v="LMJ Enterprises"/>
    <m/>
    <x v="2"/>
    <s v="Monroe"/>
    <x v="13"/>
    <m/>
    <x v="0"/>
    <x v="223"/>
    <x v="394"/>
    <s v="Occupancy"/>
    <s v="Risk is 2/3 rental and 1/3 flower shop. "/>
    <x v="1"/>
    <s v="This belongs on a commercial policy - no owner occupancy."/>
    <m/>
    <m/>
    <s v="Patterson"/>
    <m/>
    <m/>
    <n v="1"/>
  </r>
  <r>
    <x v="580"/>
    <s v="Burns"/>
    <s v="MI"/>
    <s v="Nicole"/>
    <m/>
    <s v="Waneka"/>
    <s v="Scott"/>
    <x v="5"/>
    <s v="Minden"/>
    <x v="38"/>
    <s v="68959"/>
    <x v="9"/>
    <x v="223"/>
    <x v="395"/>
    <s v="Occupancy/Use"/>
    <s v="1909 church structure with updates almost complete. Liab currently extended from AO homeowners ins.  No current plans for the structure. Lapse since purchase."/>
    <x v="1"/>
    <s v="Lapse, no plans, unique structure."/>
    <s v="Ins score M. Gigantic church building."/>
    <m/>
    <s v="Patterson"/>
    <m/>
    <m/>
    <n v="1"/>
  </r>
  <r>
    <x v="102"/>
    <s v="SCU"/>
    <s v="CO"/>
    <s v="Allison"/>
    <s v="Email"/>
    <s v="Jay &amp; Helen Meyer"/>
    <m/>
    <x v="14"/>
    <s v="San Miguel"/>
    <x v="19"/>
    <m/>
    <x v="4"/>
    <x v="223"/>
    <x v="395"/>
    <s v="response time over 20 minutes and woodstove is the primary heat source."/>
    <s v="1994 build year, log, used during summer months only so wood stove will very rarely be used. Response time 20-25 in summer, 30 in winter. "/>
    <x v="3"/>
    <s v="Lower value, wood stove won't  be used much (if any). Agt applied 10% surcharge. Advised approval subject to appropriate winterization"/>
    <m/>
    <m/>
    <s v="Burdine"/>
    <m/>
    <m/>
    <n v="0"/>
  </r>
  <r>
    <x v="352"/>
    <s v="Burns"/>
    <s v="MI"/>
    <s v="Danielle"/>
    <s v="Email"/>
    <s v="Draxler, Paul"/>
    <m/>
    <x v="21"/>
    <s v="Bodfish CA PC5"/>
    <x v="3"/>
    <m/>
    <x v="0"/>
    <x v="223"/>
    <x v="6"/>
    <s v="Strawbale Const."/>
    <s v="2016 frame and straw bale/stucco. No liability requested (seasonal). Medium per RM. Moderate per FireLine."/>
    <x v="1"/>
    <s v="Discussed with Jeff.  We do not wish to be a market for straw bale construction."/>
    <m/>
    <m/>
    <s v="Patterson"/>
    <m/>
    <m/>
    <n v="1"/>
  </r>
  <r>
    <x v="277"/>
    <s v="Burns"/>
    <s v="MI"/>
    <s v="Ben"/>
    <s v="Email"/>
    <s v="Mendino, Joseph"/>
    <m/>
    <x v="2"/>
    <s v="Pleasant Prairie"/>
    <x v="12"/>
    <m/>
    <x v="9"/>
    <x v="223"/>
    <x v="396"/>
    <s v="Covg B limit / &gt;25 acres"/>
    <s v="1960 home tenant occupied and sometimes property is used for fishing by owner. 3 oth structures exceed 50% of Cov A.  (garage and 2 barns). There is corn grown on the property. No mention of animals or what the barns are used for. No liability requested. Lapse - agent applying ded and getting SNL."/>
    <x v="3"/>
    <s v="Approved subj to confirmation of personal use of structures, no hay or other flammable storage."/>
    <m/>
    <m/>
    <s v="Patterson"/>
    <m/>
    <m/>
    <n v="0"/>
  </r>
  <r>
    <x v="133"/>
    <s v="Burns"/>
    <s v="MI"/>
    <s v="Jill"/>
    <s v="Email"/>
    <s v="Maurer, David"/>
    <m/>
    <x v="79"/>
    <s v="Fairbanks"/>
    <x v="34"/>
    <m/>
    <x v="3"/>
    <x v="223"/>
    <x v="397"/>
    <s v="Business on premise"/>
    <s v="1921 home updated. Tree trimming business - administrative work on premises. No traffic. Add total business excl. Has GL."/>
    <x v="0"/>
    <s v="Online source shows insd addr as business addr. Where do employees meet and where is equip stored. Total Business Excl ok, may need building excl.  // 7/24/17 addl info from Danielle - employees come to prem and business equip and trucks are stored in a pole barn 60' from home. Approved with TBE and building excl. GL must remain in place."/>
    <m/>
    <m/>
    <s v="Patterson"/>
    <m/>
    <m/>
    <n v="0"/>
  </r>
  <r>
    <x v="50"/>
    <s v="XS Brokers"/>
    <s v="MA"/>
    <s v="Barbara"/>
    <s v="Email"/>
    <s v="Barretta"/>
    <s v="Susan"/>
    <x v="0"/>
    <s v="Westbrook"/>
    <x v="25"/>
    <m/>
    <x v="2"/>
    <x v="223"/>
    <x v="398"/>
    <s v="Losses"/>
    <s v="Loss of use listed as 450,000 (confirm). Built in 1999, frame and vinyl siding. In ground pool with approved fence. Large water loss of $144k. "/>
    <x v="3"/>
    <s v="Remove 5% credit as they have a large water loss.  Agree with water exclusion."/>
    <m/>
    <m/>
    <s v="Lazovik"/>
    <m/>
    <m/>
    <n v="0"/>
  </r>
  <r>
    <x v="568"/>
    <s v="Hull Irvine"/>
    <s v="CA"/>
    <s v="Kelly"/>
    <s v="Email"/>
    <s v="Thone"/>
    <s v="Robby &amp; Bridgette"/>
    <x v="0"/>
    <s v="Malibu"/>
    <x v="1"/>
    <m/>
    <x v="5"/>
    <x v="223"/>
    <x v="399"/>
    <s v="TIV"/>
    <s v="Dwelling in Malibu not in brush. No alarm, flat roof. Agent applied $10KAOP deductible."/>
    <x v="4"/>
    <s v="Nice home just east of PCH"/>
    <m/>
    <m/>
    <s v="Patterson"/>
    <m/>
    <m/>
    <n v="0"/>
  </r>
  <r>
    <x v="233"/>
    <s v="Burns"/>
    <s v="MI"/>
    <s v="Leslie"/>
    <s v="Email"/>
    <s v="Wolferman, Doug"/>
    <m/>
    <x v="39"/>
    <s v="Milford IN PC 5Y"/>
    <x v="3"/>
    <m/>
    <x v="0"/>
    <x v="224"/>
    <x v="400"/>
    <s v="22 acres rented out"/>
    <s v="1972 home. 22 acres behind home (per online pics) are rented out to a farmer-he is adding our insd as AI on his GL. Insd inherited home in 2014 and didn't insure. Now with tenant, they are needing to insure."/>
    <x v="3"/>
    <s v="Approved with 20% surcharge for lapse of 2 years; confirm no concern with wiring or plumbing, signed statement of no loss, photo, $2500 ded due to lapse."/>
    <m/>
    <m/>
    <s v="Patterson"/>
    <m/>
    <m/>
    <n v="0"/>
  </r>
  <r>
    <x v="581"/>
    <s v="JM Wilson"/>
    <s v="MI"/>
    <s v="Lori"/>
    <s v="Email"/>
    <s v="Bailey"/>
    <s v="Milton"/>
    <x v="0"/>
    <s v="Vinton"/>
    <x v="40"/>
    <m/>
    <x v="0"/>
    <x v="224"/>
    <x v="401"/>
    <s v="Losses"/>
    <s v="2 losses-02/2016-line burst on washer (no payout), 02/14/2018-water line burst, fixed"/>
    <x v="3"/>
    <s v="$2500 AOP ded, all repairs done"/>
    <m/>
    <m/>
    <s v="Burdine"/>
    <m/>
    <m/>
    <n v="0"/>
  </r>
  <r>
    <x v="194"/>
    <s v="Burns"/>
    <s v="MI"/>
    <s v="Jill"/>
    <s v="Email"/>
    <s v="Nagle, Patrick"/>
    <m/>
    <x v="0"/>
    <s v="Westfield IN PC4"/>
    <x v="3"/>
    <m/>
    <x v="0"/>
    <x v="225"/>
    <x v="0"/>
    <s v="Pro Athlete (PGA Golfer)"/>
    <s v="3 wind claims in '14&amp;'15 $2600, $2000, $400. Frame home on river."/>
    <x v="4"/>
    <s v="$5000 wind/hail ded. No personal injury. No adverse info on the insured."/>
    <m/>
    <m/>
    <s v="Patterson"/>
    <m/>
    <m/>
    <n v="0"/>
  </r>
  <r>
    <x v="195"/>
    <s v="SCU"/>
    <s v="CO"/>
    <s v="Allison"/>
    <s v="Email"/>
    <s v="Geisterfer, Johan"/>
    <m/>
    <x v="32"/>
    <s v="Denver CO  PC2"/>
    <x v="3"/>
    <m/>
    <x v="0"/>
    <x v="226"/>
    <x v="0"/>
    <s v="Lapse since 8/15"/>
    <s v="Insured had roof claim. Replaced roof, but not in time for SF NRN. SF didn't approved of asphalt roof."/>
    <x v="4"/>
    <s v="Brand new roof w/1% wind/hail ded, 2% lapse S/C"/>
    <m/>
    <m/>
    <s v="Patterson"/>
    <m/>
    <m/>
    <n v="0"/>
  </r>
  <r>
    <x v="70"/>
    <s v="Hull Irvine"/>
    <m/>
    <s v="Bobbi"/>
    <s v="Email"/>
    <s v="GDL Best Contractors"/>
    <m/>
    <x v="2"/>
    <s v="Long Beach"/>
    <x v="1"/>
    <m/>
    <x v="9"/>
    <x v="226"/>
    <x v="402"/>
    <s v="Corporate Name"/>
    <s v="3 brothers own the property under this corporate name. No update info. 1948 home"/>
    <x v="3"/>
    <s v="• An acceptable corporate questionnaire_x000a_• Acceptable update information on this 1948 home_x000a_• No roof updates listed – please exclude roof_x000a_"/>
    <m/>
    <m/>
    <s v="Patterson"/>
    <m/>
    <m/>
    <n v="0"/>
  </r>
  <r>
    <x v="324"/>
    <s v="XS Brokers"/>
    <s v="MA"/>
    <s v="Barbara"/>
    <s v="Email"/>
    <s v="Calvo"/>
    <s v="Jessica"/>
    <x v="0"/>
    <s v="Columbia"/>
    <x v="25"/>
    <m/>
    <x v="6"/>
    <x v="227"/>
    <x v="403"/>
    <s v="Losses"/>
    <s v="3 water claims in 3.5 years-01/18-pipe broke-$3500, 01/28/16-water damage-5600, 03/04/15-ice dam ($0); quoted with $5K Water ded"/>
    <x v="4"/>
    <s v="approved as quoted"/>
    <m/>
    <m/>
    <s v="Burdine"/>
    <m/>
    <m/>
    <n v="0"/>
  </r>
  <r>
    <x v="49"/>
    <s v="Burns"/>
    <s v="MI"/>
    <s v="Jill"/>
    <s v="Email"/>
    <s v="Yerbey"/>
    <s v="Lindsey"/>
    <x v="0"/>
    <s v="Chattanooga"/>
    <x v="5"/>
    <m/>
    <x v="8"/>
    <x v="228"/>
    <x v="404"/>
    <s v="Condition"/>
    <s v="1930 home with plumbing, electrical and HVAC updates. The home has knob and tube wiring in the attic only. Would like to explore ability to write with renovation endorsement for 30 days to replace/remove the wiring."/>
    <x v="3"/>
    <s v="Looked back at prior knob and tube and this seems to be acceptable. Will need all of it removed and the attic must not be live until it is fixed"/>
    <m/>
    <m/>
    <s v="Lazovik"/>
    <m/>
    <m/>
    <n v="0"/>
  </r>
  <r>
    <x v="582"/>
    <s v="Burns"/>
    <s v="MI"/>
    <s v="Jill"/>
    <s v="Email"/>
    <s v="Lyons"/>
    <s v="John"/>
    <x v="0"/>
    <s v="Harrodsburg"/>
    <x v="27"/>
    <m/>
    <x v="2"/>
    <x v="229"/>
    <x v="405"/>
    <s v="Business on Premises"/>
    <s v="greenhouse on property, no marijuana, TBE applied, GL in place"/>
    <x v="4"/>
    <s v="appropriate exclusions in place"/>
    <m/>
    <m/>
    <s v="Burdine"/>
    <m/>
    <m/>
    <n v="0"/>
  </r>
  <r>
    <x v="296"/>
    <s v="ASL"/>
    <s v="VA"/>
    <s v="Garry"/>
    <s v="Email"/>
    <s v="First Land Holding 1 LLC"/>
    <m/>
    <x v="48"/>
    <s v="Berlin"/>
    <x v="29"/>
    <m/>
    <x v="2"/>
    <x v="230"/>
    <x v="0"/>
    <s v="LLC"/>
    <s v="LLC-one member, established for real estate holdings. 1970's build year, all systems updated in 2005"/>
    <x v="4"/>
    <s v="Home updated, LLC questionnaire acceptable, value OK, Google search of company yielded no concerns"/>
    <m/>
    <m/>
    <s v="Burdine"/>
    <m/>
    <m/>
    <n v="0"/>
  </r>
  <r>
    <x v="583"/>
    <s v="JM Wilson"/>
    <s v="MI"/>
    <s v="John"/>
    <s v="Email"/>
    <s v="Herried"/>
    <s v="Richard"/>
    <x v="0"/>
    <s v="Whitehall"/>
    <x v="12"/>
    <m/>
    <x v="6"/>
    <x v="230"/>
    <x v="406"/>
    <s v="Occupancy/Use"/>
    <s v="1974 home w/updated heating and roof. 120 acres. No business or farming. Other structures coverage should be excluded per app."/>
    <x v="3"/>
    <s v="Insured is 71 years old, less concerned about hunting use, but asked John to confirm. No other structures requested."/>
    <m/>
    <m/>
    <s v="Patterson"/>
    <m/>
    <m/>
    <n v="0"/>
  </r>
  <r>
    <x v="479"/>
    <s v="Burns"/>
    <s v="MI"/>
    <s v="Jill"/>
    <s v="Email"/>
    <s v="Thomas   BWH100181"/>
    <s v="Richard &amp; Lisa"/>
    <x v="25"/>
    <s v="Wishon"/>
    <x v="1"/>
    <m/>
    <x v="4"/>
    <x v="230"/>
    <x v="330"/>
    <s v="Response time"/>
    <s v="1953 risk updated in brush no alarms. Was not referred by branch at NB. Over 15 min response time. Was issued as PC4, it is PC10. "/>
    <x v="1"/>
    <s v="Not comfortable with response time. &gt;15 min drive time, volunteer FD, no alarms, secondary. Cc'd Danielle - another referral issue."/>
    <m/>
    <n v="23"/>
    <s v="Patterson"/>
    <m/>
    <m/>
    <n v="1"/>
  </r>
  <r>
    <x v="539"/>
    <s v="Burns"/>
    <s v="MI"/>
    <s v="David"/>
    <s v="Email"/>
    <s v="Blazer"/>
    <s v="Marion"/>
    <x v="0"/>
    <s v="Shreve"/>
    <x v="40"/>
    <m/>
    <x v="4"/>
    <x v="230"/>
    <x v="395"/>
    <s v="Losses"/>
    <s v="2016 dwelling w/ prior garage and house fire due to careless smoking. Fire marshal report included. "/>
    <x v="1"/>
    <s v="Careless smoking"/>
    <m/>
    <m/>
    <s v="Patterson"/>
    <m/>
    <m/>
    <n v="1"/>
  </r>
  <r>
    <x v="226"/>
    <s v="Hull CA"/>
    <s v="Stockton"/>
    <s v="Lisa"/>
    <s v="Email"/>
    <s v="Lyman, Brent"/>
    <m/>
    <x v="0"/>
    <s v="Placerville CA PC6"/>
    <x v="3"/>
    <m/>
    <x v="0"/>
    <x v="230"/>
    <x v="407"/>
    <s v="Lapse"/>
    <s v="1997 home, ins lapsed with AAA due to billing error. Co refuses to reinstate. Agency failed to submit for approval. Got bind request today and came for approval. "/>
    <x v="3"/>
    <s v="Approved with no surcharge as agent had already quoted. $1555 premium"/>
    <m/>
    <m/>
    <s v="Patterson"/>
    <m/>
    <m/>
    <n v="0"/>
  </r>
  <r>
    <x v="584"/>
    <s v="Burns"/>
    <s v=" MI"/>
    <s v="Jeff"/>
    <s v="Email"/>
    <s v="Jorger"/>
    <s v="Michael"/>
    <x v="0"/>
    <m/>
    <x v="31"/>
    <m/>
    <x v="0"/>
    <x v="231"/>
    <x v="408"/>
    <s v="Business"/>
    <s v="tuck under garage, plastic forming machinist with workshop in garage; GL in place for business operation; quoted with TBE"/>
    <x v="4"/>
    <s v="received acceptable info regarding business (no employees, no customers, just a large machine to make plastic covers)."/>
    <m/>
    <m/>
    <s v="Burdine"/>
    <m/>
    <m/>
    <n v="0"/>
  </r>
  <r>
    <x v="56"/>
    <s v="Burns"/>
    <s v="MI"/>
    <s v="Delta"/>
    <s v="Email"/>
    <s v="Reedy, Elaine"/>
    <m/>
    <x v="0"/>
    <s v="Orange Beach"/>
    <x v="14"/>
    <m/>
    <x v="0"/>
    <x v="232"/>
    <x v="0"/>
    <s v="Rate relief for renewal"/>
    <s v="Agent asking if we can match expiring premium of $4007. Renewal prem is $5837. Average risk"/>
    <x v="3"/>
    <s v="Increase due to AAL rating. Explained we did not implement caps or stair-stepped incr/decr."/>
    <m/>
    <m/>
    <s v="Patterson"/>
    <m/>
    <m/>
    <n v="0"/>
  </r>
  <r>
    <x v="351"/>
    <s v="Hull Stockton"/>
    <s v="CA"/>
    <s v="Lisa"/>
    <m/>
    <s v="Cavolt"/>
    <s v="Stephanie"/>
    <x v="0"/>
    <s v="Shingle Springs"/>
    <x v="1"/>
    <n v="95682"/>
    <x v="5"/>
    <x v="233"/>
    <x v="409"/>
    <s v="Prior Lapse/NRN"/>
    <s v="Lapse of over one year after non-renewed by Nationwide. In brush. Built in 1956 with partial updates to wiring (2000), plumbing (2003) and heating (2000). The roof was replaced in 2015. No alarm or sprinklers."/>
    <x v="3"/>
    <s v="Confirm that the brush and vegetation is within guidelines. Rush inspection. Signed notice of loss. Minimum AOP deductible of $5k and no discount applied for this. Apply surcharge of 15% for length of lapse and no reason. "/>
    <m/>
    <m/>
    <s v="Lazovik"/>
    <m/>
    <m/>
    <n v="0"/>
  </r>
  <r>
    <x v="370"/>
    <s v="Hull Horsham"/>
    <s v="PA"/>
    <s v="MacKenzie"/>
    <s v="Email"/>
    <s v="DiDonato"/>
    <s v="Vincenzo &amp; Grace"/>
    <x v="5"/>
    <s v="Hamilton"/>
    <x v="9"/>
    <m/>
    <x v="5"/>
    <x v="234"/>
    <x v="410"/>
    <s v="Prior Lapse/NRN"/>
    <s v="No coverage since 07/2016, 1965 build with updates, insured just didn't want coverage, home no for sale, no prior loss"/>
    <x v="1"/>
    <s v="there appears to be some issues with the property itself (missing siding, missing front steps, damaged foundation). It also appears to have been of commercial usage.  It’s concerning as well that they were willing to go without insurance for so long, but now when it is time to sale the home they attempt to purchase a policy (perhaps the realtor is suggesting/requiring that they do so?). "/>
    <s v="Advised if want us to consider further info can do so"/>
    <m/>
    <s v="Burdine"/>
    <m/>
    <m/>
    <n v="1"/>
  </r>
  <r>
    <x v="585"/>
    <s v="AmWINS"/>
    <s v="PA"/>
    <s v="John"/>
    <m/>
    <s v="Julka"/>
    <s v="Surjit &amp; Savinder"/>
    <x v="42"/>
    <s v="Timonium"/>
    <x v="29"/>
    <s v="21093"/>
    <x v="2"/>
    <x v="234"/>
    <x v="4"/>
    <s v="Prior Lapse/NRN"/>
    <s v="2008 condo purchased in 2009. Insd is a doctor. Never understood that insurance was needed. All other exposures insured with AIG. New agent uncovered the uninsured property."/>
    <x v="3"/>
    <s v="Agreed to write with a total of 30% surcharge due to prior lapse."/>
    <s v="I ran ins score - 887. Very good. I can understand how this could happen with a condo. The facts make sense and the insurance score supports a good risk.  No losses since 2009. "/>
    <m/>
    <s v="Patterson"/>
    <m/>
    <m/>
    <n v="0"/>
  </r>
  <r>
    <x v="586"/>
    <s v="Burns"/>
    <s v="MI"/>
    <s v="Jeffrey"/>
    <m/>
    <s v="Burns"/>
    <s v="Daniel"/>
    <x v="4"/>
    <s v="Grand Lake"/>
    <x v="19"/>
    <m/>
    <x v="6"/>
    <x v="234"/>
    <x v="411"/>
    <s v="Other UW Reason"/>
    <s v="Primary heat is fireplace. Home was built in 1950. PC is listed as 4, but sent as a PC 9. Corrected. Jill said baseboard heaters are throughout. Home built in 1950 with full updates in '95 and roof in '07. Firewood is up against the home and agent has requested them remove it."/>
    <x v="0"/>
    <s v="Looks like there are baseboard heaters for all rooms except the main one, which is a fireplace.  "/>
    <m/>
    <m/>
    <s v="Lazovik"/>
    <m/>
    <m/>
    <n v="0"/>
  </r>
  <r>
    <x v="351"/>
    <s v="JM Wilson"/>
    <s v="MI"/>
    <s v="Jon"/>
    <m/>
    <s v="Andreini"/>
    <s v="Jessica"/>
    <x v="0"/>
    <s v="Sunberry"/>
    <x v="40"/>
    <n v="43074"/>
    <x v="3"/>
    <x v="234"/>
    <x v="412"/>
    <s v="Losses"/>
    <s v="Frame home build in 2000. Roof has not been replaced yet. There was a garage fire in January 18 for $40k. Water loss in April 17 for $1200."/>
    <x v="0"/>
    <s v="Water loss was small. Waiting on garage fire investigation. Fire due to insured burning paper in a metal container, then she placed it in the garage on the cement floor next to the garbage can. They suspect the embers started the fire. Pending inspection, roof should be either ACV or excluded due to the age."/>
    <m/>
    <m/>
    <s v="Lazovik"/>
    <m/>
    <m/>
    <n v="0"/>
  </r>
  <r>
    <x v="579"/>
    <s v="Hull Irvine"/>
    <s v="CA"/>
    <s v="Alison"/>
    <m/>
    <s v="1051 W Mariposa Way"/>
    <m/>
    <x v="5"/>
    <s v="Santa Maria"/>
    <x v="1"/>
    <s v="93458"/>
    <x v="0"/>
    <x v="235"/>
    <x v="0"/>
    <s v="Occupancy/Use"/>
    <s v="Little info on the home itself.  Issue is the LLC, ownership, and occupancy.  This is an investment property being handled under a 1031 Exchange with triple net lease insd can buy another investment property. LLC is the lender and sale is expected to take 3 weeks. LLC would be AI."/>
    <x v="0"/>
    <s v="Similar to a land contract where owner is the LLC. Comfortable with the situation."/>
    <m/>
    <m/>
    <s v="Patterson"/>
    <m/>
    <m/>
    <n v="0"/>
  </r>
  <r>
    <x v="544"/>
    <s v="XS Brokers"/>
    <s v="MA"/>
    <s v="Barbara"/>
    <m/>
    <s v="Gheen"/>
    <s v="Brendan &amp; Toni"/>
    <x v="5"/>
    <s v="Cape May"/>
    <x v="9"/>
    <s v="08260"/>
    <x v="2"/>
    <x v="235"/>
    <x v="350"/>
    <s v="Builders Risk"/>
    <s v="1930 dwelling undergoing &quot;cosmetic&quot; updates. Agt asking if it should be builders risk. Insured is the GC per app. 3 fam per online info; single family per submission. Agt also asked if this barrier island is eligible."/>
    <x v="1"/>
    <s v="Asked numerous questions re condition, work being done. If more than minor and insd is GC, risk is ineligible. May have asbestos siding. Location ok per 2/18 email updated guidelines. Provided copy. // 1/16 Barbara confirmed asbestos siding - ineligible. Borderline on whether this should have a GC.  Rear cottage would have needed to be excluded."/>
    <m/>
    <m/>
    <s v="Patterson"/>
    <m/>
    <m/>
    <n v="1"/>
  </r>
  <r>
    <x v="587"/>
    <s v="Hull CA"/>
    <s v="CA"/>
    <s v="Bobbi"/>
    <s v="Email"/>
    <s v="Boersma, Ruth"/>
    <m/>
    <x v="0"/>
    <s v="Mission Viejo "/>
    <x v="1"/>
    <m/>
    <x v="8"/>
    <x v="236"/>
    <x v="413"/>
    <s v="Prior loss"/>
    <s v="$75K water loss (master toilet leak), insured dilegently checks on toilet to insure integrity"/>
    <x v="4"/>
    <s v="water dmg ded $10K, only loss, approved but requested 1-2% surcharge"/>
    <m/>
    <m/>
    <s v="Burdine"/>
    <m/>
    <m/>
    <n v="0"/>
  </r>
  <r>
    <x v="588"/>
    <s v="Hull Irvine"/>
    <s v="CA"/>
    <s v="Alison"/>
    <s v="Email"/>
    <s v="Papritz"/>
    <s v="Saundra"/>
    <x v="0"/>
    <s v="Santee"/>
    <x v="1"/>
    <m/>
    <x v="5"/>
    <x v="237"/>
    <x v="414"/>
    <s v="Losses"/>
    <s v="2 loss in last 4 years-10/2014-water damage, 01/07/2018-jewelry and cameras stolen"/>
    <x v="3"/>
    <s v="Water ded and all perils ded at least $5K"/>
    <m/>
    <m/>
    <s v="Burdine"/>
    <m/>
    <m/>
    <n v="0"/>
  </r>
  <r>
    <x v="589"/>
    <s v="Burns"/>
    <s v="MI"/>
    <s v="Rachel"/>
    <s v="Email"/>
    <s v="Pluto LLC"/>
    <m/>
    <x v="3"/>
    <s v="Tchula"/>
    <x v="16"/>
    <m/>
    <x v="4"/>
    <x v="238"/>
    <x v="280"/>
    <s v="PC"/>
    <s v="1924 dwelling with updates. Home was the feature of a book Dispatches from Pluto. Individuals rent through AirBnB. App notes an event to &quot;launch the house&quot; Online lists horses and centralized hunting headquarters. 20 min response time. No galvanized. WBS are decorative, not used. "/>
    <x v="0"/>
    <s v="Suggested event policy for the house launch as business excl may apply. Need WBS quests or permanently seal loading doors."/>
    <s v="1.35/100 rate!"/>
    <m/>
    <s v="Patterson"/>
    <m/>
    <m/>
    <n v="0"/>
  </r>
  <r>
    <x v="418"/>
    <s v="Burns"/>
    <s v="CA"/>
    <s v="Rachel"/>
    <m/>
    <s v="Jarosz"/>
    <s v="Ken"/>
    <x v="0"/>
    <s v="Omaha"/>
    <x v="38"/>
    <s v="68135"/>
    <x v="0"/>
    <x v="238"/>
    <x v="415"/>
    <s v="Losses"/>
    <s v="Built in 1993. Full roof update in 2013. Frame home with 5 losses. 2 wind/hail, 1 jewelry theft, 1 water, 1 sump pump failure"/>
    <x v="0"/>
    <s v="Will need separate policy for jewelry. No water backup. Water deductible of $5k."/>
    <m/>
    <m/>
    <s v="Lazovik"/>
    <m/>
    <m/>
    <n v="0"/>
  </r>
  <r>
    <x v="590"/>
    <s v="ASL"/>
    <s v="VA"/>
    <s v="Charity"/>
    <s v="Email"/>
    <s v="Jessie R. &amp; Stephanie M. Moser"/>
    <m/>
    <x v="16"/>
    <s v="Nellysford"/>
    <x v="10"/>
    <m/>
    <x v="6"/>
    <x v="238"/>
    <x v="415"/>
    <s v="PC9"/>
    <s v="PC 9, 2016 build year, no prior claims"/>
    <x v="3"/>
    <s v="Approval, subject to confirmation that FD within acceptable distance and sufficient water trucks"/>
    <m/>
    <m/>
    <s v="Burdine"/>
    <m/>
    <m/>
    <n v="0"/>
  </r>
  <r>
    <x v="42"/>
    <s v="Burns"/>
    <s v="MI"/>
    <s v="Jill"/>
    <s v="Email"/>
    <s v="Ernest"/>
    <s v="Marcia (Marsha)"/>
    <x v="0"/>
    <s v="New Caney"/>
    <x v="23"/>
    <m/>
    <x v="5"/>
    <x v="238"/>
    <x v="287"/>
    <s v="Business on Premises"/>
    <s v="2007 dwelling. Insd owns a petting zoo which is taken off site. Has 65 acres with a barn where animals are kept.  CGL in place. Animal exclusion, Total Business Exclusion quoted."/>
    <x v="1"/>
    <s v="Research online showed visitors at the insured premises and their website offered visitors to come.  Concern of excessive defense costs should something happen. (Large animals, pony/camel rides.)"/>
    <m/>
    <m/>
    <s v="Patterson"/>
    <m/>
    <m/>
    <n v="1"/>
  </r>
  <r>
    <x v="591"/>
    <s v="Burns"/>
    <s v="MI"/>
    <s v="Matt"/>
    <s v="Email"/>
    <s v="Hardy, Paul"/>
    <m/>
    <x v="0"/>
    <s v="Ohio PC4"/>
    <x v="3"/>
    <m/>
    <x v="0"/>
    <x v="238"/>
    <x v="416"/>
    <s v="1 night rental"/>
    <s v="Insured is renting out single bedroom through AIRBNB/VRBO for one night at a time."/>
    <x v="1"/>
    <s v="Minimum 3 nights required in an owner occupied case like this per Jeff. We are looking at AIRBNB issue overall."/>
    <m/>
    <m/>
    <s v="Patterson"/>
    <m/>
    <m/>
    <n v="1"/>
  </r>
  <r>
    <x v="592"/>
    <s v="Burns"/>
    <s v="MI"/>
    <s v="Delta"/>
    <s v="Email"/>
    <s v="Greene"/>
    <s v="Steve"/>
    <x v="0"/>
    <m/>
    <x v="27"/>
    <m/>
    <x v="4"/>
    <x v="238"/>
    <x v="417"/>
    <s v="Business on Premises"/>
    <s v="in home caregiver for a bed ridden family. TBE and GL in place. 69 of 75 acres leased for farming"/>
    <x v="3"/>
    <s v="Unable to locate any photos of the property online, to get a good understanding of the separation of the home and the farm land. But as long as there is clear, sufficient, separation of the two you have approval to offer terms on this risk. As stated, the terms would need to include the total business exclusion and the GL policy in place. I would also suggest requiring the farming business to have a liability policy in place to cover that exposure. If they do not have one in place, then I would suggest taking an additional 10-15% to address the possibility of a claim being filed on our policy that we may have to defend against."/>
    <m/>
    <m/>
    <s v="Burdine"/>
    <m/>
    <m/>
    <n v="0"/>
  </r>
  <r>
    <x v="455"/>
    <s v="Burns"/>
    <s v="MI"/>
    <s v="Lindsay"/>
    <s v="Email"/>
    <s v="Pallas"/>
    <s v="James &amp; Digna"/>
    <x v="0"/>
    <s v="Butte Gold"/>
    <x v="7"/>
    <m/>
    <x v="8"/>
    <x v="238"/>
    <x v="6"/>
    <s v="Business on Premises"/>
    <s v="1979 dwelling with 2010 roof update. Insured has daycare on premises. Applying for a GL. Empty and fenced pool on premises. Agent asking for liab with pool exclusion and TBE."/>
    <x v="3"/>
    <s v="No liab/no med pay per guidelines. (concern of defense costs). TBE, still need GL in place as TBE excludes everything. Reminded this would not be in the Markel Day Care program. Online source shows 10 children license. App says 5-6."/>
    <m/>
    <m/>
    <s v="Patterson"/>
    <m/>
    <m/>
    <n v="0"/>
  </r>
  <r>
    <x v="593"/>
    <s v="Burns"/>
    <s v="MI"/>
    <s v="David"/>
    <s v="Email"/>
    <s v="Jensen"/>
    <s v="Jared"/>
    <x v="4"/>
    <s v="Craig"/>
    <x v="19"/>
    <m/>
    <x v="4"/>
    <x v="239"/>
    <x v="418"/>
    <s v="PC"/>
    <s v="31 minute respond time, $2500 ded, 1000 County Road 11 Craig, CO 81625"/>
    <x v="3"/>
    <s v="Approval with 15% surcharge due to PC; confirmed truly no rental. Insured family is large and when go in town use both homes to house."/>
    <m/>
    <m/>
    <s v="Burdine"/>
    <m/>
    <m/>
    <n v="0"/>
  </r>
  <r>
    <x v="593"/>
    <s v="Burns"/>
    <s v="MI"/>
    <s v="David"/>
    <s v="Email"/>
    <s v="Jensen"/>
    <s v="Jared"/>
    <x v="4"/>
    <s v="Craig"/>
    <x v="19"/>
    <m/>
    <x v="4"/>
    <x v="239"/>
    <x v="418"/>
    <s v="PC"/>
    <s v="31 minute respond time, $2500 ded, 6041 County Road 11 Craig, CO 81625"/>
    <x v="3"/>
    <s v="Approval with 15% surcharge due to PC; confirmed truly no rental. Insured family is large and when go in town use both homes to house."/>
    <m/>
    <m/>
    <s v="Burdine"/>
    <m/>
    <m/>
    <n v="0"/>
  </r>
  <r>
    <x v="504"/>
    <s v="Burns"/>
    <s v="CO"/>
    <s v="Leslie"/>
    <m/>
    <s v="Cauley"/>
    <s v="Robert"/>
    <x v="0"/>
    <s v="Ohio City"/>
    <x v="19"/>
    <s v="81237"/>
    <x v="6"/>
    <x v="240"/>
    <x v="419"/>
    <s v="PC"/>
    <s v="Home built in 1905 w/ comp updates noted on app.  Location is 21 miles or 30 mins from responding FD in Gunnison, CO.  Agent has is listed as a PC=9 but based on distance to FD, it is a PC=10.  Not visible to neighbors and located north of small town of Ohio City on dirt road.  No CSA.  $1K AOP and $1K W/H deds."/>
    <x v="1"/>
    <s v="Declined due to remote location, lack of proven updates, and distance to responding FD."/>
    <s v="Ins score is G"/>
    <m/>
    <s v="Bach"/>
    <m/>
    <m/>
    <n v="1"/>
  </r>
  <r>
    <x v="420"/>
    <s v="JM Wilson"/>
    <s v="MI"/>
    <s v="Lori"/>
    <m/>
    <s v="Westlake"/>
    <s v="David &amp; Irma"/>
    <x v="0"/>
    <s v="Orient"/>
    <x v="40"/>
    <s v="43146"/>
    <x v="9"/>
    <x v="240"/>
    <x v="420"/>
    <s v="Losses"/>
    <s v="1966 home with updates to heating in 2017 and roof 2016. 4 losses within lasts 3 years, 3 paid. 4/2016 wind loss causing roof damage and further water leaking $20k, 12/2017 heat pump froze $9k, 12/2017 Wind damage, damage to chimney $1100. High insurance score. "/>
    <x v="3"/>
    <s v="The number of wind claims seemed odd for the area. As such, approved subject to a $5k AOP, then a $10k water ded and surcharge for the 3 losses. "/>
    <s v="Very good insurance score"/>
    <m/>
    <s v="Busse"/>
    <m/>
    <m/>
    <n v="0"/>
  </r>
  <r>
    <x v="306"/>
    <s v="Hull CO"/>
    <s v="Horsham"/>
    <s v="Andrea"/>
    <s v="Email"/>
    <s v="Vollmann, Richard"/>
    <m/>
    <x v="5"/>
    <m/>
    <x v="3"/>
    <m/>
    <x v="0"/>
    <x v="241"/>
    <x v="421"/>
    <s v="Vacant home 3rd term renewal"/>
    <s v="Renewal date is 1/13/17. Asked for confirmation if we can NRN. If not, $5K ded and 15% surcharge over expiring. Appx. $2210."/>
    <x v="3"/>
    <s v="Subj to $5K ded and 15% surcharge."/>
    <m/>
    <m/>
    <s v="Patterson"/>
    <m/>
    <m/>
    <n v="0"/>
  </r>
  <r>
    <x v="594"/>
    <s v="ASL"/>
    <m/>
    <s v="Tina"/>
    <s v="Email"/>
    <s v="Silva, Paul"/>
    <m/>
    <x v="0"/>
    <s v="Fairview PA PC9"/>
    <x v="3"/>
    <m/>
    <x v="0"/>
    <x v="242"/>
    <x v="422"/>
    <s v="Bankruptcy"/>
    <s v="1946 home updated in 2009 with 1 prior wind loss. Insured has bankruptcy in 2014 due to medical and business debt.  Bankruptcy is now discharged.  Has active medical collections.  PC 9 visible, accessible, good response time."/>
    <x v="0"/>
    <s v="Kristine- 734; Paul - 715  Both scores equate to a discounted rate, so I felt we could approve.  Asked for rush inspection and older home supplement."/>
    <m/>
    <m/>
    <s v="Patterson"/>
    <m/>
    <m/>
    <n v="0"/>
  </r>
  <r>
    <x v="216"/>
    <s v="Burns"/>
    <m/>
    <s v="Matt"/>
    <s v="Email"/>
    <s v="Filkouski, Michael and Jill"/>
    <m/>
    <x v="0"/>
    <s v="Sun Prairie, WI"/>
    <x v="3"/>
    <m/>
    <x v="0"/>
    <x v="243"/>
    <x v="0"/>
    <s v="Business on Prop"/>
    <s v="Insured owns construction company. Large outbuilding on premise, has 2 employees."/>
    <x v="2"/>
    <s v="Asking several follow up questions- also note, home is for sale."/>
    <m/>
    <m/>
    <s v="Trott"/>
    <m/>
    <m/>
    <n v="0"/>
  </r>
  <r>
    <x v="111"/>
    <s v="ASL"/>
    <s v="VA"/>
    <s v="Charity"/>
    <s v="Email"/>
    <s v="Trevedi, Sharad"/>
    <m/>
    <x v="0"/>
    <s v="Palm Beach Gardens"/>
    <x v="32"/>
    <m/>
    <x v="0"/>
    <x v="243"/>
    <x v="423"/>
    <s v="PC10"/>
    <s v="Risk is in Palm Beach County. "/>
    <x v="1"/>
    <s v="Currently under moratorium."/>
    <m/>
    <m/>
    <s v="Patterson"/>
    <m/>
    <m/>
    <n v="1"/>
  </r>
  <r>
    <x v="377"/>
    <s v="Burns"/>
    <s v="MI"/>
    <s v="Lindsay"/>
    <m/>
    <s v="Adams"/>
    <s v="Herb"/>
    <x v="0"/>
    <s v="Saint Charles"/>
    <x v="36"/>
    <s v="63301"/>
    <x v="8"/>
    <x v="244"/>
    <x v="424"/>
    <s v="Business on Premises"/>
    <s v="1968 home w/ part updates. One prior lightning loss 7/17 $9K. Has power washing co which operates out of trailers on the property. Business structures will be specifically excluded. No customers. Has employees. GL in place.  Also wants liab extended"/>
    <x v="3"/>
    <s v="Business structure w/hazardous stairs will be excluded. With TBE and Coml policies in place, exposure is eliminated. TBE, Coml pol, need OHQ. Confirm Cov B okay. Offered possibility of Stand Alone Other Structure for the prop w/pavilion. // 5/13/19 agent asked to release ACV terms. Approved w/same subj."/>
    <m/>
    <m/>
    <s v="Patterson"/>
    <m/>
    <m/>
    <n v="0"/>
  </r>
  <r>
    <x v="218"/>
    <s v="SCU"/>
    <s v="CO"/>
    <s v="Allison"/>
    <s v="Email"/>
    <s v="Alkeri Partnership LLC"/>
    <m/>
    <x v="21"/>
    <s v="Leadville CO PC10"/>
    <x v="3"/>
    <m/>
    <x v="0"/>
    <x v="245"/>
    <x v="293"/>
    <s v="PC10"/>
    <s v="1982 seasonal home 20-25 min response time. Med brush for RM, high per FL. Caretaker watches over home and has access to a tanker. Woodstove is primary heat, only used when there seasonally, pipes drained when not there. &lt;150' clearance. 4 different LLC members which represent 3 families who use it one family at a time year round.  Woodstove quest sounds great."/>
    <x v="4"/>
    <s v="Need to know LLC member relationship as we would be covering interests of 4 people.  Need to surcharge for PC10."/>
    <m/>
    <m/>
    <s v="Patterson"/>
    <m/>
    <m/>
    <n v="0"/>
  </r>
  <r>
    <x v="112"/>
    <s v="Hull Irvine"/>
    <m/>
    <s v="Alex"/>
    <s v="Call"/>
    <s v="Grove, Mark &amp; Heather"/>
    <m/>
    <x v="0"/>
    <s v="Penn Valley"/>
    <x v="1"/>
    <m/>
    <x v="0"/>
    <x v="245"/>
    <x v="425"/>
    <s v="Chapter 13 "/>
    <s v="Insured had bankruptcy 4 years ago. Winemaker, Mrs is music director. Not in brush. Was with RPS for 5 years. Wants to bind today. "/>
    <x v="4"/>
    <s v="Insurance score look pretty good. Group 10. Online photo shows basic ranch."/>
    <m/>
    <m/>
    <s v="Patterson"/>
    <m/>
    <m/>
    <n v="0"/>
  </r>
  <r>
    <x v="595"/>
    <s v="Burns"/>
    <s v="MI"/>
    <s v="Leslie"/>
    <s v="Email"/>
    <s v="Tochitrop, Brittany"/>
    <m/>
    <x v="0"/>
    <s v="Indio"/>
    <x v="1"/>
    <m/>
    <x v="5"/>
    <x v="245"/>
    <x v="426"/>
    <s v="Rental use"/>
    <s v="Home is rented out for 4 weeks during the Coachella Music Festival (mixed genre)."/>
    <x v="3"/>
    <s v="Rate for rental use; apply form; screen renters - not a party house."/>
    <m/>
    <m/>
    <s v="Patterson"/>
    <m/>
    <m/>
    <n v="0"/>
  </r>
  <r>
    <x v="338"/>
    <s v="Burns"/>
    <s v="MI"/>
    <s v="Jeffrey"/>
    <s v="Email"/>
    <s v="Palmer"/>
    <s v="John"/>
    <x v="2"/>
    <s v="Lemon Grove"/>
    <x v="1"/>
    <m/>
    <x v="11"/>
    <x v="246"/>
    <x v="427"/>
    <s v="Losses"/>
    <s v="1953 w/full updates in 2018. Fire loss, undetermined on 7/15/17. $130,000. Report provided is first responder fire dept report."/>
    <x v="3"/>
    <s v="This was submitted by another retail agent.  This quote has different coverages. New agt wanted matching rate, but coverages are higher."/>
    <s v="Same terms: Rate as 2 family. Definitely want fire marshal report to give us more info. Decline if we can't get comfortable with a cause. No adverse online info. Not agreeing to matching rate for diff coverages."/>
    <m/>
    <s v="Patterson"/>
    <m/>
    <m/>
    <n v="0"/>
  </r>
  <r>
    <x v="234"/>
    <s v="Burns"/>
    <s v="MI"/>
    <s v="Ben"/>
    <s v="Email"/>
    <s v="Levoy, David"/>
    <m/>
    <x v="21"/>
    <s v="Emigrant Gap CA PC10"/>
    <x v="3"/>
    <m/>
    <x v="0"/>
    <x v="247"/>
    <x v="428"/>
    <s v="Response time 20 mins"/>
    <s v="1971 home fully updated in 2000. PC10 in brush. Electric heat. Visible to multiple neighbors. 13.7 miles FD, 20 min response. Road becomes gravel - asked how far FD would have to go on gravel. Is it subject to washout or closure? FireLine is High-7"/>
    <x v="1"/>
    <s v="Per email from Ben and agent, road is subject to closing in the winter. No alarms. This will be a total if a fire starts."/>
    <m/>
    <m/>
    <s v="Patterson"/>
    <m/>
    <m/>
    <n v="1"/>
  </r>
  <r>
    <x v="596"/>
    <s v="Burns"/>
    <s v="MI"/>
    <s v="Rachel"/>
    <s v="Email"/>
    <s v="Malone"/>
    <s v="Roy L"/>
    <x v="0"/>
    <s v="Garden Valley"/>
    <x v="1"/>
    <m/>
    <x v="6"/>
    <x v="247"/>
    <x v="429"/>
    <s v="Occupancy/Use"/>
    <s v="2012 dwelling rated as brush as RiskMeter not producing a result. Prior NRN due to FireLine w/admitted carrier. Insd has 85 acres with chickens and 7 sheep used for weed abatement. No farming.  Agt applied animal exclusion."/>
    <x v="3"/>
    <s v="Will verify no large barns and how dwelling is situated on the acreage. With no animal liab, risk is average. Brush s/c applied. FireLine is a zip match, but not above 9."/>
    <m/>
    <m/>
    <s v="Patterson"/>
    <m/>
    <m/>
    <n v="0"/>
  </r>
  <r>
    <x v="597"/>
    <s v="SCU"/>
    <s v="CO"/>
    <s v="Allison"/>
    <s v="Email"/>
    <s v="Cogdill, Earl"/>
    <m/>
    <x v="97"/>
    <s v="Grand Junction CO PC2"/>
    <x v="3"/>
    <m/>
    <x v="0"/>
    <x v="248"/>
    <x v="430"/>
    <s v="VRBO occasionally "/>
    <s v="1978 home. When insureds travel, they will rent out their home for 3 night min thru VRBO."/>
    <x v="4"/>
    <m/>
    <m/>
    <m/>
    <s v="Patterson"/>
    <m/>
    <m/>
    <n v="0"/>
  </r>
  <r>
    <x v="393"/>
    <s v="JM Wilson"/>
    <s v="MI"/>
    <s v="Lori"/>
    <m/>
    <s v="Lingard"/>
    <s v="Swakenna &amp; Michael"/>
    <x v="0"/>
    <s v="Charleston"/>
    <x v="20"/>
    <s v="29412"/>
    <x v="11"/>
    <x v="249"/>
    <x v="231"/>
    <s v="Business on Premises"/>
    <s v="1996 home. Insured has auto repair business on premises.  "/>
    <x v="2"/>
    <s v="Asked many questions regarding the exposure. We have approved these occasionally in the past."/>
    <s v="Talked to John at JMW briefly on the topic of auto repair and told him these can sometimes be acceptable depending on extent of activities and separation.  I did not find any formal referral in file for this one.  "/>
    <m/>
    <s v="Patterson"/>
    <m/>
    <m/>
    <n v="0"/>
  </r>
  <r>
    <x v="598"/>
    <s v="Burns"/>
    <s v="MI"/>
    <s v="Jill"/>
    <s v="Email"/>
    <s v="Engstrand"/>
    <s v="Christina"/>
    <x v="2"/>
    <s v="Jenner"/>
    <x v="1"/>
    <m/>
    <x v="2"/>
    <x v="249"/>
    <x v="431"/>
    <s v="Heat Source"/>
    <s v="1937 dwelling w/partial updates. Heating is a fireplace insert - no furnace.  664 SF, not in brush. App says &quot;Duraheat Kerosene insert w/blower&quot;. (per online, this is a portable kerosene heater). Receipt and pix seem to support Lopi Republic wood insert. "/>
    <x v="2"/>
    <s v="Without thermostat control, we can't do a wood insert. Jenner gets cold and freeze days. (North of San Francisco). If they use a portable kerosene heater, this is ineligible."/>
    <m/>
    <m/>
    <s v="Patterson"/>
    <m/>
    <m/>
    <n v="0"/>
  </r>
  <r>
    <x v="548"/>
    <s v="Burns"/>
    <s v="MI"/>
    <s v="Leslie"/>
    <m/>
    <s v="Olsen"/>
    <s v="Robert"/>
    <x v="0"/>
    <s v="Hemingford"/>
    <x v="38"/>
    <s v="69348"/>
    <x v="4"/>
    <x v="249"/>
    <x v="432"/>
    <s v="PC"/>
    <s v="1962 converted school bought in 2010. Insured renovated. No insurance since. Now wants because of increase of tornado and hail incidents in the area. School has part metal/part flat roof. Great Pyrenes animal. 12 mi to volunteer FD. Connected shop per diagram. B ins score. Agt will add 20% s/c."/>
    <x v="1"/>
    <s v="Lengthy lapse was purposeful and now wants coverage because losses are increasing in area. Longer response time due to volunteer and 12 mile drive time.  Flat/metal roof. Inadequate water supply per PC. Large structure."/>
    <m/>
    <m/>
    <s v="Patterson"/>
    <m/>
    <m/>
    <n v="1"/>
  </r>
  <r>
    <x v="599"/>
    <s v="Burns"/>
    <s v="MI"/>
    <s v="Rachel"/>
    <m/>
    <s v="Hernandez"/>
    <s v="Windy &amp; Armando"/>
    <x v="0"/>
    <s v="Sutter"/>
    <x v="1"/>
    <s v="95953"/>
    <x v="2"/>
    <x v="249"/>
    <x v="433"/>
    <s v="Losses"/>
    <s v="1962 home w/no wiring or plumbing updates. FRC quoted. Cabinet making business on premises. Fire loss 1/27/17 $35K. Diesel shop heater caught fire - damaged work area and tools. Quoting w/building exclusion and TBE.  Ins score R."/>
    <x v="1"/>
    <s v="Combination of age of home, no wire/plumb updates, ins score, prior loss indicates possible negligence."/>
    <m/>
    <m/>
    <s v="Patterson"/>
    <m/>
    <m/>
    <n v="1"/>
  </r>
  <r>
    <x v="468"/>
    <s v="Burns"/>
    <s v="MI"/>
    <s v="Jeff"/>
    <s v="Email"/>
    <s v="Cabe, Gwen"/>
    <m/>
    <x v="81"/>
    <s v="Florissant "/>
    <x v="36"/>
    <m/>
    <x v="5"/>
    <x v="250"/>
    <x v="286"/>
    <s v="6 losses since 2001"/>
    <s v="1971 home, updates in 2014. Wind 4/01 $10k; wind 4/06 $0; wind 7/06 $1534; Froz pipe 1/14 $127k; Sewer backup 1/14 $20K; Ice dam $951. Jeff suggests $1,000 AOP; $2500-$5000 Wind; $25,000 water damage ded. Exist dmg excl."/>
    <x v="3"/>
    <s v="Asked Jeff if they want to place this with Markel. Asked for detail on what happened and what they have done to mitigate future loss. Turns out insured was out of town and came home to water in basement. The 3 water claims all happened at once due to warm spell with melting ice and rain. Agreed to bind and we go claim free, consider reducing water damage ded in the future."/>
    <m/>
    <m/>
    <s v="Patterson"/>
    <m/>
    <m/>
    <n v="0"/>
  </r>
  <r>
    <x v="492"/>
    <s v="JM Wilson"/>
    <s v="MI"/>
    <s v="Cheryl"/>
    <s v="Email"/>
    <s v="Rottman"/>
    <s v="Darrel &amp; Patricia"/>
    <x v="0"/>
    <s v="Rockland"/>
    <x v="4"/>
    <m/>
    <x v="0"/>
    <x v="251"/>
    <x v="323"/>
    <s v="Losses"/>
    <s v="05/24/2017 $282,000 fire claim; applicant cigarette in bed; oxygen tank also in home"/>
    <x v="1"/>
    <s v="Declined to due to negligence of applicant regarding large claim from prior year"/>
    <m/>
    <m/>
    <s v="Burdine"/>
    <m/>
    <m/>
    <n v="1"/>
  </r>
  <r>
    <x v="600"/>
    <s v="Burns"/>
    <s v="MI"/>
    <s v="Alexa"/>
    <s v="Email"/>
    <s v="Boss"/>
    <s v="Robert"/>
    <x v="7"/>
    <s v="Conklin"/>
    <x v="8"/>
    <m/>
    <x v="6"/>
    <x v="252"/>
    <x v="434"/>
    <s v="Business on Premises"/>
    <s v="built in 1910 of frame construction with full updates 1993- 2006, PC9, no alarms. 58.5 acres and 45 are rented out for farming. Front porch is being updated and is 95% done."/>
    <x v="3"/>
    <s v="subject to them having a GL in place for the farming exposure and also applying the Total Business Exclusion.  Additionally, the front porch must be done before including liability on the policy, and all the other issues noted on the inspection (such as the peeling paint), needs to be addressed"/>
    <m/>
    <m/>
    <s v="Burdine"/>
    <m/>
    <m/>
    <n v="0"/>
  </r>
  <r>
    <x v="380"/>
    <s v="Burns"/>
    <s v="MI"/>
    <s v="Leslie"/>
    <s v="Email"/>
    <s v="Fraser, Robert"/>
    <m/>
    <x v="21"/>
    <m/>
    <x v="3"/>
    <m/>
    <x v="0"/>
    <x v="253"/>
    <x v="435"/>
    <s v="Lower Cov C"/>
    <s v="Agent doesn't want 50% of Cov A for Cov C. Will we lower"/>
    <x v="3"/>
    <s v="Check system to see if it allows, okay with us. Verify w/manager. I can help w/manual credit if system doesn't adjust."/>
    <m/>
    <m/>
    <s v="Patterson"/>
    <m/>
    <m/>
    <n v="0"/>
  </r>
  <r>
    <x v="394"/>
    <s v="Burns"/>
    <s v="MI"/>
    <s v="Jill"/>
    <m/>
    <s v="Stahlhuth"/>
    <s v="Gayle"/>
    <x v="1"/>
    <s v="West Cape May"/>
    <x v="9"/>
    <s v="08204"/>
    <x v="5"/>
    <x v="254"/>
    <x v="436"/>
    <s v="Builders Risk"/>
    <s v="Previous home was a secondary. There was a fire that caused extensive damage, so applicant tore it down and they are building new. Quoted term is only three months, that is expected time of COC. Modular home being placed. Fire marshal report listed cause as undetermined. The area where the fire was thought to have started had a lot of electrical cords and extension cords plugged in. In the fire report, it stated the insured said the home was used for his actors that work for his production company."/>
    <x v="3"/>
    <s v="Approved for builders risk, but advised we would not allow a policy once the COC is completed. Given the note about the home being used for the insured's actors who work at their production company."/>
    <s v="Some chaos this week with a RUSH Stockton audit that backed up referrals.  Turnaround may have been impacted."/>
    <m/>
    <s v="Busse"/>
    <m/>
    <m/>
    <n v="0"/>
  </r>
  <r>
    <x v="246"/>
    <s v="Hull CA"/>
    <s v="Irvine"/>
    <s v="Alex"/>
    <s v="Call"/>
    <m/>
    <m/>
    <x v="0"/>
    <s v="Stockton CA   "/>
    <x v="3"/>
    <m/>
    <x v="0"/>
    <x v="255"/>
    <x v="0"/>
    <s v="Prior losses"/>
    <s v="Home rebuilt in 2015 after total fire loss. Insured was at hospital and a bum broke in and burned house to the ground. 2 prior water losses also. (Likely corrected w/rebuild). He said no other carriers will consider."/>
    <x v="1"/>
    <s v="Asked Alex to find out about the area (homeless issue?), fire marshall report, and water loss details. "/>
    <s v="In a bad part of town. Alex advised by email he was not sending through."/>
    <m/>
    <s v="Patterson"/>
    <m/>
    <m/>
    <n v="1"/>
  </r>
  <r>
    <x v="252"/>
    <s v="Burns"/>
    <s v="MI"/>
    <s v="Ben"/>
    <s v="Email"/>
    <s v="Liddle, George"/>
    <m/>
    <x v="98"/>
    <s v="Emigrant Gap CA PC10"/>
    <x v="1"/>
    <m/>
    <x v="4"/>
    <x v="255"/>
    <x v="437"/>
    <s v="18 minute response time"/>
    <s v="1980 home in med brush. No alarms. Woodstove. Metal roof. No updates. Missing balusters per insp. FireLine shows High 6, mod slope, med fuels, no access issues."/>
    <x v="1"/>
    <s v="With the CA wildfires raging, we are sticking close to our 15 min response time. This FD is 17 road miles away - question the 18 min response time. Google maps show it, but firetrucks don't always go 60 mph+. Paid FD, no alarms. Also mentioned the lack of balusters, WBS quest not complete so don't know if 5&quot; clearance is acceptable."/>
    <m/>
    <m/>
    <s v="Patterson"/>
    <m/>
    <m/>
    <n v="1"/>
  </r>
  <r>
    <x v="601"/>
    <s v="XS Brokers"/>
    <s v="MA"/>
    <s v="Barbara"/>
    <m/>
    <s v="Busler"/>
    <s v="Adam &amp; Jennifer"/>
    <x v="2"/>
    <s v="Margate"/>
    <x v="9"/>
    <s v="08402"/>
    <x v="2"/>
    <x v="255"/>
    <x v="438"/>
    <s v="Losses"/>
    <s v="1948 dwelling fully gutted and updated, new HVAC, new roof. $121K 1/14/18. Agt says loss is still open but all repairs are made. Carrier will automatically close 180 days after payments/repairs."/>
    <x v="3"/>
    <s v="Confirming that plumb/elec were replaced as part of the gut. If fully replaced, plumbing issue should be taken care of. Agt still quoted with $10K ded for water damage. Not a woodstove in shed. Utility pole behind shed per agt, confirmed in photos. Need to confirm rate - is there owner occupancy?"/>
    <m/>
    <m/>
    <s v="Patterson"/>
    <m/>
    <m/>
    <n v="0"/>
  </r>
  <r>
    <x v="457"/>
    <s v="ASL"/>
    <s v="VA"/>
    <s v="Charity"/>
    <s v="Email"/>
    <s v="Reinking, Darrell"/>
    <m/>
    <x v="99"/>
    <s v="Suffolk"/>
    <x v="10"/>
    <m/>
    <x v="4"/>
    <x v="255"/>
    <x v="439"/>
    <s v="PC10"/>
    <s v="1978 home updated in 2000. No detail on PC10."/>
    <x v="2"/>
    <s v="Asked for name/addr of FD, response, paid/volunteer, etc."/>
    <m/>
    <m/>
    <s v="Patterson"/>
    <m/>
    <m/>
    <n v="0"/>
  </r>
  <r>
    <x v="40"/>
    <s v="JM Wilson"/>
    <s v="MI"/>
    <s v="Lori"/>
    <s v="Email"/>
    <s v="Dalrymple"/>
    <s v="Ella"/>
    <x v="0"/>
    <s v="Crooksville"/>
    <x v="40"/>
    <m/>
    <x v="3"/>
    <x v="255"/>
    <x v="440"/>
    <s v="Losses"/>
    <s v="NR for losses. 2017 fire loss from a battery in garage. Home rebuilt. "/>
    <x v="3"/>
    <s v="10% surcharge due to size of claim, and also C&amp;O confirming no insured negligence in loss"/>
    <m/>
    <m/>
    <s v="Burdine"/>
    <m/>
    <m/>
    <n v="0"/>
  </r>
  <r>
    <x v="602"/>
    <s v="Burns"/>
    <s v="MI"/>
    <s v="Matt"/>
    <s v="Email"/>
    <s v="Tholen, Lisa"/>
    <m/>
    <x v="0"/>
    <s v="Carl Junction MO PC5"/>
    <x v="3"/>
    <m/>
    <x v="0"/>
    <x v="255"/>
    <x v="441"/>
    <s v="Day care"/>
    <s v="1993 frame home. Daycare has 8 + 2 part time children. They are getting a GL with USLI."/>
    <x v="4"/>
    <s v="Approved as a homeowners - do not add our in home daycare. We will rely on policy exclusions. Add $100-$150 for our potential to have to defend should something happen."/>
    <s v="CHANGED THIS DIRECTION IN JULY 2016-DO NOT WRITE MORE THAN 5 CHILDREN UNLESS X-LIABILITY. IF DAYCARE INSURED W/MARKEL, CAN CONSIDER FULL COVERAGE."/>
    <m/>
    <s v="Patterson"/>
    <m/>
    <m/>
    <n v="0"/>
  </r>
  <r>
    <x v="479"/>
    <s v="Burns"/>
    <s v="MI"/>
    <s v="Jill"/>
    <s v="Email"/>
    <s v="West"/>
    <s v="David"/>
    <x v="0"/>
    <s v="Rothsay"/>
    <x v="31"/>
    <m/>
    <x v="14"/>
    <x v="256"/>
    <x v="442"/>
    <s v="Business"/>
    <s v="Built in 1940/updated, PC8, frame, primary, no losses, located in MN, Has light touch massage therapy business, has separate GL policy for the business"/>
    <x v="3"/>
    <s v="Agt quoted with total business exclusion, so approved subject to GL remaining in place and applicant aware of limitations of TBE"/>
    <m/>
    <m/>
    <s v="Burdine"/>
    <m/>
    <m/>
    <n v="0"/>
  </r>
  <r>
    <x v="454"/>
    <s v="Hull Irvine"/>
    <s v="CA"/>
    <s v="Alison"/>
    <s v="Email"/>
    <s v="Wallace"/>
    <s v="Beverly"/>
    <x v="2"/>
    <s v="Santa Fe Springs"/>
    <x v="1"/>
    <m/>
    <x v="8"/>
    <x v="256"/>
    <x v="443"/>
    <s v="Losses"/>
    <s v="large fire loss in Dec. 2016 (approximately $170K paid)."/>
    <x v="2"/>
    <s v="Requested additional information on fire loss as no details provided"/>
    <m/>
    <m/>
    <s v="Burdine"/>
    <m/>
    <m/>
    <n v="0"/>
  </r>
  <r>
    <x v="182"/>
    <s v="Burns"/>
    <s v="MI"/>
    <s v="Jill"/>
    <s v="Email"/>
    <s v="Brown "/>
    <s v="Arlene"/>
    <x v="21"/>
    <s v="Lower Lake"/>
    <x v="1"/>
    <m/>
    <x v="4"/>
    <x v="257"/>
    <x v="0"/>
    <s v="Response time"/>
    <s v="Originally issued as PC9 with 10 minute response time. At renewal, SRD found PC10 and 18 min response time. I declined and asked for non-renewal. Branch came back with different responding FD address. "/>
    <x v="1"/>
    <s v="I called the fire department listed on the PCQ and they couldn't confirm what we needed. I ran a PPC and it showed a completely different FD, further away, as the responding FD. Sent info to Jill"/>
    <s v="Agt advised retail called FD and confirmed address. Advised that need something in writing confirming they respond to our exact insured location before reconsidering. Agt then advised that would offer renewal at very high premium (to meet state requirements of NR), and will also quote w/other carriers"/>
    <m/>
    <s v="Patterson"/>
    <m/>
    <m/>
    <n v="1"/>
  </r>
  <r>
    <x v="452"/>
    <s v="Burns"/>
    <s v="MI"/>
    <s v="Jill"/>
    <m/>
    <s v="Walker"/>
    <s v="Peter   "/>
    <x v="5"/>
    <m/>
    <x v="8"/>
    <m/>
    <x v="5"/>
    <x v="258"/>
    <x v="444"/>
    <s v="Occupancy/Use"/>
    <s v="1950 home fully updated. Risk is in MI (where fiancee lives). Named insured is in CA. Home has been purchased on land contract. It will be vacant for now and primary later.  "/>
    <x v="2"/>
    <s v="Not enough info to evaluate. Asked numerous questions."/>
    <m/>
    <m/>
    <s v="Patterson"/>
    <m/>
    <m/>
    <n v="0"/>
  </r>
  <r>
    <x v="91"/>
    <s v="Burns"/>
    <s v="MI"/>
    <s v="Alexa"/>
    <s v="Email"/>
    <s v="H&amp;H Properties LLC"/>
    <m/>
    <x v="16"/>
    <s v="Bowie"/>
    <x v="23"/>
    <m/>
    <x v="4"/>
    <x v="258"/>
    <x v="317"/>
    <s v="PC10"/>
    <s v="2001 home on 274 acres. Secondary w/no alarms. FD is 15 miles away. PC quest says 20 min response time. Volunteer FD."/>
    <x v="1"/>
    <s v="Expect response time will be &gt;20 with volunteer, no alarms at secondary residence, 15 miles travel distance."/>
    <m/>
    <m/>
    <s v="Patterson"/>
    <m/>
    <m/>
    <n v="1"/>
  </r>
  <r>
    <x v="92"/>
    <s v="Burns"/>
    <s v="MI"/>
    <s v="Jill"/>
    <s v="Email"/>
    <s v="Hedlund, Andrew"/>
    <m/>
    <x v="69"/>
    <s v="Alta"/>
    <x v="1"/>
    <m/>
    <x v="6"/>
    <x v="258"/>
    <x v="66"/>
    <s v="2 trees in deck"/>
    <s v="1951 home, updates unknown. Roof exclusion. Not in brushy. Agent asking for DP1 ACV with roof exclusion. Quote says PC6 but app says hydrant &gt;1001 feet."/>
    <x v="3"/>
    <s v="Confirm PC, looks like it would be a 9 with hydrant 1001' away."/>
    <s v="Looked a little mobile home-ish, but 4 online sources listed this as regular home. Typically online sources identify manufactured home."/>
    <m/>
    <s v="Patterson"/>
    <m/>
    <m/>
    <n v="0"/>
  </r>
  <r>
    <x v="116"/>
    <s v="SCU"/>
    <s v="CO"/>
    <s v="Allison"/>
    <s v="Email"/>
    <s v="Paul Loughridge III"/>
    <m/>
    <x v="5"/>
    <s v="Payson"/>
    <x v="7"/>
    <m/>
    <x v="5"/>
    <x v="259"/>
    <x v="445"/>
    <s v="Cov B"/>
    <s v="Cov B exceeds 50% of Cov A.  2 guest houses, 2 sheds. Agent wants VMM, no alarms. Inspection provided looks okay."/>
    <x v="3"/>
    <s v="Review neighborhood and make sure buildings are locked and VMM could be offered."/>
    <m/>
    <m/>
    <s v="Patterson"/>
    <m/>
    <m/>
    <n v="0"/>
  </r>
  <r>
    <x v="315"/>
    <s v="Burns"/>
    <s v="MI"/>
    <s v="Jill"/>
    <s v="Email"/>
    <s v="Whelan"/>
    <s v="Patrick &amp; Priscilla"/>
    <x v="0"/>
    <s v="Ocean View"/>
    <x v="9"/>
    <m/>
    <x v="5"/>
    <x v="260"/>
    <x v="446"/>
    <s v="Business on Premises"/>
    <s v="Agt quoted w/total business exclusion-propeller business on premise. 25-30 customers a year-http://www.easternprop.com/index.html., not in home at all, outbuilding only.; 1974 build, no losses"/>
    <x v="3"/>
    <s v="TBE required"/>
    <m/>
    <m/>
    <s v="Burdine"/>
    <m/>
    <m/>
    <n v="0"/>
  </r>
  <r>
    <x v="598"/>
    <s v="Burns"/>
    <s v="MI"/>
    <s v="David"/>
    <s v="Email"/>
    <s v="Gong"/>
    <s v="Tommy"/>
    <x v="2"/>
    <s v="Visalia"/>
    <x v="1"/>
    <m/>
    <x v="9"/>
    <x v="261"/>
    <x v="447"/>
    <s v="Business on Premises"/>
    <s v="Daycare in home, GL policy in place, less than 7 children, quoted with TBE, small claim-$285 water damage under sink, 1964 build-all updates. Can have liab? "/>
    <x v="3"/>
    <s v="Reminded that doesn't qualify for burns daycare program. Advised OK to release with TBE and GL must be submitted via tenant--insured--agency every renewal. Reviewed online-appears to be a home daycare so OK w/ business exposure as approved"/>
    <m/>
    <m/>
    <s v="Burdine"/>
    <m/>
    <m/>
    <n v="0"/>
  </r>
  <r>
    <x v="325"/>
    <s v="Burns"/>
    <s v="MI"/>
    <s v="David"/>
    <s v="Email"/>
    <s v="Gong"/>
    <s v="Tommy"/>
    <x v="2"/>
    <s v="Visalia"/>
    <x v="1"/>
    <m/>
    <x v="9"/>
    <x v="261"/>
    <x v="447"/>
    <s v="Business on Premises"/>
    <s v="Agency asking for refreshed terms. Originally approved w/subjectivity in February."/>
    <x v="3"/>
    <s v="approved again with the following subjectivities: Total business exclusion in place, GL policy in place for the business (the tenant will need to submit proof to the owner, who will need to provide renewal term of that policy each year to qualify for renewal of this policy) Also, from a review of the information for the daycare it appears that the tenant does reside in the house. this approval is contingent on the tenant in fact residing in the home as well, and not just her renting it for the business."/>
    <m/>
    <m/>
    <s v="Trott"/>
    <m/>
    <m/>
    <n v="0"/>
  </r>
  <r>
    <x v="418"/>
    <s v="XS Brokers"/>
    <s v="MA"/>
    <s v="Barbara"/>
    <m/>
    <s v="Cathjoe LLC"/>
    <m/>
    <x v="2"/>
    <s v="Hartford"/>
    <x v="25"/>
    <s v="06114"/>
    <x v="2"/>
    <x v="262"/>
    <x v="448"/>
    <s v="Losses"/>
    <s v="Three prior losses on primary home. Frame home built in 1963 with vinyl and masonry veneer. Wiring and plumbing completely replaced in 2000.  Requesting 2500 AOP."/>
    <x v="3"/>
    <s v="Confirm water loss at prior home was not due to maintenance or negligence on the insured's part."/>
    <m/>
    <m/>
    <s v="Lazovik"/>
    <m/>
    <m/>
    <n v="0"/>
  </r>
  <r>
    <x v="50"/>
    <s v="Burns"/>
    <s v="MI"/>
    <s v="Alexa"/>
    <s v="Email"/>
    <s v="Brumley"/>
    <s v="Timothy"/>
    <x v="0"/>
    <s v="Broken Arrow"/>
    <x v="30"/>
    <m/>
    <x v="4"/>
    <x v="262"/>
    <x v="449"/>
    <s v="PC"/>
    <s v="Log home built in 2017. Aluminum wiring?EIFS siding along with logs. 40 acres of land. Reconstruction cost is $273,652. Confirm the amount."/>
    <x v="3"/>
    <s v="Home with built with aluminum wiring. Agent noted that the wiring was incorrect. No knob and tube nor aluminum wiring. 10% surcharge for response time."/>
    <m/>
    <m/>
    <s v="Lazovik"/>
    <m/>
    <m/>
    <n v="0"/>
  </r>
  <r>
    <x v="28"/>
    <s v="JM Wilson"/>
    <s v="MI"/>
    <s v="Lori"/>
    <s v="Email"/>
    <s v="Jenkins"/>
    <s v="Kory &amp; Sarah"/>
    <x v="0"/>
    <s v="Noblesville"/>
    <x v="17"/>
    <m/>
    <x v="5"/>
    <x v="263"/>
    <x v="450"/>
    <s v="Losses"/>
    <s v="3 water losses, 2014, 2016, 2017 loss dates (sump pump back up in basement), $5K water ded quoted, $10K backup limit"/>
    <x v="4"/>
    <s v="approved as quoted"/>
    <m/>
    <m/>
    <s v="Burdine"/>
    <m/>
    <m/>
    <n v="0"/>
  </r>
  <r>
    <x v="269"/>
    <s v="Hull CO"/>
    <s v="Horsham"/>
    <s v="Tamika"/>
    <s v="Call/Email"/>
    <s v="Acorn Associates LLC"/>
    <m/>
    <x v="39"/>
    <s v="Philadelphia"/>
    <x v="2"/>
    <m/>
    <x v="0"/>
    <x v="264"/>
    <x v="338"/>
    <s v="3 family home w/1 tenant"/>
    <s v="Tamika quoted a Lex DP3 for a 3 family vacant home. Now it is going to possibly have 1 tenant. How would we handle?  Has competitor quote for $1200 for the year. She is sending rater over."/>
    <x v="2"/>
    <s v="Our rater says 3 tenant units Is ineligible. Not great condition per online photos. Asking Tamika is she wants me to pursue exception."/>
    <m/>
    <m/>
    <s v="Patterson"/>
    <m/>
    <m/>
    <n v="0"/>
  </r>
  <r>
    <x v="525"/>
    <s v="Burns"/>
    <s v="MI"/>
    <s v="Nicole"/>
    <m/>
    <s v="Alpha to Omega Properties LLC"/>
    <m/>
    <x v="5"/>
    <s v="Ferndale"/>
    <x v="8"/>
    <s v="48220"/>
    <x v="5"/>
    <x v="264"/>
    <x v="275"/>
    <s v="Other UW Reason"/>
    <s v="2018 dwelling built from a shipping container. Vacant home. Insured is an LLC - Alpha to Omega Properties LLC. "/>
    <x v="1"/>
    <s v="Asked for more info regarding risk - who built it, why is it vacant, plans for the dwelling, photos, coverage a. Will update when more info is received. UPDATE: insured is builder of home, first time building container home. Also, plans to leave as vacant to use as model home for business to show to potential future clients. Too much commercial exposure, not enough experience with home type. "/>
    <m/>
    <m/>
    <s v="Busse"/>
    <m/>
    <m/>
    <n v="1"/>
  </r>
  <r>
    <x v="87"/>
    <s v="Burns"/>
    <s v="MI"/>
    <s v="Matt"/>
    <s v="Email"/>
    <s v="West, Robert"/>
    <m/>
    <x v="1"/>
    <s v="Whitehall"/>
    <x v="50"/>
    <m/>
    <x v="0"/>
    <x v="264"/>
    <x v="451"/>
    <s v="Response time"/>
    <s v="2017 under construction."/>
    <x v="1"/>
    <s v="30 minute response time = total loss.  If you have some supporting information as to why you feel strongly about us writing this one, and want to send over your thoughts along with some strong pricing suggestions, I'll be more than happy to take another look.  "/>
    <m/>
    <m/>
    <s v="Patterson"/>
    <m/>
    <m/>
    <n v="1"/>
  </r>
  <r>
    <x v="153"/>
    <s v="Hull Horsham"/>
    <s v="PA"/>
    <s v="Tamika"/>
    <s v="Email"/>
    <s v="Frangieh"/>
    <s v="Sultaneh"/>
    <x v="2"/>
    <s v="Coatesville"/>
    <x v="2"/>
    <m/>
    <x v="6"/>
    <x v="264"/>
    <x v="187"/>
    <s v="Construction"/>
    <s v="1931 risk updated in 2005. Decent online photos. Risk was a commercial building with 2 units on 1st floor and apartment on 2nd with attic loft. This is now zoned residential one family. Lower level used for tenant storage. Tenant living on 2nd floor with attic on 3rd. Large parking lot remains. Agent confirmed residential zoning."/>
    <x v="3"/>
    <s v="completed app, pic of Franklin stove - need questionnaire."/>
    <m/>
    <n v="31"/>
    <s v="Patterson"/>
    <m/>
    <m/>
    <n v="0"/>
  </r>
  <r>
    <x v="370"/>
    <s v="SCU"/>
    <s v="CO"/>
    <s v="Allison"/>
    <s v="Email"/>
    <s v="Bailey"/>
    <s v="Nicholas &amp; J.Hannah"/>
    <x v="42"/>
    <s v="Vail"/>
    <x v="19"/>
    <m/>
    <x v="8"/>
    <x v="264"/>
    <x v="267"/>
    <s v="Losses"/>
    <s v="2 prior water losses. 10/15 $68K Sink filter failed. 6/16 $284K Toilet floater disconnected and leaked."/>
    <x v="2"/>
    <s v="Asked numerous questions and suggested if we get good info we may be able to offer terms with subjectivities: Exclude mold, 10% s/c, install water sensor w/shutoff."/>
    <m/>
    <m/>
    <s v="Patterson"/>
    <m/>
    <m/>
    <n v="0"/>
  </r>
  <r>
    <x v="449"/>
    <s v="Burns"/>
    <s v="MI"/>
    <s v="Jill"/>
    <m/>
    <s v="Barksdale"/>
    <s v="Norman"/>
    <x v="0"/>
    <s v="Aurora"/>
    <x v="19"/>
    <n v="80013"/>
    <x v="9"/>
    <x v="264"/>
    <x v="452"/>
    <s v="Losses"/>
    <s v="Fire claim on $262,013 due to discarded cigarette. Ash caught the home on fire and house burned quickly. Lapse since 10/19/18. Frame construction built in 1996. Roof replaced in 2018. "/>
    <x v="1"/>
    <s v="Concerned insured's wife smokes out on the deck regularly but is &quot;careful&quot;. Insured's nephew may have started the fire that day. Increased exposure due to ongoing smoking in the house."/>
    <m/>
    <m/>
    <s v="Lazovik"/>
    <m/>
    <m/>
    <n v="1"/>
  </r>
  <r>
    <x v="231"/>
    <s v="Burns"/>
    <s v="MI"/>
    <s v="Leslie"/>
    <s v="Email"/>
    <s v="Overstreet, Jerome"/>
    <m/>
    <x v="0"/>
    <s v="Highland CA"/>
    <x v="3"/>
    <m/>
    <x v="0"/>
    <x v="264"/>
    <x v="453"/>
    <s v="&gt;4 losses"/>
    <s v="1965 home completely updated in 2000. 6 losses all at prior residence.  3 theft; 2 water damage; 1 glass. Not in brush."/>
    <x v="1"/>
    <s v="Stated I wasn't really interested, but would look at more claim detail if they really wanted Markel to consider."/>
    <s v="Got insurance score. It's in the 25% surcharge rate. Sent follow up email to Leslie letting her know we were going to pass."/>
    <m/>
    <s v="Patterson"/>
    <m/>
    <m/>
    <n v="1"/>
  </r>
  <r>
    <x v="85"/>
    <s v="ASL"/>
    <s v="VA"/>
    <s v="Charity"/>
    <s v="Email"/>
    <s v="Keznor, Nareina"/>
    <m/>
    <x v="0"/>
    <s v="Cape Charles"/>
    <x v="10"/>
    <m/>
    <x v="4"/>
    <x v="264"/>
    <x v="454"/>
    <s v="PC10"/>
    <s v="1920 home updated. FD 8 miles away - volunteer, manned during the day. &lt;15 min response per FD."/>
    <x v="4"/>
    <m/>
    <m/>
    <m/>
    <s v="Patterson"/>
    <m/>
    <m/>
    <n v="0"/>
  </r>
  <r>
    <x v="439"/>
    <s v="Burns"/>
    <s v="MI"/>
    <s v="Danielle"/>
    <s v="Email"/>
    <s v="Yager, Brent"/>
    <m/>
    <x v="0"/>
    <s v="Greeley"/>
    <x v="19"/>
    <m/>
    <x v="9"/>
    <x v="264"/>
    <x v="455"/>
    <s v="Party Wall Agreement"/>
    <s v="2017 new build 5 unit attached townhome w/party wall agreement. "/>
    <x v="4"/>
    <m/>
    <m/>
    <m/>
    <s v="Patterson"/>
    <m/>
    <m/>
    <n v="0"/>
  </r>
  <r>
    <x v="603"/>
    <s v="Hull Irvine"/>
    <s v="CA"/>
    <s v="Nicole"/>
    <m/>
    <s v="Stearns"/>
    <s v="Chris &amp; Avalon"/>
    <x v="0"/>
    <s v="Placentia"/>
    <x v="1"/>
    <s v="92870"/>
    <x v="2"/>
    <x v="264"/>
    <x v="395"/>
    <s v="Losses"/>
    <s v="1997 dwelling with 2 small water losses. One was CAT related. Questioned if agt should s/c for CAT loss."/>
    <x v="3"/>
    <s v="Only s/c if any negligence. Doesn't appear to be in this situation."/>
    <m/>
    <m/>
    <s v="Patterson"/>
    <m/>
    <m/>
    <n v="0"/>
  </r>
  <r>
    <x v="604"/>
    <s v="Burns"/>
    <s v="MI"/>
    <s v="Alexa"/>
    <s v="Email"/>
    <s v="Nitsch"/>
    <s v="Charles"/>
    <x v="0"/>
    <s v="Graford"/>
    <x v="23"/>
    <m/>
    <x v="4"/>
    <x v="264"/>
    <x v="456"/>
    <s v="Prior Lapse/NRN"/>
    <s v="Insured has never had prior coverage - self insured. Nervous since hearing about all the fires. 2009 dwelling, no alarms, FD 14 mi away. 17-20 min response time. Full log custom home. $3,664 prem. Insured is retired."/>
    <x v="1"/>
    <s v="Due to no prior insurance.  Additional concerns from our review of the risk."/>
    <s v="Ran insurance scores - mid 500's with collections. Home is also underinsured. Should be $150-$200/SF. Coming in at $130. No interest in this account due to the scores."/>
    <m/>
    <s v="Patterson"/>
    <m/>
    <m/>
    <n v="1"/>
  </r>
  <r>
    <x v="605"/>
    <s v="Burns"/>
    <s v="MI"/>
    <s v="Jeffrey"/>
    <m/>
    <s v="Clauch"/>
    <s v="Abby"/>
    <x v="0"/>
    <s v="Glennville"/>
    <x v="1"/>
    <s v="93226"/>
    <x v="5"/>
    <x v="264"/>
    <x v="457"/>
    <s v="Heat Source"/>
    <s v="1978 year built with complete updates to heating and roof in 2019, partial updates to wiring and plumbing 2009. WRS 40. Primary heat source is a wood burning stove. Rated with correct surcharge for WRS.  IS is an R."/>
    <x v="3"/>
    <s v="OK with continuing with heat source as WBS since it is in a protected area. Approved subject to additional 10% surcharge due to heat source, completed and acceptable WBS quest and OHQ."/>
    <m/>
    <m/>
    <s v="Busse"/>
    <m/>
    <m/>
    <n v="0"/>
  </r>
  <r>
    <x v="173"/>
    <s v="Burns"/>
    <s v="CA"/>
    <s v="Jill"/>
    <s v="Email"/>
    <s v="Prescott"/>
    <s v="Steven &amp; Rochelle"/>
    <x v="0"/>
    <s v="Weston"/>
    <x v="36"/>
    <m/>
    <x v="2"/>
    <x v="264"/>
    <x v="7"/>
    <s v="Business on premises"/>
    <s v="Total business exclusion - Purchasing a home on 8 acres &amp; using an outbuilding for his business.  He has a construction business, a couple of employees working for him in the building, no foot traffic, business currently insured with Travelers"/>
    <x v="4"/>
    <s v="Ok with online review, and separation of business. "/>
    <m/>
    <m/>
    <s v="Burdine"/>
    <m/>
    <m/>
    <n v="0"/>
  </r>
  <r>
    <x v="128"/>
    <s v="Burns"/>
    <s v="MI"/>
    <s v="Jill"/>
    <s v="Email"/>
    <s v="Johnson, Boyd"/>
    <m/>
    <x v="0"/>
    <s v="Nevada City"/>
    <x v="1"/>
    <m/>
    <x v="6"/>
    <x v="264"/>
    <x v="458"/>
    <s v="Off grid"/>
    <s v="1976 home w/ some updates. Shares address with another individual who has a home on the property. They both own land, but structures owned individually."/>
    <x v="3"/>
    <s v="• Rush inspection to confirm condition and upkeep_x000a_• Verify no business conducted on the premises.  I found this for Jon Klingelhofer:  https://www.google.com/#q=jon+klingelhofer+construction+nv&amp;spf=1498773224669  Since they are sharing the same address, we need to be clear on the exposure to determine if there is any concern about our insured's section of the property._x000a_• Your note says plumbing and roof are updated, but the app says heating and plumbing.  If that is the case we would need to apply the roof exclusion to this 41 year old roof._x000a_• With off grid homes, one of our concerns is freezing pipes if the insured is away.  What precautions do they follow to ensure pipes do nto freeze?_x000a_• Complete and acceptable woodburning stove application_x000a_• Could you please tell me the current pricing?  We will want to apply a surcharge for the additional exposures of sharing the property with others, possible overlapping coverage, and off grid systems._x000a_"/>
    <s v="07/11/17 update from Danielle: Jon has used his home address and landline for his business correspondence for 40 years.  He is a home builder specializing in Victorian restoration and his work takes place elsewhere_x000a__x000a_Roof is galvanized steel.  I have had the panels replaced as needed on an ongoing basis_x000a__x000a_any exposed water pipes in the crawl space under the house are wrapped in foam insulation.  the house is insulated.  Rest of subjectivities will be confirmed later. Burdine gave approval to continue with quote, and advised that need to be sure to take other winterization measures as well, not just pipe wrapping_x000a_"/>
    <m/>
    <s v="Patterson"/>
    <m/>
    <m/>
    <n v="0"/>
  </r>
  <r>
    <x v="593"/>
    <s v="JM Wilson"/>
    <s v="MI"/>
    <s v="Cheryl"/>
    <s v="Email"/>
    <s v="Wright"/>
    <s v="Debra &amp; James"/>
    <x v="0"/>
    <s v="Montreal"/>
    <x v="36"/>
    <m/>
    <x v="3"/>
    <x v="264"/>
    <x v="459"/>
    <s v="Losses"/>
    <s v="03/3017-hail, 11/2016-washer hose ($0), 07/2016-water damage to rental condo"/>
    <x v="4"/>
    <s v="claims on rental"/>
    <m/>
    <m/>
    <s v="Burdine"/>
    <m/>
    <m/>
    <n v="0"/>
  </r>
  <r>
    <x v="575"/>
    <s v="Burns"/>
    <s v="MI"/>
    <s v="Alexa"/>
    <m/>
    <s v="Smith"/>
    <s v="Christopher"/>
    <x v="0"/>
    <s v="Denver"/>
    <x v="19"/>
    <s v="80220"/>
    <x v="8"/>
    <x v="265"/>
    <x v="460"/>
    <s v="Losses"/>
    <s v="1925 home with full updates. 4 losses. Utility pump 6/26/17 $7K, Tub drain 10/17 $0, 10/18 Shower pipe leak $8245. Sewer line 1/19 $513. Quoted w/$10K water damage ded. Ins score K. "/>
    <x v="0"/>
    <s v="No backup or mold. Good ins score.  Losses all caused water damage, but are all various issues.  All under $10K.  EHP required per guidelines.// 4/25/19 req to incr cov A to $275,000 approved."/>
    <m/>
    <m/>
    <s v="Patterson"/>
    <m/>
    <m/>
    <n v="0"/>
  </r>
  <r>
    <x v="606"/>
    <s v="Burns"/>
    <s v="MI"/>
    <s v="Jill"/>
    <m/>
    <s v="Lehtinen"/>
    <s v="Kathy &amp; Richard"/>
    <x v="0"/>
    <s v="Mesa "/>
    <x v="7"/>
    <s v="85213"/>
    <x v="2"/>
    <x v="265"/>
    <x v="48"/>
    <s v="Business on Premises"/>
    <s v="1989 home w/ a small massage business on premises.  Total Business Exclusion applies. Insd making payments to the IRS - tax lien."/>
    <x v="1"/>
    <s v="Concern with IRS liens, financial situation, and self-employed business."/>
    <s v="Ins score report shows additional concerns."/>
    <m/>
    <s v="Patterson"/>
    <m/>
    <m/>
    <n v="1"/>
  </r>
  <r>
    <x v="336"/>
    <s v="Burns"/>
    <s v="MI"/>
    <s v="Jill"/>
    <s v="Email"/>
    <s v="Rodriguez"/>
    <s v="Laura"/>
    <x v="0"/>
    <s v="Houston"/>
    <x v="23"/>
    <m/>
    <x v="0"/>
    <x v="266"/>
    <x v="461"/>
    <s v="Business on Premises"/>
    <s v="1907 dwelling updated fully in 2013. Inspection looks good. Insured operates law practice on the first floor of dwelling. Insured lives on 2nd floor. Kitchen on 1st floor personal use.  6 employees.  GL in place. Total Business Exclusion."/>
    <x v="3"/>
    <s v="Office exposure. Ask for workers comp confirmation as well as GL and TBE in place."/>
    <m/>
    <m/>
    <s v="Patterson"/>
    <m/>
    <m/>
    <n v="0"/>
  </r>
  <r>
    <x v="607"/>
    <s v="Burns"/>
    <s v="MI"/>
    <s v="Alexa"/>
    <s v="Email"/>
    <s v="Peterson"/>
    <s v="James"/>
    <x v="0"/>
    <s v="Townson"/>
    <x v="29"/>
    <m/>
    <x v="0"/>
    <x v="267"/>
    <x v="462"/>
    <s v="Rate"/>
    <s v="trying to match All Risks quote; Built in 1998, PC4, Worcester county, Territory 2, less than 1 mile from coast, frame, secondary"/>
    <x v="4"/>
    <s v="Info OK, OK with premium credit to bring down to match quote"/>
    <m/>
    <m/>
    <s v="Burdine"/>
    <m/>
    <m/>
    <n v="0"/>
  </r>
  <r>
    <x v="554"/>
    <s v="Burns"/>
    <s v="MI"/>
    <s v="Jill"/>
    <s v="Email"/>
    <s v="Peterson"/>
    <s v="James"/>
    <x v="51"/>
    <s v="Towson"/>
    <x v="29"/>
    <m/>
    <x v="2"/>
    <x v="267"/>
    <x v="462"/>
    <s v="Coastal?"/>
    <s v="1/23/16 $8,950 claim on primary home for damage from snow to gutters. Claim closed and damages repaired. Built in 1998, PC5, Worcester county, Territory 2, less than 1 mile from coast, frame, secondary, VMGA $1,791"/>
    <x v="4"/>
    <s v="coastal ded appropriate per chart, online review OK"/>
    <m/>
    <m/>
    <s v="Burdine"/>
    <m/>
    <m/>
    <n v="0"/>
  </r>
  <r>
    <x v="234"/>
    <s v="Burns"/>
    <s v="MI"/>
    <s v="Ben"/>
    <s v="Email"/>
    <s v="Frank, Barbara"/>
    <m/>
    <x v="21"/>
    <s v="Susanville CA PC10"/>
    <x v="3"/>
    <m/>
    <x v="0"/>
    <x v="268"/>
    <x v="463"/>
    <s v="Response time 29 minutes"/>
    <s v="1988 home frame, seasonal, in brush. 20 miles from FD. 4 miles of dirt road. No alarm system."/>
    <x v="1"/>
    <s v="Concerned with the 4 miles of dirt roads and no alarm with a seasonal."/>
    <m/>
    <m/>
    <s v="Patterson"/>
    <m/>
    <m/>
    <n v="1"/>
  </r>
  <r>
    <x v="608"/>
    <s v="ASL"/>
    <m/>
    <s v="Tina"/>
    <s v="Email"/>
    <s v="Hader, William"/>
    <m/>
    <x v="0"/>
    <s v="Chesapeake VA PC9"/>
    <x v="3"/>
    <m/>
    <x v="0"/>
    <x v="268"/>
    <x v="464"/>
    <s v="PC9"/>
    <s v="1993 home; recent updates. FD is 5.5 miles away (Ches FD 6). 10 min resp. Accessible, visible from neighbor, paved. 3.3 acres. Home looks good online. Value good."/>
    <x v="4"/>
    <m/>
    <m/>
    <m/>
    <s v="Patterson"/>
    <m/>
    <m/>
    <n v="0"/>
  </r>
  <r>
    <x v="369"/>
    <s v="Burns"/>
    <s v="MI"/>
    <s v="David"/>
    <s v="Email"/>
    <s v="Ndei"/>
    <s v="Leonard"/>
    <x v="0"/>
    <s v="Shawnee"/>
    <x v="28"/>
    <m/>
    <x v="8"/>
    <x v="269"/>
    <x v="465"/>
    <s v="Business on Premises"/>
    <s v="Adult day care submission. 4- 8 residents. GL policy in place."/>
    <x v="1"/>
    <s v="Further information provided was this had 3 permanent residents living on premises full time and no current daycare residents. There were 4 part time employees. As this was more of a nursing home, we suggested a commercial policy"/>
    <m/>
    <m/>
    <s v="Lazovik"/>
    <m/>
    <m/>
    <n v="1"/>
  </r>
  <r>
    <x v="609"/>
    <s v="Burns"/>
    <s v="MI"/>
    <s v="Lindsay"/>
    <s v="Email"/>
    <s v="Rubis"/>
    <s v="William"/>
    <x v="0"/>
    <s v="Maxwell"/>
    <x v="34"/>
    <m/>
    <x v="4"/>
    <x v="269"/>
    <x v="466"/>
    <s v="Business on Premises"/>
    <s v="1998 dwelling with lapse since 6/1/2017. Insured oversight. PC10-confirmed response time &lt;15 minutes. 7/19/18 tornado dmg to roof, $10-$15K damage. Agt applying roof excl and existing damage excl. TBE for cattle building construction business. Storage only and occasional employee visit to pick up. Has a GL. Meets clients at their locations."/>
    <x v="3"/>
    <s v="Good ins score. Apply existing dmg, roof, water damage, mold exclusion. Can remove when proof of prof repair received. 10% addl s/c for lapse. GL must be maintained."/>
    <m/>
    <m/>
    <s v="Patterson"/>
    <m/>
    <m/>
    <n v="0"/>
  </r>
  <r>
    <x v="223"/>
    <s v="Hull CO"/>
    <s v="Horsham"/>
    <s v="Nichole"/>
    <s v="Email"/>
    <s v="Luo, Deren"/>
    <m/>
    <x v="2"/>
    <s v="Davidsonville MD PC4"/>
    <x v="3"/>
    <m/>
    <x v="0"/>
    <x v="270"/>
    <x v="467"/>
    <s v="Fire Loss"/>
    <s v="2004 home rented 52 weeks. NRN due to fire loss 7/31/13 $177,422. Careless smoking by guest of tenant. Insured is a restaurant owner and the chef of the restaurant is the tenant. This is a coml client for Hull."/>
    <x v="3"/>
    <s v="Approved subject to a 15% surcharge due to the size of the loss (this brings it in over what a 2 loss surcharge would be.)"/>
    <m/>
    <m/>
    <s v="Patterson"/>
    <m/>
    <m/>
    <n v="0"/>
  </r>
  <r>
    <x v="342"/>
    <s v="Hull Horsham"/>
    <s v="PA"/>
    <s v="MacKenzie"/>
    <s v="Email"/>
    <s v="Sanabria"/>
    <s v="Kay"/>
    <x v="0"/>
    <s v="Jackson"/>
    <x v="36"/>
    <m/>
    <x v="2"/>
    <x v="271"/>
    <x v="275"/>
    <s v="Lapse"/>
    <s v="Lapse for several months - husband passed away and insured was unaware she needed to renew coverage. 9 mi from water. Diving board-exclusion applied.  1999 dwelling - nice home per photo."/>
    <x v="4"/>
    <s v="15% surcharge applied."/>
    <m/>
    <m/>
    <s v="Patterson"/>
    <m/>
    <m/>
    <n v="0"/>
  </r>
  <r>
    <x v="610"/>
    <s v="Hull Irvine"/>
    <s v="CA"/>
    <s v="Bobbi"/>
    <s v="Email"/>
    <s v="About House"/>
    <m/>
    <x v="2"/>
    <m/>
    <x v="3"/>
    <m/>
    <x v="0"/>
    <x v="271"/>
    <x v="468"/>
    <s v="Policy term"/>
    <s v="Home is in contract and will be closing a few days after the expiration date. Agent wants to quote a 30 day pro rated premium. "/>
    <x v="3"/>
    <s v="Fully earned."/>
    <m/>
    <n v="16"/>
    <s v="Patterson"/>
    <m/>
    <m/>
    <n v="0"/>
  </r>
  <r>
    <x v="367"/>
    <s v="Bolton"/>
    <m/>
    <s v="Chris"/>
    <s v="Email"/>
    <s v="Gates, Alison"/>
    <m/>
    <x v="0"/>
    <s v="Biloxi MS PC3"/>
    <x v="3"/>
    <m/>
    <x v="0"/>
    <x v="271"/>
    <x v="271"/>
    <s v="Bankruptcy"/>
    <s v="Built in 2006. Nice per online pix.  Per agt, bankruptcy due to med bills had to close business. Ran insurance score"/>
    <x v="4"/>
    <s v="Ins score 650, slight surcharge. Must have worked on improving score."/>
    <m/>
    <m/>
    <s v="Patterson"/>
    <m/>
    <m/>
    <n v="0"/>
  </r>
  <r>
    <x v="562"/>
    <s v="Quaker"/>
    <s v="MA"/>
    <s v="Brian"/>
    <m/>
    <s v="Castelluccio"/>
    <s v="Maria"/>
    <x v="0"/>
    <s v="Stratford"/>
    <x v="25"/>
    <s v="06615"/>
    <x v="9"/>
    <x v="271"/>
    <x v="469"/>
    <s v="Builders Risk"/>
    <s v="1923 home fully updated will be lifted/raised/elevated to meet FEMA requirements. Can we write a policy while the lifting is being done?"/>
    <x v="1"/>
    <s v="Not comfortable while the lift/raise/elevate is in process, but we can write when it is done if done professionally (follows past approvals) "/>
    <m/>
    <m/>
    <s v="Patterson"/>
    <m/>
    <m/>
    <n v="1"/>
  </r>
  <r>
    <x v="27"/>
    <s v="Burns"/>
    <s v="MI"/>
    <s v="Lindsay"/>
    <s v="Email"/>
    <s v="Resch"/>
    <s v="Brandon    "/>
    <x v="0"/>
    <s v="Encinitas"/>
    <x v="1"/>
    <m/>
    <x v="9"/>
    <x v="271"/>
    <x v="470"/>
    <s v="Business on Premises"/>
    <s v="1972 home updated, A ins score. Insd rents stable to others for 2 horses. Stable at property entrance. Horse owners visit property. No GL or farm policy in place. Agt excluding liab and applying TBE and animal exclusion."/>
    <x v="3"/>
    <s v="Also asked for building exclusion and pointed out if liab is excluded they don't have to apply animal liab excl on top of it."/>
    <m/>
    <m/>
    <s v="Patterson"/>
    <m/>
    <m/>
    <n v="0"/>
  </r>
  <r>
    <x v="268"/>
    <s v="SCU"/>
    <s v="CO"/>
    <s v="Ashley"/>
    <s v="Email"/>
    <s v="Roumph, Mike"/>
    <m/>
    <x v="100"/>
    <s v="Denver "/>
    <x v="19"/>
    <m/>
    <x v="9"/>
    <x v="271"/>
    <x v="445"/>
    <s v="Loss Assessment Rate"/>
    <s v="Agents asking to add exactly $51,500 in Loss Assessment required by Condo Association. Added 5% s/c which doubles the $25K rate."/>
    <x v="4"/>
    <m/>
    <m/>
    <m/>
    <s v="Patterson"/>
    <m/>
    <m/>
    <n v="0"/>
  </r>
  <r>
    <x v="256"/>
    <s v="ASL"/>
    <m/>
    <s v="Charity"/>
    <s v="Email"/>
    <s v="Porter, William"/>
    <m/>
    <x v="0"/>
    <s v="Chesterfield VA PC9"/>
    <x v="10"/>
    <m/>
    <x v="6"/>
    <x v="271"/>
    <x v="419"/>
    <s v="PC9 ok?"/>
    <s v="Charity referred to approve change to PC9 per inspection. During google search, I found Ace Septic at this address. "/>
    <x v="2"/>
    <s v="Asked Charity to investigate business and refer if there was an active business."/>
    <m/>
    <m/>
    <s v="Patterson"/>
    <m/>
    <m/>
    <n v="0"/>
  </r>
  <r>
    <x v="540"/>
    <s v="Burns"/>
    <s v="MI"/>
    <s v="Jill"/>
    <s v="Email"/>
    <s v="Wright"/>
    <s v="Carol Jean"/>
    <x v="0"/>
    <s v="Bakersfield"/>
    <x v="1"/>
    <m/>
    <x v="8"/>
    <x v="271"/>
    <x v="471"/>
    <s v="Business on Premises"/>
    <s v="1950 home updated. Not in brush. Dog grooming business in house and garage with kennels. Customers bring to home, but they pick up some. Customers use house entrance. Liab is excluded. $28K other structures. Quoted with TBE. Working on a GL."/>
    <x v="3"/>
    <s v="Ok w/TBE. Exclude garage w/kennels if it is detached. UW questions (some are blank)"/>
    <m/>
    <m/>
    <s v="Patterson"/>
    <m/>
    <m/>
    <n v="0"/>
  </r>
  <r>
    <x v="611"/>
    <s v="Burns"/>
    <s v="MI"/>
    <s v="Jill"/>
    <m/>
    <s v="Ivory"/>
    <s v="Joette"/>
    <x v="0"/>
    <s v="Sidman"/>
    <x v="2"/>
    <s v="15955"/>
    <x v="2"/>
    <x v="271"/>
    <x v="48"/>
    <s v="Business on Premises"/>
    <s v="1985 home. Good insurance score. Insd has small dog grooming/boarding business in a separate building on the premises. Some separation. Family run. 4-5 customers/week in busiest season. Online info okay."/>
    <x v="3"/>
    <s v="Can't tell if pool is secure from drive. Added as subjectivity. Add Total Business Excl. GL maintained. Need confirmation alpacas are secure and no buy/sell/breed. Okay with personal liab as there is separation."/>
    <m/>
    <m/>
    <s v="Patterson"/>
    <m/>
    <m/>
    <n v="0"/>
  </r>
  <r>
    <x v="612"/>
    <s v="JM Wilson"/>
    <s v="MI"/>
    <s v="John"/>
    <m/>
    <s v="Joseph"/>
    <s v="Rose &amp; David"/>
    <x v="0"/>
    <s v="Charlotte"/>
    <x v="11"/>
    <s v="28262"/>
    <x v="11"/>
    <x v="271"/>
    <x v="48"/>
    <s v="Losses"/>
    <s v="2005 home with 4 losses. 2/17, 9/17, 6/18 water leaks, $10K, and 2 at $2500. 3/17 wind $7K. 6/18 water claim still in subro."/>
    <x v="3"/>
    <s v="Water damage exclusion, no backup, no mold. Make sure subro claim has all damage repair/all work done."/>
    <m/>
    <m/>
    <s v="Patterson"/>
    <m/>
    <m/>
    <n v="0"/>
  </r>
  <r>
    <x v="613"/>
    <s v="AmWINS"/>
    <s v="FL"/>
    <s v="Julie"/>
    <m/>
    <s v="Salter"/>
    <s v="William J"/>
    <x v="0"/>
    <s v="New Smyrna Beach"/>
    <x v="32"/>
    <s v="32168"/>
    <x v="2"/>
    <x v="271"/>
    <x v="472"/>
    <s v="Business on Premises"/>
    <s v="2019 new build. 350' away from insureds Aviation Mechanics training center. Scrutinized # of students, accommodations, storage, etc.  All sounds within reason.  Has a coml policy on building and liab."/>
    <x v="0"/>
    <s v="Reviewed FB site, found on site accommodations.  No planes, no runway, no pilot training.   and possibly flying of planes? Approved subj to TBE and continued coml policies in place. Need to clarify what is under Cov B. Suggested using Bldg Exclusion to avoid any confusion."/>
    <m/>
    <m/>
    <s v="Patterson"/>
    <m/>
    <m/>
    <n v="0"/>
  </r>
  <r>
    <x v="140"/>
    <s v="Burns"/>
    <s v="MI"/>
    <s v="Jill"/>
    <s v="Email"/>
    <s v="Cowles"/>
    <s v="Ginger"/>
    <x v="0"/>
    <s v="Elkhorn"/>
    <x v="38"/>
    <m/>
    <x v="0"/>
    <x v="271"/>
    <x v="461"/>
    <s v="Daycare in home"/>
    <s v="2003 dwelling with daycare on premises. Excluding liability and obtaining GL. Also quoting with Total Business Exclusion."/>
    <x v="3"/>
    <s v="I am assuming the daycare takes place within the home itself.  If that is the case, you are approved to release terms subject to:_x000a__x000a_• Please do not add BWH0141_x000a_• GL obtained and maintained_x000a_• Excluding liability_x000a_• Include Total Business Exclusion - please make sure insured is aware of the severe restrictions of this form for an in home business.  If any loss occurs related to the business, claims will deny the loss.  (e.g. A bottle warmer used for a daycare child shorts out, starts a fire and the house burns to the ground. Claims would deny all damage to the home and contents.)_x000a__x000a_Your email says “on premises”.  If it takes place in a separate building, terms would still be the same but we would add a subjectivity:  Building exclusion applies for building where daycare takes place._x000a_"/>
    <m/>
    <n v="14"/>
    <s v="Patterson"/>
    <m/>
    <m/>
    <n v="0"/>
  </r>
  <r>
    <x v="576"/>
    <s v="Burns"/>
    <s v="MI"/>
    <s v="Alexa"/>
    <s v="Email"/>
    <s v="Little"/>
    <s v="John"/>
    <x v="7"/>
    <s v="Tollhouse"/>
    <x v="1"/>
    <m/>
    <x v="6"/>
    <x v="271"/>
    <x v="11"/>
    <s v="Occupancy/Use"/>
    <s v="primary home located in CA with 2 rentals located on the property. Home was built in 1945 of frame construction, PC9 , no alarms. Full roof update in 2003 with other full updates in 1975."/>
    <x v="3"/>
    <s v="Approved with HO 04 40 endorsement for rental exposure. Requested 10% surcharge if able for extra exposure; PCQ OK"/>
    <m/>
    <m/>
    <s v="Burdine"/>
    <m/>
    <m/>
    <n v="0"/>
  </r>
  <r>
    <x v="614"/>
    <s v="Hull Irvine"/>
    <s v="CA"/>
    <s v="Alison"/>
    <s v="Email"/>
    <s v="Peterson"/>
    <s v="Nancy"/>
    <x v="2"/>
    <s v="Ojaj"/>
    <x v="1"/>
    <m/>
    <x v="0"/>
    <x v="272"/>
    <x v="330"/>
    <s v="Occupancy/Use"/>
    <s v="Guest house, primary home with farmers. "/>
    <x v="3"/>
    <s v="Discussed w/ MP, ok to offer terms with premises liability. As long as main home excluded as an other structure and retains it's own liab coverage"/>
    <m/>
    <m/>
    <s v="Burdine"/>
    <m/>
    <m/>
    <n v="0"/>
  </r>
  <r>
    <x v="525"/>
    <s v="Burns"/>
    <s v="MI"/>
    <s v="Nicole"/>
    <m/>
    <s v="Fitts"/>
    <s v="William"/>
    <x v="2"/>
    <s v="Byhalia"/>
    <x v="16"/>
    <s v="38611"/>
    <x v="3"/>
    <x v="273"/>
    <x v="473"/>
    <s v="Business on Premises"/>
    <s v="1950 dwelling with updates to wiring, plumbing, and heating in 2000, roof in 2003. Tenant owns online trailer sales business, possible foot traffic up to twice a month for pick up of trailer, tenant has GL and lists insured as an AI. Property is on 130 acres of land state for pasture. "/>
    <x v="3"/>
    <s v="Asked for confirmation of ownership and use of land. Also wanting to confirm if there is ever any transfer of livestock during trailer pick up or if it is exclusively trailer pick up only. UPDATE - no animals, no particular usage of land. Trailer pick up only. Approved with TBE"/>
    <m/>
    <m/>
    <s v="Busse"/>
    <m/>
    <m/>
    <n v="0"/>
  </r>
  <r>
    <x v="280"/>
    <s v="ASL"/>
    <s v="VA"/>
    <s v="Charity"/>
    <s v="Email"/>
    <s v="Gifford, Lisa"/>
    <m/>
    <x v="0"/>
    <s v="Virginia Beach "/>
    <x v="10"/>
    <m/>
    <x v="0"/>
    <x v="273"/>
    <x v="330"/>
    <s v="Renewal lapse"/>
    <s v="Agency quoted 8/10. Renewal 9/25. Insured let it lapse. Agent received payment on 10/10 - wants to renew w/ no lapse w/signed statement and confirmation of no damage."/>
    <x v="0"/>
    <s v="We do not backdate renewals w/o a good explanation. Asked for details. Per Charity, payment came in late from mortgage co. Ok'd the reinstatement/renewal w/ SNL."/>
    <m/>
    <m/>
    <s v="Patterson"/>
    <m/>
    <m/>
    <n v="0"/>
  </r>
  <r>
    <x v="384"/>
    <s v="AmWINS"/>
    <s v="MA"/>
    <s v="Patty"/>
    <m/>
    <s v="Masiello"/>
    <s v="Michael &amp; Renee"/>
    <x v="0"/>
    <s v="East Haven"/>
    <x v="25"/>
    <s v="06512"/>
    <x v="9"/>
    <x v="273"/>
    <x v="474"/>
    <s v="Business on Premises"/>
    <s v="1991 home w/updated roof. Insd operates day care on premises. Licensed for 8 children. No pool/dog/trampoline/playground. Full time, no overnights. Facebook page ok. Commercial policy in place - will be moved to be controlled and maintained by retail agent. Total Business Excl applies."/>
    <x v="3"/>
    <s v="TBE, Coml policies in place.  Typical of in home day care business. Advised of limitations of TBE for in home businesses and that coml policies must cover the gap."/>
    <s v="Insurance scores 770+"/>
    <m/>
    <s v="Patterson"/>
    <m/>
    <m/>
    <n v="0"/>
  </r>
  <r>
    <x v="341"/>
    <s v="RPS Covington"/>
    <s v="LA"/>
    <s v="Hillary"/>
    <s v="Email"/>
    <s v="Melancon"/>
    <s v="Logan"/>
    <x v="0"/>
    <s v="Lockport"/>
    <x v="0"/>
    <m/>
    <x v="2"/>
    <x v="273"/>
    <x v="475"/>
    <s v="Other UW Reason"/>
    <s v="Home built in 1998. Set on over 40 acres of land with 30+ heads of cattle. Metal home. Roof from 1998 with a partial update."/>
    <x v="1"/>
    <s v="Too many animals, large acreage and questionable whether we insure a metal home"/>
    <m/>
    <m/>
    <s v="Lazovik"/>
    <m/>
    <m/>
    <n v="1"/>
  </r>
  <r>
    <x v="185"/>
    <s v="SCU"/>
    <s v="CO"/>
    <s v="Allison"/>
    <s v="Email"/>
    <s v="Hosley"/>
    <s v="Gary &amp; Reed Engel"/>
    <x v="6"/>
    <s v="Littleton  "/>
    <x v="19"/>
    <m/>
    <x v="0"/>
    <x v="274"/>
    <x v="476"/>
    <s v="Prior loss"/>
    <s v="1976 dwelling that will be gutted and remodeled.  Prior $328K fire loss on 4/23/17 - electrical fire between renters when insured was working. Nonrenewed by prior carrier.  Agent quoting w/50% surcharge."/>
    <x v="1"/>
    <s v="Running photos by Bethany before proceeding. Rates don't contemplate this type of exposure and increased hazard. "/>
    <m/>
    <m/>
    <s v="Patterson"/>
    <m/>
    <m/>
    <n v="1"/>
  </r>
  <r>
    <x v="131"/>
    <s v="Burns"/>
    <s v="MI"/>
    <s v="Jill"/>
    <s v="Email"/>
    <s v="Acosta, Rolando  BWH108556"/>
    <m/>
    <x v="0"/>
    <s v="Alliance "/>
    <x v="38"/>
    <m/>
    <x v="0"/>
    <x v="275"/>
    <x v="395"/>
    <s v="Business on premise"/>
    <s v="2007 home. Trucking business and 30 cattle on premises. Appears to be about 40' from dwelling with separate drive per aerial view. Unknown use of cattle. Agent applying Total Business Excl, Animal Exclusion, and requiring GL."/>
    <x v="0"/>
    <s v="Additional questions:_x000a_• 30 cattle - what are they used for?  Are they related to the trucking business, or a separate business?  Are cattle bought and sold?  Amy slaughtered or other processing activities on premises?_x000a_• How far apart is the trucking business garage from the dwelling?  (It looks about 40 feet in the online aerial view - please confirm)_x000a_• What are the actual activities of the trucking business_x000a_• Are they hauling products?  What kind? Anything hazardous? Any storage of hauled items on property?_x000a_• Is the truck repair on the premises for repair of their fleet or is this a mechanic operation? (Asking to determine the extent of fire hazard near the dwelling)_x000a_If terms are offered they will be subject to:_x000a_• Specific exclusion of all buildings and barns used for the trucking business and the cattle (using the Building Exclusion form)_x000a_• Total Business exclusion_x000a_• Animal exclusion_x000a_• GL policy in place_x000a_• All uw questions on the app answered (some are blank)_x000a_• PCQ_x000a_• Confirmation no employees ever go into or around the dwelling//Received addl info and agreed to remain on risk subject to items listed._x000a_"/>
    <m/>
    <m/>
    <s v="Patterson"/>
    <m/>
    <m/>
    <n v="0"/>
  </r>
  <r>
    <x v="159"/>
    <s v="Burns"/>
    <s v="MI"/>
    <s v="Jill"/>
    <s v="Email"/>
    <s v="Johnston"/>
    <s v="Jeffrey"/>
    <x v="2"/>
    <s v="Lincoln"/>
    <x v="38"/>
    <m/>
    <x v="0"/>
    <x v="276"/>
    <x v="477"/>
    <s v="Business on premises"/>
    <s v="1948 or 1970 dwelling tenant occupied by insured business partner. New purchase. LLC formed in May 2017. Insured will be building a commercial kitchen in the detached garage. He and tenant/partner will produce hot sauce for sale at local markets. No sales from garage."/>
    <x v="2"/>
    <s v="See 9/22/email for list of questions re business.  If we are able to proceed it will be subject to:_x000a_• Total Business Exclusion form_x000a_• No other structures coverage or exclusion of the detached garage using the Building Exclusion form_x000a_• GL in place_x000a_• Roof exclusion is roof has not been replaced in last 25 years (no update per app)_x000a_• Possible 10-20% surcharge due to increased exposure to the dwelling from the business on the premises._x000a_"/>
    <s v="Must have at least 15 feet separation from the dwelling and confirmation of proper commercial suppression equipment."/>
    <n v="53"/>
    <s v="Patterson"/>
    <m/>
    <m/>
    <n v="0"/>
  </r>
  <r>
    <x v="610"/>
    <s v="Burns"/>
    <s v="MI"/>
    <s v="Jill"/>
    <s v="Email"/>
    <s v="Rhodes"/>
    <s v="Michael"/>
    <x v="2"/>
    <s v="Kansas City"/>
    <x v="28"/>
    <m/>
    <x v="9"/>
    <x v="276"/>
    <x v="477"/>
    <s v="Business on premises"/>
    <s v="1970 home w/updated roof. Prior hail loss. Dwelling is a rental and occupied with full time tenant. There is a detached structure with an office. Insured employee goes there 2-3 days week to pay bills for Commercial Landscaping business. GL in place."/>
    <x v="3"/>
    <s v="TBE, Exclude oth str or $0, not comfortable with credit, GL remain in place."/>
    <s v="I was just over 6 hours turnaround on this one.  I worked an audit in the morning and in the afternoon when I went to work referrals, I had internet issues. "/>
    <n v="22"/>
    <s v="Patterson"/>
    <m/>
    <m/>
    <n v="0"/>
  </r>
  <r>
    <x v="366"/>
    <s v="Hull CA"/>
    <s v="Stockton"/>
    <s v="Lisa"/>
    <s v="Email"/>
    <s v="Caldwell, Brian"/>
    <m/>
    <x v="0"/>
    <s v="Volcano "/>
    <x v="1"/>
    <m/>
    <x v="3"/>
    <x v="276"/>
    <x v="478"/>
    <s v="Lapse "/>
    <s v="1980 home updated. Policy nonrenewed and insd didn't realize it. Lapse since 8/22. In brush. Close to 20 miles from the Mokelumne Fire, but this is a controlled fire for benefit of ecosystem per google. Confirming w/agent. "/>
    <x v="3"/>
    <s v="Approved subj to WBS quest and conf of 150' brush clearance."/>
    <m/>
    <m/>
    <s v="Patterson"/>
    <m/>
    <m/>
    <n v="0"/>
  </r>
  <r>
    <x v="451"/>
    <s v="Burns"/>
    <s v="MI"/>
    <s v="Jill"/>
    <m/>
    <s v="Goode"/>
    <s v="George"/>
    <x v="0"/>
    <s v="Tuscon"/>
    <x v="7"/>
    <s v="85749"/>
    <x v="3"/>
    <x v="276"/>
    <x v="479"/>
    <s v="Business on Premises"/>
    <s v="1954 home with updates to all systems and roof in 2008.  insured has horse shoeing business on premises in other structure, with a GL for the business. School is held every 2 weeks with no more than 10 students at a time. 1 horse on property for personal use and 1 horse for the class. Drained swimming pool on premises. Mobile home on premises that is currently insured with another carrier and insured's relatives live in it. "/>
    <x v="3"/>
    <s v="Agent advised they already applied TBE, Animal exclusion, pool exclusion and building exclusion due to mobile home. Approving with those subjectivities in addition to a complete liability exclusion and a 10% surcharge due to the high risk of business that could cause high defense costs in the event of a claim, even though we are excluding liability. "/>
    <m/>
    <m/>
    <s v="Busse"/>
    <m/>
    <m/>
    <n v="0"/>
  </r>
  <r>
    <x v="321"/>
    <s v="JM Wilson"/>
    <s v="MI"/>
    <s v="John"/>
    <m/>
    <s v="Gibbs"/>
    <s v="Ronald &amp; Grace"/>
    <x v="0"/>
    <s v="Eaton Rapids"/>
    <x v="8"/>
    <s v="48827"/>
    <x v="6"/>
    <x v="276"/>
    <x v="424"/>
    <s v="Business on Premises"/>
    <s v="1995 dwelling w/marijuana grow operation on premises.  Also 3 prior water damage claims to dwelling."/>
    <x v="1"/>
    <s v="We are not a market for these risks."/>
    <m/>
    <m/>
    <s v="Patterson"/>
    <m/>
    <m/>
    <n v="1"/>
  </r>
  <r>
    <x v="1"/>
    <s v="XS Brokers"/>
    <s v="MA"/>
    <s v="Barbara"/>
    <m/>
    <s v="Minassian"/>
    <s v="Luke"/>
    <x v="0"/>
    <s v="Pembroke"/>
    <x v="52"/>
    <s v="03275"/>
    <x v="2"/>
    <x v="277"/>
    <x v="480"/>
    <s v="Builders Risk"/>
    <s v="1968 home with no listing of updates. Condition of property is below average/poor, as there is a list of damages that need to be fixed. About half of the roof has moss growing on it. Inspection indicates more than just cosmetic repairs are needed. It is a two family property, insured's family lives on other side. Agent said that all there was is cosmetic work. "/>
    <x v="2"/>
    <s v="Advised unable to write BR if insured is acting as GC. Due to inspection noting repairs are more than cosmetic, insured would need to get a licensed GC to manage the work and licensed subcontractors in order to consider. Existing damage, roof exclusion and water exclusion would all be required until repairs are completed. Suggest to write as HO3 w/ rental and have parents obtain own HO4. Would also need to review OHQ to judge condition of systems. Inspection was only exterior."/>
    <m/>
    <m/>
    <s v="Busse"/>
    <m/>
    <m/>
    <n v="0"/>
  </r>
  <r>
    <x v="122"/>
    <s v="Burns"/>
    <s v="MI"/>
    <s v="Jill"/>
    <s v="Email"/>
    <s v="Mitchell, Tift"/>
    <m/>
    <x v="101"/>
    <s v="Charleston"/>
    <x v="20"/>
    <m/>
    <x v="0"/>
    <x v="278"/>
    <x v="0"/>
    <s v="1872 year built"/>
    <s v="1872 year built - had hurricane Matthew damage. Loss is pending due to disagreement with ins co. $37K in reserve. Insd gutting to studs. Average condition per photo online. Insd is a real estate agent and his co sign is in yard in online photo."/>
    <x v="3"/>
    <s v="DP1 vacant rating"/>
    <s v="Came in on an HO3 app. "/>
    <m/>
    <s v="Patterson"/>
    <m/>
    <m/>
    <n v="0"/>
  </r>
  <r>
    <x v="615"/>
    <s v="Hull CO"/>
    <s v="CA"/>
    <s v="Alison"/>
    <s v="Email"/>
    <s v="Philip, Bacie George"/>
    <m/>
    <x v="36"/>
    <s v="Santa Maria"/>
    <x v="1"/>
    <m/>
    <x v="9"/>
    <x v="278"/>
    <x v="0"/>
    <s v="build year 1940, no heating system update"/>
    <s v="all other systems updated, heating serviced but never needed to be updated"/>
    <x v="3"/>
    <s v="reviewed 2015 weather, avg temp always above freezing. approved subject to inspection of heat system to ensure in acceptable working order"/>
    <m/>
    <m/>
    <s v="Burdine"/>
    <m/>
    <m/>
    <n v="0"/>
  </r>
  <r>
    <x v="211"/>
    <s v="Hull CA"/>
    <s v="Stockton"/>
    <s v="Lisa"/>
    <s v="Email"/>
    <s v="Christensen, Christina"/>
    <m/>
    <x v="2"/>
    <s v="Tahoe City CA PC4"/>
    <x v="3"/>
    <m/>
    <x v="0"/>
    <x v="278"/>
    <x v="481"/>
    <s v="Oth Str &gt;50%"/>
    <s v="1959 home w/separate dwelling both structures rented. System updates and roof updated. Online pics look okay. Lex quote 3395. I debited ours 40% for prem of 2845."/>
    <x v="4"/>
    <s v="Debited 40% due to Lex quote, and due to 2 families and updates are only partial."/>
    <m/>
    <m/>
    <s v="Patterson"/>
    <m/>
    <m/>
    <n v="0"/>
  </r>
  <r>
    <x v="402"/>
    <s v="Hull CA"/>
    <s v="Irvine"/>
    <s v="Bobbi"/>
    <s v="Email"/>
    <s v="Pioneer Theaters"/>
    <m/>
    <x v="2"/>
    <s v="Torrance "/>
    <x v="1"/>
    <m/>
    <x v="0"/>
    <x v="279"/>
    <x v="249"/>
    <s v="Corporate name"/>
    <s v="Insured is 3 board members who formed a corporation. Home is rented to a 3rd party. No business."/>
    <x v="3"/>
    <s v="Approved - acceptable corporate form and prem liab only."/>
    <m/>
    <m/>
    <s v="Patterson"/>
    <m/>
    <m/>
    <n v="0"/>
  </r>
  <r>
    <x v="487"/>
    <s v="SCU"/>
    <s v="CO"/>
    <s v="Allison"/>
    <m/>
    <s v="Rogers"/>
    <s v="Daniel &amp; Liz"/>
    <x v="4"/>
    <s v="Idaho Springs"/>
    <x v="19"/>
    <s v="80452"/>
    <x v="6"/>
    <x v="280"/>
    <x v="482"/>
    <s v="PC"/>
    <s v="2009 year built.  Not accessible year round (winter time due to snow). Insured is at property in winter for 2-3 weeks and haul water from creek for utilities. It is winterized. Neighbor checks on property when they are gone. We wrote a risk about 3/4 mile from this property, at a rate of $.72"/>
    <x v="3"/>
    <s v="Advised we typically want a rate between $.80 and $.90 for risks that are not accessible year round. Since we approved one before at $.72, will allow this one to be rated the same. Currently was at $.55 so approved subject to updated rate. Premium is then closer to $3,290"/>
    <m/>
    <m/>
    <s v="Busse"/>
    <m/>
    <m/>
    <n v="0"/>
  </r>
  <r>
    <x v="519"/>
    <s v="SCU"/>
    <s v="CO"/>
    <s v="Allison"/>
    <s v="Email"/>
    <s v="Andre Family Trust"/>
    <m/>
    <x v="5"/>
    <s v="Denver"/>
    <x v="19"/>
    <m/>
    <x v="8"/>
    <x v="281"/>
    <x v="483"/>
    <s v="Prior Lapse/NRN"/>
    <s v="1964 vacant home soon to be up for sale. With us 2/19/16-17. NOC during term, payment made, but reinstatement overlooked. Insd still wants policy. Issuing with new effective date, 15% s/c, no loss letter, rush interior inspection."/>
    <x v="4"/>
    <s v="Agree with agents terms"/>
    <m/>
    <m/>
    <s v="Patterson"/>
    <m/>
    <m/>
    <n v="0"/>
  </r>
  <r>
    <x v="616"/>
    <s v="Burns"/>
    <s v="MI"/>
    <s v="Jeffrey"/>
    <s v="Email"/>
    <s v="Schmeichel"/>
    <s v="Delmar"/>
    <x v="62"/>
    <s v="Appleton"/>
    <x v="12"/>
    <m/>
    <x v="6"/>
    <x v="281"/>
    <x v="484"/>
    <s v="Business on Premises"/>
    <s v="This is a WI risk, DP-1, ACV, PC9. Home built in 1978, Updates to Heating and roofing 2012 and 2010.  The agent says all utilities are active. 117 acres, 100 of those leased out to a farmer - they don't require it now but will require the farmer leasing the property to have insurance in place for their farming operations. The applicant is in a nursing home and is terminal, children are planning on selling once the applicant has passed. The daughter is over quite frequently, there is a 30 year old horse on premises, not for riding."/>
    <x v="3"/>
    <s v="Discussed with MP, have approval to offer terms on this risk, but they (or the farmer) must have a farm liability policy in place to cover that exposure. Additionally, we would need to apply the Total Business and Animal Exclusion as well."/>
    <m/>
    <m/>
    <s v="Burdine"/>
    <m/>
    <m/>
    <n v="0"/>
  </r>
  <r>
    <x v="617"/>
    <s v="Burns NC"/>
    <s v="NC"/>
    <s v="Lauren"/>
    <s v="Email"/>
    <s v="Clissold"/>
    <s v="Tod"/>
    <x v="7"/>
    <s v="Manteo"/>
    <x v="11"/>
    <m/>
    <x v="0"/>
    <x v="282"/>
    <x v="485"/>
    <s v="Occupancy/Use"/>
    <s v="Primary home w/garage that is a vacation rental $150K."/>
    <x v="3"/>
    <s v="Confirm garage is on the premises and it has living quarters. Not rented for storage use."/>
    <m/>
    <m/>
    <s v="Patterson"/>
    <m/>
    <m/>
    <n v="0"/>
  </r>
  <r>
    <x v="408"/>
    <s v="Burns"/>
    <s v="MI"/>
    <s v="Rachel"/>
    <s v="Email"/>
    <s v="Hultgren"/>
    <s v="Scott"/>
    <x v="0"/>
    <s v="Huntington Beach"/>
    <x v="1"/>
    <m/>
    <x v="8"/>
    <x v="282"/>
    <x v="289"/>
    <s v="Losses"/>
    <s v="Large water damage loss, repairs still underway. Per agt, flooring, cabinets, etc still remaining"/>
    <x v="1"/>
    <s v="Advised could still be hidden damage based on stage of repairs. Agreed if they are in fact further along where hidden damage not a concern, may consider further"/>
    <m/>
    <m/>
    <s v="Burdine"/>
    <m/>
    <m/>
    <n v="1"/>
  </r>
  <r>
    <x v="42"/>
    <s v="Hull Irvine"/>
    <s v="CA"/>
    <s v="Bobbi"/>
    <s v="Email"/>
    <s v="Hultgren"/>
    <s v="Scott &amp; Lynn Russ"/>
    <x v="0"/>
    <s v="Huntington Beach"/>
    <x v="1"/>
    <m/>
    <x v="8"/>
    <x v="282"/>
    <x v="289"/>
    <s v="Losses"/>
    <s v="1963 dwelling with some updates. Plumb repl in 2008 per app. Roof in poor condition per app. $101,354 loss from toilet overflow still open. DOL 4/18/18. NRN from prior carrier."/>
    <x v="2"/>
    <s v="Asked for more detail - see email. Evaluate if all work is completed. "/>
    <m/>
    <m/>
    <s v="Patterson"/>
    <m/>
    <m/>
    <n v="0"/>
  </r>
  <r>
    <x v="29"/>
    <s v="JM Wilson"/>
    <s v="MI"/>
    <s v="Cheryl"/>
    <s v="Email"/>
    <s v="Brown"/>
    <s v="Sheila"/>
    <x v="0"/>
    <m/>
    <x v="20"/>
    <m/>
    <x v="5"/>
    <x v="282"/>
    <x v="486"/>
    <s v="Losses"/>
    <s v="10/23 wind loss, 01/08/2018 water loss (busted pipe)"/>
    <x v="4"/>
    <s v="suggested discussion how to winterize home (prior loss for bust pipes, insured didn't know how to deal with cold weather)"/>
    <m/>
    <m/>
    <s v="Burdine"/>
    <m/>
    <m/>
    <n v="0"/>
  </r>
  <r>
    <x v="569"/>
    <s v="Burns"/>
    <s v="MI"/>
    <s v="Jill"/>
    <s v="Email"/>
    <s v="Jones, Valerie"/>
    <m/>
    <x v="0"/>
    <s v="Grass Valley CA PC"/>
    <x v="3"/>
    <m/>
    <x v="0"/>
    <x v="283"/>
    <x v="487"/>
    <s v="Oth Str&gt;35%"/>
    <s v="1979 home in brush. 200' brush clearance. 600 SF guest house (sone lives in - he is on the deed) and 1300 SF finished workshop (used by previous cabinet maker owner).  NRN by Hartford due to brush exposure. Online photos look good."/>
    <x v="4"/>
    <m/>
    <m/>
    <m/>
    <s v="Patterson"/>
    <m/>
    <m/>
    <n v="0"/>
  </r>
  <r>
    <x v="84"/>
    <s v="Burns"/>
    <s v="MI"/>
    <s v="Alexa"/>
    <s v="Email"/>
    <s v="Roark, Beverly Prokop"/>
    <m/>
    <x v="21"/>
    <s v="Hay Springs"/>
    <x v="38"/>
    <m/>
    <x v="4"/>
    <x v="284"/>
    <x v="364"/>
    <s v="Response time"/>
    <s v="1910 home updated w/15-20 min response time.  FD is 9 mi away; another 12 mi away. Volunteer. No alarms. Gravel roads"/>
    <x v="1"/>
    <s v="Advised Alexa to submit if she feel strongly, but we would expect that this will be a total loss if a fire starts."/>
    <m/>
    <m/>
    <s v="Patterson"/>
    <m/>
    <m/>
    <n v="1"/>
  </r>
  <r>
    <x v="548"/>
    <s v="AmWINS"/>
    <s v="FL"/>
    <s v="Jessica"/>
    <m/>
    <s v="Gurzynski"/>
    <s v="Tomasz"/>
    <x v="0"/>
    <s v="Orlando"/>
    <x v="32"/>
    <s v="32832"/>
    <x v="2"/>
    <x v="285"/>
    <x v="419"/>
    <s v="Losses"/>
    <s v="Only received quote so little info on dwelling. Referred due to prior $101,000 liability claim from personal use of a fire pit. No detail. No DOL"/>
    <x v="0"/>
    <s v="Asked for FD report, ins score, app, details on loss, etc. Probably a decline, but appropriate to ask for full details before deciding. Explained this is a concern and leans toward a decline but offered to consider. // Insd poured alcohol on fire, bottle exploded, serious burns to his friend. No longer has the fire pit. // 4/22/19 discussed w/John. We agreed to approve excluding liability."/>
    <m/>
    <m/>
    <s v="Patterson"/>
    <m/>
    <m/>
    <n v="0"/>
  </r>
  <r>
    <x v="125"/>
    <s v="Hull Horsham"/>
    <m/>
    <s v="Tamika"/>
    <s v="Call"/>
    <m/>
    <m/>
    <x v="0"/>
    <m/>
    <x v="9"/>
    <m/>
    <x v="0"/>
    <x v="286"/>
    <x v="0"/>
    <s v="Prior losses"/>
    <s v="This is a builders risk which has damage still under repair from loss in 2016. Agent to determine extent of damage/repair left. 5/31/16 elec stove fire $57K; during clean up there was a theft $0 paid jewelry - didn't meet deductible and wasn't scheduled. 7/25/16 lightning $3800."/>
    <x v="2"/>
    <s v="If all checks out, agent will offer builders risk with personal property and high theft deductible."/>
    <m/>
    <m/>
    <s v="Patterson"/>
    <m/>
    <m/>
    <n v="0"/>
  </r>
  <r>
    <x v="465"/>
    <s v="Burns"/>
    <s v="MI"/>
    <s v="Nicole"/>
    <m/>
    <s v="Faith Family Community Church"/>
    <m/>
    <x v="2"/>
    <s v="Winter Garden"/>
    <x v="32"/>
    <s v="34787"/>
    <x v="8"/>
    <x v="286"/>
    <x v="226"/>
    <s v="Business on Premises"/>
    <s v="1969 year built with complete updates in 2019. Dwelling is owned by the church and is located on the church's premises. The dwelling is used for housing the pastor. They currently have a commercial coverage in place. No meetings, no parishioners are allowed, only the pastor is allowed to use the dwelling. 47 miles to coast. "/>
    <x v="4"/>
    <s v="Since no business takes place at the dwelling, I am OK with risk and comfortable that TBE and building exclusion would apply in church related situations. Approved terms as quoted - TBE, building exclusion for church, and confirmation CGL is maintained. "/>
    <m/>
    <m/>
    <s v="Busse"/>
    <m/>
    <m/>
    <n v="0"/>
  </r>
  <r>
    <x v="557"/>
    <s v="JM Wilson"/>
    <s v="MI"/>
    <s v="John"/>
    <m/>
    <s v="Phillips"/>
    <s v="Debbie"/>
    <x v="0"/>
    <s v="Wappapello"/>
    <x v="36"/>
    <s v="63966"/>
    <x v="14"/>
    <x v="286"/>
    <x v="488"/>
    <s v="Losses"/>
    <s v="2014 log home. 9/2018 fire loss, current details from agent indicate could have been from electrical problems with vehicle. $50,000 damage to detached garage. 2015 water loss $50,000 caused by an ice maker line. Insurance score not provided yet. "/>
    <x v="2"/>
    <s v="Asked for cause and origin report, along with insurance score to better review fire loss. Advised that if we are to continue with review of this risk, a $10,000 water deductible is to be added and most likely an additional surcharge for the losses. "/>
    <m/>
    <m/>
    <s v="Busse"/>
    <m/>
    <m/>
    <n v="0"/>
  </r>
  <r>
    <x v="31"/>
    <s v="Burns"/>
    <s v="MI"/>
    <s v="David"/>
    <s v="Email"/>
    <s v="Welch"/>
    <s v="John"/>
    <x v="0"/>
    <s v="St. Peters"/>
    <x v="36"/>
    <m/>
    <x v="5"/>
    <x v="286"/>
    <x v="288"/>
    <s v="Other UW Reason"/>
    <s v="Bankruptcy.  Insd has 2 prior losses and a bankruptcy, Chapter 13, due to hospitalization.  Went to court 1/10/18, in payoff for 5 years."/>
    <x v="1"/>
    <s v="Concern with active bankruptcy."/>
    <m/>
    <m/>
    <s v="Patterson"/>
    <m/>
    <m/>
    <n v="1"/>
  </r>
  <r>
    <x v="455"/>
    <s v="Burns"/>
    <s v="MI"/>
    <s v="Lindsay"/>
    <s v="Email"/>
    <s v="Kelliher"/>
    <s v="Cindy"/>
    <x v="0"/>
    <s v="San Diego"/>
    <x v="1"/>
    <m/>
    <x v="8"/>
    <x v="286"/>
    <x v="424"/>
    <s v="Business on Premises"/>
    <s v="1961 dwelling w/updated in 2015. Non brush. Insd has full time dog day care business. 5 at a time, breed restrictions, small dogs. Has a coml policy thru Pet Sitters Assoc - a Markel Underwritten policy."/>
    <x v="3"/>
    <s v="• Apply the Total Business Exclusion, apply the Animal Liability Exclusion. Ensure TBE is understood. Even though liab policy is with Markel, there could be gaps._x000a__x000a_"/>
    <m/>
    <m/>
    <s v="Patterson"/>
    <m/>
    <m/>
    <n v="0"/>
  </r>
  <r>
    <x v="160"/>
    <s v="Hull Horsham"/>
    <s v="PA"/>
    <s v="Tamika"/>
    <s v="Call"/>
    <s v="Blank"/>
    <s v="Benvel"/>
    <x v="0"/>
    <s v="Lancaster"/>
    <x v="2"/>
    <m/>
    <x v="6"/>
    <x v="287"/>
    <x v="267"/>
    <s v="Generator"/>
    <s v="Applicant is Amish and power is from a gas powered generator. "/>
    <x v="0"/>
    <s v="Very little info at this time. Just looking for market open to the scenario. Our concern would be that the system would be left unattended and pipes would freeze. Considering Amish lifestyle (farming, wife/kids at home more frequently) that is not as much a concern. Feel this could be an okay risk if everything else checks out. Needs to be updated electrical system, etc. //9/26 updates in 2010. PPC shows 6/6Y which could be 6 or 9. Agent quoted 8. Changed to 9 and gave premium of $1819."/>
    <m/>
    <n v="26"/>
    <s v="Patterson"/>
    <s v="X"/>
    <s v="Make sure this was issued as a PC9 or that there is info on a hydrant within 1000'"/>
    <n v="0"/>
  </r>
  <r>
    <x v="552"/>
    <s v="Burns"/>
    <s v="MI"/>
    <s v="Rachel"/>
    <m/>
    <s v="Karley"/>
    <s v="Douglas"/>
    <x v="0"/>
    <s v="Shawnee"/>
    <x v="28"/>
    <s v="66216"/>
    <x v="9"/>
    <x v="287"/>
    <x v="489"/>
    <s v="Business on Premises"/>
    <s v="1994 home w/full roof update in 2000. No losses. Insured has licensed daycare in home. Lic for 6. Usually has 5. Agt quoting in B&amp;W In home daycare program w/max of 5. App is incomplete."/>
    <x v="3"/>
    <s v="Lic for 6. Online check shows Karley daycare licensed for 10. Either way is okay, but not in the in home daycare program. Approved in HO w/ TBE and require commercial policies to be maintained. Need completed app-all uw questions blank."/>
    <m/>
    <m/>
    <s v="Patterson"/>
    <m/>
    <m/>
    <n v="0"/>
  </r>
  <r>
    <x v="159"/>
    <s v="Hull Horsham"/>
    <s v="PA"/>
    <s v="Tamika"/>
    <s v="Call"/>
    <s v="Jarrell"/>
    <s v="Tina &amp; Glen"/>
    <x v="1"/>
    <s v="Mt. Bethel"/>
    <x v="2"/>
    <m/>
    <x v="6"/>
    <x v="288"/>
    <x v="427"/>
    <s v="Contents for COC"/>
    <s v="Ground up construction. Insd has a barn and cottage on the property. $100K contents being stored in them. (They have $210K, but we are only going to give $100K.)  They will be moving back into the home after construction."/>
    <x v="3"/>
    <s v="Structures in good condition. Locked and secured. .47 rate competitive with other markets."/>
    <m/>
    <n v="14"/>
    <s v="Patterson"/>
    <m/>
    <m/>
    <n v="0"/>
  </r>
  <r>
    <x v="618"/>
    <s v="SCU"/>
    <s v="CO"/>
    <s v="Allison"/>
    <s v="Email"/>
    <s v="Carpe, Tracey"/>
    <m/>
    <x v="0"/>
    <s v="Conifer, CO PC 5"/>
    <x v="3"/>
    <m/>
    <x v="0"/>
    <x v="289"/>
    <x v="490"/>
    <s v="Claims History"/>
    <s v="Referring due to prior dog bite claim/water claim. Still owns dog (1 of 3). Dog bite was related to claimant teasing dog, wants sublimit of $10K"/>
    <x v="3"/>
    <s v="Gave approval to release terms with animal liab exclusion, declined sublimit request"/>
    <m/>
    <m/>
    <s v="K.Burdine"/>
    <m/>
    <m/>
    <n v="0"/>
  </r>
  <r>
    <x v="79"/>
    <s v="Hull Charlotte"/>
    <m/>
    <s v="Alia"/>
    <s v="Email"/>
    <s v="Kosky, Audrey"/>
    <m/>
    <x v="0"/>
    <s v="Mt Pleasant"/>
    <x v="20"/>
    <m/>
    <x v="0"/>
    <x v="290"/>
    <x v="395"/>
    <s v="Prior loss "/>
    <s v="2014 dog bite claim, insured still has dog. Taking obedience classes. Agent wants to write with animal exclusion. $275K liab loss."/>
    <x v="4"/>
    <m/>
    <m/>
    <m/>
    <s v="Patterson"/>
    <m/>
    <m/>
    <n v="0"/>
  </r>
  <r>
    <x v="44"/>
    <s v="Burns"/>
    <s v="MI"/>
    <s v="Leslie"/>
    <s v="Email"/>
    <s v="Barndt"/>
    <s v="Richard"/>
    <x v="0"/>
    <s v="Riverside"/>
    <x v="1"/>
    <m/>
    <x v="5"/>
    <x v="291"/>
    <x v="491"/>
    <s v="TIV"/>
    <s v="Brush exposed home. PC4. Has active claim that is newly reported due to wild fire. Inspection shows they are underinsured and want to increase coverage. After receiving new inspection, brush and dead trees have not been removed. Asking for them to be mitigated before increasing coverage. Also flagging for renewal pending confirmation this has been done."/>
    <x v="3"/>
    <s v="Subject to correct occupancy and brush removal they are approved for the increase."/>
    <m/>
    <m/>
    <s v="Lazovik"/>
    <m/>
    <m/>
    <n v="0"/>
  </r>
  <r>
    <x v="349"/>
    <s v="Burns"/>
    <s v="MI"/>
    <s v="David"/>
    <s v="Email"/>
    <s v="Brown"/>
    <s v="Dustin"/>
    <x v="2"/>
    <s v="Hermosa Beach"/>
    <x v="1"/>
    <m/>
    <x v="8"/>
    <x v="292"/>
    <x v="281"/>
    <s v="High Profile"/>
    <s v="Home built in 1937. Unknown when updates to plumbing, roofing and electrical have been done. Home has had liability coverage but insured has been told to cover the property. Insured is well known hockey player for LA Kings."/>
    <x v="0"/>
    <s v="Did not put on coverage when purchasing the home in July. Confirm updates to the home's systems. "/>
    <m/>
    <m/>
    <s v="Lazovik"/>
    <m/>
    <m/>
    <n v="0"/>
  </r>
  <r>
    <x v="619"/>
    <s v="Hull Irvine"/>
    <m/>
    <s v="Alison"/>
    <s v="Email/Call"/>
    <s v="Watson, Jacob"/>
    <m/>
    <x v="2"/>
    <s v="Middletown"/>
    <x v="1"/>
    <m/>
    <x v="12"/>
    <x v="292"/>
    <x v="244"/>
    <s v="Pre-date effective date"/>
    <s v="Agent bound risk for this very large client on 1/15 with Travelers. Within a couple of days, Travelers advised risk was not eligible. Agent scrambling for a policy - could have desk bound w/Travelers, but need 1/15 eff date. There is a lender. Agent sent statement of no loss. App says home office."/>
    <x v="3"/>
    <s v="Not our typical procedure. Making exception due to large client, good relationship between co and agency. Asked for insured signed SNL and confirmation of no business activities on property. "/>
    <m/>
    <m/>
    <s v="Patterson"/>
    <m/>
    <m/>
    <n v="0"/>
  </r>
  <r>
    <x v="620"/>
    <s v="Burns"/>
    <s v="MI"/>
    <s v="Jill"/>
    <s v="Email"/>
    <s v="Gables by the Sea LLC"/>
    <s v="Gables by the Sea LLC"/>
    <x v="3"/>
    <m/>
    <x v="9"/>
    <m/>
    <x v="0"/>
    <x v="292"/>
    <x v="492"/>
    <s v="Heat Source"/>
    <s v="Frame, secondary rental, no losses, located in NJ, no heat on second floor"/>
    <x v="3"/>
    <s v="apply a 5% surcharge for the lack of heat on the second floor, and also please be sure to obtain an Older Home Questionnaire for the file"/>
    <m/>
    <m/>
    <s v="Burdine"/>
    <m/>
    <m/>
    <n v="0"/>
  </r>
  <r>
    <x v="272"/>
    <s v="Hull CA"/>
    <s v="Stockton"/>
    <s v="Lisa"/>
    <s v="Email"/>
    <s v="Wong, Jimmy"/>
    <m/>
    <x v="0"/>
    <s v="South Lake Tahoe"/>
    <x v="1"/>
    <m/>
    <x v="9"/>
    <x v="292"/>
    <x v="493"/>
    <s v="Backdate 1 day"/>
    <s v="Insured closed on 9/15/16, bind request came in 9/16/16. All in order. Roof exclusion applied as date of update is not known. Retailer completed an evidence of insurance. Online photo looks like woodstove pipe and the older home quest mentions it."/>
    <x v="3"/>
    <s v="Approved subject to an acceptable woodstove quest. Also asked agt if retailer has binding authority. If not, they should not complete Evidence of Ins documents."/>
    <m/>
    <m/>
    <s v="Patterson"/>
    <m/>
    <m/>
    <n v="0"/>
  </r>
  <r>
    <x v="621"/>
    <s v="Burns"/>
    <s v="MI"/>
    <s v="Jill"/>
    <m/>
    <s v="Vaccaro"/>
    <s v="Michael"/>
    <x v="0"/>
    <s v="Winfield"/>
    <x v="36"/>
    <s v="63389"/>
    <x v="3"/>
    <x v="292"/>
    <x v="271"/>
    <s v="Business on Premises"/>
    <s v="2015 home with landscaping business on premises. Employees, no customers. Storage only on property. Has trampoline, dog, chickens. Has coml policies. Business is in detached outbuilding w/fuel tank on side of it."/>
    <x v="3"/>
    <s v="Chickens for personal egg consumption. Aerial photo shows separation between home and other structure.  Subj to: Verify condition of all other structures. Advised clearances for fuel tanks to be eligible. Decline if clearances are not met. Require TBE, Coml policies in place."/>
    <s v="Trampoline exclusion mandatory on all policies."/>
    <m/>
    <s v="Patterson"/>
    <m/>
    <m/>
    <n v="0"/>
  </r>
  <r>
    <x v="242"/>
    <s v="Burns"/>
    <s v="MI"/>
    <s v="Leslie"/>
    <s v="Email"/>
    <s v="Clifford, Eugene"/>
    <m/>
    <x v="0"/>
    <s v="Chico CA PC10"/>
    <x v="3"/>
    <m/>
    <x v="0"/>
    <x v="292"/>
    <x v="494"/>
    <s v="Response time 22 mins"/>
    <s v="FireLine High 12 - Med fuels, steep, limited access. RiskMeter Medium.  1978 home no alarms. Hartford NRN due to location. 61 acres. 22 min response - FD 11 miles away."/>
    <x v="1"/>
    <s v="Decline due to 22 min response time.  Average risk."/>
    <m/>
    <m/>
    <s v="Patterson"/>
    <m/>
    <m/>
    <n v="1"/>
  </r>
  <r>
    <x v="586"/>
    <s v="JM Wilson"/>
    <s v="MI"/>
    <s v="Jon"/>
    <m/>
    <s v="Hafer"/>
    <s v="Eric"/>
    <x v="0"/>
    <s v="Burlington"/>
    <x v="12"/>
    <m/>
    <x v="3"/>
    <x v="293"/>
    <x v="495"/>
    <s v="Prior Lapse/NRN"/>
    <s v="Home was non-renewed due to condition. Home has now been updated and they are looking to insure again. No explanation "/>
    <x v="1"/>
    <s v="Reason for lapse is unclear."/>
    <m/>
    <m/>
    <s v="Lazovik"/>
    <m/>
    <m/>
    <n v="1"/>
  </r>
  <r>
    <x v="256"/>
    <s v="Hull CA"/>
    <s v="Stockton"/>
    <s v="Kirk"/>
    <s v="Email"/>
    <s v="Fordyce, Carolyn"/>
    <m/>
    <x v="96"/>
    <s v="Mountain Ranch CA PC5"/>
    <x v="1"/>
    <m/>
    <x v="2"/>
    <x v="294"/>
    <x v="496"/>
    <s v="Prior wildfire loss"/>
    <s v="Brand new home. Prior home had total fire loss 9/2015 from Butte Fire. Home on 13.5 acres. 3.7 mi to FD. RM medium brush. FireLine Moderate-2, light fuels, no access issues."/>
    <x v="3"/>
    <s v="Approve subject to Fire Marshall report. Also that home is near front of 13.5 acres and accessible."/>
    <s v="No FM report available. Got RPS loss run which confirms evacuation and wildfire 9/15."/>
    <m/>
    <s v="Patterson"/>
    <m/>
    <m/>
    <n v="0"/>
  </r>
  <r>
    <x v="622"/>
    <s v="Burns"/>
    <s v="MI"/>
    <s v="Alexa"/>
    <s v="Email"/>
    <s v="Foster"/>
    <s v="Carl &amp; Nancy"/>
    <x v="0"/>
    <s v="Eagerville"/>
    <x v="5"/>
    <m/>
    <x v="6"/>
    <x v="295"/>
    <x v="497"/>
    <s v="Business on Premises"/>
    <s v="Attached is a primary home located in TN. Home was built in 1996 of frame construction,  PC 9, blueberry picking business"/>
    <x v="3"/>
    <s v="approval to offer terms on this risk, subject to the Total Business Exclusion being applied and confirmation that they have a GL policy covering the blueberry business."/>
    <m/>
    <m/>
    <s v="Burdine"/>
    <m/>
    <m/>
    <n v="0"/>
  </r>
  <r>
    <x v="3"/>
    <s v="XS Brokers"/>
    <s v="MA"/>
    <s v="Barbara"/>
    <s v="Email"/>
    <s v="Donavand"/>
    <s v="Robert"/>
    <x v="0"/>
    <s v="Colchester "/>
    <x v="25"/>
    <s v="06415"/>
    <x v="5"/>
    <x v="295"/>
    <x v="424"/>
    <s v="Losses"/>
    <s v="1965 home with partial elec, no plumbing update. 1/20/19 $90K dog bite loss. Insd has a mastiff dog. Animal exclusion applied."/>
    <x v="3"/>
    <s v="Ok to release rate indication.  Need to review details of dog bite to ensure no negligence by insd. Exclusion is applied.  If we proceed, subj to acceptable OHQ.  Suggest EHP. (Guidelines do not require deductible UW until PRE-65.) //OHQ looks ok. Verify if any galvanized. Animal exclusion. Details of dog bite show no negligence. MP 2/15/19"/>
    <m/>
    <m/>
    <s v="Patterson"/>
    <m/>
    <m/>
    <n v="0"/>
  </r>
  <r>
    <x v="112"/>
    <s v="Hull Irvine"/>
    <m/>
    <s v="Melissa"/>
    <s v="Email"/>
    <s v="Miller, MA &amp; JA"/>
    <m/>
    <x v="0"/>
    <s v="Sky Forest"/>
    <x v="1"/>
    <m/>
    <x v="0"/>
    <x v="296"/>
    <x v="329"/>
    <s v="Lapse"/>
    <s v="Do we want to reinstate or renew this existing policy?  HUCAH150000389  No claims history.  "/>
    <x v="3"/>
    <s v="good account? Relationship w/agent? Need copy of app, insp, dec to review. If approved, 5% s/c will apply-rewrite w/lapse only.  Too late to reinstate (expired 4/15/17)  Acct and info looks fine. Confusion on app - lists primary and tenant. Asked Melissa to confirm HO3. "/>
    <m/>
    <m/>
    <s v="Patterson"/>
    <m/>
    <m/>
    <n v="0"/>
  </r>
  <r>
    <x v="152"/>
    <s v="Burns"/>
    <s v="MI"/>
    <s v="Jeff"/>
    <s v="Email"/>
    <s v="Horner   BWH105083"/>
    <s v="Mary   "/>
    <x v="102"/>
    <s v="Cobb"/>
    <x v="1"/>
    <m/>
    <x v="0"/>
    <x v="297"/>
    <x v="498"/>
    <s v="ERC"/>
    <s v="Renewal looking to add ERC. 1958 home w/updates. Not in brush. Says PC6, but app looks like it should be a 9 - no hydrant within 1000'"/>
    <x v="3"/>
    <s v="Check w/Dani. Check brush clearance and PC - looks like it should be a 9."/>
    <m/>
    <n v="23"/>
    <s v="Patterson"/>
    <m/>
    <m/>
    <n v="0"/>
  </r>
  <r>
    <x v="106"/>
    <s v="Burns"/>
    <s v="MI"/>
    <s v="Alexa"/>
    <s v="Email"/>
    <s v="Hoyt, Palmore"/>
    <m/>
    <x v="21"/>
    <s v="Tollhouse"/>
    <x v="1"/>
    <m/>
    <x v="6"/>
    <x v="297"/>
    <x v="499"/>
    <s v="Response time"/>
    <s v="2005 seasonal w/16 week rental home w/no alarms. Letter from FD in file. 7.2 mi 15 min response time to front of property. Home on 45 acres. Verified response time online.  No farming/no ranching per app."/>
    <x v="3"/>
    <s v="Add 10% surcharge for response time reaching our max. $2654 prem."/>
    <m/>
    <m/>
    <s v="Patterson"/>
    <m/>
    <m/>
    <n v="0"/>
  </r>
  <r>
    <x v="324"/>
    <s v="JM Wilson"/>
    <s v="MI"/>
    <s v="Cheryl"/>
    <s v="Email"/>
    <s v="Houghton"/>
    <s v="Brett &amp; Ceree"/>
    <x v="0"/>
    <s v="Philadelphia"/>
    <x v="5"/>
    <m/>
    <x v="3"/>
    <x v="297"/>
    <x v="500"/>
    <s v="Occupancy/Use"/>
    <s v="1 dog bit claim, 0 paid, dog no longer in home. 5 horses for personal use only, cows personal use only (use to graze land and cows for personal consumption). No cows now, but they get some occasionally."/>
    <x v="3"/>
    <s v="approval with animal liab excluded//subsequent conversation with Cheryl - advised we could write with animal liability "/>
    <m/>
    <m/>
    <s v="Burdine"/>
    <m/>
    <m/>
    <n v="0"/>
  </r>
  <r>
    <x v="623"/>
    <s v="Burns"/>
    <s v="MI"/>
    <s v="Alexa"/>
    <s v="Email"/>
    <s v="Swanson"/>
    <s v="Lesli"/>
    <x v="4"/>
    <m/>
    <x v="53"/>
    <m/>
    <x v="4"/>
    <x v="298"/>
    <x v="0"/>
    <s v="PC"/>
    <s v="Remote cottage $110K TIV. 30-60 response time. $1.00 rate. Additional info provided that actually cottage is inaccessible and an inspector can't even get there. There is also no current coverage."/>
    <x v="1"/>
    <s v="Online info shows the home at this address is 2700 SF. Inaccessible and can't get an inspection, plus the lack of coverage."/>
    <s v="Discussed pricing with Bethany, don't feel we can price for this exposure."/>
    <m/>
    <s v="Patterson"/>
    <m/>
    <m/>
    <n v="1"/>
  </r>
  <r>
    <x v="458"/>
    <s v="Hull CO"/>
    <s v="PA"/>
    <s v="Tamika"/>
    <s v="Call"/>
    <m/>
    <m/>
    <x v="1"/>
    <s v="Philadelphia"/>
    <x v="3"/>
    <m/>
    <x v="0"/>
    <x v="298"/>
    <x v="0"/>
    <s v="Builder doing own work"/>
    <s v="Insured has a current home, all updated. He is a licensed contractor and is going to add his own additional and garage. He is subbing out the plumbing."/>
    <x v="1"/>
    <s v="We can't write business for a contractor doing their own work as we have no subro opportunity among other issues."/>
    <m/>
    <m/>
    <s v="Patterson"/>
    <m/>
    <m/>
    <n v="1"/>
  </r>
  <r>
    <x v="571"/>
    <s v="SCU"/>
    <s v="CO"/>
    <s v="Allison"/>
    <s v="Email"/>
    <s v="Perito, Charles"/>
    <m/>
    <x v="103"/>
    <s v="Evergreen CO PC6, Lakewood, CO PC 4, Arvada, CO PC 3"/>
    <x v="3"/>
    <m/>
    <x v="0"/>
    <x v="298"/>
    <x v="0"/>
    <s v="Open claim"/>
    <s v="3 rentals, on policy. Open claim on Arvada rental. Tenant at fault for loss, prior carrier subrogatng, loss date 12/2015"/>
    <x v="0"/>
    <s v="requested info on what stage of rebuild, questioned if considered debiting that home, other two homes 1950, 1957-requesting if updates being made to systems that weren't checked on app"/>
    <s v="Additional request on 5/4/16 to write just one of the three locations with a  10% addl surcharge. Approved-Patterson"/>
    <m/>
    <s v="Burdine"/>
    <m/>
    <m/>
    <n v="0"/>
  </r>
  <r>
    <x v="624"/>
    <s v="Hull CO"/>
    <s v="Horsham"/>
    <s v="Tamika"/>
    <s v="Email"/>
    <s v="Christopher, Donald"/>
    <m/>
    <x v="0"/>
    <s v="West Wildwood NJ "/>
    <x v="3"/>
    <m/>
    <x v="0"/>
    <x v="298"/>
    <x v="4"/>
    <s v="COC Modular"/>
    <s v="2016 modular home being constructed by licensed contractor."/>
    <x v="4"/>
    <m/>
    <m/>
    <m/>
    <s v="Patterson"/>
    <m/>
    <m/>
    <n v="0"/>
  </r>
  <r>
    <x v="226"/>
    <s v="Hull CO"/>
    <s v="Horsham"/>
    <s v="Ray"/>
    <s v="Email"/>
    <s v="Serrao, Frank"/>
    <m/>
    <x v="1"/>
    <s v="Mystic Island NJ "/>
    <x v="3"/>
    <m/>
    <x v="0"/>
    <x v="298"/>
    <x v="4"/>
    <s v="Insd is GC"/>
    <s v="New modular being constructed on site. Main connections done by modular company. Insured is GC, plumber, electrician. "/>
    <x v="1"/>
    <s v="Advised Ray we are not currently writing risks where insured is the GC. We are working on a program with Tamika."/>
    <m/>
    <m/>
    <s v="Patterson"/>
    <m/>
    <m/>
    <n v="1"/>
  </r>
  <r>
    <x v="104"/>
    <s v="Burns"/>
    <s v="MI"/>
    <s v="Leslie"/>
    <s v="Email"/>
    <s v="Domus Pacis LLC"/>
    <m/>
    <x v="2"/>
    <s v="Palm Springs"/>
    <x v="1"/>
    <m/>
    <x v="0"/>
    <x v="298"/>
    <x v="239"/>
    <s v="Tenant is a foster care enterprise"/>
    <s v="Insured leases dwelling to a non-profit foster care enterprise. They don't own it in any way. Foster care has their own liability. Agent proposing $1M liab and Total Business exclusion."/>
    <x v="2"/>
    <s v="Asked numerous questions about the tenant and risk. Concerning class of business."/>
    <m/>
    <m/>
    <s v="Patterson"/>
    <m/>
    <m/>
    <n v="0"/>
  </r>
  <r>
    <x v="374"/>
    <s v="Burns"/>
    <s v="MI"/>
    <s v="Leslie"/>
    <m/>
    <s v="Hockett"/>
    <s v="Kasey"/>
    <x v="1"/>
    <s v="Fort Bragg"/>
    <x v="1"/>
    <s v="95437"/>
    <x v="2"/>
    <x v="298"/>
    <x v="187"/>
    <s v="Condition"/>
    <s v="1953 dwelling under construction w/WBS as primary heat. WRS 40 w/60% surcharge. Will be installing central heat."/>
    <x v="1"/>
    <s v="Need at least avg condition even for builders risk.  Photos show below average condition.  Pool structure is dilapidated. Home shows addition with trees growing through the roof. "/>
    <m/>
    <m/>
    <s v="Patterson"/>
    <m/>
    <m/>
    <n v="1"/>
  </r>
  <r>
    <x v="625"/>
    <s v="Hull Irvine"/>
    <s v="CA"/>
    <s v="Lucas"/>
    <s v="Email"/>
    <s v="DGML Real Estate LLC"/>
    <s v="DGML Real Estate LLC"/>
    <x v="5"/>
    <s v="San Diego"/>
    <x v="1"/>
    <m/>
    <x v="0"/>
    <x v="298"/>
    <x v="187"/>
    <s v="Builders Risk"/>
    <s v="50% completed. Prior carrier cancelling due to extent of renovations (include moving interior walls). Agt quoted with 20% surcharge and $2500 AOP ded due to midterm work. Should be done 3-6 months"/>
    <x v="4"/>
    <s v="OK with surcharge and higher ded"/>
    <m/>
    <m/>
    <s v="Burdine"/>
    <m/>
    <m/>
    <n v="0"/>
  </r>
  <r>
    <x v="504"/>
    <s v="Burns"/>
    <s v="MI"/>
    <s v="Leslie"/>
    <m/>
    <s v="Aulsebrook"/>
    <s v="Jennifer &amp; John"/>
    <x v="5"/>
    <s v="Lake George"/>
    <x v="19"/>
    <s v="80827"/>
    <x v="6"/>
    <x v="298"/>
    <x v="501"/>
    <s v="Other UW Reason"/>
    <s v="Burns sent this over to just ask a question. Vacant risk with a WBS. Requesting the wood stove not be used in lieu of the WBS quest. Insured advised the do not have any info on the installation as it was present before they purchased the property. "/>
    <x v="2"/>
    <s v="Advised that we will not allow that exception. The WBS must either be removed, or a WBS quest must be completed. Advised that the insured doesn't have to be the one to complete it, and that a licensed professional can also complete the form. "/>
    <m/>
    <m/>
    <s v="Busse"/>
    <m/>
    <m/>
    <n v="0"/>
  </r>
  <r>
    <x v="338"/>
    <s v="Burns"/>
    <s v="MI"/>
    <s v="Rachel"/>
    <s v="Email"/>
    <s v="Palmer"/>
    <s v="John"/>
    <x v="2"/>
    <s v="Lemon Grove"/>
    <x v="1"/>
    <m/>
    <x v="11"/>
    <x v="298"/>
    <x v="501"/>
    <s v="Losses"/>
    <s v="1953 w/full updates in 2018. Fire loss, undetermined on 7/15/17. $130,000. Report provided is first responder fire dept report."/>
    <x v="4"/>
    <s v="Need actual fire marshal cause &amp; origin. Report notes 2 unit (check rate). One unit - people were away in Mexico. Other unit was vacant. // C&amp;O from prior carrier does not indicate any suspicious cause. Did not add AP for loss being slightly over $100K because 5% that we often do won't add much."/>
    <s v="Interesting that a fire started when no one was there on a 1953 rental. Definitely want fire marshal report to give us more info. Decline if we can't get comfortable with a cause. No adverse online info."/>
    <m/>
    <s v="Patterson"/>
    <m/>
    <m/>
    <n v="0"/>
  </r>
  <r>
    <x v="474"/>
    <s v="Hull Horsham"/>
    <m/>
    <s v="Tamika"/>
    <s v="Email/Call"/>
    <s v="Estate of Grandin Thompson"/>
    <m/>
    <x v="5"/>
    <s v="Freehold"/>
    <x v="9"/>
    <m/>
    <x v="0"/>
    <x v="298"/>
    <x v="276"/>
    <s v="Renewal 5th term"/>
    <s v="1946 home vacant with Hull for 4 terms. They nonrenewed. This is insured's parents house and he is struggling to make decision on what to do with the home. Garage not in great shape-rest of house is okay. He lives next door to home. (Different streets but confirmed on google, they are next door)  Has a Lex quote but it's DP1 100% down. "/>
    <x v="3"/>
    <s v="Very high insurance score, 10% surcharge, exclude garage, renew for 1 more term only."/>
    <m/>
    <m/>
    <s v="Patterson"/>
    <m/>
    <m/>
    <n v="0"/>
  </r>
  <r>
    <x v="441"/>
    <s v="Hull CA"/>
    <s v="Irvine"/>
    <s v="Alison"/>
    <s v="Email"/>
    <s v="Brown, Georgie"/>
    <m/>
    <x v="2"/>
    <s v="Wofford Heights CA "/>
    <x v="3"/>
    <m/>
    <x v="0"/>
    <x v="298"/>
    <x v="240"/>
    <s v="Woodstove primary. Not accessible yr round"/>
    <s v="1965 home w/woodstove as primary heat. Nonrenewed by Foremost for this reason."/>
    <x v="1"/>
    <s v="Woodstove as primary is unacceptable, even more of a concern as a rental. I scrutinize those even for supplemental heat."/>
    <m/>
    <m/>
    <s v="Patterson"/>
    <m/>
    <m/>
    <n v="1"/>
  </r>
  <r>
    <x v="203"/>
    <s v="Hull CA"/>
    <s v="Stockton"/>
    <s v="Kirk"/>
    <s v="Email"/>
    <s v="Estate of Vince Morales"/>
    <m/>
    <x v="2"/>
    <s v="Stockton CA PC3"/>
    <x v="3"/>
    <m/>
    <x v="0"/>
    <x v="298"/>
    <x v="240"/>
    <s v="Waive roof exclusion"/>
    <s v="1940 home with lapse, prior carrier Fair Plan, not in brush. Was renovated in 2014-15. Roof has tiles replaced as needed, but is original. App says vacant; email cover says rental. Need more info on use."/>
    <x v="4"/>
    <s v="Approve with roof exclusion; can't do ACV due to age, lapse, and prior carrier."/>
    <m/>
    <m/>
    <s v="Patterson"/>
    <m/>
    <m/>
    <n v="0"/>
  </r>
  <r>
    <x v="626"/>
    <s v="ASL"/>
    <m/>
    <s v="Charity"/>
    <s v="Email"/>
    <s v="Mitchell, Linda"/>
    <m/>
    <x v="2"/>
    <s v="Melfa"/>
    <x v="10"/>
    <m/>
    <x v="6"/>
    <x v="298"/>
    <x v="240"/>
    <s v="PC9"/>
    <s v="1920 home updated in 2012. Verified fire department is very close, less than 5 minutes.  Found 2 online references to businesses at this address. Sent links to agent."/>
    <x v="2"/>
    <s v="Asked Charity to investigate business and refer if there was an active business."/>
    <m/>
    <m/>
    <s v="Patterson"/>
    <m/>
    <m/>
    <n v="0"/>
  </r>
  <r>
    <x v="511"/>
    <s v="Burns"/>
    <s v="MI"/>
    <s v="Delta"/>
    <s v="Email"/>
    <s v="Montero"/>
    <s v="Humberto"/>
    <x v="21"/>
    <s v="Julian"/>
    <x v="1"/>
    <m/>
    <x v="6"/>
    <x v="298"/>
    <x v="231"/>
    <s v="Response time"/>
    <s v="2005 frame home in brush w/ no alarms, seasonal. 20 minute response time. Reviewed address of FD and it appears to be 11 min/5.9 miles. UPQ states something about 20 minutes - not sure if that is all or one tanker response time."/>
    <x v="3"/>
    <s v="Risk looks good. Approve if response time truly is &lt;15 min. If over 15, refer back w/details. Advised not sure we could make an exception.  Fireline is Extreme 13. Heavy fuels, Moderate slope, very limited access. Part of 2003 Cedar fire. Copy of FL in temp file. RM shows moderate."/>
    <m/>
    <n v="22"/>
    <s v="Patterson"/>
    <m/>
    <m/>
    <n v="0"/>
  </r>
  <r>
    <x v="518"/>
    <s v="ASL"/>
    <s v="VA"/>
    <s v="Charity"/>
    <s v="Email"/>
    <s v="Watson"/>
    <s v="Ruth"/>
    <x v="2"/>
    <s v="Madison"/>
    <x v="10"/>
    <m/>
    <x v="4"/>
    <x v="298"/>
    <x v="299"/>
    <s v="PC10"/>
    <s v="1997 quonset hut renovated to be rental dwelling. Purchase of dwelling and 19 acres $289K. Agent asking for $300K Cov A. App says $30K. Quonset huts have low PSF. Response time over 15 min by volunteer FD and gravel roads."/>
    <x v="2"/>
    <s v="Asked agent to check:  • Confirm interior renovation was professionally completed (especially concerned with wiring, plumbing, heating)_x000a_• Confirm no business use or business storage – residential use only_x000a_• Cov A_x000a_• Google shows a 14 minute drive time between the property and the FD.  This is a volunteer FD, gravel roads, so the response time will be over 15 minutes.  We would need to apply a surcharge to the premium for this.  I can determine the amount when we settle on a Cov A._x000a_"/>
    <m/>
    <n v="35"/>
    <s v="Patterson"/>
    <m/>
    <m/>
    <n v="0"/>
  </r>
  <r>
    <x v="627"/>
    <s v="JM Wilson"/>
    <s v="MI"/>
    <s v="John"/>
    <s v="Email"/>
    <s v="Beeler"/>
    <s v="Kelly &amp; Patsy"/>
    <x v="0"/>
    <s v="Knoxville"/>
    <x v="5"/>
    <m/>
    <x v="9"/>
    <x v="298"/>
    <x v="271"/>
    <s v="Condition"/>
    <s v="Originally built as warehouse; converted to private residence and garage"/>
    <x v="3"/>
    <s v="Advised something to consider; questioned if applicant did conversion, or purchased as is? Requested confirmation of plumbing, heating, and electric in structure"/>
    <m/>
    <m/>
    <s v="Burdine"/>
    <m/>
    <m/>
    <n v="0"/>
  </r>
  <r>
    <x v="135"/>
    <s v="Burns"/>
    <s v="MI"/>
    <s v="Jill"/>
    <s v="Email"/>
    <s v="Santana"/>
    <s v="Alejandro &amp; Sharon"/>
    <x v="2"/>
    <s v="Multnomah"/>
    <x v="35"/>
    <m/>
    <x v="9"/>
    <x v="298"/>
    <x v="502"/>
    <s v="Business on Premises"/>
    <s v="home is rented out to Blooming Rose Pre-school LLC. There is a Scottsdale GL policy currently in place for the pre-school operations; 1942 build, partial updates to wiring and plumbing."/>
    <x v="3"/>
    <s v="reviewed website/facebook page of school. Appears to be a school only up to 15 kids in school; x-liab, TBE, and FRC settlement option if residential use. If comm only, advised better fit on comm pol"/>
    <m/>
    <m/>
    <s v="K.Burdine"/>
    <m/>
    <m/>
    <n v="0"/>
  </r>
  <r>
    <x v="628"/>
    <s v="Burns"/>
    <s v="MI"/>
    <s v="Lindsay"/>
    <m/>
    <s v="Grau"/>
    <s v="Laurl"/>
    <x v="0"/>
    <s v="Philadelphia"/>
    <x v="2"/>
    <s v="19128"/>
    <x v="8"/>
    <x v="298"/>
    <x v="452"/>
    <s v="Condition"/>
    <s v="1930 home updated except electric is partial and has knob &amp; tube in attic. Aft says insd is closing, moving in, and will update in 30 days. Rush inspection. "/>
    <x v="3"/>
    <s v="If knob &amp; tube is inactive, okay to bind and have electrician remove inactive wiring in 30 days. If active, risk is ineligible per guidelines. 30 days is too long for active k&amp;t."/>
    <s v="We have made exceptions before for new closings.  The electrician must be the first one in the house the day of or after closing. Circuits cannot start being used until the k&amp;t wiring is removed.  We will wait to see if they ask for it.  I don't want to promote approvals for this situation."/>
    <m/>
    <s v="Patterson"/>
    <m/>
    <m/>
    <n v="0"/>
  </r>
  <r>
    <x v="429"/>
    <s v="SCU"/>
    <s v="CO"/>
    <s v="Allison"/>
    <s v="Email"/>
    <s v="Rolfe, Patricia"/>
    <m/>
    <x v="0"/>
    <s v="Lyons CO PC3"/>
    <x v="3"/>
    <m/>
    <x v="0"/>
    <x v="298"/>
    <x v="503"/>
    <s v="Seacoast Rate"/>
    <s v="Built in 1996 w/updates. Brush area. Seacoast $946. Markel $1229 (25%). That is with 10% discretionary already. We have ERC, RC on roof, $5K water b/u, $5K mold, $2500 biz prop."/>
    <x v="4"/>
    <s v="Discussing rates of additional coverages with Allison. Reviewed w/ Jeff and agreed to do 10% over Seacoast."/>
    <m/>
    <m/>
    <s v="Patterson"/>
    <m/>
    <m/>
    <n v="0"/>
  </r>
  <r>
    <x v="550"/>
    <s v="Burns"/>
    <s v="MI"/>
    <s v="Alexa"/>
    <s v="Email"/>
    <s v="St. Clair Sherman"/>
    <s v="Isabel"/>
    <x v="4"/>
    <m/>
    <x v="0"/>
    <m/>
    <x v="8"/>
    <x v="298"/>
    <x v="504"/>
    <s v="Business on Premises"/>
    <s v="Air BNB approximately 24 weeks, will confirm two night minimim met"/>
    <x v="4"/>
    <s v="Approved subject to 2-night minimum being met"/>
    <m/>
    <m/>
    <s v="Burdine"/>
    <m/>
    <m/>
    <n v="0"/>
  </r>
  <r>
    <x v="285"/>
    <s v="SCU"/>
    <s v="CO"/>
    <s v="Allison"/>
    <s v="Email"/>
    <s v="Sims, Marilyn"/>
    <m/>
    <x v="5"/>
    <s v="Lyons"/>
    <x v="19"/>
    <m/>
    <x v="6"/>
    <x v="298"/>
    <x v="505"/>
    <s v="Limited access"/>
    <s v="1954 home updated in 05/14. 5/14 water tank loss. Bridge access to home washed out in 10/13 - it is being replaced - should be in 2 months. Letter from FD explains access."/>
    <x v="3"/>
    <s v="Subj to 5% s/c for additional response time and 6 month not renewable policy."/>
    <m/>
    <m/>
    <s v="Patterson"/>
    <m/>
    <m/>
    <n v="0"/>
  </r>
  <r>
    <x v="629"/>
    <s v="Burns"/>
    <s v="MI"/>
    <s v="Rachel"/>
    <s v="Email"/>
    <s v="Ruiz"/>
    <s v="Jose"/>
    <x v="4"/>
    <s v="Como"/>
    <x v="19"/>
    <m/>
    <x v="4"/>
    <x v="298"/>
    <x v="394"/>
    <s v="PC"/>
    <s v="PC10 home built in 2016. Everything looks good (via zillow listing). "/>
    <x v="4"/>
    <s v="Discussed with Jeff. This is a renewal that Rachel caught was marked as a PC 6 when in fact it is a PC10 with a 16 minute response time (on dirt road). Provided the TIV is not too high and the risk looks good, Jeff gave the OK. Based on real estate listing, it is in excellent condition built in 2016."/>
    <m/>
    <m/>
    <s v="Lazovik"/>
    <m/>
    <m/>
    <n v="0"/>
  </r>
  <r>
    <x v="478"/>
    <s v="Burns"/>
    <s v="MI"/>
    <s v="Rachel"/>
    <s v="Email"/>
    <s v="Ruiz"/>
    <s v="Jose"/>
    <x v="4"/>
    <m/>
    <x v="19"/>
    <m/>
    <x v="6"/>
    <x v="298"/>
    <x v="394"/>
    <s v="PC"/>
    <s v="Renewal policy - was rated as PC10 but agent supported a PC9 classification and asked that it be re-rated"/>
    <x v="4"/>
    <s v="Verified PC"/>
    <m/>
    <m/>
    <s v="May"/>
    <m/>
    <m/>
    <n v="0"/>
  </r>
  <r>
    <x v="616"/>
    <s v="Burns"/>
    <s v="MI"/>
    <s v="Lindsay"/>
    <s v="Email"/>
    <s v="Causey Cabin LLC"/>
    <s v="Causey Cabin LLC"/>
    <x v="4"/>
    <s v="Huntersville"/>
    <x v="22"/>
    <m/>
    <x v="4"/>
    <x v="298"/>
    <x v="48"/>
    <s v="PC"/>
    <s v="Periodic inaccessible; close to neighbors, alarms"/>
    <x v="3"/>
    <s v="premium increase to $4K"/>
    <m/>
    <m/>
    <s v="Burdine"/>
    <m/>
    <m/>
    <n v="0"/>
  </r>
  <r>
    <x v="74"/>
    <s v="Burns"/>
    <s v="MI"/>
    <s v="Delta"/>
    <s v="Email"/>
    <s v="Tait, Thomas &amp; Julie Anne"/>
    <m/>
    <x v="56"/>
    <s v="Laguna Beach "/>
    <x v="1"/>
    <m/>
    <x v="9"/>
    <x v="298"/>
    <x v="48"/>
    <s v="High profile"/>
    <s v="1963 updated condo. Insured is mayor of Anaheim. Not in brush. Heat, wire, plumb updated. No roof update. Cover is built up."/>
    <x v="3"/>
    <s v="Condo, so no action on the roof."/>
    <m/>
    <m/>
    <s v="Patterson"/>
    <m/>
    <m/>
    <n v="0"/>
  </r>
  <r>
    <x v="277"/>
    <s v="Hull CA"/>
    <s v="Irvine"/>
    <s v="Alison"/>
    <s v="Email"/>
    <s v="Answer Network Cypress Inc."/>
    <m/>
    <x v="87"/>
    <s v="Big Bear"/>
    <x v="1"/>
    <m/>
    <x v="0"/>
    <x v="298"/>
    <x v="48"/>
    <s v="Corporate name"/>
    <s v="DP3 Secondary/Rental in the name of 2 corporations."/>
    <x v="0"/>
    <s v="Asked for corp supp app and asked several other questions. Need to determine if this is residential use or commercial."/>
    <s v="Residential use in one corporate name for tax purposes. No business use. Owner is hub and wife - this is their business. They use this home seasonally and vacation rental to others 25 weeks/yr. Approved w/prem liability."/>
    <m/>
    <s v="Patterson"/>
    <m/>
    <m/>
    <n v="0"/>
  </r>
  <r>
    <x v="3"/>
    <s v="Burns"/>
    <s v="MI"/>
    <s v="Rachel"/>
    <s v="Email"/>
    <s v="Bychinski"/>
    <s v="Allene &amp; Steven Hogoboon"/>
    <x v="0"/>
    <s v="Greendale "/>
    <x v="33"/>
    <s v="53129"/>
    <x v="8"/>
    <x v="298"/>
    <x v="287"/>
    <s v="Losses"/>
    <s v="Open dog bite loss 11/17. Agent applying animal exclusion. Also, recently closed bankruptcy. Steven had health issue, couldn't work, Ch 13. 1969 home no plumbing update. NRN by USAA, no detail."/>
    <x v="3"/>
    <s v="Need OHQ. (This situation is ok per Burns guidelines, OHQ is the requirement.)  Dog will be excluded. Verified bankruptcy. Need reason for NRN - if dog or bankruptcy ok, otherwise Burns will re-refer."/>
    <s v="I ran Steven's ins score and it is 751. Bankruptcy was in 2015 and now closed. All else ok."/>
    <m/>
    <s v="Patterson"/>
    <m/>
    <m/>
    <n v="0"/>
  </r>
  <r>
    <x v="551"/>
    <s v="RPS Covington"/>
    <s v="LA"/>
    <s v="Hillary"/>
    <s v="Email"/>
    <s v="Seat"/>
    <s v="Robert"/>
    <x v="0"/>
    <s v="Cameron"/>
    <x v="0"/>
    <m/>
    <x v="3"/>
    <x v="298"/>
    <x v="455"/>
    <s v="Other UW Reason"/>
    <s v="Frame (stilts) home built in 2011. PC 6 with metal roof. Location is about 250' from coast which makes it ineligible for the program"/>
    <x v="1"/>
    <s v="Too close to the coast. Nothing between the house and the water except some sand. Guideline is 1000'."/>
    <m/>
    <m/>
    <s v="Lazovik"/>
    <m/>
    <m/>
    <n v="1"/>
  </r>
  <r>
    <x v="544"/>
    <s v="XS Brokers"/>
    <s v="MA"/>
    <s v="Barbara"/>
    <m/>
    <s v="Mendez"/>
    <s v="Minaya &amp; Narahin Nova"/>
    <x v="0"/>
    <s v="Waterbury"/>
    <x v="25"/>
    <s v="06704"/>
    <x v="8"/>
    <x v="298"/>
    <x v="506"/>
    <s v="Losses"/>
    <s v="1995 dwelling listed online and on app as a condo, but HO3 app submitted. 4 prior losses, 1 closed w/no pmt. 10/18 water dmg plumbing closed no pmt; 3/18 wind $749. 4/16 water dmg other $687. 3/16 weight of ice/snow $12K."/>
    <x v="2"/>
    <s v="Need more loss detail to determine if agts quoted $5K water ded/$2500 AOP is adequate. Charged for 3 losses. Make sure no pmt expected for 10/18 loss. New roof in 2018."/>
    <m/>
    <m/>
    <s v="Patterson"/>
    <m/>
    <m/>
    <n v="0"/>
  </r>
  <r>
    <x v="514"/>
    <s v="Burns"/>
    <s v="MI"/>
    <s v="Alexa"/>
    <m/>
    <s v="Stentz"/>
    <s v="Sarah"/>
    <x v="0"/>
    <s v="Indianapolis"/>
    <x v="17"/>
    <s v="46220"/>
    <x v="8"/>
    <x v="298"/>
    <x v="506"/>
    <s v="Age of Home"/>
    <s v="1910 year built home, updates to heating 2019, roof 2005 and plumbing 2000. Wiring still has knob and tube wiring. Insured is just purchasing home and having contractor replace wiring &quot;very soon after closing.&quot; Risk is also not 100% on circuit breakers"/>
    <x v="1"/>
    <s v="Asked agent to confirm how much and where throughout the home the knob and tube is present and also if any was active. We were advised that it is throughout the home and still active. Since it is active and not minimal presence, declining risk. "/>
    <m/>
    <m/>
    <s v="Busse"/>
    <m/>
    <m/>
    <n v="1"/>
  </r>
  <r>
    <x v="431"/>
    <s v="Burns"/>
    <s v="MI"/>
    <s v="Jill"/>
    <m/>
    <s v="Flad"/>
    <s v="Christopher"/>
    <x v="0"/>
    <s v="Cross Plains"/>
    <x v="33"/>
    <s v="53528"/>
    <x v="2"/>
    <x v="298"/>
    <x v="506"/>
    <s v="Business on Premises"/>
    <s v="2002 year built with daycare on premises. 8 children, licensed, no staff. Two losses 9/2016 hail paid $32k, 8/2018 water back up paid $10k"/>
    <x v="3"/>
    <s v="Approved subject to TBE, surcharge for the losses, and no water back up coverage due to the water claim. "/>
    <m/>
    <m/>
    <s v="Busse"/>
    <m/>
    <m/>
    <n v="0"/>
  </r>
  <r>
    <x v="369"/>
    <s v="Burns"/>
    <s v="MI"/>
    <s v="Alexa"/>
    <s v="Email"/>
    <s v="Fansher"/>
    <s v="Jack"/>
    <x v="0"/>
    <s v="Chesterfield"/>
    <x v="36"/>
    <m/>
    <x v="5"/>
    <x v="298"/>
    <x v="506"/>
    <s v="Losses"/>
    <s v="1963 dwelling FRC. Prior fire loss 9/10/17 $154,000. Electrical fire from piece of equip in office. App incomplete (uw questions)."/>
    <x v="3"/>
    <s v="Need fire marshal report - first responder report was provided. Add 10% for loss size. Complete app. If fire is for the reason noted, Ins Score is A, we should be fine with this risk."/>
    <m/>
    <m/>
    <s v="Patterson"/>
    <s v="X"/>
    <s v="Did we get an actual fire marshal report here at Markel if this was issued?"/>
    <n v="0"/>
  </r>
  <r>
    <x v="630"/>
    <s v="ASL"/>
    <s v="VA"/>
    <s v="Charity"/>
    <s v="Email"/>
    <s v="AJ Farms LLC"/>
    <m/>
    <x v="0"/>
    <s v="Strasburg"/>
    <x v="10"/>
    <m/>
    <x v="6"/>
    <x v="298"/>
    <x v="506"/>
    <s v="farm"/>
    <s v="This is a PC9 risk, the dwelling is on a farm and Commercial Team wrote the liability, the insured only need property coverage on the dwelling.  There is a woodstove but is not the insured primary source of heat, it is secondary."/>
    <x v="2"/>
    <s v="Requested confirmation of use of other structures that are quoted (clear separation, any farming). May need to exclude if unsure. Also, questioned installation/most recent inspection of woodstove; LLC formation, members, etc."/>
    <m/>
    <m/>
    <s v="Burdine"/>
    <m/>
    <m/>
    <n v="0"/>
  </r>
  <r>
    <x v="631"/>
    <s v="Burns"/>
    <m/>
    <s v="Leslie"/>
    <s v="Email"/>
    <s v="Chipman, Sylvia"/>
    <m/>
    <x v="0"/>
    <s v="Oroville CA PC10"/>
    <x v="3"/>
    <m/>
    <x v="0"/>
    <x v="298"/>
    <x v="288"/>
    <s v="Response time"/>
    <s v="1986 home. Roof updated in 2006. In medium brush zone. High-7 per FireLine. 21 minute response time. Reviewed w/Jeff and we are not making exceptions to the 15 minutes unless special circumstances."/>
    <x v="1"/>
    <m/>
    <m/>
    <m/>
    <s v="Patterson"/>
    <m/>
    <m/>
    <n v="1"/>
  </r>
  <r>
    <x v="632"/>
    <s v="Burns"/>
    <s v="MI"/>
    <s v="Leslie"/>
    <m/>
    <s v="Marx-Good"/>
    <s v="Gretchen"/>
    <x v="0"/>
    <s v="Elsberry"/>
    <x v="36"/>
    <s v="63343"/>
    <x v="4"/>
    <x v="298"/>
    <x v="440"/>
    <s v="Business on Premises"/>
    <s v="1959 year built with updates to roof and electric mentioned in 2000. The applicant inherited this home, and there is an event venue on the premises for weddings. App indicated farming and animals, but confirmation from Burns there is no farming and there are some goats for personal use only. The venue is set away from the home, there are separate driveways to the home and the venue. Applicant also said that they will be putting up a fence around the home to further separate the property. There is a GL in place for the venue and they are working on separating the zoning so that the venue would be on a different address. "/>
    <x v="0"/>
    <s v="Feel comfortable since the venue space is away from the home, separate driveway, and that they will be putting up a fence. Approved subject to TBE, GL in place and maintained for venue, and completed and acceptable OHQ. // MP Addl info from agent 4/10/19 This is a PC10, not a PC9 as MB originally approved. 12 minute drive time. Volunteer department.  Appears this will be close to our 15 and definitely within Burns 20 minute allowed response time.  Approved w/re-rate to PC10. This is a .67 rate."/>
    <m/>
    <m/>
    <s v="Busse"/>
    <m/>
    <m/>
    <n v="0"/>
  </r>
  <r>
    <x v="83"/>
    <s v="Burns"/>
    <s v="MI"/>
    <s v="Delta"/>
    <s v="Email"/>
    <s v="Berg, Trent"/>
    <m/>
    <x v="0"/>
    <s v="Murphys"/>
    <x v="1"/>
    <m/>
    <x v="6"/>
    <x v="298"/>
    <x v="440"/>
    <s v="Response time"/>
    <s v="1978 home updated in 2000, 16 min response time per PC Quest. Google=17 min. Bing=18 min. High brush zone per RM. Woodpile in online photo. "/>
    <x v="1"/>
    <s v="Not comfortable exceeding 15 min in high brush zone."/>
    <m/>
    <m/>
    <s v="Patterson"/>
    <m/>
    <m/>
    <n v="1"/>
  </r>
  <r>
    <x v="559"/>
    <s v="Burns"/>
    <s v="MI"/>
    <s v="Danielle"/>
    <s v="Email"/>
    <s v="Broome, Pamela"/>
    <m/>
    <x v="0"/>
    <s v="Peachland NC PC9"/>
    <x v="3"/>
    <m/>
    <x v="0"/>
    <x v="298"/>
    <x v="440"/>
    <s v="Leased land"/>
    <s v="60 acres; 50 are leased and lessee has cattle. 2 tracks of land deeded separately"/>
    <x v="4"/>
    <s v="20 cows, one insured building, nothing other than grazing. Not a separate address.  Feel our exclusion will cover us. Asked for addl $150 prem as we would have to defend this exposure if something happens, even though excluded."/>
    <m/>
    <m/>
    <s v="Patterson"/>
    <m/>
    <m/>
    <n v="0"/>
  </r>
  <r>
    <x v="633"/>
    <s v="Quaker"/>
    <m/>
    <s v="Brian"/>
    <s v="Email"/>
    <s v="Grier, Betty"/>
    <m/>
    <x v="0"/>
    <s v="Falmouth "/>
    <x v="21"/>
    <m/>
    <x v="10"/>
    <x v="298"/>
    <x v="440"/>
    <s v="Business in home"/>
    <s v="Insured operates an in home beauty salon.  "/>
    <x v="1"/>
    <s v="We're not a good market since we would have to use business exclusion, leaving them w/no coverage."/>
    <m/>
    <m/>
    <s v="Patterson"/>
    <m/>
    <m/>
    <n v="1"/>
  </r>
  <r>
    <x v="267"/>
    <s v="Burns"/>
    <s v="MI"/>
    <s v="Ben"/>
    <s v="Email"/>
    <s v="Stephens, Andrea"/>
    <m/>
    <x v="0"/>
    <s v="Livermore"/>
    <x v="1"/>
    <m/>
    <x v="4"/>
    <x v="298"/>
    <x v="507"/>
    <s v="30 min response"/>
    <s v="30 minute response time in Livermore CO.  Seasonal $300K Cov A; $555K TIV.  Not in a brush zone per RM. Fireline shows High-5; Light-med fuels, moderate slope, somewhat limited access. 1994 home very nice online pix. Has a woodstove.  "/>
    <x v="3"/>
    <s v="Concern with 30 mins. No alarms, lower value. $1000 AOP $2475 prem. Approved subject to surcharge 20%. Discussed w/Jeff."/>
    <m/>
    <m/>
    <s v="Patterson"/>
    <m/>
    <m/>
    <n v="0"/>
  </r>
  <r>
    <x v="455"/>
    <s v="Burns"/>
    <s v="MI"/>
    <s v="Lindsay"/>
    <s v="Email"/>
    <s v="Sanford"/>
    <s v="Scott &amp; Jay"/>
    <x v="0"/>
    <m/>
    <x v="23"/>
    <m/>
    <x v="8"/>
    <x v="298"/>
    <x v="424"/>
    <s v="Losses"/>
    <s v="1999 frame dwelling with 2015 roof. $250,000 liability loss paid. Insd child was skiing and accidentally ran into another person causing injury 3/14/16. Claim is closed. Liability coverage of $500K requested."/>
    <x v="4"/>
    <s v="Accidental skiing accident. 11 year old child of insured. No negligence. Child was hurt too. No more family skiing."/>
    <s v="Discussed w/Kirsten and Louisa, all agreed okay."/>
    <m/>
    <s v="Patterson"/>
    <m/>
    <m/>
    <n v="0"/>
  </r>
  <r>
    <x v="575"/>
    <s v="SCU"/>
    <s v="CO"/>
    <s v="Allison"/>
    <m/>
    <s v="Thomas"/>
    <s v="Sara"/>
    <x v="0"/>
    <s v="Arvada"/>
    <x v="19"/>
    <s v="80003"/>
    <x v="8"/>
    <x v="298"/>
    <x v="508"/>
    <s v="Losses"/>
    <s v="Fire loss from 12/2017. It did not burn down entire home, but due to asbestos the company considered it a total loss. Tore home down and rebuilt. Currently on commercial BR through Markel, expires 4/29/2019 and need to replace to HO3. Expected completion at beginning of May, which would be within first 60 days of policy. "/>
    <x v="1"/>
    <s v="Alison confirmed very little left to complete before restruction done.  All work to be comp week to 5/6/19.  This includes HVAC, appliances, &amp; final inspection.  Only Sara &amp; her daughter will be living in home.  C&amp;O report verified fire as accidental.  Due to prior roommate leaving a pot unattended on stove.  **Declined by Mitchell via prior Email due to loss being due to carelessness &amp; ins allowing others to stay in home.  JBach 5/8/19.**"/>
    <m/>
    <m/>
    <s v="Busse"/>
    <m/>
    <m/>
    <n v="1"/>
  </r>
  <r>
    <x v="90"/>
    <s v="Burns"/>
    <s v="MI"/>
    <s v="Danielle"/>
    <s v="Email"/>
    <s v="Bennett, Steven"/>
    <m/>
    <x v="0"/>
    <s v="Waterloo"/>
    <x v="17"/>
    <m/>
    <x v="6"/>
    <x v="298"/>
    <x v="509"/>
    <s v="Business on property"/>
    <s v="1970 home updated in 2010. Landscaping business on property. No online photos or info. No foot traffic, GL in place."/>
    <x v="2"/>
    <s v="Asked addl business questions. Response time not matching up via google search. Subj to acceptable app questions."/>
    <m/>
    <m/>
    <s v="Patterson"/>
    <m/>
    <m/>
    <n v="0"/>
  </r>
  <r>
    <x v="634"/>
    <s v="Hull Stockton"/>
    <s v="CA"/>
    <s v="Kirk"/>
    <m/>
    <s v="McCollum"/>
    <s v="Colby"/>
    <x v="0"/>
    <s v="Grass Valley"/>
    <x v="1"/>
    <s v="95945"/>
    <x v="5"/>
    <x v="298"/>
    <x v="510"/>
    <s v="Other UW Reason"/>
    <s v="Home on 72 acres of land. Frame home with WOOD siding built in 1946. Composite roof from 1988. Electric heat. Low brush score (out of brush). All systems updated in 1988 (complete)."/>
    <x v="3"/>
    <s v="Home is at the end of the road and accessible. Exclude roof if not updated since 1988.Confirm electric heat is thermostatically controlled. Consider FRC or ACV due to year home was built. "/>
    <m/>
    <m/>
    <s v="Lazovik"/>
    <m/>
    <m/>
    <n v="0"/>
  </r>
  <r>
    <x v="635"/>
    <s v="Burns"/>
    <s v="MI"/>
    <s v="Ben"/>
    <s v="Email"/>
    <s v="Khala, Santokh"/>
    <m/>
    <x v="0"/>
    <s v="Altadena CA PC9"/>
    <x v="3"/>
    <m/>
    <x v="0"/>
    <x v="298"/>
    <x v="511"/>
    <s v="PC9 TIV&gt;$1.5M"/>
    <s v="2001 frame home with 10 min response time and accessible. Risk Meter shows risk is in a Renie fire zone but Ben's email indicates &quot;not in brush&quot;. "/>
    <x v="3"/>
    <s v="Approved subject to brush surcharge."/>
    <m/>
    <m/>
    <s v="Patterson"/>
    <m/>
    <m/>
    <n v="0"/>
  </r>
  <r>
    <x v="505"/>
    <s v="Burns"/>
    <s v="MI"/>
    <s v="Leslie"/>
    <s v="Email"/>
    <s v="Cambridge"/>
    <s v="Grant"/>
    <x v="5"/>
    <s v="Pasadena"/>
    <x v="1"/>
    <m/>
    <x v="8"/>
    <x v="298"/>
    <x v="32"/>
    <s v="TIV"/>
    <s v="1923 home updated in 2014. Very nice online photos. Will be vacant with remodel starting at end of year and then it will be primary."/>
    <x v="0"/>
    <s v="Wasn't clear on what requested terms were. Approved DP3 Vacant w/FRC, then endorse to builders risk when constr starts."/>
    <m/>
    <n v="29"/>
    <s v="Patterson"/>
    <m/>
    <m/>
    <n v="0"/>
  </r>
  <r>
    <x v="37"/>
    <s v="Burns"/>
    <s v="MI"/>
    <s v="Alexa"/>
    <s v="Email"/>
    <s v="Aune"/>
    <s v="Emily"/>
    <x v="4"/>
    <s v="Oakley"/>
    <x v="22"/>
    <m/>
    <x v="4"/>
    <x v="298"/>
    <x v="512"/>
    <s v="PC"/>
    <s v="1998 frame/log dwelling quoted as PC9 w/20 min response. Supplemental woodstove, no info. Animal liab, no animal info on app. PCQ unclear about year round access. Volunteer FD, hydrant. "/>
    <x v="3"/>
    <s v="Mapped distance FD to dwelling - over 10 miles. W/hydrant, this is a 10W. Advised Danielle as this is the second one today that listed a 9 but is a 10W. Asked for more info. We can provide a rate for this once we know accessibility and correct PC10W rate."/>
    <s v=".81 if not accessible,  .71 if accessible. (As long as this is over the VMGA 10W rate)"/>
    <m/>
    <s v="Patterson"/>
    <m/>
    <m/>
    <n v="0"/>
  </r>
  <r>
    <x v="64"/>
    <s v="Hull Stockton"/>
    <m/>
    <s v="Kirk"/>
    <s v="Email"/>
    <s v="Wijcik, Lynda"/>
    <m/>
    <x v="15"/>
    <s v="La Quinta"/>
    <x v="1"/>
    <m/>
    <x v="12"/>
    <x v="298"/>
    <x v="513"/>
    <s v="TIV"/>
    <s v="1998 home not in brush, tile roof. No online photos. Coming from Lloyds, our prem is competitive"/>
    <x v="3"/>
    <s v="Need updated and complete app."/>
    <m/>
    <m/>
    <s v="Patterson"/>
    <m/>
    <m/>
    <n v="0"/>
  </r>
  <r>
    <x v="22"/>
    <s v="Burns"/>
    <s v="MI"/>
    <s v="Delta"/>
    <s v="Email"/>
    <s v="Duchone"/>
    <s v="Jacques"/>
    <x v="0"/>
    <m/>
    <x v="36"/>
    <m/>
    <x v="15"/>
    <x v="299"/>
    <x v="514"/>
    <s v="Business on Premises"/>
    <s v="primary home located in MO. Frame construction, Built in 2005, PC10W, no losses, no alarms, E insurance score; The applicant has an auto repair shop on the premises. The shop is behind the house. No employees. They are not towing the autos. The applicant would go to his 1 customer location, pick up a car and bring them to his shop to work on. If the car is not drivable they will then use a tow company to bring the car to the shop.  Business will have GL in place"/>
    <x v="3"/>
    <s v="clear separation, offer terms subject to the total business exclusion and general liability policies being in place"/>
    <m/>
    <m/>
    <s v="Burdine"/>
    <m/>
    <m/>
    <n v="0"/>
  </r>
  <r>
    <x v="608"/>
    <s v="Burns"/>
    <s v="MI"/>
    <s v="Danielle"/>
    <s v="Email"/>
    <s v="Dugan, James"/>
    <m/>
    <x v="0"/>
    <s v="Franklin IN PC9"/>
    <x v="3"/>
    <m/>
    <x v="0"/>
    <x v="299"/>
    <x v="515"/>
    <s v="Non prof WBS"/>
    <s v="1959 home, all updated recently. PC9. FD 4.4 miles away; visible; accessible. Has American Harvest wood pellet stove in garage, installed by insured."/>
    <x v="4"/>
    <s v="Pellet stoves are often insured installed. Easier than wood. Less clearance issues. Approved subject to verifying no fumes, inspection. Clear up question about plumbing on older home quest."/>
    <m/>
    <m/>
    <s v="Patterson"/>
    <m/>
    <m/>
    <n v="0"/>
  </r>
  <r>
    <x v="571"/>
    <s v="SCU"/>
    <s v="CO"/>
    <s v="Allison"/>
    <s v="Email"/>
    <s v="Orrick, Gail"/>
    <m/>
    <x v="89"/>
    <s v="Carbondale, CO/PC 5/9"/>
    <x v="3"/>
    <m/>
    <x v="0"/>
    <x v="299"/>
    <x v="516"/>
    <s v="Business on Prop"/>
    <s v="Insured on 30 acres, flat land, no brush, used for personal horse grazing (2 horses), requesting $30K bus prop. No foot traffic, but makes leather/furs in home and sales online"/>
    <x v="0"/>
    <s v="requested confirmation that doesn't operate the bus from any loc, and that $30K figure is from ACV/or RCV and not sales price of finished items. "/>
    <s v="Info confirmed and it checks out. No further discount to meet Lloyds very low rate."/>
    <m/>
    <s v="Burdine/Patterson"/>
    <m/>
    <m/>
    <n v="0"/>
  </r>
  <r>
    <x v="543"/>
    <s v="Hull Irvine"/>
    <m/>
    <s v="Alison"/>
    <s v="Email"/>
    <s v="Jennifer Robin Burrows Trust"/>
    <m/>
    <x v="0"/>
    <s v="Santa Ynez"/>
    <x v="1"/>
    <m/>
    <x v="2"/>
    <x v="300"/>
    <x v="517"/>
    <s v="Rental homes on property"/>
    <s v="3 structures on property. One primary, one rental, one vacation rental. Writing all on one policy. Has $300K contents in the vaca rental. Has a barn and fine arts. "/>
    <x v="3"/>
    <s v="Probably can't do the fine arts - will review later per agent. "/>
    <m/>
    <m/>
    <s v="Patterson"/>
    <m/>
    <m/>
    <n v="0"/>
  </r>
  <r>
    <x v="294"/>
    <s v="SCU"/>
    <s v="CO"/>
    <s v="Allison"/>
    <s v="Email"/>
    <s v="Celayeta, Brian"/>
    <m/>
    <x v="21"/>
    <s v="Montrose"/>
    <x v="19"/>
    <m/>
    <x v="4"/>
    <x v="301"/>
    <x v="518"/>
    <s v="Response time/not accessible"/>
    <s v="1996 home used seasonally. Winterized. FD is 21 miles away and roads are not accessible in winter. Agent quoted with 25% s/c (consistent with other approvals). In brush, but there is a fire break around the property. Fire Line is a high 10 with heavy fuels."/>
    <x v="3"/>
    <s v="Getting a good surcharge, newer home, used minimally, winterized."/>
    <m/>
    <m/>
    <s v="Patterson"/>
    <m/>
    <m/>
    <n v="0"/>
  </r>
  <r>
    <x v="622"/>
    <s v="Burns"/>
    <s v="MI"/>
    <s v="Alexa"/>
    <s v="Email"/>
    <s v="Sheridan"/>
    <s v="Cliff"/>
    <x v="0"/>
    <s v="Trenton"/>
    <x v="5"/>
    <m/>
    <x v="2"/>
    <x v="302"/>
    <x v="519"/>
    <s v="Losses"/>
    <s v="10/2017-$201K fire loss around recessed lighting; home was recently renovated"/>
    <x v="3"/>
    <s v="requested confirmation home has been checked by electrician since assume recessed lighting was put in during renovations//The agent confirmed that the electrical was inspected and everything passed, and an electrical box was added back to the home by the Electric company."/>
    <m/>
    <m/>
    <s v="Burdine"/>
    <m/>
    <m/>
    <n v="0"/>
  </r>
  <r>
    <x v="566"/>
    <s v="SCU"/>
    <m/>
    <s v="Allison"/>
    <s v="Email"/>
    <s v="Cardillo, Michael"/>
    <m/>
    <x v="0"/>
    <s v=" Ft. Lupton CO PC5"/>
    <x v="3"/>
    <m/>
    <x v="0"/>
    <x v="303"/>
    <x v="520"/>
    <s v="Loss &gt;$100,000"/>
    <s v="1960 home w/full updates. $2500 AOP. 2 prior losses. 1 yr old water line to dishwasher broke; lightning strike-dmg to well back flow caused water damage. Also 5 horses, 2 goats all personal use."/>
    <x v="4"/>
    <s v="Claims seem unavoidable. Considered slight s/c for extra # of animals, but decided against it."/>
    <m/>
    <m/>
    <s v="Patterson"/>
    <m/>
    <m/>
    <n v="0"/>
  </r>
  <r>
    <x v="147"/>
    <s v="Quaker"/>
    <s v="MA"/>
    <s v="Mary "/>
    <s v="Email"/>
    <s v="May"/>
    <s v="Carol &amp; Keith"/>
    <x v="25"/>
    <s v="East Boothbay"/>
    <x v="6"/>
    <m/>
    <x v="6"/>
    <x v="304"/>
    <x v="424"/>
    <s v="Pricing"/>
    <s v="1945 Risk currently w/Lex $1411 premium. Agent wants to match. Updated home used as seasonal rental - no student. Tenants are screened. 528' from water. Current pricing $2050. 30% credit."/>
    <x v="2"/>
    <s v="Referred to Jeff for pricing review. $907 in wind premium. That leaves $508 for non-wind or about 8.7 ROL. We can go with it per Jeff &amp; Bethany. "/>
    <m/>
    <n v="14"/>
    <s v="Patterson"/>
    <m/>
    <m/>
    <n v="0"/>
  </r>
  <r>
    <x v="271"/>
    <s v="Hull CA"/>
    <s v="Irvine"/>
    <s v="Bobbi"/>
    <s v="Email"/>
    <s v="Portillo, Mario"/>
    <m/>
    <x v="21"/>
    <s v="Big Bear"/>
    <x v="1"/>
    <m/>
    <x v="0"/>
    <x v="305"/>
    <x v="0"/>
    <s v="Loss - Renewal"/>
    <s v="HUCAH 150000081 Bobbi wanted me to review file that had a prior Backup loss. She did not include water backup and added in the loss. All looks in order."/>
    <x v="4"/>
    <m/>
    <m/>
    <m/>
    <s v="Patterson"/>
    <m/>
    <m/>
    <n v="0"/>
  </r>
  <r>
    <x v="335"/>
    <s v="Hull Horsham"/>
    <s v="PA"/>
    <s v="MacKenzie"/>
    <s v="Email"/>
    <s v="Evergreen Property Consultants"/>
    <m/>
    <x v="6"/>
    <s v="Cherry Hill"/>
    <x v="9"/>
    <m/>
    <x v="2"/>
    <x v="305"/>
    <x v="521"/>
    <s v="Builders Risk"/>
    <s v="BR has taken two years to complete. 1954 home  undergoing full renovations. Only kitchen remains and renews on 9/23/2018. Looking for renewal to the end of October. PC 5 frame home. Looking to increase coverage A value based on inspection in 2017 (should have been upped then)."/>
    <x v="3"/>
    <s v="Discussed with Jeff. Approved for 3 month fully earned BR. As soon as renovations are done, they need to write a vacant policy as the builders risk no longer applies. Tammi called asking for clarification based on previous experience. The guidelines explain that the risk can be written as a vacant with a builders risk endorsement. They are approved providing they use the vacant occupancy for rating (per the guidelines)."/>
    <m/>
    <m/>
    <s v="Lazovik"/>
    <m/>
    <m/>
    <n v="0"/>
  </r>
  <r>
    <x v="636"/>
    <s v="Hull Irvine"/>
    <s v="CA"/>
    <s v="Kelly"/>
    <m/>
    <s v="Verna"/>
    <s v="Steve"/>
    <x v="0"/>
    <s v="Sylmar"/>
    <x v="1"/>
    <s v="91342"/>
    <x v="2"/>
    <x v="305"/>
    <x v="488"/>
    <s v="Losses"/>
    <s v="Two losses. Jan 2015, cold weather caused roof leak, and 12/2017 smoke damage from wildfire. Home built in 1948. Wood frame with wood siding. Not in brush zone and recent fires has burned off all brush within the area. "/>
    <x v="4"/>
    <s v="  "/>
    <m/>
    <m/>
    <s v="Lazovik"/>
    <m/>
    <m/>
    <n v="0"/>
  </r>
  <r>
    <x v="606"/>
    <s v="Burns"/>
    <s v="MI"/>
    <s v="Leslie"/>
    <m/>
    <s v="Hoelterhoff"/>
    <s v="Emma"/>
    <x v="0"/>
    <s v="Bartlett"/>
    <x v="4"/>
    <s v="50133"/>
    <x v="5"/>
    <x v="305"/>
    <x v="288"/>
    <s v="Business on Premises"/>
    <s v="1958 home w/updates. Insd leases her land to her son for his nursery business. GL in place. Quoted w/TBE."/>
    <x v="4"/>
    <s v="Maintain TBE and GL. Online pics show separation. App lists separate drive. Copies of GL provided."/>
    <m/>
    <m/>
    <s v="Patterson"/>
    <m/>
    <m/>
    <n v="0"/>
  </r>
  <r>
    <x v="406"/>
    <s v="Burns"/>
    <s v="MI"/>
    <s v="Lindsay"/>
    <s v="Email"/>
    <s v="Plummer"/>
    <s v="William"/>
    <x v="4"/>
    <s v="Trenton"/>
    <x v="6"/>
    <m/>
    <x v="6"/>
    <x v="306"/>
    <x v="522"/>
    <s v="Other UW Reason"/>
    <s v="Cov B Limit &gt; Cov A. There is a cottage, dwelling, and 3 car detached garage on the premises.  $38K water damage with $0 paid by carrier. Insd paid out of pocket. "/>
    <x v="0"/>
    <s v="Freeze claim-prior carrier says heat not maintained. Asked for 60 degrees. Confirmed PC 9. Dwelling 4.2 miles from FD.  If ok, require completed app, verify rating for 4 fam, confirm all structures are part of this address, confirm occupancy."/>
    <m/>
    <m/>
    <s v="Patterson"/>
    <m/>
    <m/>
    <n v="0"/>
  </r>
  <r>
    <x v="637"/>
    <s v="Hull Horsham"/>
    <m/>
    <s v="Andrea"/>
    <s v="Email"/>
    <s v="Thiesen, Raymond"/>
    <m/>
    <x v="5"/>
    <s v="Cromwell"/>
    <x v="25"/>
    <m/>
    <x v="0"/>
    <x v="307"/>
    <x v="501"/>
    <s v="Vacant 2nd term"/>
    <s v="No Losses. Extended vacancy as probate took a while and home had to be updated. Up for sale since 11/16."/>
    <x v="4"/>
    <m/>
    <m/>
    <m/>
    <s v="Patterson"/>
    <m/>
    <m/>
    <n v="0"/>
  </r>
  <r>
    <x v="638"/>
    <s v="Hull CO"/>
    <s v="PA"/>
    <s v="Nichole"/>
    <s v="Email"/>
    <s v="Vance Duck, Trina"/>
    <m/>
    <x v="5"/>
    <s v="Petersburg"/>
    <x v="26"/>
    <m/>
    <x v="18"/>
    <x v="307"/>
    <x v="523"/>
    <s v="Prior Claim"/>
    <s v="$142K water claim-prop was season for kids (originally parents prop), and frozen pip in March 2015. All repairs made, home now vacant for sale as kids no longer wish to use"/>
    <x v="3"/>
    <s v="Agt quoted with 2500 AOP, $15K water ded. Approved subject to confirming prop would be winterized"/>
    <m/>
    <m/>
    <m/>
    <m/>
    <m/>
    <n v="0"/>
  </r>
  <r>
    <x v="574"/>
    <s v="Burns"/>
    <s v="MI"/>
    <s v="Leslie"/>
    <m/>
    <s v="Gueke"/>
    <s v="Waylon"/>
    <x v="4"/>
    <s v="Fremont"/>
    <x v="51"/>
    <s v="82513"/>
    <x v="4"/>
    <x v="307"/>
    <x v="461"/>
    <s v="PC"/>
    <s v="1988 secondary use log home, no alarms. Quoted at $.53. FD is 98 miles from home. 30 min response summer/45 winter."/>
    <x v="3"/>
    <s v="Increased rate of .90 = $4,770 due to longer response time, no alarms, sec use."/>
    <s v="This is within the exception guidelines we gave Burns. Lower TIV, newer home. Used highest rate per the exception - .90."/>
    <m/>
    <s v="Patterson"/>
    <m/>
    <m/>
    <n v="0"/>
  </r>
  <r>
    <x v="639"/>
    <s v="Burns"/>
    <s v="MI"/>
    <s v="Leslie"/>
    <s v="Email"/>
    <s v="Hining"/>
    <s v="Michael"/>
    <x v="0"/>
    <s v="Oak Park"/>
    <x v="4"/>
    <m/>
    <x v="0"/>
    <x v="307"/>
    <x v="524"/>
    <s v="Business on premises"/>
    <s v="Insured is a music instructor with 5-8 students per day.  Max is about 24.  Classes are held in the basement Wednesday - Saturday.  He does carry a separate BOP policy.  Total Business Exclusion"/>
    <x v="3"/>
    <s v="Maintenance of comm pol and TBE; online review OK"/>
    <m/>
    <m/>
    <s v="Burdine"/>
    <m/>
    <m/>
    <n v="0"/>
  </r>
  <r>
    <x v="640"/>
    <s v="Burns"/>
    <s v="MI"/>
    <s v="Danielle"/>
    <s v="Email"/>
    <s v="Shockley"/>
    <s v="Betty"/>
    <x v="0"/>
    <s v="Saint Louis"/>
    <x v="36"/>
    <m/>
    <x v="0"/>
    <x v="308"/>
    <x v="0"/>
    <s v="Losses"/>
    <s v="1957 masonry veneer is primary home with large fire loss ($379k) due to dryer malfunction. IS of 'G'. Roof, electrical and plumbing were updated fully in 2017 (post-fire?)"/>
    <x v="3"/>
    <s v="Approved subject to repair confirmation. Roof, electrical and plumbing were all updated in full in 2017. "/>
    <m/>
    <m/>
    <s v="Lazovik"/>
    <m/>
    <m/>
    <n v="0"/>
  </r>
  <r>
    <x v="641"/>
    <s v="Burns"/>
    <s v="MI"/>
    <s v="Jill"/>
    <s v="Email"/>
    <s v="Guntalilib"/>
    <s v="Johnny"/>
    <x v="0"/>
    <s v="Guadalupe"/>
    <x v="1"/>
    <m/>
    <x v="5"/>
    <x v="308"/>
    <x v="525"/>
    <s v="Losses"/>
    <s v="Home built in 1994 frame. Updates in 2012 including roof. Roof is clay/tile. Large water loss of $186k in 2016. Annual roof and plumbing maintenance. Water damage deductible of $25k. Not in brush zone."/>
    <x v="3"/>
    <s v="Asked for roof age confirmation. 2012 tile roof with 2016 water leak does not seem likely. Applied 10% surcharge and agreed with the $25k water deductible"/>
    <m/>
    <m/>
    <s v="Lazovik"/>
    <m/>
    <m/>
    <n v="0"/>
  </r>
  <r>
    <x v="642"/>
    <s v="Burns"/>
    <s v="MI"/>
    <s v="Alexa"/>
    <m/>
    <s v="Zentz"/>
    <s v="Jaime"/>
    <x v="0"/>
    <s v="Indianapolis"/>
    <x v="17"/>
    <s v="46202"/>
    <x v="8"/>
    <x v="309"/>
    <x v="526"/>
    <s v="Business on Premises"/>
    <s v="1920 home w/updates. 2 story dwelling. Insured lives on 2nd floor. 1st floor has 4 salon booths that are rented to the stylists. Considering a GL. Separate entrance."/>
    <x v="3"/>
    <s v="Recommended coml policy, lease 2nd floor back, HO4. Also ok'd HO policy w/TBE and GL. Exposure ok, 2nd entrance. Confirm no tanning, no large amt of chemicals. "/>
    <m/>
    <m/>
    <s v="Patterson"/>
    <m/>
    <m/>
    <n v="0"/>
  </r>
  <r>
    <x v="194"/>
    <s v="Hull CA"/>
    <s v="Stockton"/>
    <s v="Melissa"/>
    <s v="Email"/>
    <s v="Anderson, Louise"/>
    <m/>
    <x v="32"/>
    <s v="Sonora CA PC9"/>
    <x v="3"/>
    <m/>
    <x v="0"/>
    <x v="310"/>
    <x v="527"/>
    <s v="Lapse"/>
    <s v="Elderly insured doesn't know when lapsed. Son is assisting. In brush."/>
    <x v="4"/>
    <s v="Approved pending: 1. who maintains 2.150'clearance"/>
    <m/>
    <m/>
    <s v="Patterson"/>
    <m/>
    <m/>
    <n v="0"/>
  </r>
  <r>
    <x v="367"/>
    <s v="SCU"/>
    <m/>
    <s v="Allison"/>
    <s v="Email/Call"/>
    <s v="Love, James"/>
    <m/>
    <x v="0"/>
    <s v="Lake George CO PC10"/>
    <x v="3"/>
    <m/>
    <x v="0"/>
    <x v="310"/>
    <x v="528"/>
    <s v="Brush PC10"/>
    <s v="Built in 1982; updated roof. PC10 w/45 minute response time. Brush area"/>
    <x v="1"/>
    <s v="Decided our direction would be 15-20 min response time max. Look closer if it has brush. "/>
    <m/>
    <m/>
    <s v="Patterson"/>
    <m/>
    <m/>
    <n v="1"/>
  </r>
  <r>
    <x v="11"/>
    <s v="Hull Irvine"/>
    <s v="CA"/>
    <s v="Bobbi"/>
    <s v="Email"/>
    <s v="Finlayson"/>
    <s v="Keith &amp; Dawn"/>
    <x v="2"/>
    <s v="Idyllwild"/>
    <x v="1"/>
    <m/>
    <x v="5"/>
    <x v="311"/>
    <x v="529"/>
    <s v="Rate"/>
    <s v="1964 dwelling written for one of Hulls &quot;great agents&quot;. They quoted on 12/7 prior to the rate increase.  They want to bind eff 1/18/18.  They usually give 30 days.  It is in a medium brush zone, but borders on a lot of extremely low brush near at least 2 sides of the risk."/>
    <x v="3"/>
    <s v="Lower TIV, medium brush surrounded by low brush. Outside 30, but still within the max 45 days that we require new rates to apply.  Return to regular rates next year."/>
    <m/>
    <m/>
    <s v="Patterson"/>
    <m/>
    <m/>
    <n v="0"/>
  </r>
  <r>
    <x v="130"/>
    <s v="Hull Horsham"/>
    <m/>
    <s v="Andrea"/>
    <s v="Email"/>
    <s v="Nikoletta LLC"/>
    <m/>
    <x v="25"/>
    <s v="Wells"/>
    <x v="6"/>
    <m/>
    <x v="2"/>
    <x v="312"/>
    <x v="530"/>
    <s v="Earthquake"/>
    <s v="2015 home in Maine. Agent wants earthquake. We only have it in SC."/>
    <x v="1"/>
    <s v="Risk okay, but can't add earthquake for one risk."/>
    <m/>
    <m/>
    <s v="Patterson"/>
    <m/>
    <m/>
    <n v="1"/>
  </r>
  <r>
    <x v="372"/>
    <s v="Hull Irvine"/>
    <s v="CA"/>
    <s v="Alex"/>
    <s v="Email"/>
    <s v="Franco"/>
    <s v="Raul &amp; Monique"/>
    <x v="0"/>
    <s v="Long Beach"/>
    <x v="1"/>
    <m/>
    <x v="5"/>
    <x v="313"/>
    <x v="531"/>
    <s v="Losses"/>
    <s v="NR 12/30/17 by prior carrier-German Shepherd (Still in home) but two people, also water claim from 2016 (repaired)"/>
    <x v="4"/>
    <s v="You have approval to offer terms on this risk as quoted: to include the animal exclusion, water deductible, lapse surcharge, and claim surcharge."/>
    <m/>
    <m/>
    <s v="Burdine"/>
    <m/>
    <m/>
    <n v="0"/>
  </r>
  <r>
    <x v="643"/>
    <s v="JM Wilson"/>
    <s v="MI"/>
    <s v="Cheryl"/>
    <s v="Email"/>
    <s v="Bentley"/>
    <s v="Kendra &amp; Jasen"/>
    <x v="0"/>
    <s v="Concorde"/>
    <x v="11"/>
    <m/>
    <x v="0"/>
    <x v="314"/>
    <x v="532"/>
    <s v="Losses"/>
    <s v="2017 liab claim-$300K, insured 13 year old son accidentally shot neighbor friend in the eye"/>
    <x v="4"/>
    <s v="want more info on whether child has limited/supervised access to weapons in home. Advised can offer x-liability for sure//cpnformed all guns, including BB, have been removed from the home. No litigation has been filed directly against the insured. APproved quote"/>
    <m/>
    <m/>
    <s v="Burdine"/>
    <m/>
    <m/>
    <n v="0"/>
  </r>
  <r>
    <x v="323"/>
    <s v="Burns"/>
    <s v="MI"/>
    <s v="Jill"/>
    <s v="Email"/>
    <s v="Irle Family Trust"/>
    <m/>
    <x v="5"/>
    <s v="Hartford"/>
    <x v="12"/>
    <m/>
    <x v="4"/>
    <x v="315"/>
    <x v="315"/>
    <s v="PC"/>
    <s v="Vacant dwelling in PC10, not accessible year round. $.92 rate. 2 prior losses on other rental properties (electrical fire $9,374 and wind $0). 2 burst HWT pipe losses at this dwelling. Quoted w/water damage exclusion."/>
    <x v="4"/>
    <s v="Hazard excluded.  Good rate for the exposure."/>
    <m/>
    <m/>
    <s v="Patterson"/>
    <m/>
    <m/>
    <n v="0"/>
  </r>
  <r>
    <x v="644"/>
    <s v="SCU"/>
    <s v="CO"/>
    <s v="Allison"/>
    <m/>
    <s v="Dean"/>
    <s v="Mary"/>
    <x v="0"/>
    <s v="Pollock Pines"/>
    <x v="1"/>
    <s v="95726"/>
    <x v="4"/>
    <x v="315"/>
    <x v="533"/>
    <s v="Heat Source"/>
    <s v="1980 primary home w/ wall heaters, thermostat controlled. Woodstove. Nearby FD, but volunteer. Also a hydrant.  Still PC10. In brush. Pix show well cleaned lot."/>
    <x v="3"/>
    <s v="Ok subj to unprotected and WBS quest. Wall heaters w/therm control ok."/>
    <m/>
    <m/>
    <s v="Patterson"/>
    <m/>
    <m/>
    <n v="0"/>
  </r>
  <r>
    <x v="519"/>
    <s v="JM Wilson"/>
    <s v="MI"/>
    <s v="John"/>
    <s v="Email"/>
    <s v="Patrick"/>
    <s v="Kevin L &amp; Diana R"/>
    <x v="0"/>
    <s v="New Hope"/>
    <x v="5"/>
    <m/>
    <x v="3"/>
    <x v="315"/>
    <x v="534"/>
    <s v="Losses"/>
    <s v="2008 dwelling. Prior large fire loss from a power strip. No detail on score."/>
    <x v="2"/>
    <s v="Will consider if score is good along with app and fire marshal report."/>
    <m/>
    <m/>
    <s v="Patterson"/>
    <m/>
    <m/>
    <n v="0"/>
  </r>
  <r>
    <x v="128"/>
    <s v="Burns"/>
    <s v="MI"/>
    <s v="Danielle"/>
    <s v="Email"/>
    <s v="Casey, Michael"/>
    <m/>
    <x v="0"/>
    <s v="Oregon House"/>
    <x v="1"/>
    <m/>
    <x v="6"/>
    <x v="315"/>
    <x v="535"/>
    <s v="Off grid"/>
    <s v="2009 home w/log siding. Nice photos provided. 1592 SF. Runs off solar and backup batteries. Prim heat is gas forced air w/woodstove. Photo looks ok. In brush. Insd owns pest control business. FD 2.2 miles away. New purchase."/>
    <x v="3"/>
    <s v="Business is at a separate location.  Subject to:_x000a_• Completed and acceptable woodburning stove questionnaire_x000a_• Confirmation of 150' brush clearance_x000a_• Confirmation that the home is winterized with pipes drained when not in use.  This is in an area that is subject to freezing temps.  One concern with off grid homes is the ability to maintain heat when no one is there._x000a_• I would like to see if you can apply a 5-10% surcharge (based on competitive position) due to the additional exposure_x000a_"/>
    <m/>
    <m/>
    <s v="Patterson"/>
    <m/>
    <m/>
    <n v="0"/>
  </r>
  <r>
    <x v="275"/>
    <s v="Burns"/>
    <s v="MI"/>
    <s v="Ben"/>
    <s v="Email"/>
    <s v="Maddux, Jeremy"/>
    <m/>
    <x v="0"/>
    <m/>
    <x v="3"/>
    <m/>
    <x v="4"/>
    <x v="315"/>
    <x v="536"/>
    <s v="Response time"/>
    <s v="2002 frame home in brush PC10. 21 minute resonse time."/>
    <x v="1"/>
    <m/>
    <m/>
    <m/>
    <s v="Patterson"/>
    <m/>
    <m/>
    <n v="1"/>
  </r>
  <r>
    <x v="645"/>
    <s v="Burns"/>
    <s v="MI"/>
    <s v="Danielle"/>
    <s v="Email"/>
    <s v="Knecht"/>
    <s v="Deborah"/>
    <x v="0"/>
    <s v="Hampstead"/>
    <x v="29"/>
    <m/>
    <x v="18"/>
    <x v="315"/>
    <x v="537"/>
    <s v="Losses"/>
    <s v="1984 dwelling with some updates. 2004 roof. 5/17 open dog bite loss. Dog sitter broke up fight between insured's 2 dogs. Jack Russel/beagle mix and plot hound. The plot hound bit. Insured still has the dog. Quoted with animal liability exclusion. Open reserve over $100,000."/>
    <x v="4"/>
    <s v="Exposure completely removed with the exclusion. Online home photos ok. Lower insurance score, but loss is 3rd party."/>
    <m/>
    <m/>
    <s v="Patterson"/>
    <m/>
    <m/>
    <n v="0"/>
  </r>
  <r>
    <x v="56"/>
    <s v="Hull Horsham"/>
    <s v=" "/>
    <s v="Andrea"/>
    <s v="Email"/>
    <s v="Martin Fotini LLC"/>
    <m/>
    <x v="5"/>
    <s v="Manchester"/>
    <x v="25"/>
    <m/>
    <x v="0"/>
    <x v="316"/>
    <x v="538"/>
    <s v="3rd vacant term"/>
    <s v="Insured is updating and will be renting in the next year."/>
    <x v="3"/>
    <s v="Too late to NRN. Added 15% surcharge. Confirmed $2500 ded."/>
    <m/>
    <m/>
    <s v="Patterson"/>
    <m/>
    <m/>
    <n v="0"/>
  </r>
  <r>
    <x v="462"/>
    <s v="AmWINS"/>
    <s v="FL"/>
    <s v="Julie"/>
    <m/>
    <s v="McCullers"/>
    <s v="Nancy"/>
    <x v="0"/>
    <s v="Live Oak"/>
    <x v="32"/>
    <s v="32064"/>
    <x v="6"/>
    <x v="317"/>
    <x v="440"/>
    <s v="Other UW Reason"/>
    <s v="75 acres.  1998 home on 75 wooded acres. Personal use only. Insured is a widow. App=PC9. Less than 15 min response time."/>
    <x v="3"/>
    <s v="No farming, personal use of acreage. Ask to confirm no hunting. Approved subj to confirmation that location on the 75 acres does not increase response time and home is accessible by emergency vehicles. I verified distance to FD is 2.7. No hydrant per app. PC App required."/>
    <m/>
    <m/>
    <s v="Patterson"/>
    <m/>
    <m/>
    <n v="0"/>
  </r>
  <r>
    <x v="646"/>
    <s v="ASL"/>
    <m/>
    <s v="Charity"/>
    <s v="Email"/>
    <s v="Jurgensen, Thomas"/>
    <m/>
    <x v="0"/>
    <s v="Gloucester, VA PC9"/>
    <x v="3"/>
    <m/>
    <x v="0"/>
    <x v="318"/>
    <x v="539"/>
    <s v="PC9"/>
    <s v="Built in 2001"/>
    <x v="4"/>
    <s v="Value is appropriate, viewable year round from neighbors house &amp; accessible via paved road"/>
    <m/>
    <m/>
    <s v="May"/>
    <m/>
    <m/>
    <n v="0"/>
  </r>
  <r>
    <x v="647"/>
    <s v="Hull Horsham"/>
    <s v="PA"/>
    <s v="Tamika"/>
    <s v="Email"/>
    <s v="Zaprazny"/>
    <s v="Elizabeth"/>
    <x v="0"/>
    <s v="New Ringgold"/>
    <x v="2"/>
    <m/>
    <x v="6"/>
    <x v="318"/>
    <x v="424"/>
    <s v="Business on Premises"/>
    <s v="1959 dwelling on the same property as a huge junkyard/salvage yard/parts store.  Online photos show an extremely large operation.  GL with Motorists."/>
    <x v="1"/>
    <s v="Reviewed w/Louisa. This is a risk where we feel even if we excluded liab, we would still incur great cost to defend our policy. In addn to the liab issues, there is pollution exposure."/>
    <m/>
    <m/>
    <s v="Patterson"/>
    <m/>
    <m/>
    <n v="1"/>
  </r>
  <r>
    <x v="416"/>
    <s v="AmWINS"/>
    <s v="AL"/>
    <s v="James"/>
    <m/>
    <s v="Berry"/>
    <s v="Walter"/>
    <x v="5"/>
    <s v="Ocean Springs"/>
    <x v="16"/>
    <s v="39564"/>
    <x v="2"/>
    <x v="319"/>
    <x v="540"/>
    <s v="Other UW Reason"/>
    <s v="Referred due to vacant dwelling with no alarms and unscheduled personal property limit of over $50k ($140,400). 1993 year built with roof update in 2015. No other concerns, however, there wasn’t mention of vacancy reason."/>
    <x v="2"/>
    <s v="Pended to confirm vacancy reason and length, and if there is anyone who monitors the property. The risk seems acceptable, but will most likely consider increasing the quoted theft and water deductibles of $2500 up to at least $5000"/>
    <m/>
    <m/>
    <s v="Busse"/>
    <m/>
    <m/>
    <n v="0"/>
  </r>
  <r>
    <x v="130"/>
    <s v="Hull Horsham"/>
    <m/>
    <s v="MacKenzie"/>
    <s v="Email"/>
    <s v="Red Brick Rehab LLC"/>
    <m/>
    <x v="1"/>
    <s v="Philadelphia"/>
    <x v="2"/>
    <m/>
    <x v="0"/>
    <x v="320"/>
    <x v="0"/>
    <s v="3rd COC renewal"/>
    <s v="1926 home being rehabbed. 6 month terms issued. We have been on risk 1 1/2 years so far. Photos look good.  However a loss has occurred. Extensive vandalism in the spring. (This is now July). Also advised risk appears to have been and still is underinsured."/>
    <x v="1"/>
    <s v="Extensive loss occurred in the spring and has not been reported."/>
    <s v="ADDL QUESTIONS IF WE DID FOR SOME REASON MOVE FOREWARD:  How did the loss occur?  What was the total amount of damage?  What steps have been taken to mitigate future losses?_x000a_Is the insured planning on living in the home when it is complete?  (Verifying if HO-3 form is correct)_x000a_Current premium?_x000a_Need to do an RCE based on what the completed structure will be like and insure for 100% of the completed value (should always be that way from the start of the policy).  It appears $313,000 is going to be too low._x000a_Really concerned with the open windows in the photos?  How are they protecting rain, birds, vandals, etc. from getting in?_x000a__x000a_"/>
    <m/>
    <s v="Patterson"/>
    <m/>
    <m/>
    <n v="1"/>
  </r>
  <r>
    <x v="648"/>
    <s v="Burns"/>
    <s v="MI"/>
    <s v="David"/>
    <s v="Email"/>
    <s v="Unruh"/>
    <s v="Kip"/>
    <x v="0"/>
    <s v="St. Peculiar"/>
    <x v="36"/>
    <m/>
    <x v="3"/>
    <x v="320"/>
    <x v="541"/>
    <s v="Business on Premises"/>
    <s v="1972 build with updates, one loss-not paid as caused by flooding; wedding on premise, not in home"/>
    <x v="3"/>
    <s v="TBE and GL in place; "/>
    <m/>
    <m/>
    <s v="Burdine"/>
    <m/>
    <m/>
    <n v="0"/>
  </r>
  <r>
    <x v="65"/>
    <s v="Hull Irvine"/>
    <m/>
    <s v="Alex"/>
    <s v="Email"/>
    <s v="Barnes, Denver"/>
    <m/>
    <x v="0"/>
    <s v="San Diego "/>
    <x v="1"/>
    <m/>
    <x v="25"/>
    <x v="321"/>
    <x v="542"/>
    <s v="3 water losses"/>
    <s v="11/14 slab leak $4564. 3/16 roof leak $10,096 wind claim. 5/16 $11,248 same slab leak - rerouted pipe out of the slab. 1986 home. Agent proposing $7500 or $10K deductible."/>
    <x v="3"/>
    <s v="Approved subject to charge for 3 losses and $10,000 deductible. If we can go this year with no losses, we can consider reducing the deductible to $7500 at the renewal and maybe consideration for continued reduction."/>
    <m/>
    <m/>
    <s v="Patterson"/>
    <m/>
    <m/>
    <n v="0"/>
  </r>
  <r>
    <x v="5"/>
    <s v="XS Brokers"/>
    <s v="MA"/>
    <s v="Barbara"/>
    <m/>
    <s v="Bello"/>
    <s v="Frank"/>
    <x v="2"/>
    <s v="Linwood"/>
    <x v="9"/>
    <s v="08221"/>
    <x v="0"/>
    <x v="322"/>
    <x v="331"/>
    <s v="Prior Lapse/NRN"/>
    <s v="1960 year built that was DNOC due to condition of exterior siding. Around entire dwelling, there is missing paint and some rotted wood, agent provided photos. Appears to be in decent shape except for siding. Updates done 2000 plumbing, 2006 wiring, 2007 heating, and 2017 roof. Asked if they should do $10k water ded or do a water exclusion. "/>
    <x v="3"/>
    <s v="Approved subject to full water exclusion, mold and water backup exclusion, also. Also made it a subjectivity that the exterior be repaired by the end of the first term."/>
    <m/>
    <m/>
    <s v="Busse"/>
    <m/>
    <m/>
    <n v="0"/>
  </r>
  <r>
    <x v="522"/>
    <s v="Burns"/>
    <s v="MI"/>
    <s v="Jill"/>
    <m/>
    <s v="Wheeler"/>
    <s v="Calley"/>
    <x v="2"/>
    <s v="Rio Linda"/>
    <x v="1"/>
    <s v="95673"/>
    <x v="9"/>
    <x v="322"/>
    <x v="258"/>
    <s v="Heat Source"/>
    <s v="1960 rental dwelling w/some updates. WRS6. Woodstove is only heat source."/>
    <x v="1"/>
    <s v="CA tenant risk. Not comfortable with this exception."/>
    <s v="O insurance score (surcharge)"/>
    <m/>
    <s v="Patterson"/>
    <m/>
    <m/>
    <n v="1"/>
  </r>
  <r>
    <x v="453"/>
    <s v="ASL"/>
    <s v="VA"/>
    <s v="Joanna"/>
    <s v="Email"/>
    <s v="Loper, John &amp; Tracy"/>
    <m/>
    <x v="0"/>
    <s v="Montepelier"/>
    <x v="10"/>
    <m/>
    <x v="6"/>
    <x v="322"/>
    <x v="543"/>
    <s v="Prior loss"/>
    <s v="1972 home w/updates. Prior dog bit - insureds dog bit child going by on bike at different location.  Agt asking with or without liability."/>
    <x v="3"/>
    <s v="Still have dog? Claim closed? What forms do they apply.   5/17-still has dog, now in a country home. Applying animal exclusion MPL108 (excludes all animals)"/>
    <m/>
    <m/>
    <s v="Patterson"/>
    <m/>
    <m/>
    <n v="0"/>
  </r>
  <r>
    <x v="51"/>
    <s v="Hull Irvine"/>
    <s v="CA"/>
    <s v="Michelle"/>
    <s v="Email"/>
    <s v="Lynde"/>
    <s v="Chad"/>
    <x v="0"/>
    <s v="Hesperia"/>
    <x v="1"/>
    <m/>
    <x v="4"/>
    <x v="322"/>
    <x v="544"/>
    <s v="PC"/>
    <s v="Home built in 1939. Wood shingle siding on frame home. Complete electrical, plumbing and roofing updates in 2003."/>
    <x v="1"/>
    <s v="There are multiple above ground tanks, PC 10 and in brush. The amount of risk coupled with the increased risk of multiple propane tanks is too high."/>
    <m/>
    <m/>
    <s v="Lazovik"/>
    <m/>
    <m/>
    <n v="1"/>
  </r>
  <r>
    <x v="367"/>
    <s v="Hull CA"/>
    <s v="Irvine"/>
    <s v="Alison"/>
    <s v="Email"/>
    <s v="Mountz, Christina"/>
    <m/>
    <x v="1"/>
    <s v="Beaumont CA PC6"/>
    <x v="3"/>
    <m/>
    <x v="0"/>
    <x v="322"/>
    <x v="544"/>
    <s v="Foreclosure"/>
    <s v="Insd had foreclosure over 3 years ago. This is acceptable builders risk with ok brush clearance. Backs up to state land but is cleared to property line. I ran credit scores and they were 718 and 780 which are in our credit range."/>
    <x v="4"/>
    <s v="Acceptable credit. Foreclosure no longer shows on report."/>
    <m/>
    <m/>
    <s v="Patterson"/>
    <m/>
    <m/>
    <n v="0"/>
  </r>
  <r>
    <x v="404"/>
    <s v="JM Wilson"/>
    <s v="MI"/>
    <s v="Lori"/>
    <s v="Email"/>
    <s v="Drach"/>
    <s v="Jeffrey"/>
    <x v="0"/>
    <m/>
    <x v="12"/>
    <m/>
    <x v="18"/>
    <x v="322"/>
    <x v="545"/>
    <s v="Losses"/>
    <s v="2 claims-1 fire, 1 small theft. "/>
    <x v="3"/>
    <s v="need confirmation of fire loss. If was indeed from lightning, we would be able to offer terms after confirmation on the number of horses and that they are all for personal use only."/>
    <m/>
    <m/>
    <s v="Burdine"/>
    <m/>
    <m/>
    <n v="0"/>
  </r>
  <r>
    <x v="504"/>
    <s v="SCU"/>
    <s v="CO"/>
    <s v="Allison"/>
    <m/>
    <s v="Sifuentes"/>
    <s v="Sandra &amp; Rolando Pichardo Ramirez"/>
    <x v="0"/>
    <s v="Longmont"/>
    <x v="19"/>
    <s v="80504"/>
    <x v="8"/>
    <x v="322"/>
    <x v="546"/>
    <s v="Losses"/>
    <s v="1973 year built with following complete updates: roof 2012, wiring and plumbing 1995, and heating 2005. There is t-lock roof, so roof exclusion is being applied. Larger fire loss $43,989 - caused by inadequate flue pipe clearance between flue and frame wall. The insured built the woodstove last year in the detached garage. Other structures have been excluded as no confirmation of garage being rebuilt has been confirmed. Asked if rebuilt can the other structures limit be added at $50,000."/>
    <x v="4"/>
    <s v="Advised confirmation should be received if garage has been rebuilt, and if not, should be excluded. Advised we will only want to provide  coverage once completely repaired. Approved subject to: roof exclusion as noted, confirmation of repaired damage, confirmation if a WBS is still being sued and if so an inspection should be received confirming all clearances and installation is adequate. "/>
    <m/>
    <m/>
    <s v="Busse"/>
    <m/>
    <m/>
    <n v="0"/>
  </r>
  <r>
    <x v="113"/>
    <s v="ASL"/>
    <s v="VA"/>
    <s v="Charity"/>
    <s v="Email"/>
    <s v="Jahns, Matthew"/>
    <m/>
    <x v="0"/>
    <s v="Virginia Beach"/>
    <x v="10"/>
    <m/>
    <x v="2"/>
    <x v="323"/>
    <x v="547"/>
    <s v="Prior loss"/>
    <s v="2016 home. Insd had a  broken pipe loss 11/14 at another location. Would we surcharge?"/>
    <x v="4"/>
    <s v="Advised we need full details of loss. We have the right to pend. Sent a list of questions."/>
    <s v="Per responses, loss unavoidable by insured and immediately mitigated. Agreed to proceed with no surcharge"/>
    <m/>
    <s v="Patterson"/>
    <m/>
    <m/>
    <n v="0"/>
  </r>
  <r>
    <x v="581"/>
    <s v="Burns"/>
    <s v="MI"/>
    <s v="Jill"/>
    <s v="Email"/>
    <s v="Hill"/>
    <s v="Ronald &amp; Kathleen"/>
    <x v="62"/>
    <s v="London Derry"/>
    <x v="52"/>
    <m/>
    <x v="5"/>
    <x v="324"/>
    <x v="271"/>
    <s v="Business on Premises"/>
    <s v="Land for premises is used to harvest plants for the nursery located next door. Insured has 2 million GL policy for business exposure.  There are a few employees, no foot traffic.  The insured location is a rental unit, and will only be used to grow plants on the property for selling at the nursery which is located next door on a separate address."/>
    <x v="1"/>
    <s v="From what you described, this sounds to be more of a commercial risk. If the insured owns the land, and rents the dwelling out and uses the land for his greenhouse/nursery business, the cumulative risk is commercial. Advised to let me know if need further review"/>
    <m/>
    <m/>
    <s v="Burdine"/>
    <m/>
    <m/>
    <n v="1"/>
  </r>
  <r>
    <x v="427"/>
    <s v="Hull Irvine"/>
    <s v="CA"/>
    <s v="Bobbi"/>
    <s v="Email"/>
    <s v="1483 N Easterly Terrace"/>
    <m/>
    <x v="2"/>
    <s v="Los Angeles"/>
    <x v="1"/>
    <m/>
    <x v="0"/>
    <x v="325"/>
    <x v="0"/>
    <s v="Condition"/>
    <s v="Home is partially cantilevered at the back."/>
    <x v="3"/>
    <s v="Asked additional questions as I couldn't find any online entries. 1965 risk built by licensed contractor and engineer.  Approved subj to rush inspection to confirm stability and acceptable railings."/>
    <m/>
    <m/>
    <s v="Patterson"/>
    <m/>
    <m/>
    <n v="0"/>
  </r>
  <r>
    <x v="138"/>
    <s v="Burns"/>
    <s v="MI"/>
    <s v="Alexa"/>
    <s v="Email"/>
    <s v="Williams "/>
    <s v="John"/>
    <x v="1"/>
    <s v="Kane"/>
    <x v="4"/>
    <m/>
    <x v="5"/>
    <x v="325"/>
    <x v="198"/>
    <s v="Insured as GC"/>
    <s v="1958 log home being renovated by the insured who is not a contractor. No GC."/>
    <x v="1"/>
    <s v="We require a licensed and insured GC for any construction or renovation."/>
    <m/>
    <n v="10"/>
    <s v="Patterson"/>
    <m/>
    <m/>
    <n v="1"/>
  </r>
  <r>
    <x v="649"/>
    <s v="XS Brokers"/>
    <s v="MA"/>
    <s v="Barbara"/>
    <m/>
    <s v="Oslander"/>
    <s v="Betty  "/>
    <x v="2"/>
    <s v="Madison"/>
    <x v="25"/>
    <s v="06443"/>
    <x v="2"/>
    <x v="325"/>
    <x v="548"/>
    <s v="Occupancy/Use"/>
    <s v="1999 log home used as rental on same premises as primary - unknown if insured w/Markel, assuming it is not. Nice pics. Prem liab."/>
    <x v="3"/>
    <s v="Adjust rating - rated in error as frame. Ck cov A. Exclude primary home. "/>
    <m/>
    <m/>
    <s v="Patterson"/>
    <m/>
    <m/>
    <n v="0"/>
  </r>
  <r>
    <x v="466"/>
    <s v="XS Brokers"/>
    <s v="MA"/>
    <s v="Barbara"/>
    <s v="Email"/>
    <s v="Hanania"/>
    <s v="Khalil"/>
    <x v="2"/>
    <s v="New Haven"/>
    <x v="25"/>
    <m/>
    <x v="11"/>
    <x v="325"/>
    <x v="549"/>
    <s v="Age of Home"/>
    <s v="YOC 1868, home complete gut/rebuild, quoted FRC"/>
    <x v="3"/>
    <s v="Reviewing Satellite photos of this property, it doesn’t appear that the home is in a historic district. However, please just confirm with the applicant. If it is not, and the property has been updated, you are able to offer terms with FRC."/>
    <m/>
    <m/>
    <s v="Burdine"/>
    <m/>
    <m/>
    <n v="0"/>
  </r>
  <r>
    <x v="647"/>
    <s v="Burns"/>
    <s v="MI"/>
    <s v="Danielle"/>
    <s v="Email"/>
    <s v="Blakeley"/>
    <s v="Harris Turner"/>
    <x v="0"/>
    <s v="Andrews"/>
    <x v="20"/>
    <m/>
    <x v="6"/>
    <x v="325"/>
    <x v="535"/>
    <s v="PC"/>
    <s v="1998 dwelling w/ updates in 2015. PC 9 with 20 min response time. VMGA pricing coming in at .59."/>
    <x v="4"/>
    <s v="Our range starts at .60. This is a newer dwelling, lower value. Feel .59 is adequate."/>
    <m/>
    <m/>
    <s v="Patterson"/>
    <m/>
    <m/>
    <n v="0"/>
  </r>
  <r>
    <x v="119"/>
    <s v="Hull Irvine"/>
    <m/>
    <s v="Alex"/>
    <s v="Email"/>
    <s v="Barlow, Tim"/>
    <m/>
    <x v="0"/>
    <s v="Carlsbad"/>
    <x v="1"/>
    <m/>
    <x v="0"/>
    <x v="325"/>
    <x v="550"/>
    <s v="Equine exposure"/>
    <s v="Insured boards horses, but the equine liability is insured with Markel."/>
    <x v="3"/>
    <s v="Insurance must stay with Markel. Offer void if it moves to another carrier. There are policy form exclusions and limitations to coverage for the barns. Advise insured accordingly. "/>
    <m/>
    <m/>
    <s v="Patterson"/>
    <m/>
    <m/>
    <n v="0"/>
  </r>
  <r>
    <x v="202"/>
    <s v="Burns"/>
    <s v="MI"/>
    <s v="Danielle"/>
    <s v="Email"/>
    <s v="Robinson, Rod"/>
    <m/>
    <x v="21"/>
    <s v="Shaver Lake CA  PC6"/>
    <x v="3"/>
    <m/>
    <x v="0"/>
    <x v="325"/>
    <x v="550"/>
    <s v="Wood roof"/>
    <s v="1947 home updated in 1999 with wood roof in brush zone. Per inspection large pine tree overhangs. Med brush per RM."/>
    <x v="1"/>
    <s v="For wood roofs in a brush zone, we are not writing these unless the roof is new and there is proof it is a manufactured fire-resistant wood shingle/shake.  (Not aftermarket fire resistance treatment.)"/>
    <m/>
    <m/>
    <s v="Patterson"/>
    <m/>
    <m/>
    <n v="1"/>
  </r>
  <r>
    <x v="29"/>
    <s v="Burns"/>
    <s v="MI"/>
    <s v="David"/>
    <s v="Email"/>
    <s v="Ahart"/>
    <s v="Ted"/>
    <x v="0"/>
    <s v="Placerville"/>
    <x v="1"/>
    <m/>
    <x v="5"/>
    <x v="325"/>
    <x v="500"/>
    <s v="Rate"/>
    <s v="1950 build, no losses, primary home; match rates quote from Hull, but they have FRC instead of ACV as quoted by Burns; wants FRC"/>
    <x v="3"/>
    <s v="advised OK to match at FRC as long as partial updates have been completed"/>
    <m/>
    <m/>
    <s v="Burdine"/>
    <m/>
    <m/>
    <n v="0"/>
  </r>
  <r>
    <x v="211"/>
    <s v="Hull CA"/>
    <s v="Irvine"/>
    <s v="Alison"/>
    <s v="Email/Call"/>
    <s v="Wilson, Thomas"/>
    <m/>
    <x v="0"/>
    <s v="Ventura CA  PC2"/>
    <x v="3"/>
    <m/>
    <x v="0"/>
    <x v="326"/>
    <x v="551"/>
    <s v="Liab loss"/>
    <s v="Insured had a rental property. Daughter was tenant with 2 Pit Bulls. They got out and hurt a jogger. $700,000 loss including prop and umbrella. Dogs are put down. She no longer lives there. Interested in issuing without liability or no animal liability"/>
    <x v="4"/>
    <m/>
    <m/>
    <m/>
    <s v="Patterson"/>
    <m/>
    <m/>
    <n v="0"/>
  </r>
  <r>
    <x v="75"/>
    <s v="Burns"/>
    <s v="MI"/>
    <s v="Leslie"/>
    <s v="Email"/>
    <s v="Skaggs, Lori"/>
    <m/>
    <x v="0"/>
    <s v="Arbuckle"/>
    <x v="1"/>
    <m/>
    <x v="0"/>
    <x v="327"/>
    <x v="424"/>
    <s v="Tiny house "/>
    <s v="1992 home w/tiny house as other structure. It is occupied by son and is mobile."/>
    <x v="3"/>
    <s v="Can't do the tiny house, but rest of risk is okay.  Provided other sources of insurance. If prof built and permanent, we could consider at this $30K value."/>
    <m/>
    <m/>
    <s v="Patterson"/>
    <m/>
    <m/>
    <n v="0"/>
  </r>
  <r>
    <x v="310"/>
    <s v="Burns"/>
    <s v="MI"/>
    <s v="Ben"/>
    <s v="Email"/>
    <s v="Miller, Richard"/>
    <m/>
    <x v="95"/>
    <s v="Placerville"/>
    <x v="1"/>
    <m/>
    <x v="4"/>
    <x v="328"/>
    <x v="271"/>
    <s v="FD change at renewal"/>
    <s v="BWH105097-12179170, renewal came back with updated FD info, PC 10 with response time 17 minutes"/>
    <x v="1"/>
    <s v="Agreed best to offer DNOC due to change in risk"/>
    <m/>
    <m/>
    <s v="Burdine"/>
    <m/>
    <m/>
    <n v="1"/>
  </r>
  <r>
    <x v="2"/>
    <s v="Burns"/>
    <s v="MI"/>
    <s v="Alexa"/>
    <m/>
    <s v="Terwelp"/>
    <s v="Ralph"/>
    <x v="0"/>
    <s v="Columbia"/>
    <x v="36"/>
    <s v="65201"/>
    <x v="4"/>
    <x v="329"/>
    <x v="552"/>
    <s v="Business on Premises"/>
    <s v="1990 home. Good ins score. PC10. Per PC quest, responding FD is 12.9 miles/16 min drive. Volunteer FD, 1/4 mile gravel. Has GL. Apply TBE. Upholstery business in basement by appointment, 3 employees. 1 small 2019 water loss $1K"/>
    <x v="2"/>
    <s v="Need info on water loss (to make sure not business related). Once this clears, ok w/TBE, GL, Exclude liability due to customers carrying furniture downstairs and 3 employees. 20-25 min response time + business = $.90 rate = $4,940. // MP 2/6/19 $915 water backup 2018 dmg to downstairs bath. Approved w/no backup, no mold, and other prev listed subjectivities."/>
    <m/>
    <m/>
    <s v="Patterson"/>
    <m/>
    <m/>
    <n v="0"/>
  </r>
  <r>
    <x v="609"/>
    <s v="Burns"/>
    <s v="MI"/>
    <s v="Jeffrey"/>
    <s v="Email"/>
    <s v="Liese"/>
    <s v="Theodore"/>
    <x v="4"/>
    <s v="Covelo"/>
    <x v="1"/>
    <m/>
    <x v="4"/>
    <x v="330"/>
    <x v="553"/>
    <s v="PC"/>
    <s v="2008 dwelling in brush. WBS is primary heat. Response time reported as 10 minutes."/>
    <x v="1"/>
    <s v="Mapped 15-20 min drive time + volunteer department - will be more like 25 minutes. WBS floor protection not adequate. Should be 18&quot; from unit to front of floor protection. In brush."/>
    <m/>
    <m/>
    <s v="Patterson"/>
    <m/>
    <m/>
    <n v="1"/>
  </r>
  <r>
    <x v="443"/>
    <s v="Hull CO"/>
    <s v="Horsham"/>
    <s v="Nichole"/>
    <s v="Email"/>
    <s v="Bates, Luther"/>
    <m/>
    <x v="2"/>
    <s v="Chatham "/>
    <x v="21"/>
    <m/>
    <x v="2"/>
    <x v="331"/>
    <x v="0"/>
    <s v="2 rental structures"/>
    <s v="Home and garage/apartment rented to others on same property - rented to different individuals."/>
    <x v="3"/>
    <s v="Advised Nichole of 2 options - A&amp;B addresses on 2 policies; or can schedule 2nd unit - like 2 decs. Manipulate liab prem and only list liab once."/>
    <m/>
    <m/>
    <s v="Patterson"/>
    <m/>
    <m/>
    <n v="0"/>
  </r>
  <r>
    <x v="650"/>
    <s v="SCU"/>
    <s v="CO"/>
    <s v="Allison"/>
    <m/>
    <s v="Manes"/>
    <s v="Gary"/>
    <x v="6"/>
    <s v="Lakewood"/>
    <x v="19"/>
    <s v="80228"/>
    <x v="11"/>
    <x v="332"/>
    <x v="187"/>
    <s v="Builders Risk"/>
    <s v="This is a borderline builders risk. 1961 dwelling that already has updates to systems ranging 1996-2009. Roof done in 2016. Applicant is purchasing and remodeling to flip the home to sell. New tile, cabinets, counters, paint, etc., majority cosmetic. However, one other portion is adding on to the garage. Since the structural add on is there, categorized as BR. No GC, insured doing all the work, may hire some tradesmen to help with some work. 6 month policy"/>
    <x v="3"/>
    <s v="I agree this should be BR since there is the garage add on listed. Otherwise just cosmetics does not require BR. I am fine with insured handling the cosmetic (majority) of the project with no GC. However, approved subject to confirmation that the garage add on would be done by a licensed contractor, not the applicant. "/>
    <m/>
    <m/>
    <s v="Busse"/>
    <m/>
    <m/>
    <n v="0"/>
  </r>
  <r>
    <x v="651"/>
    <s v="Burns"/>
    <s v="MI"/>
    <s v="Delta"/>
    <s v="Email"/>
    <s v="Bailey, Wallace"/>
    <m/>
    <x v="0"/>
    <s v="Fort Collins"/>
    <x v="19"/>
    <m/>
    <x v="9"/>
    <x v="332"/>
    <x v="315"/>
    <s v="Business on premises"/>
    <s v="1974 home w/12 updated roof. Son repairs coffee machines for franchise. No traffic. Has GL and garage insured. Agnt excluding oth str and adding total business excl."/>
    <x v="4"/>
    <m/>
    <m/>
    <m/>
    <s v="Patterson"/>
    <m/>
    <m/>
    <n v="0"/>
  </r>
  <r>
    <x v="652"/>
    <s v="AmWINS"/>
    <s v="IL"/>
    <s v="Tasha"/>
    <m/>
    <s v="Just Douglas, LLC"/>
    <m/>
    <x v="2"/>
    <s v="Kingwood"/>
    <x v="23"/>
    <s v="77339"/>
    <x v="0"/>
    <x v="332"/>
    <x v="554"/>
    <s v="Other UW Reason"/>
    <s v="Agent received no referral messages when quoting and just wanted to make sure everything was fine to offer since it was in Harris Co in TX."/>
    <x v="4"/>
    <s v="The risk was all within their guidelines and quoted correctly. Advised to consider ACV roof since roof was 22 years of age. "/>
    <m/>
    <m/>
    <s v="Busse"/>
    <m/>
    <m/>
    <n v="0"/>
  </r>
  <r>
    <x v="56"/>
    <s v="Hull Irvine"/>
    <s v=" "/>
    <s v="Alison"/>
    <s v="Email"/>
    <s v="Kao, Wayne"/>
    <m/>
    <x v="2"/>
    <s v="Los Angeles"/>
    <x v="1"/>
    <m/>
    <x v="8"/>
    <x v="332"/>
    <x v="555"/>
    <s v="High profile"/>
    <s v="Looking for liab coverage; primary home TIV is $12Mil so placing elsewhere, interested in 3 other properties w/liab. Client is in the music industry. Seems to be currently active, with links to  high-profile artists and events"/>
    <x v="0"/>
    <s v="Risk has a lot of links to high-profiles in entertainment industry, a few negative remarks on a personal level. Not comfortable offering w/liab"/>
    <s v="Agt may submit 3 of risks prop x-liab/approved by Kirsten"/>
    <m/>
    <s v="Patterson"/>
    <m/>
    <m/>
    <n v="0"/>
  </r>
  <r>
    <x v="653"/>
    <s v="AmWINS"/>
    <s v="IL"/>
    <s v="Tasha"/>
    <m/>
    <s v="Van De Bovenkamp"/>
    <s v="Brett"/>
    <x v="4"/>
    <s v="Wellington "/>
    <x v="32"/>
    <s v="33414"/>
    <x v="9"/>
    <x v="332"/>
    <x v="341"/>
    <s v="Other UW Reason"/>
    <s v="2001 year built. Agent wanted to check if this was acceptable because it is in Palm Beach county, 12 miles from coast. Didn’t receive any referral messages but wanted to check since they received declinations for wind due to value in the past. "/>
    <x v="4"/>
    <s v="Approved terms as quoted. w/h deductible is within guidelines. "/>
    <m/>
    <m/>
    <s v="Busse"/>
    <m/>
    <m/>
    <n v="0"/>
  </r>
  <r>
    <x v="447"/>
    <s v="AmWINS"/>
    <s v="FL"/>
    <s v="Julie"/>
    <m/>
    <s v="Weidman"/>
    <s v="Scott &amp; Robin"/>
    <x v="0"/>
    <s v="Dayton Beach"/>
    <x v="32"/>
    <s v="32114"/>
    <x v="9"/>
    <x v="332"/>
    <x v="506"/>
    <s v="Prior Lapse/NRN"/>
    <s v="1947 home w/updates. Has prior wind coverage and force placed fire coverage since 8/30/17.  Prior leak 9/16 and hurricane loss $22K 10/16. Still some ceiling spots to be repaired. Insds going thru divorce. Mr now in home. Wants own policy vs. force placed."/>
    <x v="0"/>
    <s v="Wind only is not prior coverage.  Need to know how long without fire/liab. Why now? Needs to be a good ins score. Insd let the interior damage sit unrepaired. Need to gain a comfort level with this and make sure not a morale hazard.//MP 4/17/19 Divorce situation. Mr now in home - wants own policy vs. force placed. Addl 15% on top of system 10% for lapse. Charge for 2 losses. No mold, no water bu, existing damage excl. Water damage to ceilings must be repaired before coverage can be bound. Flat roof appears to be 2016."/>
    <m/>
    <m/>
    <s v="Patterson"/>
    <m/>
    <m/>
    <n v="0"/>
  </r>
  <r>
    <x v="622"/>
    <s v="SCU"/>
    <s v="CO"/>
    <s v="Ashley"/>
    <s v="Email"/>
    <s v="Rice"/>
    <s v="Greg &amp; Alison"/>
    <x v="3"/>
    <s v="Arnold"/>
    <x v="1"/>
    <m/>
    <x v="2"/>
    <x v="332"/>
    <x v="556"/>
    <s v="Heat Source"/>
    <s v="a secondary home with some short-term rental only 6 weeks out of the year.; no central heat, woodstove primary heat source. Professionally installed and inspected by a fire department, 1980 build, in brush"/>
    <x v="3"/>
    <s v="Approval to offer terms with 10% surcharge"/>
    <m/>
    <m/>
    <s v="Burdine"/>
    <m/>
    <m/>
    <n v="0"/>
  </r>
  <r>
    <x v="565"/>
    <s v="Burns"/>
    <s v="MI"/>
    <s v="Alexa"/>
    <s v="Email"/>
    <s v="Hart"/>
    <s v="Candace"/>
    <x v="16"/>
    <m/>
    <x v="24"/>
    <m/>
    <x v="2"/>
    <x v="332"/>
    <x v="557"/>
    <s v="Price match"/>
    <s v="Home is a secondary home in DE, 1.2 miles to coast,  Built in 2011 of frame construction.  PC5, no alarms. VMGA Premium - $1701 (with taxes and fees $1958.03). Total Premium to Match $1,022.79 (policy premium would need to be $792 before taxes/fees) Would need 60.03% discount"/>
    <x v="1"/>
    <m/>
    <s v="Confirmed with Bethany current rating is appropriate, can not discount 60%"/>
    <m/>
    <s v="Burdine"/>
    <m/>
    <m/>
    <n v="1"/>
  </r>
  <r>
    <x v="385"/>
    <s v="JM Wilson"/>
    <s v="MI"/>
    <s v="Tyler"/>
    <m/>
    <s v="Clevenger"/>
    <s v="Tiffany &amp; Josh"/>
    <x v="0"/>
    <s v="Kansas City"/>
    <x v="36"/>
    <s v="64157"/>
    <x v="11"/>
    <x v="332"/>
    <x v="424"/>
    <s v="Losses"/>
    <s v="2007 home w/6 wind losses in 8 years. NRN by Amer Family. Insd complained to Ins Dept. Also complained about their auto glass covg. No info provided by JMWilson about score, ded, rates."/>
    <x v="1"/>
    <s v="Concern with the Ins Dept complaint and what might be to come for us. Insd has policy currently w/Lloyds."/>
    <m/>
    <m/>
    <s v="Patterson"/>
    <m/>
    <m/>
    <n v="1"/>
  </r>
  <r>
    <x v="34"/>
    <s v="XS Brokers"/>
    <s v="MA"/>
    <s v="Barbara"/>
    <s v="Email"/>
    <s v="Jameson"/>
    <s v="Maurice &amp; Jean"/>
    <x v="0"/>
    <s v="Deep River"/>
    <x v="25"/>
    <m/>
    <x v="2"/>
    <x v="332"/>
    <x v="508"/>
    <s v="Business on Premises"/>
    <s v="1948 dwelling w/updates. Dog breeding on premises.  Additionally, prior large fire loss $84K caused by a/c. DOL shows 7/21/18 which can't be right. Agent applied TBE and Animal Excl."/>
    <x v="3"/>
    <s v="Asked numerous business questions. Also asked for correct DOL, a/c update, and C&amp;O report. If all checks out, risk should be fine. // 6/8/18 Barbara sent a copy of the GL application. It is in the agency email box. It shows breeding only of Shiatzu dogs, 5-6 litters; 15 average animals sold per year. More answers coming. //  subject to them obtaining a GL policy for the business exposure, and also the total business and animal exclusions must be applied. KB"/>
    <m/>
    <m/>
    <s v="Patterson"/>
    <m/>
    <m/>
    <n v="0"/>
  </r>
  <r>
    <x v="485"/>
    <s v="Appalachian"/>
    <s v="TN"/>
    <s v="Brett"/>
    <m/>
    <s v="Keller"/>
    <s v="Richard &amp; Glenda"/>
    <x v="0"/>
    <s v="Reddick"/>
    <x v="32"/>
    <s v="32666"/>
    <x v="4"/>
    <x v="332"/>
    <x v="558"/>
    <s v="Occupancy/Use"/>
    <s v="2007 log home, very nice per online info. Has personal use mobile home on property, extensive horse barns and fencing."/>
    <x v="3"/>
    <s v="Excluding fencing and any structures they wouldn't replace. Excluding mobile home. Exposure eliminated."/>
    <m/>
    <m/>
    <s v="Patterson"/>
    <m/>
    <m/>
    <n v="0"/>
  </r>
  <r>
    <x v="580"/>
    <s v="AmWINS"/>
    <s v="IL"/>
    <s v="Tasha"/>
    <m/>
    <s v="34425 Six Mile Road"/>
    <m/>
    <x v="0"/>
    <s v="Livonia"/>
    <x v="8"/>
    <s v="48152"/>
    <x v="2"/>
    <x v="332"/>
    <x v="559"/>
    <s v="Occupancy/Use"/>
    <s v="1968 home w/updates. Owned by brother and sister LLC. Sister is special needs and has nurses coming in 24/7. Is liability okay?  Requiring HO4 for daughter and friend also living in home."/>
    <x v="4"/>
    <s v="Nurses are to care for basic needs. Liability is okay."/>
    <m/>
    <m/>
    <s v="Patterson"/>
    <m/>
    <m/>
    <n v="0"/>
  </r>
  <r>
    <x v="654"/>
    <s v="Burns"/>
    <s v="MI"/>
    <s v="Jill"/>
    <s v="Email"/>
    <s v="Trembush, Peter BWH103298"/>
    <m/>
    <x v="21"/>
    <s v="Keene"/>
    <x v="1"/>
    <m/>
    <x v="6"/>
    <x v="333"/>
    <x v="287"/>
    <s v="Response time"/>
    <s v="This renewal is being referred for response time of 25 minutes. This was discovered at inspection, but was not referred to Markel at that time.  Insd is a firefighter. Home looks like manufactured. Found 3 websites that list it as mobile/manufactured."/>
    <x v="1"/>
    <s v="Advised to check further and if this is a modular (not mobile/manufactured), since we've been on for a year, lower value, insd is a firefighter, would allow the exception. Need good proof this is modular. Advised manuf. on a foundation is not modular."/>
    <m/>
    <m/>
    <s v="Patterson"/>
    <m/>
    <m/>
    <n v="1"/>
  </r>
  <r>
    <x v="302"/>
    <s v="Hull CO"/>
    <s v="Horsham"/>
    <s v="Lisa"/>
    <s v="Email"/>
    <s v="Schonyers, Tanya"/>
    <m/>
    <x v="0"/>
    <s v="Ventnoor"/>
    <x v="9"/>
    <m/>
    <x v="0"/>
    <x v="334"/>
    <x v="560"/>
    <s v="Prior loss"/>
    <s v="1935 home updated in 2016.  1/15/16 $100K water loss. Pipe burst. Repaired. $10K water ded."/>
    <x v="3"/>
    <s v="Confirm pipes have been replaced and there is no galvanized."/>
    <m/>
    <m/>
    <s v=" "/>
    <m/>
    <m/>
    <n v="0"/>
  </r>
  <r>
    <x v="4"/>
    <s v="XS Brokers"/>
    <s v="MA"/>
    <s v="Barbara"/>
    <m/>
    <s v="Whitehill"/>
    <s v="Richard &amp; Dawn"/>
    <x v="0"/>
    <s v="Plymouth"/>
    <x v="25"/>
    <s v="06786"/>
    <x v="2"/>
    <x v="334"/>
    <x v="561"/>
    <s v="Losses"/>
    <s v="1988 year built with updates to elec 2010, heating 2010, and roof 2013. 8/2015 claim was a dog bite $145k. Friend was visiting and teasing dog, applicant asked friend to stop, dog got nervous and bit the person. Insured still owns the dog (beagle). "/>
    <x v="3"/>
    <s v="Talked with Melissa on this one, feels comfortable that our animal exclusion is strong enough to allow policy to issue with exclusion applied. Subject to animal exclusion and completed app. "/>
    <m/>
    <m/>
    <s v="Busse"/>
    <m/>
    <m/>
    <n v="0"/>
  </r>
  <r>
    <x v="617"/>
    <s v="Hull Horsham"/>
    <s v="PA"/>
    <s v="Tamika"/>
    <s v="Email"/>
    <s v="Morgan"/>
    <s v="Irene"/>
    <x v="0"/>
    <m/>
    <x v="9"/>
    <m/>
    <x v="3"/>
    <x v="335"/>
    <x v="562"/>
    <s v="Losses"/>
    <s v="there are two claims:  03/03/2016 - $4,115.00 paid out under windstorm damage to a greenhouse. Closed 11/08/16.  Also, 01/07/2018- $3,532.23 paid thus far due to pipe burst and water damage. Claim is still open; 1941 build; quoting with $1,000 AOP and $5,00 special water ded.  Terms would be subject to current update information on the roof "/>
    <x v="2"/>
    <s v="need to confirm updates, estimated completion date of repairs"/>
    <m/>
    <m/>
    <s v="Burdine"/>
    <m/>
    <m/>
    <n v="0"/>
  </r>
  <r>
    <x v="537"/>
    <s v="Burns"/>
    <s v="CA"/>
    <s v="Jill"/>
    <s v="Email"/>
    <s v="Clark, Sharon"/>
    <m/>
    <x v="0"/>
    <s v="Paradise CA PC4"/>
    <x v="3"/>
    <m/>
    <x v="0"/>
    <x v="336"/>
    <x v="8"/>
    <s v="Bike ramp"/>
    <s v="Built in 61, updated various dates. Brush zone. Bike ramp, tree house, construction materials, graffiti on house and old shed."/>
    <x v="1"/>
    <s v="Due to various issues, overall pride of ownership."/>
    <m/>
    <m/>
    <s v="Patterson"/>
    <m/>
    <m/>
    <n v="1"/>
  </r>
  <r>
    <x v="225"/>
    <s v="Burns"/>
    <s v="MI"/>
    <s v="Matt"/>
    <s v="Email"/>
    <s v="Johnson, Christine"/>
    <m/>
    <x v="0"/>
    <s v="Southwest Ranches FL"/>
    <x v="3"/>
    <m/>
    <x v="0"/>
    <x v="337"/>
    <x v="563"/>
    <s v="Double Tap Circuit"/>
    <s v="1976 home with updates. Inspection found 1 double tapped circuit. Agreed to give insured 30 days to have a licensed electrician correct it."/>
    <x v="3"/>
    <s v="Approved subject to the double tap issue being corrected within 30 days "/>
    <m/>
    <m/>
    <s v="Patterson"/>
    <m/>
    <m/>
    <n v="0"/>
  </r>
  <r>
    <x v="402"/>
    <s v="Burns"/>
    <s v="MI"/>
    <s v="Leslie"/>
    <s v="Email"/>
    <s v="Heinle, Denise"/>
    <m/>
    <x v="0"/>
    <s v="Sarver "/>
    <x v="2"/>
    <m/>
    <x v="4"/>
    <x v="338"/>
    <x v="564"/>
    <s v="PC10"/>
    <s v="1983 home updated. PC10 - 3 miles away, but volunteer FD. Son runs cross fit business in garage - don't know if att or det. Leslie wants to match $3319 prem. Markel is $3489."/>
    <x v="2"/>
    <s v="Need full info on business. If in att garage, can't use Total Biz Excl since it excl Cov A. Would have to do X-liability. With longer response time, I was going to s/c. Can't see meeting Scottsdales prem."/>
    <m/>
    <m/>
    <s v="Patterson"/>
    <m/>
    <m/>
    <n v="0"/>
  </r>
  <r>
    <x v="68"/>
    <s v="SCU"/>
    <s v="CO"/>
    <s v="Allison"/>
    <s v="Email"/>
    <s v="Behlendorf, Shawn"/>
    <m/>
    <x v="0"/>
    <s v="Evergreen"/>
    <x v="19"/>
    <m/>
    <x v="3"/>
    <x v="339"/>
    <x v="565"/>
    <s v="Woodstove primary heat"/>
    <s v="1948 home w/some updates. Sketchy info on WBS. It is primary heat; no other source. 150' clearance not maintained. WBS was in home when purchased."/>
    <x v="1"/>
    <s v="Concerned w/little info on stove, primary heat on primary residence, moderate TIV. (Other issues: possible flat roof - cover is rubber. Trampoline-ensure excl is added)"/>
    <m/>
    <m/>
    <s v="Patterson"/>
    <m/>
    <m/>
    <n v="1"/>
  </r>
  <r>
    <x v="105"/>
    <s v="Burns"/>
    <s v="MI"/>
    <s v="Danielle"/>
    <s v="Email"/>
    <s v="Delmore, Maurice &amp; Doris"/>
    <m/>
    <x v="0"/>
    <s v="Wisconsin Dells"/>
    <x v="12"/>
    <m/>
    <x v="5"/>
    <x v="340"/>
    <x v="566"/>
    <s v="Business on premise"/>
    <s v="1972 home w/updates. Roofing/siding co owned by insured shares driveway. Agent using building exclusion. GL coverage in place. WBS in garage - subj to questionnaire."/>
    <x v="3"/>
    <s v="WBS quest, exclude biz use oth str, add Total Business Exclusion.  Online photo shows set up. Insp photo shows treehouse w/no balusters on step railing."/>
    <m/>
    <m/>
    <s v="Patterson"/>
    <m/>
    <m/>
    <n v="0"/>
  </r>
  <r>
    <x v="368"/>
    <s v="Burns"/>
    <s v="MI"/>
    <s v="Nicole"/>
    <m/>
    <s v="Schrader"/>
    <s v="Jean"/>
    <x v="0"/>
    <s v="Saint Ann"/>
    <x v="36"/>
    <s v="63074"/>
    <x v="5"/>
    <x v="341"/>
    <x v="567"/>
    <s v="Business on Premises"/>
    <s v="Business on premises and a prior loss. 1952 year built with updates 1992 wiring, 2002 heating, 2018 plumbing and roof 2008. 5/2017 liability loss grandsons wife was taking an intoxicated employees wife back on the property in a golf cart. The person fell out of the cart which was on the applicants property. $0 paid $5,000 med pay reserve. Applicants grandson has 2 businesses on premises from commercial structure, Brians Automotive Inc and Pavement maintenance and Construction LLC. Grandson has commercial policy for businesses. "/>
    <x v="3"/>
    <s v="Agent already applied TBE and also excluded liability and med pay. Approved subject to completed and acceptable OHQ, TBE, Liability exclusion, other structure exclusion for business related structures and no coverage for golf cart(s)"/>
    <m/>
    <m/>
    <s v="Busse"/>
    <m/>
    <m/>
    <n v="0"/>
  </r>
  <r>
    <x v="164"/>
    <s v="Burns NC"/>
    <s v="NC"/>
    <s v="Lauren"/>
    <s v="Email"/>
    <s v="Medlin"/>
    <s v="Frances"/>
    <x v="23"/>
    <s v="Nags Head"/>
    <x v="11"/>
    <m/>
    <x v="5"/>
    <x v="342"/>
    <x v="395"/>
    <s v="Lapse"/>
    <s v="2005 home rented 22 weeks. Lapse since 8/25/17. Cancelled w/prior carrier and agent just realized it. Online photos show commercial area."/>
    <x v="1"/>
    <s v="6 week lapse - 2 moratoriums since then and this is seasonal.  No way to surcharge"/>
    <s v="Even with Signed No Loss, I would require an in/ext inspection to confirm no storm damage."/>
    <n v="28"/>
    <s v="Patterson"/>
    <m/>
    <m/>
    <n v="1"/>
  </r>
  <r>
    <x v="655"/>
    <s v="Burns"/>
    <s v="MI"/>
    <s v="Rachel"/>
    <m/>
    <s v="Mahoney"/>
    <s v="Dennis"/>
    <x v="0"/>
    <s v="Merrimac"/>
    <x v="33"/>
    <s v="53561"/>
    <x v="9"/>
    <x v="343"/>
    <x v="568"/>
    <s v="Business on Premises"/>
    <s v="1993 year built with complete update to roof in 2006. Applicant is a machinist, works on nozzles used on engines for tractors. He receives parts and fixes them then returns them. Work is done in attached four car garage, has a space dedicated for this. No foot traffic and no employees. UPDATE 3/13/2019: PC is actually 10, 7 minute response time."/>
    <x v="3"/>
    <s v="Approving subject to TBE UPDATE: approval still stands, PC10 is not of large concern since 5.5 miles and 7 minute response time. "/>
    <m/>
    <m/>
    <s v="Busse"/>
    <m/>
    <m/>
    <n v="0"/>
  </r>
  <r>
    <x v="37"/>
    <s v="Burns"/>
    <s v="MI"/>
    <s v="Lindsay"/>
    <s v="Email"/>
    <s v="Smeltzer"/>
    <s v="Skip"/>
    <x v="0"/>
    <s v="New Paris"/>
    <x v="4"/>
    <m/>
    <x v="0"/>
    <x v="344"/>
    <x v="569"/>
    <s v="Business on Premises"/>
    <s v="2005 dwelling quoted excluding liability. Total business exclusion. Daycare on premises with pool and 2 dogs. These are separated from the daycare and play area.  GL will be in place."/>
    <x v="4"/>
    <s v="Liab exposure eliminated with liab exclusion and TBE and GL."/>
    <s v=" "/>
    <m/>
    <s v="Patterson"/>
    <m/>
    <m/>
    <n v="0"/>
  </r>
  <r>
    <x v="305"/>
    <s v="SCU"/>
    <s v="CO"/>
    <s v="Allison"/>
    <s v="Email"/>
    <s v="Cassidy, Charles"/>
    <m/>
    <x v="21"/>
    <s v="Gunnison"/>
    <x v="19"/>
    <m/>
    <x v="4"/>
    <x v="345"/>
    <x v="231"/>
    <s v="Response time"/>
    <s v="1980 log veneer home w/metal roof. Response time noted as 20-30 min. Online search of FD address shows 40 min drive time…doesn't consider volunteer FD. Medium RiskMeter. High FireLine with heavy brush. "/>
    <x v="3"/>
    <s v="Asked agent to provide info on FD address and response time. Advised at this time it seems like too long.  12/22: Response time 25-30 min per Fire Marshall. Residents nearby. Will mitigate brush and plan to full winterize home when not in use."/>
    <m/>
    <m/>
    <s v="Patterson"/>
    <m/>
    <m/>
    <n v="0"/>
  </r>
  <r>
    <x v="353"/>
    <s v="Burns"/>
    <s v="MI"/>
    <s v="Rachel"/>
    <s v="Email"/>
    <s v="Orchard"/>
    <s v="Katherine"/>
    <x v="4"/>
    <s v="Oakley"/>
    <x v="22"/>
    <m/>
    <x v="4"/>
    <x v="345"/>
    <x v="472"/>
    <s v="PC"/>
    <s v="PC 10, no losses and a frame. Built in 1986 without any updates. Response time is 25-30 minutes. There has not been any coverage since the deceased owner's kids took over the property. They forgot to insure it. Rachel says she will get dated, no loss dletter form the date of lapse to present date."/>
    <x v="3"/>
    <s v="Will approve (Jeff took a look) with a 20% surcharge for  inaccessibility and the lapse. Need to exclude the roof and confirm the types of piping and exclude water if necessary."/>
    <m/>
    <m/>
    <s v="Lazovik"/>
    <m/>
    <m/>
    <n v="0"/>
  </r>
  <r>
    <x v="52"/>
    <s v="Burns"/>
    <s v="MI"/>
    <s v="Alexa"/>
    <m/>
    <s v="Greenberg"/>
    <s v="Robert"/>
    <x v="42"/>
    <s v="Saint Louis"/>
    <x v="36"/>
    <s v="63141"/>
    <x v="8"/>
    <x v="346"/>
    <x v="570"/>
    <s v="Losses"/>
    <s v="Four losses in past 3 years on prior home. Hail damage 5/11/16 $0, Hail damage 2/28/17 hail damage ($12k), Burglary 1/21 due to water loss fix from January ($10k for jewelry_ and 1/16/16 pipe broke - $297k. Masonry construction built in 1966. Full updates in 2015 and c/s alarms. Condo built in 1966. Brick building with CSA for temp and burglary. Complete updates to wiring, plumbing and heating in 2015. EQ for MO?"/>
    <x v="3"/>
    <s v="Losses were all for prior property and 2 were hail. Recommending 4 losses and surcharged 10% to us. Stand alone policy for the jewelry."/>
    <m/>
    <m/>
    <s v="Lazovik"/>
    <m/>
    <m/>
    <n v="0"/>
  </r>
  <r>
    <x v="194"/>
    <s v="Hull CA"/>
    <s v="Stockton"/>
    <s v="Melissa"/>
    <s v="Email"/>
    <s v="Anderson, Louise"/>
    <m/>
    <x v="32"/>
    <s v="Mi Wuk Village CA PC5"/>
    <x v="3"/>
    <m/>
    <x v="0"/>
    <x v="347"/>
    <x v="571"/>
    <s v="Lapse"/>
    <s v="Elderly insured doesn't know when lapsed. Son is assisting. No updates. In brush."/>
    <x v="4"/>
    <s v="Approved pending: 1. who maintains 2. E&amp;H insp 3.Roof excl 4.150'clearance"/>
    <m/>
    <m/>
    <s v="Patterson"/>
    <m/>
    <m/>
    <n v="0"/>
  </r>
  <r>
    <x v="278"/>
    <s v="SCU"/>
    <s v="CO"/>
    <s v="Ashley"/>
    <s v="Email"/>
    <s v="Taylor, Bruce"/>
    <m/>
    <x v="14"/>
    <s v="Silverthorne "/>
    <x v="19"/>
    <m/>
    <x v="8"/>
    <x v="347"/>
    <x v="572"/>
    <s v="lapse over 90 days"/>
    <s v="secondary home 6 months, rented 6 months, so short term rental included. Allowed pol to cancel 06/13 while travelling.  Log home, 1963 build, metal roof, requesting personal liab"/>
    <x v="3"/>
    <s v="confirmed rated as log, agt added 2% surcharge for lapse. UW Requesting 5% if able to stay competitive. Subject to ensuring metal roof excludes or limits cosmetic damage."/>
    <m/>
    <m/>
    <s v="Burdine"/>
    <m/>
    <m/>
    <n v="0"/>
  </r>
  <r>
    <x v="630"/>
    <s v="Burns"/>
    <s v="MI"/>
    <s v="Delta"/>
    <s v="Email"/>
    <s v="Mcalister, Michael"/>
    <m/>
    <x v="0"/>
    <s v="Angola"/>
    <x v="17"/>
    <m/>
    <x v="4"/>
    <x v="347"/>
    <x v="573"/>
    <s v="Business on premises"/>
    <s v="PC 10, no alarm, business on premise (traffic light repair), open $60K liab claim (worker at house fell off ladder)"/>
    <x v="4"/>
    <s v="Approved subject to total business excl, liab excl, and other structure excl (as proposed by agt); Response time 8 minutes"/>
    <m/>
    <m/>
    <s v="Burdine"/>
    <m/>
    <m/>
    <n v="0"/>
  </r>
  <r>
    <x v="114"/>
    <s v="SCU"/>
    <s v="CO"/>
    <s v="Allison"/>
    <s v="Email"/>
    <s v="Rutan, Richard MPLCO00001047"/>
    <m/>
    <x v="0"/>
    <s v="Lakewood"/>
    <x v="19"/>
    <m/>
    <x v="0"/>
    <x v="348"/>
    <x v="0"/>
    <s v="Renewal terms"/>
    <s v="A hail loss came in after renewal terms were offered. Can agent surcharge in 2018?"/>
    <x v="4"/>
    <s v="Decent risk, agent applied 5% rate adj s/c based on competition. Not a negligence loss."/>
    <m/>
    <m/>
    <s v="Patterson"/>
    <m/>
    <m/>
    <n v="0"/>
  </r>
  <r>
    <x v="108"/>
    <s v="ASL"/>
    <s v="VA"/>
    <s v="Charity"/>
    <s v="Email"/>
    <s v="Kerr, Michael"/>
    <m/>
    <x v="0"/>
    <s v="Windsor"/>
    <x v="10"/>
    <m/>
    <x v="6"/>
    <x v="349"/>
    <x v="574"/>
    <s v="PC9"/>
    <s v="PC9 New 2017 home. No online photos. Online search shows 3.5 miles 6 min to volunteer Chuckatuck Fire Station."/>
    <x v="4"/>
    <m/>
    <m/>
    <m/>
    <s v="Patterson"/>
    <m/>
    <m/>
    <n v="0"/>
  </r>
  <r>
    <x v="656"/>
    <s v="Hull Irvine"/>
    <m/>
    <s v="Alison"/>
    <s v="Call"/>
    <s v="Blair"/>
    <s v="Richard "/>
    <x v="0"/>
    <m/>
    <x v="1"/>
    <m/>
    <x v="0"/>
    <x v="350"/>
    <x v="0"/>
    <s v="Business on premises"/>
    <s v="Primary home, vacation rental and studio on property. Art studio used by insured and as &quot;open studio&quot; with visitors able to drive by and stop in and 2x year they have studio events. Sales of art and books via internet. There is signage. In reality only 10 visitors per year come. Coml carrier won't cover building (?). No employees. "/>
    <x v="1"/>
    <s v="This should be commercial. Exposure sounds like it could fluctuate. HO3 language excludes this building so even if we wanted to forego the Total Business Excl, the policy excludes."/>
    <m/>
    <n v="15"/>
    <s v="Patterson"/>
    <m/>
    <m/>
    <n v="1"/>
  </r>
  <r>
    <x v="657"/>
    <s v="Hull Irvine"/>
    <s v="CA"/>
    <s v="Alex"/>
    <s v="Call"/>
    <s v="Young"/>
    <m/>
    <x v="0"/>
    <m/>
    <x v="1"/>
    <m/>
    <x v="0"/>
    <x v="350"/>
    <x v="0"/>
    <s v="Prior losses"/>
    <s v="$360K total loss . Insd was a witness to a restraining order violation and the offender burned down their house in 4/2016. COC almost done.  Wants a policy when it's complete in October.  2nd loss was $70K water damage. While roof was in process there was rain damage. Agt will be surcharging for 2 losses plus 10% addl due to size of loss. "/>
    <x v="2"/>
    <s v="Need fire marshal report and police report proving the story. Also asked what security there will be. Offender is in process of being arrested. "/>
    <m/>
    <n v="12"/>
    <s v="Patterson"/>
    <m/>
    <m/>
    <n v="0"/>
  </r>
  <r>
    <x v="24"/>
    <s v="Hull Horsham"/>
    <s v="PA"/>
    <s v="Tamika"/>
    <s v="Email"/>
    <s v="J&amp;J Home Investments LLC"/>
    <s v="J&amp;J Home Investments LLC"/>
    <x v="5"/>
    <s v="Middletown"/>
    <x v="24"/>
    <m/>
    <x v="2"/>
    <x v="350"/>
    <x v="326"/>
    <s v="Other UW Reason"/>
    <s v="Number of mortgages:  New purchase, insured required  3 private investors for renovations to home"/>
    <x v="1"/>
    <s v="Not comfortable w/ reason for 3 mortgages "/>
    <s v="ran credit, poor range"/>
    <m/>
    <s v="Burdine"/>
    <m/>
    <m/>
    <n v="1"/>
  </r>
  <r>
    <x v="658"/>
    <s v="Hull Horsham"/>
    <m/>
    <s v="Tamika"/>
    <s v="Call/Email"/>
    <s v="Lemberger"/>
    <s v="Nosson"/>
    <x v="29"/>
    <s v="Staten Island"/>
    <x v="44"/>
    <m/>
    <x v="0"/>
    <x v="350"/>
    <x v="452"/>
    <s v="Occupancy"/>
    <s v="Insured rents rooms to 4 students. No kitchen facilities. He has access to all rooms. "/>
    <x v="0"/>
    <s v="• Are these undergrad or graduate students?_x000a_• What college?_x000a_• We are told they don’t get kitchen privileges.  How do they eat or drink?  Do they have appliances in their individual rooms?_x000a_• Is this the insured’s full time primary residence?_x000a_• What is the insured’s occupation and is he generally around outside of his work hours or is he traveling?  (I wondered if maybe he was never around and he’s making pretty good money renting out rooms to students.)  _x000a_• What is the named insured so I can note my log.  _x000a_• As we discussed, there is a competitor premium of $4,800 (appx $0.90).  Our quoted rental premium is well below this and we are looking at an owner occupied policy.  You suggested a premium of about $3,800, which is about $1,000 more than quoted, correct?_x000a_//7/27/17 insured is a teacher renting to rabbinical students. they eat at school, all meals. Confirmed several rabbinical colleges in area."/>
    <s v="Should be a higher caliber of student even though undergrad."/>
    <m/>
    <s v="Patterson"/>
    <m/>
    <m/>
    <n v="0"/>
  </r>
  <r>
    <x v="659"/>
    <s v="Hull Irvine"/>
    <s v="CA"/>
    <s v="Michelle"/>
    <s v="Email"/>
    <s v="Umana"/>
    <s v="Barbara &amp; Randy"/>
    <x v="0"/>
    <s v="Mission Viejo"/>
    <x v="1"/>
    <m/>
    <x v="8"/>
    <x v="350"/>
    <x v="575"/>
    <s v="Losses"/>
    <s v="3 water losses in the past 3 years, being cancelled for losses"/>
    <x v="3"/>
    <s v="approval to offer terms on this risk subject to a water damage exclusion "/>
    <m/>
    <m/>
    <s v="Burdine"/>
    <m/>
    <m/>
    <n v="0"/>
  </r>
  <r>
    <x v="397"/>
    <s v="XS Brokers"/>
    <s v="MA"/>
    <s v="Barbara"/>
    <s v="Email"/>
    <s v="Lee"/>
    <s v="Marcus"/>
    <x v="0"/>
    <m/>
    <x v="25"/>
    <m/>
    <x v="5"/>
    <x v="351"/>
    <x v="576"/>
    <s v="Losses"/>
    <s v="Open liability claim-4 st. bernards in home,, one possibly bit Claimant (claimants friend and insureds dog got in fight). Quoted w/ animal exclusion"/>
    <x v="4"/>
    <s v="Quoted w/ animal liab exclusion"/>
    <m/>
    <m/>
    <s v="Burdine"/>
    <m/>
    <m/>
    <n v="0"/>
  </r>
  <r>
    <x v="374"/>
    <s v="JM Wilson"/>
    <s v="MI"/>
    <s v="Lori"/>
    <m/>
    <s v="Brockie"/>
    <s v="Gayle &amp; Sherrie Eden"/>
    <x v="0"/>
    <s v="Jackson"/>
    <x v="8"/>
    <s v="49201"/>
    <x v="26"/>
    <x v="352"/>
    <x v="558"/>
    <s v="Losses"/>
    <s v="1996 home with multiple prior losses 8/18/18 box fan fire which was being used to air out house from 8/10/18 cooking fire. Also 2 mys disappearance losses  $4K &amp; $7K. Also food spoilage."/>
    <x v="1"/>
    <s v="Concern with nature of prior losses. Indicates morale/moral hazard."/>
    <s v="Did not review entire risk. Declined based on losses."/>
    <m/>
    <s v="Patterson"/>
    <m/>
    <m/>
    <n v="1"/>
  </r>
  <r>
    <x v="426"/>
    <s v="Burns"/>
    <s v="MI"/>
    <s v="Sarah"/>
    <s v="Email"/>
    <s v="Cole"/>
    <s v="Andrew"/>
    <x v="0"/>
    <m/>
    <x v="32"/>
    <m/>
    <x v="0"/>
    <x v="353"/>
    <x v="577"/>
    <s v="High Profile"/>
    <s v="2000 frame construction- Volusia county.  Local alarm. Maprisk attached- 12.52 miles distance to coast. Yankees baseball player, married, no adverse info found"/>
    <x v="4"/>
    <s v="Online review no concerns, property in great condition"/>
    <m/>
    <m/>
    <s v="Burdine"/>
    <m/>
    <m/>
    <n v="0"/>
  </r>
  <r>
    <x v="660"/>
    <s v="Hull CA"/>
    <s v="Irvine"/>
    <s v="Alison"/>
    <s v="Email"/>
    <s v="Zuniga, Jose"/>
    <m/>
    <x v="0"/>
    <s v="Los Angeles"/>
    <x v="1"/>
    <m/>
    <x v="8"/>
    <x v="354"/>
    <x v="578"/>
    <s v="High profile"/>
    <s v="Insured is famous actor. Had 2 small losses in 2015. Water damage ded applied."/>
    <x v="1"/>
    <s v="Approved X-liability. Agt applied special water dmg ded. Advised no sewer backup due to loss.  11/14/16 Alison came back and advised the insured had a recent bankruptcy. Withdrew terms."/>
    <m/>
    <m/>
    <s v="Patterson"/>
    <m/>
    <m/>
    <n v="1"/>
  </r>
  <r>
    <x v="321"/>
    <s v="JM Wilson"/>
    <s v="MI"/>
    <s v="John"/>
    <m/>
    <s v="Figueroa"/>
    <s v="Wilson"/>
    <x v="0"/>
    <s v="Aurora"/>
    <x v="4"/>
    <s v="60505"/>
    <x v="8"/>
    <x v="355"/>
    <x v="579"/>
    <s v="Losses"/>
    <s v="2006 dwelling with 2 prior water losses. 6/17 $3K siding damage. 1/17 $180K pipe froze and broke when out of the country. 5/14 wind/hail $3K"/>
    <x v="3"/>
    <s v="Okay with water damage excl, no mold, no backup. HO3 ok. Confirm all damage repaired, any mold prof remediated. "/>
    <m/>
    <m/>
    <s v="Patterson"/>
    <m/>
    <m/>
    <n v="0"/>
  </r>
  <r>
    <x v="318"/>
    <s v="Hull Irvine"/>
    <s v="CA"/>
    <s v="Gina"/>
    <s v="Email"/>
    <s v="O'Brien"/>
    <s v="Joseph"/>
    <x v="0"/>
    <s v="Trabuco Canyon"/>
    <x v="1"/>
    <m/>
    <x v="9"/>
    <x v="355"/>
    <x v="580"/>
    <s v="Prior Lapse/NRN"/>
    <s v="two water claims in 2014, lapse since 05/19/2018 (non payment of premium)"/>
    <x v="3"/>
    <s v="Approved w/ no loss and 5% surcharge"/>
    <m/>
    <m/>
    <s v="Burdine"/>
    <m/>
    <m/>
    <n v="0"/>
  </r>
  <r>
    <x v="127"/>
    <s v="Hull Horsham"/>
    <m/>
    <s v="Tamika"/>
    <s v="Email"/>
    <s v="Kelley, Stanley"/>
    <m/>
    <x v="2"/>
    <s v="Oaklyn"/>
    <x v="9"/>
    <m/>
    <x v="0"/>
    <x v="356"/>
    <x v="581"/>
    <s v="Electrical condition"/>
    <s v="Retired physician owns 2 family home. Online pics look okay. There is one circuit of knob &amp; tube wiring. Contractor removing 2nd week of July. 1945 home w/ updates."/>
    <x v="1"/>
    <s v="Has an electrician deemed the existing knob/tube safe until they can get out there?  Is it an active circuit?  What circuit is it?  Is that circuit currently in use? What is running off or connected to the circuit?  Other than the knob/tube, is there an updated breaker box?  Any idea when that was updated?  Any fuses?// Replacing many outlets &amp; switches, plus breaker panel is Zinsco (fire hazard)"/>
    <m/>
    <m/>
    <s v="Patterson"/>
    <m/>
    <m/>
    <n v="1"/>
  </r>
  <r>
    <x v="171"/>
    <s v="Hull Irvine"/>
    <s v="CA"/>
    <s v="Alison"/>
    <s v="Call"/>
    <s v="TBD"/>
    <m/>
    <x v="2"/>
    <m/>
    <x v="1"/>
    <m/>
    <x v="0"/>
    <x v="357"/>
    <x v="0"/>
    <s v="Lapse"/>
    <s v="1953 dwelling that has been uninsured for 6 months. Agent sending for review."/>
    <x v="2"/>
    <s v="Probably okay with a 5-10% surcharge over the 90 day lapse surcharge already built into the rater."/>
    <s v="(We got cut off while talking. Agent to submit with details.)"/>
    <m/>
    <s v="Patterson"/>
    <m/>
    <m/>
    <n v="0"/>
  </r>
  <r>
    <x v="51"/>
    <s v="Burns"/>
    <s v="MI"/>
    <s v="Jill"/>
    <s v="Email"/>
    <s v="WWL Acquisition LLC"/>
    <m/>
    <x v="2"/>
    <s v="Glendale"/>
    <x v="12"/>
    <m/>
    <x v="11"/>
    <x v="357"/>
    <x v="582"/>
    <s v="Other UW Reason"/>
    <s v="Home went into foreclosure due to mishandling after death of family member who was guarantor on the loan. LLC was set up by his trust. Tenant currently in home. Evicting tenant when home is purchase (and foreclosure gone). Frame home with vinyl siding built in 1973 with full updates in 2005"/>
    <x v="4"/>
    <s v="Home not in foreclosure as the Estate is purchasing it back. Tenant will be paying mortgage from now on."/>
    <m/>
    <m/>
    <s v="May"/>
    <m/>
    <m/>
    <n v="0"/>
  </r>
  <r>
    <x v="397"/>
    <s v="Hull Stockton"/>
    <s v="CA"/>
    <s v="Melissa"/>
    <s v="Email"/>
    <s v="Laurel"/>
    <s v="Merle"/>
    <x v="4"/>
    <s v="South Lake Tahoe"/>
    <x v="1"/>
    <m/>
    <x v="0"/>
    <x v="357"/>
    <x v="240"/>
    <s v="Prior Lapse/NRN"/>
    <s v="applicant not aware of lapse (almost a full year) until refinancing home"/>
    <x v="1"/>
    <s v="Too long of a lapse"/>
    <m/>
    <m/>
    <s v="Burdine"/>
    <m/>
    <m/>
    <n v="1"/>
  </r>
  <r>
    <x v="7"/>
    <s v="XS Brokers"/>
    <s v="MA"/>
    <s v="Barbara"/>
    <m/>
    <s v="David"/>
    <s v="Jacques &amp; Rena"/>
    <x v="1"/>
    <s v="Surf City"/>
    <x v="9"/>
    <s v="08008"/>
    <x v="2"/>
    <x v="357"/>
    <x v="299"/>
    <s v="Builders Risk"/>
    <s v="1950 home with updates undergoing renovation. Will be insured's seasonal home when completed. Rated as builders risk. "/>
    <x v="4"/>
    <s v="Confirmed this rating is correct based on our guidelines."/>
    <m/>
    <m/>
    <s v="Patterson"/>
    <m/>
    <m/>
    <n v="0"/>
  </r>
  <r>
    <x v="297"/>
    <s v="Hull CO"/>
    <s v="Horsham"/>
    <s v="Nichole"/>
    <s v="Email"/>
    <s v="Sylvester, Gregg"/>
    <m/>
    <x v="5"/>
    <s v="Philadelphia"/>
    <x v="2"/>
    <m/>
    <x v="2"/>
    <x v="358"/>
    <x v="583"/>
    <s v="1866 year built w/updates"/>
    <s v="Vacant DP3 w/no losses. Built in 1866. Updated/renovated in 1995. Very nice home. This is a row house. Online photos show firewalls and rest of row looks very nice from the outside."/>
    <x v="4"/>
    <m/>
    <m/>
    <m/>
    <s v="Patterson"/>
    <m/>
    <m/>
    <n v="0"/>
  </r>
  <r>
    <x v="21"/>
    <s v="SCU"/>
    <s v="CO"/>
    <s v="Allison"/>
    <s v="Email"/>
    <s v="DeLaCruz"/>
    <s v="Diane &amp; Brian"/>
    <x v="0"/>
    <s v="Fairplay"/>
    <x v="19"/>
    <m/>
    <x v="0"/>
    <x v="359"/>
    <x v="0"/>
    <s v="Builders Risk"/>
    <s v="New build, insured is the GC. Would we consider without liab? There has been a 30 day lapse due to written w/Allstate and they didn't know it was a builders risk.  They cancelled in Feb, insured hasn't been able to find coverage."/>
    <x v="1"/>
    <s v="We don't write insured builders."/>
    <m/>
    <m/>
    <s v="Patterson"/>
    <m/>
    <m/>
    <n v="1"/>
  </r>
  <r>
    <x v="661"/>
    <s v="Hull CA"/>
    <s v="Stockton"/>
    <s v="Lisa"/>
    <s v="Email"/>
    <s v="Sisson, Peter"/>
    <m/>
    <x v="0"/>
    <s v="Sloughhouse CA PC4"/>
    <x v="3"/>
    <m/>
    <x v="0"/>
    <x v="359"/>
    <x v="177"/>
    <s v="Business on Prop"/>
    <s v="1952 home w/full recent updates to all but plumbing which is partial- mix of galvanized and copper. Animal boarding kennel on premises insured w/Firemans Fund. Low brush."/>
    <x v="4"/>
    <s v="Approve subject to Animal excl; business excl; $5k water ded (due to galvanized). Remove coverage B as they don't need it. (Flexible on this request) "/>
    <m/>
    <m/>
    <s v="Patterson"/>
    <m/>
    <m/>
    <n v="0"/>
  </r>
  <r>
    <x v="23"/>
    <s v="Burns"/>
    <s v="MI"/>
    <s v="Rachel"/>
    <s v="Email"/>
    <s v="Sandstrom"/>
    <s v="Nicholas"/>
    <x v="0"/>
    <m/>
    <x v="7"/>
    <m/>
    <x v="5"/>
    <x v="359"/>
    <x v="584"/>
    <s v="Condition"/>
    <s v="Home was built in 1982, with no updates. This is a berm/earth home, part of the roof is dirt with tile on top and the garage is rolled roofing. This has been rated as a frame/dwelling in VMGA. PC4. No losses, central station fire and burglar alarm."/>
    <x v="3"/>
    <s v="due to the unique construction build, we will need to take an additional 5% surcharge. Not of dome construction, quoted as HO8 w/ roof exclusion"/>
    <m/>
    <m/>
    <s v="Burdine"/>
    <m/>
    <m/>
    <n v="0"/>
  </r>
  <r>
    <x v="662"/>
    <s v="Hull Irvine"/>
    <s v="CA"/>
    <s v="Alison"/>
    <s v="Email"/>
    <s v="Boek"/>
    <s v="Luther"/>
    <x v="1"/>
    <s v="Los Angeles"/>
    <x v="1"/>
    <m/>
    <x v="8"/>
    <x v="360"/>
    <x v="0"/>
    <s v="Losses"/>
    <s v="170k fire loss in 2017. electrical fire in attack while insured wasn't home. They will be replacing all electrical along with other systems in home. Licensed and insured GC. Insured will move in at completion."/>
    <x v="3"/>
    <s v="Has construction been started or is it currently undergoing demo? Is the risk currently uninsured? If construction hasn’t started and there hasn’t been a lapse, ok to issue terms."/>
    <s v="F/U from GA-fire loss undetermined per fire report; I advised that if undetermined, not comfortable offering terms. Questioned why they originally thought it was electrical (maybe insurance companies C&amp;O report?) Can further consider if so. Burdine Insured confirmed that was out of town at time of loss, will be total rebuild. Since no mention of arson in fire report, advised approval as previously offered"/>
    <m/>
    <s v="Trott"/>
    <s v="Yes"/>
    <m/>
    <n v="0"/>
  </r>
  <r>
    <x v="201"/>
    <s v="Hull CO"/>
    <s v="PA"/>
    <s v="Tamika"/>
    <s v="Email"/>
    <s v="584 Cabot Hill Rd LLC"/>
    <m/>
    <x v="6"/>
    <s v="Bridgewater NJ PC5"/>
    <x v="3"/>
    <m/>
    <x v="0"/>
    <x v="360"/>
    <x v="0"/>
    <s v="LLC Ownership"/>
    <s v="1985 home, new purchase under renovation-1st floor addition, change roof line, change to colony style. Owner is LLC-2 partners-one is another LLC. Owner of LLC doing renovations."/>
    <x v="4"/>
    <s v="Asked for info on who is doing the work. Verify who LLC members are. What is final occupancy?  Investment Rental is final occupancy. All else checks out. Approved subject to ensuring LLC's are just for this property ownership."/>
    <m/>
    <m/>
    <s v="Patterson"/>
    <m/>
    <m/>
    <n v="0"/>
  </r>
  <r>
    <x v="410"/>
    <s v="ASL"/>
    <m/>
    <s v="Charity"/>
    <s v="Email"/>
    <s v="Weaver, Paul and Nancy"/>
    <m/>
    <x v="8"/>
    <s v="Denver, PA"/>
    <x v="3"/>
    <m/>
    <x v="0"/>
    <x v="360"/>
    <x v="0"/>
    <s v="Loss History"/>
    <s v="insured has had 2 fire losses (one due to wbs and the other is unknown cause in the barn)"/>
    <x v="3"/>
    <s v="Approved subject to them excluded the barn until it's completely rebuilt."/>
    <s v="Charity advised the insured will not be rebuilding the barn, he bought a shed instead."/>
    <m/>
    <s v="Trott"/>
    <m/>
    <m/>
    <n v="0"/>
  </r>
  <r>
    <x v="650"/>
    <s v="AmWINS"/>
    <s v="IL"/>
    <s v="Tasha"/>
    <m/>
    <s v="Cerami"/>
    <s v="Salvatore &amp; Stefanie"/>
    <x v="5"/>
    <s v="Medinah"/>
    <x v="54"/>
    <s v="60157"/>
    <x v="0"/>
    <x v="360"/>
    <x v="5"/>
    <s v="Other UW Reason"/>
    <s v="DP3 vacant risk, year built 1970. Term is only for 3 months, as applicant is planning to move it to a builders risk after that time. Agent said they had an error when quoting and wanted to confirm they could release terms. App indicates updates, but no specific year. "/>
    <x v="3"/>
    <s v="Approved subject to completed app and confirmation of updates year(s). Want to confirm hey have been updated and are not just marked that way because they will be updated in the near future BR."/>
    <m/>
    <m/>
    <s v="Busse"/>
    <m/>
    <m/>
    <n v="0"/>
  </r>
  <r>
    <x v="406"/>
    <s v="Burns"/>
    <s v="MI"/>
    <s v="Jill"/>
    <s v="Email"/>
    <s v="Hansen"/>
    <s v="Daniel"/>
    <x v="5"/>
    <s v="Riverhead"/>
    <x v="44"/>
    <m/>
    <x v="5"/>
    <x v="360"/>
    <x v="5"/>
    <s v="Builders Risk"/>
    <s v="Writing as vacant. Demolition 8/30/28 and leaving one wall. 2-3 months and will be enclosed."/>
    <x v="4"/>
    <s v="One wall is remaining, so not large demolition crew. Requiring confirmation on the demolition equipment. "/>
    <m/>
    <m/>
    <s v="Lazovik"/>
    <m/>
    <m/>
    <n v="0"/>
  </r>
  <r>
    <x v="382"/>
    <s v="SCU"/>
    <s v="CO"/>
    <s v="Allison"/>
    <s v="Email"/>
    <s v="Denmore, LLC"/>
    <m/>
    <x v="2"/>
    <s v="Longmont"/>
    <x v="19"/>
    <m/>
    <x v="5"/>
    <x v="360"/>
    <x v="5"/>
    <s v="Acreage"/>
    <s v="Insured owns 2 dwellings on 139 acres. Both are rentals. Updates unknown-roof exclusion applies to both 1959 homes. Rater attached seems to be an example of one of the dwellings."/>
    <x v="3"/>
    <s v="Process as 2 policies (or schedule) if 2 legal locations. Verify accessible by emergency vehicles and that 139 acres does not impact response time."/>
    <m/>
    <m/>
    <s v="Patterson"/>
    <m/>
    <m/>
    <n v="0"/>
  </r>
  <r>
    <x v="152"/>
    <s v="Hull Irvine"/>
    <s v="CA"/>
    <s v="Bobbi"/>
    <s v="Email"/>
    <s v="Van Veen"/>
    <s v="Berto &amp; Betty"/>
    <x v="1"/>
    <s v="Twain Harte"/>
    <x v="1"/>
    <m/>
    <x v="0"/>
    <x v="360"/>
    <x v="5"/>
    <s v="Insured contractor"/>
    <s v="New 2017 build. In brush. Insured is a contractor and is participating in the building.  This is ground up construction."/>
    <x v="2"/>
    <s v="Asked questions about extent and contracts."/>
    <m/>
    <n v="13"/>
    <s v="Patterson"/>
    <m/>
    <m/>
    <n v="0"/>
  </r>
  <r>
    <x v="663"/>
    <s v="Burns"/>
    <s v="MI"/>
    <s v="Jeffrey"/>
    <s v="Email"/>
    <s v="Lynch"/>
    <s v="Leslie"/>
    <x v="5"/>
    <s v="Phoenix"/>
    <x v="7"/>
    <m/>
    <x v="9"/>
    <x v="360"/>
    <x v="250"/>
    <s v="Business on Premises"/>
    <s v="Insured purchased the home. She will rent the home out as the &quot;model home&quot; to the builder to use as the show home. When the lease is up, she will take over the home as her primary. Home was built in 2017, frame with CSA."/>
    <x v="1"/>
    <s v="The home will be used as the business office for the builder. We do not insure commercial properties. Liability, foot traffic exposure are not appropriate for our program."/>
    <m/>
    <m/>
    <s v="Lazovik"/>
    <m/>
    <m/>
    <n v="1"/>
  </r>
  <r>
    <x v="41"/>
    <s v="XS Brokers"/>
    <s v="MA"/>
    <s v="Brendan"/>
    <s v="Email"/>
    <s v="Ponte"/>
    <s v="Kevin"/>
    <x v="2"/>
    <s v="Dartmouth"/>
    <x v="8"/>
    <m/>
    <x v="0"/>
    <x v="360"/>
    <x v="364"/>
    <s v="Prior Lapse/NRN"/>
    <s v="NR due to 01/2017 windstorm claim, 01/2018 CAT claim"/>
    <x v="3"/>
    <s v="Confirmation of updates (1900 build) and all repairs made"/>
    <m/>
    <m/>
    <s v="Burdine"/>
    <m/>
    <m/>
    <n v="0"/>
  </r>
  <r>
    <x v="369"/>
    <s v="Hull Irvine"/>
    <s v="CA"/>
    <s v="Kelly"/>
    <s v="Email"/>
    <s v="Mahler"/>
    <s v="Peter"/>
    <x v="5"/>
    <s v="Palm Springs"/>
    <x v="1"/>
    <m/>
    <x v="0"/>
    <x v="360"/>
    <x v="585"/>
    <s v="Builders Risk"/>
    <s v="1942 dwelling with no updates purchased in 4/2018 and not insured since then. Has liab extended. Insured is renovating in 3/19, updating roof, plumbing and electrical then."/>
    <x v="1"/>
    <s v="Older, vacant, no updates. Has not been insured- so not seen as having value to the insured."/>
    <m/>
    <m/>
    <s v="Patterson"/>
    <m/>
    <m/>
    <n v="1"/>
  </r>
  <r>
    <x v="429"/>
    <s v="SCU"/>
    <s v="CO"/>
    <s v="Allison"/>
    <s v="Email"/>
    <s v="Blatchford, Leola"/>
    <m/>
    <x v="5"/>
    <s v="Denver CO PC2"/>
    <x v="3"/>
    <m/>
    <x v="0"/>
    <x v="360"/>
    <x v="585"/>
    <s v="Seacoast Rate"/>
    <s v="Built in 1960 with updates. 2005 roof. No alarms. In neighborhood. Nice clean house."/>
    <x v="4"/>
    <s v="Approved to do at 10% over Seacoast rate."/>
    <m/>
    <m/>
    <s v="Patterson"/>
    <m/>
    <m/>
    <n v="0"/>
  </r>
  <r>
    <x v="87"/>
    <s v="SCU"/>
    <s v="CO"/>
    <s v="Allison"/>
    <s v="Email"/>
    <s v="541 LLC"/>
    <m/>
    <x v="2"/>
    <s v="Thornton"/>
    <x v="19"/>
    <m/>
    <x v="9"/>
    <x v="360"/>
    <x v="586"/>
    <s v="LLC name"/>
    <s v="1961 dwelling in LLC name."/>
    <x v="4"/>
    <s v="Advised Allison if LLC is tax purposes, formed to purchase property, okay to quote/bind rental dwellings."/>
    <m/>
    <m/>
    <s v="Patterson"/>
    <m/>
    <m/>
    <n v="0"/>
  </r>
  <r>
    <x v="397"/>
    <s v="Burns"/>
    <s v="MI"/>
    <s v="David"/>
    <s v="Email"/>
    <s v="Kunpfner George D Estate"/>
    <s v="Kunpfner George D Estate"/>
    <x v="2"/>
    <s v="Superior"/>
    <x v="19"/>
    <m/>
    <x v="9"/>
    <x v="360"/>
    <x v="452"/>
    <s v="Condition"/>
    <s v="Damage to fascia/soffit (needs paint), roof has t-lock shingles, agt is requiring interior/exterior inspection with EHP"/>
    <x v="3"/>
    <s v="comfortable going with the DP3 FRC, Roof Exclusion, Existing Damage Exclusion &amp; Water Damage Exclusion option. But only if they agree to have the necessary issues addressed within the first 30 days."/>
    <m/>
    <m/>
    <s v="Burdine"/>
    <m/>
    <m/>
    <n v="0"/>
  </r>
  <r>
    <x v="357"/>
    <s v="Burns"/>
    <s v="MI"/>
    <s v="Rachel"/>
    <m/>
    <s v="Schellinck"/>
    <s v="Edward"/>
    <x v="2"/>
    <s v="Emigrant Gap"/>
    <x v="1"/>
    <n v="95715"/>
    <x v="4"/>
    <x v="360"/>
    <x v="452"/>
    <s v="PC"/>
    <s v="PC 10 rating as brush as riskmeter is not finding the address. Added 10% surcharge for a lapse. Masonry home with Fire hydrant within 1001 ft and FD in 1 mi. Home was built in 1980. Not updates to heating, electrical, plumbing or roofing."/>
    <x v="3"/>
    <s v="There is a fire station within 1 mile of the home (via google maps - big bend fire department). It is a volunteer department but response time is more than adequate. Surcharge for brush exposure."/>
    <m/>
    <m/>
    <s v="Lazovik"/>
    <m/>
    <m/>
    <n v="0"/>
  </r>
  <r>
    <x v="449"/>
    <s v="Burns"/>
    <s v="MI"/>
    <s v="Alexa"/>
    <m/>
    <s v="Miller"/>
    <s v="Robert"/>
    <x v="0"/>
    <m/>
    <x v="17"/>
    <m/>
    <x v="6"/>
    <x v="360"/>
    <x v="587"/>
    <s v="PC"/>
    <s v="Insured left Amish church on October 1st. No insurance prior as the church covers everything as a community. Stove is a gas furnace/wood stove combo heating unit. Electrical needs are supplied by solar panels and a generator."/>
    <x v="1"/>
    <s v="The home getting heated by a wood burning furnace is a high exposure. Response time is about 15 minutes as the home is outside the nearest city. Since the response is long and the increase risk for fire is high, I passed on this one."/>
    <m/>
    <m/>
    <s v="Lazovik"/>
    <m/>
    <m/>
    <n v="1"/>
  </r>
  <r>
    <x v="59"/>
    <s v="SCU"/>
    <s v="CO"/>
    <s v="Ashley"/>
    <s v="Email"/>
    <s v="Sponseller, Nathan"/>
    <m/>
    <x v="15"/>
    <s v="Crawford"/>
    <x v="19"/>
    <m/>
    <x v="2"/>
    <x v="360"/>
    <x v="588"/>
    <s v="Personal liability on home with rental"/>
    <s v="1907 home w/updates. Masonry w/metal roof. Insd rents out 2 rooms (w/own entrances). Was full time inn at one time. Confirmed online sources it is just 2 rooms rented. "/>
    <x v="4"/>
    <s v="Approved for personal liab since insd lives there too - no other source."/>
    <m/>
    <m/>
    <s v="Patterson"/>
    <m/>
    <m/>
    <n v="0"/>
  </r>
  <r>
    <x v="664"/>
    <s v="Hull Charlotte"/>
    <s v="NC"/>
    <s v="Tamara"/>
    <m/>
    <s v="Todd"/>
    <s v="Joyce &amp; Wendell"/>
    <x v="0"/>
    <s v="Myrtle Beach"/>
    <x v="20"/>
    <s v="29582"/>
    <x v="8"/>
    <x v="360"/>
    <x v="589"/>
    <s v="Losses"/>
    <s v="Referred because they had a prior CAT flood loss that was $126k at a different location. No other issues found in referral"/>
    <x v="4"/>
    <s v="Since loss was at a different location, approved as quoted. "/>
    <m/>
    <m/>
    <s v="Busse"/>
    <m/>
    <m/>
    <n v="0"/>
  </r>
  <r>
    <x v="212"/>
    <s v="Burns"/>
    <s v="MI"/>
    <s v="Jill"/>
    <s v="Email"/>
    <s v="Steier, Howard"/>
    <m/>
    <x v="2"/>
    <s v="Idyllwild CA PC2"/>
    <x v="3"/>
    <m/>
    <x v="0"/>
    <x v="360"/>
    <x v="7"/>
    <s v="Oth Str&gt;35%"/>
    <s v="1944 home completely updated in 2011. Nice online photos. Trust/LLC form okay.  450 SF guest house attached to detached garage."/>
    <x v="4"/>
    <m/>
    <m/>
    <m/>
    <s v="Patterson"/>
    <m/>
    <m/>
    <n v="0"/>
  </r>
  <r>
    <x v="387"/>
    <s v="Hull Irvine"/>
    <m/>
    <s v="Alison"/>
    <s v="Email"/>
    <s v="Mosshart, Alison"/>
    <m/>
    <x v="2"/>
    <s v="W Hollywood"/>
    <x v="1"/>
    <m/>
    <x v="8"/>
    <x v="360"/>
    <x v="289"/>
    <s v="High profile"/>
    <s v="1922 home, roof update, other updates unknown. Nice online photos. Brush unknown. Alison Mosshart is a signer/songwriter. Looks like punk, blues rock, alternative. "/>
    <x v="3"/>
    <s v="Excluding liability okay. Need update and brush info."/>
    <m/>
    <m/>
    <s v="Patterson"/>
    <m/>
    <m/>
    <n v="0"/>
  </r>
  <r>
    <x v="451"/>
    <s v="Burns"/>
    <s v="MI"/>
    <s v="Jeff"/>
    <m/>
    <s v="Jones"/>
    <s v="Cam"/>
    <x v="0"/>
    <s v="Rushville"/>
    <x v="38"/>
    <s v="69361"/>
    <x v="0"/>
    <x v="360"/>
    <x v="590"/>
    <s v="Business on Premises"/>
    <s v="1900 masonry coml building converted to single family home. 3500 SF. Appears larger. Insd telecommutes for his media prod job from small outbuilding separate from home. Low ins score. Coml zoned building. Clean exterior. Lapse - 15% added."/>
    <x v="0"/>
    <s v="Need app and more info. Bldg looks larger than 3500. What is occupancy?// 1/14 MP Size checks out. Occupancy is primary only, no rental. All info appears okay."/>
    <m/>
    <m/>
    <s v="Patterson"/>
    <s v=" "/>
    <m/>
    <n v="0"/>
  </r>
  <r>
    <x v="665"/>
    <s v="Burns"/>
    <s v="MI"/>
    <s v="Jill"/>
    <m/>
    <s v="King"/>
    <s v="Eldon"/>
    <x v="4"/>
    <s v="Burlington"/>
    <x v="28"/>
    <m/>
    <x v="4"/>
    <x v="360"/>
    <x v="591"/>
    <s v="PC"/>
    <s v="Secondary home built in 2009. No losses. Located on 45 acres"/>
    <x v="1"/>
    <s v="The response time is 18 minutes. In addition, it is a volunteer department which means response time is even longer."/>
    <m/>
    <m/>
    <s v="Lazovik"/>
    <m/>
    <m/>
    <n v="1"/>
  </r>
  <r>
    <x v="138"/>
    <s v="ASL"/>
    <s v="VA"/>
    <s v="Charity"/>
    <s v="Email"/>
    <s v="Siegmund"/>
    <s v="Ellen"/>
    <x v="0"/>
    <s v="Berlin"/>
    <x v="29"/>
    <m/>
    <x v="4"/>
    <x v="360"/>
    <x v="591"/>
    <s v="PC10"/>
    <s v="1998 home. Google notes nearest FD is Berlin Fire co. 5.4 miles. 9 minute drive time. Website appears to be paid department.  Online photos are okay."/>
    <x v="3"/>
    <s v="Confirm Berlin Fire Co. 5.4 miles away is responding FD."/>
    <m/>
    <n v="12"/>
    <s v="Patterson"/>
    <m/>
    <m/>
    <n v="0"/>
  </r>
  <r>
    <x v="666"/>
    <s v="Burns"/>
    <s v="MI"/>
    <s v="Jill"/>
    <s v="Email"/>
    <s v="Black"/>
    <s v="John Monroe"/>
    <x v="0"/>
    <s v="Charleston"/>
    <x v="36"/>
    <m/>
    <x v="3"/>
    <x v="360"/>
    <x v="591"/>
    <s v="Open loss"/>
    <s v="Thanksgiving 2016 loss-still open for ALE. Insured not rebuilding, buying this new prop. Claim cause: fire loss-Insured cleaned out the smoker after Thanksgiving and put the ashes in the bed of the truck in the garage.  All occupants of the home were present. Total payout: $771,500"/>
    <x v="1"/>
    <s v="Based on cause of loss (insured negligence), date, and size advised not comfortable insuring at this time"/>
    <m/>
    <m/>
    <s v="Burdine"/>
    <m/>
    <m/>
    <n v="1"/>
  </r>
  <r>
    <x v="267"/>
    <s v="Hull CO"/>
    <s v="Horsham"/>
    <s v="Tamika"/>
    <s v="Email"/>
    <s v="D'Elia, Michael"/>
    <m/>
    <x v="0"/>
    <s v="Waretown"/>
    <x v="9"/>
    <m/>
    <x v="0"/>
    <x v="360"/>
    <x v="591"/>
    <s v="Backdate"/>
    <s v="Insured left VM on phone of employee no longer with retailer. Message just got to retailer contact and Hull&amp;Co. on 9/6. In coastal NJ, moratorium area."/>
    <x v="4"/>
    <s v="Email w/Jeff. Approved w/statement of no loss."/>
    <m/>
    <m/>
    <s v="Patterson"/>
    <m/>
    <m/>
    <n v="0"/>
  </r>
  <r>
    <x v="642"/>
    <s v="Burns"/>
    <s v="MI"/>
    <s v="Nicole"/>
    <m/>
    <s v="Ryder"/>
    <s v="Noah"/>
    <x v="0"/>
    <s v="Brighton"/>
    <x v="19"/>
    <s v="80601"/>
    <x v="5"/>
    <x v="360"/>
    <x v="508"/>
    <s v="Prior Lapse/NRN"/>
    <s v="1960 home updated. 2 prior losses. Insured is 18 years old, not employed. He has a trust fun managed by a business manager. Prior coverage expired 3/11/19. No hit ins score. Burns quoted w/5% s/c for lapse."/>
    <x v="1"/>
    <s v="Concern with lapse."/>
    <s v="Business manager is clearly not doing their job; or if insd is responsible for paying the bills, he's not doing a good job. 18 y/o unemployed with a trust fund living in his own house.  Risk is in same town as a community college. Sounds like a bad situation.  It would take a lot to prove this is a stable situation; and considering age, it could take a turn at any time."/>
    <m/>
    <s v="Patterson"/>
    <m/>
    <m/>
    <n v="1"/>
  </r>
  <r>
    <x v="667"/>
    <s v="XS Brokers"/>
    <s v="MA"/>
    <s v="Barbara"/>
    <m/>
    <s v="Giombetti Family Irrevocable Trust"/>
    <m/>
    <x v="0"/>
    <s v="Mashpee"/>
    <x v="21"/>
    <s v="02649"/>
    <x v="5"/>
    <x v="360"/>
    <x v="508"/>
    <s v="Other UW Reason"/>
    <s v="1984 year built, earth home that is built into the land on three sides and one side open. Roof is covered by stone and has vegetation, being non-renewed due to type of home. Partial updates to wiring 2007, plumbing 2010, and roof 2012. "/>
    <x v="3"/>
    <s v="Approved subject to a roof inspection due to flat roof to confirm age and condition, completed and supplemental heat questionnaire as noted by Barbara, and reminded that the HO3 policy has landslide, mudslide or mudflow exclusion and cant be removed. "/>
    <m/>
    <m/>
    <s v="Busse"/>
    <m/>
    <m/>
    <n v="0"/>
  </r>
  <r>
    <x v="317"/>
    <s v="ASL"/>
    <s v="VA"/>
    <s v="Charity"/>
    <s v="Email"/>
    <s v="Muehlhauser"/>
    <s v="William"/>
    <x v="4"/>
    <s v="Topton"/>
    <x v="2"/>
    <m/>
    <x v="2"/>
    <x v="360"/>
    <x v="508"/>
    <s v="Occupancy/Use"/>
    <s v="Home is on 36 acres, secondary (no rental), full time caretaker on premise"/>
    <x v="3"/>
    <s v="confirmation of personal use of acreage only"/>
    <m/>
    <m/>
    <s v="Burdine"/>
    <m/>
    <m/>
    <n v="0"/>
  </r>
  <r>
    <x v="668"/>
    <s v="JM Wilson"/>
    <s v="MI"/>
    <s v="John "/>
    <s v="Email"/>
    <s v="Augys"/>
    <s v="Beata"/>
    <x v="0"/>
    <s v="Homer Glen"/>
    <x v="4"/>
    <m/>
    <x v="0"/>
    <x v="360"/>
    <x v="508"/>
    <s v="Losses"/>
    <s v="1971  masonry veneer/frame home with cedar/wood/shingle siding."/>
    <x v="1"/>
    <s v="Open dog bite claim."/>
    <m/>
    <m/>
    <s v="Lazovik"/>
    <m/>
    <m/>
    <n v="1"/>
  </r>
  <r>
    <x v="478"/>
    <s v="ASL"/>
    <s v="PA"/>
    <s v="Joanna"/>
    <s v="Email"/>
    <s v="Muehlhauser"/>
    <s v="William"/>
    <x v="0"/>
    <s v="Topton"/>
    <x v="2"/>
    <m/>
    <x v="6"/>
    <x v="360"/>
    <x v="508"/>
    <s v="PC"/>
    <s v="RCT provided was at 630K replacement cost - PC9 was not a concern given location but unclear why it was not insured to value"/>
    <x v="4"/>
    <s v="Inquired why property was not insured to value - response received and will be increased - PC9 approved"/>
    <m/>
    <m/>
    <s v="May"/>
    <m/>
    <m/>
    <n v="0"/>
  </r>
  <r>
    <x v="412"/>
    <s v="Burns"/>
    <s v="MI"/>
    <s v="Ben"/>
    <s v="Email"/>
    <s v="Hoffman, Andrew"/>
    <m/>
    <x v="21"/>
    <s v="Big Creek ID  PC10"/>
    <x v="45"/>
    <m/>
    <x v="4"/>
    <x v="360"/>
    <x v="508"/>
    <s v="Response time"/>
    <s v="1978 home updated. Runs off grid w/generator power. Alarmed. FD 20 miles from home. Retailer says 10-15 min response??"/>
    <x v="2"/>
    <s v="Asked Ben to help w/address. Can't find it on google/bing. Need to verify FD response. Need info on the generator and if home is used in the winter. Backup? How do alarms function when no one is there?"/>
    <m/>
    <m/>
    <s v="Patterson"/>
    <m/>
    <m/>
    <n v="0"/>
  </r>
  <r>
    <x v="288"/>
    <s v="Hull CA"/>
    <s v="Irvine"/>
    <s v="Alex"/>
    <s v="Call/Email"/>
    <s v="Espiritu, Jason"/>
    <m/>
    <x v="0"/>
    <s v="Los Angeles"/>
    <x v="1"/>
    <m/>
    <x v="0"/>
    <x v="360"/>
    <x v="508"/>
    <s v="Open dog bite claim"/>
    <s v="Insured's beagle bit the mailman. He is suing. Happened 1 month ago - risk is still open."/>
    <x v="3"/>
    <s v="Approved subject to Animal Liability Exclusion."/>
    <m/>
    <m/>
    <s v="Patterson"/>
    <m/>
    <m/>
    <n v="0"/>
  </r>
  <r>
    <x v="246"/>
    <s v="Burns"/>
    <s v="MI"/>
    <s v="Ben"/>
    <s v="Email"/>
    <s v="Weesner, Joshua"/>
    <m/>
    <x v="0"/>
    <s v="Bakersfield CA PC3"/>
    <x v="3"/>
    <m/>
    <x v="0"/>
    <x v="360"/>
    <x v="592"/>
    <s v="Daycare in home"/>
    <s v="2005 frame home not in brush, no losses. Agent has placed liability elsewhere. Only need property coverage. Online photos look good."/>
    <x v="4"/>
    <m/>
    <m/>
    <m/>
    <s v="Patterson"/>
    <m/>
    <m/>
    <n v="0"/>
  </r>
  <r>
    <x v="509"/>
    <s v="Burns"/>
    <s v="MI"/>
    <s v="Rachel"/>
    <s v="Email"/>
    <s v="Ennis"/>
    <s v="Julia"/>
    <x v="0"/>
    <s v="Queenstown"/>
    <x v="29"/>
    <m/>
    <x v="4"/>
    <x v="360"/>
    <x v="593"/>
    <s v="PC"/>
    <s v="Primary home in MD with  PC 10 and horse boarding business on premise. Markel has business liability and ergo is excluded on this policy. Animal excl and TBE have been added."/>
    <x v="3"/>
    <s v="Business covered by Markel Equestrian insurance. Must confirm the insurable interest of Kristina Ennis. With the sprinklers and alarms, seems like a solid PC 10 option."/>
    <m/>
    <m/>
    <s v="Lazovik"/>
    <m/>
    <m/>
    <n v="0"/>
  </r>
  <r>
    <x v="669"/>
    <s v="Burns"/>
    <s v="MI"/>
    <s v="Matt"/>
    <s v="Email"/>
    <s v="Bancheri"/>
    <s v="Joseph "/>
    <x v="0"/>
    <s v="Ventnor City"/>
    <x v="9"/>
    <m/>
    <x v="9"/>
    <x v="360"/>
    <x v="558"/>
    <s v="House over water"/>
    <s v="1923 home updated in 2007. Extends over canal about 1/2 mile from ocean. Boats can park under a portion of the home. Extensive pilings. Appears to be professionally done and similar to other homes in the area. Agent suggested excluding liab due to boats parking under home."/>
    <x v="4"/>
    <s v="https://www.zillow.com/homedetails/5502-Edgewater-Ave-Ventnor-City-NJ-08406/37843546_zpid/  Looks stable, nice home."/>
    <m/>
    <m/>
    <s v="Patterson"/>
    <m/>
    <m/>
    <n v="0"/>
  </r>
  <r>
    <x v="670"/>
    <s v="Burns"/>
    <s v="MI"/>
    <s v="Jeffrey"/>
    <s v="Email"/>
    <s v="Mcdaniel"/>
    <s v="Gerald"/>
    <x v="0"/>
    <m/>
    <x v="1"/>
    <m/>
    <x v="6"/>
    <x v="360"/>
    <x v="594"/>
    <s v="Business on Premises"/>
    <s v=". Agent noted a business exposure - the insured will be working from his home and may have a client come by his home office on rare occasions but majority of his work is all done via telephone, email, etc with in state/out of state clients. His daughter in Co Springs takes care of all new client intake &amp; most servicing. He currently doesn't have his own premises liability policy for his business since his exposure is very minimal but wants to make sure gaps are addressed"/>
    <x v="3"/>
    <s v="reviewed FD online to confirm response times/miles, agreed best to exclude TBE as insured daughter helps with business at another business location"/>
    <m/>
    <m/>
    <s v="Burdine"/>
    <m/>
    <m/>
    <n v="0"/>
  </r>
  <r>
    <x v="430"/>
    <s v="JM Wilson"/>
    <s v="MI"/>
    <s v="Cheryl"/>
    <m/>
    <s v="Mcfadden"/>
    <s v="Robert &amp; Linh Mia"/>
    <x v="0"/>
    <s v="Fishers "/>
    <x v="17"/>
    <s v="46037"/>
    <x v="5"/>
    <x v="360"/>
    <x v="595"/>
    <s v="Losses"/>
    <s v="2005 home with 2 wind losses and now new roof. 5/16 $784; 2/17 $8242. Also Backup into basement 9/18 $10,500. No backup, $5K wind, $2500 AOP J score. Increased cov C."/>
    <x v="4"/>
    <s v="New roof and higher wind ded will mitigate future loss.  Advised Cov A seems low, but can wait to adjust until after the inspection. Inc contents ok, not unreasonable."/>
    <m/>
    <m/>
    <s v="Patterson"/>
    <m/>
    <m/>
    <n v="0"/>
  </r>
  <r>
    <x v="671"/>
    <s v="Burns"/>
    <s v="MI"/>
    <s v="Alexa"/>
    <s v="Email"/>
    <s v="Price"/>
    <s v="Billy"/>
    <x v="0"/>
    <s v="Union"/>
    <x v="27"/>
    <m/>
    <x v="2"/>
    <x v="360"/>
    <x v="398"/>
    <s v="High Profile"/>
    <s v="2018 dwelling. Insd is pro football player for Cincinnati Bengals. No adverse online info."/>
    <x v="0"/>
    <s v="X-liability due to high profile status. // 6/11/18 Alexa advised the insurance score was a no hit (98). Find it odd that this individual would have bad or no credit, so stayed with terms offered."/>
    <m/>
    <m/>
    <s v="Patterson"/>
    <m/>
    <m/>
    <n v="0"/>
  </r>
  <r>
    <x v="187"/>
    <s v="Burns"/>
    <s v="MI"/>
    <s v="Jill"/>
    <s v="Email"/>
    <s v="Zoeher"/>
    <s v="Alice"/>
    <x v="2"/>
    <s v="San Diego"/>
    <x v="1"/>
    <m/>
    <x v="8"/>
    <x v="361"/>
    <x v="596"/>
    <s v="Business of premises"/>
    <s v="PC2, frame, tenant, no losses, built in 1941/updated, not a brush zone, located in CA. Agent disclosed the tenant will be doing Piano Lessons Mon- Thurs. and on Saturday, tenant usually has 2-3 lessons a day; TBE in place"/>
    <x v="3"/>
    <s v="approval to release with the total business exclusion in place. subject to the tenant also residing in the same property. If it is used strictly for piano lessons, then the property is ineligible."/>
    <m/>
    <m/>
    <s v="Burdine"/>
    <m/>
    <m/>
    <n v="0"/>
  </r>
  <r>
    <x v="672"/>
    <s v="Hull Irvine"/>
    <s v="CA"/>
    <s v="Alison"/>
    <s v="Email"/>
    <s v="McCloskey"/>
    <s v="Bruce"/>
    <x v="2"/>
    <s v="Malibu"/>
    <x v="1"/>
    <m/>
    <x v="14"/>
    <x v="361"/>
    <x v="597"/>
    <s v="Occupancy/Use"/>
    <s v="guest home on premises, using as vacation rental. Main home insured separately, not in brush"/>
    <x v="3"/>
    <s v="apply other structure exclusion to the main home"/>
    <m/>
    <m/>
    <s v="Burdine"/>
    <m/>
    <m/>
    <n v="0"/>
  </r>
  <r>
    <x v="673"/>
    <s v="ASL"/>
    <s v="VA"/>
    <s v="Joana"/>
    <s v="Email"/>
    <s v="Riordan, Michael"/>
    <m/>
    <x v="0"/>
    <s v="Newark"/>
    <x v="29"/>
    <m/>
    <x v="2"/>
    <x v="362"/>
    <x v="0"/>
    <s v="Knob &amp; Tube wiring"/>
    <s v="1920 build, all other updates completed. Home in great condition. PC ok. Agt quoted with understanding that updates to be made w/in 30-45 days"/>
    <x v="3"/>
    <s v="approved subject to completion of updates w/in 45 days from issuance, and acceptable supp heat app"/>
    <m/>
    <m/>
    <s v="Burdine"/>
    <m/>
    <m/>
    <n v="0"/>
  </r>
  <r>
    <x v="674"/>
    <s v="Hull Horsham"/>
    <s v="PA"/>
    <s v="Tamika"/>
    <m/>
    <s v="Insana"/>
    <s v="Carmen"/>
    <x v="6"/>
    <s v="Glassboro"/>
    <x v="9"/>
    <s v="08028"/>
    <x v="5"/>
    <x v="362"/>
    <x v="598"/>
    <s v="Losses"/>
    <s v="Prior fire loss, total loss - $238,000. Per agent, fire started in a bush by a passerby with a can of gasoline. Multiple fires were started in the area that night. Home is in process of being constructed. "/>
    <x v="1"/>
    <s v="Online reports confirm this was arson. Online search shows that this dwelling was previously a 10 room rental for a fraternity next to a university. Online shows rent available July 2019, if fraternity or 10 family dwelling, both of which are ineligible. "/>
    <m/>
    <m/>
    <s v="Busse"/>
    <m/>
    <m/>
    <n v="1"/>
  </r>
  <r>
    <x v="675"/>
    <s v="Hull Irvine"/>
    <s v="CA"/>
    <s v="Alison"/>
    <m/>
    <s v="Bellmar"/>
    <s v="Tracy"/>
    <x v="0"/>
    <s v="Fallbrook"/>
    <x v="1"/>
    <s v="92028"/>
    <x v="8"/>
    <x v="362"/>
    <x v="558"/>
    <s v="Losses"/>
    <s v="1988 home w/roof update in 2005. 3 prior water losses at prior condo. 12/15 $16,684 bathroom water line burst. 1/17 and 2/17 - liability paid to neighbors for water leak. $475 and $2,908.  Agt applying 40% surcharge based on new direction from 3/7/19."/>
    <x v="4"/>
    <s v="Excellent score.  Losses were all at prior condo.  Agreed not to s/c for any of the 3 losses due to score and due to it being a condo.  No damage to the insured's unit in 2 of the losses."/>
    <s v="897 insurance score"/>
    <m/>
    <s v="Patterson"/>
    <m/>
    <m/>
    <n v="0"/>
  </r>
  <r>
    <x v="676"/>
    <s v="ASL"/>
    <m/>
    <s v="Charity"/>
    <s v="Email"/>
    <s v="Wellumson, Deborah"/>
    <m/>
    <x v="0"/>
    <s v="Chesapeake VA PC10"/>
    <x v="3"/>
    <m/>
    <x v="0"/>
    <x v="363"/>
    <x v="599"/>
    <s v="PC10 "/>
    <s v="1994 updated frame. 3 acres w/pool. Not far off paved road. 5.8mi to FD "/>
    <x v="4"/>
    <s v="Mapped response time. Online photos look great. Only 3 acres. "/>
    <m/>
    <m/>
    <s v="Patterson"/>
    <m/>
    <m/>
    <n v="0"/>
  </r>
  <r>
    <x v="664"/>
    <s v="XS Brokers"/>
    <s v="MA"/>
    <s v="Barbara"/>
    <m/>
    <s v="Thibodeau"/>
    <s v="Joseph"/>
    <x v="0"/>
    <s v="E Hartford"/>
    <x v="25"/>
    <s v="06118"/>
    <x v="5"/>
    <x v="364"/>
    <x v="600"/>
    <s v="Prior Lapse/NRN"/>
    <s v="Year built 1910. Partial updates to wiring in 2000 and plumbing in 2000. Complete updates to roof and heating in 2000. Current lapse in coverage since 6/2018. They were cancelled from prior carrier due to broken back window and yard debris. Asked if 25% ERC was available. "/>
    <x v="3"/>
    <s v="Advised due to the age and only partial updates completed, only FRC is available. Approved subject to 10% surcharge for lapse, confirmation previous recs from cancellation are fixed before issuance, completed and acceptable OHQ, and EHP inspection with regular inspection. "/>
    <m/>
    <m/>
    <s v="Busse"/>
    <m/>
    <m/>
    <n v="0"/>
  </r>
  <r>
    <x v="375"/>
    <s v="Hull Charlotte"/>
    <m/>
    <s v="Alia"/>
    <s v="Email"/>
    <s v="Fisher, Gaye"/>
    <m/>
    <x v="104"/>
    <s v="Charleston"/>
    <x v="20"/>
    <m/>
    <x v="0"/>
    <x v="365"/>
    <x v="601"/>
    <s v="Rate relief for renewal"/>
    <s v="1890 home, agent looking for rate relief. Premium went from $3500 to $3900. "/>
    <x v="1"/>
    <s v="Rated AAL, total premium comes in at $10,314."/>
    <m/>
    <m/>
    <s v="Patterson"/>
    <m/>
    <m/>
    <n v="1"/>
  </r>
  <r>
    <x v="26"/>
    <s v="Burns"/>
    <s v="MI"/>
    <s v="Lindsay"/>
    <s v="Email"/>
    <s v="Barosela"/>
    <s v="Paul"/>
    <x v="4"/>
    <s v="Greenwood"/>
    <x v="36"/>
    <m/>
    <x v="9"/>
    <x v="366"/>
    <x v="602"/>
    <s v="Business on Premises"/>
    <s v="Attached is a primary home located in MO. Frame construction, built in 1998 roof updated in 2014, PC3, no losses, G insurance score. Full time boat repair shop on the property, no employees, detached structure. Business policies in place, quoted w/ TBE"/>
    <x v="3"/>
    <s v="approval to offer terms on this risk, subject to the total business exclusion being applied. From the description and satellite image of the property, it appears there is a very clear separation of the business. However, please be sure there are not large amounts of fuel stored on the premises. Please be aware--given the type of business this does not qualify for the In-Home Incidental Business Program"/>
    <m/>
    <m/>
    <s v="Burdine"/>
    <m/>
    <m/>
    <n v="0"/>
  </r>
  <r>
    <x v="242"/>
    <s v="Burns"/>
    <s v="MI"/>
    <s v="Ben"/>
    <s v="Email"/>
    <s v="Timmers, Michael"/>
    <m/>
    <x v="0"/>
    <s v="Cincinnati OH"/>
    <x v="3"/>
    <m/>
    <x v="0"/>
    <x v="367"/>
    <x v="0"/>
    <s v="2 open claims"/>
    <s v="Dog bite $275K in reserve - dog bit mailman - insured still has the dog (loss 11/15).  Candle fire 1/16. Young girl had jar candle in bedroom, caught blankets on fire. $305K in damage. Reserve still open for clothing."/>
    <x v="1"/>
    <s v="Morale hazard concern - young girl with candle; still has dog that bit 7 months ago. Uneasy feeling with these 2 losses."/>
    <m/>
    <m/>
    <s v="Patterson"/>
    <m/>
    <m/>
    <n v="1"/>
  </r>
  <r>
    <x v="367"/>
    <s v="Hull CA"/>
    <s v="Irvine"/>
    <s v="Alison"/>
    <s v="Email"/>
    <s v="Rehwald, Carol"/>
    <m/>
    <x v="2"/>
    <s v="Venice CA  PC5"/>
    <x v="3"/>
    <m/>
    <x v="0"/>
    <x v="367"/>
    <x v="453"/>
    <s v="Part of above"/>
    <s v="1938 guest house, annual rental"/>
    <x v="4"/>
    <m/>
    <m/>
    <m/>
    <s v="Patterson"/>
    <m/>
    <m/>
    <n v="0"/>
  </r>
  <r>
    <x v="68"/>
    <s v="Burns"/>
    <s v="MI"/>
    <s v="Leslie"/>
    <s v="Email"/>
    <s v="Julie Ana Desilva Exempt Trust"/>
    <m/>
    <x v="79"/>
    <s v="El Dorado "/>
    <x v="1"/>
    <m/>
    <x v="27"/>
    <x v="367"/>
    <x v="603"/>
    <s v="Business on premises"/>
    <s v="1957 home all updated except plumbing pipes. Agt writing on HO8-water not covered. $1K AOP. Quote is X-Liab, X-business structures. Personal garage ok, Total Business Excl, $500 a/p. Apple orchard and bake store on premises."/>
    <x v="3"/>
    <s v="Woodburning stove questionnaire"/>
    <m/>
    <m/>
    <s v="Patterson"/>
    <m/>
    <m/>
    <n v="0"/>
  </r>
  <r>
    <x v="463"/>
    <s v="Burns"/>
    <m/>
    <s v="Jill"/>
    <s v="Email"/>
    <s v="Jauch, Herbert &amp; Marguerite"/>
    <m/>
    <x v="64"/>
    <s v="Mill Valley, CA"/>
    <x v="3"/>
    <m/>
    <x v="0"/>
    <x v="367"/>
    <x v="510"/>
    <s v="Ext liab to adjacent structure"/>
    <s v="Agt provided inspection and current dec of secondary home (appears just written) Roof on home is in poor condition. Built in 1994, brush zone. Jill wants to extend liability to adjacent property however did not provide photos of other property. Unable to pull up on google. Fireline is a 6 with light fuels, however, based on the inspection provided it seems to be in a very dense/wooded area. "/>
    <x v="2"/>
    <s v="asking for photos of adjacent structure, asking what action was taken on the inspection for the secondary home as the roof is in poor condition. Also asking to confirm brush is not within 150ft"/>
    <s v="If adjacent structure looks good, I'm ok with extending liab. Also waiting to hear back regarding ACV roof endt for the secondary home. "/>
    <m/>
    <s v="Trott"/>
    <m/>
    <m/>
    <n v="0"/>
  </r>
  <r>
    <x v="432"/>
    <s v="Hull Stockton"/>
    <s v="CA"/>
    <s v="Lisa"/>
    <m/>
    <s v="O'Rear"/>
    <s v="Justin"/>
    <x v="0"/>
    <s v="Forest Ranch"/>
    <x v="1"/>
    <s v="95942"/>
    <x v="6"/>
    <x v="368"/>
    <x v="604"/>
    <s v="Losses"/>
    <s v="1988 home w/complete roof update in 2018 in brush. Prior home in Paradise was a total loss from the Camp Fire. Letter in file from prior carrier. FD 3 miles away but no hydrant. WBS in home per photo."/>
    <x v="3"/>
    <s v="New location.  Subj to WBS quest."/>
    <m/>
    <m/>
    <s v="Patterson"/>
    <m/>
    <m/>
    <n v="0"/>
  </r>
  <r>
    <x v="281"/>
    <s v="Burns"/>
    <s v="MI"/>
    <s v="Delta"/>
    <s v="Email"/>
    <s v="Lemonnier, Rick"/>
    <m/>
    <x v="0"/>
    <s v="Ponca City"/>
    <x v="30"/>
    <m/>
    <x v="9"/>
    <x v="368"/>
    <x v="605"/>
    <s v="Half of a duplex"/>
    <s v="Insured owns one half of a duplex and occupies it. Someone else owns and occupies the other side."/>
    <x v="4"/>
    <s v="No issue with this type of situation."/>
    <m/>
    <m/>
    <s v="Patterson"/>
    <m/>
    <m/>
    <n v="0"/>
  </r>
  <r>
    <x v="87"/>
    <s v="Burns"/>
    <s v="MI"/>
    <s v="Leslie"/>
    <s v="Email"/>
    <s v="Grecco, Stephanie"/>
    <m/>
    <x v="0"/>
    <s v="Savage"/>
    <x v="31"/>
    <m/>
    <x v="0"/>
    <x v="369"/>
    <x v="606"/>
    <s v="Business in home"/>
    <s v="1977 home partial updates. 1 prior loss tree fell on fence 7/16. Has dog boarding on lower level of home. Agent wants to offer with Total Business Excl and Animal Excl."/>
    <x v="2"/>
    <s v="Asked business questions. Concerning liability with dogs even with total biz excl as we are providing personal liability. Asked agt if we could consider with TBE and X-Liab. Animal liab built into Burns system to be included - asked Leslie to ck to see if it could be removed and animal excl added."/>
    <m/>
    <m/>
    <s v="Patterson"/>
    <m/>
    <m/>
    <n v="0"/>
  </r>
  <r>
    <x v="9"/>
    <s v="Burns"/>
    <s v="MI"/>
    <s v="Lindsay"/>
    <m/>
    <s v="Grayless"/>
    <s v="Tammy &amp; Marc"/>
    <x v="0"/>
    <s v="Edmond"/>
    <x v="30"/>
    <s v="73025"/>
    <x v="2"/>
    <x v="370"/>
    <x v="558"/>
    <s v="Business on Premises"/>
    <s v="2013 home w/ no losses. Insd is a massage therapist. Business is in the home. 10-15 clients per week. GL in place. Separate room in home. &quot;Just Relax with Tammy&quot;. "/>
    <x v="4"/>
    <s v="OK as quoted w/GL, TBE. This is in line with other similar risks we've approved in the past. Pol excludes professional services. With GL &amp; TBE, there are several layers of exclusion. UPDATE 5/31/2019: Burns asked if they could add special contents coverage form, approved to add. "/>
    <s v="Ins score L "/>
    <m/>
    <s v="Patterson/Busse"/>
    <m/>
    <m/>
    <n v="0"/>
  </r>
  <r>
    <x v="154"/>
    <s v="Hull Irvine"/>
    <s v="CA"/>
    <s v="Alex"/>
    <s v="Call/Email"/>
    <s v="Lonsbury"/>
    <s v="Mark"/>
    <x v="0"/>
    <s v="Idyllwild"/>
    <x v="1"/>
    <m/>
    <x v="0"/>
    <x v="371"/>
    <x v="148"/>
    <s v="Lapse"/>
    <s v="1969 home, no update info. Was with Markel last year and lapsed 2/26/17. "/>
    <x v="1"/>
    <s v="Ins score reveals bankruptcy that was not disclosed. On this app, not all uw questions are answered and no update info on 1969 home."/>
    <m/>
    <n v="21"/>
    <s v="Patterson"/>
    <m/>
    <m/>
    <n v="1"/>
  </r>
  <r>
    <x v="322"/>
    <s v="Burns NC"/>
    <m/>
    <s v="Anella"/>
    <s v="Email"/>
    <s v="Woodfin, Courtney &amp; Christopher"/>
    <m/>
    <x v="0"/>
    <s v="Carolina Beach "/>
    <x v="1"/>
    <m/>
    <x v="0"/>
    <x v="372"/>
    <x v="0"/>
    <s v="Lapse"/>
    <s v="Nice home. Policy lapsed for non pay. Carrier wouldn't reinstate due to concentration."/>
    <x v="4"/>
    <m/>
    <s v="Reviewed w/Tim"/>
    <m/>
    <s v="Patterson"/>
    <m/>
    <m/>
    <n v="0"/>
  </r>
  <r>
    <x v="169"/>
    <s v="Hull Horsham"/>
    <s v="PA"/>
    <s v="Tamika"/>
    <s v="Call"/>
    <s v="Gam &amp; Pops LLC"/>
    <m/>
    <x v="2"/>
    <s v="Warrington"/>
    <x v="2"/>
    <m/>
    <x v="0"/>
    <x v="373"/>
    <x v="305"/>
    <s v="Rate relief"/>
    <s v="1966 dwelling updated. Has homeowner installed WBS per quest. No losses. Agt quoted with USLI, but they sent a declination which the agt says they didn't get. Wonders if we can help with reducing $1500 prem to $673 for one year. Admitted qualified. Willing to provide SNL and new eff date."/>
    <x v="3"/>
    <s v="Approved with rate of $975, lowest Bethany felt we could go with their max 10% and discount for great ins score."/>
    <m/>
    <m/>
    <s v="Patterson"/>
    <m/>
    <m/>
    <n v="0"/>
  </r>
  <r>
    <x v="587"/>
    <s v="Burns"/>
    <s v="MI"/>
    <s v="Delta"/>
    <s v="Email"/>
    <s v="Thompson, Julie"/>
    <m/>
    <x v="0"/>
    <s v="Golden"/>
    <x v="1"/>
    <m/>
    <x v="6"/>
    <x v="373"/>
    <x v="607"/>
    <s v="Response time"/>
    <s v="2001 masonry home, no alarms. Response time 5-25 minutes. Accessible, not visible to neighbors. "/>
    <x v="2"/>
    <s v="Need additional information to consider"/>
    <m/>
    <m/>
    <s v="Patterson"/>
    <m/>
    <m/>
    <n v="0"/>
  </r>
  <r>
    <x v="398"/>
    <s v="AmWINS"/>
    <s v="FL"/>
    <s v="Niki"/>
    <m/>
    <s v="Newman"/>
    <m/>
    <x v="0"/>
    <s v="Middleburg"/>
    <x v="32"/>
    <s v="32068"/>
    <x v="0"/>
    <x v="373"/>
    <x v="608"/>
    <s v="Losses"/>
    <s v="2007 home w/ 12/2/18 fire. Grease left unattended. $150,624. closed, repairs made."/>
    <x v="1"/>
    <s v="AmWINS is a new partner and we are working to build their business. Niki is writing a lot of FL business.  I &quot;soft-declined&quot; this one purposely since it was AmWINS. I said usually grease indicates negligence, but if there is more to the story that we should consider, send with Fire Marshal or C&amp;O report, insurance score, conf of repairs completed."/>
    <m/>
    <m/>
    <s v="Patterson"/>
    <m/>
    <m/>
    <n v="1"/>
  </r>
  <r>
    <x v="677"/>
    <s v="JM Wilson"/>
    <s v="MI"/>
    <s v="Cheryl"/>
    <s v="Email"/>
    <s v="Bolema"/>
    <s v="Theodore &amp; Sally"/>
    <x v="0"/>
    <s v="Wichita"/>
    <x v="28"/>
    <m/>
    <x v="8"/>
    <x v="373"/>
    <x v="49"/>
    <s v="Losses"/>
    <s v="2 losses, one was a Lowes dishwasher faulty installation and the other is a sump pump failure"/>
    <x v="4"/>
    <s v="offer terms on this risk, be sure the rate includes the two prior claims."/>
    <m/>
    <m/>
    <s v="Burdine"/>
    <m/>
    <m/>
    <n v="0"/>
  </r>
  <r>
    <x v="264"/>
    <s v="Burns"/>
    <s v="MI"/>
    <s v="Ben"/>
    <s v="Email"/>
    <s v="Good, Alan"/>
    <m/>
    <x v="0"/>
    <s v="Myers Flat"/>
    <x v="1"/>
    <m/>
    <x v="4"/>
    <x v="373"/>
    <x v="609"/>
    <s v="26 min resp time"/>
    <s v="2016 frame home PC10 in brush. Volunteer fire department. 26 minute drive time per google search. (Could be longer for fire truck and volunteer response.)"/>
    <x v="1"/>
    <s v="Due to 26 minutes, volunteer, in brush. Retailer came back 9/8 to ask if adding alarms would make a difference. Still not comfortable. Advised Ben."/>
    <m/>
    <m/>
    <s v="Patterson"/>
    <m/>
    <m/>
    <n v="1"/>
  </r>
  <r>
    <x v="334"/>
    <s v="Burns"/>
    <s v="MI"/>
    <s v="Delta"/>
    <s v="Email"/>
    <s v="Lea"/>
    <s v="Claire"/>
    <x v="0"/>
    <s v="Ava"/>
    <x v="36"/>
    <m/>
    <x v="4"/>
    <x v="373"/>
    <x v="610"/>
    <s v="Business on Premises"/>
    <s v="Primary home located in MO. Built in 2000, Frame construction, PC10, response time is 20 minutes, no losses. This has a bed and breakfast and the insured lives in the basement.  There is also 2 portable buildings and one that is rented out."/>
    <x v="1"/>
    <s v="Reviewed online, and this isn't just B&amp;B. Also rental facility for events. Due to response time and additional exposure--declined. http://www.dockleyranch.com/"/>
    <m/>
    <m/>
    <s v="Burdine"/>
    <m/>
    <m/>
    <n v="1"/>
  </r>
  <r>
    <x v="678"/>
    <s v="Burns"/>
    <s v="MI"/>
    <s v="Jill"/>
    <s v="Email"/>
    <s v="Hudson"/>
    <s v="Lloyd"/>
    <x v="4"/>
    <s v="Hominy"/>
    <x v="30"/>
    <m/>
    <x v="4"/>
    <x v="373"/>
    <x v="611"/>
    <s v="PC"/>
    <s v="PC 10, 15 minutes response time, &gt;25 acres, no farming on property, hunting only, liability excluded; 2016 build"/>
    <x v="4"/>
    <s v="Approved w/ Liab excluded. PCQ acceptable"/>
    <m/>
    <m/>
    <s v="Burdine"/>
    <m/>
    <m/>
    <n v="0"/>
  </r>
  <r>
    <x v="292"/>
    <s v="Burns"/>
    <s v="MI"/>
    <s v="Delta"/>
    <s v="Email"/>
    <s v="Eaton, William"/>
    <m/>
    <x v="0"/>
    <s v="Foresthill "/>
    <x v="1"/>
    <m/>
    <x v="4"/>
    <x v="374"/>
    <x v="612"/>
    <s v="6 horses/PC10"/>
    <s v="1984 home in brush. FD is 5.2 miles away. Accessible, visible. Agt applying animal exclusion. Personal use only. "/>
    <x v="3"/>
    <s v="Confirm no breeding, boarding, riding lessons,then okay with animal exclusion. Confirm no excessive storage of hay in other structures - due to spontaneous combustion hazard. App says 5 minute response - probably more than that, but not more than 15."/>
    <m/>
    <m/>
    <s v="Patterson"/>
    <m/>
    <m/>
    <n v="0"/>
  </r>
  <r>
    <x v="549"/>
    <s v="Hull Irvine"/>
    <s v="CA"/>
    <s v="Tina"/>
    <m/>
    <s v="Irwin"/>
    <s v="Allison"/>
    <x v="0"/>
    <s v="Vista"/>
    <x v="1"/>
    <s v="92081"/>
    <x v="8"/>
    <x v="375"/>
    <x v="613"/>
    <s v="Prior Lapse/NRN"/>
    <s v="30 day lapse. Frame structure built in 1990. "/>
    <x v="4"/>
    <s v="Surcharge 10% and sign no loss statement."/>
    <m/>
    <m/>
    <s v="Lazovik"/>
    <m/>
    <m/>
    <n v="0"/>
  </r>
  <r>
    <x v="670"/>
    <s v="SCU"/>
    <s v="CO"/>
    <s v="Allison"/>
    <s v="Email"/>
    <s v="Porto"/>
    <s v="Jeremy"/>
    <x v="6"/>
    <s v="Colorado Springs"/>
    <x v="19"/>
    <m/>
    <x v="8"/>
    <x v="376"/>
    <x v="614"/>
    <s v="Prior Lapse/NRN"/>
    <s v="Renovation quote, originally submitted in October; had to do meth remediation from prior owners at some point.  Provided confirmation of remediation services"/>
    <x v="3"/>
    <s v="require no loss and 5-10% surcharge for the lapse; report was very clear no contamination concerns"/>
    <m/>
    <m/>
    <s v="Burdine"/>
    <m/>
    <m/>
    <n v="0"/>
  </r>
  <r>
    <x v="204"/>
    <s v="Burns"/>
    <s v="MI "/>
    <s v="Jill"/>
    <s v="Email"/>
    <s v="Pratt, Brandy"/>
    <m/>
    <x v="0"/>
    <s v="Grass Valley CA PC4"/>
    <x v="3"/>
    <m/>
    <x v="0"/>
    <x v="377"/>
    <x v="615"/>
    <s v="Oth Str &gt;35%"/>
    <s v="1991 home w/ heat and roof update in 2010.  1200 SF shop - no business exposure. In brush - medium per RM. High per FireLine."/>
    <x v="4"/>
    <s v="Approve subject to:  Jill is confirming no losses and no lapse. Online info says shop is 60x30=1800 SF. Photos show issue with rear deck railings missing. Balusters missing on shop rails. WBS pipe in shop photos. Adequate brush clearance."/>
    <m/>
    <m/>
    <s v="Patterson"/>
    <m/>
    <m/>
    <n v="0"/>
  </r>
  <r>
    <x v="74"/>
    <s v="Burns"/>
    <s v="MI"/>
    <s v="Delta"/>
    <s v="Email"/>
    <s v="Noe, Jacob"/>
    <m/>
    <x v="0"/>
    <s v="Bend "/>
    <x v="35"/>
    <m/>
    <x v="5"/>
    <x v="378"/>
    <x v="616"/>
    <s v="Daycare in home"/>
    <s v="2006 home. Daycare up to 16 kids. Agt proposing with liab and Total Business Excl."/>
    <x v="3"/>
    <s v="If there is coml covg in place with Markel, we could write w/liab. Otherwise, X-liab and with Total Business Exclusion."/>
    <m/>
    <m/>
    <s v="Patterson"/>
    <m/>
    <m/>
    <n v="0"/>
  </r>
  <r>
    <x v="396"/>
    <s v="Hull CA"/>
    <s v="Stockton"/>
    <s v="Kirk"/>
    <s v="Email"/>
    <s v="Nunes, Diane"/>
    <m/>
    <x v="2"/>
    <m/>
    <x v="3"/>
    <m/>
    <x v="0"/>
    <x v="379"/>
    <x v="617"/>
    <s v="Mfg home on perm fndn"/>
    <s v="2006 manufactured home on permanent foundation. He said Vanessa said we could take. I told her we could take &quot;modulars&quot;."/>
    <x v="1"/>
    <s v="Can't write manufactured or mobile homes on this program. Forwarded detailed email with photos of both types and explanation to Hull offices."/>
    <m/>
    <m/>
    <s v="Patterson"/>
    <m/>
    <m/>
    <n v="1"/>
  </r>
  <r>
    <x v="310"/>
    <s v="Burns"/>
    <s v="MI"/>
    <s v="Leslie"/>
    <s v="Email"/>
    <s v="Coves 7, LLC"/>
    <m/>
    <x v="16"/>
    <s v="Union Hall"/>
    <x v="10"/>
    <m/>
    <x v="28"/>
    <x v="379"/>
    <x v="462"/>
    <s v="PC 9-LLC"/>
    <s v="PC 9, LLC-established to buy/sell homes, 6 min response time per agt email, but per risk meter FD 8.6 miles away. Home currently secondary home, but will be sold or rented next yr. Requested agt confirmation on FD. "/>
    <x v="2"/>
    <s v="Requested confirmation of PC as FD listed as over 5 miles from home, but agt listed as 8B and referred as PC 9"/>
    <m/>
    <m/>
    <s v="Burdine"/>
    <m/>
    <m/>
    <n v="0"/>
  </r>
  <r>
    <x v="495"/>
    <s v="ASL"/>
    <s v="VA"/>
    <s v="Charity"/>
    <s v="Email"/>
    <s v="Legum, Stacy"/>
    <m/>
    <x v="75"/>
    <s v="Windsor"/>
    <x v="10"/>
    <m/>
    <x v="4"/>
    <x v="379"/>
    <x v="618"/>
    <s v="Protection Class"/>
    <s v="Risk is 8 miles from Fire Station. Home also is on 7 acres with 3 horses that are used for personal use only. There is a home office where business is conducted(HVAC business), no clients are on the property. There is a trampoline on the premises with a safety net and anchored to the ground with sand bags. "/>
    <x v="3"/>
    <s v="subject to: response time w/in 15 minutes, no employees on premise, trampoline exclusion"/>
    <m/>
    <m/>
    <s v="K.Burdine"/>
    <m/>
    <m/>
    <n v="0"/>
  </r>
  <r>
    <x v="485"/>
    <s v="Hull Stockton"/>
    <s v="CA"/>
    <s v="Lisa"/>
    <m/>
    <s v="Harris"/>
    <s v="David &amp; Pamela"/>
    <x v="0"/>
    <s v="Oroville "/>
    <x v="1"/>
    <s v="95966"/>
    <x v="5"/>
    <x v="379"/>
    <x v="619"/>
    <s v="Losses"/>
    <s v="1991 home w/prior CAT fire (Camp). A+ shows this was a CAT fire on the day the Camp fire started 11/8. "/>
    <x v="3"/>
    <s v="New location.  Waiving other proof of loss due to A+."/>
    <m/>
    <m/>
    <s v="Patterson"/>
    <m/>
    <m/>
    <n v="0"/>
  </r>
  <r>
    <x v="679"/>
    <s v="Burns"/>
    <s v="MI"/>
    <s v="Jill"/>
    <m/>
    <s v="Sloss"/>
    <s v="Bryan &amp; Leslie"/>
    <x v="2"/>
    <s v="Chaska"/>
    <x v="31"/>
    <s v="55318"/>
    <x v="0"/>
    <x v="380"/>
    <x v="504"/>
    <s v="Business on Premises"/>
    <s v="1956 dwelling updated. Insured owns the dwelling, rents it to a group home &quot;Acute Home Health Care&quot;."/>
    <x v="1"/>
    <s v="Little info provided. Website appears to be 24/7 on site care. We are not a market for that type of risk."/>
    <m/>
    <m/>
    <s v="Patterson"/>
    <m/>
    <m/>
    <n v="1"/>
  </r>
  <r>
    <x v="453"/>
    <s v="Burns"/>
    <s v="MI"/>
    <s v="Danielle"/>
    <s v="Email"/>
    <s v="Estate of Sokhana Noeu"/>
    <m/>
    <x v="2"/>
    <s v="St Paul"/>
    <x v="31"/>
    <m/>
    <x v="9"/>
    <x v="381"/>
    <x v="620"/>
    <s v="Business in home"/>
    <s v="1914 home w/updates. Duplex - 1/2 personal living; 1/2 rented to business. (Unsure if personal living is insured or rented to someone.) Auto shop next door. Also found Acoustech Drywall Contr at this addr."/>
    <x v="1"/>
    <s v="Asked for occupancy clarification. Investigate drywall business. Auto repair is separate address? Also asked in of on Cambodian Employment in 1/2 of duplex. If insured rents whole home, doesn't occupy themselves, this should go commercial. We will apply Total Business Exclusion.  5/19-This is a commercial exposure and would better serve insured to be quoted there."/>
    <m/>
    <m/>
    <s v="Patterson"/>
    <m/>
    <m/>
    <n v="1"/>
  </r>
  <r>
    <x v="358"/>
    <s v="Hull Irvine"/>
    <s v="CA"/>
    <s v="Alison"/>
    <s v="Email"/>
    <s v="Hildebrandt, Oliver &amp; Catalina"/>
    <m/>
    <x v="105"/>
    <s v="Los Angeles"/>
    <x v="1"/>
    <m/>
    <x v="0"/>
    <x v="382"/>
    <x v="621"/>
    <s v="Business in home"/>
    <s v="Primary, insured is interior designer. Occasionally sales furniture/pieces from home so some inventory and foot traffic"/>
    <x v="3"/>
    <s v="Agt quoted with total business exclusion, so approved subject to confirming that not frequent/daily foot traffic (like a small store front); if it is may have to revisit liab cov"/>
    <m/>
    <m/>
    <s v="Burdine"/>
    <m/>
    <m/>
    <n v="0"/>
  </r>
  <r>
    <x v="410"/>
    <s v="Burns"/>
    <m/>
    <s v="Leslie"/>
    <s v="Email"/>
    <s v="La Haye, Tim and Beverly"/>
    <m/>
    <x v="8"/>
    <s v="Alpine, CA"/>
    <x v="3"/>
    <m/>
    <x v="0"/>
    <x v="383"/>
    <x v="0"/>
    <s v="home where land is owned by separate entity"/>
    <s v="Policy is being nonrenewed due to the fact that the prior carrier was not made aware of the land ownership. Home is owned by the insured, land is owned by a Christian camp. "/>
    <x v="3"/>
    <s v="Advised agt we prefer liab be excluded given the property is not owned by the insured. Also adv to confirm the house is not utilized by the camp."/>
    <m/>
    <m/>
    <s v="Trott"/>
    <m/>
    <m/>
    <n v="0"/>
  </r>
  <r>
    <x v="559"/>
    <s v="SCU"/>
    <s v="CO"/>
    <s v="Allison"/>
    <s v="Email"/>
    <s v="Debbie Von Vihl Trust"/>
    <m/>
    <x v="1"/>
    <s v="CO "/>
    <x v="3"/>
    <m/>
    <x v="0"/>
    <x v="383"/>
    <x v="431"/>
    <s v="Seacoast Rate"/>
    <s v="Seacoast $1211; Us $1924.  "/>
    <x v="1"/>
    <s v="Too much of a variance. Allison agreed."/>
    <m/>
    <m/>
    <s v="Patterson"/>
    <m/>
    <m/>
    <n v="1"/>
  </r>
  <r>
    <x v="359"/>
    <s v="TPI"/>
    <s v="MS"/>
    <s v="Johnathan"/>
    <m/>
    <s v="Gore"/>
    <s v="Kevin"/>
    <x v="4"/>
    <s v="Vian"/>
    <x v="30"/>
    <s v="74962"/>
    <x v="3"/>
    <x v="383"/>
    <x v="622"/>
    <s v="Losses"/>
    <s v="2009 year built. Losses listed are the same as the above quote, no specification as to which property the water loss took place at. "/>
    <x v="4"/>
    <s v="Advised that we do not need to surcharge and exclude water on both properties and to confirm which the water loss took place at and only surcharge/exclude for that quote. If there was negligence, however, the surcharge and exclusion can apply for both."/>
    <m/>
    <m/>
    <s v="Busse"/>
    <m/>
    <m/>
    <n v="0"/>
  </r>
  <r>
    <x v="274"/>
    <s v="Burns"/>
    <s v="MI"/>
    <s v="Ben"/>
    <s v="Email"/>
    <s v="Wallace, Aaron"/>
    <m/>
    <x v="0"/>
    <s v="San Juan"/>
    <x v="1"/>
    <m/>
    <x v="6"/>
    <x v="383"/>
    <x v="623"/>
    <s v="Response time"/>
    <s v="1999 home updated in brush, no losses.  Volunteer FD is 3 miles away with a 4 minute response time. Backup 24 hour paid FD is 24 miles away w/40 min response time. Fully accessible."/>
    <x v="4"/>
    <s v="Approved due to very close Volunteer FD."/>
    <m/>
    <m/>
    <s v="Patterson"/>
    <m/>
    <m/>
    <n v="0"/>
  </r>
  <r>
    <x v="585"/>
    <s v="AmWINS"/>
    <s v="NY"/>
    <s v="Jason"/>
    <m/>
    <s v="Amrussi"/>
    <m/>
    <x v="0"/>
    <s v="Oceanside "/>
    <x v="44"/>
    <s v="11572"/>
    <x v="0"/>
    <x v="383"/>
    <x v="188"/>
    <s v="Business on Premises"/>
    <s v="Insured in process of acquiring license for home daycare. Either 12 or 16 children (response is unclear).   Applying Total Business Exclusion."/>
    <x v="2"/>
    <s v="Provided list of questions to evaluate the exposure.  Depending on answers, may not be able to do at all.  12 or 16 children is a high number for us."/>
    <m/>
    <m/>
    <s v="Patterson"/>
    <m/>
    <m/>
    <n v="0"/>
  </r>
  <r>
    <x v="293"/>
    <s v="Hull CO"/>
    <s v="Horsham"/>
    <s v="Tamika"/>
    <s v="Email"/>
    <s v="Gaal, James"/>
    <m/>
    <x v="0"/>
    <s v="Charleston "/>
    <x v="26"/>
    <m/>
    <x v="8"/>
    <x v="383"/>
    <x v="624"/>
    <s v="4 water claims"/>
    <s v="1959 home with 4 prior pipe break claims. 2/15 $13K, 9/15 $45K, 1/16 $22K, 8/16 $39K. Per email, insured updated all plumbing. Quoted with S/C for 4 losses, $2500 AOP and $25,000 water damage ded (not on rater, but this is what Tamika said she quoted)."/>
    <x v="3"/>
    <s v="Asked if ALL pipes were replaced or just visible. Agent reply doesn't sound 100% confident. Approved subj to: • Invoice showing ALL plumbing has been replaced, including plumbing within walls_x000a_• With surcharge for 4 losses_x000a_• $2,500 AOP deductible_x000a_• $25,000 water damage deductible_x000a_• .54 TIV _x000a_"/>
    <m/>
    <m/>
    <s v="Patterson"/>
    <m/>
    <m/>
    <n v="0"/>
  </r>
  <r>
    <x v="680"/>
    <s v="Hull Irvine"/>
    <s v="CA"/>
    <s v="Melissa"/>
    <s v="Email"/>
    <s v="Enyedi"/>
    <s v="Tyler"/>
    <x v="0"/>
    <s v="Lake Arrowhead"/>
    <x v="1"/>
    <m/>
    <x v="0"/>
    <x v="384"/>
    <x v="625"/>
    <s v="Losses"/>
    <s v="The claim was due to plumbing pay out $10,000 DOL 9/10/2017. They have a wood roof which the agent believes it is the original. Updates were in 1980 per the inspection"/>
    <x v="3"/>
    <s v="10K water deductible must be applied due to the galvanized plumbing and prior claim history. Please be sure to confirm that all repairs were made from that loss. Additionally, due to the age of the roof it must be excluded on the policy."/>
    <m/>
    <m/>
    <s v="Burdine"/>
    <m/>
    <m/>
    <n v="0"/>
  </r>
  <r>
    <x v="664"/>
    <s v="XS Brokers"/>
    <s v="MA"/>
    <s v="Barbara"/>
    <m/>
    <s v="Giraldo"/>
    <s v="Carlos"/>
    <x v="0"/>
    <s v="Atlantic City"/>
    <x v="9"/>
    <s v="08401"/>
    <x v="9"/>
    <x v="385"/>
    <x v="626"/>
    <s v="Losses"/>
    <s v="1955 year built with complete updates to heating and roof 2002 and 1998. partial updates to wiring 2018 and plumbing 2000. Non-renewed from prior carrier due to losses. Fire damage and water damage loss on same day. Water damage loss was flood. They said fire damage was mentioned to be due to the water damage? Also, lapse from 2/28/2019"/>
    <x v="2"/>
    <s v="Pended asking for c&amp;o report for fire. "/>
    <m/>
    <m/>
    <s v="Busse"/>
    <m/>
    <m/>
    <n v="0"/>
  </r>
  <r>
    <x v="165"/>
    <s v="Burns"/>
    <s v="MI"/>
    <s v="Alexa"/>
    <s v="Email"/>
    <s v="Mohr"/>
    <s v="Jurgen"/>
    <x v="0"/>
    <s v="Buena Vista"/>
    <x v="19"/>
    <m/>
    <x v="4"/>
    <x v="386"/>
    <x v="627"/>
    <s v="PC"/>
    <s v="a primary home located in CO. Home was built in 2007 of frame construction, PC9 , no alarms. 15-18 minute drive time."/>
    <x v="2"/>
    <s v="From docs, home over 5 miles from FD. Requested updated premium rated as PC 10 instead of 9"/>
    <s v="May consider risk with appropriate premium once PC 10 updated"/>
    <m/>
    <s v="Burdine"/>
    <m/>
    <m/>
    <n v="0"/>
  </r>
  <r>
    <x v="384"/>
    <s v="AmWINS"/>
    <s v="IL"/>
    <s v="Tasha"/>
    <m/>
    <s v="Allgood"/>
    <s v="Debra"/>
    <x v="1"/>
    <m/>
    <x v="4"/>
    <m/>
    <x v="0"/>
    <x v="387"/>
    <x v="0"/>
    <s v="Losses"/>
    <s v="1940 updated home in IL owned by President of the presenting retail agency.  Partial fire loss 1/29/18 due to electrical. $128K claims closed. Still under construction - no info on extent of repairs left. NRN by prior carrier. Lapsed about 6 months ago, no insurance."/>
    <x v="1"/>
    <s v="Discussed addl info needed. Concerning situation, but entertaining since it is President of agency.  Tasha later advised that this is a low insurance score so she declined without even getting into additional questions."/>
    <m/>
    <m/>
    <s v="Patterson"/>
    <m/>
    <m/>
    <n v="1"/>
  </r>
  <r>
    <x v="478"/>
    <s v="Burns"/>
    <s v="MI"/>
    <s v="Rachel"/>
    <s v="Email"/>
    <s v="Glass"/>
    <s v="Kevin"/>
    <x v="2"/>
    <s v="Ridgeway"/>
    <x v="12"/>
    <m/>
    <x v="4"/>
    <x v="387"/>
    <x v="364"/>
    <s v="Other UW Reason"/>
    <s v="Referred due to some hunting occurring on property - by owner, no one else."/>
    <x v="4"/>
    <s v="Approved - 5 acres used for hunting on 68 acre property.  Limited exposure.  "/>
    <m/>
    <m/>
    <s v="May"/>
    <m/>
    <m/>
    <n v="0"/>
  </r>
  <r>
    <x v="529"/>
    <s v="SCU"/>
    <s v="CO"/>
    <s v="Allison"/>
    <m/>
    <s v="BRJ Property Investments LLC"/>
    <m/>
    <x v="6"/>
    <s v="Denver"/>
    <x v="19"/>
    <s v="80205"/>
    <x v="9"/>
    <x v="387"/>
    <x v="286"/>
    <s v="Builders Risk"/>
    <s v="1926 with roof exclusion. No other known updates.  Insured is a LLC and does their own house flipping. This one involves kitchens/baths. "/>
    <x v="1"/>
    <s v="We are not a market for risks where the insured is the GC. Explained our position."/>
    <m/>
    <m/>
    <s v="Patterson"/>
    <m/>
    <m/>
    <n v="1"/>
  </r>
  <r>
    <x v="533"/>
    <s v="SCU"/>
    <s v="CO"/>
    <s v="Allison"/>
    <s v="Email"/>
    <s v="Meaker"/>
    <s v="Bruce &amp; Barry"/>
    <x v="106"/>
    <s v="Montroce"/>
    <x v="19"/>
    <m/>
    <x v="3"/>
    <x v="387"/>
    <x v="318"/>
    <s v="Prior Loss"/>
    <s v="loss at this property on 6/06/2017-tenants having a meth lab in the home ($0 payout).   All of the remediation has been done, and the home has been cleared for renovation/construction. In We are looking to write a builder’s risk.  They are using an insured contractor to complete the work, and get GL cert prior to binding. "/>
    <x v="3"/>
    <s v="firm rental vetting process prior to becoming a rental, and you have approval to release the quoted terms with this contingency along with the 15% surcharge."/>
    <m/>
    <m/>
    <s v="Burdine"/>
    <m/>
    <m/>
    <n v="0"/>
  </r>
  <r>
    <x v="424"/>
    <s v="XS Brokers"/>
    <s v="MA"/>
    <s v="Ryan"/>
    <m/>
    <s v="Westville Realty Management LLC"/>
    <m/>
    <x v="0"/>
    <s v="New Haven"/>
    <x v="25"/>
    <m/>
    <x v="0"/>
    <x v="387"/>
    <x v="305"/>
    <s v="Rate"/>
    <s v="3 family rental dwelling 1 mi from coast in New Haven. Agt asking to waive deductible. (2% wind)"/>
    <x v="1"/>
    <s v="All programs have this required ded."/>
    <s v="Some chaos this week with a RUSH Stockton audit that backed up referrals.  Turnaround may have been impacted."/>
    <m/>
    <s v="Patterson"/>
    <m/>
    <m/>
    <n v="1"/>
  </r>
  <r>
    <x v="17"/>
    <s v="Burns"/>
    <s v="MI"/>
    <s v="Alexa"/>
    <s v="Email"/>
    <s v="Sipkovich"/>
    <s v="Vincent"/>
    <x v="4"/>
    <s v="Huntington Beach"/>
    <x v="1"/>
    <m/>
    <x v="2"/>
    <x v="387"/>
    <x v="628"/>
    <s v="Rate"/>
    <s v="seasonal home for the above named insured located in CA.  Home was built in 1984 of frame construction. Full heat update in 2017, full roofing update 2006,  PC4 with local alarms. Risk meter not pulling"/>
    <x v="3"/>
    <s v="have approval to offer terms on this risk. Since the address won't pull a Risk Meter, we will have to treat it as if it is in brush. "/>
    <m/>
    <m/>
    <s v="Burdine"/>
    <m/>
    <m/>
    <n v="0"/>
  </r>
  <r>
    <x v="398"/>
    <s v="Burns"/>
    <s v="MI"/>
    <s v="Leslie"/>
    <m/>
    <s v="Bowers"/>
    <s v="Matt   "/>
    <x v="0"/>
    <s v="Bennington"/>
    <x v="38"/>
    <s v="68007"/>
    <x v="8"/>
    <x v="387"/>
    <x v="289"/>
    <s v="Business on Premises"/>
    <s v="2017 home w/addition. Private entrance for one chair hair salon. Cut/color/wax. Business supplemental attached. Has GL. Agt quoted in Incidental Business program. Feel it is more exposure than that program contemplates."/>
    <x v="3"/>
    <s v="Approved subj to Total Business Excl. Maintain GL, confirm no large chem storage, no unattended wax warmers, no  tanning."/>
    <s v="Policy excludes professional services and business.. TBE and GL provide 2 addl layers of protection. No adverse online info for address or business. "/>
    <m/>
    <s v="Patterson"/>
    <m/>
    <m/>
    <n v="0"/>
  </r>
  <r>
    <x v="591"/>
    <s v="Hull CO"/>
    <s v="Charlotte"/>
    <s v="Tamara"/>
    <s v="Email"/>
    <s v="Burrell"/>
    <m/>
    <x v="0"/>
    <s v="Isle of Palms SC PC 4"/>
    <x v="3"/>
    <m/>
    <x v="0"/>
    <x v="387"/>
    <x v="424"/>
    <s v="Reduce rate?"/>
    <s v="Can we match Lex rate of $4916? I ran AAL and it is coming in at $5700 with wind and non-wind. Our quote is at $5875. Left as is."/>
    <x v="1"/>
    <m/>
    <m/>
    <m/>
    <s v="Patterson"/>
    <m/>
    <m/>
    <n v="1"/>
  </r>
  <r>
    <x v="681"/>
    <s v="Burns"/>
    <s v="MI"/>
    <s v="Alexa"/>
    <m/>
    <s v="Dick"/>
    <s v="Stephen"/>
    <x v="0"/>
    <s v="Reno"/>
    <x v="39"/>
    <s v="89510"/>
    <x v="4"/>
    <x v="387"/>
    <x v="629"/>
    <s v="PC"/>
    <s v="1979 home w/updates. No alarms. &quot;Horse property&quot; quoted excluding liability. 27 miles to FD. 30 min response time per app. "/>
    <x v="1"/>
    <s v="Possibly up to 50 min response time. Outside our comfort for $600K TIV. "/>
    <s v="Ins score H.  Did not list further issues: Need full detail of horse, farm, Cov B, hay storage, WBS per app, uw questions not complete."/>
    <m/>
    <s v="Patterson"/>
    <m/>
    <m/>
    <n v="1"/>
  </r>
  <r>
    <x v="403"/>
    <s v="Hull Horsham"/>
    <m/>
    <s v="Nichole"/>
    <s v="Email"/>
    <s v="Grimley, Kelly"/>
    <m/>
    <x v="0"/>
    <s v="Marmora "/>
    <x v="9"/>
    <m/>
    <x v="0"/>
    <x v="387"/>
    <x v="629"/>
    <s v="Prior foreclosure"/>
    <s v="2005 new purchase. Husband had prior foreclosure 12/31/14. (Hub info not provided even though I advised this was needed) Nice home. "/>
    <x v="1"/>
    <s v="Ran ins score on wife- Lowest tier we have. Judgement pending. Bad debt."/>
    <m/>
    <m/>
    <s v="Patterson"/>
    <m/>
    <m/>
    <n v="1"/>
  </r>
  <r>
    <x v="205"/>
    <s v="Hull CA"/>
    <s v="Irvine"/>
    <s v="Alison"/>
    <s v="Email"/>
    <s v="Holzmann, Andy"/>
    <m/>
    <x v="21"/>
    <s v="Temecula CA PC9"/>
    <x v="3"/>
    <m/>
    <x v="0"/>
    <x v="387"/>
    <x v="629"/>
    <s v="Vineyard"/>
    <s v="2016 seasonal home w/vineyard. No info on the business provided.  Extremely low per RM. Low per FireLine."/>
    <x v="2"/>
    <s v="Asked additional business questions. Would apply full business exclusion if we proceed. (It is being drafted by Karen-sent to her on 4/6/16)"/>
    <m/>
    <m/>
    <s v="Patterson"/>
    <m/>
    <m/>
    <n v="0"/>
  </r>
  <r>
    <x v="679"/>
    <s v="Hull Irvine"/>
    <s v="CA"/>
    <s v="Ashley"/>
    <m/>
    <s v="McBride"/>
    <s v="Carl"/>
    <x v="0"/>
    <s v="Lakewood"/>
    <x v="1"/>
    <s v="90712"/>
    <x v="8"/>
    <x v="387"/>
    <x v="630"/>
    <s v="Losses"/>
    <s v="1971 home w/unknown updates.  Roof in 96.  Not in brush. 3 prior losses:  1/27/17 roof leak $620. 5/4/18 slab leak $15,681. 3/13/19 slab leak - withdrew. (May be subro from first claim)"/>
    <x v="2"/>
    <s v="WRS must be below 30 to consider. Slab leak mitigation required such as rerouting of pipes. $20K water damage ded should apply. Roof damage fully repaired. (The water damage ded will apply to the roof, and ACV roof would be required.)  Good ins score."/>
    <s v="I ran ins score 780"/>
    <m/>
    <s v="Patterson"/>
    <m/>
    <m/>
    <n v="0"/>
  </r>
  <r>
    <x v="369"/>
    <s v="Burns"/>
    <s v="MI"/>
    <s v="Michelle"/>
    <s v="Email"/>
    <s v="Womach"/>
    <s v="Tyler &amp; Lori"/>
    <x v="0"/>
    <s v="Huntington Beach"/>
    <x v="1"/>
    <m/>
    <x v="11"/>
    <x v="388"/>
    <x v="12"/>
    <s v="Losses"/>
    <s v="1962 dwelling with lab dog that bit friend. Open claim $50,000. Insd keeping dog. Animal liab exclusion applied."/>
    <x v="4"/>
    <s v="Ok with animal exclusion"/>
    <m/>
    <m/>
    <s v="Patterson"/>
    <m/>
    <m/>
    <n v="0"/>
  </r>
  <r>
    <x v="396"/>
    <s v="Burns"/>
    <s v="MI"/>
    <s v="Danielle"/>
    <s v="Email"/>
    <s v="Perrotto, Dave"/>
    <m/>
    <x v="0"/>
    <s v="Omaha NE PC2"/>
    <x v="3"/>
    <m/>
    <x v="0"/>
    <x v="389"/>
    <x v="631"/>
    <s v="Daycare 6 kids"/>
    <s v="1999 frame home w/prior hail loss $20K in 2013. 6 children. Pool w/slide."/>
    <x v="4"/>
    <s v="Do not add Markel daycare as max is 5 children. Insd has coml policy. Add pool exclusion. Approved pending $100-$150 addl prem (to cover for defending losses). "/>
    <s v="CHANGED THIS DIRECTION IN JULY 2016-DO NOT WRITE MORE THAN 5 CHILDREN UNLESS X-LIABILITY. IF DAYCARE INSURED W/MARKEL, CAN CONSIDER FULL COVERAGE."/>
    <m/>
    <s v="Patterson"/>
    <m/>
    <m/>
    <n v="0"/>
  </r>
  <r>
    <x v="682"/>
    <s v="Hull Horsham"/>
    <s v="CA"/>
    <s v="MacKenzie"/>
    <s v="Email"/>
    <s v="Keren Hachesed Student Aid Fund"/>
    <s v="Dov Kreisworth"/>
    <x v="1"/>
    <m/>
    <x v="9"/>
    <m/>
    <x v="8"/>
    <x v="390"/>
    <x v="632"/>
    <s v="Losses"/>
    <s v="Builders risk, as a result of prior fire loss (marshal report confirms caused by dryer)"/>
    <x v="3"/>
    <s v="approved with acceptable LLC questionnaire,  confirmed no student housing or commercial use"/>
    <m/>
    <m/>
    <s v="Burdine"/>
    <m/>
    <m/>
    <n v="0"/>
  </r>
  <r>
    <x v="369"/>
    <s v="XS Brokers"/>
    <s v="MA"/>
    <s v="Barbara"/>
    <s v="Email"/>
    <s v="Stone"/>
    <s v="Joshua &amp; Amy"/>
    <x v="1"/>
    <m/>
    <x v="52"/>
    <m/>
    <x v="0"/>
    <x v="391"/>
    <x v="288"/>
    <s v="Builders Risk"/>
    <s v="1850 dwelling w/no update info. Borderline condition. Roof not in good shape."/>
    <x v="1"/>
    <s v="Condition, numerous exclusions need to apply."/>
    <m/>
    <m/>
    <s v="Patterson"/>
    <m/>
    <m/>
    <n v="1"/>
  </r>
  <r>
    <x v="584"/>
    <s v="Hull Irvine"/>
    <s v="CA"/>
    <s v="Alison"/>
    <s v="Email"/>
    <s v="Arrowhead Properties Limited"/>
    <m/>
    <x v="16"/>
    <s v="Helendale"/>
    <x v="1"/>
    <m/>
    <x v="4"/>
    <x v="391"/>
    <x v="558"/>
    <s v="Prior loss"/>
    <s v="12/17/16 fire $343K where homeless people burned down the house."/>
    <x v="2"/>
    <s v="• Several key uw questions are blank.  Could you let me know what the answers are?  (And of course you will want to make sure to get a fully completed signed app if we proceed.)_x000a_• Could you please get a copy of the fire marshal report?_x000a_• Could I have the names of the individuals that are part of Arrowhead Properties?  Also their dates of birth?  We want to look a little more at the financial situation._x000a_• Could I please see a copy of the Corp/LLC questionnaire if they have completed it?                               • Could you please send us a copy of the Protection Class questionnaire?_x000a__x000a_"/>
    <m/>
    <m/>
    <s v="Patterson"/>
    <m/>
    <m/>
    <n v="0"/>
  </r>
  <r>
    <x v="156"/>
    <s v="Hull Irvine"/>
    <s v="CA"/>
    <s v="Alex"/>
    <s v="Call"/>
    <s v="Dashnaw"/>
    <m/>
    <x v="0"/>
    <m/>
    <x v="3"/>
    <m/>
    <x v="0"/>
    <x v="392"/>
    <x v="0"/>
    <s v="Scheduled Personal Property"/>
    <s v="Insured purchased a $25,686 engagement ring and wants to add to policy. No losses. Insured for 1 year with Markel."/>
    <x v="4"/>
    <s v="Agt authority is $25K. Ring will be won all the time. Makes sense with Cov A. Agt has appraisal."/>
    <m/>
    <n v="13"/>
    <s v="Patterson"/>
    <m/>
    <m/>
    <n v="0"/>
  </r>
  <r>
    <x v="152"/>
    <s v="Hull Irvine"/>
    <s v="CA"/>
    <s v="Bobbi"/>
    <s v="Email"/>
    <s v="Rios"/>
    <s v="Mauricio &amp; Heather"/>
    <x v="51"/>
    <s v="Cedar Glenn"/>
    <x v="1"/>
    <m/>
    <x v="0"/>
    <x v="392"/>
    <x v="327"/>
    <s v="Actor"/>
    <s v="actor, secondary home"/>
    <x v="4"/>
    <s v="Online info OK, very low key, no large projects recently (or ever from what I can locate) restricted liab on secondary home anyway."/>
    <m/>
    <m/>
    <s v="Burdine"/>
    <m/>
    <m/>
    <n v="0"/>
  </r>
  <r>
    <x v="683"/>
    <s v="Hull Irvine"/>
    <s v="CA"/>
    <s v="Alex"/>
    <s v="Email"/>
    <s v="Yaeger, Kurt"/>
    <m/>
    <x v="0"/>
    <s v="Sylmar"/>
    <x v="1"/>
    <m/>
    <x v="5"/>
    <x v="392"/>
    <x v="633"/>
    <s v="High profile"/>
    <s v="Inquiry about whether we could consider. No adverse news. App okay. Question on Cov A - RCE $275K  App $380K"/>
    <x v="3"/>
    <s v="Advised we could approve excluding liability.  https://en.wikipedia.org/wiki/Kurt_Yaeger_x000a__x000a_http://www.imdb.com/name/nm2900382/_x000a__x000a_http://people.com/bodies/amputee-actor-kurt-yaeger-is-breaking-boundaries-with-major-roles-on-four-television-series/_x000a_Subject to accurate Cov A. Riskmeter. Brush ok either way."/>
    <m/>
    <m/>
    <s v="Patterson"/>
    <m/>
    <m/>
    <n v="0"/>
  </r>
  <r>
    <x v="322"/>
    <s v="Burns"/>
    <s v="MI"/>
    <s v="Delta"/>
    <s v="Email"/>
    <s v="Jones, Tajudeena"/>
    <m/>
    <x v="0"/>
    <s v="Chicago"/>
    <x v="4"/>
    <m/>
    <x v="8"/>
    <x v="392"/>
    <x v="633"/>
    <s v="Business on premise"/>
    <s v="Insured operates &quot;Totally Positive Productions&quot;. Address on app is business address. Non-profit youth program in business since 1993.  Total Business Excl applies."/>
    <x v="0"/>
    <s v="This is mainly used as office and administrative. It is insureds home as well as apt rented annually to a married couple(not business related). All other questions check out. Subj to Total Business Excl. and GL is in place or will be per agent.)"/>
    <m/>
    <m/>
    <s v="Patterson"/>
    <m/>
    <m/>
    <n v="0"/>
  </r>
  <r>
    <x v="472"/>
    <s v="Burns"/>
    <s v="MI"/>
    <s v="Rachel"/>
    <m/>
    <s v="Alperowitz"/>
    <s v="Manachen"/>
    <x v="0"/>
    <s v="Sioux Falls"/>
    <x v="48"/>
    <s v="57108"/>
    <x v="11"/>
    <x v="392"/>
    <x v="634"/>
    <s v="Business on Premises"/>
    <s v="1998 home w/roof update. 3/13/19 sump pump failure.  Daycare w/4 children - will be more. Bible studies and mom&amp; me classes. Has CGL for daycare and religious activities."/>
    <x v="3"/>
    <s v="Confirm no water backup due to loss. Repairs/closed. Exclude liab due to classes and activities on premises.  "/>
    <s v="Good ins score.  https://www.ganearlylearningcenter.com/.  Insd affiliated w/the Chabad Jewish Center of SD and there is indication that some of the ceremonies and classes will take place in the insured's home.  Do not see issues where we would be looking at exorbitant defense costs. Just not comfortable with the level of activity."/>
    <m/>
    <s v="Patterson"/>
    <m/>
    <m/>
    <n v="0"/>
  </r>
  <r>
    <x v="501"/>
    <s v="XS Brokers"/>
    <s v="MA"/>
    <s v="Barbara"/>
    <m/>
    <s v="Pestilli"/>
    <s v="Michael &amp; Heidi"/>
    <x v="0"/>
    <s v="Voluntown"/>
    <x v="25"/>
    <s v="06384"/>
    <x v="4"/>
    <x v="392"/>
    <x v="635"/>
    <s v="Business on Premises"/>
    <s v="2000 home. Quoted by partner as PC8, looks like PC 10. PC app coming. Volunteer, 5.7 mi to resp FD, ?? hydrant per app. Insd placing 10 horse stalls in 2 barns at rear of home to be used for coml boarding. They are working on placing a CGL for horse boarding."/>
    <x v="2"/>
    <s v="Need to see PC app. If &lt;15 min response, would consider subj to Coml policies for horse liab and structures. TBE. Exclude liability."/>
    <s v="(Exclude liab because we use business exclusion - not 100% comfortable with how courts would view how this applies to animals/farm.)"/>
    <m/>
    <s v="Patterson"/>
    <m/>
    <m/>
    <n v="0"/>
  </r>
  <r>
    <x v="137"/>
    <s v="Hull Stockton"/>
    <s v="CA"/>
    <s v="Lisa"/>
    <s v="Email"/>
    <s v="Stovall"/>
    <s v="Pierre &amp; Sonia"/>
    <x v="75"/>
    <s v="El Dorado"/>
    <x v="1"/>
    <m/>
    <x v="5"/>
    <x v="393"/>
    <x v="636"/>
    <s v="&gt;90 day lapse"/>
    <s v="Primary, 1982 build, some updates, no brush, PC 4, non-renewed from state farm 2 years ago, hasn't had insurance since. Agency providing him with quotes 2 years ago, and he never followed through"/>
    <x v="1"/>
    <s v="Too great of a lapse with no legitimate reason"/>
    <m/>
    <m/>
    <s v="Burdine"/>
    <m/>
    <m/>
    <n v="1"/>
  </r>
  <r>
    <x v="556"/>
    <s v="Burns"/>
    <s v="MI"/>
    <s v="Ben"/>
    <s v="Email"/>
    <s v="Irwin, Robert"/>
    <m/>
    <x v="0"/>
    <s v="Vista"/>
    <x v="1"/>
    <m/>
    <x v="8"/>
    <x v="394"/>
    <x v="637"/>
    <s v="5 losses"/>
    <s v="1990 frame home. Not in brush. Insd has 5 losses.  2 are car break-ins. 3 are water leaks - bedroom pipe, bathroom pipe, and slab leak. Insured had plumbing completely replaced in 2016. Agent quoting $25K water damage."/>
    <x v="4"/>
    <m/>
    <m/>
    <m/>
    <s v="Patterson"/>
    <m/>
    <m/>
    <n v="0"/>
  </r>
  <r>
    <x v="674"/>
    <s v="XS Brokers"/>
    <s v="MI"/>
    <s v="Barbara"/>
    <m/>
    <s v="Zachem Family Trust"/>
    <m/>
    <x v="2"/>
    <s v="Ledyard"/>
    <x v="25"/>
    <s v="06339"/>
    <x v="29"/>
    <x v="395"/>
    <x v="638"/>
    <s v="Condition"/>
    <s v="1891 dwelling with updates to roof and systems from 1990-2003, no mention if gutted. Three other structures that are in poor condition, which is reason for non-renewal with other carrier. Structures will be demoed or burned by control burn. Asked if RCV or ACV should be used. "/>
    <x v="3"/>
    <s v="Approval subject to full exclusion of the outbuildings will be needed. Will require ACV since no mention of completely gutted, older updates, and not above average condition. "/>
    <m/>
    <m/>
    <s v="Busse"/>
    <m/>
    <m/>
    <n v="0"/>
  </r>
  <r>
    <x v="684"/>
    <s v="ASL"/>
    <s v="VA"/>
    <s v="Charity"/>
    <s v="Email"/>
    <s v="Edwards"/>
    <s v="Dennis"/>
    <x v="0"/>
    <s v="Piney Point"/>
    <x v="29"/>
    <m/>
    <x v="4"/>
    <x v="396"/>
    <x v="639"/>
    <s v="PC"/>
    <s v="PC 10"/>
    <x v="2"/>
    <s v="requested PCQ for review. Only quote attached"/>
    <m/>
    <m/>
    <s v="Burdine"/>
    <m/>
    <m/>
    <n v="0"/>
  </r>
  <r>
    <x v="685"/>
    <s v="Burns"/>
    <s v="MI"/>
    <s v="Rachel"/>
    <s v="Email"/>
    <s v="Gipson"/>
    <s v="Reginal"/>
    <x v="0"/>
    <s v="Oakland"/>
    <x v="1"/>
    <m/>
    <x v="8"/>
    <x v="396"/>
    <x v="640"/>
    <s v="Losses"/>
    <s v="Primary home built in 1958, offering FRC. Frame, PC 1 with 4 losses. Will be primary home. Former renter damaged home (4 coverages from same incident)"/>
    <x v="3"/>
    <s v="Changing the rental to a primary. Insured moves in two weeks. Currently daughter resides in home. There will be a lapse (and a charge) for the 2 days without coverage. One incident logged as four due to types of losses"/>
    <m/>
    <m/>
    <s v="Lazovik"/>
    <m/>
    <m/>
    <n v="0"/>
  </r>
  <r>
    <x v="391"/>
    <s v="SCU"/>
    <s v="CO"/>
    <s v="Allison"/>
    <s v="Email"/>
    <s v="Coffin"/>
    <s v="Richard"/>
    <x v="2"/>
    <s v="Pollock Pines"/>
    <x v="19"/>
    <m/>
    <x v="5"/>
    <x v="397"/>
    <x v="286"/>
    <s v="Heat Source"/>
    <s v="1979 dwelling w/updated roof. Has non thermostatically controlled wall heaters. Agt proposing to quote DP1 and rewrite to DP3 when heating is updated."/>
    <x v="2"/>
    <s v="Suggested DP3 w/water damage exclusion. Insd agreeable to update to thermostats."/>
    <m/>
    <m/>
    <s v="Patterson"/>
    <m/>
    <m/>
    <n v="0"/>
  </r>
  <r>
    <x v="53"/>
    <s v="Hull Irvine"/>
    <s v="CA"/>
    <s v="Lisa"/>
    <m/>
    <s v="Byrd"/>
    <s v="Zachary"/>
    <x v="0"/>
    <s v="Oroville "/>
    <x v="1"/>
    <s v="95966"/>
    <x v="4"/>
    <x v="397"/>
    <x v="10"/>
    <s v="Losses"/>
    <s v="2004 home not in brush. No RiskMeter included. Quoted as PC4, but risk is 6.6 miles from the FD.  Woodstove in home.  Zillow says this is a &quot;horse property&quot;."/>
    <x v="2"/>
    <s v="Asked for new rater and PC Quest to be sent for review. If ok, addl subjectivities are WBS quest and info on horses. Prior home total loss in Camp fire - Paradise. RM says in brush, rater confirms that rating. Cover email said not in brush. "/>
    <m/>
    <m/>
    <s v="Patterson"/>
    <m/>
    <m/>
    <n v="0"/>
  </r>
  <r>
    <x v="686"/>
    <s v="Hull CA"/>
    <s v="Irvine"/>
    <s v="Alison"/>
    <s v="Email"/>
    <s v="Candiani Denim USA"/>
    <m/>
    <x v="45"/>
    <s v="Malibu CA"/>
    <x v="3"/>
    <m/>
    <x v="0"/>
    <x v="397"/>
    <x v="10"/>
    <s v="Business name"/>
    <s v="1960 home no updates in a business name. Insd is a denim company. Home is used 6 months by the VP and periodically by &quot;employees&quot; per app."/>
    <x v="3"/>
    <s v="DP-3 with premises liability only. Reviewed policy forms and Total Biz Exclu(only avail on HO3) and felt we'd be better off w/DP3 subject to many verifications:  • We would need confirmation that the dwelling was being used as a residence only.  No business meetings.  No business activities at all on the property.  No business storage.  Not used as an award for employees.  Only used by officers and owners._x000a_• What does the personal property consist of – just household furnishings?_x000a_• Note on app says “they have employees fly in from out of the country and stay with them several times a year”.  We’d need more info on what this means. Are these officers or execs?_x000a_• Is this used like a hotel?  I’d be concerned if that is the case._x000a_• How close is the dwelling to the company headquarters?_x000a_• Roof exclusion applies due to 1960 and no updates.  Concerned about the condition since it says no wiring, plumbing, heating updates._x000a_"/>
    <s v="All issues check out. Answers in email file.  No terms if no update to systems.  Okay to offer terms subj to roof exclusion. DP3 prem liab only."/>
    <m/>
    <s v="Patterson"/>
    <m/>
    <m/>
    <n v="0"/>
  </r>
  <r>
    <x v="123"/>
    <s v="Burns"/>
    <s v="MI"/>
    <s v="Delta"/>
    <s v="Email"/>
    <s v="Wauhtal, David Paul"/>
    <m/>
    <x v="0"/>
    <s v="Wichita"/>
    <x v="28"/>
    <m/>
    <x v="0"/>
    <x v="398"/>
    <x v="641"/>
    <s v="Business in home"/>
    <s v="Insured moving a 1 chair beauty shop into her home. 40-65 clients/month. InHome Business program with $10K property. Has a GL in place. 1916 home updated. Nice online photos."/>
    <x v="4"/>
    <s v="Meets UW guidelines."/>
    <m/>
    <m/>
    <s v="Patterson"/>
    <m/>
    <m/>
    <n v="0"/>
  </r>
  <r>
    <x v="112"/>
    <s v="Burns"/>
    <s v="MI"/>
    <s v="Danielle"/>
    <s v="Email"/>
    <s v="Lyons, Gregory"/>
    <m/>
    <x v="0"/>
    <s v="Denver"/>
    <x v="19"/>
    <m/>
    <x v="8"/>
    <x v="398"/>
    <x v="642"/>
    <s v="Occupancy"/>
    <s v="Insured cares for 2 mentally challenged individuals. Has GL for the coml liability."/>
    <x v="3"/>
    <s v="No covg modification for the 2 individuals. Reasonable exposure, and policy allows for 2 boarders. Asked for opportunity to revise terms if insd is licensed for &gt;2. Advised agt of 3 businesses found online using this address. Also, Zillow lists Mother in law apt."/>
    <m/>
    <m/>
    <s v="Patterson"/>
    <m/>
    <m/>
    <n v="0"/>
  </r>
  <r>
    <x v="42"/>
    <s v="Burns"/>
    <s v="MI"/>
    <s v="Jill"/>
    <s v="Email"/>
    <s v="Hal"/>
    <s v="Marvin &amp; Gail"/>
    <x v="0"/>
    <s v="Vail"/>
    <x v="7"/>
    <m/>
    <x v="5"/>
    <x v="399"/>
    <x v="643"/>
    <s v="Business on Premises"/>
    <s v="2011 dwelling with adult day care at the property. 3-4 adults 5 days per week. Insured's are only employees. "/>
    <x v="4"/>
    <s v="Confirmed acceptable activities and details online. Require CGL policy to be put in place and maintained."/>
    <m/>
    <m/>
    <s v="Patterson"/>
    <m/>
    <m/>
    <n v="0"/>
  </r>
  <r>
    <x v="416"/>
    <s v="SCU"/>
    <s v="CO"/>
    <s v="Allison"/>
    <m/>
    <s v="Roubal"/>
    <s v="Richard"/>
    <x v="42"/>
    <s v="Colorado Springs"/>
    <x v="19"/>
    <s v="80906"/>
    <x v="8"/>
    <x v="400"/>
    <x v="644"/>
    <s v="Losses"/>
    <s v="1999 condo, referred due to 6 losses, 4 paid. SCU advised insured was not advised to not file small claims with prior agent, and advised with new agent they will make sure they do not do so. Claims are smaller. Applicant said he would have gladly paid for them himself had he known they would go against him in the future. 3/2017 $255 window leak, 10/2017 $7k smoke damage, 1/2018 $2700 water damage, 2/2018 $2700 water damage. "/>
    <x v="4"/>
    <s v="SCU quoted with $10k AOP. Claims do not appear to be a concern and agent advised they would work with them on when to file claims. Approved terms as quoted."/>
    <s v="This risk was also quoted and referred by Burns. Burns advised water leak alarm system was installed and quoted with $2500 AOP and $5000 water damage deductible. I approved those terms, but since no mention of water alarms in this referral I approved with the overall $10k AOP. // MP on 4/10 Burns advised that one of the hail losses was not $0 paid, it was $4400 paid under Loss Assessment.  I emailed Allison generically and let her know it came to our attention."/>
    <m/>
    <s v="Busse"/>
    <m/>
    <m/>
    <n v="0"/>
  </r>
  <r>
    <x v="675"/>
    <s v="Burns"/>
    <s v="MI"/>
    <s v="Danielle"/>
    <m/>
    <s v="Roubal"/>
    <s v="Scott"/>
    <x v="42"/>
    <s v="Colorado Springs"/>
    <x v="19"/>
    <s v="80906"/>
    <x v="8"/>
    <x v="400"/>
    <x v="645"/>
    <s v="Losses"/>
    <s v="1999 year built condo. Prior carrier was USAA and they do not have agents and each time you call to inquire about coverage a claim is opened. The new agent is educating the applicant on filing claims. Technically there are 6 losses since 2016, 4 paid. 3/2017 water $255, slow leak that was present before insured purchased but noticed when damage became more apparent. 10/2017 $7037 smoke damage in kitchen due to incident with microwave. 1/2018 water $2740 sudden leak from plumbing fixture, 2/2018 water $2695 sudden leak from plumbing fixture, has installed water alarms on all plumbing fixtures. Two hail storms 2016 and 2018 that caused to open a claim even though coverage didn't apply, both closed with $0, HOA did repairs. "/>
    <x v="0"/>
    <s v="Seeing that water alarms have been installed makes this easier to review. They are all lower amounts, and Burns has AOP at $2500 with a water deductible at $5000. As such, approved terms. // MP 4/10/19 Burns added s/c for a hail loss originally believed to be covered by the condo assoc. It was actually paid under loss assessment. Also, they added EQ. Confirmed w/Bethany."/>
    <m/>
    <m/>
    <s v="Busse"/>
    <m/>
    <m/>
    <n v="0"/>
  </r>
  <r>
    <x v="509"/>
    <s v="Burns"/>
    <s v="MI"/>
    <s v="Lindsey"/>
    <s v="Email"/>
    <s v="Remond"/>
    <s v="William"/>
    <x v="2"/>
    <s v="Everett"/>
    <x v="2"/>
    <m/>
    <x v="3"/>
    <x v="401"/>
    <x v="646"/>
    <s v="Losses"/>
    <s v="Built in 1900, partial plumbing update in 2018, partial heating update in 2014, full wiring update in 2017 and full roof update in 2017. Frame construction ,PC6, one loss over $100,000. loss at this rental (fire due to tenant negligence); quoted on DP1"/>
    <x v="3"/>
    <s v="Approved DP1, advised need to confirm loss cause since same location. Per applicant, it was caused by smoking of a prior tenant"/>
    <m/>
    <m/>
    <s v="Burdine"/>
    <m/>
    <m/>
    <n v="0"/>
  </r>
  <r>
    <x v="642"/>
    <s v="Burns"/>
    <s v="MI"/>
    <s v="Nicole"/>
    <m/>
    <s v="Rivera"/>
    <s v="Jaime &amp; Beatriz"/>
    <x v="0"/>
    <s v="Sylmar"/>
    <x v="1"/>
    <s v="91342"/>
    <x v="11"/>
    <x v="402"/>
    <x v="647"/>
    <s v="Losses"/>
    <s v="Primary home and guest house w/separate addresses.  4 prior smoke/fire losses that are actually 2 losses.  WRS 31. PC1. Question about writing as 1 risk or 2 separate."/>
    <x v="1"/>
    <s v="Not comfortable with the loss history."/>
    <m/>
    <m/>
    <s v="Patterson"/>
    <m/>
    <m/>
    <n v="1"/>
  </r>
  <r>
    <x v="687"/>
    <s v="Hull Irvine"/>
    <s v="CA"/>
    <s v="Bobbi"/>
    <s v="Email"/>
    <s v="Lousberg"/>
    <s v="Lawrence &amp; Dwanna"/>
    <x v="0"/>
    <s v="Saugus"/>
    <x v="1"/>
    <m/>
    <x v="6"/>
    <x v="403"/>
    <x v="648"/>
    <s v="Business on Premises"/>
    <s v="PC 9, primary, insured operates petting zoo/pony ride  business (gilchrist farm). Has GL policy in place, but residence is on same prop, NR by allstate 04/30, 1954 build"/>
    <x v="1"/>
    <s v="the amount and variety of business that takes place on this property (petting zoos, riding lessons, summer camps, private events, cheese/soap making, camping expeditions, tours, etc.) that could lead to issues at the property."/>
    <m/>
    <m/>
    <s v="Burdine"/>
    <m/>
    <m/>
    <n v="1"/>
  </r>
  <r>
    <x v="688"/>
    <s v="Burns"/>
    <s v="MI"/>
    <s v="Leslie"/>
    <s v="Email"/>
    <s v="Glynn, Doris"/>
    <m/>
    <x v="0"/>
    <s v="Ophir CO PC10"/>
    <x v="3"/>
    <m/>
    <x v="0"/>
    <x v="404"/>
    <x v="649"/>
    <s v="Non prof WBS"/>
    <s v="2006 home with greenhouse. Non-prof installed woodstove used to heat water feature in greenhouse. Fire department is 13 miles away with 30 minute response time. (Noted project list to add this as a criteria - looking for 20 minute response time max.)"/>
    <x v="1"/>
    <s v="Woodstove clearance to combustible wall is 18&quot;. Typically require 36&quot;. Also, PC 10 w/30 min response time is a concern if there is a fire."/>
    <m/>
    <m/>
    <s v="Patterson"/>
    <m/>
    <m/>
    <n v="1"/>
  </r>
  <r>
    <x v="377"/>
    <s v="Burns"/>
    <s v="MI"/>
    <s v="Leslie"/>
    <m/>
    <s v="Tomazevic"/>
    <s v="Robert"/>
    <x v="0"/>
    <s v="Menomonee Falls"/>
    <x v="12"/>
    <s v="53051"/>
    <x v="8"/>
    <x v="405"/>
    <x v="508"/>
    <s v="Business on Premises"/>
    <s v="1959 home w/updates. Greenhouse business on premises with hemp growing operation. CDB Hemp, LLC is business name."/>
    <x v="1"/>
    <s v="We are not a market for these risks"/>
    <s v="Did not review entire risk. Declined based on description of operations."/>
    <m/>
    <s v="Patterson"/>
    <m/>
    <m/>
    <n v="1"/>
  </r>
  <r>
    <x v="483"/>
    <s v="Burns"/>
    <s v="MI"/>
    <s v="Leslie"/>
    <s v="Email"/>
    <s v="Anderson, Darren"/>
    <m/>
    <x v="0"/>
    <s v="Greenwood CA PC 10"/>
    <x v="1"/>
    <m/>
    <x v="4"/>
    <x v="405"/>
    <x v="650"/>
    <s v="PC10/18 min response"/>
    <s v="2005 home in medium brush. Not near an active fire. Agent not sure if PC5 or 10. Gave info. 18 min response time."/>
    <x v="1"/>
    <s v="Advised we are being conservative in brush zones."/>
    <m/>
    <m/>
    <s v="Patterson"/>
    <m/>
    <m/>
    <n v="1"/>
  </r>
  <r>
    <x v="365"/>
    <s v="AmWINS"/>
    <s v="FL"/>
    <s v="Julie"/>
    <m/>
    <s v="Goolsby"/>
    <s v="Douglas"/>
    <x v="0"/>
    <s v="Beverly Hills"/>
    <x v="32"/>
    <s v="34465"/>
    <x v="0"/>
    <x v="405"/>
    <x v="579"/>
    <s v="Losses"/>
    <s v="1999 home w/updates. Had prior total fire loss on TN home 1/1/17 $305K. Fire Marshal report provided. "/>
    <x v="1"/>
    <s v="FM report indicates some suspicious cause. Poor score. Insd was 2 mtg payments behind, had lost TN business, was living in GA, and was getting ready to put the TN house on the market."/>
    <s v="469 ins score"/>
    <m/>
    <s v="Patterson"/>
    <m/>
    <m/>
    <n v="1"/>
  </r>
  <r>
    <x v="181"/>
    <s v="Hull Irvine"/>
    <s v="CA"/>
    <s v="Alex"/>
    <s v="Call"/>
    <s v="Christer"/>
    <s v="Charlene"/>
    <x v="5"/>
    <s v="Riverside"/>
    <x v="1"/>
    <m/>
    <x v="0"/>
    <x v="406"/>
    <x v="0"/>
    <s v="Existing damage"/>
    <s v="Dwelling inherited from parents. Bro was caretaker. Insd just went to look at home to put up for sale and found bro hasn't done anything for 4 years. Dry rot to exterior sills, needs paint. Agent wants to quote w/water damage exclusion."/>
    <x v="3"/>
    <s v="Okay with water damage exclusion. Overall, home looks pretty good. Exclusion will also take care of the flat roof. Interior inspection rush!"/>
    <m/>
    <m/>
    <s v="Patterson"/>
    <m/>
    <m/>
    <n v="0"/>
  </r>
  <r>
    <x v="335"/>
    <s v="Burns"/>
    <s v="MI"/>
    <s v="Rachel"/>
    <s v="Email"/>
    <s v="Poquette"/>
    <s v="Aimee"/>
    <x v="0"/>
    <s v="Dewitt"/>
    <x v="8"/>
    <m/>
    <x v="2"/>
    <x v="407"/>
    <x v="651"/>
    <s v="Business on Premises"/>
    <s v="Home built in 1920 with full updates to wiring and roofing in 2018. Heating and plumbing updated in 2000. They are running a bookstore out of their attached pole barn. The barn is attached via a breezeway which is one concern. The photos included with the referral show a door frame out of line on the back patio, siding issues next to the side door and a porch with mildew and potential rot."/>
    <x v="3"/>
    <s v="The business itself is only online. The pole barn just stores the books. Burns is rushing an inspection and providing an EHQ to confirm the condition of the home is good."/>
    <m/>
    <m/>
    <s v="Lazovik"/>
    <m/>
    <m/>
    <n v="0"/>
  </r>
  <r>
    <x v="574"/>
    <s v="XS Brokers"/>
    <s v="MA"/>
    <s v="Barbara"/>
    <m/>
    <s v="Campanella"/>
    <s v="Phyllis &amp; Fred"/>
    <x v="0"/>
    <s v="Berlin"/>
    <x v="25"/>
    <s v="06037"/>
    <x v="2"/>
    <x v="408"/>
    <x v="558"/>
    <s v="Losses"/>
    <s v="2002 home. Dog bite loss 11/13/18 still open. Dog bit UPS driver. Insured still has dog chained up in yard. No animal liability covg quoted."/>
    <x v="4"/>
    <s v="No animal liability"/>
    <m/>
    <m/>
    <s v="Patterson"/>
    <m/>
    <m/>
    <n v="0"/>
  </r>
  <r>
    <x v="15"/>
    <s v="Burns"/>
    <s v="MI"/>
    <s v="Jill"/>
    <s v="Email"/>
    <s v="Eger"/>
    <s v="Sherman"/>
    <x v="4"/>
    <s v="Ocean City"/>
    <x v="9"/>
    <m/>
    <x v="9"/>
    <x v="409"/>
    <x v="652"/>
    <s v="Heat Source"/>
    <s v="1923 home w/updates. Seasonal use. Has no furnace. Insd drains pipes when not used. Has done this for &quot;decades&quot;. Nice online photos. Roof shows patched shingles - pic online is from 2013. App shows roof updated in 2018."/>
    <x v="3"/>
    <s v="Provided only used in late spring/summer when there are no freeze days. No portable or solid fuel heat used. Surcharge TBD, no VMGA premium provided."/>
    <m/>
    <m/>
    <s v="Patterson"/>
    <m/>
    <m/>
    <n v="0"/>
  </r>
  <r>
    <x v="493"/>
    <s v="Hull CA"/>
    <s v="Irvine"/>
    <s v="Vanessa"/>
    <s v="Email"/>
    <s v="Nejat, Sara"/>
    <m/>
    <x v="107"/>
    <s v="Pine Mountan CA PC4"/>
    <x v="3"/>
    <m/>
    <x v="0"/>
    <x v="410"/>
    <x v="653"/>
    <s v="Log home"/>
    <s v="1990 seasonal. No updates."/>
    <x v="2"/>
    <s v="Questioned $202 SF covg A-should be more like $300. Brush clearance? Roof? 25 years old-ACV or excl?"/>
    <m/>
    <m/>
    <s v="Patterson"/>
    <m/>
    <m/>
    <n v="0"/>
  </r>
  <r>
    <x v="689"/>
    <s v="Hull Horsham"/>
    <s v="PA"/>
    <s v="Tamika"/>
    <s v="Email"/>
    <s v="Hess"/>
    <s v="Carol"/>
    <x v="0"/>
    <s v="Pine Beach"/>
    <x v="9"/>
    <m/>
    <x v="5"/>
    <x v="410"/>
    <x v="654"/>
    <s v="Losses"/>
    <s v="2 prior losses, one fire-01/2016 space heater-repairs made, no longer use portable devices"/>
    <x v="3"/>
    <s v="subject to OHQ,  claims included in premium rating"/>
    <m/>
    <m/>
    <s v="Burdine"/>
    <m/>
    <m/>
    <n v="0"/>
  </r>
  <r>
    <x v="206"/>
    <s v="Hull CA"/>
    <s v="Irvine"/>
    <s v="Alison"/>
    <s v="Email"/>
    <s v="Marzola, Marco"/>
    <m/>
    <x v="5"/>
    <s v="Yorba Linda, CA"/>
    <x v="3"/>
    <m/>
    <x v="0"/>
    <x v="411"/>
    <x v="0"/>
    <s v="Remodel"/>
    <s v="New purchase for insured. Will be vacant for 6 months, then will be renovated by insured's own contracting company. "/>
    <x v="1"/>
    <s v="Adv unable to approve due to insured's company completing his rennovations (can't sue yourself in the event of a claim/subro)"/>
    <m/>
    <m/>
    <s v="Trott"/>
    <m/>
    <m/>
    <n v="1"/>
  </r>
  <r>
    <x v="611"/>
    <s v="Burns"/>
    <s v="MI"/>
    <s v="Jill"/>
    <m/>
    <s v="Jamie's School of Fish"/>
    <m/>
    <x v="0"/>
    <s v="Clovis"/>
    <x v="1"/>
    <s v="93619"/>
    <x v="5"/>
    <x v="411"/>
    <x v="655"/>
    <s v="Business on Premises"/>
    <s v="1977 year built with some updates - heating and roofing 2005-2006. Business is a swimming school, no further info provided regarding business. There also was a loss in 2017 with no further details. Agent advised there are CGL policies for the swim school. "/>
    <x v="0"/>
    <s v="I found online that there are three different locations for this business. No information was given to us in the referral about how many students, what types of classes and how often. Also, it wasn’t clear if the home is in the name of the business. Also need details of the loss that was listed.  UPDATE: Swim lessons taught in backyard pool. Baby &amp; me, private, semi-private, autism, beginning group, intermediate, and advanced group classes. Classes are April-Sept. Policy would be in the name of Jon and Jamie Collard, not the business name. Max number of students at any one time would be 5. "/>
    <s v="After further information was provided and reviewed, approved subject to TBE, Liability exclusion, pool exclusion, Older home questionnaire, and GL is maintained for the business. "/>
    <m/>
    <s v="Busse"/>
    <m/>
    <m/>
    <n v="0"/>
  </r>
  <r>
    <x v="381"/>
    <s v="Burns"/>
    <s v="MI"/>
    <s v="Nicole"/>
    <m/>
    <s v="Brisker"/>
    <s v="Paul Michael"/>
    <x v="0"/>
    <s v="Stafford"/>
    <x v="10"/>
    <s v="22554"/>
    <x v="5"/>
    <x v="411"/>
    <x v="656"/>
    <s v="Business on Premises"/>
    <s v="2017 home w/alarms. Insd runs private pilates studio in home. Usually 1 customer at a time, but website offers semi-private and group appts.  GL in place. Quoted w/TBE."/>
    <x v="4"/>
    <s v="Lower exposure. No addl hazards. GL and TBE."/>
    <m/>
    <m/>
    <s v="Patterson"/>
    <m/>
    <m/>
    <n v="0"/>
  </r>
  <r>
    <x v="690"/>
    <s v="Quaker"/>
    <s v="MA"/>
    <s v="Mary"/>
    <s v="Email"/>
    <s v="Smart"/>
    <s v="Berice &amp; Maria"/>
    <x v="2"/>
    <s v="Bridgeport"/>
    <x v="25"/>
    <m/>
    <x v="11"/>
    <x v="412"/>
    <x v="419"/>
    <s v="Condition"/>
    <s v="Risk has mix of plumbing pipes including iron per inspection. Do we allow? 1938 dwelling"/>
    <x v="3"/>
    <s v="Ok as an exception if they are waste lines and not supply lines, and if they are not older than 65 years. Likely that is not the case. Also offered to do with water damage exclusion."/>
    <m/>
    <m/>
    <s v="Patterson"/>
    <m/>
    <m/>
    <n v="0"/>
  </r>
  <r>
    <x v="406"/>
    <s v="JM Wilson"/>
    <s v="MI"/>
    <s v="Lori"/>
    <s v="Email"/>
    <s v="Ratterman"/>
    <s v="Richard &amp; Jean"/>
    <x v="0"/>
    <s v="Glen Carbon"/>
    <x v="4"/>
    <m/>
    <x v="5"/>
    <x v="412"/>
    <x v="605"/>
    <s v="Losses"/>
    <s v="1994 dwelling with 2 prior claims. 2/17 Hail $12K 4/17 Water dmg from leaky valve $24k. Both closed and repaired. Ins score H."/>
    <x v="4"/>
    <s v="This is within JMW authority but I didn't point that out - Lori is looking for support as they get used to our underwriting appetite."/>
    <m/>
    <m/>
    <s v="Patterson"/>
    <m/>
    <m/>
    <n v="0"/>
  </r>
  <r>
    <x v="691"/>
    <s v="Burns"/>
    <s v="MI"/>
    <s v="Jill"/>
    <m/>
    <s v="Fisher"/>
    <s v="Mark &amp; Sandra"/>
    <x v="0"/>
    <s v="New Castle"/>
    <x v="2"/>
    <s v="16101"/>
    <x v="2"/>
    <x v="413"/>
    <x v="657"/>
    <s v="Business on Premises"/>
    <s v="1998 year built, applicants own greenhouse/nursery business. Separated from home by a fence. Full business coverage under a GL policy. Business questionnaire provided didn’t have exposure, employee, foot traffic questions answered"/>
    <x v="0"/>
    <s v="Pended asking for completed business questionnaire answering the missing questions. Advised at the least we will most likely exclude the other structures related to business, and further eligibility/subjectivities will depend on completed quest. UPDATE 4/11/2019: Updated supp indicated business is open april-october, busiest time being may with up to 25 people per day, other months are very minimal (0-5 per day, 0-10 per month). 1-3 seasonal part-time employees. Approved terms with building exclusion for business structures, GL in place and maintained and confirmation that employees do not perform work at the home. "/>
    <m/>
    <m/>
    <s v="Busse"/>
    <m/>
    <m/>
    <n v="0"/>
  </r>
  <r>
    <x v="164"/>
    <s v="Burns NC"/>
    <s v="NC"/>
    <s v="Anella"/>
    <s v="Email"/>
    <s v="Sovia"/>
    <s v="Becky  "/>
    <x v="0"/>
    <s v="Nags Head"/>
    <x v="11"/>
    <m/>
    <x v="5"/>
    <x v="414"/>
    <x v="424"/>
    <s v="Short term rental"/>
    <s v="Primary home on top floor with bottom floor rented out for AirBnB with separate entrance. Online photo shows 2 story home. Rented 10 weeks/year. 2001 home."/>
    <x v="4"/>
    <m/>
    <s v="Reviewed w/Tim"/>
    <n v="25"/>
    <s v="Patterson"/>
    <m/>
    <m/>
    <n v="0"/>
  </r>
  <r>
    <x v="629"/>
    <s v="Burns"/>
    <s v="MI"/>
    <s v="Jill"/>
    <s v="Email"/>
    <s v="Weddle Family Trust"/>
    <m/>
    <x v="0"/>
    <s v="Arnold"/>
    <x v="1"/>
    <m/>
    <x v="5"/>
    <x v="415"/>
    <x v="658"/>
    <s v="TIV"/>
    <s v="1992 home, 2 story frame. The request is to increase TIV based on the latest inspection. 19 miles from 90% contained fire"/>
    <x v="4"/>
    <s v="Already insuring the property. Almost far enough away that we would insure a new property here"/>
    <m/>
    <m/>
    <s v="Lazovik"/>
    <m/>
    <m/>
    <n v="0"/>
  </r>
  <r>
    <x v="378"/>
    <s v="Burns"/>
    <s v="MI"/>
    <s v="Nicole"/>
    <m/>
    <s v="Spivak"/>
    <s v="Adam   "/>
    <x v="3"/>
    <s v="Sawtooth City"/>
    <x v="45"/>
    <s v="83340"/>
    <x v="4"/>
    <x v="415"/>
    <x v="659"/>
    <s v="PC"/>
    <s v="1970 w/ updates. PC10, 37 min drive time. Response time from volunteer department will be 40-45.  Agent adjusted rate to .63."/>
    <x v="3"/>
    <s v="Lower TIV, drive time confirmation in file. Need to get rate to our higher end of our agreement to consider .60-.90 for higher response times. Went with .85."/>
    <s v="Ins score = A"/>
    <m/>
    <s v="Patterson"/>
    <m/>
    <m/>
    <n v="0"/>
  </r>
  <r>
    <x v="132"/>
    <s v="Burns"/>
    <m/>
    <s v="Jill"/>
    <s v="Email"/>
    <s v="Hickey, Geneva"/>
    <m/>
    <x v="0"/>
    <s v="Oracle"/>
    <x v="7"/>
    <m/>
    <x v="6"/>
    <x v="415"/>
    <x v="660"/>
    <s v="Response time"/>
    <s v="1923 home on historical registry.  Site of Buffalo Bill Cody gold mine. Branch wants RC. Several outbuildings."/>
    <x v="0"/>
    <s v="1.  This is the site of a gold mine once run by Buffalo Bill Cody.  Are tours offered?  _x000a_2.  Guest house is rented out per website:_x000a_http://www.highjinksranch.net/accomodations.html  Is this still the case?_x000a_3.  Accommodations for passing hikers:_x000a_http://www.highjinksranch.net/az-trail.html  Is this still the case?_x000a__x000a_If we proceed, it will be subject to:_x000a__x000a_• Protection class should be “9”.  8B converts to a 9._x000a_• Excluding building that has travel trailer built into it - does not qualify for our program_x000a_• Exclude barn per agent note_x000a_• Woodburning stove questionnaire for unit in Casita building_x000a_• Since this is a significant historical site, we would not be comfortable offering replacement cost.  If we proceed, functional replacement cost could be offered._x000a_• Please provide annual premium.  We will want to add a surcharge for the extended response time._x000a_• Determine if there are any animals or farming on the premises._x000a_//7/20/17  Answers to all provided and proceeded w/terms."/>
    <s v="07/21 advised to add a 20-25% surcharge for response time. K.Burdine"/>
    <m/>
    <s v="Patterson"/>
    <m/>
    <m/>
    <n v="0"/>
  </r>
  <r>
    <x v="656"/>
    <s v="Hull Irvine"/>
    <m/>
    <s v="Alison"/>
    <s v="Call"/>
    <s v="Liese"/>
    <m/>
    <x v="108"/>
    <m/>
    <x v="1"/>
    <m/>
    <x v="4"/>
    <x v="416"/>
    <x v="0"/>
    <s v="Woodstove primary heat"/>
    <s v="2008 home used seasonally w/WBS as primary heat. Acceptable installation. Any chance we could consider?"/>
    <x v="1"/>
    <s v="IS there a furnace at all? How often and when do they go there?  (Concerns: Stoking up the stove since there is no backup. Pipes freezing.)  //Follow up info: someone using house year round. No other heat. Scottsdale has on a DP1 for $7300."/>
    <m/>
    <n v="17"/>
    <s v="Patterson"/>
    <m/>
    <m/>
    <n v="1"/>
  </r>
  <r>
    <x v="692"/>
    <s v="Burns"/>
    <s v="MI"/>
    <s v="Jill"/>
    <s v="Email"/>
    <s v="Howell"/>
    <s v="Mike"/>
    <x v="6"/>
    <m/>
    <x v="36"/>
    <m/>
    <x v="9"/>
    <x v="416"/>
    <x v="271"/>
    <s v="Losses"/>
    <s v="03/10/2018-claim closed, $228,893, fire accidental, no negligence, repairs made but decided to renovate"/>
    <x v="4"/>
    <s v="Premium appropriate for risk"/>
    <m/>
    <m/>
    <s v="Burdine"/>
    <m/>
    <m/>
    <n v="0"/>
  </r>
  <r>
    <x v="67"/>
    <s v="Hull Horsham"/>
    <m/>
    <s v="Andrea"/>
    <s v="Email"/>
    <s v="Deyab, Jima"/>
    <m/>
    <x v="5"/>
    <s v="Medford"/>
    <x v="21"/>
    <m/>
    <x v="0"/>
    <x v="416"/>
    <x v="271"/>
    <s v="Vacant 6th term"/>
    <s v="Risk is for HUB, large agent for Hull. Agents says there is interest in the home for purchase. Since large agent, I approved one more term w/15% surcharge. Advised it is the last."/>
    <x v="3"/>
    <s v="15% s/c - last renewal."/>
    <m/>
    <m/>
    <s v="Patterson"/>
    <m/>
    <m/>
    <n v="0"/>
  </r>
  <r>
    <x v="147"/>
    <s v="Hull Horsham"/>
    <s v="PA"/>
    <s v="Andrea"/>
    <s v="Email"/>
    <s v="Helfrich"/>
    <s v="Joseph Jr."/>
    <x v="1"/>
    <s v="Lawrence"/>
    <x v="21"/>
    <m/>
    <x v="5"/>
    <x v="416"/>
    <x v="271"/>
    <s v="No licensed GC"/>
    <s v="Tail end construction (only 30 days left) and insured's father is the GC w/construction supervisor and other hired subs. Current company found out about reno and cancelled."/>
    <x v="1"/>
    <s v="We have a GC situation that doesn’t really fit our criteria and a home that is nearing completion.  Both of these factors increase our exposure."/>
    <m/>
    <n v="18"/>
    <s v="Patterson"/>
    <m/>
    <m/>
    <n v="1"/>
  </r>
  <r>
    <x v="594"/>
    <s v="Burns"/>
    <s v="MI"/>
    <s v="Jill"/>
    <s v="Email"/>
    <s v="Sala, Taunja"/>
    <m/>
    <x v="6"/>
    <s v="Mokeluame Hill CA PC8"/>
    <x v="3"/>
    <m/>
    <x v="0"/>
    <x v="416"/>
    <x v="271"/>
    <s v="Open total fire loss"/>
    <s v="New COC rebuilding from total fire loss (Butte fire). Open claim $445,000. Insured wants new carrier to rebuild. In medium brush."/>
    <x v="4"/>
    <s v="Approved pending we are getting adequate premium (don’t hesitate to debit) and there are no disputes with the claim."/>
    <m/>
    <m/>
    <s v="Patterson"/>
    <m/>
    <m/>
    <n v="0"/>
  </r>
  <r>
    <x v="233"/>
    <s v="Burns"/>
    <s v="MI"/>
    <s v="Leslie"/>
    <s v="Email"/>
    <s v="Enoksen, Kendall"/>
    <m/>
    <x v="21"/>
    <s v="Danville CA PC10"/>
    <x v="3"/>
    <m/>
    <x v="0"/>
    <x v="416"/>
    <x v="329"/>
    <s v="30 min response time"/>
    <s v="2008 solid log home with no updates. Woodstove. 30 min response time. In brush. 5 miles of dirt road not maintained by county (per inspection). No alarm. Unknown if FD is paid or volunteer."/>
    <x v="1"/>
    <s v="Advised Leslie we have been able to do some lower valued homes w/longer response times, but this one has too many negatives that we can't change or price for."/>
    <m/>
    <m/>
    <s v="Patterson"/>
    <m/>
    <m/>
    <n v="1"/>
  </r>
  <r>
    <x v="387"/>
    <s v="Hull Horsham"/>
    <s v="NJ"/>
    <s v="Lisa"/>
    <s v="Email"/>
    <s v="Colabelli, Michael &amp; Theresa"/>
    <m/>
    <x v="2"/>
    <s v="Orange  "/>
    <x v="9"/>
    <m/>
    <x v="0"/>
    <x v="416"/>
    <x v="330"/>
    <s v="Builders Risk converting Coml space"/>
    <s v="1950 home, no updates listed. Online photos average. Possible flat roof. 2nd floor tenant occupied during renovation."/>
    <x v="2"/>
    <s v="• App states this is a 1950 building, no updates listed.  Could you please confirm?  Are there any updates to the 2nd floor tenant space?  Please send me a copy of the Older Home Questionnaire and any other info you obtain.  If there is no roof update, we should exclude. If it is updated, thank you for recognizing the flat roof and applying the $10K deductible._x000a_• App states “Insured hired licensed contractors”.  Is there a GC managing the renovation, or is the insured acting as GC.  If the insured is acting as GC, we wouldn’t be able to write this.  If there is a GC managing the reno, please send me a copy of the builders risk questionnaire.  _x000a_"/>
    <m/>
    <m/>
    <s v="Patterson"/>
    <m/>
    <m/>
    <n v="0"/>
  </r>
  <r>
    <x v="29"/>
    <s v="Hull Stockton"/>
    <s v="CA"/>
    <s v="Melissa"/>
    <s v="Email"/>
    <s v="Riley"/>
    <s v="Anthony"/>
    <x v="2"/>
    <s v="South Lake Tahoe"/>
    <x v="1"/>
    <m/>
    <x v="5"/>
    <x v="416"/>
    <x v="287"/>
    <s v="Losses"/>
    <s v="Short term rental; 2 prior liability claims (occurred one day apart), issue was an open outlet hole;has since been remedied"/>
    <x v="4"/>
    <s v="All necessary repairs have been made; photos submitted as confirmation"/>
    <m/>
    <m/>
    <s v="Burdine"/>
    <m/>
    <m/>
    <n v="0"/>
  </r>
  <r>
    <x v="693"/>
    <s v="SCU"/>
    <s v="CO"/>
    <s v="Allison"/>
    <s v="Email"/>
    <s v="Kenworthy, Thomas"/>
    <m/>
    <x v="21"/>
    <s v="Golden"/>
    <x v="19"/>
    <m/>
    <x v="23"/>
    <x v="416"/>
    <x v="287"/>
    <s v="Not accessible year round"/>
    <s v="2012 home w/metal roof in brush. Only accessible during summer months. Alarms."/>
    <x v="1"/>
    <s v="Getting over the lower values that I’m comfortable with when home is in a brush zone and not accessible year round."/>
    <m/>
    <m/>
    <s v="Patterson"/>
    <m/>
    <m/>
    <n v="1"/>
  </r>
  <r>
    <x v="265"/>
    <s v="Burns"/>
    <s v="MI"/>
    <s v="Ben"/>
    <s v="Email"/>
    <s v="Roberts, Gary"/>
    <m/>
    <x v="0"/>
    <s v="Colfax"/>
    <x v="1"/>
    <m/>
    <x v="4"/>
    <x v="416"/>
    <x v="287"/>
    <s v="PC10"/>
    <s v="1973 home updated. 16 minute response time from paid fire department. Accessible. Insured is retired. Woodburning stove. Brush cleared to 100' per insured. Insd has 10 acres."/>
    <x v="3"/>
    <s v="Approved because of 16 min response, dept is paid, insd is retired and could sound an alarm quickly. Need WBS quest and brush cleared to 150'."/>
    <m/>
    <m/>
    <s v="Patterson"/>
    <m/>
    <m/>
    <n v="0"/>
  </r>
  <r>
    <x v="694"/>
    <s v="Burns"/>
    <s v="MI"/>
    <s v="Matt"/>
    <s v="Email"/>
    <s v="Fuller, Laine"/>
    <m/>
    <x v="21"/>
    <s v="Arnold, CA PC5"/>
    <x v="3"/>
    <m/>
    <x v="0"/>
    <x v="416"/>
    <x v="416"/>
    <s v="Wants to remove roof exclusion"/>
    <s v="1990 (possibly 1983 per internet). Roof per insp isn't bad. Difficult to locate per insp."/>
    <x v="2"/>
    <s v="discussed w/Jeff. Prefer exclusion, but could offer ACV roof.  Adv. Agt to add house numbers. Waiting for reply on age to confirm what we are binding."/>
    <m/>
    <m/>
    <s v="Patterson"/>
    <m/>
    <m/>
    <n v="0"/>
  </r>
  <r>
    <x v="560"/>
    <s v="Bolton"/>
    <m/>
    <s v="Chris"/>
    <s v="Email"/>
    <s v="Vaughan, Kimberly"/>
    <m/>
    <x v="0"/>
    <s v="Ocean Springs MS PC8"/>
    <x v="3"/>
    <m/>
    <x v="0"/>
    <x v="416"/>
    <x v="506"/>
    <s v="Prior Liab Claim"/>
    <s v="Golf cart loss - daughter driving a friend, friend fell and was injured. Daughter no longer in home and no more golf cart."/>
    <x v="4"/>
    <s v="Exposure gone."/>
    <m/>
    <m/>
    <s v="Patterson"/>
    <m/>
    <m/>
    <n v="0"/>
  </r>
  <r>
    <x v="375"/>
    <s v="Bolton"/>
    <s v="AL"/>
    <s v="Janet"/>
    <s v="Email"/>
    <s v="Butler, Michael"/>
    <m/>
    <x v="0"/>
    <s v="Ocean Springs"/>
    <x v="16"/>
    <m/>
    <x v="0"/>
    <x v="416"/>
    <x v="661"/>
    <s v="Location"/>
    <s v="2014 home, nice online photos. 1st row home appx. 600' from ocean. Retailer quoted w/2% ded. Guidelines require wind exclusion for 1st row. Agent asking if we can keep"/>
    <x v="1"/>
    <s v="Declined 2%, need to quote w/wind and hail excl. Advised AAL rate for wind only is $9,000 for this risk. Asked her to let me know if she wants me to refer for approval."/>
    <m/>
    <m/>
    <s v="Patterson"/>
    <m/>
    <m/>
    <n v="1"/>
  </r>
  <r>
    <x v="373"/>
    <s v="RPS Covington"/>
    <s v="LA"/>
    <s v="Suzanne"/>
    <m/>
    <s v="Monson"/>
    <s v="Karen"/>
    <x v="0"/>
    <s v="New Orleans "/>
    <x v="55"/>
    <s v="70124"/>
    <x v="0"/>
    <x v="416"/>
    <x v="508"/>
    <s v="Other UW Reason"/>
    <s v="Home is &quot;over water&quot;.  1 picture provided which does not show the water.  Agent notes this is outside the levee protection system. "/>
    <x v="1"/>
    <s v="Very little info, but not sounding like a risk we would like to consider.  "/>
    <m/>
    <m/>
    <s v="Patterson"/>
    <m/>
    <m/>
    <n v="1"/>
  </r>
  <r>
    <x v="281"/>
    <s v="Burns"/>
    <s v="MI"/>
    <s v="Delta"/>
    <s v="Email"/>
    <s v="Ashcraft, Mark"/>
    <m/>
    <x v="0"/>
    <s v="Forest Ranch"/>
    <x v="1"/>
    <m/>
    <x v="6"/>
    <x v="416"/>
    <x v="608"/>
    <s v="Business on premises"/>
    <s v="1960 home updated, no alarms, 7 minute response, brush zone. The insured has his sheet metal business for heat and air type work ran out of an outbuilding. He has no employees or customers coming to the property. He has a CGL policy in place for the business._x000a__x000a_"/>
    <x v="3"/>
    <s v="Approved w/Total Business Exclusion form, subject to:_x000a_• Is there at least 20 feet between the dwelling and business? _x000a_• If there is welding, fabricating, or other increased hazardous activity, is there proper electrical service and fire protection in the structure?  (so as not to pose a hazard to the dwelling)_x000a_• If there is “hazardous activity” is there a limited amount of personal belongings stored in the other structure?_x000a_• Is the separate commercial policy for buildings, business contents, and liability maintained by you or retail agent_x000a_There is a good ins score."/>
    <m/>
    <m/>
    <s v="Patterson"/>
    <m/>
    <m/>
    <n v="0"/>
  </r>
  <r>
    <x v="409"/>
    <s v="TPI"/>
    <s v="MS"/>
    <s v="Jonathon"/>
    <m/>
    <s v="Marlin"/>
    <s v="Michael"/>
    <x v="0"/>
    <s v="Madison"/>
    <x v="16"/>
    <n v="39110"/>
    <x v="0"/>
    <x v="416"/>
    <x v="148"/>
    <s v="Losses"/>
    <s v="Two water losses in 2016 (5700) and 2017 (7556) on previous home.  Home built in 1994. Roof replaced in 2013."/>
    <x v="3"/>
    <s v="Surcharge for prior two losses. Water deductible is ok as this home has updated plumbing."/>
    <m/>
    <m/>
    <s v="Lazovik"/>
    <m/>
    <m/>
    <n v="0"/>
  </r>
  <r>
    <x v="469"/>
    <s v="ASL"/>
    <s v="VA"/>
    <s v="Charity"/>
    <s v="Email"/>
    <s v="Matz"/>
    <s v="Betty"/>
    <x v="0"/>
    <s v="Miami"/>
    <x v="32"/>
    <m/>
    <x v="2"/>
    <x v="416"/>
    <x v="546"/>
    <s v="TIV"/>
    <s v="1 claim-09/2016 roof leak repaired; W/H excluded; 1949 build with 2006 updates"/>
    <x v="3"/>
    <s v="subject to 15% ded as suggested by agt"/>
    <m/>
    <m/>
    <s v="Burdine"/>
    <m/>
    <m/>
    <n v="0"/>
  </r>
  <r>
    <x v="141"/>
    <s v="Burns"/>
    <s v="MI"/>
    <s v="Jill"/>
    <s v="Email"/>
    <s v="Hendrix"/>
    <s v="Rodney &amp; Joanne"/>
    <x v="0"/>
    <s v="Mesa"/>
    <x v="7"/>
    <m/>
    <x v="8"/>
    <x v="416"/>
    <x v="546"/>
    <s v="Prior losses"/>
    <s v="2004 home w/ 3 prior water losses and a withdrawn liab loss. 3 losses from 2015. Plumber has inspected system and approved. Liab loss was daughter who feel, claim withdrawn. Found music business on prop location."/>
    <x v="0"/>
    <s v="Ok w/$5K ded. Investigate business (insd listed on the website and insd addr). Need detail.  //  Guitar and piano lessons in home. Appears to meet In Home Business guidelines. Approved subj to meeting."/>
    <m/>
    <n v="46"/>
    <s v="Patterson"/>
    <m/>
    <m/>
    <n v="0"/>
  </r>
  <r>
    <x v="695"/>
    <s v="Hull CA"/>
    <s v="Irvine"/>
    <s v="Alex"/>
    <s v="Email"/>
    <s v="Cunat, Brian"/>
    <m/>
    <x v="0"/>
    <s v="Napa"/>
    <x v="1"/>
    <m/>
    <x v="5"/>
    <x v="416"/>
    <x v="662"/>
    <s v="Vineyard on premises"/>
    <s v="2008 modular home on 11 acres which are leased to someone who grows and harvests grapes. Lease is in place through 2021. Vineyard is separate from home, no tasting. Number of oth str which agt will exclude any business related. Total Biz Excl being added. CGL in place by lessee."/>
    <x v="3"/>
    <s v="Subj to reviewing inspection to ensure all poor condition structures are excluded. Evaluate Cov A as this is a modular. No brush s/c as map showing in brush is an outline of the vineyards which are not brush. Including wildfire mitigation form. Surcharge if possible.  Alex used log vs. frame and added s/c to reach 1% addl prem."/>
    <m/>
    <m/>
    <s v="Patterson"/>
    <m/>
    <m/>
    <n v="0"/>
  </r>
  <r>
    <x v="587"/>
    <s v="Hull CA"/>
    <s v="Irvine"/>
    <s v="Alex"/>
    <s v="Email"/>
    <s v="Crane, Trevor"/>
    <m/>
    <x v="0"/>
    <s v="Penn Valley "/>
    <x v="1"/>
    <m/>
    <x v="5"/>
    <x v="416"/>
    <x v="594"/>
    <s v="178 acres"/>
    <s v="2001 home on 178 acres. Agt advises no animals, no hunting, home close to road. PC 4/8. Insured bought property so children could experience acreage."/>
    <x v="4"/>
    <m/>
    <m/>
    <m/>
    <s v="Patterson"/>
    <m/>
    <m/>
    <n v="0"/>
  </r>
  <r>
    <x v="13"/>
    <s v="Hull Irvine"/>
    <s v="CA"/>
    <s v="Alex"/>
    <s v="Call"/>
    <s v="Savage"/>
    <m/>
    <x v="2"/>
    <m/>
    <x v="1"/>
    <m/>
    <x v="0"/>
    <x v="416"/>
    <x v="579"/>
    <s v="Business on Premises"/>
    <s v="2 rental properties on one parcel. $400K main dwelling and $150K apartment w/garage. Additionally there is a $200K barn on the premises where the insured boards horses."/>
    <x v="3"/>
    <s v="Animal exclusion, total business exclusion, building exclusion for barn, equine liab."/>
    <m/>
    <m/>
    <s v="Patterson"/>
    <m/>
    <m/>
    <n v="0"/>
  </r>
  <r>
    <x v="14"/>
    <s v="Burns"/>
    <s v="MI"/>
    <s v="Alexa"/>
    <s v="Email"/>
    <s v="McCormick"/>
    <s v="Lee"/>
    <x v="0"/>
    <m/>
    <x v="5"/>
    <m/>
    <x v="4"/>
    <x v="416"/>
    <x v="579"/>
    <s v="PC"/>
    <s v="Attached is a primary home located in TN. Home was built in 1930 of frame construction, 3200 acres(5 square miles), updates in 2011, PC10 , no alarms, 15-16 minute drive time; farming exposure (including employees) so adding TBE, no coverage since 06/07/2015 due to applicants business manager error. 15-16 min response time"/>
    <x v="2"/>
    <s v="Requested DOB "/>
    <s v="for insurance score"/>
    <m/>
    <s v="Burdine"/>
    <m/>
    <m/>
    <n v="0"/>
  </r>
  <r>
    <x v="15"/>
    <s v="Burns"/>
    <s v="CA"/>
    <s v="Jill"/>
    <s v="Email"/>
    <s v="McCormick"/>
    <s v="Lee"/>
    <x v="0"/>
    <s v="Nunnelly"/>
    <x v="5"/>
    <m/>
    <x v="4"/>
    <x v="416"/>
    <x v="579"/>
    <s v="PC"/>
    <s v="Lapse since 2015 due to business manager non renewing, 15-16 minute drive time, added TBE due to some farming exposure (3200 acres), Premium $12,957 "/>
    <x v="3"/>
    <s v="however we need to take an additional 10% to account for the increased response time and the large number of acres. Also, please be sure that there isn't any hunting, ATV trails, etc. Ran insurance score: high"/>
    <m/>
    <m/>
    <s v="Burdine"/>
    <m/>
    <m/>
    <n v="0"/>
  </r>
  <r>
    <x v="696"/>
    <s v="Burns"/>
    <s v="MI"/>
    <s v="Rachel"/>
    <m/>
    <s v="Rodriguez"/>
    <s v="Albert"/>
    <x v="0"/>
    <s v="Montgomery"/>
    <x v="23"/>
    <s v="77316"/>
    <x v="8"/>
    <x v="416"/>
    <x v="633"/>
    <s v="Business on Premises"/>
    <s v="1977 home with updates to heating and roof in 2017. Business on premises is wife runs a hair salon at the home. No other locations, no employees. About 5 customers a week. Insured seems to have reputable experience and no negative info found online. "/>
    <x v="4"/>
    <s v="Approve subject to TBE and CGL is in place and maintained for salon business"/>
    <m/>
    <m/>
    <s v="Busse"/>
    <m/>
    <m/>
    <n v="0"/>
  </r>
  <r>
    <x v="322"/>
    <s v="Burns"/>
    <s v="MI"/>
    <s v="Leslie"/>
    <s v="Email"/>
    <s v="Taylor, Rachel"/>
    <m/>
    <x v="0"/>
    <s v="Lemoore"/>
    <x v="1"/>
    <m/>
    <x v="8"/>
    <x v="416"/>
    <x v="633"/>
    <s v="Business on premise"/>
    <s v="Insured has a swim school at her home, giving lessons 4 months/year. Liab w/Scottsdale. Agent wants property terms. 2 apps attached - one shows updates in 27? One in 90?  Also says rented 52 weeks but this is HO app. Probably a typo. Agent confirmed updates are in 90. No rental."/>
    <x v="0"/>
    <s v="Approve subj to: exclude liab (as noted), add Total Business Exclusion (for any exposure related to the business we may be unaware of.)"/>
    <m/>
    <m/>
    <s v="Patterson"/>
    <m/>
    <m/>
    <n v="0"/>
  </r>
  <r>
    <x v="223"/>
    <s v="Burns"/>
    <s v="MI"/>
    <s v="Matt"/>
    <s v="Email"/>
    <s v="Forsythe LLC"/>
    <m/>
    <x v="0"/>
    <s v="Sykesville MD"/>
    <x v="3"/>
    <m/>
    <x v="0"/>
    <x v="416"/>
    <x v="12"/>
    <s v="Business on prop"/>
    <s v="1960 home updated in 2010. Insured is a contractor and stores some business in a barn structure. Also runs a non-profit wrestling business from the barn."/>
    <x v="1"/>
    <s v="Although we have a &quot;Total Business Exclusion&quot; form, I feel we would be challenged by courts should a serious injury (or worse) occur to one of the wrestlers."/>
    <m/>
    <m/>
    <s v="Patterson"/>
    <m/>
    <m/>
    <n v="1"/>
  </r>
  <r>
    <x v="337"/>
    <s v="Burns"/>
    <s v="MI"/>
    <s v="Rachel"/>
    <s v="Email"/>
    <s v="Baumann"/>
    <s v="Jennifer"/>
    <x v="16"/>
    <m/>
    <x v="8"/>
    <m/>
    <x v="6"/>
    <x v="416"/>
    <x v="663"/>
    <s v="Business on Premises"/>
    <s v="referring due to this home having a small vineyard on the property currently leased out till the end of 2018 which is used by Welch's Grape Juice Company. 1979 with full updates to heating and roof in 2017 and a partial update to the wiring in 1997. It is built of 100% frame construction. PC9. No losses._x000a__x000a__x000a__x000a_"/>
    <x v="3"/>
    <s v="approved this risk, with a total business exclusion, liability exclusion, and other structure exclusion (if any other structures are used in the business). , if they do in fact want the premises liability included on the policy, we would need additional information regarding the business. For example: foot traffic, what specific activities are taking place, are there any employees, do they plan on continuing to renew the lease after the 2018 expiration etc."/>
    <m/>
    <m/>
    <s v="Burdine"/>
    <m/>
    <m/>
    <n v="0"/>
  </r>
  <r>
    <x v="677"/>
    <s v="JM Wilson"/>
    <s v="MI"/>
    <s v="Cheryl"/>
    <s v="Email"/>
    <s v="Dyer"/>
    <s v="Charles &amp; Heather"/>
    <x v="0"/>
    <s v="Gastonia"/>
    <x v="11"/>
    <m/>
    <x v="5"/>
    <x v="417"/>
    <x v="664"/>
    <s v="Losses"/>
    <s v="2 water losses, under $5K"/>
    <x v="3"/>
    <s v="You may offer terms on this risk, subject to a $5K water damage deductible"/>
    <m/>
    <m/>
    <s v="Burdine"/>
    <m/>
    <m/>
    <n v="0"/>
  </r>
  <r>
    <x v="321"/>
    <s v="Hull Irvine"/>
    <s v="CA"/>
    <s v="Michelle"/>
    <m/>
    <s v="Nguyen"/>
    <s v="Jessica"/>
    <x v="0"/>
    <s v="Altadena "/>
    <x v="1"/>
    <s v="91001"/>
    <x v="0"/>
    <x v="417"/>
    <x v="665"/>
    <s v="Losses"/>
    <s v="1928 home, part updates in 06.  Insured has filed 4 smoke damage claims from wildfires to have her ducts cleaned.  (It appears a company has been taking advantage of her with these offers.  Very high cost to clean and they take a 40% cut to set up the cleaning.)"/>
    <x v="1"/>
    <s v="I'm sure the insured has learned her lesson.  However, that is a lot of smoke claims - 4 fires near her to cause smoke damage.  "/>
    <m/>
    <m/>
    <s v="Patterson"/>
    <m/>
    <m/>
    <n v="1"/>
  </r>
  <r>
    <x v="216"/>
    <s v="Burns"/>
    <m/>
    <s v="Leslie"/>
    <s v="Email"/>
    <s v="Wells, Robert IV"/>
    <m/>
    <x v="64"/>
    <s v="Tahoe City, CA/PC2"/>
    <x v="3"/>
    <m/>
    <x v="0"/>
    <x v="418"/>
    <x v="0"/>
    <s v="High profile"/>
    <s v="Insured is in entertainment field (actor/musician.) Couldn't find much online- so not too high profile. Wife is homemaker. This is a secondary location. "/>
    <x v="2"/>
    <s v="Ran PC, came back as a 2. Risk meter came back as 7- high (medium fuel with moderate slope.) Quite a bit of brush, etc, can be seen from aerial image. Will advise ok if brush is acceptable distance away."/>
    <m/>
    <m/>
    <s v="Trott"/>
    <m/>
    <m/>
    <n v="0"/>
  </r>
  <r>
    <x v="231"/>
    <s v="Hull CO"/>
    <s v="NJ"/>
    <s v="Lisa"/>
    <s v="Email"/>
    <s v="Pleasant View Farm"/>
    <m/>
    <x v="0"/>
    <s v="Washington NJ"/>
    <x v="3"/>
    <m/>
    <x v="0"/>
    <x v="418"/>
    <x v="0"/>
    <s v="Other Str issues"/>
    <s v="Maintenance issues w/barns of the equine operation. They are placing the equine with commercial. House is okay. Agent wants to write excluding liab, oth structures, add business excl and animal excl"/>
    <x v="4"/>
    <m/>
    <m/>
    <m/>
    <s v="Patterson"/>
    <m/>
    <m/>
    <n v="0"/>
  </r>
  <r>
    <x v="697"/>
    <s v="Burns"/>
    <s v="MI"/>
    <s v="Jill"/>
    <s v="Email"/>
    <s v="Schlee"/>
    <s v="LARE &amp; JANET "/>
    <x v="2"/>
    <s v="Milwaukee"/>
    <x v="12"/>
    <m/>
    <x v="8"/>
    <x v="418"/>
    <x v="666"/>
    <s v="Open claim"/>
    <s v="NR by Badger Mutual eff 12/12 due to open claim. DOL 09/2016-plaster fell on tenants head. Won't provide reserve info to Broker, but $13K in medical bills thus far. Tenant still in home, but plan to evict once claim closed"/>
    <x v="1"/>
    <s v="Declined due to open claim, claimant still in home. Concerned if another claim is reported in interim or during eviction"/>
    <m/>
    <m/>
    <s v="Burdine"/>
    <m/>
    <m/>
    <n v="1"/>
  </r>
  <r>
    <x v="138"/>
    <s v="Burns"/>
    <s v="MI"/>
    <s v="Alexa"/>
    <s v="Email"/>
    <s v="Zynda"/>
    <s v="Heather M"/>
    <x v="0"/>
    <s v="Kronenwetter"/>
    <x v="12"/>
    <m/>
    <x v="11"/>
    <x v="418"/>
    <x v="667"/>
    <s v="Business on premises"/>
    <s v="1995 new purchase w/large outbuilding. Will be animal rescue and K9 training. Agt quoted w/animal exclusion, total business excl, other structure excl."/>
    <x v="0"/>
    <s v="Additional questions to determine eligibility. Also found another business using this address.//7.31.17 additional information received. Exposure acceptable w/subjectivities quoted."/>
    <m/>
    <n v="34"/>
    <s v="Patterson"/>
    <m/>
    <m/>
    <n v="0"/>
  </r>
  <r>
    <x v="451"/>
    <s v="Burns"/>
    <s v="MI"/>
    <s v="David"/>
    <m/>
    <s v="Sawicki"/>
    <s v="Mark"/>
    <x v="1"/>
    <s v="Berkley"/>
    <x v="8"/>
    <s v="48072"/>
    <x v="2"/>
    <x v="419"/>
    <x v="558"/>
    <s v="Builders Risk"/>
    <s v="1943 home undergoing extensive renovation. Licensed GC. No light/fence per BR app. Online pics show average or better condition. Insured currently residing in home."/>
    <x v="3"/>
    <s v="Confirm avg or better. Need to have light/fence per guidelines."/>
    <m/>
    <m/>
    <s v="Patterson"/>
    <m/>
    <m/>
    <n v="0"/>
  </r>
  <r>
    <x v="590"/>
    <s v="ASL"/>
    <s v="VA"/>
    <s v="Charity"/>
    <s v="Email"/>
    <s v="Dana Rose, Sean and Betty Lennon"/>
    <m/>
    <x v="16"/>
    <s v="King William"/>
    <x v="10"/>
    <m/>
    <x v="4"/>
    <x v="420"/>
    <x v="668"/>
    <s v="PC 10"/>
    <s v="PC 10, no prior claims, 2017 build year, VA risk"/>
    <x v="4"/>
    <s v="Low TIV, VA risk, claim history OK"/>
    <m/>
    <m/>
    <s v="Burdine"/>
    <m/>
    <m/>
    <n v="0"/>
  </r>
  <r>
    <x v="22"/>
    <s v="Burns"/>
    <s v="MI"/>
    <s v="Jill"/>
    <s v="Email"/>
    <s v="Forke"/>
    <s v="Tyler"/>
    <x v="0"/>
    <s v="Palmyra"/>
    <x v="38"/>
    <m/>
    <x v="0"/>
    <x v="420"/>
    <x v="669"/>
    <s v="Business on Premises"/>
    <s v="Dog boarding, 15 visitors a month, GL in place, PC9, primary, built in 2017, no losses, Ins Score F, located in NE"/>
    <x v="3"/>
    <s v="due to the type of exposure, this risk does not qualify for the incidental in-home business program. Terms may be offered subject to the maintenance of a GL policy, and the total business and animal exclusion being applied."/>
    <m/>
    <m/>
    <s v="Burdine"/>
    <m/>
    <m/>
    <n v="0"/>
  </r>
  <r>
    <x v="698"/>
    <s v="Hull CA"/>
    <s v="Stockton"/>
    <s v="Lisa"/>
    <s v="Email"/>
    <s v="O'Connor, Lee"/>
    <m/>
    <x v="0"/>
    <s v="Foresthill "/>
    <x v="1"/>
    <m/>
    <x v="9"/>
    <x v="421"/>
    <x v="670"/>
    <s v="2 Pit Bull Service Dogs"/>
    <s v="1985 home in brush. Insd has doctor's approval for 2 service dogs for anxiety and depression. Doc is from Army Clinic. "/>
    <x v="3"/>
    <s v="Discussed w/Jeff. Since there is possibility of &quot;fraud&quot; with the service dog certification, we want to review each one on its own merit. This one seems legit. Asked Karen for new unique form."/>
    <m/>
    <m/>
    <s v="Patterson"/>
    <m/>
    <m/>
    <n v="0"/>
  </r>
  <r>
    <x v="37"/>
    <s v="Burns"/>
    <s v="MI"/>
    <s v="Jill"/>
    <s v="Email"/>
    <s v="Hill"/>
    <s v="Mary"/>
    <x v="0"/>
    <s v="Lenmore"/>
    <x v="1"/>
    <m/>
    <x v="8"/>
    <x v="421"/>
    <x v="671"/>
    <s v="Business on Premises"/>
    <s v="Swimming school-per applicant they enter through the home, about 20 students a month, own business for 4 years, GL in place"/>
    <x v="3"/>
    <s v="Reviewed address online, and is advertised as  a large swimming school w/ instructors (FB review from within the past week regarding school). Insured purchased house in 01/2018 per app, so requesting clarification on her school (if in fact different than google search): https://www.hammondswimschool.com/about-us // Approved subject to x-liab (too many concerns, and $25K water ded as quoted)"/>
    <m/>
    <m/>
    <s v="Burdine"/>
    <m/>
    <m/>
    <n v="0"/>
  </r>
  <r>
    <x v="699"/>
    <s v="Hull Irvine"/>
    <s v="CA"/>
    <s v="Kelly"/>
    <m/>
    <s v="Jenkins"/>
    <s v="Philip C &amp; Marguerite"/>
    <x v="42"/>
    <s v="Vista"/>
    <x v="1"/>
    <s v="92081"/>
    <x v="8"/>
    <x v="422"/>
    <x v="594"/>
    <s v="Losses"/>
    <s v="1996 dwelling with 2 prior pipe break losses. 5/17 $9706; 5/18 $34,194. Agt offering to quote with water damage exclusion and no mold. All online sources say this is a condo."/>
    <x v="1"/>
    <s v="We do not have a condo program set up for this partner. "/>
    <s v="If it turns out this is actually a home, not a condo, all info looks okay. Can ok w/water damage exclusion, no mold, no backup."/>
    <m/>
    <s v="Patterson"/>
    <m/>
    <m/>
    <n v="1"/>
  </r>
  <r>
    <x v="83"/>
    <s v="Burns"/>
    <s v="MI"/>
    <s v="Alexa"/>
    <s v="Email"/>
    <s v="Craig, John"/>
    <m/>
    <x v="7"/>
    <m/>
    <x v="1"/>
    <m/>
    <x v="0"/>
    <x v="423"/>
    <x v="672"/>
    <s v="RC - Not Gutted"/>
    <m/>
    <x v="2"/>
    <s v="Danielle reviewing possible backend procedure."/>
    <m/>
    <m/>
    <s v="Patterson"/>
    <m/>
    <m/>
    <n v="0"/>
  </r>
  <r>
    <x v="700"/>
    <s v="JM Wilson"/>
    <s v="MI"/>
    <s v="Cheryl"/>
    <s v="Email"/>
    <s v="Wolter"/>
    <s v="Adam&amp; Rebecca"/>
    <x v="0"/>
    <s v="Loveland"/>
    <x v="40"/>
    <m/>
    <x v="0"/>
    <x v="423"/>
    <x v="631"/>
    <s v="Losses"/>
    <s v="dog bit claim, 2 water claims (CAT losses-Water backup. Insured has installed new sump pumps to keep water out)"/>
    <x v="3"/>
    <s v="Approved with animal liab exclusion"/>
    <m/>
    <m/>
    <s v="Burdine"/>
    <m/>
    <m/>
    <n v="0"/>
  </r>
  <r>
    <x v="356"/>
    <s v="SCU"/>
    <s v="CO"/>
    <s v="Allison"/>
    <s v="Email"/>
    <s v="Crites, Jeremy"/>
    <m/>
    <x v="0"/>
    <s v="Avondale CO  PC9"/>
    <x v="3"/>
    <m/>
    <x v="0"/>
    <x v="424"/>
    <x v="673"/>
    <s v="6 horses"/>
    <s v="2011 home. No other structure covg. PC2. FD 1 mile away. On a main highway. Insured is a vet, not at this address. Turns out horses go between insured and brothers house and horses are owned by different people. No breed/board/ridden by various family."/>
    <x v="4"/>
    <s v=" No concern w/hay, barns, fences due to no other structure coverage. All structures insured under family farm policy. Approved w/animal exclusion."/>
    <m/>
    <m/>
    <s v="Patterson"/>
    <m/>
    <m/>
    <n v="0"/>
  </r>
  <r>
    <x v="523"/>
    <s v="Hull CO"/>
    <s v="Charlotte"/>
    <s v="Shana"/>
    <s v="Email"/>
    <s v="O'Brien, Thomas"/>
    <m/>
    <x v="56"/>
    <s v="Cincinnati OH"/>
    <x v="3"/>
    <m/>
    <x v="0"/>
    <x v="425"/>
    <x v="0"/>
    <s v="Ohio Condo?"/>
    <s v="Agent is not authorized to write in Ohio currently."/>
    <x v="1"/>
    <s v="Advised to have Tim contact us if they want us to consider adding Ohio and I could check."/>
    <m/>
    <m/>
    <s v="Patterson"/>
    <m/>
    <m/>
    <n v="1"/>
  </r>
  <r>
    <x v="7"/>
    <s v="Burns"/>
    <s v="MI"/>
    <s v="Lindsay"/>
    <m/>
    <s v="Brown"/>
    <s v="Scott"/>
    <x v="1"/>
    <s v="Wetmore"/>
    <x v="19"/>
    <s v="81253"/>
    <x v="4"/>
    <x v="425"/>
    <x v="286"/>
    <s v="Builders Risk"/>
    <s v="New ground up construction. Pc10 with 30 minute response time. Prior total fire loss at another location due to Spring Fire in 7/2018. Insured is GC subbing out all the work."/>
    <x v="1"/>
    <s v="Lengthy response time and insured is GC. No subro if something goes wrong."/>
    <s v="Ins score K"/>
    <m/>
    <s v="Patterson"/>
    <m/>
    <m/>
    <n v="1"/>
  </r>
  <r>
    <x v="613"/>
    <s v="Burns"/>
    <s v="MI"/>
    <s v="Lindsay"/>
    <m/>
    <s v="Winkler"/>
    <s v="Kristen"/>
    <x v="1"/>
    <s v="Vennor City"/>
    <x v="9"/>
    <s v="08406"/>
    <x v="11"/>
    <x v="425"/>
    <x v="445"/>
    <s v="Occupancy/Use"/>
    <s v="1900 duplex. Insured owns and lives in one half. Other half is owned/occupied by someone else. Updates all in 2013. Will add new HVAC and roof with this reno. One contractor is adding a 2nd story to both sides of the duplex. Other owner has builders risk ins.  Prior losses 11/15 tree fell on neighbors roof $3938.  7/14 Theft. $2297."/>
    <x v="4"/>
    <s v="Prior losses 11/15 tree fell on neighbors roof $3938. Over 3 years. No follow up. 7/14 Theft. $2297. Over 4 years. Low amt. No follow up. BR app shows 100% ITV."/>
    <m/>
    <m/>
    <s v="Patterson"/>
    <m/>
    <m/>
    <n v="0"/>
  </r>
  <r>
    <x v="163"/>
    <s v="Burns"/>
    <s v="MI"/>
    <s v="Jill"/>
    <s v="Email"/>
    <s v="Helltown Holdings LLC"/>
    <s v="BWD106512"/>
    <x v="2"/>
    <s v="Chico"/>
    <x v="1"/>
    <m/>
    <x v="4"/>
    <x v="425"/>
    <x v="471"/>
    <s v="Response time"/>
    <s v="This is a renewal that was never referred at NB (branch exceeded authority). PC10, 25 min response time, rental in brush."/>
    <x v="1"/>
    <s v="Requested nonrenewal due to brush and 25 min response time."/>
    <m/>
    <n v="25"/>
    <s v="Patterson"/>
    <m/>
    <m/>
    <n v="1"/>
  </r>
  <r>
    <x v="578"/>
    <s v="JM Wilson"/>
    <s v="MI"/>
    <s v="John"/>
    <s v="Email"/>
    <s v="Koste"/>
    <s v="Brandon"/>
    <x v="0"/>
    <s v="Pinconning"/>
    <x v="8"/>
    <m/>
    <x v="0"/>
    <x v="425"/>
    <x v="674"/>
    <s v="Business on Premises"/>
    <s v="adult foster care business"/>
    <x v="1"/>
    <s v="Overnight facility, amount of beds indicate likely employees"/>
    <m/>
    <m/>
    <s v="Burdine"/>
    <m/>
    <m/>
    <n v="1"/>
  </r>
  <r>
    <x v="364"/>
    <s v="Burns"/>
    <s v="MI"/>
    <s v="Delta"/>
    <s v="Email"/>
    <s v="Akenson, Brian"/>
    <m/>
    <x v="0"/>
    <s v="Santee"/>
    <x v="1"/>
    <m/>
    <x v="8"/>
    <x v="425"/>
    <x v="675"/>
    <s v="Business on property"/>
    <s v="2954 home updated. Insd is elec contr. Has business in separate building. No foot traffic. 1 employee. Has GL. Agnt proposing w/TBE."/>
    <x v="3"/>
    <s v="subj to TBE and exclude any commercially used buildings."/>
    <m/>
    <m/>
    <s v="Patterson"/>
    <m/>
    <m/>
    <n v="0"/>
  </r>
  <r>
    <x v="614"/>
    <s v="Hull Irvine"/>
    <s v="CA"/>
    <s v="Melissa"/>
    <s v="Email"/>
    <s v="Campbell Fidler"/>
    <s v="Anne"/>
    <x v="0"/>
    <s v="Los Angeles"/>
    <x v="1"/>
    <m/>
    <x v="0"/>
    <x v="425"/>
    <x v="676"/>
    <s v="High Profile"/>
    <s v="In brush, insureds on tv shows, primary home, flat roof replaced 9 years ago"/>
    <x v="4"/>
    <s v="google search ok, not too high profile, rating appropriate"/>
    <m/>
    <m/>
    <s v="Burdine"/>
    <m/>
    <m/>
    <n v="0"/>
  </r>
  <r>
    <x v="433"/>
    <s v="Burns"/>
    <s v="MI"/>
    <s v="Alexa"/>
    <s v="Email"/>
    <s v="Melvin"/>
    <s v="Adrian"/>
    <x v="5"/>
    <s v="Batavia"/>
    <x v="4"/>
    <m/>
    <x v="9"/>
    <x v="426"/>
    <x v="677"/>
    <s v="Business on Premises"/>
    <s v="Vacant home that is for sale built 1979, but insured has business on premises. Makes bagpiper canter reeds, no foot traffic, in area attached to home. Small tools total value $7,000. Covered by a separate GL. Roof updated 2007 full update. "/>
    <x v="3"/>
    <s v="Apply TBE, rest of the risk seems to be in line with no other concerns. Vacant that will be check on due to insured having business still at property. "/>
    <m/>
    <m/>
    <s v="Busse"/>
    <m/>
    <m/>
    <n v="0"/>
  </r>
  <r>
    <x v="420"/>
    <s v="XS Brokers"/>
    <s v="MA"/>
    <s v="Barbara"/>
    <m/>
    <s v="McCarrick"/>
    <s v="Jack &amp; Laura"/>
    <x v="4"/>
    <s v="Mystic"/>
    <x v="25"/>
    <s v="06355"/>
    <x v="5"/>
    <x v="426"/>
    <x v="651"/>
    <s v="Age of Home"/>
    <s v="1844 Historic home, no tours confirmed by agent. Mentioned no updates were given, however agent provided photos and systems in basement appear to be &quot;newer&quot; and the interior of the homes seems as if it was redone at some point. "/>
    <x v="3"/>
    <s v="Given that that home looks as if it was updated, we feel more comfortable. Home is in good condition. Approved subject to OHQ, interior inspection and EHP. Barbara asked for coverage on refrigerated foods, advised there is a section on &quot;refrigerated property&quot; in the Equip Breakdown endmt. "/>
    <m/>
    <m/>
    <s v="Busse"/>
    <m/>
    <m/>
    <n v="0"/>
  </r>
  <r>
    <x v="32"/>
    <s v="RPS Covington"/>
    <s v="LA"/>
    <s v="Hillary"/>
    <s v="Email"/>
    <s v="Sanders"/>
    <s v="Kathy"/>
    <x v="0"/>
    <s v="Baldwin City"/>
    <x v="0"/>
    <m/>
    <x v="2"/>
    <x v="427"/>
    <x v="678"/>
    <s v="Age of Home"/>
    <s v="1900 build year, gutted/rebuilt"/>
    <x v="4"/>
    <s v="Home has been gutted/rebuilt"/>
    <m/>
    <m/>
    <s v="Burdine"/>
    <m/>
    <m/>
    <n v="0"/>
  </r>
  <r>
    <x v="659"/>
    <s v="Burns"/>
    <s v="MI"/>
    <s v="Jeffrey"/>
    <s v="Email"/>
    <s v="Wertz"/>
    <s v="Max &amp; Suzanne"/>
    <x v="0"/>
    <m/>
    <x v="7"/>
    <m/>
    <x v="8"/>
    <x v="427"/>
    <x v="679"/>
    <s v="Losses"/>
    <s v="had 5 losses - Water/Slab leak - pipe replaced - $55,345 01/07/16 - Physical damage - repairs completed but later claim subrogated from this claim - $5,135 02/09/2016- Water - water heater broke and replaced - $20,988 07/30/2016 - Accidental discharge - a/c unit leaked and replaced - $8,513 01/01/2017 - Weather - subrogated from 01/07/16 claim - repaired incorrectly before - $30,266"/>
    <x v="3"/>
    <s v="subject to the $5,000 AOP, 10% W/H, $25,000 Water damage deductibles."/>
    <m/>
    <m/>
    <s v="Burdine"/>
    <m/>
    <m/>
    <n v="0"/>
  </r>
  <r>
    <x v="263"/>
    <s v="SCU"/>
    <s v="CO"/>
    <s v="Ashley"/>
    <s v="Email"/>
    <s v="Davey, Joshua"/>
    <m/>
    <x v="2"/>
    <s v="Castle Rock"/>
    <x v="19"/>
    <m/>
    <x v="8"/>
    <x v="428"/>
    <x v="680"/>
    <s v="Open Claim"/>
    <s v="2003 rental. Insd had large hail loss 7/1/16. Roof, windows and siding being repaired in next 90 days weather permitting."/>
    <x v="1"/>
    <s v="With existing damage that could be confused with a new claim, we can't take this on."/>
    <m/>
    <m/>
    <s v="Patterson"/>
    <m/>
    <m/>
    <n v="1"/>
  </r>
  <r>
    <x v="697"/>
    <s v="Burns"/>
    <s v="MI"/>
    <s v="Jill"/>
    <s v="Email"/>
    <s v="Bates"/>
    <s v="Ray"/>
    <x v="0"/>
    <s v="Lake Wales"/>
    <x v="32"/>
    <m/>
    <x v="4"/>
    <x v="429"/>
    <x v="681"/>
    <s v="Response Time"/>
    <s v="Built in 1998, frame, primary, no losses, located in Polk County, FL; PC 10 16 min response time; VMGA Premium $4,798"/>
    <x v="4"/>
    <s v="Photos Ok, PCQ Ok, premium acceptable"/>
    <m/>
    <m/>
    <s v="Burdine"/>
    <m/>
    <m/>
    <n v="0"/>
  </r>
  <r>
    <x v="701"/>
    <s v="Hull Irvine"/>
    <m/>
    <s v="Alex"/>
    <s v="Call"/>
    <s v="Grenwell &amp; Bogert"/>
    <m/>
    <x v="25"/>
    <s v="Downeyville"/>
    <x v="1"/>
    <m/>
    <x v="0"/>
    <x v="430"/>
    <x v="0"/>
    <s v="No prior coverage"/>
    <s v="Home that has never been insured. Insd didn't see need to insure secondary but neighbor told them about their agent and the insured decided to look into getting some Cov A."/>
    <x v="3"/>
    <s v="10% surcharge, get photos to make sure risk is okay, order rush inspection, consider higher deductible. Otherwise, okay."/>
    <m/>
    <m/>
    <s v="Patterson"/>
    <m/>
    <m/>
    <n v="0"/>
  </r>
  <r>
    <x v="533"/>
    <s v="SCU"/>
    <s v="CO"/>
    <s v="Allison"/>
    <s v="Email/Call"/>
    <s v="Fagg"/>
    <s v="Jeffrey &amp; Nancy"/>
    <x v="16"/>
    <s v="Heber City"/>
    <x v="22"/>
    <m/>
    <x v="4"/>
    <x v="430"/>
    <x v="682"/>
    <s v="Response Time"/>
    <s v="2007 home winterized and not used in winter. 44 min possible response time and not accessible in winter. Good agent. Quoted .36 with 5% surcharge."/>
    <x v="1"/>
    <s v="Sent to Bethany with proposal of .80 rate $5,657."/>
    <s v="Jeff reviewed, declined base on response time."/>
    <m/>
    <s v="Patterson"/>
    <m/>
    <m/>
    <n v="1"/>
  </r>
  <r>
    <x v="423"/>
    <s v="SCU"/>
    <s v="CO"/>
    <s v="Allison"/>
    <s v="Email"/>
    <s v="Cynthia M. Schneider Living Trust, The"/>
    <s v="Cynthia M. Schneider Living Trust, The"/>
    <x v="4"/>
    <s v="Idaho Springs"/>
    <x v="19"/>
    <m/>
    <x v="6"/>
    <x v="431"/>
    <x v="683"/>
    <s v="PC"/>
    <s v="Secondary (no winter access), 1999 build, non-renewal by Lexington for inaccessibility"/>
    <x v="3"/>
    <s v="approved, with double VMGA premium"/>
    <m/>
    <m/>
    <s v="Burdine"/>
    <m/>
    <m/>
    <n v="0"/>
  </r>
  <r>
    <x v="373"/>
    <s v="Burns"/>
    <s v="MI"/>
    <s v="Jill"/>
    <m/>
    <s v="Schultz"/>
    <s v="Allison"/>
    <x v="0"/>
    <s v="Tijeras"/>
    <x v="15"/>
    <s v="87059"/>
    <x v="6"/>
    <x v="432"/>
    <x v="594"/>
    <s v="Business on Premises"/>
    <s v="1982 home w/flat roof. 3 reported hail claims 2017, 2018 $0 paid. 6/19 $5K reserve open loss. 10 dogs on premises. &quot;Light breeding&quot; "/>
    <x v="1"/>
    <s v="There have been 3 reported claims and the insured has a tar &amp; gravel flat roof.  It seems that is going to be an issue.  Between the number of losses, open loss, PC9, dog breeding, # of dogs, and score, we don't have a good comfort level with this risk."/>
    <s v="Ins score S"/>
    <m/>
    <s v="Patterson"/>
    <m/>
    <m/>
    <n v="1"/>
  </r>
  <r>
    <x v="78"/>
    <s v="Bolton"/>
    <s v="AL"/>
    <s v="Janet"/>
    <s v="Email"/>
    <s v="147 Liberty Rd Perry"/>
    <m/>
    <x v="0"/>
    <s v="Picayune"/>
    <x v="16"/>
    <m/>
    <x v="14"/>
    <x v="433"/>
    <x v="433"/>
    <s v="&gt;25 acres"/>
    <s v="2004 home on 37 acres. No business or farming. "/>
    <x v="3"/>
    <s v="Verify home is accessible to emergency vehicles."/>
    <m/>
    <m/>
    <s v="Patterson"/>
    <m/>
    <m/>
    <n v="0"/>
  </r>
  <r>
    <x v="375"/>
    <s v="Hull Irvine"/>
    <s v="CA"/>
    <s v="Alison"/>
    <s v="Email"/>
    <s v="Shapiro, Ronnie &amp; Chanes, Norman"/>
    <m/>
    <x v="21"/>
    <s v="Vanice"/>
    <x v="1"/>
    <m/>
    <x v="11"/>
    <x v="433"/>
    <x v="684"/>
    <s v="High profile"/>
    <s v="1920 home for 2 insureds who used to be movie producers but now are investors. IMDB info goes back &gt; 10 years. Nothing concerning."/>
    <x v="4"/>
    <m/>
    <m/>
    <m/>
    <s v="Patterson"/>
    <m/>
    <m/>
    <n v="0"/>
  </r>
  <r>
    <x v="513"/>
    <s v="Burns"/>
    <s v="MI"/>
    <s v="Matt"/>
    <s v="Email"/>
    <s v="Lepore, Chris"/>
    <m/>
    <x v="0"/>
    <s v="Mattituck NY PC3"/>
    <x v="3"/>
    <m/>
    <x v="0"/>
    <x v="433"/>
    <x v="685"/>
    <s v="Coml Exposure"/>
    <s v="1982 frame home w/updates. &lt;1 mi from waters. Rents out cottage on property. Leases portion of acreage to coml nursery."/>
    <x v="4"/>
    <s v="Approved subject to confirmation the rental cottage is a dwelling, not for commercial use."/>
    <m/>
    <m/>
    <s v="Patterson"/>
    <m/>
    <m/>
    <n v="0"/>
  </r>
  <r>
    <x v="432"/>
    <s v="Hull Stockton"/>
    <s v="CA"/>
    <s v="Lisa"/>
    <m/>
    <s v="Stockbridge"/>
    <s v="Victor"/>
    <x v="0"/>
    <s v="Magalia"/>
    <x v="1"/>
    <s v="95954"/>
    <x v="5"/>
    <x v="433"/>
    <x v="686"/>
    <s v="Losses"/>
    <s v="2005 home in brush. Prior home in Paradise was a total loss from the Camp Fire. Letter in file from prior carrier."/>
    <x v="3"/>
    <s v="New location.    "/>
    <m/>
    <m/>
    <s v="Patterson"/>
    <m/>
    <m/>
    <n v="0"/>
  </r>
  <r>
    <x v="580"/>
    <s v="Burns"/>
    <s v="MI"/>
    <s v="Nicole"/>
    <m/>
    <s v="Mueller"/>
    <s v="Gordon"/>
    <x v="7"/>
    <s v="Bennington"/>
    <x v="38"/>
    <s v="68007"/>
    <x v="8"/>
    <x v="433"/>
    <x v="687"/>
    <s v="Occupancy/Use"/>
    <s v="1920 home w/full updates. Used as B&amp;B with offering for groups of 25 or more for parties, events, tours. 3 rooms. 1 night rental."/>
    <x v="3"/>
    <s v="Does not qualify for the B&amp;B program because of the parties/events/tours. Agreed to terms w/STR rates, Total Business Excl, Coml policy in place. // 5/28/19 MP Partner said the website was changed, the insd didn't do all those events. I checked website and it was the same. Sent copy/paste to agt. Advised terms stand if they are interested."/>
    <s v="Burns has no restriction on historic with tours like other partners.  This would be covered under their GL."/>
    <m/>
    <s v="Patterson"/>
    <m/>
    <m/>
    <n v="0"/>
  </r>
  <r>
    <x v="655"/>
    <s v="Burns"/>
    <s v="MI"/>
    <s v="Rachel"/>
    <m/>
    <s v="Kuhnke"/>
    <s v="Mark &amp; Marguerit"/>
    <x v="0"/>
    <s v="Fort Atkinson"/>
    <x v="33"/>
    <s v="53538"/>
    <x v="5"/>
    <x v="434"/>
    <x v="688"/>
    <s v="Business on Premises"/>
    <s v="Year built 1911 with complete updates in 2014-2015 for systems and roof. Business on premises is insured makes chocolate in basement of home. No foot traffic or employees, all chocolates are sold online/phone orders and mailed out. Business has been around since 1940."/>
    <x v="3"/>
    <s v="Approved subject to a standard inspection with EHP, which is in their guidelines. Also subject to TBE."/>
    <m/>
    <m/>
    <s v="Busse"/>
    <m/>
    <m/>
    <n v="0"/>
  </r>
  <r>
    <x v="460"/>
    <s v="Burns NC"/>
    <s v="NC"/>
    <s v="Lauren"/>
    <s v="Email"/>
    <s v="Genovese"/>
    <s v="Michael &amp; Barbara"/>
    <x v="0"/>
    <s v="Corolla"/>
    <x v="11"/>
    <m/>
    <x v="0"/>
    <x v="434"/>
    <x v="689"/>
    <s v="NC X-Wind"/>
    <s v="1992 roof; agt advised insured will update after closing"/>
    <x v="3"/>
    <s v="Roof update"/>
    <m/>
    <m/>
    <s v="Burdine"/>
    <m/>
    <m/>
    <n v="0"/>
  </r>
  <r>
    <x v="551"/>
    <s v="Burns"/>
    <s v="MI"/>
    <s v="Rachel"/>
    <s v="Email"/>
    <s v="Eyre"/>
    <s v="Richard"/>
    <x v="0"/>
    <s v="Woodstock"/>
    <x v="4"/>
    <m/>
    <x v="6"/>
    <x v="434"/>
    <x v="690"/>
    <s v="Business on Premises"/>
    <s v="Attached is a primary home in IL. Built in 1910, full updates to wiring and plumbing in 2001, heating in 2003 and roof in 2004. There is a professionally installed woodstove for secondary heat, . Frame,PC9, no losses. Business on the premises is a tree nursery. Some limited foot traffic. Separate coverage for business with commercial policy. TBE applied. Insurance score is an A.  There is a lapse since 11/2/2016. Insured says she did not receive any bills or cancel notices from Hartford. She just found out it had been non-renewed."/>
    <x v="3"/>
    <s v="Commercial policy will handle the business in addition to our TBE. Require an underlying GL policy to mitigate our exposure to the customers and exclude all outbuildings associated with the business."/>
    <m/>
    <m/>
    <s v="Lazovik"/>
    <m/>
    <m/>
    <n v="0"/>
  </r>
  <r>
    <x v="73"/>
    <s v="Hull Irvine"/>
    <m/>
    <s v="Alison"/>
    <s v="Email"/>
    <s v="Burke, Kenneth"/>
    <m/>
    <x v="0"/>
    <s v="Truckee"/>
    <x v="1"/>
    <m/>
    <x v="0"/>
    <x v="435"/>
    <x v="579"/>
    <s v="Open Claim"/>
    <s v="1994 home with $119,000 water damage claim. Repairs almost completed. Insured has moved into this as his primary home. In brush."/>
    <x v="4"/>
    <m/>
    <m/>
    <m/>
    <s v="Patterson"/>
    <m/>
    <m/>
    <n v="0"/>
  </r>
  <r>
    <x v="191"/>
    <s v="JM Wilson"/>
    <s v="MI"/>
    <s v="Lori"/>
    <s v="Email"/>
    <s v="Long"/>
    <s v="George &amp; Mary Jo"/>
    <x v="109"/>
    <s v="Loveland"/>
    <x v="40"/>
    <m/>
    <x v="8"/>
    <x v="435"/>
    <x v="691"/>
    <s v="Lapse"/>
    <s v="2001 dwelling. Insured moved to TX and in error, covg lapsed 3/15/17 - forgot to pay bill. App requests $300K contents. No info on alarms. "/>
    <x v="3"/>
    <s v="Signed no loss.  Only $50K contents approved. Call if more needed with explanation and alarm info."/>
    <m/>
    <m/>
    <s v="Patterson"/>
    <m/>
    <m/>
    <n v="0"/>
  </r>
  <r>
    <x v="399"/>
    <s v="Burns"/>
    <s v="MI"/>
    <s v="Jill"/>
    <s v="Email"/>
    <s v="Gonzalez"/>
    <s v="Roberto"/>
    <x v="0"/>
    <s v="St Peters"/>
    <x v="36"/>
    <m/>
    <x v="0"/>
    <x v="436"/>
    <x v="647"/>
    <s v="4 losses"/>
    <s v="1984 frame home w/4 losses since 2014 when written (not referred) and now one new loss to roof. $25K water damage applied."/>
    <x v="2"/>
    <s v="Need addl loss info. Looks like a trend. Any m mitigation. How was roof replaced in 2016 and now there is a new loss? Can't find current loss in system."/>
    <m/>
    <n v="28"/>
    <s v="Patterson"/>
    <m/>
    <m/>
    <n v="0"/>
  </r>
  <r>
    <x v="157"/>
    <s v="Burns"/>
    <s v="MI"/>
    <s v="Jill"/>
    <s v="Email"/>
    <s v="Wagner"/>
    <s v="Michelle &amp; Augustus"/>
    <x v="1"/>
    <s v="White Bear Lake"/>
    <x v="31"/>
    <m/>
    <x v="9"/>
    <x v="437"/>
    <x v="533"/>
    <s v="Open fire loss"/>
    <s v="1996 home w/ $352K open fire loss, and 2 2015 losses - pipe burst $14K, hail $16K. Fire dept report says cause is undetermined and there would be further investigation. "/>
    <x v="1"/>
    <s v="Researched online.  Ran insurance score - extremely adverse info - called Jill to discuss"/>
    <s v="650-690 scores. 3 bankruptcies, late mortgage payment, repo."/>
    <n v="51"/>
    <s v="Patterson"/>
    <m/>
    <m/>
    <n v="1"/>
  </r>
  <r>
    <x v="612"/>
    <s v="Hull Stockton"/>
    <s v="CA"/>
    <s v="Kirk"/>
    <m/>
    <s v="Rogers"/>
    <s v="Robert"/>
    <x v="3"/>
    <s v="Tahoma"/>
    <x v="1"/>
    <s v="96142"/>
    <x v="9"/>
    <x v="438"/>
    <x v="692"/>
    <s v="Losses"/>
    <s v="1961 home w/part updates. $10K snow/ice loss. $150K water damage from broken hot water line to dishwasher. Home filled w/steam - mold/mildew. Claim closed, repairs made. Out of brush but within 2500'."/>
    <x v="3"/>
    <s v="$25,000 water dmg ded, no mold covg, s/c for losses, rate in brush. Didn't verify mold remed since we won't be covering mold."/>
    <m/>
    <m/>
    <s v="Patterson"/>
    <m/>
    <m/>
    <n v="0"/>
  </r>
  <r>
    <x v="401"/>
    <s v="Burns"/>
    <s v="MI"/>
    <s v="Lindsay"/>
    <s v="Email"/>
    <s v="Rogers"/>
    <s v="Robert"/>
    <x v="2"/>
    <m/>
    <x v="1"/>
    <m/>
    <x v="9"/>
    <x v="438"/>
    <x v="693"/>
    <s v="Losses"/>
    <s v="Seasonal/ short term rental home in CA, not in brush, built in 1972 of frame construction with full updates in 2017. PC3, no CS Alarms, 2 losses water loss in 2016, and roof damage from snow"/>
    <x v="3"/>
    <s v="subject to the $25K water damage deductible and short term rental questionnaire."/>
    <m/>
    <m/>
    <s v="Burdine"/>
    <m/>
    <m/>
    <n v="0"/>
  </r>
  <r>
    <x v="49"/>
    <s v="Burns"/>
    <s v="MI"/>
    <s v="Lindsay"/>
    <s v="Email"/>
    <s v="Stolzman"/>
    <s v="Dana"/>
    <x v="2"/>
    <s v="Redway"/>
    <x v="1"/>
    <m/>
    <x v="6"/>
    <x v="439"/>
    <x v="694"/>
    <s v="PC"/>
    <s v="Rental home built in 1976. 60 acres parcel of land in CA brush. There are no losses, no c/s alarms with a roof updated in 1998"/>
    <x v="1"/>
    <s v="Declining any PC 9 and PC10s until we adjust the CA rates due to the market environment."/>
    <m/>
    <m/>
    <s v="Lazovik"/>
    <m/>
    <m/>
    <n v="1"/>
  </r>
  <r>
    <x v="702"/>
    <s v="AmWINS"/>
    <s v="IL"/>
    <s v="Tasha"/>
    <m/>
    <s v="Lewis"/>
    <s v="Clint &amp; Bethany"/>
    <x v="0"/>
    <s v="Golden Valley"/>
    <x v="31"/>
    <s v="55422"/>
    <x v="2"/>
    <x v="439"/>
    <x v="545"/>
    <s v="High Profile"/>
    <s v="1964 home w/little info on app. Insd is minor league hockey player. No adverse info per Google search by agent and me. Agt placing monoline liability policy."/>
    <x v="3"/>
    <s v="No adverse info. No liab exposure.  Approved subj to acceptable completed app and OHQ. Need to clarify occupancy - app states both primary and tenant."/>
    <m/>
    <m/>
    <s v="Patterson"/>
    <m/>
    <m/>
    <n v="0"/>
  </r>
  <r>
    <x v="120"/>
    <s v="Hull Irvine"/>
    <m/>
    <s v="Bobbi"/>
    <s v="Call"/>
    <s v="Chackel, David"/>
    <m/>
    <x v="1"/>
    <s v="Santa Ynez"/>
    <x v="1"/>
    <m/>
    <x v="0"/>
    <x v="439"/>
    <x v="545"/>
    <s v="Mid term builders risk"/>
    <s v="1 year Zurich policy expires in July for this builders risk which is for the retail agent's father. Will rewrite an annual HO3 policy."/>
    <x v="0"/>
    <s v="Bobbi checking on why it is taking more than a year - any concerns? 6/20 - ground up construction taking longer. No issues. 3 months to wrap up. 2 horses will move in-personal use.  15% s/c"/>
    <m/>
    <m/>
    <s v="Patterson"/>
    <m/>
    <m/>
    <n v="0"/>
  </r>
  <r>
    <x v="499"/>
    <s v="Burns"/>
    <s v="MI"/>
    <s v="Leslie"/>
    <s v="Email"/>
    <s v="Baird"/>
    <s v="Robert"/>
    <x v="0"/>
    <s v="Foresthill"/>
    <x v="1"/>
    <m/>
    <x v="9"/>
    <x v="439"/>
    <x v="695"/>
    <s v="Other UW Reason"/>
    <s v="Frame, cedar sided primary home. Home built in 1970, full wiring and plumbing updates in 200, heating updated in 2008 and roofing updated in 2018. Two propane stoves and 1 back up wood burning stove."/>
    <x v="1"/>
    <s v="Value of the home (and TIV) is high for non-central heating in a brush zone. We are ok with alternative heat sources on low value seasonal cabin type risks"/>
    <m/>
    <m/>
    <s v="Lazovik"/>
    <m/>
    <m/>
    <n v="1"/>
  </r>
  <r>
    <x v="703"/>
    <s v="Hull Irvine"/>
    <s v="CA"/>
    <s v="Alex"/>
    <s v="Call/Email"/>
    <s v="LRVC, LLC"/>
    <m/>
    <x v="0"/>
    <s v="Valley Center"/>
    <x v="1"/>
    <m/>
    <x v="0"/>
    <x v="439"/>
    <x v="579"/>
    <s v="Business on Premises"/>
    <s v="1960 dwelling with updates. Agent bound as primary homeowners. Risk is full time tenant caretaker.  There is also a business on premises that is a storefront and warehouse for organic fruit and nut operation."/>
    <x v="1"/>
    <s v="Policy was issued in September. Needs to be cancelled asap."/>
    <m/>
    <m/>
    <s v="Patterson"/>
    <m/>
    <m/>
    <n v="1"/>
  </r>
  <r>
    <x v="132"/>
    <s v="ASL"/>
    <s v="VA"/>
    <s v="Charity"/>
    <s v="Email"/>
    <s v="Tubbahji, Samar"/>
    <m/>
    <x v="0"/>
    <s v="Clifton"/>
    <x v="10"/>
    <m/>
    <x v="2"/>
    <x v="439"/>
    <x v="578"/>
    <s v="Prior losses"/>
    <s v="1989 dwelling w/ 3 prior losses. 4/17 water leak pipes $13K; 5/16 hail damage $14K; 11/15 frozen pipes $34k.  Agent checking on what has been done to mitigate. Wants terms pending."/>
    <x v="3"/>
    <s v="Pending info on what has been done to mitigate. If nothing, advised we probably won't offer terms."/>
    <m/>
    <m/>
    <s v="Patterson"/>
    <m/>
    <m/>
    <n v="0"/>
  </r>
  <r>
    <x v="557"/>
    <s v="XS Brokers"/>
    <s v="MA"/>
    <s v="Barbara"/>
    <m/>
    <s v="Erhart"/>
    <s v="David"/>
    <x v="0"/>
    <s v="Hadlyme"/>
    <x v="25"/>
    <s v="06439"/>
    <x v="0"/>
    <x v="439"/>
    <x v="696"/>
    <s v="Other UW Reason"/>
    <s v="1997 home, referred due to flat roof with &quot;vegetation&quot; on part of the roof. Addition to home was built, and part with flat roof has installed grass type layer on part of roof, other part has stone brick layer. Per agent, waterproof barrier is placed under to prevent leaking. Roof will be a &quot;hang out&quot; spot. App says PC 8b, but says 8+ miles to fire station on app. "/>
    <x v="2"/>
    <s v="Sent to agent to ask for PC questionnaire. App says misleading info regarding PC, and looking online the fire station distance could actually be different. After review of questionnaire, will apply $10,000 water damage ded due to roof along with a supp heating quest. "/>
    <m/>
    <m/>
    <s v="Busse"/>
    <m/>
    <m/>
    <n v="0"/>
  </r>
  <r>
    <x v="611"/>
    <s v="Burns"/>
    <s v="MI"/>
    <s v="Alexa"/>
    <m/>
    <s v="Rogers"/>
    <s v="John"/>
    <x v="0"/>
    <s v="Ocala"/>
    <x v="32"/>
    <s v="34481"/>
    <x v="4"/>
    <x v="439"/>
    <x v="697"/>
    <s v="Business on Premises"/>
    <s v="2016 home. PC10-5.6 mi/7min drive time. Letter from FD provided. Wedding/party venue on premises separated by a fence. Insd also has 18 cows for &quot;personal use&quot;. Liab excluded. GL in place. "/>
    <x v="3"/>
    <s v="Confirmed separation w/Arial view. Require TBE, GL, No liab. Asked to confirm no biz use oth str are in Cov B. Asked to confirm no business use of home (mention of bridal dressing area - make sure this is part of the business str.)"/>
    <m/>
    <m/>
    <s v="Patterson"/>
    <m/>
    <m/>
    <n v="0"/>
  </r>
  <r>
    <x v="700"/>
    <s v="Hull Irvine"/>
    <s v="CA"/>
    <s v="Kelly"/>
    <s v="Email"/>
    <s v="Madrid"/>
    <s v="Yenny"/>
    <x v="0"/>
    <s v="Whittier"/>
    <x v="1"/>
    <m/>
    <x v="0"/>
    <x v="439"/>
    <x v="698"/>
    <s v="Condition"/>
    <s v="Home on National Historical Registry, no tours"/>
    <x v="3"/>
    <s v="offer terms on this risk, but please confirm that there aren’t any tours of the property. If there are, we will not be able to include liability. Also, please confirm whether or not there are specific requirements regarding rebuild in the event of a claim. If so, please be sure to include a surcharge to account for the possible increase in claim costs."/>
    <m/>
    <m/>
    <s v="Burdine"/>
    <m/>
    <m/>
    <n v="0"/>
  </r>
  <r>
    <x v="375"/>
    <s v="Burns"/>
    <s v="MI"/>
    <s v="Leslie"/>
    <s v="Email"/>
    <s v="Graham, Dale"/>
    <m/>
    <x v="0"/>
    <s v="Kissimmee "/>
    <x v="32"/>
    <m/>
    <x v="0"/>
    <x v="440"/>
    <x v="699"/>
    <s v="Business in home"/>
    <s v="1984 home roof updated in 2005. Insd is private investigator w/2 employees. Agt proposing Total Business Excl."/>
    <x v="3"/>
    <s v="Subj to GL, Total Business Excl(as noted). Suggested if employees are field investigators, we may want to look at In Home Business program due to limitations of the Total Business Excl."/>
    <m/>
    <m/>
    <s v="Patterson"/>
    <m/>
    <m/>
    <n v="0"/>
  </r>
  <r>
    <x v="344"/>
    <s v="Burns"/>
    <s v="MI"/>
    <s v="Jill"/>
    <m/>
    <s v="Meridale Avenue Condominium"/>
    <m/>
    <x v="0"/>
    <s v="Orlando "/>
    <x v="32"/>
    <s v="32803"/>
    <x v="0"/>
    <x v="441"/>
    <x v="431"/>
    <s v="Occupancy/Use"/>
    <s v="Two individuals bought a duplex and created a Condo Assoc to insure the structure.  Dwelling coverage only. Retailer asking for this on an HO3 app. Jill asking if this should be commercial or personal"/>
    <x v="3"/>
    <s v="Confirmed with Jill that this would typically be a commercial policy.  Two owner/occupants own the structure together in the name of a Condo Assoc.  This is a commercial situation &quot;by the rules&quot; but really a 2 family owner occupied home based on occupancy.  Approved as an exception on HO3 provided it stays structure only - no liability - no rental at all. HO6 for each individual. Don't list Assoc as AI - Assoc needs its own liab covg."/>
    <m/>
    <m/>
    <s v="Patterson"/>
    <m/>
    <m/>
    <n v="0"/>
  </r>
  <r>
    <x v="704"/>
    <s v="Burns"/>
    <s v="MI"/>
    <s v="Alexa"/>
    <s v="Email"/>
    <s v="Hardy"/>
    <s v="Delmas"/>
    <x v="0"/>
    <m/>
    <x v="0"/>
    <m/>
    <x v="5"/>
    <x v="442"/>
    <x v="700"/>
    <s v="Business on Premises"/>
    <s v="built in 1981 of frame construction, fully roof update in 2005, PC4 , no alarms, Insurance Score B, 7 cows-raised to eventually sell for meet, barn on premises, but hay kept in metal building, agt would like Cov A., B, and E"/>
    <x v="3"/>
    <s v="Based on the number of cows on the property, and the use of the cows, we do need to stick within the guidelines. As such, you have approval to offer terms, but we will have to exclude liability coverage and the barn."/>
    <m/>
    <m/>
    <s v="Burdine"/>
    <m/>
    <m/>
    <n v="0"/>
  </r>
  <r>
    <x v="337"/>
    <s v="Burns"/>
    <s v="MI"/>
    <s v="Jeff"/>
    <s v="Email"/>
    <s v="Troy"/>
    <s v="Amanda"/>
    <x v="0"/>
    <s v="St. Louis"/>
    <x v="36"/>
    <m/>
    <x v="9"/>
    <x v="443"/>
    <x v="701"/>
    <s v="Pier &amp; Beam foundation"/>
    <s v="Attached is a home in Saint Louis, frame construction on a hillside, on piers.  PC3 with no alarms and no losses."/>
    <x v="3"/>
    <s v="Advised of concerns with pier foundation. Discussed that issues are often ongoing and therefore excluded. Home is in great condition, approved with strong recommendation to have structural engineer check to ensure integrity of structure"/>
    <m/>
    <m/>
    <s v="Burdine"/>
    <m/>
    <m/>
    <n v="0"/>
  </r>
  <r>
    <x v="298"/>
    <s v="Hull CA"/>
    <s v="Irvine"/>
    <s v="Bobbi"/>
    <s v="Email"/>
    <s v="Mendoza, Raymond"/>
    <m/>
    <x v="2"/>
    <s v="Los Angeles"/>
    <x v="1"/>
    <m/>
    <x v="9"/>
    <x v="444"/>
    <x v="432"/>
    <s v="Lapse"/>
    <s v="1904 home w/updates. Looks okay online. Insurance score is decent. Insd paid off mortgage and didn't realize he still needed insurance. Was advised he did."/>
    <x v="3"/>
    <s v="Add 10% s/c to the 31-90 day lapse rate."/>
    <m/>
    <m/>
    <s v="Patterson"/>
    <m/>
    <m/>
    <n v="0"/>
  </r>
  <r>
    <x v="705"/>
    <s v="Hull Irvine"/>
    <s v="CA"/>
    <s v="Lucas"/>
    <m/>
    <s v="Ortiz"/>
    <s v="John"/>
    <x v="0"/>
    <s v="Anaheim"/>
    <x v="1"/>
    <s v="92805"/>
    <x v="8"/>
    <x v="444"/>
    <x v="702"/>
    <s v="Prior Lapse/NRN"/>
    <s v="1914 home that has had updates to plumbing and heating in 2018, roof replaced in 2003, and electrical was &quot;checked&quot; in 2018. There are 4 owners, all siblings. Had let coverage lapse and communication is &quot;poor&quot; between them on obtaining coverage. Applicant, John Ortiz, is living in full time, performing basic remodel work like painting, floors, cleaning, etc. "/>
    <x v="3"/>
    <s v="Approved since owner occupied and updates to systems. Subject to confirmation electrical status since it was only &quot;checked&quot;. Liability exclusion due to number of owners, all must be listed. Older home questionnaire and 40% debit due to lapse. Advised if anything more than minor cosmetic updates are being done this needs to be builders risk with debit to still apply. "/>
    <m/>
    <m/>
    <s v="Busse"/>
    <m/>
    <m/>
    <n v="0"/>
  </r>
  <r>
    <x v="643"/>
    <s v="Hull Stockton"/>
    <s v="CA"/>
    <s v="Lisa"/>
    <s v="Email"/>
    <s v="Wilson"/>
    <s v="Lesie &amp; Beverly"/>
    <x v="3"/>
    <s v="Olympic Valley"/>
    <x v="1"/>
    <m/>
    <x v="8"/>
    <x v="444"/>
    <x v="703"/>
    <s v="Prior Lapse/NRN"/>
    <s v="1959 build with updates, secondary, in brush, insured failed to renew with current carrier"/>
    <x v="3"/>
    <s v=", this approval is subject to a 20% surcharge and understanding that an inspection will be ordered asap to ensure the property is still in acceptable condition."/>
    <m/>
    <m/>
    <s v="Burdine"/>
    <m/>
    <m/>
    <n v="0"/>
  </r>
  <r>
    <x v="347"/>
    <s v="AmWINS"/>
    <s v="IL"/>
    <s v="Tasha"/>
    <m/>
    <s v="Cobb"/>
    <s v="Jerry"/>
    <x v="4"/>
    <s v="Bolivia"/>
    <x v="11"/>
    <s v="28422"/>
    <x v="2"/>
    <x v="444"/>
    <x v="704"/>
    <s v="Other UW Reason"/>
    <s v="2016 year built in NC near the coast. It is in a VE zone, crawlspace and deck under elevated. Risk is 1.2 miles from coast, so technically qualifies for 2% wind/hail deductible. However, it sits right on a lake/river that comes off the ocean. "/>
    <x v="3"/>
    <s v="Approved subject to excluding wind due to proximity of surrounding waters. Flood is excluded, agent would also confirm what is stored in crawlspace and deck area. "/>
    <m/>
    <m/>
    <s v="Busse"/>
    <m/>
    <m/>
    <n v="0"/>
  </r>
  <r>
    <x v="303"/>
    <s v="Burns"/>
    <s v="MI"/>
    <s v="Ben"/>
    <s v="Email"/>
    <s v="Rosenbaum, David"/>
    <m/>
    <x v="0"/>
    <s v="Los Angeles"/>
    <x v="1"/>
    <m/>
    <x v="11"/>
    <x v="444"/>
    <x v="704"/>
    <s v="Open dog bite claim"/>
    <s v="1948 home w/updates in 2011. No brush. Insds pit bull mix bit mailman. $200K reserve. Insd is keeping the dog."/>
    <x v="3"/>
    <s v="Approved subj to 5% deductible and remind insd of exclusions in limited animal liab. $10K max. Advised agt can also have Exclusion form, but can't have both."/>
    <m/>
    <m/>
    <s v="Patterson"/>
    <m/>
    <m/>
    <n v="0"/>
  </r>
  <r>
    <x v="556"/>
    <s v="Burns"/>
    <s v="MI"/>
    <s v="Leslie"/>
    <s v="Email"/>
    <s v="Margil, Richard"/>
    <m/>
    <x v="0"/>
    <s v="Sharon"/>
    <x v="21"/>
    <m/>
    <x v="0"/>
    <x v="445"/>
    <x v="705"/>
    <s v="Business in home"/>
    <s v="1983 home. Per submission:   &quot;Insured is a chiropractor and sees a few clients a month at his home. Has another office.&quot;  Per internet info, the insured's address is listed as the address of their 2nd location. Has office hours and a separate phone number."/>
    <x v="2"/>
    <s v="Send business on prop questions to Leslie and gave her the website and info I found. I can consider, but it is concerning to have a med practice business even with the biz exclusion. Also, people coming to a chiro may have mobility issues. (more likely to slip &amp; fall?)"/>
    <m/>
    <m/>
    <s v="Patterson"/>
    <m/>
    <m/>
    <n v="0"/>
  </r>
  <r>
    <x v="706"/>
    <s v="Burns"/>
    <s v="MI"/>
    <s v="Alexa"/>
    <s v="Email"/>
    <s v="Schoening, Robert"/>
    <m/>
    <x v="0"/>
    <s v="McLelland"/>
    <x v="34"/>
    <m/>
    <x v="6"/>
    <x v="445"/>
    <x v="706"/>
    <s v="Firearm Instruction Class on premises"/>
    <s v="Insured is a firearms instructor. Holds 24 classes per year w/10 students. 2-4 of these classes may be on his property held outside. Shooting takes place on property. Has GL in place. Agt quoting w/liability exclusion."/>
    <x v="3"/>
    <s v="• Excluding liability (as you quoted)_x000a_• Apply the Total Business Exclusion form.  I'm trying to envision how the 2-4 classes would always be held &quot;outside&quot;.  What about bad weather?  Need for restroom?  With the Total Business Exclusion, even if ended up that students were in the house, we have no exposure.  Remember that limitations are there that could result in denial of claims involving the home, contents, other structures, etc._x000a_• Completed app including answers to all underwriting questions_x000a_ALEXA SENT A FOLLOW UP EMAIL TO DISREGARD THIS REQUEST.  I HAD ALREADY REPLIED SO I LEFT THE NOTES."/>
    <s v="Considered if any phys dmg exposure exists from guns on premises. I suppose a student could mis-fire and shoot one of the buildings. Not the type of ammo that will cause &quot;explosions&quot;. If any students end up in the house and a loss occurs, TBE will exclude coverage."/>
    <m/>
    <s v="Patterson"/>
    <m/>
    <m/>
    <n v="0"/>
  </r>
  <r>
    <x v="405"/>
    <s v="Hull Irvine"/>
    <s v="CA"/>
    <s v="Michelle"/>
    <m/>
    <s v="Brenn"/>
    <s v="Eric &amp; Celeste, Brenn Family Trust"/>
    <x v="0"/>
    <s v="Aliso Viejo"/>
    <x v="1"/>
    <s v="92656"/>
    <x v="4"/>
    <x v="446"/>
    <x v="707"/>
    <s v="Losses"/>
    <s v="1995 home not in brush. WRS 26. Liab loss 6/23/16. 17 y/o son involved in the plaintiff taking a substance that later led to his death. $601,000 settlement. Quoted without liability. Son is now 19, in college, and does not live with the parents. He lives with grandparents. Possible business on premises"/>
    <x v="2"/>
    <s v="No liability. Son no longer in home. Ran score. Need info on business. UPDATE 3/13/2019: agent confirmed no business on premises. As such, approved subject to liability exclusion. MB"/>
    <s v="633. 1.20 surcharge category. Probably good considering there was a major lawsuit. "/>
    <m/>
    <s v="Patterson"/>
    <m/>
    <m/>
    <n v="0"/>
  </r>
  <r>
    <x v="642"/>
    <s v="Burns"/>
    <s v="MI"/>
    <s v="Nicole"/>
    <m/>
    <s v="Yore"/>
    <s v="Kimberly"/>
    <x v="0"/>
    <s v="Riverton"/>
    <x v="22"/>
    <s v="84096"/>
    <x v="2"/>
    <x v="447"/>
    <x v="708"/>
    <s v="Business on Premises"/>
    <s v="2001 home on same property as insured's business.  Sawtooth Rifles LLC.  Insd assembles and gunsmiths riles and guns. Small parts manufacturing.  Detached building 15' from the home.  TBE and there will be a GL."/>
    <x v="1"/>
    <s v="Reviewed website. This is a class of business that represents an exposure we are not comfortable writing. Possible exorbitant defense costs."/>
    <m/>
    <m/>
    <s v="Patterson"/>
    <m/>
    <m/>
    <n v="1"/>
  </r>
  <r>
    <x v="569"/>
    <s v="Burns"/>
    <s v="MI"/>
    <s v="Leslie"/>
    <s v="Email"/>
    <s v="Garcia, Maria"/>
    <m/>
    <x v="0"/>
    <s v="Mendota CA PC10"/>
    <x v="3"/>
    <m/>
    <x v="0"/>
    <x v="448"/>
    <x v="709"/>
    <s v="Business on Prop"/>
    <s v="1996 home with trucking business on property. Eff date 5/2/15. Total business excl in draft status waiting for Jeff to okay."/>
    <x v="2"/>
    <s v="Asked business on prop questions. Can do with Total Biz Excl if they can wait for it to be approved; PC 10 per PPC I ran."/>
    <m/>
    <m/>
    <s v="Patterson"/>
    <m/>
    <m/>
    <n v="0"/>
  </r>
  <r>
    <x v="114"/>
    <s v="Hull Horsham"/>
    <s v="PA"/>
    <s v="MacKenzie"/>
    <s v="Email"/>
    <s v="Frank, David "/>
    <m/>
    <x v="0"/>
    <s v="Sea Isle City"/>
    <x v="9"/>
    <m/>
    <x v="0"/>
    <x v="449"/>
    <x v="0"/>
    <s v="Rate relief for renewal"/>
    <s v="Home has been quoted with 1% named storm but changed to 2%. Agent is moving business. Can we honor the 1%?"/>
    <x v="1"/>
    <s v="Send AAL questionnaire.  If they return, plug into AAL rater.  Need to confirm with Jeff to make any exception to the 2% required ded.//Got info, ran thru rater/CQ. Current rate=$2,120 w/2% premium. We need $1460 for the non-wind and $8806 for the wind rate. Not going to make the exception."/>
    <m/>
    <m/>
    <s v="Patterson"/>
    <m/>
    <m/>
    <n v="1"/>
  </r>
  <r>
    <x v="586"/>
    <s v="Burns"/>
    <s v="MI"/>
    <s v="Alexa"/>
    <m/>
    <s v="Balliet"/>
    <s v="Glen"/>
    <x v="0"/>
    <s v="Mary D"/>
    <x v="2"/>
    <m/>
    <x v="3"/>
    <x v="450"/>
    <x v="710"/>
    <s v="Age of Home"/>
    <s v="Frame home built in 1900. Full roof in 2016 and partial for wiring (1990), heating (2006) and plumbing (1996). Two areas to the home. Second half is not accessible to the living area, including separate driveway. Post office is operated out of the other side."/>
    <x v="3"/>
    <s v="Must attach TBE for post office on other half. Feel comfortable there is good separation from the USPS on the other side. Also can only offer FRC/ACV settlement due to partial updates and age of home."/>
    <m/>
    <m/>
    <s v="Lazovik"/>
    <m/>
    <m/>
    <n v="0"/>
  </r>
  <r>
    <x v="674"/>
    <s v="AmWINS"/>
    <s v="IL"/>
    <s v="Tasha"/>
    <m/>
    <s v="Betta"/>
    <s v="Giancarlo"/>
    <x v="0"/>
    <s v="Montreal"/>
    <x v="36"/>
    <s v="65591"/>
    <x v="4"/>
    <x v="450"/>
    <x v="711"/>
    <s v="PC"/>
    <s v="2008 log home, in a PC10. ISO comes back with this as PC 10W. Response times are less than 10 minutes. The home is on 40 acres, and there is a cave on the property that has been fully explored. No losses. Being non-renewed due to exposure (log and unprotected). "/>
    <x v="3"/>
    <s v="Will approve as long as it is confirmed there are no tours or any other related ventures with the cave. If confirmed, approval to release subject to an acceptable unprotected questionnaire and active central station fire alarms. "/>
    <m/>
    <m/>
    <s v="Busse"/>
    <m/>
    <m/>
    <n v="0"/>
  </r>
  <r>
    <x v="164"/>
    <s v="Burns"/>
    <s v="CA"/>
    <s v="Matt"/>
    <s v="Email"/>
    <s v="Hightower"/>
    <s v="Jason B &amp; Julie A Sanchez"/>
    <x v="0"/>
    <s v="Lake Arrowhead"/>
    <x v="1"/>
    <m/>
    <x v="6"/>
    <x v="451"/>
    <x v="0"/>
    <s v="High profile"/>
    <s v="1991 Dwelling with updated plumbing in 2010. Low brush. PC4 per ISO PPC. App says no prior coverage - can't tell if this is a new purchase."/>
    <x v="3"/>
    <s v="Liab okay, insured not too famous. Why no prior coverage - may need to apply 5% s/c for lapse, 10% for long lapse."/>
    <m/>
    <n v="22"/>
    <s v="Patterson"/>
    <m/>
    <m/>
    <n v="0"/>
  </r>
  <r>
    <x v="34"/>
    <s v="Hull Horsham"/>
    <s v="PA"/>
    <s v="Tamika"/>
    <s v="Email"/>
    <s v="3757 Condominium Association"/>
    <m/>
    <x v="3"/>
    <s v="Ocean City"/>
    <x v="9"/>
    <m/>
    <x v="9"/>
    <x v="451"/>
    <x v="329"/>
    <s v="Losses"/>
    <s v="1990 2 unit dwelling updated recently. Prior freezing loss 1/18 $65K. Repairs done, plumbing replaced. Heat was maintained. Gas meter malfunction. Carrier is subrogating against gas company. Seasonal, insured checks on dwelling regularly. Quoted w/$10K water ded."/>
    <x v="3"/>
    <s v="Cause indicates no negligence or insulation issue. Owner checks regularly. Unit 2 is rented."/>
    <m/>
    <m/>
    <s v="Patterson"/>
    <m/>
    <m/>
    <n v="0"/>
  </r>
  <r>
    <x v="116"/>
    <s v="SCU"/>
    <s v="CO"/>
    <s v="Allison"/>
    <s v="Email"/>
    <s v="Graham, Richard"/>
    <m/>
    <x v="21"/>
    <s v="Colorado Springs CO  PC10"/>
    <x v="19"/>
    <m/>
    <x v="4"/>
    <x v="451"/>
    <x v="188"/>
    <s v="Not accessible yr round"/>
    <s v="2003 log home seasonal. Road is dirt and not maintained in the winter. 20 min response time otherwise. Photos look good. FireLine is High 4 with light/med fuels and no access problems. Woodstove in pics looks close and no wall protection but can't see clearly."/>
    <x v="3"/>
    <s v="Approved subject to acceptable WBS quest."/>
    <m/>
    <m/>
    <s v="Patterson"/>
    <m/>
    <m/>
    <n v="0"/>
  </r>
  <r>
    <x v="252"/>
    <s v="SCU"/>
    <s v="CO"/>
    <s v="Allison"/>
    <s v="Email"/>
    <s v="Graham, Richard"/>
    <m/>
    <x v="21"/>
    <s v="Colorado Springs CO  PC10"/>
    <x v="19"/>
    <m/>
    <x v="4"/>
    <x v="451"/>
    <x v="188"/>
    <s v="Not accessible yr round"/>
    <s v="2003 log home seasonal. Road is dirt and not maintained in the winter. 20 min response time otherwise. Photos look good. FireLine is High 4 with light/med fuels and no access problems. Woodstove in pics looks close and no wall protection but can't see clearly."/>
    <x v="3"/>
    <s v="Approved subject to acceptable WBS quest."/>
    <m/>
    <m/>
    <s v="Patterson"/>
    <m/>
    <m/>
    <n v="0"/>
  </r>
  <r>
    <x v="269"/>
    <s v="Burns"/>
    <s v="MI"/>
    <s v="Leslie"/>
    <s v="Email"/>
    <s v="Kern, Robert"/>
    <m/>
    <x v="0"/>
    <s v="El Dorado Hills"/>
    <x v="1"/>
    <m/>
    <x v="6"/>
    <x v="451"/>
    <x v="188"/>
    <s v="Response Time"/>
    <s v="1982 dome home. Updated.  16 minute response time on 10 acres. Insd is retired firefighter. Paid FD. Brush zone."/>
    <x v="1"/>
    <s v="We are not comfortable with dome homes, and concern with going over 15 minutes in a brush zone w/heavy trees."/>
    <m/>
    <m/>
    <s v="Patterson"/>
    <m/>
    <m/>
    <n v="1"/>
  </r>
  <r>
    <x v="574"/>
    <s v="Burns"/>
    <s v="MI"/>
    <s v="Lindsay"/>
    <m/>
    <s v="Ditlow"/>
    <s v="Joseph"/>
    <x v="0"/>
    <s v="Colorado Springs"/>
    <x v="19"/>
    <s v="80906"/>
    <x v="9"/>
    <x v="451"/>
    <x v="712"/>
    <s v="Losses"/>
    <s v="1993 home w/2010 updates. Roof yet to be updated. 4 prior wind/hail losses 8/18 $1743 hail; 6/18 $20K hail; 1/17 $7K wind; 7/17 $24K hail. Quoted w/roof excl and existing dmg excl until reroofed, then 3% wind/hail"/>
    <x v="1"/>
    <s v="Concern with location - multiple wind/hail losses.  3% will only partly mitigate future losses."/>
    <s v="Reviewed w/JB and we agree. Looks like a bad location. B score. "/>
    <m/>
    <s v="Patterson"/>
    <m/>
    <m/>
    <n v="1"/>
  </r>
  <r>
    <x v="707"/>
    <s v="Hull Irvine"/>
    <s v="CA"/>
    <s v="Gina"/>
    <m/>
    <s v="Kao"/>
    <s v="Wei Wei"/>
    <x v="0"/>
    <s v="Aliso Viejo"/>
    <x v="1"/>
    <s v="92656"/>
    <x v="9"/>
    <x v="451"/>
    <x v="713"/>
    <s v="Losses"/>
    <s v="1992 home, being non renewed by Lexington due to not being on dual street (their guidelines have changed to no longer insure these risks). Two previous water loss in 2016 due to a slab leak. "/>
    <x v="3"/>
    <s v="Not much of a concern with the no dual street issue. Response time is still low and protection class is still good. Water loss, will want to apply $10,000 water deductible. However, if aggressive repairs were not made to the slab leak, water damage should be excluded. Also, a fully completed app, current one is old and missing some questions. "/>
    <m/>
    <m/>
    <s v="Busse"/>
    <m/>
    <m/>
    <n v="0"/>
  </r>
  <r>
    <x v="708"/>
    <s v="Burns"/>
    <s v="MI"/>
    <s v="Ben"/>
    <s v="Email"/>
    <s v="Gordon, Serena"/>
    <m/>
    <x v="36"/>
    <s v="Nancy"/>
    <x v="27"/>
    <m/>
    <x v="4"/>
    <x v="452"/>
    <x v="714"/>
    <s v="response time/open claim"/>
    <s v="Home was built in 2000 of frame construction.  Primary PC 10 NOT in brush and one fire loss that has currently paid out over $300k. Fire was determined accidental/undetermined. Home is being rebuilt at this time."/>
    <x v="1"/>
    <s v="Open claim (Fire loss), $300K payout to dat-undetermined loss cause, 30 min respose time "/>
    <m/>
    <m/>
    <s v="Burdine"/>
    <m/>
    <m/>
    <n v="1"/>
  </r>
  <r>
    <x v="40"/>
    <s v="Appalachian"/>
    <s v="TN"/>
    <s v="Steven"/>
    <s v="Email"/>
    <s v="Bhakta"/>
    <s v="Narendra"/>
    <x v="0"/>
    <s v="Havana"/>
    <x v="32"/>
    <m/>
    <x v="3"/>
    <x v="453"/>
    <x v="715"/>
    <s v="Prior Lapse/NRN"/>
    <s v="Lapse since  04/2018 (was out of county and didn't realize policy cancelled). No loss letter was obtained."/>
    <x v="3"/>
    <s v="5% surcharge, as long as home now monitored during absences"/>
    <m/>
    <m/>
    <s v="Burdine"/>
    <m/>
    <m/>
    <n v="0"/>
  </r>
  <r>
    <x v="468"/>
    <s v="Hull CO"/>
    <s v="Charlotte"/>
    <s v="Karen"/>
    <s v="Email"/>
    <s v="Stokes Family Partnership"/>
    <m/>
    <x v="0"/>
    <s v="Orangeburg"/>
    <x v="20"/>
    <m/>
    <x v="9"/>
    <x v="454"/>
    <x v="372"/>
    <s v="SC Restriction"/>
    <s v="Agency received bind request the exact minute we emailed our moratorium. Can they bind?"/>
    <x v="1"/>
    <s v="1. Pointed out National Weather service already had restriction in place. 2. Since our memo went out, we are considering the restriction in place. 3. Retailers should be aware of possiblity of restrictions, not put things thru under the wire."/>
    <m/>
    <m/>
    <s v="Patterson"/>
    <m/>
    <m/>
    <n v="1"/>
  </r>
  <r>
    <x v="302"/>
    <s v="Hull CA"/>
    <s v="Irvine"/>
    <s v="Alex"/>
    <s v="Email"/>
    <s v="Lorenzo, Shard"/>
    <m/>
    <x v="21"/>
    <s v="Nevada City"/>
    <x v="1"/>
    <m/>
    <x v="14"/>
    <x v="454"/>
    <x v="716"/>
    <s v="Prior loss"/>
    <s v="1981 home w/prior $400,000 loss in Feb 2012.  Fire to new purchase caused by Water Tank. Home just now completed, renewal up 12/30. No fire marshall report yet - agt has requested."/>
    <x v="3"/>
    <s v="Per our conversation earlier today, please reply back when you get the Fire Marshall Report.  We’re open to these large losses with a charge for the loss as well as an additional surcharge.  Additionally, we’d like a little more information on why it took 4 ½ years to put the home back together?  Was a licensed GC and licensed contractors used?  Did the insured do the work?  What are his credentials?"/>
    <s v="Insured is a licensed contractor - that's why it took so long.  In business for 25 years. Class A genl engineering license and Class B genl builder license. Insisted on fire marshall report. (There was an arson investigation but determined to be an accident with HWT, per agent)  12/22:  Received detailed investigation report from State Farm. Accidental loss due to HWT issue. Approved w/10% schg due to size of loss."/>
    <m/>
    <m/>
    <m/>
    <m/>
    <n v="0"/>
  </r>
  <r>
    <x v="223"/>
    <s v="Hull CO"/>
    <s v="Horsham"/>
    <s v="Tamika"/>
    <s v="Email"/>
    <s v="Johnson, Ivie"/>
    <m/>
    <x v="110"/>
    <s v="Williamsburg VA PC4"/>
    <x v="3"/>
    <m/>
    <x v="0"/>
    <x v="455"/>
    <x v="717"/>
    <s v="B&amp;B 3 rooms"/>
    <s v="1959 home updated over 20 years ago. B&amp;B -app mentions a GL. Agent proposing ACV roof and EHP rider. Home looks nice. Info on trip advisor. No formal advertising - $5500/yr receipts."/>
    <x v="0"/>
    <s v="need to see rates. They have a B&amp;B program."/>
    <s v="Rates look good."/>
    <m/>
    <s v="Patterson"/>
    <m/>
    <m/>
    <n v="0"/>
  </r>
  <r>
    <x v="709"/>
    <s v="Hull Irvine"/>
    <s v="CA"/>
    <s v="Melissa"/>
    <m/>
    <s v="Lampson"/>
    <s v="Mary"/>
    <x v="0"/>
    <s v="Red Bluff"/>
    <x v="1"/>
    <s v="96080"/>
    <x v="13"/>
    <x v="455"/>
    <x v="718"/>
    <s v="Losses"/>
    <s v="1988 year built. Two fire losses, one for $518,785 and one for $25,022. No details of either of the losses were provided"/>
    <x v="1"/>
    <s v="Declined due to fire losses. Advised for future reference, that we would need to see C&amp;O or fire marshal report for large fire losses in order to consider."/>
    <m/>
    <m/>
    <s v="Busse"/>
    <m/>
    <m/>
    <n v="1"/>
  </r>
  <r>
    <x v="61"/>
    <s v="Hull Irvine"/>
    <m/>
    <s v="Alison"/>
    <s v="Email"/>
    <s v="Nourijanyan"/>
    <m/>
    <x v="0"/>
    <m/>
    <x v="3"/>
    <m/>
    <x v="0"/>
    <x v="456"/>
    <x v="0"/>
    <s v="Prior losses"/>
    <s v="Home has 2 prior theft claims: 2014 $20K; 2015 $15K. Many homes broken into in the neighborhood. Insd has since added alarms. Quoting with $10-$15K deductible."/>
    <x v="3"/>
    <s v="Agent verifying if any high valued handbags or scheduled items. Has probably $35,000 in purses. Not a limited class. No SPP class. Not sure we want to schedule."/>
    <s v="Advised agent we are not scheduling. Cov C. Charge for losses."/>
    <m/>
    <s v="Patterson"/>
    <m/>
    <m/>
    <n v="0"/>
  </r>
  <r>
    <x v="275"/>
    <s v="Hull CA"/>
    <s v="Irvine"/>
    <s v="Bobbi"/>
    <s v="Email"/>
    <s v="Spaak, Jillian"/>
    <m/>
    <x v="0"/>
    <s v="Malibu"/>
    <x v="1"/>
    <m/>
    <x v="0"/>
    <x v="456"/>
    <x v="0"/>
    <s v="No heating system"/>
    <s v="1945 risk with no heater."/>
    <x v="4"/>
    <s v="Checked historic weather in Malibu. There has never been a recorded day of temps below 33 degrees."/>
    <m/>
    <m/>
    <s v="Patterson"/>
    <m/>
    <m/>
    <n v="0"/>
  </r>
  <r>
    <x v="350"/>
    <s v="JM Wilson"/>
    <s v="MI"/>
    <s v="Cheryl"/>
    <s v="Email"/>
    <s v="Thomas"/>
    <s v="Harlan &amp; Rosemarie"/>
    <x v="0"/>
    <s v="St. Clairesville"/>
    <x v="40"/>
    <m/>
    <x v="5"/>
    <x v="456"/>
    <x v="330"/>
    <s v="Losses"/>
    <s v="1966 build, 3 water claims in 4 years (all repaired 08/2017-$36K-leak; 10/01/2015-$10K; 05/18/2014-$5k (frozen pipe)"/>
    <x v="3"/>
    <s v="Approved w/ water exclusion//discussed further w/ agent, agreed with $20K water ded"/>
    <m/>
    <m/>
    <s v="Burdine"/>
    <m/>
    <m/>
    <n v="0"/>
  </r>
  <r>
    <x v="448"/>
    <s v="Hull Horsham"/>
    <m/>
    <s v="Nichole"/>
    <m/>
    <s v="Elkins"/>
    <s v="John"/>
    <x v="1"/>
    <s v="DC"/>
    <x v="56"/>
    <m/>
    <x v="8"/>
    <x v="456"/>
    <x v="330"/>
    <s v="Losses"/>
    <s v="Two large fire events, both originating in the attic. Ongoing renovations have taken a long time due to DC regulations. "/>
    <x v="1"/>
    <s v="Despite newer electrical (2013), two losses have occurred very close together. Not comfortable with the current wiring. Mr Elkins installed attic air handler near the origin of the fire."/>
    <m/>
    <m/>
    <s v="Lazovik"/>
    <m/>
    <m/>
    <n v="1"/>
  </r>
  <r>
    <x v="586"/>
    <s v="Burns"/>
    <s v="MI"/>
    <s v="Alexa"/>
    <m/>
    <s v="Elkins"/>
    <s v="Jon"/>
    <x v="1"/>
    <s v="DC"/>
    <x v="56"/>
    <m/>
    <x v="8"/>
    <x v="456"/>
    <x v="330"/>
    <s v="Losses"/>
    <s v="Home built in 1932, full updates in 2013. Two fires - one electrical event wiring in the attic (11/18/17) and another fire in the attic (4/10/18). RC is $112268.16. "/>
    <x v="1"/>
    <s v="Despite newer electrical (2013), two losses have occurred very close together. Not comfortable with the current wiring. Mr Elkins installed attic air handler near the origin of the fire."/>
    <m/>
    <m/>
    <s v="Lazovik"/>
    <m/>
    <m/>
    <n v="1"/>
  </r>
  <r>
    <x v="122"/>
    <s v="Hull Irvine"/>
    <m/>
    <s v="Alison"/>
    <s v="Email/Call"/>
    <s v="Rosenblum, Michael"/>
    <m/>
    <x v="1"/>
    <s v="Culver City"/>
    <x v="1"/>
    <m/>
    <x v="0"/>
    <x v="456"/>
    <x v="330"/>
    <s v="New COC"/>
    <s v="Was with admitted carrier who discovered construction and got off the risk. Alison wasn't sure if this was &quot;mid-term renovation&quot;."/>
    <x v="4"/>
    <s v="Advised these do not need to be submitted. We are concerned with ones where a carrier gets off due to bad risk, or it goes beyond a year. Ok'd her approving these with 10% s/c."/>
    <m/>
    <m/>
    <s v="Patterson"/>
    <m/>
    <m/>
    <n v="0"/>
  </r>
  <r>
    <x v="710"/>
    <s v="Hull Irvine"/>
    <m/>
    <s v="Alison"/>
    <s v="Email/Call"/>
    <s v="G&amp;H Development LLC"/>
    <m/>
    <x v="111"/>
    <s v="Manhattan Beach"/>
    <x v="1"/>
    <m/>
    <x v="0"/>
    <x v="456"/>
    <x v="455"/>
    <s v="Vacant prior to demolition then COC"/>
    <s v="Insured purchased a home. It will be vacant for up to 6 months while insured obtains permits to demolish then rebuild the home."/>
    <x v="1"/>
    <s v="Concern with what value the home holds for us to insure. Moral hazard? Attractive nuisance? What if we aren't told of the demo? Discussed with Tim C. Seems best direction is to not get involved in any of these situations until demo is done, even if X-liab there is still exposure."/>
    <m/>
    <m/>
    <s v="Patterson"/>
    <m/>
    <m/>
    <n v="1"/>
  </r>
  <r>
    <x v="75"/>
    <s v="Hull Irvine"/>
    <m/>
    <s v="Alison"/>
    <s v="Email"/>
    <s v="Salamone"/>
    <m/>
    <x v="10"/>
    <m/>
    <x v="3"/>
    <m/>
    <x v="0"/>
    <x v="456"/>
    <x v="455"/>
    <s v="Mid-term COC"/>
    <s v="Confusion w/prior carrier covering the COC. Now 60% done. Close contact of agent. Apps and forms look in order."/>
    <x v="3"/>
    <s v="Reason for decl, canc, nrn? Add surcharge. 3 month-1 year term okay."/>
    <m/>
    <m/>
    <s v="Patterson"/>
    <m/>
    <m/>
    <n v="0"/>
  </r>
  <r>
    <x v="679"/>
    <s v="Hull Irvine"/>
    <s v="CA"/>
    <s v="Michelle"/>
    <m/>
    <s v="Ridenour"/>
    <s v="Doyle"/>
    <x v="2"/>
    <s v="Huntington Beach"/>
    <x v="1"/>
    <s v="92646"/>
    <x v="8"/>
    <x v="456"/>
    <x v="589"/>
    <s v="Losses"/>
    <s v="1967 home w/ part update to plumbing. Full update to flat roof in 2012. Wire 87, roof 12. Prior losses: 3/18 liability -insd hit veh w/bike $1,946. 4/17 water heater leak $13K, 3/16 water slab leak $30K. Asked to waive liab loss since it was paid and is being s/c on primary home.  WRS 6."/>
    <x v="2"/>
    <s v="Concern w/1967 home, 2 water losses, part update, no info on mitigation. Asked about repairs and proposed ded. Likely water dmg excl will be required. Need RM, OHQ. Advised no backup or mold due to water losses. Good ins score."/>
    <s v="I ran Ins score 793"/>
    <m/>
    <s v="Patterson"/>
    <m/>
    <m/>
    <n v="0"/>
  </r>
  <r>
    <x v="711"/>
    <s v="Hull Irvine"/>
    <m/>
    <s v="Alex"/>
    <s v="Email"/>
    <s v="Zhang, Lina"/>
    <m/>
    <x v="2"/>
    <s v="Fontana"/>
    <x v="1"/>
    <m/>
    <x v="0"/>
    <x v="456"/>
    <x v="589"/>
    <s v="Prior loss"/>
    <s v="1993 rental. Almost $100K loss in 2016. Upstairs bath water line broke. Damage repaired, claim closed. Agent offered water dmg excl or $50K ded w/surcharge."/>
    <x v="4"/>
    <s v="suggested 10-20% surcharge - up to agent."/>
    <s v="agent updated that surcharged 60% on original rate.  This puts Markel at $2,317 prior to taxes and fees but only the $50K deductible.  I think the insured would be getting more coverage with Markel; hence the higher premium. "/>
    <m/>
    <s v="Patterson"/>
    <m/>
    <m/>
    <n v="0"/>
  </r>
  <r>
    <x v="712"/>
    <s v="Hull CA"/>
    <s v="Stockton"/>
    <s v="Lisa"/>
    <s v="Email"/>
    <s v="Angel, John"/>
    <m/>
    <x v="112"/>
    <s v="Long Beach CA PC2"/>
    <x v="3"/>
    <m/>
    <x v="0"/>
    <x v="456"/>
    <x v="719"/>
    <s v="Lapse "/>
    <s v="Agent quoted with an eff date of 6/23/16. Insured did not make decision in time and there has been a lapse.  2007 duplex vacation rental. Tile roof. Not in brush zone. Ran insurance score, in low 800's."/>
    <x v="3"/>
    <s v="Gave Lisa the option of applying 5-10% surcharge. This is an agent who gives Hull all their RPS quotes; insured is in real estate. May be an important insured. Ins score is good."/>
    <m/>
    <m/>
    <s v="Patterson"/>
    <m/>
    <m/>
    <n v="0"/>
  </r>
  <r>
    <x v="34"/>
    <s v="Hull Irvine"/>
    <s v="CA"/>
    <s v="Bobbi"/>
    <s v="Email"/>
    <s v="Empire Legacy Holdings LLC"/>
    <m/>
    <x v="2"/>
    <s v="San Diego"/>
    <x v="1"/>
    <m/>
    <x v="2"/>
    <x v="456"/>
    <x v="424"/>
    <s v="Other UW Reason"/>
    <s v="1918 dwelling with full updates/remodeled in 2018. Purchased 4/2018. In name of LLC which is solely owned by the trust. Agent wants to include trust as Addl Insd."/>
    <x v="4"/>
    <s v="Since they own the LLC, they have an insurable interest.  All are the same individuals. No commercial exposure."/>
    <m/>
    <m/>
    <s v="Patterson"/>
    <m/>
    <m/>
    <n v="0"/>
  </r>
  <r>
    <x v="186"/>
    <s v="Hull Charlotte"/>
    <s v="NC"/>
    <s v="Shana"/>
    <s v="Email"/>
    <s v="Johnson"/>
    <s v="Walter Joseph &amp; Kathryn"/>
    <x v="25"/>
    <s v="Saint Helena Island"/>
    <x v="20"/>
    <m/>
    <x v="5"/>
    <x v="456"/>
    <x v="424"/>
    <s v="Rate relief"/>
    <s v="1987 frame home. Agent quoted at $4,503 and wanted to match $3,281."/>
    <x v="3"/>
    <s v="We can write, but we can't meet the $3,281 request."/>
    <s v="Bethany and Kylie rated this out for us."/>
    <m/>
    <s v="Patterson"/>
    <m/>
    <m/>
    <n v="0"/>
  </r>
  <r>
    <x v="250"/>
    <s v="Burns"/>
    <s v="MI"/>
    <s v="Ben"/>
    <s v="Email"/>
    <s v="Ruthardt, Kyle"/>
    <m/>
    <x v="113"/>
    <s v="Sandy OR PC4"/>
    <x v="35"/>
    <m/>
    <x v="5"/>
    <x v="456"/>
    <x v="424"/>
    <s v="Tenant will have a marijuana grow operation"/>
    <s v="REFERRING DUE TO TENANT WANTING TO SET UP 3 COMMERCIAL GREENHOUSES ON THE PROPERTY, 20 X 40, AS A MARIJUANA GROW OPERATION._x000a_THE GREENHOUSES WOULD BE THE HOOP TYPE TEMPORARY STRUCTURES._x000a_THE GREENHOUSES WOULD BE PERMITTED &amp; INSPECTED.  THERE WOULD BE NO SALES OF PRODUCTS FROM LOCATION.  CAN WE PRESENT THE SECONDARY RENTAL TERMS WITH A TOTAL BUSINESS EXCLUSION?_x000a_"/>
    <x v="1"/>
    <s v="Even if a local municipality considers an operation like this &quot;legal&quot;, it is still federally illegal.  That creates some coverage challenges.  Additionally an operation like this creates a very high theft hazard causing a concern with the exposure of the other structures and primary home.  Finally, the heat lamps needed in the grow operation increase the fire hazard.  Even with the total business exclusion, these issues could still present a hazard to our covered structures."/>
    <m/>
    <m/>
    <s v="Patterson"/>
    <m/>
    <m/>
    <n v="1"/>
  </r>
  <r>
    <x v="93"/>
    <s v="Burns"/>
    <s v="MI"/>
    <s v="Alexa"/>
    <s v="Email"/>
    <s v="Larson, Brian &amp; Debra"/>
    <m/>
    <x v="114"/>
    <s v="San Luis Obispo"/>
    <x v="1"/>
    <m/>
    <x v="6"/>
    <x v="456"/>
    <x v="720"/>
    <s v="Response time"/>
    <s v="Renewal w/25 min response time. Did not find on approval log from last year. CA in brush 1986 partially updated. No alarms."/>
    <x v="0"/>
    <s v="Agency was aware of response time last year, but policy did not get referred. Ran FireLine - 18 fire score - Extreme brush. 25 min response,accessible, but not paved. _x000a_4/17/17 follow up from Fire Department - email in file that response time is 10 minutes. (From CAL FIRE fire chief)"/>
    <m/>
    <m/>
    <s v="Patterson"/>
    <m/>
    <m/>
    <n v="0"/>
  </r>
  <r>
    <x v="384"/>
    <s v="XS Brokers"/>
    <s v="MA"/>
    <s v="Barbara"/>
    <m/>
    <s v="Hinkson"/>
    <s v="C Paige"/>
    <x v="0"/>
    <s v="Lee"/>
    <x v="21"/>
    <s v="01238"/>
    <x v="5"/>
    <x v="456"/>
    <x v="643"/>
    <s v="Losses"/>
    <s v="Applicant had harassment claim filed against him. It was closed with no payment, but prior carrier is still non-renewing. "/>
    <x v="1"/>
    <s v="Even though nothing was paid, the type of claim that occurred is one that would cause costly defense costs, even with no liability. We are going to pass on this risk."/>
    <m/>
    <m/>
    <s v="Busse"/>
    <m/>
    <m/>
    <n v="1"/>
  </r>
  <r>
    <x v="86"/>
    <s v="Burns"/>
    <s v="MI"/>
    <s v="Leslie"/>
    <s v="Email"/>
    <s v="Bana, David &amp; Tonya"/>
    <m/>
    <x v="0"/>
    <s v="Baltimore "/>
    <x v="29"/>
    <m/>
    <x v="0"/>
    <x v="456"/>
    <x v="608"/>
    <s v="Business in home"/>
    <s v="2 story dwelling-lower level is law firm, upper is insd residence. No foot traffic in residence. Has commercial ins in place."/>
    <x v="3"/>
    <s v="   Advised Leslie they are really better off to insure the building commercially, and we write an HO-4."/>
    <m/>
    <m/>
    <s v="Patterson"/>
    <m/>
    <m/>
    <n v="0"/>
  </r>
  <r>
    <x v="664"/>
    <s v="Burns"/>
    <s v="MI"/>
    <s v="Alexa"/>
    <m/>
    <s v="Jacoby"/>
    <s v="Mike"/>
    <x v="0"/>
    <s v="Fort Calhoun"/>
    <x v="38"/>
    <s v="68023"/>
    <x v="6"/>
    <x v="456"/>
    <x v="721"/>
    <s v="Business on Premises"/>
    <s v="2005 year built, updates to roof in 2016 and heating 2018. Insured owns Alpacas of the Heartland LLC, an alpaca farm at the location. Previously used to be open year round, people could come and feed the alpacas, had a gift shop in the home. In 2018 the shop closed and now they only have the farm portion open to public Sept-Nov, and only at certain times on certain days. Website says they may still do some educational events and classes. Was not able to find anything online adverse about the business, all good reviews, no injury reports, no complaints. "/>
    <x v="3"/>
    <s v="Since the time that they are open has decreased significantly, willing to approve subject to a full liability exclusion, TBE, and GL in place and maintained for the business. Not as big as a concern as it would be if it were horses or other larger animals that could cause serious injury. "/>
    <m/>
    <m/>
    <s v="Busse"/>
    <m/>
    <m/>
    <n v="0"/>
  </r>
  <r>
    <x v="135"/>
    <s v="Burns"/>
    <s v="MI"/>
    <s v="Leslie"/>
    <s v="Email"/>
    <s v="Peirce, Will"/>
    <m/>
    <x v="0"/>
    <s v="Rockport"/>
    <x v="23"/>
    <m/>
    <x v="0"/>
    <x v="456"/>
    <x v="722"/>
    <s v="Business on Premise"/>
    <s v="Boat and RV storage on premises.  Total business exclusion applied.  Located within 3-400 ft of home. GL is in place and excluding Other Structures.  No employees, no foot traffic.   We currently write the GL Policy."/>
    <x v="3"/>
    <s v="maintenance of GL pol through agency, acceptable PC (not listed on app), TBE and other structure exclusion as quoted"/>
    <m/>
    <m/>
    <s v="K.Burdine"/>
    <m/>
    <m/>
    <n v="0"/>
  </r>
  <r>
    <x v="656"/>
    <s v="Burns"/>
    <s v="MI"/>
    <s v="Leslie"/>
    <s v="Email"/>
    <s v="Dunn"/>
    <s v="Becky  "/>
    <x v="0"/>
    <s v="Cape Girardeeau"/>
    <x v="36"/>
    <m/>
    <x v="6"/>
    <x v="456"/>
    <x v="674"/>
    <s v="Business on premises"/>
    <s v="1992 home no updates.  Shingle roof in good condn per app. Prior decline/cancel/nrn question not answered. Prior covg, prior losses not answered. Agent quoting w/no liab. GL in place. Per aerial and online photos, there is not a separate building. It appears the business is conducted in the basement of the house. Biz has separate driveway and entrance. "/>
    <x v="0"/>
    <s v="Want to see website and confirm location. But looking good to go.  GL in place. No liab on policy. Not including Total Business Excl as that will cause gaps in home and contents coverage if a loss occurs. Don't see a dog business increasing the physical damage exposure to the dwelling, so okay with it in the house w/no exclusions. Roof exclusion requested.//8/1 reviewed addl info all ok, notes in file."/>
    <m/>
    <n v="39"/>
    <s v="Patterson"/>
    <m/>
    <m/>
    <n v="0"/>
  </r>
  <r>
    <x v="698"/>
    <s v="Hull CA"/>
    <s v="Irvine"/>
    <s v="Alison"/>
    <s v="Email"/>
    <s v="Moore, Sonny (Skrillex)"/>
    <m/>
    <x v="2"/>
    <s v="Los Angeles"/>
    <x v="1"/>
    <m/>
    <x v="8"/>
    <x v="456"/>
    <x v="723"/>
    <s v="High profile"/>
    <s v="1982 dwelling this high profile EDM DJ is providing for his father.  Property only. Liab is elsewhere."/>
    <x v="4"/>
    <s v="Discussed w/Jeff. Since property only and for his dad, we are okay with it."/>
    <m/>
    <m/>
    <s v="Patterson"/>
    <m/>
    <m/>
    <n v="0"/>
  </r>
  <r>
    <x v="47"/>
    <s v="Hull Charlotte"/>
    <s v="NC"/>
    <s v="Tamara"/>
    <s v="Email"/>
    <s v="Ervin"/>
    <s v="Daniel"/>
    <x v="53"/>
    <s v="Charleston"/>
    <x v="20"/>
    <m/>
    <x v="9"/>
    <x v="456"/>
    <x v="579"/>
    <s v="TIV"/>
    <s v="TIV is over authority of $500k. Masonry home built in 1820. Not provided any other information"/>
    <x v="2"/>
    <s v="Need more information about the risk due to the age of home."/>
    <m/>
    <m/>
    <s v="Lazovik"/>
    <m/>
    <m/>
    <n v="0"/>
  </r>
  <r>
    <x v="644"/>
    <s v="Hull Irvine"/>
    <s v="CA"/>
    <s v="Bobbi"/>
    <m/>
    <s v="Stein"/>
    <s v="Ethan &amp; Hua Ding"/>
    <x v="0"/>
    <s v="Fountain Valley"/>
    <x v="1"/>
    <s v="92708"/>
    <x v="8"/>
    <x v="456"/>
    <x v="633"/>
    <s v="Losses"/>
    <s v="1966 home with 3 water losses: 1/14 $44K; 2/16 $41K; 2/18 $10K. Agt quoted w/$25K water ded."/>
    <x v="3"/>
    <s v="Water damage exclusion, no mold, no backup. Should take care of our concerns. Rest of risk ok. 1 mile from brush area."/>
    <m/>
    <m/>
    <s v="Patterson"/>
    <m/>
    <m/>
    <n v="0"/>
  </r>
  <r>
    <x v="57"/>
    <s v="Hull Irvine"/>
    <m/>
    <s v="Alison"/>
    <s v="Email/Call"/>
    <s v="Foral, David"/>
    <m/>
    <x v="21"/>
    <s v="Big Bear Lake"/>
    <x v="1"/>
    <m/>
    <x v="9"/>
    <x v="456"/>
    <x v="724"/>
    <s v="High profile"/>
    <s v="1969 home. No info on updates. Insured is guitarist for Dirty Heads. Regae band. This is his seasonal. We bet it is for snowboarding. Online info okay. Ran by Jeff."/>
    <x v="3"/>
    <s v="Confirm updates/possible roof excl."/>
    <m/>
    <m/>
    <s v="Patterson"/>
    <m/>
    <m/>
    <n v="0"/>
  </r>
  <r>
    <x v="127"/>
    <s v="Hull Irvine"/>
    <m/>
    <s v="Alison"/>
    <s v="Email/Call"/>
    <s v="La Puesta LLC"/>
    <m/>
    <x v="115"/>
    <s v="Big Sur"/>
    <x v="1"/>
    <m/>
    <x v="6"/>
    <x v="456"/>
    <x v="724"/>
    <s v="Location address"/>
    <s v="1977 home with updates. Location address is vague. On water side of PCH, Hwy 1 near Rocky Creek Bridge.  Prof appraisal uses this address as did the MLS. Only house in the vicinity. 2 FD's are within 15 min response. 5.5 mi and 9 mi away. In LLC with one member. 60 day COC - roof, cabinets, floor, heat, paint, fence by  GC.  Write as COC, endorse to 2nd/rent when done. Flat roof-$5K water damage ded (new). Home is completely visible from the street and the bridge location. Would be easy for FD to identify. "/>
    <x v="0"/>
    <s v="Subject to written confirmation from the FD that they can locate this address. Rate as PC10. Confirmation of response time. Assuming non brush location. If &gt;15 minute response time discuss additional surcharge.//6/29 Retailer spoke to FD, fully documented. This is PC9, 15 min response. no problem finding the home. Sent approval"/>
    <m/>
    <m/>
    <s v="Patterson"/>
    <m/>
    <m/>
    <n v="0"/>
  </r>
  <r>
    <x v="713"/>
    <s v="Burns"/>
    <s v="MI"/>
    <s v="Ben"/>
    <s v="Email"/>
    <s v="Wiseman, Nicholas"/>
    <m/>
    <x v="0"/>
    <s v="Valparaiso"/>
    <x v="17"/>
    <m/>
    <x v="0"/>
    <x v="456"/>
    <x v="724"/>
    <s v="Business on property"/>
    <s v="2016 home PC5. Insured owns and operates OCR Training on property. Agent quoted X-Liability. Insd has GL and participant accident insurance."/>
    <x v="3"/>
    <s v="Approve with Total Business Exclusion."/>
    <m/>
    <m/>
    <s v="Patterson"/>
    <m/>
    <m/>
    <n v="0"/>
  </r>
  <r>
    <x v="307"/>
    <s v="Burns"/>
    <s v="MI"/>
    <s v="Benjamin"/>
    <s v="Email"/>
    <s v="The Maples Corporation"/>
    <m/>
    <x v="37"/>
    <s v="Lafayette"/>
    <x v="17"/>
    <m/>
    <x v="3"/>
    <x v="456"/>
    <x v="724"/>
    <s v="business on premises"/>
    <s v="Risk in middle of trailer park, all owned by corporation. GL coverage on trailer park. Risk is 1957 frame, heating update 1995, roofing in 1990, and plumbing/wiring 1985, not in brush, no losses, 90% personal use, 500 sq ft used for business for the trailer park--very little foot traffic."/>
    <x v="3"/>
    <s v="Approved x-liab"/>
    <m/>
    <m/>
    <s v="Burdine"/>
    <m/>
    <m/>
    <n v="0"/>
  </r>
  <r>
    <x v="712"/>
    <s v="Burns"/>
    <s v="MI"/>
    <s v="Leslie"/>
    <s v="Email"/>
    <s v="Blanchetta, Daniel"/>
    <m/>
    <x v="0"/>
    <s v="Big Sur CA PC9"/>
    <x v="3"/>
    <m/>
    <x v="0"/>
    <x v="456"/>
    <x v="725"/>
    <s v="Wood shake roof"/>
    <s v="1968 home updated in 2001, roof in 2006. Other structure has a wood shake roof. No special flat roof criteria for Burns. Has a $2500 ded currently."/>
    <x v="3"/>
    <s v="Approved subject to exclusion of building with wood shake roof. Also need overhanging tree limbs corrected, brush clearance 150', debris removed from all roofs."/>
    <m/>
    <m/>
    <s v="Patterson"/>
    <m/>
    <m/>
    <n v="0"/>
  </r>
  <r>
    <x v="663"/>
    <s v="Burns"/>
    <s v="MI"/>
    <s v="Nicole"/>
    <s v="Email"/>
    <s v="Nicotra"/>
    <s v="Paul"/>
    <x v="0"/>
    <s v="Itasca"/>
    <x v="4"/>
    <m/>
    <x v="9"/>
    <x v="456"/>
    <x v="12"/>
    <s v="Other UW Reason"/>
    <s v="Asking for RC settlement type. Home is 1953 masonry veneer construction with full updates to the roof in 2017 and heating in 2015. Partial updates to plumbing and wiring in 2017 and 2016. CS Fire and burglar alarm"/>
    <x v="3"/>
    <s v="Surcharge for all 3 claims. Explained valuation needs to be handled differently if they want full RC. If there are antique, obsolete or custom construction materials, the valuation must take into consideration the replacement of these at the correct amount, not the FRC we normally would require."/>
    <m/>
    <m/>
    <s v="Lazovik"/>
    <m/>
    <m/>
    <n v="0"/>
  </r>
  <r>
    <x v="449"/>
    <s v="Burns"/>
    <s v="MI"/>
    <s v="Jill"/>
    <m/>
    <s v="McKarns"/>
    <s v="Susan"/>
    <x v="0"/>
    <s v="Columbia"/>
    <x v="36"/>
    <n v="65201"/>
    <x v="8"/>
    <x v="456"/>
    <x v="12"/>
    <s v="Losses"/>
    <s v="Two water losses. First was $120 but contractor error and another $14k water loss. Prior carrier doing subro for damages from contractor. New contract handling current renovations. Water sensors and water shut off device will be installed. Branch proposing $5k ded and s/c 10% for loss history. Frame home built in 1998. Roofing last done in 2007."/>
    <x v="3"/>
    <s v="Sensors and shut off not yet installed. Water exclusion until then. $10k deductible unless house gets re-piped and then can use AOP. "/>
    <m/>
    <m/>
    <s v="Lazovik"/>
    <m/>
    <m/>
    <n v="0"/>
  </r>
  <r>
    <x v="485"/>
    <s v="Hull Stockton"/>
    <s v="CA"/>
    <s v="Lisa"/>
    <m/>
    <s v="Mathis"/>
    <s v="Richard &amp; Dorothy"/>
    <x v="0"/>
    <s v="Magalia"/>
    <x v="1"/>
    <s v="95954"/>
    <x v="5"/>
    <x v="456"/>
    <x v="12"/>
    <s v="Losses"/>
    <s v="                                                                                                                                                                                                                                                                                                                                                            "/>
    <x v="4"/>
    <s v="New location ok"/>
    <m/>
    <m/>
    <s v="Patterson"/>
    <m/>
    <m/>
    <n v="0"/>
  </r>
  <r>
    <x v="684"/>
    <s v="Burns"/>
    <s v="MI"/>
    <s v="Danielle"/>
    <s v="Email"/>
    <s v="Johnson"/>
    <s v="Brynne"/>
    <x v="0"/>
    <s v="Grass Valley"/>
    <x v="1"/>
    <m/>
    <x v="9"/>
    <x v="456"/>
    <x v="12"/>
    <s v="Business on Premises"/>
    <s v="Home was built in 1962 and roof updated in 2010.  Looking for HO3 with FRC settlement.  PC3 with no alarms and no losses. Insured has inhome business - Dog Grooming, no employees.  Insured's have a completely separate entrance for the business which is in their basement."/>
    <x v="3"/>
    <s v="Subject to TBE and x-liab based on level of exposure"/>
    <m/>
    <m/>
    <s v="Burdine"/>
    <m/>
    <m/>
    <n v="0"/>
  </r>
  <r>
    <x v="688"/>
    <s v="Burns"/>
    <s v="MI"/>
    <s v="Matt"/>
    <s v="Email"/>
    <s v="Sears, Richard"/>
    <m/>
    <x v="0"/>
    <s v="Bessemer PA PC5"/>
    <x v="3"/>
    <m/>
    <x v="0"/>
    <x v="456"/>
    <x v="12"/>
    <s v="Commercial zone"/>
    <s v="&quot;1970&quot; 6000 SF veneer building. Lower level was commercial. Now converted to all 1 residence. Online shows 1925 9525 SF. Roof appears flat. Cov A is low for even 6000 SF. Ins score is very good, so less concerned about RC/MV gap."/>
    <x v="2"/>
    <s v="Asked Matt to verify year built, SF, and Cov A. Advised of $10K water ded for flat roof."/>
    <m/>
    <m/>
    <s v="Patterson"/>
    <m/>
    <m/>
    <n v="0"/>
  </r>
  <r>
    <x v="263"/>
    <s v="Burns"/>
    <s v="MI"/>
    <s v="Leslie"/>
    <s v="Email"/>
    <s v="Anderson, Laura"/>
    <m/>
    <x v="0"/>
    <s v="Healdsburg"/>
    <x v="1"/>
    <m/>
    <x v="4"/>
    <x v="456"/>
    <x v="726"/>
    <s v="PC10"/>
    <s v="1947 home updated but app doesn't show it. Statement from FD indicates 16 minute response time + mutual aid. Clayton fire over 20 miles away as of today. ISO CA Brush Fire Report attached. N/A for brush rating. RiskMeter also attached - medium brush."/>
    <x v="3"/>
    <s v="Approved subj to:  Updates, Brush S/C applied (confused by the ISO CA Brush Fire Report), Confirm 150' brush clearance, Confirm over 20 miles to active fire."/>
    <m/>
    <m/>
    <s v="Patterson"/>
    <m/>
    <m/>
    <n v="0"/>
  </r>
  <r>
    <x v="266"/>
    <s v="Burns"/>
    <s v="MI"/>
    <s v="Jeff"/>
    <s v="Email"/>
    <s v="Anderson, Laura"/>
    <m/>
    <x v="0"/>
    <s v="Healdsburg"/>
    <x v="1"/>
    <m/>
    <x v="4"/>
    <x v="456"/>
    <x v="727"/>
    <s v="16 min response time"/>
    <s v="1947 home updated. Roof not updated. FD is 6.6 mi away. Mix paid and volunteer. Some gravel road. Quest completed by FD shows 16 min response. Brush not cleared per PC quest. Barn and chicken coop per online source."/>
    <x v="3"/>
    <s v="Approve subj to roof exclusion, 150' brush clearance, no farm or animal concern."/>
    <m/>
    <m/>
    <s v="Patterson"/>
    <m/>
    <m/>
    <n v="0"/>
  </r>
  <r>
    <x v="29"/>
    <s v="Burns"/>
    <s v="MI"/>
    <s v="Lindsay"/>
    <s v="Email"/>
    <s v="Priola"/>
    <s v="Anthony"/>
    <x v="0"/>
    <s v="Barrington Hills"/>
    <x v="4"/>
    <m/>
    <x v="5"/>
    <x v="456"/>
    <x v="728"/>
    <s v="Occupancy/Use"/>
    <s v="Insured will be using barn as primary home, former home as other structure (not rented)"/>
    <x v="4"/>
    <s v="Photos OK, barn has central heat, plumbing, electric"/>
    <m/>
    <m/>
    <s v="Burdine"/>
    <m/>
    <m/>
    <n v="0"/>
  </r>
  <r>
    <x v="714"/>
    <s v="SCU"/>
    <s v="CO"/>
    <s v="Allison"/>
    <s v="Email"/>
    <s v="Meadow Ridge Holdings LLC"/>
    <m/>
    <x v="16"/>
    <s v="Fraser"/>
    <x v="19"/>
    <m/>
    <x v="0"/>
    <x v="457"/>
    <x v="148"/>
    <s v="Lapse &gt;90 days"/>
    <s v="Was builders risk, in LLC, being built for secondary. Nearing completion. Home across street being used as short term rental. Didn't realize home was without coverage"/>
    <x v="1"/>
    <s v="Questioned length of lapse-uninsured since Junce 2015. Length too long"/>
    <m/>
    <m/>
    <s v="Burdine"/>
    <m/>
    <m/>
    <n v="1"/>
  </r>
  <r>
    <x v="1"/>
    <s v="Burns"/>
    <s v="MI"/>
    <s v="Lindsay"/>
    <m/>
    <s v="AAMD LLC"/>
    <m/>
    <x v="4"/>
    <s v="Kenansville"/>
    <x v="32"/>
    <s v="34739"/>
    <x v="9"/>
    <x v="458"/>
    <x v="729"/>
    <s v="Business on Premises"/>
    <s v="2015 home, looks to be a very nice home. Sits on 440 acre farm/ranch with 150 cattle. Insured is a doctor and uses the property to raise cattle, plant crops and hunt dove. There is a rented mobile home on the property. A caretaker checks on the property every couple of days when insured is not there. There is a GL in place for the farm/ranch exposure. "/>
    <x v="3"/>
    <s v="Agent already advised they would apply a TBE, liability exclusion and building exclusion for farm structures. Approved with those subjectivities along with an animal exclusion and including the mobile home on the building exclusion. Does not appear to be much concern with the business."/>
    <m/>
    <m/>
    <s v="Busse"/>
    <m/>
    <m/>
    <n v="0"/>
  </r>
  <r>
    <x v="647"/>
    <s v="Burns"/>
    <s v="MI"/>
    <s v="Rachel"/>
    <s v="Email"/>
    <s v="Timothy"/>
    <s v="Gregg"/>
    <x v="0"/>
    <s v="Altamont"/>
    <x v="22"/>
    <m/>
    <x v="3"/>
    <x v="458"/>
    <x v="708"/>
    <s v="Losses"/>
    <s v="2009 dwelling. Open liab loss $300K. Insd accidentally shot target spotter and long range shooting range. It was ruled an accident per agent who has known insd for 50 years. "/>
    <x v="4"/>
    <s v="Confirmed the story with several online articles."/>
    <m/>
    <m/>
    <s v="Patterson"/>
    <m/>
    <m/>
    <n v="0"/>
  </r>
  <r>
    <x v="494"/>
    <s v="Burns"/>
    <s v="MI"/>
    <s v="Jill"/>
    <s v="Email"/>
    <s v="Yolo County Creative LLC"/>
    <s v="Yolo County Creative LLC"/>
    <x v="2"/>
    <m/>
    <x v="1"/>
    <m/>
    <x v="6"/>
    <x v="459"/>
    <x v="730"/>
    <s v="PC"/>
    <s v="Built in 1930/updated, new purchase, no losses, tenant occupied, frame,"/>
    <x v="3"/>
    <s v="confirm there is no commercial exposure to the property. There was a 2012 online listing about a Solar Panel Farm at the property, but it appears this may no longer apply."/>
    <m/>
    <m/>
    <s v="Burdine"/>
    <m/>
    <m/>
    <n v="0"/>
  </r>
  <r>
    <x v="8"/>
    <s v="AmWINS"/>
    <s v="FL"/>
    <s v="Niki"/>
    <m/>
    <s v="Brunson"/>
    <s v="Drexel"/>
    <x v="0"/>
    <s v="Ocala"/>
    <x v="32"/>
    <s v="34471"/>
    <x v="9"/>
    <x v="459"/>
    <x v="731"/>
    <s v="Losses"/>
    <s v="Primary home with seven reported claims since 2016. Brick home built in 2003 with 3600 square feet.  Losses have been due to falling objects (glass stovetop broke), two water damage claims, lightening, mysterious disappearance, dog who ate the flooring and Hurricane damage. "/>
    <x v="1"/>
    <s v="High frequency of losses with many different claim types. Jewelry, water, hurricane, etc. "/>
    <s v="Insurance Score is 636. We are increasing business in Miami at a rapid pace. There isn't a need to stretch our premium by accepting questionable risks. I went back and forth but in the end decided we didn't need to actually spend a lot of time in an area we don't want extra growth."/>
    <m/>
    <s v="Lazovik"/>
    <m/>
    <m/>
    <n v="1"/>
  </r>
  <r>
    <x v="7"/>
    <s v="Burns"/>
    <s v="MI"/>
    <s v="Lindsay"/>
    <m/>
    <s v="Meyer"/>
    <s v="Ross"/>
    <x v="0"/>
    <s v="Monument"/>
    <x v="19"/>
    <s v="80132"/>
    <x v="2"/>
    <x v="460"/>
    <x v="732"/>
    <s v="Losses"/>
    <s v="1980 home updated. 5 prior losses. 5/16 wind $0; 8/16 fire $310K; 12/16 freeze $41K contractors fault; 5/17 wind $33K roof replaced; 10/18 sewer backup $3K. Some indication of cooking cause of fire but email says lighting. Missing page 2. $10K water ded; 2% wind/hail.  // 5/14/19 MP partner req incr Cov A $453,000; incr med pay $5K; add EQ. Approved w/same terms."/>
    <x v="3"/>
    <s v="Need to get full fire report and clarif of cooking cause noted in initial call. // 5/10/19 MP received report from fire marshal confirming 1 page. States cause is act of nature. Proceeded w/offering terms subj to $10K water dmg ded, 2% wind/hail, no sewer backup, exclude mold."/>
    <s v="Ins score E.  Discussed with JB and if lightning and no carelessness, okay with ded and exclusions."/>
    <m/>
    <s v="Patterson"/>
    <m/>
    <m/>
    <n v="0"/>
  </r>
  <r>
    <x v="715"/>
    <s v="Burns"/>
    <s v="MI"/>
    <s v="Ben"/>
    <s v="Email"/>
    <s v="Callahan, Douglas"/>
    <m/>
    <x v="2"/>
    <m/>
    <x v="57"/>
    <m/>
    <x v="4"/>
    <x v="461"/>
    <x v="733"/>
    <s v="Response time 30 min"/>
    <s v="2003 frame home no losses. 30 minute response. PC quest indicates winding road, accessible."/>
    <x v="1"/>
    <s v="Outside our comfort level."/>
    <m/>
    <m/>
    <s v="Patterson"/>
    <m/>
    <m/>
    <n v="1"/>
  </r>
  <r>
    <x v="439"/>
    <s v="Burns"/>
    <s v="MI"/>
    <s v="Delta"/>
    <s v="Email"/>
    <s v="Conover, Jason"/>
    <m/>
    <x v="0"/>
    <s v="Springfield"/>
    <x v="36"/>
    <m/>
    <x v="8"/>
    <x v="462"/>
    <x v="0"/>
    <s v="Prior loss"/>
    <s v="1976 home updated in 2016 2/ 2 losses: 13 dishwasher line $17K; 11/15 meat smoker on deck caught home on fire $300k. Insd may sell lularoe and tupperware. Agt offering X-liab. Wants BPP."/>
    <x v="0"/>
    <s v="$10K BPP. Fire Marshall report confirms accidental, unattended, cooking under covered patio. Requested addl 15% surcharge."/>
    <m/>
    <m/>
    <s v="Patterson"/>
    <m/>
    <m/>
    <n v="0"/>
  </r>
  <r>
    <x v="713"/>
    <s v="Burns"/>
    <s v="MI"/>
    <s v="Ben"/>
    <s v="Email"/>
    <s v="Robertson, Teresa"/>
    <m/>
    <x v="116"/>
    <s v="Russell Springs"/>
    <x v="27"/>
    <m/>
    <x v="0"/>
    <x v="463"/>
    <x v="734"/>
    <s v="Business in home"/>
    <s v="2006 home in PC9. 2 family dwelling. Insured lives in rear 1600 SF section. Rents the &quot;hall&quot; portion out to her sister's business. She holds weddings and events in the hall area. "/>
    <x v="1"/>
    <s v="Total Business Excl would exclude everything if there was a loss that was related to this business.  If in home, we can handle some light exposure. This is a pretty big phys dmg and liab exposure to try to exclude. Com'l pol only covers the liability leaving a gap - lots of pressure if there is a big loss."/>
    <m/>
    <m/>
    <s v="Patterson"/>
    <m/>
    <m/>
    <n v="1"/>
  </r>
  <r>
    <x v="528"/>
    <s v="Appalachian"/>
    <s v="TN"/>
    <s v="John"/>
    <m/>
    <s v="Enloe"/>
    <s v="Mitchell"/>
    <x v="0"/>
    <s v="Lake Ozark"/>
    <x v="36"/>
    <s v="65049"/>
    <x v="5"/>
    <x v="464"/>
    <x v="735"/>
    <s v="Losses"/>
    <s v="2 fire losses - 2/2015 $57,301 and 11/2016 $484,248. On CLUE report provided there is also a hail loss from 4/2014 for $66,225."/>
    <x v="1"/>
    <s v="Declined due to loss history. Two larger fires, only FD reports were provided, but even with C&amp;O or fire marshal report I don’t think the decline would be overturned."/>
    <m/>
    <m/>
    <s v="Busse"/>
    <m/>
    <m/>
    <n v="1"/>
  </r>
  <r>
    <x v="222"/>
    <s v="Hull CO"/>
    <s v="Horsham"/>
    <s v="Lisa"/>
    <s v="Email"/>
    <s v="Barn Swallow Farms"/>
    <m/>
    <x v="0"/>
    <s v="Northhampton PA"/>
    <x v="3"/>
    <m/>
    <x v="0"/>
    <x v="465"/>
    <x v="634"/>
    <s v="Barn used for weddings"/>
    <s v="1913 farmhouse with updates. Barn on property used for weddings. Hull Com'l dept is covering the barn and liability."/>
    <x v="3"/>
    <s v="Approved X-liability subject to verification that the updates are full updates, dwelling is in good condition. Confirm dwelling not used for any part of the weddings. "/>
    <m/>
    <m/>
    <s v="Patterson"/>
    <m/>
    <m/>
    <n v="0"/>
  </r>
  <r>
    <x v="716"/>
    <s v="Burns"/>
    <s v="MI"/>
    <s v="Nicole"/>
    <m/>
    <s v="London"/>
    <s v="Stuart"/>
    <x v="0"/>
    <s v="Pine Grove"/>
    <x v="1"/>
    <s v="95665"/>
    <x v="3"/>
    <x v="465"/>
    <x v="736"/>
    <s v="Business on Premises"/>
    <s v="1995 home with updates to all between 2015-2017. WRS 82, so technically not ineligible. Insured has a plumbing business on premises. No clients come to property and employees only come to property to get a work truck/supplies. One employee may work in the office at the property. Has GL, work comp, and business umbrella policies. "/>
    <x v="3"/>
    <s v="This is another one that appears they were not using the updated brush surcharge. Rate seemed far too low to be appropriate. Remainder of risk seemed acceptable, agent already advised TBE and building exclusion for business structures, and liability is also completely excluded. Approved subject to updating rate using correct brush surcharge."/>
    <s v="This one, and the previous two referrals from Burns appear that the recently updated guidelines for CA did not make it to the SRD office. Brush rates were not applied correctly, and risks that are now ineligible were sent to us. Discussed with Melissa, who sent communication to Danielle about this matter. We are having a follow up discussion with Bill and Danielle on 1/18/19 to confirm/discuss the updated guidelines."/>
    <m/>
    <s v="Busse"/>
    <m/>
    <m/>
    <n v="0"/>
  </r>
  <r>
    <x v="332"/>
    <s v="Burns"/>
    <s v="MI"/>
    <s v="Lindsay"/>
    <m/>
    <s v="Gonzales"/>
    <s v="Augustin"/>
    <x v="0"/>
    <s v="Valley Center "/>
    <x v="1"/>
    <s v="92082"/>
    <x v="9"/>
    <x v="465"/>
    <x v="737"/>
    <s v="Business on Premises"/>
    <s v="1991 home w/updates. Landscaping business equip stored in separate area of prop w/own entrance. CGL in place. Agt quoted w/TBE and Building Excl."/>
    <x v="4"/>
    <s v="Exposure reduced w/ measures taken."/>
    <m/>
    <m/>
    <s v="Patterson"/>
    <m/>
    <m/>
    <n v="0"/>
  </r>
  <r>
    <x v="333"/>
    <s v="Burns NC"/>
    <s v="NC"/>
    <s v="Anella"/>
    <s v="Email"/>
    <s v="Perrone, Toni"/>
    <m/>
    <x v="16"/>
    <s v="Manteo"/>
    <x v="11"/>
    <m/>
    <x v="2"/>
    <x v="466"/>
    <x v="738"/>
    <s v="Marshland not in guidelines"/>
    <s v="Secondary home, 2001 build year, built on 10.5 acres of marshland"/>
    <x v="2"/>
    <s v="Questioning accessibility and if prone to flooding and to confirm address as current provided shows business area on google. Asked for photos if available"/>
    <m/>
    <m/>
    <s v="K.Burdine"/>
    <m/>
    <m/>
    <n v="0"/>
  </r>
  <r>
    <x v="329"/>
    <s v="Burns"/>
    <s v="MI"/>
    <s v="Jill"/>
    <s v="Email"/>
    <s v="Larsen"/>
    <s v="Larry"/>
    <x v="4"/>
    <m/>
    <x v="51"/>
    <m/>
    <x v="4"/>
    <x v="467"/>
    <x v="739"/>
    <s v="PC"/>
    <s v="Frame, built in 1974 (partial updates in 2012 only), secondary, no losses, located in WY"/>
    <x v="3"/>
    <s v="premium surcharge of 25% to get too .60:100"/>
    <m/>
    <m/>
    <s v="Burdine"/>
    <m/>
    <m/>
    <n v="0"/>
  </r>
  <r>
    <x v="717"/>
    <s v="ASL"/>
    <s v="VA"/>
    <s v="Charity"/>
    <s v="Email"/>
    <s v="Moses, Douglas &amp; Tina"/>
    <m/>
    <x v="0"/>
    <s v="Virginia Beach"/>
    <x v="10"/>
    <m/>
    <x v="0"/>
    <x v="467"/>
    <x v="740"/>
    <s v="Claim History"/>
    <s v="3 prior claims: 12/2015: Lost ring ($3K), theft of bike on vacay ($3K), Liab ($83K)-Dog was excited to see a neighbor, jumped on him. Elderly, broke hip "/>
    <x v="3"/>
    <s v="Subject to $2500 AOP ded, animal liab excluded, and 15-20% surcharge (as quoted)"/>
    <m/>
    <m/>
    <s v="Burdine"/>
    <m/>
    <m/>
    <n v="0"/>
  </r>
  <r>
    <x v="718"/>
    <s v="Burns"/>
    <s v="MI"/>
    <s v="Lindsay"/>
    <s v="Email"/>
    <s v="Mcivor"/>
    <s v="Hugh &amp; Betty"/>
    <x v="0"/>
    <s v="Chagrin Falls"/>
    <x v="40"/>
    <m/>
    <x v="2"/>
    <x v="467"/>
    <x v="741"/>
    <s v="Business on Premises"/>
    <s v="insured sells metals to companies, keeps sample and materials in basement office. No  clients or foot traffic, no current GL in place, 1970 build with updates"/>
    <x v="3"/>
    <s v="approval to offer terms on this risk, but this approval is subject to the total business exclusion and they must secure a GL policy to cover that business exposure. If they are unwilling, or unable, to secure the GL policy this may only be issued x-liability with the exclusion in place."/>
    <m/>
    <m/>
    <s v="Burdine"/>
    <m/>
    <m/>
    <n v="0"/>
  </r>
  <r>
    <x v="401"/>
    <s v="RPS Covington"/>
    <s v="LA"/>
    <s v="Hillary"/>
    <s v="Email"/>
    <s v="Castellanos"/>
    <s v="Tania"/>
    <x v="0"/>
    <s v="New Orleans"/>
    <x v="0"/>
    <m/>
    <x v="8"/>
    <x v="467"/>
    <x v="742"/>
    <s v="Age of Home"/>
    <s v="1915 build. Home not gutted, but fully updated in 2006"/>
    <x v="4"/>
    <s v="Approval to offer with FRC as quoted, new guidelines met"/>
    <m/>
    <m/>
    <s v="Burdine"/>
    <m/>
    <m/>
    <n v="0"/>
  </r>
  <r>
    <x v="719"/>
    <s v="Hull CA"/>
    <s v="CA"/>
    <s v="Alison"/>
    <s v="Email"/>
    <s v="Fuller, Paul &amp; Caroline"/>
    <m/>
    <x v="0"/>
    <s v="Big Bear City CA PC 5"/>
    <x v="3"/>
    <m/>
    <x v="0"/>
    <x v="467"/>
    <x v="743"/>
    <s v="kit home"/>
    <s v="log kit, lower valued. Confirmed cleared of brush and requested ded of min $2500; reviewed with Louisa and offered terms"/>
    <x v="4"/>
    <m/>
    <m/>
    <m/>
    <s v="Burdine"/>
    <m/>
    <m/>
    <n v="0"/>
  </r>
  <r>
    <x v="529"/>
    <s v="Burns"/>
    <s v="MI"/>
    <s v="Jill"/>
    <m/>
    <s v="Khalil"/>
    <s v="Rula"/>
    <x v="0"/>
    <s v="Macomb"/>
    <x v="8"/>
    <s v="48044"/>
    <x v="9"/>
    <x v="468"/>
    <x v="744"/>
    <s v="Business on Premises"/>
    <s v="2000 home w/ daycare in home - licensed for 12 children. GL in place. Quoted w/Total Business Exclusion."/>
    <x v="4"/>
    <s v="In line w/our guidelines for daycare business."/>
    <m/>
    <m/>
    <s v="Patterson"/>
    <m/>
    <m/>
    <n v="0"/>
  </r>
  <r>
    <x v="678"/>
    <s v="Burns"/>
    <s v="MI"/>
    <s v="Delta"/>
    <s v="Email"/>
    <s v="Smith"/>
    <s v="Rick"/>
    <x v="7"/>
    <m/>
    <x v="36"/>
    <m/>
    <x v="8"/>
    <x v="469"/>
    <x v="745"/>
    <s v="Prior Lapse/NRN"/>
    <s v="2 family home, 1926 build-fully updated, no losses, lapse in coverage--converted from 4 family to 2, he lives in one portion, ex-wife and child in other.  Other portion of the building used for storage of business tools, GL in place for business, no employees"/>
    <x v="2"/>
    <s v="Requested info on lapse"/>
    <m/>
    <m/>
    <s v="Burdine"/>
    <m/>
    <m/>
    <n v="0"/>
  </r>
  <r>
    <x v="155"/>
    <s v="ASL"/>
    <s v="VA"/>
    <s v="Charity"/>
    <s v="Email"/>
    <s v="Estate of Linda Gerace"/>
    <s v="Estate of Linda Gerace"/>
    <x v="117"/>
    <s v="Mount Airy"/>
    <x v="29"/>
    <m/>
    <x v="6"/>
    <x v="470"/>
    <x v="507"/>
    <s v="PC"/>
    <s v="1972 build-plumbing.roof updated, MFRC applied"/>
    <x v="4"/>
    <s v="no concerns"/>
    <m/>
    <m/>
    <s v="Burdine"/>
    <m/>
    <m/>
    <n v="0"/>
  </r>
  <r>
    <x v="692"/>
    <s v="Hull Irvine"/>
    <s v="CA"/>
    <s v="Michelle"/>
    <s v="Email"/>
    <s v="Urlich"/>
    <s v="Ivan"/>
    <x v="0"/>
    <s v="Palso Verde Peninsula"/>
    <x v="1"/>
    <m/>
    <x v="11"/>
    <x v="470"/>
    <x v="746"/>
    <s v="Condition"/>
    <s v="Started reno some, but living in home, all cosmetic. Admitted doesn't want, quoted with 15% surcharge on HO"/>
    <x v="4"/>
    <s v="Inspection, premium, exposure acceptable"/>
    <m/>
    <m/>
    <s v="Burdine"/>
    <m/>
    <m/>
    <n v="0"/>
  </r>
  <r>
    <x v="16"/>
    <s v="Hull Horsham"/>
    <s v="PA"/>
    <s v="Tamika"/>
    <s v="Email"/>
    <s v="Rauscher"/>
    <s v="Frank"/>
    <x v="0"/>
    <s v="St. Davids"/>
    <x v="2"/>
    <m/>
    <x v="0"/>
    <x v="471"/>
    <x v="747"/>
    <s v="Prior Lapse/NRN"/>
    <s v="01/31/2018 lapse, Insured had a prior water/wind claim DOL 7/14/17– wind damaged the roof during a storm which caused some damage to interior.  Per the agent all mold has been remediated and the roof has been completely replaced.  - $87,674 was paid on claim, updates last 10 years, home in great condition"/>
    <x v="4"/>
    <s v="photos, repairs, lapse OK"/>
    <m/>
    <m/>
    <s v="Burdine"/>
    <m/>
    <m/>
    <n v="0"/>
  </r>
  <r>
    <x v="469"/>
    <s v="Hull Horsham"/>
    <s v="PA"/>
    <s v="Tamika"/>
    <m/>
    <s v="Lee"/>
    <s v="Thomas"/>
    <x v="2"/>
    <s v="Philadelphia"/>
    <x v="2"/>
    <s v="19143"/>
    <x v="0"/>
    <x v="472"/>
    <x v="395"/>
    <s v="Losses"/>
    <s v="1925 dwelling w/updates. 4 family rental unit in Philly. Google pics average.  All similar 4 family dwellings. Across street from large park. Insd purchased in 1/2018. Shortly after, someone threw a fire bomb into the apt during the night. No injuries. Burn and smoke damage. Insd lives in New York."/>
    <x v="1"/>
    <s v="Not comfortable with the loss."/>
    <m/>
    <m/>
    <s v="Patterson"/>
    <m/>
    <m/>
    <n v="1"/>
  </r>
  <r>
    <x v="52"/>
    <s v="Hull Irvine"/>
    <s v="CA"/>
    <s v="Tina"/>
    <m/>
    <s v="Weaver"/>
    <s v="Steve"/>
    <x v="4"/>
    <s v="Oakhurst"/>
    <x v="1"/>
    <s v="93644"/>
    <x v="4"/>
    <x v="473"/>
    <x v="748"/>
    <s v="PC"/>
    <s v="Monitored CS fire and burglar. Frame home built in 2014. No prior losses. Outbuilding is guest house.  FD is 3.5 miles away. Closer one staffed by CalFire they did not locate for unprotected questionnaire."/>
    <x v="0"/>
    <s v="Guest home is not rented out.  Monitored alarms. Cal fire is closer than FD listed and is present all winter (unlike most CalFire stations)."/>
    <n v="473035.2"/>
    <m/>
    <s v="Lazovik"/>
    <m/>
    <m/>
    <n v="0"/>
  </r>
  <r>
    <x v="565"/>
    <s v="Burns"/>
    <s v="MI"/>
    <s v="Danielle"/>
    <s v="Email"/>
    <s v="UKOENINN"/>
    <s v="Akan"/>
    <x v="0"/>
    <m/>
    <x v="12"/>
    <m/>
    <x v="11"/>
    <x v="474"/>
    <x v="749"/>
    <s v="Business on Premises"/>
    <s v="Business on premises (Divine Adult Family Home LLC) does have GL and professional liability coverage.  They provide live in care and daily activities(getting dresses, eating, bathing, reminder to take medication, but no meds are given to clients). This is an overnight facility. Home was built in 1994 and roof updated in_x000a_2010 of frame construction.  PC1 with no alarms and no losses._x000a_ "/>
    <x v="1"/>
    <s v="Too much prop and liab risk, even w/ exclusions; suggest comm better product for needs"/>
    <m/>
    <m/>
    <s v="Burdine"/>
    <m/>
    <m/>
    <n v="1"/>
  </r>
  <r>
    <x v="610"/>
    <s v="Burns"/>
    <s v="MI"/>
    <s v="Matt"/>
    <s v="Email "/>
    <s v="Haldeman"/>
    <s v="Noel &amp; Mary Ellen"/>
    <x v="0"/>
    <s v="N Wildwood"/>
    <x v="9"/>
    <m/>
    <x v="9"/>
    <x v="475"/>
    <x v="750"/>
    <s v="Pricing"/>
    <s v="2005 frame dwelling visible to neighbors. 2% wind/hail. Lloyds $1951. Agent wants to match which would require a 12% total credit."/>
    <x v="1"/>
    <s v="Request Withdrawn by Jill - insured went elsewhere.  Nice home per online info. Approved 12-13% credit.// Later in the day I got another referral for what looks like the same risk from Jill. Replied to her with a copy and asked for more info."/>
    <m/>
    <n v="28"/>
    <s v="Patterson"/>
    <m/>
    <m/>
    <n v="1"/>
  </r>
  <r>
    <x v="613"/>
    <s v="Burns"/>
    <s v="MI"/>
    <s v="Nicole"/>
    <m/>
    <s v="Grayless"/>
    <s v="Brian"/>
    <x v="0"/>
    <s v="Loveland"/>
    <x v="19"/>
    <s v="80538"/>
    <x v="4"/>
    <x v="476"/>
    <x v="751"/>
    <s v="PC"/>
    <s v="1997 log home on 64 acres. Gated community 16.3 mi from FD with 33 min drive time on partially paved and unpaved roads. May not be accessible year round. Inadequate water supply."/>
    <x v="1"/>
    <s v="Likely to be a total loss $838K TIV. This is outside the guidelines we set for longer response times."/>
    <m/>
    <m/>
    <s v="Patterson"/>
    <m/>
    <m/>
    <n v="1"/>
  </r>
  <r>
    <x v="233"/>
    <s v="Burns"/>
    <s v="MI"/>
    <s v="Leslie"/>
    <s v="Email"/>
    <s v="Conant, Quentin"/>
    <m/>
    <x v="0"/>
    <s v="Dodge City KS PC4"/>
    <x v="3"/>
    <m/>
    <x v="0"/>
    <x v="476"/>
    <x v="752"/>
    <s v="Business on prop"/>
    <s v="Home insured for 7 years w/AmFam. They are getting off because they don't write the coml package. Insured has their construction company on the property. Barn/Shop used for storage and equipment."/>
    <x v="0"/>
    <s v="Sent business questions. Also, what is the $46,600 Cov B?"/>
    <s v="Business questions spell out a good situation. Sketch shows separation.  Approved with total business exclusion."/>
    <m/>
    <s v="Patterson"/>
    <m/>
    <m/>
    <n v="0"/>
  </r>
  <r>
    <x v="215"/>
    <s v="Hull CA"/>
    <s v="Irvine"/>
    <s v="Vanessa"/>
    <s v="Email"/>
    <s v="Estate of Evelyn Burke"/>
    <m/>
    <x v="0"/>
    <m/>
    <x v="3"/>
    <m/>
    <x v="0"/>
    <x v="476"/>
    <x v="753"/>
    <s v="In home business"/>
    <s v="1974 home in Estate name will be occupied by daughter who has in home business.  She has a website for promotional products.  She is just the middle man. All items are ordered online and drop shipped from manufacturer."/>
    <x v="0"/>
    <s v="Approved provided the insured home address is not listed on the website."/>
    <s v="in 20yrs insured has never had a client come to her home. Everything is done electronically- mailing home address is only used for correspondence, catalogs, and purchase orders. Accordingly to some contracts, she must have a physical address-not a PO. Based on this info, I'm ok with issuing terms. LKT 4/25/16"/>
    <m/>
    <m/>
    <m/>
    <m/>
    <n v="0"/>
  </r>
  <r>
    <x v="536"/>
    <s v="Burns"/>
    <s v="MI"/>
    <s v="Danielle"/>
    <s v="Email"/>
    <s v="Mariani, Marc"/>
    <m/>
    <x v="0"/>
    <m/>
    <x v="5"/>
    <m/>
    <x v="5"/>
    <x v="477"/>
    <x v="67"/>
    <s v="High profile"/>
    <s v="2016 home primary and rented on AirBnb. Insured is free agent wide receiver AML. Was w/TN Titans. No negative press. Includes $1M liability."/>
    <x v="4"/>
    <m/>
    <s v="Reviewed w/Louisa"/>
    <m/>
    <s v="Patterson"/>
    <m/>
    <m/>
    <n v="0"/>
  </r>
  <r>
    <x v="640"/>
    <s v="Hull Horsham"/>
    <s v="PA"/>
    <s v="MacKenzie"/>
    <s v="Email"/>
    <s v="Curtin"/>
    <s v="Robert"/>
    <x v="1"/>
    <s v="Ocean Gate"/>
    <x v="9"/>
    <m/>
    <x v="2"/>
    <x v="478"/>
    <x v="754"/>
    <s v="Other UW Reason"/>
    <s v="1955 Frame with $200k in renovations scheduled with licensed and insured general contractor. The risk is ~1 mile from the coast. They have debited it 23.5%. "/>
    <x v="1"/>
    <s v="Risk is closer than 2 miles to the coast which is currently ineligible. Risks with interior only renovation can be considered, but this one is far more extensive and involves both interior and exterior work."/>
    <m/>
    <m/>
    <s v="Lazovik"/>
    <m/>
    <m/>
    <n v="1"/>
  </r>
  <r>
    <x v="657"/>
    <s v="Burns"/>
    <s v="MI"/>
    <s v="Jill"/>
    <s v="Email"/>
    <s v="Sinclair"/>
    <s v="Cynthia"/>
    <x v="0"/>
    <s v="Stillwater"/>
    <x v="31"/>
    <m/>
    <x v="3"/>
    <x v="479"/>
    <x v="0"/>
    <s v="Business on premises"/>
    <s v="1948 home with only roof update. Many app questions re systems are blank. Insd has weddings and events on premises but not in the house. Aerial photo provided, but not sure what it is depicting. Prior hail loss 6/17 $3698. "/>
    <x v="2"/>
    <s v="Asked all the business questions. If we proceed, subj are:  • Apply Total Business Exclusion_x000a_• It seems we should be applying functional replacement cost due clear info on app that there have been no updates_x000a_• Prior to binding, obtain all missing answers on app about wiring, plumbing and heating.  Most of the fields are blank, and some of these are eligibility issues._x000a_• Order EHP to ensure non-updated systems are operational and safe_x000a_9/20 - info came back. sounds okay. website reviewed. replied w/terms."/>
    <m/>
    <n v="43"/>
    <s v="Patterson"/>
    <m/>
    <m/>
    <n v="0"/>
  </r>
  <r>
    <x v="524"/>
    <s v="XS Brokers"/>
    <s v="MA"/>
    <s v="Barbara"/>
    <m/>
    <s v="Pelley"/>
    <s v="Herb"/>
    <x v="0"/>
    <s v="Hamden"/>
    <x v="25"/>
    <s v="06518"/>
    <x v="0"/>
    <x v="480"/>
    <x v="755"/>
    <s v="Losses"/>
    <s v="1967 home w/no update to plumbing. Frozen pipe break loss still open. $36K 3/7/18.  Also 2016 ice dam. Agt quoted w/ $10K water damage, exist dmg excl. "/>
    <x v="2"/>
    <s v="Need more info on the open water loss and type of plumbing pipes that are not updated. If ineligible pipes, risk should be declined. Also need OHQ."/>
    <m/>
    <m/>
    <s v="Patterson"/>
    <m/>
    <m/>
    <n v="0"/>
  </r>
  <r>
    <x v="5"/>
    <s v="Burns"/>
    <s v="MI"/>
    <s v="Alexa"/>
    <m/>
    <s v="Arnold"/>
    <s v="Andrew"/>
    <x v="0"/>
    <s v="Greenville"/>
    <x v="8"/>
    <s v="48838"/>
    <x v="18"/>
    <x v="481"/>
    <x v="756"/>
    <s v="Business on Premises"/>
    <s v="2005 year built. Home has a daycare, licensed for 12 children. Additionally, there are 4H animals on premises (3 horses, 2 goats, 8 pigs, 9 rabbits, and 13 chickens. No farming, the animals are &quot;for the kids&quot;. They do have a CGL for the daycare, would apply TBE."/>
    <x v="1"/>
    <s v="Due to the combination of 12 children daycare and a larger number of animals that are for the children, we are passing on this risk. We feel, even with exclusions, that defense costs could be exorbitant if a loss occurs. "/>
    <m/>
    <m/>
    <s v="Busse"/>
    <m/>
    <m/>
    <n v="1"/>
  </r>
  <r>
    <x v="119"/>
    <s v="Hull Irvine"/>
    <m/>
    <s v="Melissa"/>
    <s v="Email"/>
    <s v="Rich, Ed"/>
    <m/>
    <x v="21"/>
    <s v="Westlake Village"/>
    <x v="1"/>
    <m/>
    <x v="0"/>
    <x v="482"/>
    <x v="757"/>
    <s v="Manufactured home"/>
    <s v="1975 home that agent is unsure if it is mobile/manuf or modular. All evidence points to mobile/manuf."/>
    <x v="1"/>
    <m/>
    <m/>
    <m/>
    <s v="Patterson"/>
    <m/>
    <m/>
    <n v="1"/>
  </r>
  <r>
    <x v="11"/>
    <s v="XS Brokers"/>
    <s v="NJ"/>
    <s v="Brendan"/>
    <s v="Email"/>
    <s v="2015 Atlantic Avenue LLC"/>
    <m/>
    <x v="2"/>
    <s v="Long Beach Twp"/>
    <x v="9"/>
    <m/>
    <x v="8"/>
    <x v="483"/>
    <x v="71"/>
    <s v="Other UW Reason"/>
    <s v="1950 home updated. Not first row. Agent says he wanted okay for wind, since wind guidelines changed. "/>
    <x v="4"/>
    <s v="Provided current guideline info and asked what he heard changed. Bethany and I checked - found no changes."/>
    <m/>
    <m/>
    <s v="Patterson"/>
    <m/>
    <m/>
    <n v="0"/>
  </r>
  <r>
    <x v="720"/>
    <s v="Hull Irvine"/>
    <s v="CA"/>
    <s v="Alison"/>
    <s v="Call"/>
    <s v="Prieve"/>
    <s v="Jason &amp; Michelle"/>
    <x v="0"/>
    <s v="Mission Viejo"/>
    <x v="1"/>
    <m/>
    <x v="8"/>
    <x v="483"/>
    <x v="579"/>
    <s v="Prior losses"/>
    <s v="1994 dwelling.  Agent quoted and 3 losses were revealed. Bind request came in and 4th loss was discovered. 1.       03/01/15 – dishwasher line broke, damage to flooring and cabinetry in kitchen, but carrier declined to pay, $00 paid out_x000a_2.       09/11/15 – AC condenser unit leaked into wall, due to faulty installation (overflow line was not long enough,) $2,581.00 paid out_x000a_3.       09/11/16 – AC unit leak again, but after this, they installed an automatic shut-off valve on the AC unit to avoid any future problems, $00 paid out_x000a_4.       1/27/2017 – Pipe burst - $38,601_x000a_Agent will surcharge for 4 losses and apply a water damage deductible.  $50K required."/>
    <x v="1"/>
    <s v="The dishwasher line and the pipe burst are the real pipe concerns. $25K will mitigate future losses.  The AC leak is different and has been mitigated by insured w/ a shut-off. // Lex came back w/$25K ded and lower price. I withdrew terms 10/5/17."/>
    <m/>
    <n v="29"/>
    <s v="Patterson"/>
    <m/>
    <m/>
    <n v="1"/>
  </r>
  <r>
    <x v="384"/>
    <s v="Hull Irvine"/>
    <s v="CA"/>
    <s v="Lucas"/>
    <m/>
    <s v="Gordon"/>
    <s v="Joseph"/>
    <x v="0"/>
    <s v="Los Angeles"/>
    <x v="1"/>
    <s v="90066"/>
    <x v="11"/>
    <x v="484"/>
    <x v="758"/>
    <s v="Losses"/>
    <s v="1939 year built that has not been gutted and rebuilt, so FRC only available, confirmed by agent. Three smaller water losses in 2017 - 5/2017 sparkletts bottled delivered had leaked $5000, 6/2017 newer garbage disposal rusted out $10000, 7/2017 drain clogged $10000. No real concerns with the losses, agent applied $10,000 water damage deductible and additional 10% surcharge."/>
    <x v="4"/>
    <s v="The water losses listed are not really related to poor plumbing, so the subjectivity mentioned of $10k water deductible seems acceptable. Also, agree with the 10% surcharge of the losses. New roof in 2014 so no concerns there. Approving as quoted. "/>
    <m/>
    <m/>
    <s v="Busse"/>
    <m/>
    <m/>
    <n v="0"/>
  </r>
  <r>
    <x v="360"/>
    <s v="Burns"/>
    <s v="MI"/>
    <s v="Leslie"/>
    <s v="Email"/>
    <s v="Long, Paul"/>
    <m/>
    <x v="118"/>
    <s v="Zamora CA  PC9"/>
    <x v="3"/>
    <m/>
    <x v="0"/>
    <x v="484"/>
    <x v="594"/>
    <s v="Sheep farming operation"/>
    <s v="1996 home no losses. Insured is a sheep farmer with 283 acres. Nationwide writes the farm. DP1 ACV no liability per agent request."/>
    <x v="3"/>
    <s v="Approved subject to removal of Cov B; or exclusion of all farm structures and fencing. Also subject to 15% surcharge for lapse."/>
    <m/>
    <m/>
    <s v="Patterson"/>
    <m/>
    <m/>
    <n v="0"/>
  </r>
  <r>
    <x v="93"/>
    <s v="ASL"/>
    <s v="VA"/>
    <s v="Garry"/>
    <s v="Email"/>
    <s v="Hashim, Masih"/>
    <m/>
    <x v="0"/>
    <s v="Clifton"/>
    <x v="10"/>
    <m/>
    <x v="2"/>
    <x v="484"/>
    <x v="696"/>
    <s v="Claim History"/>
    <s v="Agent wondering if $20K hail CAT claim would be surcharged and if the risk is eligible with 2 losses."/>
    <x v="3"/>
    <s v="Approved w/surcharge for 2 losses. Advised we do charge for CAT claims."/>
    <m/>
    <m/>
    <s v="Patterson"/>
    <m/>
    <m/>
    <n v="0"/>
  </r>
  <r>
    <x v="361"/>
    <s v="Burns"/>
    <s v="MI"/>
    <s v="Ben"/>
    <s v="Email"/>
    <s v="Cole, Chad"/>
    <m/>
    <x v="0"/>
    <s v="Mazomanie WI  PC5"/>
    <x v="3"/>
    <m/>
    <x v="0"/>
    <x v="484"/>
    <x v="759"/>
    <s v="Dome home"/>
    <s v="1978 home w/2012 roof update and 2000 new heat. 9 acres. Ben says they have an RCE."/>
    <x v="2"/>
    <s v="Asked Ben for the estimator.  We haven't found a vendor who does them. Concerned with the custom design of windows and skylights. "/>
    <s v="Referred to Jeff 7/27 - agt provided estimator which says &quot;octagon&quot;. Declined due to Valued Policy state $475 A; $275 MV. Not sure octagon and geodesic are the same. Concern of custom features."/>
    <m/>
    <s v="Patterson"/>
    <m/>
    <m/>
    <n v="0"/>
  </r>
  <r>
    <x v="213"/>
    <s v="Hull CO"/>
    <s v="NJ"/>
    <s v="Lisa"/>
    <s v="Email"/>
    <s v="Henning, Keith"/>
    <m/>
    <x v="1"/>
    <s v="Denville NJ  PC4"/>
    <x v="3"/>
    <m/>
    <x v="0"/>
    <x v="484"/>
    <x v="760"/>
    <s v="Insd is GC"/>
    <s v="1972 home being renovated inside by insured who will act as GC, hiring out other contractors. He is self employed heating contractor."/>
    <x v="4"/>
    <s v="Approved X-liability w/30% s/c. Discussed w/Jeff. We are going to pursue a program."/>
    <m/>
    <m/>
    <s v="Patterson"/>
    <m/>
    <m/>
    <n v="0"/>
  </r>
  <r>
    <x v="715"/>
    <s v="SCU"/>
    <s v="CO"/>
    <s v="Allison"/>
    <s v="Email"/>
    <s v="Morlan, Robert"/>
    <m/>
    <x v="119"/>
    <s v="Manitou Springs"/>
    <x v="19"/>
    <m/>
    <x v="5"/>
    <x v="484"/>
    <x v="761"/>
    <s v="Prior losses"/>
    <s v="1920 build, some updates. 2 family home. NRN by Lex due to claims.  4/15 hail (roof replaced)  8/15 fire $27K 4/16 fire open $266K."/>
    <x v="1"/>
    <s v="Not comfortable with loss history."/>
    <m/>
    <m/>
    <s v="Patterson"/>
    <m/>
    <m/>
    <n v="1"/>
  </r>
  <r>
    <x v="46"/>
    <s v="Burns"/>
    <s v="MI"/>
    <s v="Alexa"/>
    <s v="Email"/>
    <s v="Herrera"/>
    <s v="Leonel"/>
    <x v="5"/>
    <s v="Vermillion"/>
    <x v="48"/>
    <m/>
    <x v="4"/>
    <x v="485"/>
    <x v="762"/>
    <s v="Losses"/>
    <s v="1997 frame home vacant and for sale by son as estate of parents'. PC code not given. Large freezing claim on 1/19/2018. would like DP-3. Roof is original and 11 years old. Was USAA policy."/>
    <x v="3"/>
    <s v="Will approve as a DP-1 with documentation water loss repair is complete. If DP-3 must apply water exclusion. Must attach absolute mold and existing damage endorsements. Also need to update PPC to 10, not 3. Fire department is over 8 miles away and no hydrants."/>
    <m/>
    <m/>
    <s v="Lazovik"/>
    <m/>
    <m/>
    <n v="0"/>
  </r>
  <r>
    <x v="309"/>
    <s v="Hull CA"/>
    <s v="CA"/>
    <s v="Bobbi"/>
    <s v="Email"/>
    <s v="Kagawa, Hank"/>
    <m/>
    <x v="120"/>
    <s v="Monterey Park"/>
    <x v="1"/>
    <m/>
    <x v="9"/>
    <x v="486"/>
    <x v="763"/>
    <s v="Duplex/vacancy"/>
    <s v="Duplex-front rented, back vacant. Insured actively looking for tenant for the back. No brush or losses. 1945 build, will complete old home questionaire prior to release"/>
    <x v="3"/>
    <s v="Approved subject to surcharge 10-15% for vacancy of back unit"/>
    <m/>
    <m/>
    <s v="Burdine"/>
    <m/>
    <m/>
    <n v="0"/>
  </r>
  <r>
    <x v="381"/>
    <s v="Burns"/>
    <s v="MI"/>
    <s v="Nicole"/>
    <m/>
    <s v="Daylor"/>
    <s v="Andrew"/>
    <x v="3"/>
    <s v="Oswego"/>
    <x v="4"/>
    <s v="60543"/>
    <x v="9"/>
    <x v="487"/>
    <x v="764"/>
    <s v="Business on Premises"/>
    <s v="1999 dwelling seasonal and short term rental. Pole barn can be used for weddings and parties. Pond on premises."/>
    <x v="1"/>
    <s v="Appears entire property can be rented out including the home. Large slide, boats, rope swing, swimming on pond.  Concern with injury and inability to separate the business from the home policy.."/>
    <m/>
    <m/>
    <s v="Patterson"/>
    <m/>
    <m/>
    <n v="1"/>
  </r>
  <r>
    <x v="456"/>
    <s v="ASL"/>
    <s v="VA"/>
    <s v="Charity"/>
    <s v="Emaiol"/>
    <s v="Arusy"/>
    <s v="Eitan"/>
    <x v="0"/>
    <s v="Silver Spring"/>
    <x v="29"/>
    <m/>
    <x v="3"/>
    <x v="487"/>
    <x v="764"/>
    <s v="Prior losses"/>
    <s v="1964 home updated. Risk has 5 prior losses. 3 of them were from an issue with tree roots growing in plumbing 5/16-6/16. Plumbing replaced in entire home. Tree issue fixed.  5/13/16 wind $675. 4/17 water $866 window sill leak. Windows have been updated. Write w/20% surcharge?"/>
    <x v="3"/>
    <s v="Approved w/50% surcharge and suggested 2500 ded."/>
    <m/>
    <n v="23"/>
    <s v="Patterson"/>
    <m/>
    <m/>
    <n v="0"/>
  </r>
  <r>
    <x v="721"/>
    <s v="Burns"/>
    <s v="MI"/>
    <s v="Leslie"/>
    <s v="Email"/>
    <s v="Volk"/>
    <s v="Paul &amp; Evelyn"/>
    <x v="0"/>
    <s v="Lake Arrowhead"/>
    <x v="1"/>
    <m/>
    <x v="0"/>
    <x v="487"/>
    <x v="765"/>
    <s v="High Profile"/>
    <s v="Applicant occupation: Producer-no recent films"/>
    <x v="4"/>
    <s v="Reviewed google. Ok with exposure"/>
    <m/>
    <m/>
    <s v="Burdine"/>
    <m/>
    <m/>
    <n v="0"/>
  </r>
  <r>
    <x v="700"/>
    <s v="Burns"/>
    <s v="MI"/>
    <s v="Rachel"/>
    <s v="Email"/>
    <s v="Metzler"/>
    <s v="Robert"/>
    <x v="0"/>
    <m/>
    <x v="8"/>
    <m/>
    <x v="0"/>
    <x v="487"/>
    <x v="663"/>
    <s v="Losses"/>
    <s v="open dog bite claim-dog bit cleaning lady"/>
    <x v="3"/>
    <s v="subject to animal liab exclusion"/>
    <m/>
    <m/>
    <s v="Burdine"/>
    <m/>
    <m/>
    <n v="0"/>
  </r>
  <r>
    <x v="125"/>
    <s v="Hull Horsham"/>
    <m/>
    <s v="MacKenzie"/>
    <s v="Email"/>
    <s v="Lester, Angela &amp; Morrow, Brett"/>
    <m/>
    <x v="1"/>
    <s v="Doylestown"/>
    <x v="2"/>
    <m/>
    <x v="0"/>
    <x v="488"/>
    <x v="0"/>
    <s v="Mid term builders risk"/>
    <s v="New build that Hull has insured as a BR for a year. Needs 6 months more to complete. With Lex.60% complete - need to install drywall, elec, plumbing. 2nd insd and contractor are both Brett Morrow. Per Mackenzie, this is an error. The contractor is Unique Construction."/>
    <x v="0"/>
    <s v="Can't insure risk where insured is acting as their own GC. Turns out that was incorrect.  I then asked  Why so long? Why moving now? What is expiring prem?) BR quest said new construction. Insp shows this is a reno and they planned to work on it for 2 years according to the quest. Per agt building new primary. Existing prim will become guest house/studio. More questions.//Ultimately approved dwelling only, no liab. This house IS ground up construction. 6 mo terms approved."/>
    <m/>
    <m/>
    <s v="Patterson"/>
    <m/>
    <m/>
    <n v="0"/>
  </r>
  <r>
    <x v="460"/>
    <s v="Burns"/>
    <s v="MI"/>
    <s v="Jill"/>
    <s v="Email"/>
    <s v="BOEHLKE BOTTLED GAS CORP"/>
    <s v="BOEHLKE BOTTLED GAS CORP"/>
    <x v="2"/>
    <s v="Mequon"/>
    <x v="12"/>
    <m/>
    <x v="3"/>
    <x v="489"/>
    <x v="766"/>
    <s v="Commercial next door"/>
    <s v="Commercial prop next door, owned by same company as this home. TBE quoted"/>
    <x v="3"/>
    <s v="Acceptable as long as different addresses, as it appears to be"/>
    <m/>
    <m/>
    <s v="Burdine"/>
    <m/>
    <m/>
    <n v="0"/>
  </r>
  <r>
    <x v="722"/>
    <s v="XS Brokers"/>
    <s v="MA"/>
    <s v="Barbara"/>
    <m/>
    <s v="Saioni"/>
    <s v="Mark"/>
    <x v="0"/>
    <s v="Cape May Bourt House"/>
    <x v="9"/>
    <s v="08210"/>
    <x v="0"/>
    <x v="490"/>
    <x v="767"/>
    <s v="Business on Premises"/>
    <s v="2006 year built. Applicant owns landscaping business and parks two trucks at his home. No business done at home, employees come only to pick up the trucks. There is a Gl for the business. Prior carrier is non-renewing due to business trucks at the property."/>
    <x v="4"/>
    <s v="Approval to release terms subject to a TBE, which was noted by the agent. "/>
    <s v="Some chaos this week with a RUSH Stockton audit that backed up referrals.  Turnaround may have been impacted."/>
    <m/>
    <s v="Busse"/>
    <m/>
    <m/>
    <n v="0"/>
  </r>
  <r>
    <x v="406"/>
    <s v="JM Wilson"/>
    <s v="MI"/>
    <s v="Cheryl"/>
    <s v="Email"/>
    <s v="McCawley"/>
    <s v="Michael &amp; Julie"/>
    <x v="0"/>
    <s v="Chesterfield"/>
    <x v="36"/>
    <m/>
    <x v="6"/>
    <x v="491"/>
    <x v="579"/>
    <s v="Losses"/>
    <s v="1967 home with 1 closed small dogbite loss."/>
    <x v="4"/>
    <s v="Advised Cheryl this was within her authority."/>
    <m/>
    <m/>
    <s v="Patterson"/>
    <m/>
    <m/>
    <n v="0"/>
  </r>
  <r>
    <x v="589"/>
    <s v="Burns"/>
    <s v="MI"/>
    <s v="Delta"/>
    <s v="Email"/>
    <s v="Estate of Daniel L Berman"/>
    <m/>
    <x v="5"/>
    <s v="Robertson"/>
    <x v="51"/>
    <m/>
    <x v="4"/>
    <x v="492"/>
    <x v="768"/>
    <s v="PC"/>
    <s v="1995 log home vacant and for sale. Top tier credit. No losses, no alarm. 600 acres leased for hay. That individual watches the house. "/>
    <x v="3"/>
    <s v="Add TBE to exclude the leased farming."/>
    <s v="Agt quoted .70 rate. I increased to $1.00 for vacant and for sale with 20-25 min response time."/>
    <m/>
    <s v="Patterson"/>
    <m/>
    <m/>
    <n v="0"/>
  </r>
  <r>
    <x v="666"/>
    <s v="Hull Horsham"/>
    <s v="NJ"/>
    <s v="Lisa"/>
    <s v="Email"/>
    <s v="Paterson Development Group LLC"/>
    <m/>
    <x v="2"/>
    <s v="Paterson"/>
    <x v="9"/>
    <m/>
    <x v="0"/>
    <x v="492"/>
    <x v="769"/>
    <s v="Commercial next door"/>
    <s v="1920 3 family home with updates. Next door to auto  shop. Agent confirming it is not on the deed and no insured ownership."/>
    <x v="4"/>
    <m/>
    <m/>
    <m/>
    <s v="Patterson"/>
    <m/>
    <m/>
    <n v="0"/>
  </r>
  <r>
    <x v="723"/>
    <s v="AmWINS"/>
    <s v="IL"/>
    <s v="Tasha"/>
    <m/>
    <s v="Foltz"/>
    <s v="Mike"/>
    <x v="42"/>
    <s v="Naples"/>
    <x v="32"/>
    <s v="34109"/>
    <x v="2"/>
    <x v="492"/>
    <x v="770"/>
    <s v="TIV"/>
    <s v="1999 condo over 3 miles from the beach. 3% wind hail $10K AOP."/>
    <x v="4"/>
    <s v="Verified with Bethany that condo's for AmWINS are okay. Verified w/h deductible is correct."/>
    <m/>
    <m/>
    <s v="Patterson"/>
    <m/>
    <m/>
    <n v="0"/>
  </r>
  <r>
    <x v="649"/>
    <s v="SCU"/>
    <s v="CO"/>
    <s v="Allison"/>
    <m/>
    <s v="Thomas"/>
    <s v="Kate"/>
    <x v="0"/>
    <s v="Parker"/>
    <x v="19"/>
    <s v="80138"/>
    <x v="9"/>
    <x v="493"/>
    <x v="771"/>
    <s v="Prior Lapse/NRN"/>
    <s v="1976 home fully updated. Lapse for 1 year. Insd thought they paid. Agt applying 10% s/c and no loss letter."/>
    <x v="3"/>
    <s v="15% s/c more in line for 1 year lapse. Ins score over 750 indicates not a financial issue. Online photo ok, asked to confirm adequate Cov B or exclude buildings. Also to confirm no animals, indicated in online info."/>
    <m/>
    <m/>
    <s v="Patterson"/>
    <m/>
    <m/>
    <n v="0"/>
  </r>
  <r>
    <x v="191"/>
    <s v="JM Wilson"/>
    <s v="MI"/>
    <s v="Lori"/>
    <s v="Email"/>
    <s v="Zayed"/>
    <s v="Mahmoud"/>
    <x v="0"/>
    <s v="Westlake   "/>
    <x v="40"/>
    <m/>
    <x v="9"/>
    <x v="494"/>
    <x v="647"/>
    <s v="Lapse"/>
    <s v="1982 dwelling w/partial updates.  30 day lapse for non pay. 3 prior losses. 1/15 Freezing/weather $8832. 11/1/15 water/non weather $7780. 3/8/17 wind &amp; hail $11,515."/>
    <x v="3"/>
    <s v="Signed no loss. UW questions all need to be answered."/>
    <m/>
    <m/>
    <s v="Patterson"/>
    <m/>
    <m/>
    <n v="0"/>
  </r>
  <r>
    <x v="653"/>
    <s v="Hull Irvine"/>
    <s v="CA"/>
    <s v="Gina"/>
    <m/>
    <s v="LaCroix"/>
    <s v="Martha"/>
    <x v="0"/>
    <s v="Harbor City"/>
    <x v="1"/>
    <s v="90710"/>
    <x v="0"/>
    <x v="495"/>
    <x v="772"/>
    <s v="Losses"/>
    <s v="1965 year built, no mention of updates on the application. 2016 water loss $47,762, 2017 weather loss that damaged important papers, nothing paid at this time, 2018 water loss $26,259. WRS 6"/>
    <x v="3"/>
    <s v="Approved subject to water exclusion, mold exclusion, water backup exclusion and roof exclusion due to no mention of updates. Also subject to confirmation there is no galvanized or cast iron plumbing."/>
    <m/>
    <m/>
    <s v="Busse"/>
    <m/>
    <m/>
    <n v="0"/>
  </r>
  <r>
    <x v="204"/>
    <s v="Hull CA"/>
    <s v="Irvine"/>
    <s v="Bobbi"/>
    <s v="Email"/>
    <s v="Watkins, Jeff"/>
    <m/>
    <x v="0"/>
    <s v="Lake Arrowhead CA PC5"/>
    <x v="3"/>
    <m/>
    <x v="0"/>
    <x v="496"/>
    <x v="773"/>
    <s v="Log home"/>
    <s v="1995 home, partially updated. In brush - medium per RM, high per FireLine. Agent added 10% log surcharge. Only a streetview online - looks good."/>
    <x v="4"/>
    <m/>
    <m/>
    <m/>
    <s v="Patterson"/>
    <m/>
    <m/>
    <n v="0"/>
  </r>
  <r>
    <x v="101"/>
    <s v="Hull Irvine"/>
    <m/>
    <s v="Alison"/>
    <s v="Call/Email"/>
    <s v="Boulder Bay"/>
    <m/>
    <x v="112"/>
    <s v="Big Bear Lake"/>
    <x v="1"/>
    <m/>
    <x v="5"/>
    <x v="497"/>
    <x v="723"/>
    <s v="Prior loss"/>
    <s v="1980 home. 9/16 loss $106,000 paid. Plastic toilet part broke. To mitigate, insured replaced all with metal parts. All repairs made-loss still open (no one is sure why)"/>
    <x v="4"/>
    <s v="Since one loss, not adding water damage deductible, but will add addl 10% surcharge for size of loss."/>
    <m/>
    <m/>
    <s v="Patterson"/>
    <m/>
    <m/>
    <n v="0"/>
  </r>
  <r>
    <x v="606"/>
    <s v="AmWINS"/>
    <s v="NC"/>
    <s v="Morgan"/>
    <m/>
    <s v="Crockett"/>
    <s v="Jack Jr &amp; Karon"/>
    <x v="0"/>
    <s v="Vestavia "/>
    <x v="14"/>
    <s v="35216"/>
    <x v="10"/>
    <x v="497"/>
    <x v="691"/>
    <s v="Condition"/>
    <s v="1987 home w/roof update in 2017. EIFS per quote from Scottsdale w/competing wholesaler. "/>
    <x v="1"/>
    <s v="Provided EIFS info. Need to know year updated if any. Prof contractor can confirm if barrier or water managed type. Need OHQ and answer to blank question on app about knob &amp; tube, fuses, lead pipe. // MP 2/6/19 it is barrier EIFS, has not been replaced."/>
    <m/>
    <m/>
    <s v="Patterson"/>
    <m/>
    <m/>
    <n v="1"/>
  </r>
  <r>
    <x v="262"/>
    <s v="Burns"/>
    <s v="MI"/>
    <s v="Ben"/>
    <s v="Email"/>
    <s v="Downes, Edwin"/>
    <m/>
    <x v="121"/>
    <s v="Pioneer"/>
    <x v="1"/>
    <m/>
    <x v="0"/>
    <x v="498"/>
    <x v="7"/>
    <s v="Café/Deli on 1st floor"/>
    <s v="Insured owns building. Lives upstairs. Operates café/deli on 1st floor. "/>
    <x v="1"/>
    <s v="Advised Ben since the commercial exposure is the bigger exposure, this should be insured commercially. Markel could write an HO4 for the 2nd floor if there is a separate entrance (not through the restaurant)."/>
    <m/>
    <m/>
    <s v="Patterson"/>
    <m/>
    <m/>
    <n v="1"/>
  </r>
  <r>
    <x v="550"/>
    <s v="Burns"/>
    <s v="MI"/>
    <s v="David"/>
    <s v="Email"/>
    <s v="Three Sisters Inn LLC"/>
    <s v="Three Sisters In LLC"/>
    <x v="0"/>
    <s v="Baldwin City"/>
    <x v="28"/>
    <m/>
    <x v="9"/>
    <x v="498"/>
    <x v="575"/>
    <s v="Business on Premises"/>
    <s v="Primary home with bed and breakfast = 5 rooms rented, 1905 build, updates 1995, FRC"/>
    <x v="3"/>
    <s v="approved, but not as b&amp;b program. Subject to GL policy maintained by agency and TBE in place"/>
    <m/>
    <m/>
    <s v="Burdine"/>
    <m/>
    <m/>
    <n v="0"/>
  </r>
  <r>
    <x v="111"/>
    <s v="Hull Irvine"/>
    <m/>
    <s v="Alison"/>
    <s v="Email"/>
    <s v="Sallans, William"/>
    <m/>
    <x v="0"/>
    <s v="Encinitas"/>
    <x v="1"/>
    <m/>
    <x v="0"/>
    <x v="498"/>
    <x v="12"/>
    <s v="Prior losses"/>
    <s v="1964 home, no updates noted. 3 prior losses:  2013-dog bite $300K - insured has no animals. 6/2014 $2K luggage flew off van. 3/2016 sewer backup (cause confirmed w/Safeco letter) $133K. No WBU being offered. "/>
    <x v="3"/>
    <s v="approve w/10% s/c. Also exclude roof if not updated and add $5K special water ded if plumbing not updated.  No animals-also, our animal form protects us. No WBU so no concern there - we are sure it is WBU and not water damage per prior carrier letter."/>
    <m/>
    <m/>
    <s v="Patterson"/>
    <m/>
    <m/>
    <n v="0"/>
  </r>
  <r>
    <x v="340"/>
    <s v="Burns"/>
    <s v="MI"/>
    <s v="Danielle"/>
    <s v="Email"/>
    <s v="Boe"/>
    <s v="Catherine &amp; Geir"/>
    <x v="0"/>
    <s v="Denver"/>
    <x v="19"/>
    <m/>
    <x v="5"/>
    <x v="498"/>
    <x v="774"/>
    <s v="Prior Lapse/NRN"/>
    <s v="We wrote this risk previously - insd &quot;forgot to renew&quot; on 5/11 and just realized it. Agt proposing w/lapse charge + 5% charge."/>
    <x v="4"/>
    <s v="&gt;700 ins scores. Lapse reason acceptable."/>
    <m/>
    <m/>
    <s v="Patterson"/>
    <m/>
    <m/>
    <n v="0"/>
  </r>
  <r>
    <x v="381"/>
    <s v="Hull Irvine"/>
    <s v="CA"/>
    <s v="Ashley"/>
    <m/>
    <s v="Williams"/>
    <s v="Erik"/>
    <x v="0"/>
    <s v="Canyon Lake"/>
    <x v="1"/>
    <s v="92587"/>
    <x v="2"/>
    <x v="499"/>
    <x v="708"/>
    <s v="Losses"/>
    <s v="1969 home quoted w/full water damage exclusion. WRS 26. 7/15 roof leak $1326, 4/18 HVAC pipe break $32K, 6/18 hwt burst $9K. "/>
    <x v="3"/>
    <s v="Ok w/ full water damage exclusion. Also, no backup, no mold."/>
    <m/>
    <m/>
    <s v="Patterson"/>
    <m/>
    <m/>
    <n v="0"/>
  </r>
  <r>
    <x v="325"/>
    <s v="JM Wilson"/>
    <s v="MI"/>
    <s v="Cheryl"/>
    <s v="Email"/>
    <s v="Hamilton"/>
    <s v="Stephen"/>
    <x v="2"/>
    <s v="Three Oaks"/>
    <x v="8"/>
    <m/>
    <x v="3"/>
    <x v="500"/>
    <x v="0"/>
    <s v="Occupancy/Use"/>
    <s v="DP3 short term rental. 20 weeks seasonal. One loss in 2017 where the hot tub froze, payout $8k. "/>
    <x v="4"/>
    <s v="Approved"/>
    <m/>
    <m/>
    <s v="Trott"/>
    <m/>
    <m/>
    <n v="0"/>
  </r>
  <r>
    <x v="543"/>
    <s v="Hull Charlotte"/>
    <m/>
    <s v="Alia"/>
    <s v="Email"/>
    <s v="Liggett, Peter"/>
    <m/>
    <x v="1"/>
    <s v="Hilton Head"/>
    <x v="20"/>
    <m/>
    <x v="0"/>
    <x v="501"/>
    <x v="775"/>
    <s v="Distance to coast"/>
    <s v="Guidelines state BR &lt;2 miles are ineligible. Agent bound in error without review. Lower value. Approx. 1/2 mi to coast."/>
    <x v="4"/>
    <m/>
    <m/>
    <m/>
    <s v="Patterson"/>
    <m/>
    <m/>
    <n v="0"/>
  </r>
  <r>
    <x v="310"/>
    <s v="Burns"/>
    <s v="MI"/>
    <s v="Ben"/>
    <s v="Email"/>
    <s v="Aburey, Frank"/>
    <m/>
    <x v="95"/>
    <s v="Colfax"/>
    <x v="1"/>
    <m/>
    <x v="4"/>
    <x v="502"/>
    <x v="776"/>
    <s v="Response time over 15 min"/>
    <s v="PC 10, in brush, no losses, questionnaire, app, map attached; 2002 build year. 16 minute response time. Reviewed Fireline and came back &quot;high&quot;; FD is volunteer"/>
    <x v="1"/>
    <m/>
    <m/>
    <m/>
    <s v="Burdine"/>
    <m/>
    <m/>
    <n v="1"/>
  </r>
  <r>
    <x v="334"/>
    <s v="Burns"/>
    <s v="MI"/>
    <s v="Jill"/>
    <s v="Email"/>
    <s v="Scapers Development LLC"/>
    <s v="Scapers Development LLC"/>
    <x v="0"/>
    <m/>
    <x v="36"/>
    <m/>
    <x v="5"/>
    <x v="503"/>
    <x v="777"/>
    <s v="Business on Premises"/>
    <s v="Company auto parked on premise as well as some outbuildings used to store business property. No business foot traffic on  property. Owner of LLC uses as primary residence. TBE quoted; Frame, primary, PC4, built in 1980, no losses, located in MO"/>
    <x v="3"/>
    <s v="OK w/ separation of business, no other concerns at address; OK with TBE"/>
    <m/>
    <m/>
    <s v="Burdine"/>
    <m/>
    <m/>
    <n v="0"/>
  </r>
  <r>
    <x v="43"/>
    <s v="Hull Irvine"/>
    <s v="CA"/>
    <s v="Lucas"/>
    <s v="Email"/>
    <s v="The 2012 Jose Raul Cortes Trust"/>
    <s v="The 2012 Jose Raul Cortes Trust"/>
    <x v="7"/>
    <s v="Canoga Park"/>
    <x v="1"/>
    <m/>
    <x v="11"/>
    <x v="504"/>
    <x v="778"/>
    <s v="Occupancy/Use"/>
    <s v="Original trustee passed, successor  trustee in home, rents out basement. Has music lessons in home, so added TBE and home rental endorsement"/>
    <x v="4"/>
    <s v="debited 12% and appropriate exclusions in place"/>
    <m/>
    <m/>
    <s v="Burdine"/>
    <m/>
    <m/>
    <n v="0"/>
  </r>
  <r>
    <x v="255"/>
    <s v="Hull CO"/>
    <s v="Horsham"/>
    <s v="Tamika"/>
    <s v="Email"/>
    <s v="20 Shemen"/>
    <m/>
    <x v="122"/>
    <s v="Lakewood NJ  PC"/>
    <x v="9"/>
    <m/>
    <x v="0"/>
    <x v="505"/>
    <x v="497"/>
    <s v="Synagogue in 2nd half"/>
    <s v="2 family home - 1 side is tenant. Other side is synagogue with 15 followers who come in 3 times a day. They have a GL."/>
    <x v="1"/>
    <s v="Declined due to this being a commercial exposure and we can't exclude. Liab is covered by the GL and we could apply business excl, but there is still an incr in prop hazard, and if we apply excl, there will be no coverage."/>
    <m/>
    <m/>
    <s v="Patterson"/>
    <m/>
    <m/>
    <n v="1"/>
  </r>
  <r>
    <x v="22"/>
    <s v="Hull Irvine"/>
    <s v="CA"/>
    <s v="Alison"/>
    <s v="Call"/>
    <s v="TBD"/>
    <m/>
    <x v="0"/>
    <m/>
    <x v="1"/>
    <m/>
    <x v="0"/>
    <x v="506"/>
    <x v="0"/>
    <s v="Losses"/>
    <s v="Policy being nonrenewed due to dog scratch and bite. 12 year old daschund bit a child.  Claim is open with $7K pending in case there is scarring."/>
    <x v="3"/>
    <s v="Agent will be applying Limited Animal Liab which will exclude this animal."/>
    <m/>
    <m/>
    <s v="Patterson"/>
    <m/>
    <m/>
    <n v="0"/>
  </r>
  <r>
    <x v="74"/>
    <s v="Hull Irvine"/>
    <m/>
    <s v="Alex"/>
    <s v="Call"/>
    <s v="Reed, Kincade"/>
    <m/>
    <x v="7"/>
    <m/>
    <x v="3"/>
    <m/>
    <x v="0"/>
    <x v="506"/>
    <x v="0"/>
    <s v="Proper policy format"/>
    <s v="Insured lives in guest house and rents out main house. On same property, same address."/>
    <x v="3"/>
    <s v="Decided to write guest house as A, rental house as B."/>
    <m/>
    <m/>
    <s v="Patterson"/>
    <m/>
    <m/>
    <n v="0"/>
  </r>
  <r>
    <x v="683"/>
    <s v="RPS Covington"/>
    <s v="LA"/>
    <s v="Suzanne"/>
    <s v="Email"/>
    <s v="Smith, Green"/>
    <m/>
    <x v="21"/>
    <s v="Hackberry"/>
    <x v="0"/>
    <m/>
    <x v="0"/>
    <x v="506"/>
    <x v="0"/>
    <s v="Dock home"/>
    <s v="New build, photos look good. Home on permanent piers/pilings above the water on Calcasieu Lake. "/>
    <x v="4"/>
    <s v="No flood, wind ded. We can't do floating homes, but have approved dock homes in the past."/>
    <m/>
    <m/>
    <s v="Patterson"/>
    <m/>
    <m/>
    <n v="0"/>
  </r>
  <r>
    <x v="126"/>
    <s v="Hull Irvine"/>
    <m/>
    <s v="Alex"/>
    <s v="Call"/>
    <s v="Pullman, Bryan"/>
    <m/>
    <x v="0"/>
    <m/>
    <x v="1"/>
    <m/>
    <x v="0"/>
    <x v="506"/>
    <x v="0"/>
    <s v="Minor renovation left"/>
    <s v="Was a COC for 6 months then rewritten, but insured/contractor had some interior work left and new carrier was not happy and got off the risk. All that remains now is paint and a few fixtures on ground floor. They will be &quot;finishing&quot; the attic with drywall, floor and paint.  Didn't feel this was more that an average homeowner may do. Plumbing and wiring is complete.  (Even if some attic wiring is done, at least insured is a elec contractor.)"/>
    <x v="4"/>
    <m/>
    <m/>
    <m/>
    <s v="Patterson"/>
    <m/>
    <m/>
    <n v="0"/>
  </r>
  <r>
    <x v="164"/>
    <s v="Hull Horsham"/>
    <s v="PA"/>
    <s v="Tamika"/>
    <s v="Call"/>
    <s v="Capstone Ins is agt-name TBD"/>
    <m/>
    <x v="123"/>
    <s v="Ewing"/>
    <x v="9"/>
    <m/>
    <x v="0"/>
    <x v="506"/>
    <x v="0"/>
    <s v="Prior loss"/>
    <s v="7 bedroom dwelling across from a college, currently vacant while insured decides if he might want to rent. Online photos look good. Claim in Aug 2017, break in, turned off water, stole copper. No security improvement. Police ramped up drive by. Has someone monitoring the property. Dwelling is winterized and good condition. Tamika already advised if risk is rented it must go commercial."/>
    <x v="3"/>
    <s v="Agreed to write as a DP1 with no theft or VMM. Condition of home must be good. On DP1, we won't have a concern about any of the worst case scenario losses (except arson). Decent client for decent agent."/>
    <m/>
    <n v="25"/>
    <s v="Patterson"/>
    <m/>
    <m/>
    <n v="0"/>
  </r>
  <r>
    <x v="201"/>
    <s v="ASL"/>
    <m/>
    <s v="Joanna"/>
    <s v="Email"/>
    <s v="Perez, Allen"/>
    <m/>
    <x v="0"/>
    <s v="Key West FL PC?"/>
    <x v="3"/>
    <m/>
    <x v="0"/>
    <x v="506"/>
    <x v="0"/>
    <s v="1st Row"/>
    <s v="2004 home. First row in the Keys."/>
    <x v="4"/>
    <s v="Verified w/Jeff, since x-wind first row even in the Keys is okay."/>
    <m/>
    <m/>
    <s v="Patterson"/>
    <m/>
    <m/>
    <n v="0"/>
  </r>
  <r>
    <x v="724"/>
    <s v="Hull CA"/>
    <s v="Irvine"/>
    <s v="Alex"/>
    <s v="Call"/>
    <m/>
    <m/>
    <x v="2"/>
    <m/>
    <x v="3"/>
    <m/>
    <x v="0"/>
    <x v="506"/>
    <x v="0"/>
    <s v="Trust ownership"/>
    <s v="8 trusts jointly own a home that was sold to an individual and rented out. The individual defaulted and the trust is taking it back, letting the renter stay and putting it up for sale. Unknown if titled in 8 trust names or 1. Current tenant gets 60 day notice. Expect slow sale due to location and market."/>
    <x v="3"/>
    <s v="Approved subject to info on titling/named insured. 8 names on a dec or claim check? Discussed that if defaulter is upset, might be less likely to do damage due to tenant occupancy. If tenant is upset, issues would likely be during the 60 day window which we wouldn't be part of."/>
    <m/>
    <m/>
    <m/>
    <m/>
    <m/>
    <n v="0"/>
  </r>
  <r>
    <x v="368"/>
    <s v="Burns"/>
    <s v="MI"/>
    <s v="Jill"/>
    <m/>
    <s v="Shoemaker"/>
    <s v="Dale"/>
    <x v="5"/>
    <s v="Buena Vista"/>
    <x v="19"/>
    <s v="81211"/>
    <x v="6"/>
    <x v="506"/>
    <x v="395"/>
    <s v="Other UW Reason"/>
    <s v="2019 year built log home. Just finishing building, maybe another 1-2 months for exterior to be finished. Will sit vacant for at least 3 years until daughter returns from China. When daughter returns she will complete inside of property. "/>
    <x v="2"/>
    <s v="Photos of home showed that there were no doors, windows, etc. and entire structure was open in those areas to the outside. Asked if that is still the case. Also asked the status of the electrical, plumbing, and heating systems, and if in place are they on or off. If on, any winterization plans?"/>
    <m/>
    <m/>
    <s v="Busse"/>
    <m/>
    <m/>
    <n v="0"/>
  </r>
  <r>
    <x v="441"/>
    <s v="Hull CA"/>
    <s v="Stockton"/>
    <s v="Lisa"/>
    <s v="Email"/>
    <s v="Cusing, George"/>
    <m/>
    <x v="6"/>
    <s v=" SF County PC2"/>
    <x v="3"/>
    <m/>
    <x v="0"/>
    <x v="506"/>
    <x v="395"/>
    <s v="Total fire"/>
    <s v="New builders risk from the ground up. Clue shows total fire 6/14 for $383,795. Insd did not disclose. Agt requoted and wanted rate approval."/>
    <x v="1"/>
    <s v="Asked for fire loss detail? Subro was noted on Clue. Details? Is there a Fire Marshall report? We may need it. They have 5% debit. Asked why. "/>
    <s v="Turns out fire started by barbeque.  Louisa declined when I was out of the office."/>
    <m/>
    <s v="Patterson/Trott"/>
    <m/>
    <m/>
    <n v="1"/>
  </r>
  <r>
    <x v="725"/>
    <s v="Hull CA"/>
    <s v="Irvine"/>
    <s v="Bobbi"/>
    <s v="Email"/>
    <s v="Hollister, Kenneth"/>
    <m/>
    <x v="1"/>
    <s v="Buellton"/>
    <x v="1"/>
    <m/>
    <x v="2"/>
    <x v="506"/>
    <x v="395"/>
    <s v="Insured is builder"/>
    <s v="New build. Insured is a self employed contractor. His company would be doing the work."/>
    <x v="1"/>
    <s v="Direction followed by Alison/Alex is we aren't writing these risks. Recently updated guidelines to reflect. Bobbi may not yet have those new guidelines."/>
    <m/>
    <m/>
    <s v="Patterson"/>
    <m/>
    <m/>
    <n v="1"/>
  </r>
  <r>
    <x v="483"/>
    <s v="Hull CO"/>
    <s v="Horsham"/>
    <s v="Tamika"/>
    <s v="Email"/>
    <s v="Ogden Street"/>
    <m/>
    <x v="1"/>
    <s v="Philadelphia PA PC3"/>
    <x v="2"/>
    <m/>
    <x v="9"/>
    <x v="506"/>
    <x v="779"/>
    <s v="Tail end construction"/>
    <s v="2016 remodel that is actually tail end construction. Agt calling it new construction but story is they had a COC, partner forgot to pay the premium and covg lapsed. Now they need a new policy. Has a flat roof, in Philly. "/>
    <x v="1"/>
    <s v="Discussed w/Jeff. Due to lapse and tail end, we are not comfortable."/>
    <m/>
    <m/>
    <s v="Patterson"/>
    <m/>
    <m/>
    <n v="1"/>
  </r>
  <r>
    <x v="726"/>
    <s v="Hull Stockton"/>
    <s v="CA"/>
    <s v="Lisa"/>
    <s v="Email"/>
    <s v="McCombs"/>
    <s v="Donald"/>
    <x v="124"/>
    <s v="Aptos"/>
    <x v="1"/>
    <m/>
    <x v="0"/>
    <x v="506"/>
    <x v="780"/>
    <s v="Lapse &gt;90 days"/>
    <s v="During bind request, revealed &gt;90 day lapses; $100K fire loss at another prop in 10/2017 (assume Santa Rosa fire)"/>
    <x v="3"/>
    <s v="10% surcharge, statement of no loss, and confirmation that loss is in fact from Santa Rosa"/>
    <m/>
    <m/>
    <s v="Burdine"/>
    <m/>
    <m/>
    <n v="0"/>
  </r>
  <r>
    <x v="453"/>
    <s v="Hull Irvine"/>
    <m/>
    <s v="Alison"/>
    <s v="Email"/>
    <s v="Pollack Investments"/>
    <m/>
    <x v="5"/>
    <s v="Coronado"/>
    <x v="1"/>
    <m/>
    <x v="0"/>
    <x v="506"/>
    <x v="7"/>
    <s v="Mid term builders risk"/>
    <s v="New build. Builder sold 85% complete to Pollack Investments who will finish and sell the home. Expect 3-6 month policy. Agent surcharged the vacant rate by 25%. Quoting w/50% earned premium"/>
    <x v="3"/>
    <s v="Corporate questionnaire. Prem liab okay if they want it.  https://www.zillow.com/homedetails/266-F-Ave-Coronado-CA-92118/17069694_zpid/"/>
    <m/>
    <m/>
    <s v="Patterson"/>
    <m/>
    <m/>
    <n v="0"/>
  </r>
  <r>
    <x v="545"/>
    <s v="Hull Irvine"/>
    <m/>
    <s v="Alison"/>
    <s v="Email"/>
    <s v="Pashaie, David"/>
    <m/>
    <x v="10"/>
    <s v="West Hollywood"/>
    <x v="1"/>
    <m/>
    <x v="8"/>
    <x v="506"/>
    <x v="424"/>
    <s v="Mid-term construction"/>
    <s v="Construction underway. Wrote w/ NatGen but they cancelled due to items still under construction. 1901 home completely gutted and rebuilt."/>
    <x v="0"/>
    <s v="w/Pool Exclusion &amp; 10% s/c for mid-term constr.//Follow up 3/2 that there was a prior theft and prior $72K water loss causing mold=leak in guest bath. Both from prior owners. Plumbing replaced and home is gutted and being renovated."/>
    <m/>
    <m/>
    <s v="Patterson"/>
    <m/>
    <m/>
    <n v="0"/>
  </r>
  <r>
    <x v="699"/>
    <s v="SCU"/>
    <s v="CO"/>
    <s v="Allison"/>
    <m/>
    <s v="Bishop"/>
    <s v="Thompson"/>
    <x v="4"/>
    <s v="Redstone"/>
    <x v="19"/>
    <s v="81623"/>
    <x v="4"/>
    <x v="506"/>
    <x v="720"/>
    <s v="Heat Source"/>
    <s v="1996 log home. Secondary use on a regular/frequent basis. Not 100% accessible in winter. Agt quoted w/$5K water damage and 10% surcharge."/>
    <x v="1"/>
    <s v="Moderate value, not accessible, regular use with woodstove as only heat. Don't feel any rate would make this okay."/>
    <m/>
    <m/>
    <s v="Patterson"/>
    <m/>
    <m/>
    <n v="1"/>
  </r>
  <r>
    <x v="467"/>
    <s v="Hull CO"/>
    <s v="NJ"/>
    <s v="Nichole"/>
    <s v="Email"/>
    <s v="Dietrich, Nan"/>
    <m/>
    <x v="1"/>
    <s v="Martha's Vineyard PC3"/>
    <x v="3"/>
    <m/>
    <x v="0"/>
    <x v="506"/>
    <x v="720"/>
    <s v="COC mid-construction"/>
    <s v="2016 home new construction. 80% complete, will be finished by June. 2 miles from coast."/>
    <x v="0"/>
    <s v="Why not at start of COC?  Insured not aware she needed to insure as builder said he covered it.  // Will we keep this if we write it? Yes.  // Is $500k the RC, or cost? Needs to be 100% RC.  Yes, this is the RC."/>
    <m/>
    <m/>
    <s v="Patterson"/>
    <m/>
    <m/>
    <n v="0"/>
  </r>
  <r>
    <x v="567"/>
    <s v="Burns"/>
    <s v="MI"/>
    <s v="Jill"/>
    <s v="Email"/>
    <s v="Curtis, Nichole"/>
    <m/>
    <x v="2"/>
    <s v="Detroit MI PC3"/>
    <x v="3"/>
    <m/>
    <x v="0"/>
    <x v="506"/>
    <x v="720"/>
    <s v="High profile"/>
    <s v="1913 home renovated in 2015 by HGTV Rehab Addict star. Located in avg-below avg Detroit neighborhood. Online shows surrounding to be okay. Online article referenced in email to agent indicates Curtis has had issues with pulling proper permits. Negative info about the building process. "/>
    <x v="1"/>
    <s v="Along with her celebrity and being a builder, liability and building condition are a concern.  Advised Jill we would want to pass on any risks for this insured."/>
    <m/>
    <m/>
    <s v="Patterson"/>
    <m/>
    <m/>
    <n v="1"/>
  </r>
  <r>
    <x v="727"/>
    <s v="Burns"/>
    <s v="MI"/>
    <s v="Delta"/>
    <s v="Email"/>
    <s v="Canepa, Douglas"/>
    <m/>
    <x v="2"/>
    <s v="Glen Ellen"/>
    <x v="1"/>
    <m/>
    <x v="5"/>
    <x v="506"/>
    <x v="781"/>
    <s v="Farming on premises/Open loss"/>
    <s v="1994 dwelling in brush. It is a rental. The insured farms 3.1 acres of fruit and vegetables for the market owned by his family. Open loss - 6/1/16 water damage - fridge line broke. $23,777 paid. Online sources show 1991 yoc. WBS in insp photo. App from 2014."/>
    <x v="0"/>
    <s v="Resolve water loss - how far along? Why still open. If okay, approve subj to: • Add Total Business Exclusion (BWD0185).  Compliance is getting us a copy of the form.  Will forward as soon as I get it from them.  Similar to BWH0185._x000a_• Check year of construction. Online sources list this as a 1991 unit https://www.homeinfomax.com/property-records/397209718/13240-arnold-dr-glen-ellen-ca-95442/sonoma-county_x000a_• Inspection shows a woodburning stove.  Need current and acceptable woodstove questionnaire._x000a_• App is from 2014.  Need current and acceptable application._x000a_2/1/17- damages now repaired, claim closed. Approved/subj to listed items."/>
    <m/>
    <m/>
    <s v="Patterson"/>
    <m/>
    <m/>
    <n v="0"/>
  </r>
  <r>
    <x v="371"/>
    <s v="Burns"/>
    <s v="MI"/>
    <s v="Jill"/>
    <s v="Email"/>
    <s v="Laks"/>
    <s v="Yael"/>
    <x v="0"/>
    <m/>
    <x v="1"/>
    <m/>
    <x v="8"/>
    <x v="506"/>
    <x v="782"/>
    <s v="Business on Premises"/>
    <s v="Insured lives in home, leases land to non-profit animal shelt-The Gentle Barn (GL policy in place). Quoted w/ animal liability and Cov B exclusions and TBE, no brush"/>
    <x v="3"/>
    <s v="Approved, subject to x-liability. Per website, large operation. Animal interaction encounters/events/etc. https://www.gentlebarn.org/california"/>
    <m/>
    <m/>
    <s v="Burdine"/>
    <m/>
    <m/>
    <n v="0"/>
  </r>
  <r>
    <x v="40"/>
    <s v="XS Brokers"/>
    <s v="MA"/>
    <s v="Brendan"/>
    <s v="Email"/>
    <s v="Keenan"/>
    <s v="Jill"/>
    <x v="2"/>
    <s v="Norwich"/>
    <x v="25"/>
    <m/>
    <x v="0"/>
    <x v="506"/>
    <x v="148"/>
    <s v="Prior Lapse/NRN"/>
    <s v="non-renewed due to claims-07/2017-car drove into insured home, 04/2017-fire claim caused by occupant negligence (elderly woman,still lives in home), asbestos siding, 2 units rented through Section 8"/>
    <x v="1"/>
    <s v="home condition and fire loss unacceptable"/>
    <m/>
    <m/>
    <s v="Burdine"/>
    <m/>
    <m/>
    <n v="1"/>
  </r>
  <r>
    <x v="728"/>
    <s v="Hull Charlotte"/>
    <s v="NC"/>
    <s v="Whitney"/>
    <m/>
    <s v="Jones"/>
    <s v="Ronald"/>
    <x v="42"/>
    <s v="Charleston"/>
    <x v="11"/>
    <s v="29401"/>
    <x v="11"/>
    <x v="506"/>
    <x v="579"/>
    <s v="TIV"/>
    <s v="Condo with $500K limit. Maximum is stopping them at $150K.  "/>
    <x v="4"/>
    <s v="Current guidelines allow $150K"/>
    <m/>
    <m/>
    <s v="Patterson"/>
    <m/>
    <m/>
    <n v="0"/>
  </r>
  <r>
    <x v="729"/>
    <s v="Hull Irvine"/>
    <s v="CA"/>
    <s v="Bobbi"/>
    <s v="Email"/>
    <s v="Morales"/>
    <s v="Therese"/>
    <x v="0"/>
    <s v="Menifee"/>
    <x v="1"/>
    <m/>
    <x v="9"/>
    <x v="506"/>
    <x v="579"/>
    <s v="Losses"/>
    <s v="1994 year built. Insured had two prior water losses, 11/2015 and 2/2018. The 2018 claim is currently still open, but repairs have been made and they are just dealing with the settlement amount with prior carrier which is why still technically open. Affected areas were re-piped, but not entire home. "/>
    <x v="3"/>
    <s v="Approved subject to confirmation that repairs have been made. $25,000 water deductible and also to confirm condition of roof, as no indication of update since year built in 1994 and to add ACV if necessary. "/>
    <m/>
    <m/>
    <s v="Busse"/>
    <m/>
    <m/>
    <n v="0"/>
  </r>
  <r>
    <x v="69"/>
    <s v="Burns"/>
    <s v="MI"/>
    <s v="Leslie"/>
    <s v="Email"/>
    <s v="Gold, Larry"/>
    <m/>
    <x v="2"/>
    <s v="Los Angeles"/>
    <x v="1"/>
    <m/>
    <x v="0"/>
    <x v="506"/>
    <x v="579"/>
    <s v="High profile"/>
    <s v="1948 home updated in 2016. Insd is producer, but nothing current found."/>
    <x v="4"/>
    <m/>
    <m/>
    <m/>
    <s v="Patterson"/>
    <m/>
    <m/>
    <n v="0"/>
  </r>
  <r>
    <x v="240"/>
    <s v="Burns"/>
    <s v="MI"/>
    <s v="Ben"/>
    <s v="Email"/>
    <s v="Whitehall, Lauren"/>
    <m/>
    <x v="0"/>
    <s v="St. Louis MO  PC4"/>
    <x v="3"/>
    <m/>
    <x v="0"/>
    <x v="506"/>
    <x v="610"/>
    <s v="Prior total fire loss"/>
    <s v="1970 home had a total fire 10/11/2015. Still have open claim for contents. That isn't a problem. The issue is, the Fire Report has no cause/origin. It is basically the firefighters notes, not the investigation. (Note: the app says insured was burned trying to put out the fire. The report notes say EMT was called for woman with a fractured ankle, no mention of burn victim. App says fire started in kitchen and spread to garage. Report sounds like the issue started in the garage and spread to the kitchen. I called Ben and advised him of this info. ) Ins Score is 912."/>
    <x v="2"/>
    <s v="Advised Ben we could not approve without the investigation notes.  Last line of report states: &quot;Inspector McKay conducted an investigation&quot;. "/>
    <m/>
    <m/>
    <s v="Patterson"/>
    <m/>
    <m/>
    <n v="0"/>
  </r>
  <r>
    <x v="569"/>
    <s v="Burns"/>
    <s v="MI"/>
    <s v="Jill"/>
    <s v="Email"/>
    <s v="Cunningham, James"/>
    <m/>
    <x v="2"/>
    <s v="Placerville CA PC6"/>
    <x v="3"/>
    <m/>
    <x v="0"/>
    <x v="506"/>
    <x v="783"/>
    <s v="Oth Str&gt;35%"/>
    <s v="7 acres with 2 homes - primary and granny flat. Both are rented 2 horses on the property owned by the tenant."/>
    <x v="4"/>
    <s v="Approved w/animal exclusion. Okay as quoted."/>
    <m/>
    <m/>
    <s v="Patterson"/>
    <m/>
    <m/>
    <n v="0"/>
  </r>
  <r>
    <x v="580"/>
    <s v="SCU"/>
    <s v="CO"/>
    <s v="Allison"/>
    <m/>
    <s v="Lee"/>
    <s v="Lana"/>
    <x v="42"/>
    <s v="Denver"/>
    <x v="19"/>
    <s v="80218"/>
    <x v="11"/>
    <x v="506"/>
    <x v="675"/>
    <s v="Losses"/>
    <s v="1969 condo updated in 2015, roof in 2000. 3 prior losses. 4/5/18 fountain on balcony overflowed $1200. 5/22/18 water off in building, insd left sink on didn't know it, overflow to her kitchen and downstairs unit $24K 8/15/18 - theft from auto $0. Quoted w/5K AOP. Flat roof. Quoted w/backup."/>
    <x v="3"/>
    <s v="Okay with $10K water damage deductible (could change AOP to $2500 with that)"/>
    <s v="I ran ins score 664 - 5% s/c"/>
    <m/>
    <s v="Patterson"/>
    <m/>
    <m/>
    <n v="0"/>
  </r>
  <r>
    <x v="506"/>
    <s v="ASL"/>
    <m/>
    <s v="Charity"/>
    <s v="Email"/>
    <s v="Gissel, David"/>
    <m/>
    <x v="21"/>
    <s v="Toano, VA PC10"/>
    <x v="3"/>
    <m/>
    <x v="0"/>
    <x v="506"/>
    <x v="691"/>
    <s v="PC10"/>
    <s v="2007 home, central fire/burglar."/>
    <x v="4"/>
    <s v="Approved subject to confirmation of 15 minute or less response time."/>
    <m/>
    <m/>
    <s v="Patterson"/>
    <m/>
    <m/>
    <n v="0"/>
  </r>
  <r>
    <x v="195"/>
    <s v="Hull CA"/>
    <s v="Irvine"/>
    <s v="Bobbi"/>
    <s v="Email"/>
    <s v="Gwin, Laura"/>
    <m/>
    <x v="0"/>
    <s v="Perris CA PC9"/>
    <x v="3"/>
    <m/>
    <x v="0"/>
    <x v="506"/>
    <x v="12"/>
    <s v="Business on Prop"/>
    <s v="1980 home/dog business separated by trees and separate drive/lot. Sub controls business prop/liab-full business exclusion."/>
    <x v="4"/>
    <s v="7 questions sent to agent answered satisfactorily. Business separation, exclusion applied, sub agt controls coml. Insds dogs don't go to the business."/>
    <m/>
    <m/>
    <s v="Patterson"/>
    <m/>
    <m/>
    <n v="0"/>
  </r>
  <r>
    <x v="202"/>
    <s v="Burns"/>
    <s v="MI"/>
    <s v="Leslie"/>
    <s v="Email"/>
    <s v="Toback, Fabienne"/>
    <m/>
    <x v="0"/>
    <s v="Studio City CA PC2"/>
    <x v="3"/>
    <m/>
    <x v="0"/>
    <x v="506"/>
    <x v="12"/>
    <s v="High profile"/>
    <s v="1949 home. Fully updated plumbing and heating. Partial wire update. 1 water loss 1/14 $90 K pipe burst. Prior carrier NRN for retaining wall within 10' of home.  Response back after checking indicates roof is 10 yrs old and elec has been updated. It is 100 amp, no knob/tube. Advised FRC required due to not gutted."/>
    <x v="4"/>
    <s v="Approved pending acceptable explanation about what the issue is with the retaining wall."/>
    <m/>
    <m/>
    <s v="Patterson"/>
    <m/>
    <m/>
    <n v="0"/>
  </r>
  <r>
    <x v="247"/>
    <s v="Quaker"/>
    <m/>
    <s v="Cathy"/>
    <s v="Email"/>
    <s v="Mathewson, Timonty"/>
    <m/>
    <x v="0"/>
    <s v="Ferrisburgh VT  PC?"/>
    <x v="3"/>
    <m/>
    <x v="0"/>
    <x v="506"/>
    <x v="12"/>
    <s v="Dome home"/>
    <s v="2001 dome home on 10 acres."/>
    <x v="1"/>
    <s v="Advised Cathy this is on the new guidelines as ineligible."/>
    <m/>
    <m/>
    <s v="Patterson"/>
    <m/>
    <m/>
    <n v="1"/>
  </r>
  <r>
    <x v="378"/>
    <s v="Burns"/>
    <s v="MI"/>
    <s v="Leslie"/>
    <m/>
    <s v="Addison"/>
    <s v="Janice"/>
    <x v="0"/>
    <s v="Renton"/>
    <x v="13"/>
    <s v="98058"/>
    <x v="0"/>
    <x v="506"/>
    <x v="676"/>
    <s v="Business on Premises"/>
    <s v="1925 home w/multiple business on premises.  Insd owns 9 horses. Up to 6 more can be boarded. Separate individual uses their arena for training and riding lessons. Also has cheese making business.  All activities are insured separately. Quoted with TBE and Animal Excl."/>
    <x v="1"/>
    <s v="Very large exposure with the multiple businesses."/>
    <m/>
    <m/>
    <s v="Patterson"/>
    <m/>
    <m/>
    <n v="1"/>
  </r>
  <r>
    <x v="368"/>
    <s v="JM Wilson"/>
    <s v="MI"/>
    <s v="Cheryl"/>
    <m/>
    <s v="Clements"/>
    <s v="Nicholas"/>
    <x v="0"/>
    <s v="Johns Island"/>
    <x v="20"/>
    <s v="29455"/>
    <x v="2"/>
    <x v="506"/>
    <x v="647"/>
    <s v="Other UW Reason"/>
    <s v="Location - 1985 home in PC5. Island has their own FD. "/>
    <x v="1"/>
    <s v="Guidelines say no risks on barrier islands. Verified on google this is a barrier island."/>
    <m/>
    <m/>
    <s v="Patterson"/>
    <m/>
    <m/>
    <n v="1"/>
  </r>
  <r>
    <x v="730"/>
    <s v="Burns"/>
    <s v="MI"/>
    <s v="Rachel"/>
    <s v="Email"/>
    <s v="Hernandez"/>
    <s v="Val"/>
    <x v="4"/>
    <s v="Madison"/>
    <x v="12"/>
    <m/>
    <x v="4"/>
    <x v="506"/>
    <x v="647"/>
    <s v="PC"/>
    <s v="WI risk (no brush), response time 17-30 minutes, no alarms"/>
    <x v="3"/>
    <s v="photos, value, PCQ acceptable, advised need to get to .60/100 as agreed"/>
    <m/>
    <m/>
    <s v="Burdine"/>
    <m/>
    <m/>
    <n v="0"/>
  </r>
  <r>
    <x v="726"/>
    <s v="Hull Irvine"/>
    <s v="CA"/>
    <s v="Alison"/>
    <s v="Email"/>
    <s v="Somogyi"/>
    <s v="Christi"/>
    <x v="0"/>
    <s v="Santa Ana"/>
    <x v="1"/>
    <m/>
    <x v="2"/>
    <x v="506"/>
    <x v="647"/>
    <s v="Open claim"/>
    <s v="Pending liab loss. Claimant tripped on sidewalk which was heaved by tree roots. Repair made. HOA and another owner are responsible, not our insured. Still open, going to trial soon."/>
    <x v="3"/>
    <s v="Since repair made, no further hazard. "/>
    <m/>
    <m/>
    <s v="Patterson"/>
    <m/>
    <m/>
    <n v="0"/>
  </r>
  <r>
    <x v="302"/>
    <s v="Hull CA"/>
    <s v="Irvine"/>
    <s v="Alison"/>
    <s v="Email"/>
    <s v="Kagan, Milton"/>
    <m/>
    <x v="0"/>
    <s v="Los Angeles"/>
    <x v="1"/>
    <m/>
    <x v="0"/>
    <x v="507"/>
    <x v="784"/>
    <s v="Rate reduction?"/>
    <s v="1962 home updated. Agt moving from Lloyds. Looking to match rate of $2456. Risk looks fine. In Renie fire zone."/>
    <x v="3"/>
    <s v="Gave 12% credit to get rate to $20 more than Lloyds. Good agent. Good risk."/>
    <m/>
    <m/>
    <m/>
    <m/>
    <m/>
    <n v="0"/>
  </r>
  <r>
    <x v="731"/>
    <s v="Hull Irvine"/>
    <s v="CA"/>
    <s v="Alison"/>
    <m/>
    <s v="Hinduja"/>
    <s v="Deepak"/>
    <x v="0"/>
    <s v="Simi Valley"/>
    <x v="1"/>
    <s v="93063"/>
    <x v="0"/>
    <x v="508"/>
    <x v="785"/>
    <s v="Losses"/>
    <s v="1950 home updated in 06, roof in 16. No PPC. 31 WRD. 2 prior losses: 1/4/17 $55K fridge line leak; line replaced.  7/31/16 roof leak; roof replaced.  Has been w/Lloyds but that Lloyds market has pulled out."/>
    <x v="0"/>
    <s v="Asked for DOB to run ins score. Also need to run PPC. Questioning if insd may have used insurance as home maintenance.// 2/5/19 Acceptable score 1.00 factor. PC4 confirmed. $25K water damage ded. No indication this is maintenance policy. Issues repaired. Will ask to confirm plumbing updates at inspection."/>
    <m/>
    <m/>
    <s v="Patterson"/>
    <m/>
    <m/>
    <n v="0"/>
  </r>
  <r>
    <x v="520"/>
    <s v="Burns"/>
    <s v="MI"/>
    <s v="Jill"/>
    <s v="Email"/>
    <s v="Landrum"/>
    <s v="Harry &amp; Concetta"/>
    <x v="0"/>
    <s v="Mullica Hill"/>
    <x v="9"/>
    <m/>
    <x v="8"/>
    <x v="508"/>
    <x v="755"/>
    <s v="Business in home"/>
    <s v="1994 home w/heating update. Insd has optometrist business in home w/separate entrance. Has BOB and WC. 50 patients/week. Agt quoted with Total Business Exclusion."/>
    <x v="3"/>
    <s v="Okay excluding liability.  Medical exposure and heavy foot traffic in the home itself.  Concern of large loss that we would have to defend."/>
    <m/>
    <m/>
    <s v="Patterson"/>
    <m/>
    <m/>
    <n v="0"/>
  </r>
  <r>
    <x v="94"/>
    <s v="Hull Irvine"/>
    <m/>
    <s v="Alison"/>
    <s v="Email"/>
    <s v="Pham, Trinh-Kha"/>
    <m/>
    <x v="0"/>
    <s v="West Covina"/>
    <x v="1"/>
    <m/>
    <x v="10"/>
    <x v="509"/>
    <x v="561"/>
    <s v="Occupancy"/>
    <s v="1983 home owned by daughter, occupied by mother, no rent. Daughter visits the home."/>
    <x v="4"/>
    <s v="Mother is an insured based on policy definition."/>
    <m/>
    <m/>
    <s v="Patterson"/>
    <m/>
    <m/>
    <n v="0"/>
  </r>
  <r>
    <x v="732"/>
    <s v="Burns"/>
    <s v="MI"/>
    <s v="Nicole"/>
    <m/>
    <s v="Kirk"/>
    <s v="Justin"/>
    <x v="0"/>
    <s v="Los Angeles"/>
    <x v="1"/>
    <s v="90068"/>
    <x v="11"/>
    <x v="510"/>
    <x v="786"/>
    <s v="High Profile"/>
    <s v="1962 year built with complete updates in 2009 and roof in 2013. WRS 83. Applicant is an actor, no adverse information  found."/>
    <x v="4"/>
    <s v="No concerns with profile of applicant. Approved terms. "/>
    <m/>
    <m/>
    <s v="Busse"/>
    <m/>
    <m/>
    <n v="0"/>
  </r>
  <r>
    <x v="733"/>
    <s v="Hull Irvine"/>
    <s v="CA"/>
    <s v="Alison"/>
    <s v="Email"/>
    <s v="TBD"/>
    <m/>
    <x v="2"/>
    <s v="Santa Monica"/>
    <x v="1"/>
    <m/>
    <x v="0"/>
    <x v="511"/>
    <x v="0"/>
    <s v="Occupancy/Use"/>
    <s v="Insured renting home to a doctor who will live and work out of the home doing consultations for his patients."/>
    <x v="1"/>
    <s v="This is a better fit commercially"/>
    <m/>
    <m/>
    <s v="Patterson"/>
    <m/>
    <m/>
    <n v="1"/>
  </r>
  <r>
    <x v="734"/>
    <s v="Hull Horsham"/>
    <s v="NJ"/>
    <s v="Lisa"/>
    <m/>
    <s v="Albanese"/>
    <s v="Anthony"/>
    <x v="5"/>
    <s v="Bethany"/>
    <x v="26"/>
    <s v="26032"/>
    <x v="0"/>
    <x v="511"/>
    <x v="507"/>
    <s v="Occupancy/Use"/>
    <s v="1850 historical landmark in WV currently vacant and retained for historic purposes. On college campus. Will soon be owned by the original Fraternity. Not occupied. Online application for historic status say it has been used as a museum."/>
    <x v="1"/>
    <s v="Directed this to a commercial policy."/>
    <m/>
    <m/>
    <s v="Patterson"/>
    <m/>
    <m/>
    <n v="1"/>
  </r>
  <r>
    <x v="190"/>
    <s v="Burns"/>
    <s v="MI"/>
    <s v="Jill"/>
    <s v="Email"/>
    <s v="Glosso"/>
    <s v="David"/>
    <x v="0"/>
    <s v="Shingle Springs"/>
    <x v="1"/>
    <m/>
    <x v="5"/>
    <x v="511"/>
    <x v="787"/>
    <s v="Horses and lessons"/>
    <s v="1997 home w/updates. Insured has 4 personal horse and 2 personal ponies. 5 acres. Personal use. Occasional horseback riding lessons. No boarding."/>
    <x v="0"/>
    <s v="Online search shows more going on than riding. Purchase shows new so possibly prior owner business. Questions to Jill. If we proceed it will be subject to:_x000a_• Animal exclusion_x000a_• Total business exclusion_x000a_• Possibly the Building exclusion for any buildings and fencing used in the business._x000a_This is all previous owner. Current owner's partner conducts no more than 5 lessons/week. Has liab pol. They may keep a friends horse occasionally.. Approved as noted above."/>
    <m/>
    <m/>
    <s v="Patterson"/>
    <m/>
    <m/>
    <n v="0"/>
  </r>
  <r>
    <x v="673"/>
    <s v="Hull Irvine"/>
    <s v="CA"/>
    <s v="Alison"/>
    <s v="Email"/>
    <s v="Oort, Ronald"/>
    <m/>
    <x v="0"/>
    <s v="Brentwood"/>
    <x v="1"/>
    <m/>
    <x v="8"/>
    <x v="512"/>
    <x v="788"/>
    <s v="Open Dog Bite/Claim"/>
    <s v="Chinook dog bit friend of a dogsitter at end of 2016; open claim reserved, dog still in home; wants quote with $10K animal liab w/ specific dog excluded."/>
    <x v="3"/>
    <s v="claim still open, large reserves ($100K), dog still in home; approved subject to animal liab exclusion"/>
    <m/>
    <m/>
    <s v="Burdine"/>
    <m/>
    <m/>
    <n v="0"/>
  </r>
  <r>
    <x v="492"/>
    <s v="Burns"/>
    <s v="MI"/>
    <s v="Jill"/>
    <s v="Email"/>
    <s v="Stanton"/>
    <s v="Mindy"/>
    <x v="0"/>
    <s v="Wyoming"/>
    <x v="31"/>
    <m/>
    <x v="3"/>
    <x v="513"/>
    <x v="755"/>
    <s v="Business on Premises"/>
    <s v="Daycare on premises.  Has coverage elsewhere for business exposure.  Quoted with Total Business Exclusion and Excluding Liability.  Up to 14 children."/>
    <x v="4"/>
    <s v="Liability excluded, plus TBE to exclude any physical damage exposures from Daycare. Daycare Coml policy in place."/>
    <m/>
    <m/>
    <s v="Patterson"/>
    <m/>
    <m/>
    <n v="0"/>
  </r>
  <r>
    <x v="149"/>
    <s v="Burns"/>
    <s v="MI"/>
    <s v="Jill"/>
    <s v="Email"/>
    <s v="Newton"/>
    <s v="Richard &amp; New, Lindy"/>
    <x v="7"/>
    <s v="Flagstaff"/>
    <x v="7"/>
    <m/>
    <x v="2"/>
    <x v="514"/>
    <x v="789"/>
    <s v="Business in home"/>
    <s v="2004 dwelling. Main home will be rented out short term or Vacation rental. Insured will live in connected guest house and run his contractor office out of it. No employees, no foot traffic. Agt applying business exclusion."/>
    <x v="3"/>
    <s v="Total business exclusion. Confirm no business storage in any other structures. Also STRQ as noted. WBS on 2 pellet stoves"/>
    <m/>
    <n v="23"/>
    <s v="Patterson"/>
    <m/>
    <m/>
    <n v="0"/>
  </r>
  <r>
    <x v="735"/>
    <s v="Burns"/>
    <s v="MI"/>
    <s v="Rachel"/>
    <m/>
    <s v="Curtis"/>
    <s v="Nicole"/>
    <x v="4"/>
    <s v="Oxford"/>
    <x v="8"/>
    <s v="48371"/>
    <x v="9"/>
    <x v="514"/>
    <x v="790"/>
    <s v="High Profile"/>
    <s v="1958 home with updates to systems. Applicant is Nicole Curtis, most known for Rehab Addict on HGTV. Have received previous referrals in 2016 and 2017 from Burns for this applicant. There were previous underlying concerns with building practices and locations and her celebrity. "/>
    <x v="1"/>
    <s v="Previously told Jill and Delta that we would pass on any future risks for this applicant. Stance remains the same, risk is being declined. "/>
    <m/>
    <m/>
    <s v="Busse"/>
    <m/>
    <m/>
    <n v="1"/>
  </r>
  <r>
    <x v="203"/>
    <s v="Burns"/>
    <s v="MI"/>
    <s v="Leslie"/>
    <s v="Email"/>
    <s v="Burton, Mitchell"/>
    <m/>
    <x v="5"/>
    <s v="Spring City, UT 84662  PC4"/>
    <x v="3"/>
    <m/>
    <x v="0"/>
    <x v="514"/>
    <x v="791"/>
    <s v="1 year policy"/>
    <s v="1976 home w/ full updates. Agt asking for okay for 1 year policy. Home up for sale and vacant. Prior tenant vandalism and broken pipe. Plumb updated in 2013, broken pipe in 2015.  "/>
    <x v="0"/>
    <s v="Broken pipe was actually failure of the cold water supply line."/>
    <m/>
    <m/>
    <s v="Patterson"/>
    <m/>
    <m/>
    <n v="0"/>
  </r>
  <r>
    <x v="6"/>
    <s v="Burns"/>
    <s v="MI"/>
    <s v="Lindsay"/>
    <m/>
    <s v="Huelsing"/>
    <s v="Erin"/>
    <x v="0"/>
    <s v="St. Louis"/>
    <x v="36"/>
    <s v="63128"/>
    <x v="8"/>
    <x v="515"/>
    <x v="792"/>
    <s v="Losses"/>
    <s v="2017 primary home w/ large liab loss. 75/17. $300K paid. Insd was marking off yard for fencing just after buying home. Had items on sidewalk including a string line. Claimant tripped and fell. "/>
    <x v="4"/>
    <s v="Fluke loss. Insd now has a fence and should have no similar issues. // 6/4/19 MP agent asked to refresh the terms. Approved."/>
    <s v="Clue provided is blank. I re-ran A+ and it confirms claimant name and amount paid. Insd is not high profile and this is not a high value home. Not a target risk. Insured is an accountant."/>
    <m/>
    <s v="Patterson"/>
    <m/>
    <m/>
    <n v="0"/>
  </r>
  <r>
    <x v="205"/>
    <s v="Hull CO"/>
    <s v="PA"/>
    <s v="Nichole"/>
    <s v="Email"/>
    <s v="Brown, Leah"/>
    <m/>
    <x v="0"/>
    <s v="Martha's Vineyard PC4"/>
    <x v="3"/>
    <m/>
    <x v="0"/>
    <x v="516"/>
    <x v="793"/>
    <s v="1870 home"/>
    <s v="1870 home - level of gut/remodel unknown - asked agent to check. Must be some level of being redone to qualify. Checked CQ rating and we are getting adequate rate."/>
    <x v="0"/>
    <s v="agreed to release terms w/ supplemental heating and plumbing rider as part of that inspection w/in UW  discovery period"/>
    <m/>
    <m/>
    <s v="Patterson/Trott"/>
    <m/>
    <m/>
    <n v="0"/>
  </r>
  <r>
    <x v="451"/>
    <s v="Hull Irvine"/>
    <s v="CA"/>
    <s v="Tina"/>
    <m/>
    <s v="Austin"/>
    <s v="Rich"/>
    <x v="0"/>
    <s v="Greenwood"/>
    <x v="1"/>
    <s v="95635"/>
    <x v="2"/>
    <x v="517"/>
    <x v="794"/>
    <s v="Prior Lapse/NRN"/>
    <s v="Built 1987, being non-renewed by Lexington due to their new dual street requirement. Updates to plumbing 2015, heating 2010 and roofing 2016. WRS is 92"/>
    <x v="1"/>
    <s v="Declined due to updated guidelines around WRS. "/>
    <m/>
    <m/>
    <s v="Busse"/>
    <m/>
    <m/>
    <n v="1"/>
  </r>
  <r>
    <x v="23"/>
    <s v="Hull Irvine"/>
    <s v="CA"/>
    <s v="Bobbi"/>
    <s v="Email"/>
    <s v="Holzapfel"/>
    <s v="Laurie"/>
    <x v="0"/>
    <s v="Ventura"/>
    <x v="1"/>
    <m/>
    <x v="0"/>
    <x v="518"/>
    <x v="795"/>
    <s v="Prior Lapse/NRN"/>
    <s v="Lapse since October 2017 (nonpay) having trouble placing due to brush"/>
    <x v="3"/>
    <s v="approval to offer terms on this risk, subject to a lapse surcharge, a RiskMeter, and acceptable Older Home Questionnaire. "/>
    <m/>
    <m/>
    <s v="Burdine"/>
    <m/>
    <m/>
    <n v="0"/>
  </r>
  <r>
    <x v="736"/>
    <s v="Burns"/>
    <s v="MI"/>
    <s v="Benjamin"/>
    <s v="Email"/>
    <s v="Abbot, Dalia"/>
    <m/>
    <x v="38"/>
    <s v="Woodmere, NY PC2"/>
    <x v="3"/>
    <m/>
    <x v="0"/>
    <x v="519"/>
    <x v="796"/>
    <s v="Business on prop"/>
    <s v="Insured is a therapist (per online-nutritional therapist), new purchase, planning to live and see clients in home, no signage on home"/>
    <x v="2"/>
    <s v="Questioned where in residence therapy will be held, if this is the sole location for practice,a nd how frequent expect to see clients"/>
    <m/>
    <m/>
    <s v="K. Burdine"/>
    <m/>
    <m/>
    <n v="0"/>
  </r>
  <r>
    <x v="737"/>
    <s v="Burns NC"/>
    <s v="NC"/>
    <s v="Anella"/>
    <s v="Email"/>
    <s v="Pennington, Maureen"/>
    <m/>
    <x v="0"/>
    <s v="Wilmington"/>
    <x v="11"/>
    <m/>
    <x v="8"/>
    <x v="519"/>
    <x v="797"/>
    <s v="historic registry"/>
    <s v="On historic registry but no public tours . All systems updated 2014. Credit Score: 754_x000a_Year Built: 1933_x000a_"/>
    <x v="3"/>
    <s v="Per photos, no ornate details in home, Approved subject to confirming no rules in place regarding rebuild"/>
    <s v=" *note: discussed w/ agent that &quot;additional considerations characteristics&quot; are actually considered ineligible. "/>
    <m/>
    <s v="Burdine"/>
    <m/>
    <m/>
    <n v="0"/>
  </r>
  <r>
    <x v="449"/>
    <s v="Hull Horsham"/>
    <s v="PA"/>
    <s v="Nichole"/>
    <m/>
    <s v="White"/>
    <s v="Bryan"/>
    <x v="0"/>
    <s v="Bristow"/>
    <x v="10"/>
    <n v="20136"/>
    <x v="9"/>
    <x v="519"/>
    <x v="798"/>
    <s v="Losses"/>
    <s v="Two large losses. Fire in 2017 for $664K. Fire investigation appears to be laptop which had recall for spontaneous battery fires. Repairs are complete. Tree fell on fence 2/18 ($2k). Home built in 2007 with frame construction."/>
    <x v="4"/>
    <s v="Fire was due to a laptop. Loss surcharge is 25% for 2 losses and feel that is adequate."/>
    <m/>
    <m/>
    <s v="Lazovik"/>
    <m/>
    <m/>
    <n v="0"/>
  </r>
  <r>
    <x v="738"/>
    <s v="Burns"/>
    <s v="MI"/>
    <s v="Rachel"/>
    <s v="Email"/>
    <s v="Shinavar"/>
    <s v="Nicole"/>
    <x v="6"/>
    <s v="Las Vegas"/>
    <x v="39"/>
    <m/>
    <x v="8"/>
    <x v="520"/>
    <x v="799"/>
    <s v="Losses"/>
    <s v="_x000a_Attached is a builders risk DP-3 four-plex located in NV. Home was built in 1984 of frame construction, with full roof updates in 2017. PC2. 3 losses, one open.-fire loss, $100K reserve. Anticipated closing date 03/31 or upon completion of repairs. Fire loss due to accidental cooking fire. 1 unit still ok, other 3 under repairs.  (quoted premium $4990)_x000a_"/>
    <x v="4"/>
    <s v="Requested status of repairs//about 20% complete. Mostly kitchen left (already gutted). Agreed with 5% surcharge"/>
    <m/>
    <m/>
    <s v="Burdine"/>
    <m/>
    <m/>
    <n v="0"/>
  </r>
  <r>
    <x v="451"/>
    <s v="Hull Stockton"/>
    <s v="CA"/>
    <s v="Melissa"/>
    <m/>
    <s v="Valva"/>
    <s v="Marilyn"/>
    <x v="0"/>
    <s v="Magalia"/>
    <x v="1"/>
    <s v="95954"/>
    <x v="5"/>
    <x v="521"/>
    <x v="708"/>
    <s v="Losses"/>
    <s v="2005 home w/$17K loss 11/18 from the camp fire. However, loss run does not confirm that this is loss of use or CAT, which is what the insd is reporting.. Loss shows still open."/>
    <x v="2"/>
    <s v="Get fire marshal or c&amp;o. Need to confirm cause."/>
    <m/>
    <m/>
    <s v="Patterson"/>
    <m/>
    <m/>
    <n v="0"/>
  </r>
  <r>
    <x v="587"/>
    <s v="SCU"/>
    <s v="CO"/>
    <s v="Ashley"/>
    <s v="Email"/>
    <s v="Parsons, Dennis"/>
    <m/>
    <x v="37"/>
    <s v="Vail"/>
    <x v="19"/>
    <m/>
    <x v="2"/>
    <x v="521"/>
    <x v="800"/>
    <s v="Prior losses"/>
    <s v="1982 frame home alarmed.  Roof update 06, others partial update 2012. 3 prior losses - 2 water damage, 1 skylight damage. Under $5K."/>
    <x v="3"/>
    <s v="Approved subject to $10K ded if flat roof; $5K ded if not."/>
    <m/>
    <m/>
    <s v="Patterson"/>
    <m/>
    <m/>
    <n v="0"/>
  </r>
  <r>
    <x v="100"/>
    <s v="Burns"/>
    <s v="MI"/>
    <s v="Delta"/>
    <s v="Email"/>
    <s v="Day, Eric and Plotkin, Margo"/>
    <m/>
    <x v="0"/>
    <s v="Los Angeles"/>
    <x v="1"/>
    <m/>
    <x v="11"/>
    <x v="522"/>
    <x v="801"/>
    <s v="High profile"/>
    <s v="1955 home fully updated in 2007. Alarms. Insured is a TV producer. Extensive list of shows. No concerning news. "/>
    <x v="4"/>
    <s v="Not too high profile for full coverage.  ($313/SF)"/>
    <m/>
    <m/>
    <s v="Patterson"/>
    <m/>
    <m/>
    <n v="0"/>
  </r>
  <r>
    <x v="652"/>
    <s v="AmWINS"/>
    <s v="LA"/>
    <s v="Crystal"/>
    <m/>
    <s v="Sigue"/>
    <s v="Lynette &amp; Gabriel"/>
    <x v="0"/>
    <s v="New Iberia"/>
    <x v="0"/>
    <s v="70560"/>
    <x v="2"/>
    <x v="523"/>
    <x v="802"/>
    <s v="Losses"/>
    <s v="1999 risk w/update to entire HVAC system and a few shingles replaced. NRN by Farm Bureau due to losses. 4/16 $609 - insd trenching yard, hit a gas line. 8/18 $7600 a/c unit &quot;fried&quot; 7/18 - wind dmg to a few shingles $0. Has a pool slide w/fence. Pool exclusion applied. 60x40 bldg no heat, no plumbing, no woodstove, good condition. "/>
    <x v="3"/>
    <s v="Pool excl required. s/c for losses,  info on metal building ok. No business use. Aerial photo shows trucks - no biz conducted on prem. Insd stores trucks there for dirt/sand/limestone business. Employees may come on and drive them off.  Ok to proceed subject to total business exclusion, pool exclusion (or remove slide). Insd also has a piping business, but I confirmed online it is not at this premise."/>
    <m/>
    <m/>
    <s v="Patterson"/>
    <m/>
    <m/>
    <n v="0"/>
  </r>
  <r>
    <x v="54"/>
    <s v="SCU"/>
    <s v="CO"/>
    <s v="Allison"/>
    <m/>
    <s v="Sagat"/>
    <s v="Izabele"/>
    <x v="0"/>
    <s v="Agoura Hills"/>
    <x v="1"/>
    <s v="91301"/>
    <x v="8"/>
    <x v="523"/>
    <x v="802"/>
    <s v="Prior Lapse/NRN"/>
    <s v="1980 home, updates to roof and wiring in 2013, no updates to plumbing or heating. Lapse from 9/2018. Confirmed no damages from recent CA fires. "/>
    <x v="3"/>
    <s v="Approval subject to 10% surcharge for lapse"/>
    <m/>
    <m/>
    <s v="Busse"/>
    <m/>
    <m/>
    <n v="0"/>
  </r>
  <r>
    <x v="217"/>
    <s v="SCU"/>
    <m/>
    <s v="Allison"/>
    <s v="Email"/>
    <s v="Smith, Leland"/>
    <m/>
    <x v="89"/>
    <s v="Lone Tree, CO/PC3"/>
    <x v="3"/>
    <m/>
    <x v="0"/>
    <x v="523"/>
    <x v="802"/>
    <s v="Seacoast Rate"/>
    <s v="No concerns with risk. Ok'd terms at +5% seacost renewal rate."/>
    <x v="4"/>
    <m/>
    <m/>
    <m/>
    <s v="Trott"/>
    <m/>
    <m/>
    <n v="0"/>
  </r>
  <r>
    <x v="739"/>
    <s v="SCU"/>
    <s v="CO"/>
    <s v="Allison"/>
    <s v="Email"/>
    <s v="Becker, Michelle"/>
    <m/>
    <x v="75"/>
    <s v="Quarry"/>
    <x v="19"/>
    <m/>
    <x v="18"/>
    <x v="523"/>
    <x v="727"/>
    <s v="Bankruptcy"/>
    <s v="Primary,2004 build, prior dog bit claim $20K, dog no longer in home, but have new german sheppard pup so quoted with animal exclusion; prior bankruptcy discharged in 2016"/>
    <x v="3"/>
    <s v="Approve, subject to 10% surcharge for prior history and animal exclusion as quoted"/>
    <m/>
    <m/>
    <s v="K.Burdine"/>
    <m/>
    <m/>
    <n v="0"/>
  </r>
  <r>
    <x v="740"/>
    <s v="Hull CO"/>
    <s v="Charlotte"/>
    <s v="Kim"/>
    <s v="Email"/>
    <s v="Custy, Jane"/>
    <m/>
    <x v="0"/>
    <s v="Charleston"/>
    <x v="20"/>
    <m/>
    <x v="0"/>
    <x v="524"/>
    <x v="0"/>
    <s v="$385K jewelry"/>
    <s v="Quote for a 1986 home in Charleton. Insd has $385,000 jewelry schedule. Offered to get a central station alarm. "/>
    <x v="1"/>
    <s v="Outside our appetite. Provided contact info for Jamie Gregory in Specialty."/>
    <m/>
    <m/>
    <s v="Patterson"/>
    <m/>
    <m/>
    <n v="1"/>
  </r>
  <r>
    <x v="741"/>
    <s v="Hull Irvine"/>
    <s v="CA"/>
    <s v="Kelly"/>
    <s v="Email"/>
    <s v="Weitz"/>
    <s v="Christopher"/>
    <x v="64"/>
    <s v="Malibu"/>
    <x v="1"/>
    <m/>
    <x v="0"/>
    <x v="525"/>
    <x v="558"/>
    <s v="High profile"/>
    <s v="Risk written 1/2017 without uw approval. Insured is a film producer.  There was a liability policy with Hudson.  There was a work comp loss which occurred on 11/15/16. Files w/WC board on 5/30/17, still open.  Employee of subcontractor was injured during construction.  There was a GC."/>
    <x v="4"/>
    <s v="Not too high profile.  Loss seems like it will be successfully defended as insured is not the employer. Subject to confirmation that construction is complete (so that claimant is no longer working on insured's home)."/>
    <m/>
    <m/>
    <s v="Patterson"/>
    <m/>
    <m/>
    <n v="0"/>
  </r>
  <r>
    <x v="328"/>
    <s v="Burns"/>
    <s v="MI"/>
    <s v="Alexa"/>
    <s v="Email"/>
    <s v="Soldatos"/>
    <s v="Karen"/>
    <x v="5"/>
    <m/>
    <x v="12"/>
    <m/>
    <x v="8"/>
    <x v="526"/>
    <x v="803"/>
    <s v="Occupancy/Use"/>
    <s v="Attached is a vacant  DP-3 located in WI. Home was built in 1926 will be fully updated in 2005 with the roof fully updated in 2016, PC 2, frequently checked on (vacant 10 years)"/>
    <x v="3"/>
    <s v="have approval to offer terms, subject to a rush interior/exterior inspection, no tours, and determination of rebuild requirements."/>
    <m/>
    <m/>
    <s v="Burdine"/>
    <m/>
    <m/>
    <n v="0"/>
  </r>
  <r>
    <x v="397"/>
    <s v="Burns"/>
    <s v="MI"/>
    <s v="Jill"/>
    <s v="Email"/>
    <s v="Klein"/>
    <s v="Aaron"/>
    <x v="5"/>
    <m/>
    <x v="4"/>
    <m/>
    <x v="4"/>
    <x v="527"/>
    <x v="804"/>
    <s v="PC"/>
    <s v="PC 10 &amp; 16-24 min response time &amp; 8 miles to fire station, on 53 acres used for personal use only"/>
    <x v="3"/>
    <s v="15% surcharge for response time"/>
    <m/>
    <m/>
    <s v="Burdine"/>
    <m/>
    <m/>
    <n v="0"/>
  </r>
  <r>
    <x v="41"/>
    <s v="Hull Stockton"/>
    <s v="CA"/>
    <s v="Lucas"/>
    <s v="Email"/>
    <s v="Mitchell"/>
    <s v="Loretta"/>
    <x v="0"/>
    <s v="Mission Viejo"/>
    <x v="1"/>
    <m/>
    <x v="9"/>
    <x v="528"/>
    <x v="805"/>
    <s v="Losses"/>
    <s v="2016 water loss from pipe leak at dishwasher, 2 from 2017 as result of failing roof. Roof has been replaced, and plumbing updated"/>
    <x v="4"/>
    <s v="quote included 15% debit and $25k Water Damage Deductible. "/>
    <m/>
    <m/>
    <s v="Burdine"/>
    <m/>
    <m/>
    <n v="0"/>
  </r>
  <r>
    <x v="13"/>
    <s v="Hull Horsham"/>
    <s v="PA"/>
    <s v="Tamika"/>
    <s v="Call"/>
    <s v="Riotto"/>
    <s v="Stephen &amp; Michelle"/>
    <x v="5"/>
    <s v="Westchester"/>
    <x v="2"/>
    <m/>
    <x v="0"/>
    <x v="529"/>
    <x v="0"/>
    <s v="Losses"/>
    <s v="Home is vacant and for sale. Had water damage claim w/prior carrier. $178,000 paid. 2nd floor bath pipe broke. 1974 home all updated. No mold. All gutted. Work is substantially completed but not closed. LOU outstanding - $20K. Cabinets &amp; flooring left. "/>
    <x v="3"/>
    <s v="Determine how much work was completed and what is left. As long as all demo, mold testing and initial repair is done, we can take on final finishing touches. (Want to ensure we don't get stuck if there is mold or damage not yet discovered.)  Apply mold exclusion. May apply some water damage exclusion or deductible too. TBD when risk is fully submitted//approved 1/31/18 w/ mold excl; existing damage excl. "/>
    <m/>
    <m/>
    <s v="Patterson"/>
    <m/>
    <m/>
    <n v="0"/>
  </r>
  <r>
    <x v="505"/>
    <s v="Burns"/>
    <s v="MI"/>
    <s v="Alexa"/>
    <s v="Email"/>
    <s v="Perlmutter"/>
    <s v="Daniel"/>
    <x v="2"/>
    <s v="Charleston"/>
    <x v="20"/>
    <m/>
    <x v="8"/>
    <x v="529"/>
    <x v="591"/>
    <s v="Rate relief   "/>
    <s v="1987 dwelling and duplex on same property all rented. Agt wants to match All Risks quote $3581. Wind prem is $2,345. VMGA=$3679. Attritional is .22. To match AR, .21 rate."/>
    <x v="3"/>
    <s v="Verify construction info of duplex. Inspect both the dwelling and duplex. Rate as 3 family (although I believe no diff). $3581 or close is acceptable."/>
    <m/>
    <n v="30"/>
    <s v="Patterson"/>
    <m/>
    <m/>
    <n v="0"/>
  </r>
  <r>
    <x v="742"/>
    <s v="AmWINS"/>
    <s v="SC"/>
    <s v="Kathryn"/>
    <m/>
    <s v="Bourne"/>
    <s v="Susan &amp; Burness"/>
    <x v="0"/>
    <s v="Murrells Inlet"/>
    <x v="20"/>
    <s v="29576"/>
    <x v="8"/>
    <x v="529"/>
    <x v="578"/>
    <s v="Age of Home"/>
    <s v="1912 historic home, gutted and redone in 1992, with additional updates to heating and roof in 2012. No tours"/>
    <x v="3"/>
    <s v="W/H deductible is correct per location, approving subject to confirmation that it was gutted and rebuilt with new materials, not repurposed and antique materials. Will also need to change year built to rebuild date."/>
    <m/>
    <m/>
    <s v="Busse"/>
    <m/>
    <m/>
    <n v="0"/>
  </r>
  <r>
    <x v="265"/>
    <s v="SCU"/>
    <s v="CO"/>
    <s v="Ashley"/>
    <s v="Email"/>
    <s v="Kennedy, Doug"/>
    <m/>
    <x v="0"/>
    <s v="Boulder    "/>
    <x v="19"/>
    <m/>
    <x v="5"/>
    <x v="529"/>
    <x v="806"/>
    <s v="Business on premises"/>
    <s v="1987 home with chiropractic office on the property w/clients. Insd has a GL. Biz Excl would be added."/>
    <x v="2"/>
    <s v="Asked all business questions.  Advised Ashley: If business is in the house it might have to be X-liability, even with the exclusion added.  This profession would be perceived as having deep pockets.  Also, if there were any kind of injury by a client, whether slip and fall, or business related, we would be pulled into it.  We feel much more comfortable if the business is in a separate building.  "/>
    <m/>
    <m/>
    <s v="Patterson"/>
    <m/>
    <m/>
    <n v="0"/>
  </r>
  <r>
    <x v="245"/>
    <s v="Burns"/>
    <s v="MI"/>
    <s v="Ben"/>
    <s v="Email"/>
    <s v="Siderow, Norman"/>
    <m/>
    <x v="0"/>
    <s v="Los Angeles CA PC2"/>
    <x v="3"/>
    <m/>
    <x v="0"/>
    <x v="529"/>
    <x v="807"/>
    <s v="High profile"/>
    <s v="1976 home fully updated. In brush. Mr is producer - some older TV shows and recent documentary.  Mrs is a divorce attorney."/>
    <x v="4"/>
    <m/>
    <m/>
    <m/>
    <s v="Patterson"/>
    <m/>
    <m/>
    <n v="0"/>
  </r>
  <r>
    <x v="284"/>
    <s v="Hull CA"/>
    <s v="Irvine"/>
    <s v="Bobbi"/>
    <s v="Email"/>
    <s v="Brown, Jeffrey"/>
    <m/>
    <x v="0"/>
    <s v="Santa Barbara"/>
    <x v="1"/>
    <m/>
    <x v="2"/>
    <x v="529"/>
    <x v="726"/>
    <s v="Business on premises"/>
    <s v="Insured has coffee and lavendar farm. 4 loans want to be listed as mortgagee.  38 acres."/>
    <x v="2"/>
    <s v="Additional business questions along with details of the mortgages."/>
    <m/>
    <m/>
    <s v="Patterson"/>
    <m/>
    <m/>
    <n v="0"/>
  </r>
  <r>
    <x v="468"/>
    <s v="Burns"/>
    <s v="MI"/>
    <s v="Ben"/>
    <s v="Email"/>
    <s v="Corbett, Edward"/>
    <m/>
    <x v="0"/>
    <s v="Kelseyville"/>
    <x v="1"/>
    <m/>
    <x v="4"/>
    <x v="529"/>
    <x v="808"/>
    <s v="Active knob &amp; tube"/>
    <s v="1910 home mostly updated. Still some active knob and tube. Insured updating within 30 days of possession - there is a contract in place for the job. PC10 6 mi 12 min response accessible. Not in brush"/>
    <x v="3"/>
    <s v="Approved subject to a $10,000 deductible which would be immediately reduced upon completion of the wiring."/>
    <m/>
    <m/>
    <s v="Patterson"/>
    <m/>
    <m/>
    <n v="0"/>
  </r>
  <r>
    <x v="743"/>
    <s v="SCU"/>
    <s v="CO"/>
    <s v="Allison"/>
    <s v="Email"/>
    <s v="Drury, Gary"/>
    <m/>
    <x v="0"/>
    <s v="Evergreeen CO"/>
    <x v="3"/>
    <m/>
    <x v="0"/>
    <x v="530"/>
    <x v="809"/>
    <s v="Wine blanket"/>
    <s v="Agent wants to schedule 6K jewelry and blanket for $250,000 wine ($65-$150/bottle)."/>
    <x v="1"/>
    <s v="Advised this is not a class we are comfortable writing."/>
    <m/>
    <m/>
    <s v="Patterson"/>
    <m/>
    <m/>
    <n v="1"/>
  </r>
  <r>
    <x v="744"/>
    <s v="Hull Irvine"/>
    <s v="CA"/>
    <s v="Bobbi"/>
    <s v="Email"/>
    <s v="Dipaolo"/>
    <s v="Marcelo"/>
    <x v="0"/>
    <s v="Woodland Hills"/>
    <x v="1"/>
    <m/>
    <x v="8"/>
    <x v="530"/>
    <x v="810"/>
    <s v="Prior losses"/>
    <s v="1966 home not in brush.  Prior losses: 10/14 water $0, 11/14 toilet malfunction $115K, 1/17 sewer backup $20K. $5K AOP ded. Flat roof updated in 2000 per app."/>
    <x v="3"/>
    <s v="Apply $10K water ded due to losses. Order a roof inspection to verify age."/>
    <m/>
    <n v="19"/>
    <s v="Patterson"/>
    <m/>
    <m/>
    <n v="0"/>
  </r>
  <r>
    <x v="263"/>
    <s v="Hull CO"/>
    <s v="Horsham"/>
    <s v="Tamika"/>
    <s v="Call"/>
    <m/>
    <m/>
    <x v="0"/>
    <s v="Westfield "/>
    <x v="9"/>
    <m/>
    <x v="0"/>
    <x v="531"/>
    <x v="0"/>
    <s v="Open claim"/>
    <s v="Tamika is seeking approval for a home for one of her best agents. Risk had a water claim with Hartford in Feb 2016-pipe froze and burst. Insd has not repaired - loss is still open. They were paid $25K ACV. Unknown if cashed. Receipts not submitted for RC. Online photos look good per Tamika. She would like to write as a builders risk with high ded and hefty premium to help her agent."/>
    <x v="2"/>
    <s v="1. We need to understand why the repairs haven't been made.  2. What was damaged, where is the pipe. How could they live without repair.  3. Get name, addr, dob and we can run ins score - telling factor. 4. Concern with mold and unrepaired structure, cleanup? 6. Insd says it will take 6 months to complete everything. ??   Summary-if financially sound and makes sense how they could live without the repair, we could consider. Advised Tamika I am ONLY considering since this is a very good agent of hers. Will take some convincing for us to do it.   "/>
    <m/>
    <m/>
    <s v="Patterson"/>
    <m/>
    <m/>
    <n v="0"/>
  </r>
  <r>
    <x v="290"/>
    <s v="Hull CA"/>
    <s v="Irvine"/>
    <s v="Alison"/>
    <s v="Call"/>
    <s v="Lemay, Richard &amp; Bay Thi"/>
    <m/>
    <x v="0"/>
    <s v="Solvang"/>
    <x v="1"/>
    <m/>
    <x v="2"/>
    <x v="532"/>
    <x v="0"/>
    <s v="Massage therapist on premises"/>
    <s v="Nonrenewed by AAA as insured is a massage therapist. Discussed how total business excl would apply."/>
    <x v="4"/>
    <s v="Agent to get addl info on location on property, amount of foot traffic, and will submit."/>
    <s v="about 5 clients per week, in home, agreed to do with total business excl/x-liab"/>
    <m/>
    <s v="Patterson/K.Burdine"/>
    <m/>
    <m/>
    <n v="0"/>
  </r>
  <r>
    <x v="441"/>
    <s v="Burns"/>
    <s v="MI"/>
    <s v="Jeffrey"/>
    <s v="Email"/>
    <s v="Ohm, Terry"/>
    <m/>
    <x v="0"/>
    <s v="Lakeport CA PC10"/>
    <x v="3"/>
    <m/>
    <x v="0"/>
    <x v="532"/>
    <x v="60"/>
    <s v="PC10"/>
    <s v="2011 home with 28 minute response time. In brush zone. Also 63 acres. Ramp and stairs have no rail - possible liab issue."/>
    <x v="1"/>
    <s v="Was considering pushing our 15 minute response max with a surcharge, but it is in brush zone, so not comfortable. Great submission as this isn't something we've encountered before."/>
    <m/>
    <m/>
    <s v="Patterson"/>
    <m/>
    <m/>
    <n v="1"/>
  </r>
  <r>
    <x v="745"/>
    <s v="Burns"/>
    <s v="MI"/>
    <s v="David"/>
    <s v="Email"/>
    <s v="Tallman"/>
    <s v="Joshua"/>
    <x v="0"/>
    <s v="San Bernardino"/>
    <x v="1"/>
    <m/>
    <x v="2"/>
    <x v="532"/>
    <x v="811"/>
    <s v="Other UW Reason"/>
    <s v="Having trouble getting RM. Address: 26115 Augusta Drive, Lake Arrowhead, San Bernardino, CA 92352 to pull in RM. Should use Brush? 1994 build, no losses, "/>
    <x v="3"/>
    <s v="Were able to validate PC, but not RM; I couldn't get FireLine to hit either. Advised can release, but must surcharge for brush"/>
    <m/>
    <m/>
    <s v="Burdine"/>
    <m/>
    <m/>
    <n v="0"/>
  </r>
  <r>
    <x v="666"/>
    <s v="Hull Horsham"/>
    <s v="NJ"/>
    <s v="Lisa"/>
    <s v="Email"/>
    <s v="Hamilton"/>
    <s v="Anne T"/>
    <x v="0"/>
    <s v="Highlands"/>
    <x v="9"/>
    <m/>
    <x v="2"/>
    <x v="533"/>
    <x v="812"/>
    <s v="Prior loss"/>
    <s v="1923 risk w/updates. Agent advised of Sandy loss over 3 years. All damage is repaired. Payment from prior carrier not settled yet due to battle w/FEMA."/>
    <x v="4"/>
    <s v="Okay since all repairs made."/>
    <m/>
    <m/>
    <s v="Patterson"/>
    <m/>
    <m/>
    <n v="0"/>
  </r>
  <r>
    <x v="743"/>
    <s v="Hull CA"/>
    <s v="Stockton"/>
    <s v="Lisa"/>
    <s v="Email"/>
    <s v="Martinka, Joseph"/>
    <m/>
    <x v="98"/>
    <s v="Homewood CA PC4"/>
    <x v="3"/>
    <m/>
    <x v="0"/>
    <x v="534"/>
    <x v="813"/>
    <s v="Rate reduction"/>
    <s v="1972 home, roof updated. Seasonal with vacation rental.  Insurance score is close to perfect, so I felt comfortable with the risk"/>
    <x v="3"/>
    <s v="Approved with a 13 or 13.5% credit for premium of 1763 or 1753.  Lloyds is 1763."/>
    <s v="Agent came back and actually needed 25% credit (misunderstanding on the rate).  Home is average even though excellent ins score.  I declined. Jeff agreed."/>
    <m/>
    <s v="Patterson"/>
    <m/>
    <m/>
    <n v="0"/>
  </r>
  <r>
    <x v="385"/>
    <s v="Hull Irvine"/>
    <s v="CA"/>
    <s v="Bobbi"/>
    <m/>
    <s v="Pinto"/>
    <s v="Pauline"/>
    <x v="4"/>
    <s v="Kentfield"/>
    <x v="1"/>
    <s v="94904"/>
    <x v="11"/>
    <x v="534"/>
    <x v="814"/>
    <s v="Age of Home"/>
    <s v="1956 home with minimal cast iron plumbing in for waste lines and connectors(?). Old home questionnaire confirms other systems are in good shape, but did not indicate last year updates. Quoted with $7,500 AOP ded. "/>
    <x v="2"/>
    <s v="Asked for clarification on what the connectors are. If they are just connectors for the waste line and no other portions of the plumbing, it seems to be OK to allow without needing to exclude water damage or mold coverage. "/>
    <m/>
    <m/>
    <s v="Busse"/>
    <m/>
    <m/>
    <n v="0"/>
  </r>
  <r>
    <x v="231"/>
    <s v="Burns"/>
    <s v="MI"/>
    <s v="Ben"/>
    <s v="Email"/>
    <s v="Patterson, Joseph"/>
    <m/>
    <x v="0"/>
    <m/>
    <x v="3"/>
    <m/>
    <x v="0"/>
    <x v="535"/>
    <x v="815"/>
    <s v="27 min response time"/>
    <s v="2004 frame home. No losses. 27 minute response time from paid responding FD. Community has a private hydrant. In brush. Accessible year round. 2 volunteer FD's 15 min and 1 mile away that service this address. Home and garage are log type A frame with a metal roof. Per FireLine, score is 6 with medium fuels."/>
    <x v="3"/>
    <s v="Approved subject to a surcharge for the longer response time.  Asked Ben what the current premium is so I can advise the percentage."/>
    <s v="Prem is $3714. We agreed on a 10% surcharge."/>
    <m/>
    <s v="Patterson"/>
    <m/>
    <m/>
    <n v="0"/>
  </r>
  <r>
    <x v="388"/>
    <s v="Burns"/>
    <s v="MI"/>
    <s v="Alexa"/>
    <m/>
    <s v="Derouin"/>
    <s v="Joel"/>
    <x v="0"/>
    <s v="Los Angeles"/>
    <x v="1"/>
    <n v="90068"/>
    <x v="11"/>
    <x v="536"/>
    <x v="816"/>
    <s v="High Profile"/>
    <s v="Non-brush frame hjome built in 1960. Full updates done for electrical (2010), plumbing (2008), and roof (2006). Stucco siding.  NO CSA and no losses. Musician is a well known musician (violinist). "/>
    <x v="4"/>
    <s v="Although well known, do not believe most in the general public are aware of Mr. Derouin. Has worked with many famous singers and artists."/>
    <m/>
    <m/>
    <s v="Lazovik"/>
    <m/>
    <m/>
    <n v="0"/>
  </r>
  <r>
    <x v="746"/>
    <s v="Burns"/>
    <s v="CA"/>
    <s v="Jill"/>
    <s v="Email"/>
    <s v="Charles Kettner"/>
    <m/>
    <x v="75"/>
    <s v="Highlands"/>
    <x v="4"/>
    <m/>
    <x v="2"/>
    <x v="537"/>
    <x v="817"/>
    <s v="BUSINESS ON PREMISES "/>
    <s v="1975 build year, insured owns landscaping company on same property, but clear separation, business policies in place for that exposure, traffic minimal, PC OK, home condition great"/>
    <x v="3"/>
    <s v="separated, comm pol in place, no customer traffic, minimal employee traffic, approved subject to building exclusion and total business exclusion"/>
    <m/>
    <m/>
    <s v="Burdine"/>
    <m/>
    <m/>
    <n v="0"/>
  </r>
  <r>
    <x v="101"/>
    <s v="Burns"/>
    <s v="MI"/>
    <s v="Alexa"/>
    <s v="Email"/>
    <s v="Keltner, Charles"/>
    <m/>
    <x v="0"/>
    <s v="Highlands"/>
    <x v="4"/>
    <m/>
    <x v="2"/>
    <x v="538"/>
    <x v="818"/>
    <s v="Business on premise"/>
    <s v="1976 home w/updates. Applicant operates a landscaping business on the premises - Fertile Lawn. NRN due to this from curr carrier."/>
    <x v="2"/>
    <s v="Asked additional business questions. Require building exclusion for any business buildings and Total Business Exclusion form. No surcharge, since we are excluding."/>
    <m/>
    <m/>
    <s v="Patterson"/>
    <m/>
    <m/>
    <n v="0"/>
  </r>
  <r>
    <x v="158"/>
    <s v="SCU"/>
    <s v="CO"/>
    <s v="Allison"/>
    <s v="Call"/>
    <s v="Daly"/>
    <s v="Melanie &amp; Timothy"/>
    <x v="0"/>
    <s v="Evergreen"/>
    <x v="19"/>
    <m/>
    <x v="0"/>
    <x v="539"/>
    <x v="0"/>
    <s v="Open loss"/>
    <s v="1988 home remodeled. Prior NRN due to brush (admitted). Expires tomorrow.  On 9/11, the insured's German shepherd bit someone. Mrs is an attorney. There were no marks, person said they were okay, went home and filed suit. No reserve yet. $500K liab requested. Agent says good insured and good risk otherwise."/>
    <x v="3"/>
    <s v="Approved with either animal excl or limited animal liab form.  Compliance has confirmed (and Jeff too) that we are comfortable with our limited animal liab form even if excluded dog or dog that bit. Open liab claim is not a worry that it could come back to us. "/>
    <m/>
    <n v="10"/>
    <s v="Patterson"/>
    <m/>
    <m/>
    <n v="0"/>
  </r>
  <r>
    <x v="242"/>
    <s v="SCU"/>
    <s v="CO"/>
    <s v="Allison"/>
    <s v="Email"/>
    <s v="Goering, Tona"/>
    <m/>
    <x v="44"/>
    <s v="Fruita CO PC4"/>
    <x v="3"/>
    <m/>
    <x v="0"/>
    <x v="539"/>
    <x v="819"/>
    <s v="Personal Liab"/>
    <s v="Primary home with 4 month rental when they travel. Will we allow personal liability. In UW research found insured's online business website. Also other online info that may be connected to the business. They are using their home address. They do excavating - heavy equip. Sent business questions to Allison and advised we may need to apply total business excl. Sent copy - it's not on SCU's forms page yet."/>
    <x v="1"/>
    <s v="I don’t see a good way to move forward with terms.  The only way we could do it is with the Total Business Exclusion.  Unfortunately, the shop is actually part of Coverage A, so in essence we’d be excluding coverage for the entire home and shop structures.  That won’t do the insured any good.  And I’m not comfortable going forward without the exclusion._x000a__x000a_I’m definitely wondering why the retail agent didn’t mention this business to us, especially since they write the commercial.  It’s a pretty big concern!  I’m glad we found out, because our HO-3 mainly excludes business in Other Structures, so I’m not sure our policy exclusions would have applied, and we would surely want them to._x000a__x000a_If the shop was detached from the home, we could call it Coverage B and then our Total Business Exclusion would be more clear cut.  I’m sure they could more easily get it added to the commercial policy.  That might be something to consider if they have trouble getting coverage._x000a_"/>
    <m/>
    <m/>
    <s v="Patterson"/>
    <m/>
    <m/>
    <n v="1"/>
  </r>
  <r>
    <x v="387"/>
    <s v="Hull Irvine"/>
    <m/>
    <s v="Alex"/>
    <s v="Email"/>
    <s v="Meeuwsen, Jill"/>
    <m/>
    <x v="21"/>
    <s v="Nevada County"/>
    <x v="1"/>
    <m/>
    <x v="14"/>
    <x v="539"/>
    <x v="708"/>
    <s v="Bankruptcy in 2014"/>
    <s v="2008 home. Ran ins score: score okay, but shows 2 bankruptcies - another one in 2013. Self employed, owns 2 homes. Mortgage balances modified w/bankruptcy. Primary home shows up on foreclosure."/>
    <x v="1"/>
    <m/>
    <m/>
    <m/>
    <s v="Patterson"/>
    <m/>
    <m/>
    <n v="1"/>
  </r>
  <r>
    <x v="711"/>
    <s v="Burns"/>
    <s v="MI"/>
    <s v="Delta"/>
    <s v="Email"/>
    <s v="Caldwell, Anne"/>
    <m/>
    <x v="0"/>
    <s v="Memphis"/>
    <x v="5"/>
    <m/>
    <x v="8"/>
    <x v="540"/>
    <x v="820"/>
    <s v="Scheduled Personal Property"/>
    <s v="1983 home. Updates. Incomplete app-UW questions. 5/16 water $1,200 Claim refers to leak into neighbor unit. 4/14 water $12K. Has $5K silver, $5K hearing aids."/>
    <x v="3"/>
    <s v="• Unfortunately we do not schedule hearing aids.  We can schedule the silver. _x000a_• Updates list wiring and plumbing as 1983, but year of construction is 1987.  Please amend YOC or update years._x000a_• 5/16 loss is described as &quot;valve leak in bathroom caused damage to unit, leaked into neighbor unit&quot;.  Do we have a multi-family home here?  A condo?  What is the “neighbor unit”?_x000a_• $10,000 water damage ded (as you quoted)_x000a_• Completed app - UW questions are blank_x000a_"/>
    <m/>
    <m/>
    <s v="Patterson"/>
    <m/>
    <m/>
    <n v="0"/>
  </r>
  <r>
    <x v="747"/>
    <s v="Hull CA"/>
    <s v="Irvine"/>
    <s v="Alison"/>
    <s v="Email"/>
    <s v="Hale, Brian"/>
    <m/>
    <x v="0"/>
    <s v="Rancho Santa Margarita"/>
    <x v="1"/>
    <m/>
    <x v="9"/>
    <x v="541"/>
    <x v="821"/>
    <s v="Prior loss"/>
    <s v="Insured had a slab leak in 5/13. Home is 1996. No mitigation other than repair."/>
    <x v="1"/>
    <s v="Per previous risk reviews, we are looking for mitigation which includes re-routing of pipes."/>
    <m/>
    <m/>
    <s v="Patterson"/>
    <m/>
    <m/>
    <n v="1"/>
  </r>
  <r>
    <x v="580"/>
    <s v="Burns"/>
    <s v="MI"/>
    <s v="Jill"/>
    <m/>
    <s v="Rovetti"/>
    <s v="James"/>
    <x v="1"/>
    <s v="Santa Rosa"/>
    <x v="1"/>
    <s v="95403"/>
    <x v="11"/>
    <x v="542"/>
    <x v="12"/>
    <s v="Losses"/>
    <s v="New build after total fire loss from Santa Rosa fire 10/7/17. Lapse since 2/17. Rebuild 60% complete. Loss open until rebuild done. WRS 6. "/>
    <x v="1"/>
    <s v="Declined due to prior loss, lapse, and already 60% built."/>
    <s v="Asked JB opinion on rewriting at same loc as total. Not comfortable rewriting risk at same location as a total loss."/>
    <m/>
    <s v="Patterson"/>
    <m/>
    <m/>
    <n v="1"/>
  </r>
  <r>
    <x v="598"/>
    <s v="JM Wilson"/>
    <s v="MI"/>
    <s v="Cheryl"/>
    <s v="Email"/>
    <s v="DePrisco"/>
    <s v="Daniel"/>
    <x v="125"/>
    <s v="Powell"/>
    <x v="40"/>
    <m/>
    <x v="2"/>
    <x v="543"/>
    <x v="647"/>
    <s v="Losses"/>
    <s v="2004 home w/2 prior water losses. Agt quoted HO8. Wants water backup.  1/14 frozen pipe burst $43K 6/15 toilet leak while on vacation $11K"/>
    <x v="3"/>
    <s v="Can't do water backup on HO8. HO8 doesn't cover water damage, so offered HO3 if there are no other issues w/risk. Add full water damage exclusion (which excludes freezing and water discharge). Could add backup since neither of these losses is backup related."/>
    <m/>
    <m/>
    <s v="Patterson"/>
    <m/>
    <m/>
    <n v="0"/>
  </r>
  <r>
    <x v="259"/>
    <s v="Hull CA"/>
    <s v="Irvine"/>
    <s v="Alison"/>
    <s v="Email"/>
    <s v="Chase, Mary"/>
    <m/>
    <x v="0"/>
    <s v="Mammoth"/>
    <x v="1"/>
    <m/>
    <x v="9"/>
    <x v="544"/>
    <x v="822"/>
    <s v="Wood shake roof"/>
    <s v="1979 home updated. Not in brush zone, but agt applied brush surcharge due to forested location. Has wood shake roof. Eligible per guidelines but we evaluated. Roof is 2001 treated w/fire retardant."/>
    <x v="4"/>
    <s v="Agreed since brush surcharge is applied for additional prem and risk is not in a brush zone."/>
    <m/>
    <m/>
    <s v="Patterson"/>
    <m/>
    <m/>
    <n v="0"/>
  </r>
  <r>
    <x v="350"/>
    <s v="Burns"/>
    <s v="MI"/>
    <s v="Alexa"/>
    <s v="Email"/>
    <s v="Grayden"/>
    <s v="Sprague"/>
    <x v="0"/>
    <s v="Woodland Hills"/>
    <x v="1"/>
    <m/>
    <x v="11"/>
    <x v="545"/>
    <x v="823"/>
    <s v="High Profile"/>
    <s v="1987 with roof update, C/S alarms, no brush, score A, actress"/>
    <x v="4"/>
    <s v="reviewed online sources for NI and spouse; some recent work, but smaller. No concerns noted. Confirmed with LT OK to offer liability"/>
    <m/>
    <m/>
    <s v="Burdine"/>
    <m/>
    <m/>
    <n v="0"/>
  </r>
  <r>
    <x v="431"/>
    <s v="Burns"/>
    <s v="MI"/>
    <s v="Jill"/>
    <m/>
    <s v="Manpreet"/>
    <s v="Ruby Mann"/>
    <x v="2"/>
    <s v="Saint Cloud"/>
    <x v="32"/>
    <s v="34771"/>
    <x v="3"/>
    <x v="546"/>
    <x v="824"/>
    <s v="Losses"/>
    <s v="2004 year built rental dwelling. Two water losses, 6/2018 paid $45k and 7/2018 paid $8500. The larger water loss was a pipe leak on the toilet. Tenant did not notify property management company for several weeks, causing damage to several rooms. The tenant is still occupying the dwelling. "/>
    <x v="1"/>
    <s v="Declined risk due to tenant still occupying dwelling. Still not comfortable even if we apply higher water deductible or water exclusion, as there is concern for any other portion of the dwelling that the tenant could find damage and just not report. Moral hazard. "/>
    <m/>
    <m/>
    <s v="Busse"/>
    <m/>
    <m/>
    <n v="1"/>
  </r>
  <r>
    <x v="731"/>
    <s v="XS Brokers"/>
    <s v="MA"/>
    <s v="Barbara"/>
    <m/>
    <s v="Fuchs"/>
    <s v="Gary &amp; Michelle"/>
    <x v="0"/>
    <s v="Aurora"/>
    <x v="6"/>
    <s v="04408"/>
    <x v="6"/>
    <x v="546"/>
    <x v="558"/>
    <s v="Condition"/>
    <s v="1860 home w/partial updates. Roof issues with barn and dwelling. Insd just purchased in 12/18. Prior carrier canc due to condition of roof and a barn broken window. Otherwise nice condition per submission."/>
    <x v="1"/>
    <s v="Pre 1900 homes require full updates and avg/above avg condition.  Roof condition is a concern.  Pics and notes say major roof work and addition of dormer for the dwelling."/>
    <s v="Ins scores are below 650. 10% s/c range."/>
    <m/>
    <s v="Patterson"/>
    <m/>
    <m/>
    <n v="1"/>
  </r>
  <r>
    <x v="518"/>
    <s v="Burns"/>
    <s v="MI"/>
    <s v="Leslie"/>
    <s v="Email"/>
    <s v="Salo"/>
    <s v="Christopher A &amp; Heidi M"/>
    <x v="0"/>
    <s v="Stockbridge "/>
    <x v="8"/>
    <m/>
    <x v="6"/>
    <x v="547"/>
    <x v="825"/>
    <s v="Business on premises"/>
    <s v="1994 home w/updates. Insured operates non-profit ziplining camp on his adjoining property with separate address. Fully insured commercially.  There is a pole barn on that business property used for business.  It was added onto and those additions are on the insured property. Part of the pole barn is used as conference center and restrooms. AO nonrenewed. "/>
    <x v="3"/>
    <s v="• Commercial policies must remain in place_x000a_• Specifically exclude the barn building used by the business that is partially on the insured property (Use the building exclusion)_x000a_• Okay to insure personal use structures on the insured property_x000a_• Confirm none of the zip line courses are located on the insured property._x000a_• Apply Total Business Exclusion (as you noted)_x000a_"/>
    <s v="Separate address and exclusions protect us."/>
    <n v="49"/>
    <s v="Patterson"/>
    <m/>
    <m/>
    <n v="0"/>
  </r>
  <r>
    <x v="522"/>
    <s v="Quaker"/>
    <s v="MA"/>
    <s v="Mary"/>
    <m/>
    <s v="Conte"/>
    <s v="Karin M &amp; Diedra A Finney"/>
    <x v="2"/>
    <s v="Worcester"/>
    <x v="21"/>
    <s v="01604"/>
    <x v="0"/>
    <x v="548"/>
    <x v="7"/>
    <s v="Losses"/>
    <s v="1890 home rehabbed in 2012. 4 family. Mary remarketing due to losses. 2/15/17 tenant fell on icy steps $82K, 2/19 wind dmg fascia $5717. 4/19 wind dmg fascia &amp; drip edge $2,215. Square D breakers per inspection."/>
    <x v="1"/>
    <s v="Square D breakers are ineligible. (Advised Mary otherwise we would want to verify maintenance issue rectified. Would be okay with $5K wind ded after confirmation that there was no interior damage with the 2 wind losses - exterior material damaged only.)"/>
    <m/>
    <m/>
    <s v="Patterson"/>
    <m/>
    <m/>
    <n v="1"/>
  </r>
  <r>
    <x v="629"/>
    <s v="Hull Irvine"/>
    <s v="CA"/>
    <s v="Bobbi"/>
    <s v="Email"/>
    <s v="Harrasser"/>
    <s v="Mary"/>
    <x v="5"/>
    <s v="Granada Hills"/>
    <x v="1"/>
    <m/>
    <x v="5"/>
    <x v="548"/>
    <x v="720"/>
    <s v="Losses"/>
    <s v="1961 vacant home built in 1961. Frame home without alarms. Home was rented and a tenant caused damages"/>
    <x v="4"/>
    <s v="Looks like a good risk online (sale is listed as pending). Tenant was angry with the landlord. Way insurer listed the claims was by separate coverages. Asked for 1 claim and that is fine"/>
    <m/>
    <m/>
    <s v="Lazovik"/>
    <m/>
    <m/>
    <n v="0"/>
  </r>
  <r>
    <x v="748"/>
    <s v="Burns"/>
    <s v="MI"/>
    <s v="Alexa"/>
    <s v="Email"/>
    <s v="Rodriquez"/>
    <s v="Sean"/>
    <x v="2"/>
    <s v="Miami"/>
    <x v="32"/>
    <m/>
    <x v="8"/>
    <x v="548"/>
    <x v="781"/>
    <s v="High Profile"/>
    <s v="tenant occupied dwelling located in FL. Home was built in 1977 of masonry construction,  PC2 , no alarms. Applicant plays for the Pittsburgh Pirates. His mom will be living in the home and paying no rent; ACV and roof exclusion quoted, 8.01 mi from coast"/>
    <x v="4"/>
    <s v="review appropriated, online review doesn't reveal anything concerning, particularly for a DP risk, coastal guidelines met"/>
    <m/>
    <m/>
    <s v="Burdine"/>
    <m/>
    <m/>
    <n v="0"/>
  </r>
  <r>
    <x v="404"/>
    <s v="Hull Irvine"/>
    <s v="CA"/>
    <s v="Bobbi"/>
    <s v="Email"/>
    <s v="Michael Dahir Dudum Trust"/>
    <s v="Michael Dahir Dudum Trust"/>
    <x v="0"/>
    <s v="San Francisco"/>
    <x v="1"/>
    <m/>
    <x v="0"/>
    <x v="548"/>
    <x v="508"/>
    <s v="Condition"/>
    <s v="Cast iron pipes used for waste lines only"/>
    <x v="3"/>
    <s v="approved with water damage exclusion until pipes replaced"/>
    <m/>
    <m/>
    <s v="Burdine"/>
    <m/>
    <m/>
    <n v="0"/>
  </r>
  <r>
    <x v="451"/>
    <s v="Hull Irvine"/>
    <s v="CA"/>
    <s v="Alison"/>
    <m/>
    <s v="Delonge"/>
    <s v="Thomas"/>
    <x v="0"/>
    <s v="Encinitas"/>
    <x v="1"/>
    <s v="92024"/>
    <x v="9"/>
    <x v="548"/>
    <x v="742"/>
    <s v="High Profile"/>
    <s v="1946 home updated. Nice online photos. Insd new purchase. May eventually demo or reno. Agt reviewed these options w/the retailer and they have options if the insd decides to demo (since we don't cover). One loss at another location. Special water ded due to year built. Agt will inspect."/>
    <x v="4"/>
    <s v="Reviewed online for any concerns. No issues. Agt issuing x-liab."/>
    <m/>
    <m/>
    <s v="Patterson"/>
    <m/>
    <m/>
    <n v="0"/>
  </r>
  <r>
    <x v="166"/>
    <s v="Hull Irvine"/>
    <s v="CA"/>
    <s v="Alison"/>
    <s v="Email"/>
    <s v="Jayne"/>
    <s v="William"/>
    <x v="0"/>
    <s v="Los Angeles"/>
    <x v="1"/>
    <m/>
    <x v="0"/>
    <x v="548"/>
    <x v="12"/>
    <s v="High profile"/>
    <s v="1922 home w/ updates. Not in brush. No alarms. $1M liab. Insd is actor, director, musician, producer. Most gigs were in 80's and 90's. Not much recently."/>
    <x v="4"/>
    <s v="Not too famous."/>
    <m/>
    <m/>
    <s v="Patterson"/>
    <m/>
    <m/>
    <n v="0"/>
  </r>
  <r>
    <x v="674"/>
    <s v="XS Brokers"/>
    <s v="MI"/>
    <s v="Barbara"/>
    <m/>
    <s v="Nash"/>
    <s v="William"/>
    <x v="0"/>
    <s v="Fairfield"/>
    <x v="25"/>
    <s v="06824"/>
    <x v="9"/>
    <x v="548"/>
    <x v="826"/>
    <s v="Business on Premises"/>
    <s v="1960 home with updates in 2000 to systems and roof. Insured runs a dentistry out of home. No poor reviews online. Sending business questionnaire to get full details. Insured has BOP policy with $2M/$4M limits. 1 prior water loss 10/2018, $1,229 paid. Fully repaired, no concerns regarding loss. "/>
    <x v="3"/>
    <s v="Appears to be OK to approve with TBE, but will wait to confirm after reviewing business questionnaire. UPDATE: Rec'd further info regarding business - expected about 5 appointments per day. Seems a bit high, but CGL limits seem adequate to allow for this. Approved subject to TBE and maintain CGL policy"/>
    <m/>
    <m/>
    <s v="Busse"/>
    <m/>
    <m/>
    <n v="0"/>
  </r>
  <r>
    <x v="716"/>
    <s v="Burns"/>
    <s v="MI"/>
    <s v="Leslie"/>
    <m/>
    <s v="Applegate"/>
    <s v="Jim"/>
    <x v="0"/>
    <s v="Granite Bay"/>
    <x v="1"/>
    <s v="95746"/>
    <x v="6"/>
    <x v="548"/>
    <x v="827"/>
    <s v="PC"/>
    <s v="1982 fully updated. PC 9 that is not in brush, WRS 15. "/>
    <x v="1"/>
    <s v="Relayed our previous communication that was sent in Dec 2018 regarding updates to unprotected PCs and that we assumed all of those were in brush. Also relayed our communication from 1/10/19 regarding our new guidelines for CA and that unprotected PCs, in brush or not, and split PCs are ineligible. "/>
    <m/>
    <m/>
    <s v="Busse"/>
    <m/>
    <m/>
    <n v="1"/>
  </r>
  <r>
    <x v="74"/>
    <s v="Hull Irvine"/>
    <m/>
    <s v="Alex"/>
    <s v="Email/Call"/>
    <s v="Mazmavi, Haniffa"/>
    <m/>
    <x v="0"/>
    <s v="Cerritos"/>
    <x v="1"/>
    <m/>
    <x v="0"/>
    <x v="548"/>
    <x v="827"/>
    <s v="Prior losses"/>
    <s v="2015 fire loss - daughter fell asleep with oil on the stove.  2015 water leak thru tile roof. 1989 home updated.  Insured is a doctor."/>
    <x v="3"/>
    <s v="Add 20% debit due to size of loss."/>
    <m/>
    <m/>
    <s v="Patterson"/>
    <m/>
    <m/>
    <n v="0"/>
  </r>
  <r>
    <x v="227"/>
    <s v="Burns"/>
    <m/>
    <s v="Matthew"/>
    <s v="Email"/>
    <s v="Yandell, John"/>
    <m/>
    <x v="126"/>
    <s v="Shingletown, CA PC 10"/>
    <x v="3"/>
    <m/>
    <x v="0"/>
    <x v="548"/>
    <x v="827"/>
    <s v="Response time &gt;15 mins"/>
    <s v="log home, PC 10, brush zone (Cleared at 200 feet), accessible all year, response time 17 minutes, no alarm, visible to neighbors"/>
    <x v="3"/>
    <s v="Discussed with M.Patterson.Approved if confirmed that roads are paved (unprotected questionnaire wasn't attached). Also suggested 5% surcharge for increase response time"/>
    <m/>
    <m/>
    <s v="Burdine"/>
    <m/>
    <m/>
    <n v="0"/>
  </r>
  <r>
    <x v="422"/>
    <s v="Hull Stockton"/>
    <s v="CA"/>
    <s v="Lisa"/>
    <m/>
    <s v="Cairns"/>
    <s v="Chris &amp; Nancy"/>
    <x v="0"/>
    <s v="Oak View"/>
    <x v="1"/>
    <s v="93002"/>
    <x v="5"/>
    <x v="548"/>
    <x v="828"/>
    <s v="Losses"/>
    <s v="Applicant had recent total fire loss in Ventura/Thomas fires. This property is a new purchase. New home year built 1984. C/S alarms. Only loss was prior CAT total loss. "/>
    <x v="4"/>
    <s v="Approved with no subjectivities. App said 50% ERC, but rating sheet agent provided showed factor of 1.13 which is the factor for 25% ERC. "/>
    <m/>
    <m/>
    <s v="Busse"/>
    <m/>
    <m/>
    <n v="0"/>
  </r>
  <r>
    <x v="40"/>
    <s v="Hull Irvine"/>
    <s v="CA"/>
    <s v="Lucas"/>
    <s v="Email"/>
    <s v="Cummings"/>
    <s v="Rodney &amp; Jana"/>
    <x v="0"/>
    <s v="Newhall"/>
    <x v="1"/>
    <m/>
    <x v="9"/>
    <x v="548"/>
    <x v="828"/>
    <s v="Losses"/>
    <s v="2017-Skunk died under home, smell permeated home. 2016-water; all repairs have been made, no brush"/>
    <x v="3"/>
    <s v="requested additional 5% due to size of claim"/>
    <m/>
    <m/>
    <s v="Burdine"/>
    <m/>
    <m/>
    <n v="0"/>
  </r>
  <r>
    <x v="46"/>
    <s v="Burns"/>
    <s v="MI"/>
    <s v="Rachel"/>
    <s v="Email"/>
    <s v="Van"/>
    <s v="Marilyn"/>
    <x v="0"/>
    <s v="Ontario"/>
    <x v="1"/>
    <m/>
    <x v="8"/>
    <x v="548"/>
    <x v="828"/>
    <s v="Business on Premises"/>
    <s v="Frame home build in 1958, with full wiring 2001, heating in 2007, roof in 2005 and partial plumbing in 2014. PC 2 with no losses. Business on the premises is a supply company and has a rental agreement. Total Business Exclusion will be applied"/>
    <x v="1"/>
    <s v="The business appears to run over onto the property (picture on google from February 2018). Not sure the TBE would completely negate the exposure."/>
    <m/>
    <m/>
    <s v="Lazovik"/>
    <m/>
    <m/>
    <n v="1"/>
  </r>
  <r>
    <x v="161"/>
    <s v="Burns"/>
    <s v="MI"/>
    <s v="Alexa"/>
    <s v="Email"/>
    <s v="Richardson"/>
    <s v="Matthew"/>
    <x v="0"/>
    <s v="Myrtle Beach"/>
    <x v="20"/>
    <m/>
    <x v="11"/>
    <x v="548"/>
    <x v="828"/>
    <s v="Deductible"/>
    <s v="1958 dwelling with updates. Nice online photos. Online sources say 1938. MFRC quoted.Alarms. Mortgage requires 2% ded. (We require 3%)"/>
    <x v="0"/>
    <s v="Advise agent to check YOC - online sources show 1938. Referred to product for quoting and review of deductible request. // Obtained premium from product and relayed to agent.  11% surcharge on VMGA rate."/>
    <s v="Bethany relayed about an 8% surcharge. I increased to 11%."/>
    <n v="36"/>
    <s v="Patterson"/>
    <m/>
    <m/>
    <n v="0"/>
  </r>
  <r>
    <x v="470"/>
    <s v="Burns"/>
    <s v="MI"/>
    <s v="Lindsay"/>
    <m/>
    <s v="Creager"/>
    <s v="Kevin"/>
    <x v="0"/>
    <s v="Fort Wayne"/>
    <x v="17"/>
    <s v="46807"/>
    <x v="4"/>
    <x v="548"/>
    <x v="829"/>
    <s v="Business on Premises"/>
    <s v="1900 frame home w/updates. Looks nice per pics. Numerous issues from prior insp 1 year ago. No Cov B quoted. Per insp, no hydrant. Per insp, Cov A is $665,000. Business coverage w/Cincinnati Ins.  TBE quoted."/>
    <x v="3"/>
    <s v="Per aerial online photo, good separation of business and dwelling. PC s/b 10. Drive time still within 15 min.  Cov A s/b $665. With TBE and GL, exposure reduced."/>
    <s v="J ins score"/>
    <m/>
    <s v="Patterson"/>
    <m/>
    <m/>
    <n v="0"/>
  </r>
  <r>
    <x v="150"/>
    <s v="Hull Stockton"/>
    <s v="CA"/>
    <s v="Lisa"/>
    <s v="Email"/>
    <s v="Johnson"/>
    <s v="Derek"/>
    <x v="0"/>
    <s v="Carnelian Bay"/>
    <x v="1"/>
    <m/>
    <x v="5"/>
    <x v="548"/>
    <x v="755"/>
    <s v="Lapse"/>
    <s v="2006 home in brush with lapse. Unclear how long. SF prior carrier nonrenewed due to bike theft claim. "/>
    <x v="2"/>
    <s v="• Is this a new purchase, or how long has the insured owned the home?_x000a_• Am I understanding that there is a lapse in coverage on this home as well as on another location that is a full time rental?  Could you tell me the reason for lapse of coverage?  Has it been lapsed since 2/2017?_x000a_• Tell me about the lapse on the other rental home.  Reason, how long, what is the TIV of that risk._x000a_• Notes on app say that SF cancelled over a bike theft claim?  That seems unusual.  Was there more than one claim?  Could we get the SF loss runs?_x000a_• What is the distance of this home to any current wildfires?_x000a_Between you and me, there are some red flags on this risk:_x000a_• It’s usually a bad sign when someone has multiple policies lapse, and on top of it a theft loss.  _x000a_• Info provided shows the home is up for sale for a price lower than what was paid 10 years ago. (A concern if this is not a new purchase.)_x000a_If we do go forward an additional surcharge may apply._x000a_A+ shows no losses. // 8/30/17 Add 10% surcharge to to lapse mindset. Insured is buying this home - new purchase. Existing home lapsed 2/17 - they are living there now. Will turn into rental."/>
    <s v="Ins Score 800"/>
    <n v="35"/>
    <s v="Patterson"/>
    <m/>
    <m/>
    <n v="0"/>
  </r>
  <r>
    <x v="697"/>
    <s v="Burns"/>
    <s v="MI"/>
    <s v="Jill"/>
    <s v="Email"/>
    <s v="Pontes"/>
    <s v="Stephen &amp; Lisa"/>
    <x v="0"/>
    <s v="Janesville"/>
    <x v="1"/>
    <m/>
    <x v="18"/>
    <x v="548"/>
    <x v="755"/>
    <s v="Zip Line on prop"/>
    <s v="frame, built in 1994, primary, no losses, in brush, located in CA; Zip line on the property - once inspected will be used by family &amp; friends"/>
    <x v="3"/>
    <s v="Approved subj to x-liab due to recreational device"/>
    <m/>
    <m/>
    <s v="Burdine"/>
    <m/>
    <m/>
    <n v="0"/>
  </r>
  <r>
    <x v="98"/>
    <s v="Hull Irvine"/>
    <m/>
    <s v="Alex"/>
    <s v="Call"/>
    <m/>
    <m/>
    <x v="0"/>
    <m/>
    <x v="1"/>
    <m/>
    <x v="0"/>
    <x v="548"/>
    <x v="744"/>
    <s v="4 named insured"/>
    <s v="2 homes on same property. Entire property deeded to 2 brothers. Each brother and his wife occupy one of the homes."/>
    <x v="4"/>
    <m/>
    <m/>
    <m/>
    <s v="Patterson"/>
    <m/>
    <m/>
    <n v="0"/>
  </r>
  <r>
    <x v="232"/>
    <s v="Hull CA"/>
    <s v="Irvine"/>
    <s v="Alison"/>
    <s v="Email"/>
    <s v="Schultz, Ann"/>
    <m/>
    <x v="0"/>
    <s v="Santa Clarita CA PC9"/>
    <x v="3"/>
    <m/>
    <x v="0"/>
    <x v="548"/>
    <x v="830"/>
    <s v="$536K guest house"/>
    <s v="2007 home with large rental guest house. Rated on 1 policy, 2 family, extend liability. Home constructed of Rastra (insulated concrete material). Online photos show a narrow driveway. Need confirmation of fire truck accessability."/>
    <x v="3"/>
    <s v="Approved subject to confirmation that fire trucks can get up/through driveway."/>
    <m/>
    <m/>
    <s v="Patterson"/>
    <m/>
    <m/>
    <n v="0"/>
  </r>
  <r>
    <x v="133"/>
    <s v="Hull Horsham"/>
    <m/>
    <s v="Tamika"/>
    <s v="Email"/>
    <s v="Falco"/>
    <m/>
    <x v="0"/>
    <s v="Madison"/>
    <x v="9"/>
    <m/>
    <x v="0"/>
    <x v="549"/>
    <x v="0"/>
    <s v="Open claim"/>
    <s v="1900 dwelling w/2013 updates. 3 losses: 2013 fire - subro against contractor - fire during renovation. 3/15 toilet overflow $31K; 11/16 family member tripped on sidewalk. Open. May be Madison Twp. Still fighting. Sidewalk area repaired."/>
    <x v="3"/>
    <s v="You are approved to release terms with liability subject to:_x000a_• RC okay if home has been gutted and renovated per guidelines.  If updated only, then MFRC would apply._x000a_• No water backup coverage.  (Not sure if you were including – I see it on the app)_x000a_• Surcharge for 2 losses_x000a_"/>
    <m/>
    <m/>
    <s v="Patterson"/>
    <m/>
    <m/>
    <n v="0"/>
  </r>
  <r>
    <x v="749"/>
    <s v="Burns"/>
    <s v="MI"/>
    <s v="Danielle"/>
    <s v="Email"/>
    <s v="Miller, Loren"/>
    <m/>
    <x v="127"/>
    <s v="Nevada City CA PC5"/>
    <x v="3"/>
    <m/>
    <x v="0"/>
    <x v="550"/>
    <x v="831"/>
    <s v="4 fam home"/>
    <s v="1983 frame, 1st floor owner occ, 2nd floor 3 rental units "/>
    <x v="4"/>
    <m/>
    <m/>
    <m/>
    <s v="Patterson"/>
    <m/>
    <m/>
    <n v="0"/>
  </r>
  <r>
    <x v="616"/>
    <s v="Burns"/>
    <s v="MI"/>
    <s v="Rachel"/>
    <s v="Email"/>
    <s v="Roysdon"/>
    <s v="Derek"/>
    <x v="2"/>
    <s v="Loomis"/>
    <x v="1"/>
    <m/>
    <x v="5"/>
    <x v="551"/>
    <x v="832"/>
    <s v="Condition"/>
    <s v="woodshake roof, wood siding, w/in 100 feet of brush, lapse in coverage, $5000 AOP"/>
    <x v="1"/>
    <s v="Agreed that due to lapse/construction type so close to brush will not offer terms"/>
    <m/>
    <m/>
    <s v="Burdine"/>
    <m/>
    <m/>
    <n v="1"/>
  </r>
  <r>
    <x v="643"/>
    <s v="JM Wilson"/>
    <s v="MI"/>
    <s v="Cheryl"/>
    <s v="Email"/>
    <s v="Golden Gate Ranch LLC"/>
    <s v="Golden Gate Ranch LLC"/>
    <x v="0"/>
    <s v="Atlanta"/>
    <x v="8"/>
    <m/>
    <x v="4"/>
    <x v="551"/>
    <x v="833"/>
    <s v="PC"/>
    <s v="FD 15 miles, volunteer, 20 minutes away, woodstove"/>
    <x v="1"/>
    <s v="Due to response time"/>
    <m/>
    <m/>
    <s v="Burdine"/>
    <m/>
    <m/>
    <n v="1"/>
  </r>
  <r>
    <x v="137"/>
    <s v="Hull Irvine"/>
    <m/>
    <s v="Alison"/>
    <s v="Email"/>
    <s v="Elelsi LLC"/>
    <m/>
    <x v="15"/>
    <s v="Lake Arrowhead"/>
    <x v="1"/>
    <m/>
    <x v="0"/>
    <x v="552"/>
    <x v="834"/>
    <s v="Capped zip code"/>
    <s v="Risk is in Lake Arrowhead (42352) which is currently capped at $50M. Agent is trying to get this increased, but meanwhile is asking for an exception. My records show 47,103,972 which still gives them room. I believe they closed it short of the max.  1990 home w/water loss from prior owner. Discrepancy w/SF, therefore Cov A could be off. "/>
    <x v="3"/>
    <s v="You are approved to release terms subject to:_x000a_• Confirmation of square footage.  App shows 1800 SF.  Online source shows 1236 SF.  This could affect Cov A.  https://www.zillow.com/homedetails/516-Hillside-Dr-Lake-Arrowhead-CA-92352/2094441363_zpid/_x000a_• The online photos look like there may be some overhanging branches.  Please confirm brush is cleared as required to 150’._x000a_• Please order plumbing/heat/electrical inspection (due to prior loss)_x000a_• Verify prior loss amount paid.  App shows $91,000.  Email notes $9,371.  It is okay either way, I just want to make sure notes are accurate._x000a_• Since it sounds like we are the only ones willing to write, please quote accordingly._x000a_• PC9 or less with 15 minute response time_x000a_"/>
    <m/>
    <m/>
    <s v="Patterson"/>
    <m/>
    <m/>
    <n v="0"/>
  </r>
  <r>
    <x v="449"/>
    <s v="Hull Irvine"/>
    <s v="CA"/>
    <s v="Kelly"/>
    <m/>
    <s v="Song"/>
    <s v="Ki Chang"/>
    <x v="0"/>
    <s v="Los Angeles"/>
    <x v="1"/>
    <n v="91748"/>
    <x v="8"/>
    <x v="553"/>
    <x v="835"/>
    <s v="Losses"/>
    <s v="2016 water and theft losses. Water was $173k. Home has since been re-piped and they now have monitored alarm. Also have CS Burglar alarm. Frame home with stucco built in 1989."/>
    <x v="4"/>
    <s v="Redid all of the piping and now have fully monitored alarms for both theft and water. Confirm fire alarms. "/>
    <m/>
    <m/>
    <s v="Lazovik"/>
    <m/>
    <m/>
    <n v="0"/>
  </r>
  <r>
    <x v="405"/>
    <s v="AmWINS"/>
    <s v="IL"/>
    <s v="Tasha"/>
    <m/>
    <s v="French"/>
    <s v="Shane"/>
    <x v="5"/>
    <s v="Avon"/>
    <x v="40"/>
    <s v="44011"/>
    <x v="8"/>
    <x v="554"/>
    <x v="836"/>
    <s v="High Profile"/>
    <s v="Vacant dwelling owned by &quot;shock jock” in the Cleveland OH radio market. Some online antics. Dwelling has been vacant 2 years. Prem liab requested. "/>
    <x v="0"/>
    <s v="Tasha is trying to quote with us - we've received several. Ex liab if we do it.  JB had addl questions about why moving ins now and why vacant 1.5 years and now selling.// 2.19.19 Lloyds cancelled subagt. Insd got married, bought bigger house, finally decided to sell old house. Ok'd with no liab and $.35 rate (vs quoted .25). Discussed/approved with John."/>
    <m/>
    <m/>
    <s v="Patterson"/>
    <m/>
    <m/>
    <n v="0"/>
  </r>
  <r>
    <x v="538"/>
    <s v="Burns"/>
    <s v="MI"/>
    <s v="Leslie"/>
    <s v="Email"/>
    <s v="French"/>
    <s v="Shane"/>
    <x v="5"/>
    <m/>
    <x v="40"/>
    <m/>
    <x v="8"/>
    <x v="554"/>
    <x v="837"/>
    <s v="High Profile"/>
    <s v="insured syndicated radio talk show host for Rover's Morning Glory"/>
    <x v="3"/>
    <s v="approval to offer property terms on this risk. However, based on the current high-profile of the applicant, he would not be eligible for liability coverage."/>
    <m/>
    <m/>
    <s v="Burdine"/>
    <m/>
    <m/>
    <n v="0"/>
  </r>
  <r>
    <x v="404"/>
    <s v="JM Wilson"/>
    <s v="MI"/>
    <s v="Lori"/>
    <s v="Email"/>
    <s v="Moore"/>
    <s v="Thomas"/>
    <x v="0"/>
    <s v="Franklin"/>
    <x v="17"/>
    <m/>
    <x v="6"/>
    <x v="554"/>
    <x v="838"/>
    <s v="Business on Premises"/>
    <s v="historical home (no tours), quoted at FRC"/>
    <x v="4"/>
    <s v="online review, app, OK"/>
    <m/>
    <m/>
    <s v="Burdine"/>
    <m/>
    <m/>
    <n v="0"/>
  </r>
  <r>
    <x v="15"/>
    <s v="Hull Irvine"/>
    <s v="CA"/>
    <s v="Bobbi"/>
    <s v="Email"/>
    <s v="Price"/>
    <s v="Michael"/>
    <x v="2"/>
    <s v="Fawnskin"/>
    <x v="1"/>
    <m/>
    <x v="0"/>
    <x v="555"/>
    <x v="0"/>
    <s v="TIV"/>
    <s v="2 structures (main and guest) on property. Insured wants them to be combined under a single Cov A limit. This is how tax and title are and he wants them to match."/>
    <x v="3"/>
    <s v="Can't combine both under A. Did agree to write one policy with A &amp; B."/>
    <m/>
    <m/>
    <s v="Patterson"/>
    <m/>
    <m/>
    <n v="0"/>
  </r>
  <r>
    <x v="82"/>
    <s v="XS Brokers"/>
    <m/>
    <s v="Chris"/>
    <s v="Email"/>
    <s v="Burke, Joshua J"/>
    <m/>
    <x v="2"/>
    <m/>
    <x v="3"/>
    <m/>
    <x v="0"/>
    <x v="555"/>
    <x v="0"/>
    <s v="Age of home"/>
    <s v="1895 home well maintained and updated for an employee of XSB. Not gut rehabbed. Adding FRC. $2500 ded.  (1900 rule)"/>
    <x v="4"/>
    <m/>
    <m/>
    <m/>
    <s v="Patterson"/>
    <s v="X"/>
    <s v="One of the first policies bound. Verify condition looks good"/>
    <n v="0"/>
  </r>
  <r>
    <x v="750"/>
    <s v="Burns"/>
    <s v="MI"/>
    <s v="Matt"/>
    <s v="Email/Call"/>
    <s v="SB Irish Crossing LLC"/>
    <m/>
    <x v="2"/>
    <s v="South Bend "/>
    <x v="17"/>
    <m/>
    <x v="0"/>
    <x v="555"/>
    <x v="839"/>
    <s v="Unique rental"/>
    <s v="Owned by football player and former teammates. Used as upscale tailgate condo and also sold as exclusive package for high prices. Matt uncovered this information online."/>
    <x v="3"/>
    <s v="Approved subj to $3K prem and $2500 AOP and $5000 theft deductible per our discussion."/>
    <m/>
    <m/>
    <s v="Patterson"/>
    <m/>
    <m/>
    <n v="0"/>
  </r>
  <r>
    <x v="751"/>
    <s v="Burns"/>
    <s v="MI"/>
    <s v="Rachel"/>
    <s v="Email"/>
    <s v="Gold"/>
    <s v="Larry"/>
    <x v="0"/>
    <s v="Los Angeles"/>
    <x v="1"/>
    <m/>
    <x v="0"/>
    <x v="555"/>
    <x v="725"/>
    <s v="High Profile"/>
    <s v="Producer, prior approval as DP3, but will now use as primary. Updates in 2016"/>
    <x v="4"/>
    <s v="Approved; reviewed and nothing recent for producer. Ok w/ liab"/>
    <m/>
    <m/>
    <s v="Burdine"/>
    <m/>
    <m/>
    <n v="0"/>
  </r>
  <r>
    <x v="34"/>
    <s v="Hull Stockton"/>
    <s v="CA"/>
    <s v="Lisa"/>
    <s v="Email"/>
    <s v="Mileski"/>
    <s v="Bret"/>
    <x v="0"/>
    <s v="Winchester "/>
    <x v="1"/>
    <m/>
    <x v="6"/>
    <x v="555"/>
    <x v="840"/>
    <s v="Business on Premises"/>
    <s v="Nice home per online photos on 10 acres. Nearby airport. Building on prop used as shop for insured's sign/framing company. Was a hangar. Agent quoted with TBE."/>
    <x v="3"/>
    <s v="GL maintained by retailer, TBE, All UW questions answered, advise if bldg ever used as a hangar. Photos show adequate distance from dwelling. 10 acres, so airport exposure is not a concern."/>
    <m/>
    <m/>
    <s v="Patterson"/>
    <m/>
    <m/>
    <n v="0"/>
  </r>
  <r>
    <x v="752"/>
    <s v="Hull Irvine"/>
    <s v="CA"/>
    <s v="Alex"/>
    <s v="Call"/>
    <s v="Barker, Greg &amp; Lisa"/>
    <m/>
    <x v="0"/>
    <s v="Grass Valley"/>
    <x v="1"/>
    <m/>
    <x v="0"/>
    <x v="555"/>
    <x v="841"/>
    <s v="business on premises"/>
    <s v="CPA-75-100 clients over a period from about February to April come into insureds home for consultation. Agreed OK to submit for consideration with a total business exclusion. "/>
    <x v="3"/>
    <s v="Relatively low exposure, ok with liab as long as total business excluded"/>
    <m/>
    <m/>
    <s v="Burdine"/>
    <m/>
    <m/>
    <n v="0"/>
  </r>
  <r>
    <x v="385"/>
    <s v="Hull Irvine"/>
    <s v="CA"/>
    <s v="Bobbi"/>
    <m/>
    <s v="Canales"/>
    <s v="Juan"/>
    <x v="0"/>
    <s v="Wrightwood"/>
    <x v="1"/>
    <s v="92397"/>
    <x v="8"/>
    <x v="556"/>
    <x v="842"/>
    <s v="Condition"/>
    <s v="Home as asbestos roofing. Agent advised they were aware of concerns with asbestos siding, but was not sure on roofing. "/>
    <x v="1"/>
    <s v="Same concerns are present with asbestos roofing as with asbestos siding. Too may concerns - liability, partial losses, valuations, etc. Declined"/>
    <m/>
    <m/>
    <s v="Busse"/>
    <m/>
    <m/>
    <n v="1"/>
  </r>
  <r>
    <x v="753"/>
    <s v="SCU"/>
    <s v="CO"/>
    <s v="Allison"/>
    <s v="Email"/>
    <s v="Carroll"/>
    <s v="Michelle"/>
    <x v="0"/>
    <s v="Fort Collins"/>
    <x v="19"/>
    <m/>
    <x v="8"/>
    <x v="557"/>
    <x v="843"/>
    <s v="Business on Premises"/>
    <s v="Home built 1979, new roof 2014. Plumbing in 2005. Insured's husband, Cory, is an MD who practices from his home. Has been in practice since 1992. Up to 40 patients in home per week. Has GL, professional, and work comp coverage. "/>
    <x v="3"/>
    <s v="TBE due to practice done in home, seems to be responsible with other business coverages. Animal exclusion will also be applied, mentioned by agent. Confirm business questionnaire is completed and reviewed. "/>
    <m/>
    <m/>
    <s v="Busse"/>
    <m/>
    <m/>
    <n v="0"/>
  </r>
  <r>
    <x v="115"/>
    <s v="Hull Stockton"/>
    <m/>
    <s v="Lisa"/>
    <s v="Email"/>
    <s v="Nikravesh, Michael"/>
    <m/>
    <x v="98"/>
    <s v="Big Bear"/>
    <x v="1"/>
    <m/>
    <x v="9"/>
    <x v="558"/>
    <x v="844"/>
    <s v="Additional interest"/>
    <s v="1992 home. Big Bear Water District as AI ok. Agt quoted as PC3. Looks like it may be a 10."/>
    <x v="0"/>
    <s v="Need PC quest to verify PC. No PPC hit at address. RM shows station is 11-12 mi away.  6/6-clearly a PC3. Approved."/>
    <m/>
    <m/>
    <s v="Patterson"/>
    <m/>
    <m/>
    <n v="0"/>
  </r>
  <r>
    <x v="340"/>
    <s v="Burns"/>
    <s v="MI"/>
    <s v="Danielle"/>
    <s v="Email"/>
    <s v="Lenzen"/>
    <s v="Ray"/>
    <x v="0"/>
    <s v="Maplewood"/>
    <x v="31"/>
    <m/>
    <x v="0"/>
    <x v="558"/>
    <x v="845"/>
    <s v="Business on Premises"/>
    <s v="1955 (maybe 1993?) dwelling used for adult home care/memory care. 2 employees, 4 patients, 2 owners live in the dwelling. Online website looks like a good facility. "/>
    <x v="3"/>
    <s v="Apply TBE, commercial policies, updated app."/>
    <s v="PER ADDITIONAL CONVERSATION WITH JEFF MAY, WE SHOULD NOT BE WRITING THESE RISKS WHERE THE CLIENTS LIVE THERE. THIS IS TOO MUCH EXPOSURE. TOO MUCH LIABILITY THAT WE DON'T FEEL OUR EXCLUSIONS CAN CONTAIN."/>
    <m/>
    <s v="Patterson"/>
    <m/>
    <m/>
    <n v="0"/>
  </r>
  <r>
    <x v="529"/>
    <s v="SCU"/>
    <s v="CO"/>
    <s v="Allison"/>
    <m/>
    <s v="Garrison"/>
    <s v="Barry &amp; Dean"/>
    <x v="0"/>
    <s v="Golden"/>
    <x v="19"/>
    <s v="80403"/>
    <x v="13"/>
    <x v="559"/>
    <x v="12"/>
    <s v="Prior Lapse/NRN"/>
    <s v="New build with about a 90 day lapse. When construction completed in Feb 2019, they moved from a coml loan to a personal loan and there were delays with closing date and appraisal. This delayed the acquisition of insurance.  Partner will get Cert of Occ and no loss letter. $1,000 ded quoted."/>
    <x v="3"/>
    <s v="."/>
    <s v="I ran ins score 847"/>
    <m/>
    <s v="Patterson"/>
    <m/>
    <m/>
    <n v="0"/>
  </r>
  <r>
    <x v="68"/>
    <s v="Hull Irvine"/>
    <m/>
    <s v="Alison"/>
    <s v="Email"/>
    <s v="Henyan, Shannon"/>
    <m/>
    <x v="0"/>
    <s v="Cedar Glen"/>
    <x v="1"/>
    <m/>
    <x v="12"/>
    <x v="559"/>
    <x v="846"/>
    <s v="Log homes"/>
    <s v="2008 log home made of factory milled logs. "/>
    <x v="4"/>
    <m/>
    <m/>
    <m/>
    <s v="Patterson"/>
    <m/>
    <m/>
    <n v="0"/>
  </r>
  <r>
    <x v="281"/>
    <s v="Burns"/>
    <s v="MI"/>
    <s v="Delta"/>
    <s v="Email"/>
    <s v="Ripley, Jeff"/>
    <m/>
    <x v="0"/>
    <s v="Westfield "/>
    <x v="17"/>
    <m/>
    <x v="5"/>
    <x v="560"/>
    <x v="847"/>
    <s v="Business on premises"/>
    <s v="1978 home w/roof update. Insured operates Paddack Wrecker service on property. Photo showing separation provided. GL/prop policy in place. App questions not completed."/>
    <x v="3"/>
    <s v="Approved w/Total Business Excl Form Subj to confirmation of no public traffic near or in home; coml pol maintained by retailer; app complete.  Per Delta 10/13, agt does not control Coml. Advised we could do that X-liability."/>
    <m/>
    <m/>
    <s v="Patterson"/>
    <m/>
    <m/>
    <n v="0"/>
  </r>
  <r>
    <x v="5"/>
    <s v="Hull Charlotte"/>
    <s v="NC"/>
    <s v="Tricia"/>
    <m/>
    <s v="Bowen"/>
    <s v="Anthea &amp; Robert"/>
    <x v="3"/>
    <s v="Charleston"/>
    <x v="20"/>
    <s v="29401"/>
    <x v="11"/>
    <x v="561"/>
    <x v="848"/>
    <s v="Other UW Reason"/>
    <s v="1900? Year built. App says 1920 but inspection says 1900. Per inspection, systems have been updated within last 10 years. Agent is asking if they can quote with removing FRC, as they typically do for this specific agent."/>
    <x v="3"/>
    <s v="Advised what the guidelines are (pre 1945 not gutted and rebuilt, but have had updates, only FRC). Advised we may be able to make exceptions for risks that are much closer to the 1945 cutoff, but with this being 19001 and no mention of gut/rebuild, we will stay on the requirement of FRC."/>
    <m/>
    <m/>
    <s v="Busse"/>
    <m/>
    <m/>
    <n v="0"/>
  </r>
  <r>
    <x v="276"/>
    <s v="Burns"/>
    <s v="MI"/>
    <s v="Jill"/>
    <s v="Email"/>
    <s v="Vacher, Robert"/>
    <m/>
    <x v="0"/>
    <s v="Susanville   "/>
    <x v="1"/>
    <m/>
    <x v="0"/>
    <x v="562"/>
    <x v="849"/>
    <s v="Warehouse w/apartment"/>
    <s v="1930 warehouse updated in 1996. 900+ SF apartment in the warehouse which is used personally as a garage. Roof update ?? 2 layers of tin.  No PC provided. Part of Susanville is PC10. Asked Jill to verify brush and PC and response time."/>
    <x v="3"/>
    <s v="Approved - verify roof update, verify PC and response time."/>
    <m/>
    <m/>
    <s v="Patterson"/>
    <m/>
    <m/>
    <n v="0"/>
  </r>
  <r>
    <x v="603"/>
    <s v="Hull Irvine"/>
    <s v="CA"/>
    <s v="Alison"/>
    <m/>
    <s v="Rashnavadi"/>
    <s v="Nooshin"/>
    <x v="0"/>
    <s v="La Canada FLT"/>
    <x v="1"/>
    <s v="91011"/>
    <x v="9"/>
    <x v="563"/>
    <x v="755"/>
    <s v="Losses"/>
    <s v="1999 home. $140K bathroom toilet overflow loss 5/17. $5,000 slab leak 6/18. No mitigation. Asking if high ded or exclusion could apply."/>
    <x v="3"/>
    <s v="Exclude water damage, no mold, no backup."/>
    <m/>
    <m/>
    <s v="Patterson"/>
    <m/>
    <m/>
    <n v="0"/>
  </r>
  <r>
    <x v="23"/>
    <s v="Hull Stockton"/>
    <s v="CA"/>
    <s v="Lisa"/>
    <s v="Email"/>
    <s v="Mockabee"/>
    <s v="Jason &amp; Jode"/>
    <x v="0"/>
    <s v="Sonora"/>
    <x v="1"/>
    <m/>
    <x v="5"/>
    <x v="564"/>
    <x v="850"/>
    <s v="Age of Home"/>
    <s v="1864 build, no brush, PC 4, no losses, "/>
    <x v="3"/>
    <s v="Has this home been completely gutted/remodeled? Since the 1864 build year was used on the rater, I am assuming it has not been. If there has not been a complete gut of the home, this property is not eligible for our product. If there has been a complete gut/remodel then we are able to use that year as the actual build year"/>
    <m/>
    <m/>
    <s v="Burdine"/>
    <m/>
    <m/>
    <n v="0"/>
  </r>
  <r>
    <x v="156"/>
    <s v="Hull Horsham"/>
    <s v="PA"/>
    <s v="Tamika"/>
    <s v="Email"/>
    <s v="Miller"/>
    <s v="Nancy"/>
    <x v="5"/>
    <s v="Teaneck"/>
    <x v="9"/>
    <m/>
    <x v="0"/>
    <x v="565"/>
    <x v="591"/>
    <s v="Occupancy"/>
    <s v="Agent says new purchase, may be renovated, currently has a desk and works there. No running water. Electric only. 1935 home with some updates. Online photos show 2014 purchase which is supported by app included from 2014. Ins score poor."/>
    <x v="1"/>
    <s v="Agents says new purchase, but the app shows purchase date of 7/2014 which matches what I find online.  In fact, the attached app is from 2014, which must be when the insured purchased.  FYI - Insurance score is poor.  Risk is currently vacant and appears to have been for almost 3 years.  Currently used for business purposes.  Possible plan to apply for a loan for renovations, but no guaranty this will happen. (May not be able to with their score, and it hasn't happened yet.)_x000a__x000a_Based on current use as business, the fact it has been vacant possibly for 3 years, and the fact that we don't have solid plans in process to renovate for occupancy, I would say this best belongs on a commercial policy._x000a__x000a_My guess is it might be in the midst of renovation and they ran out of money.  (No running water?)  Or they've been applying for loans and have been unsuccessful and decided to use it as an office vs. leaving it empty.  _x000a_"/>
    <m/>
    <n v="31"/>
    <s v="Patterson"/>
    <m/>
    <m/>
    <n v="1"/>
  </r>
  <r>
    <x v="694"/>
    <s v="ASL"/>
    <m/>
    <s v="Charity"/>
    <s v="Email"/>
    <s v="Longest, Harold"/>
    <m/>
    <x v="0"/>
    <s v="Aylett, VA  PC9"/>
    <x v="3"/>
    <m/>
    <x v="0"/>
    <x v="566"/>
    <x v="851"/>
    <s v="PC9  "/>
    <s v="1997 4000SF NW of VA Beach. Internet shows 1830 year built on 48 acres. Addl quest sent to Charity"/>
    <x v="1"/>
    <s v="Confirmed. Part of the home is 1830. Charity did not want to pursue finding out about renovation to that section of the house, so said she would tell the agent it was declined."/>
    <m/>
    <m/>
    <s v="Patterson"/>
    <m/>
    <m/>
    <n v="1"/>
  </r>
  <r>
    <x v="747"/>
    <s v="SCU"/>
    <s v="CO"/>
    <s v="Ashley"/>
    <s v="Email"/>
    <s v="Yang, Trent"/>
    <m/>
    <x v="0"/>
    <s v="GV"/>
    <x v="19"/>
    <m/>
    <x v="2"/>
    <x v="567"/>
    <x v="852"/>
    <s v="Open Loss"/>
    <s v="Insured had wind loss - dmg to roof 7/16 $13,403 paid. Claim is still open as insd is changing flat roof to vaulted roof. Freeze claim and wind claim also."/>
    <x v="1"/>
    <s v="Advised we don't like to take these on due to possible damage no one knows about. Even with exclusions and deductibles, we could get stuck."/>
    <m/>
    <m/>
    <s v="Patterson"/>
    <m/>
    <m/>
    <n v="1"/>
  </r>
  <r>
    <x v="645"/>
    <s v="Hull Irvine"/>
    <s v="CA"/>
    <s v="Alison"/>
    <s v="Email"/>
    <s v="Wordell"/>
    <s v="Stephen &amp; Margarite"/>
    <x v="2"/>
    <s v="Santa Barbara"/>
    <x v="1"/>
    <m/>
    <x v="0"/>
    <x v="567"/>
    <x v="579"/>
    <s v="Losses"/>
    <s v="1998 dwelling w/tile roof and stucco siding. Updated in 2000. Insured suffered damage from Thomas fire. 2 separate losses. Fire 12/10/17 (dwelling and landscape $131K); Flood (mud flow from fire $108K). There were tenants there who were arrested for illegal substances. They are no longer there. "/>
    <x v="3"/>
    <s v="Apply surcharge for 2 losses plus additional 15%. RM indicates high brush. FL (copy in file) is a 9 and does account for the Thomas fire."/>
    <m/>
    <m/>
    <s v="Patterson"/>
    <m/>
    <m/>
    <n v="0"/>
  </r>
  <r>
    <x v="612"/>
    <s v="Hull Irvine"/>
    <s v="CA"/>
    <s v="Tina"/>
    <m/>
    <s v="Mayer"/>
    <s v="Ricki"/>
    <x v="0"/>
    <s v="Oxnard"/>
    <x v="1"/>
    <s v="93036"/>
    <x v="9"/>
    <x v="568"/>
    <x v="853"/>
    <s v="Losses"/>
    <s v="1989 home w/ 2 prior slab leak losses 9/14 $2K; 7/16 $75K. Also falling tree dmg 8/16 $12K. No riskmeter. Mold and backup not quoted."/>
    <x v="3"/>
    <s v="s/c for 2 losses. Water dmg excl as no info on mitigation. Confirm no addl tree threat. Reminded no water bu or mold. Asked for RiskMeter to be run and apply appro s/c."/>
    <m/>
    <m/>
    <s v="Patterson"/>
    <m/>
    <m/>
    <n v="0"/>
  </r>
  <r>
    <x v="179"/>
    <s v="Burns"/>
    <s v="MI"/>
    <s v="Jill"/>
    <s v="Email"/>
    <s v="Hiltbrand"/>
    <s v="Jeffrey"/>
    <x v="16"/>
    <m/>
    <x v="22"/>
    <m/>
    <x v="4"/>
    <x v="569"/>
    <x v="854"/>
    <s v="Response time"/>
    <s v="PC10 &amp; not accessible year round, appears to be 30 min response time; Secondary, log home, no losses, built in 2001, located in UT"/>
    <x v="1"/>
    <s v="Response time may be less based on my research, but volunteer FD, not accessible year round"/>
    <m/>
    <m/>
    <s v="Burdine"/>
    <m/>
    <m/>
    <n v="1"/>
  </r>
  <r>
    <x v="639"/>
    <s v="Hull Irvine"/>
    <s v="CA"/>
    <s v="Alison"/>
    <s v="Email"/>
    <s v="Brown "/>
    <s v="Gary &amp; Pam"/>
    <x v="16"/>
    <s v="Lake Arrowhead"/>
    <x v="1"/>
    <m/>
    <x v="5"/>
    <x v="570"/>
    <x v="855"/>
    <s v="Zip Code"/>
    <s v="We are under $50 mil – I believe it is currently around $48,300,000 and the TIV on this one is under $1 million"/>
    <x v="3"/>
    <s v="Confirming will not breach the zip code cap"/>
    <m/>
    <m/>
    <s v="Burdine"/>
    <m/>
    <m/>
    <n v="0"/>
  </r>
  <r>
    <x v="528"/>
    <s v="JM Wilson"/>
    <s v="MI"/>
    <s v="Cheryl"/>
    <m/>
    <s v="Seiflow"/>
    <s v="Gerald"/>
    <x v="0"/>
    <s v="Lake Villa"/>
    <x v="4"/>
    <s v="60046"/>
    <x v="9"/>
    <x v="571"/>
    <x v="856"/>
    <s v="Losses"/>
    <s v="1997 year built, complete update to roof in 2015 after a $49k hail loss. Second wind/hail loss 5/2018 to siding, garage, pool for $20k, and 9/2018 broken pipe water loss $5717. "/>
    <x v="3"/>
    <s v="They have $5k AOP and w/h deductibles quoted, think that is acceptable especially given the larger hail loss had a complete roof replacement afterwards. Approved subject to noting file if another considerably large wind/hail loss is sustained to consider increased deductible."/>
    <m/>
    <m/>
    <s v="Busse"/>
    <m/>
    <m/>
    <n v="0"/>
  </r>
  <r>
    <x v="556"/>
    <s v="Burns"/>
    <s v="MI"/>
    <s v="Ben"/>
    <s v="Email"/>
    <s v="Peterson, James"/>
    <m/>
    <x v="0"/>
    <s v="Thousand Oaks"/>
    <x v="1"/>
    <m/>
    <x v="5"/>
    <x v="571"/>
    <x v="856"/>
    <s v="Open Claim"/>
    <s v="1994 home not in brush. NRN question = yes. Not explained. 1/16 pipe break. 7/16 elderly mother of friend fell inside house. $70K reserve - still going through therapy."/>
    <x v="3"/>
    <s v="Approve subj to verif the NRN was due to losses and not something else. "/>
    <m/>
    <m/>
    <s v="Patterson"/>
    <m/>
    <m/>
    <n v="0"/>
  </r>
  <r>
    <x v="168"/>
    <s v="Burns"/>
    <s v="MI"/>
    <s v="Jeff"/>
    <s v="Email"/>
    <s v="Huff"/>
    <s v="Trisha &amp; Danny"/>
    <x v="0"/>
    <s v="Pollock Pines"/>
    <x v="1"/>
    <m/>
    <x v="4"/>
    <x v="572"/>
    <x v="857"/>
    <s v="Response time"/>
    <s v="1980 frame dwelling. Has log siding. 15 min drive time by paid FD. 6.3 miles. No barriers. Full time residence, Mrs is homemaker. Med brush per RM. Photos shows cabin in woods with trees trimmed up. Many UW questions blank."/>
    <x v="3"/>
    <s v="Fireline shows &quot;High 6, medium fuels, mod slope, no access issues.&quot;  Drive time by paid FD right at 15 minutes. Slight rate adjustment - 5% surcharge gets us to $0.58. Need uw questions answered."/>
    <m/>
    <m/>
    <s v="Patterson"/>
    <m/>
    <m/>
    <n v="0"/>
  </r>
  <r>
    <x v="354"/>
    <s v="Hull CA"/>
    <s v="Stockton"/>
    <s v="Kirk"/>
    <s v="Email"/>
    <s v="Dykema, Greg"/>
    <m/>
    <x v="128"/>
    <s v="Groveland CA PC5"/>
    <x v="3"/>
    <m/>
    <x v="0"/>
    <x v="573"/>
    <x v="858"/>
    <s v="Rate reduction"/>
    <s v="1981 home updated in 2010, roof fully updated in 2010. Lloyds quote coming less than ours. Can we match."/>
    <x v="3"/>
    <s v="If water damage, animal, and mold is removed, it is a 15% reduction to beat the rate by $25 or so. Ran insurance score which came back outstanding!"/>
    <m/>
    <m/>
    <s v="Patterson"/>
    <m/>
    <m/>
    <n v="0"/>
  </r>
  <r>
    <x v="50"/>
    <s v="JM Wilson"/>
    <s v="MI"/>
    <s v="Cheryl"/>
    <s v="Email"/>
    <s v="Patterson"/>
    <s v="Shawn"/>
    <x v="0"/>
    <s v="Fort Wayne"/>
    <x v="17"/>
    <m/>
    <x v="2"/>
    <x v="574"/>
    <x v="859"/>
    <s v="Losses"/>
    <s v="Home built in 2007. Vinyl siding, frame, Roof is original (11 years). Central Burglar and Smoke alarms?"/>
    <x v="3"/>
    <s v="Trampoline exclusion,  no scheduled personal property, left theft deductible pending confirmation of CSA. Must charge for all three losses."/>
    <m/>
    <m/>
    <s v="Lazovik"/>
    <m/>
    <m/>
    <n v="0"/>
  </r>
  <r>
    <x v="754"/>
    <s v="Burns"/>
    <s v="MI"/>
    <s v="Jill"/>
    <s v="Email"/>
    <s v="Stein"/>
    <s v="Israel &amp; Baila"/>
    <x v="0"/>
    <s v="Lakewood"/>
    <x v="9"/>
    <m/>
    <x v="2"/>
    <x v="575"/>
    <x v="860"/>
    <s v="Business on Premises"/>
    <s v="THERAPY BUSINESS. 20-30 PATIENTS PER WEEK. INSURED HAS OWN GL POLICY - OCCUPANCY OF IN-HOME BUSINESS IS LESS THEN 50% OF RESIDENCE AREA. NO EMPLOYEES. INSURED DOES NOT OCCUPY ANY OTHER BUSINESS IN ANOTHER LOCATION.; built in 2011, no losses"/>
    <x v="3"/>
    <s v="TBE required"/>
    <m/>
    <m/>
    <s v="Burdine"/>
    <m/>
    <m/>
    <n v="0"/>
  </r>
  <r>
    <x v="411"/>
    <s v="SCU"/>
    <s v="CO"/>
    <s v="Asley"/>
    <m/>
    <s v="Kanter"/>
    <s v="Joseph"/>
    <x v="53"/>
    <s v="Los Angeles"/>
    <x v="1"/>
    <m/>
    <x v="2"/>
    <x v="576"/>
    <x v="861"/>
    <s v="Losses"/>
    <s v="1964 condo with CS temp and burglary alarms. No renovations listed. Primary owner occupied condo. Insured is well known producer. Has two  water losses of &gt;$500k and about $6k."/>
    <x v="2"/>
    <s v="What mitigation measures have been taken? Pending answer. Will remove water if none taken. At least a high water deductible is otherwise warranted. Asking for larger amounts of loss assessment, id theft and eq breakdown. Be sure to note we are not a market for the fine art and they should do stand alone policies for those."/>
    <m/>
    <m/>
    <s v="Lazovik"/>
    <m/>
    <m/>
    <n v="0"/>
  </r>
  <r>
    <x v="52"/>
    <s v="Burns"/>
    <s v="MI"/>
    <s v="Nicole"/>
    <m/>
    <s v="Duncan"/>
    <s v="Sean"/>
    <x v="1"/>
    <s v="Golden"/>
    <x v="19"/>
    <s v="80401"/>
    <x v="9"/>
    <x v="577"/>
    <x v="862"/>
    <s v="Losses"/>
    <s v="Two prior losses. One Hail (CAT) claim of $35k (2017). Water claim in 1/2018 for failed toilet supply line. Kitchen remodeling in process. $161K in repairs. Home built in 1991 frame. Asphalt roof replaced in 2018. No CSA."/>
    <x v="0"/>
    <s v="As home repairs have begun but not complete, we will decline.  Repairs are now complete."/>
    <m/>
    <m/>
    <s v="Lazovik"/>
    <m/>
    <m/>
    <n v="0"/>
  </r>
  <r>
    <x v="724"/>
    <s v="Burns"/>
    <s v="MI"/>
    <s v="Matt"/>
    <s v="Email"/>
    <s v="Spurlock, Andrew"/>
    <m/>
    <x v="0"/>
    <s v="Baldwin City"/>
    <x v="28"/>
    <m/>
    <x v="6"/>
    <x v="578"/>
    <x v="863"/>
    <s v="Response time 20 mins"/>
    <s v="2000 frame home on 48 acres of personal land. No farming. No leasing. No animals. Various structures on the 48 acres. FD is mutual aid from 2 departments. Palmyra 4.8 mi; Baldwin 6.1 mi. visible and accessible. Liberty insuring for $7800 w/$5K ded."/>
    <x v="2"/>
    <s v="Verify PC - app says 3. ISO PPC says 9 or 10. Need premium to s/c for longer response time. Confirm why app says &quot;hobby farm&quot;."/>
    <m/>
    <m/>
    <s v="Patterson"/>
    <m/>
    <m/>
    <n v="0"/>
  </r>
  <r>
    <x v="755"/>
    <s v="JM Wilson"/>
    <s v="MI"/>
    <s v="Cheryl"/>
    <s v="Email"/>
    <s v="Hansen"/>
    <s v="Karen"/>
    <x v="3"/>
    <s v="Sturgis"/>
    <x v="8"/>
    <m/>
    <x v="30"/>
    <x v="579"/>
    <x v="744"/>
    <s v="Losses"/>
    <s v="1997 home. Occasional rental handled by a realtor who wanted to be listed on the policy as AI.  1/25/14 furnace shut down, pipes froze and broke. $295,000 damage."/>
    <x v="3"/>
    <s v="Ensure all damage repaired and furnace replaced or repaired/in working order. 4 years ago-didn't feel additional mitigation would be needed. Realtor can't be listed - no insurable interest."/>
    <m/>
    <m/>
    <s v="Patterson"/>
    <m/>
    <m/>
    <n v="0"/>
  </r>
  <r>
    <x v="320"/>
    <s v="Burns"/>
    <s v="MI"/>
    <s v="Sarah"/>
    <s v="Email"/>
    <s v="Briggs"/>
    <s v="Lance"/>
    <x v="0"/>
    <m/>
    <x v="7"/>
    <m/>
    <x v="2"/>
    <x v="580"/>
    <x v="864"/>
    <s v="High Profile"/>
    <s v="Attached is a primary home property located in AZ. Home was built in 2005- no losses; issue in 2007 (accident) but none since then. Retired NFL player"/>
    <x v="1"/>
    <s v="Adverse info found (including recent lawsuit due to issues at his home and recent foreclosure)"/>
    <m/>
    <m/>
    <s v="Burdine"/>
    <m/>
    <m/>
    <n v="1"/>
  </r>
  <r>
    <x v="273"/>
    <s v="Bolton"/>
    <s v="AL"/>
    <s v="Janet"/>
    <s v="Email"/>
    <s v="Singleterry, Howard"/>
    <m/>
    <x v="110"/>
    <s v="Biloxi"/>
    <x v="16"/>
    <m/>
    <x v="0"/>
    <x v="581"/>
    <x v="865"/>
    <s v="B&amp;B?"/>
    <s v="Agent wondering if we write B&amp;B."/>
    <x v="2"/>
    <s v="Advised we don't have a program for them, but if there was enough demand we could look at something for future risks.  If only 3-4 rooms rented out, we could do this X-liability. Total Business Excl not a good application when biz is in the home since Cov A is excluded."/>
    <m/>
    <m/>
    <s v="Patterson"/>
    <m/>
    <m/>
    <n v="0"/>
  </r>
  <r>
    <x v="133"/>
    <s v="ASL"/>
    <s v="VA"/>
    <s v="Charity"/>
    <s v="Email"/>
    <s v="The Beuchert Family Trust"/>
    <m/>
    <x v="2"/>
    <s v="Hughesville"/>
    <x v="29"/>
    <m/>
    <x v="6"/>
    <x v="582"/>
    <x v="866"/>
    <s v="PC9"/>
    <s v="1965 home updated. Volunteer FD within 2 miles per google."/>
    <x v="3"/>
    <s v="Confirm responding FD. 15 min or less ok."/>
    <m/>
    <m/>
    <s v="Patterson"/>
    <m/>
    <m/>
    <n v="0"/>
  </r>
  <r>
    <x v="470"/>
    <s v="AmWINS"/>
    <s v="SC"/>
    <s v="Zach"/>
    <m/>
    <s v="Patrick"/>
    <s v="Kevin &amp; Darcie Patrick"/>
    <x v="0"/>
    <s v="Hilton Head"/>
    <x v="20"/>
    <s v="29926"/>
    <x v="2"/>
    <x v="582"/>
    <x v="847"/>
    <s v="Losses"/>
    <s v="Home with prior fire loss. 6/28/18 $223K gutted and repaired. Closed and repairs complete. Lloyds is nonrenewing. Fire Marshal report shows accidental. Agt will require CSFB and fire extinguisher."/>
    <x v="0"/>
    <s v="Gut and rebuilt home like new. Accidental fire. Excellent ins score."/>
    <s v="John reviewed the fire marshal report and we agree, cause is accidental. Called/emailed Zach agt 4/25/19 for Ins score. It is 5 star B. "/>
    <m/>
    <s v="Patterson"/>
    <m/>
    <m/>
    <n v="0"/>
  </r>
  <r>
    <x v="415"/>
    <s v="Burns"/>
    <s v="MI"/>
    <s v="Ben"/>
    <s v="Email"/>
    <s v="Sehabiague, Donna"/>
    <m/>
    <x v="0"/>
    <s v="Gold Run"/>
    <x v="1"/>
    <m/>
    <x v="6"/>
    <x v="583"/>
    <x v="867"/>
    <s v="15 min response"/>
    <s v="2007 frame home, no alarms, in brush. Has woodstove used as secondary heat. Unknown when last cleaned. 15 min resp. dirt roads. 3-4 miles away"/>
    <x v="3"/>
    <s v="Approved subject to no dirt road washout issue, must clean woodstove now and annually."/>
    <m/>
    <m/>
    <s v="Patterson"/>
    <m/>
    <m/>
    <n v="0"/>
  </r>
  <r>
    <x v="378"/>
    <s v="SCU"/>
    <s v="CO"/>
    <s v="Allison"/>
    <m/>
    <s v="O'Neil"/>
    <s v="Kevin"/>
    <x v="0"/>
    <s v="Parma"/>
    <x v="45"/>
    <s v="83660"/>
    <x v="4"/>
    <x v="584"/>
    <x v="744"/>
    <s v="Losses"/>
    <s v="2001 home w/open liability claim. 5/17/19 handyman found deceased on insured's property. No details on what happened. We previously approved this risk w/no liability but it was never written with us. (Insd has BMX and go cart track on property.)  Insp indicates not just that exposure, but unfenced pool and in ground trampoline."/>
    <x v="1"/>
    <s v="Can't take on a risk with an open liab and we don't know cause of death. Also advised there are more exposures than we knew and we are concerned w/exorbitant defense costs. "/>
    <m/>
    <m/>
    <s v="Patterson"/>
    <m/>
    <m/>
    <n v="1"/>
  </r>
  <r>
    <x v="730"/>
    <s v="JM Wilson"/>
    <s v="MI"/>
    <s v="Cheryl"/>
    <s v="Email"/>
    <s v="Phaliwal"/>
    <s v="Asab"/>
    <x v="0"/>
    <s v="Northville"/>
    <x v="8"/>
    <m/>
    <x v="0"/>
    <x v="585"/>
    <x v="0"/>
    <s v="Losses"/>
    <s v="Insured has a dog with a prior bite and open liability claim.  They are keeping the dog.  Agent quoting with animal liability exclusion."/>
    <x v="4"/>
    <m/>
    <m/>
    <m/>
    <s v="Patterson"/>
    <m/>
    <m/>
    <n v="0"/>
  </r>
  <r>
    <x v="119"/>
    <s v="Hull Irvine"/>
    <m/>
    <s v="Alex"/>
    <s v="Email"/>
    <s v="Diehl, Jack"/>
    <m/>
    <x v="1"/>
    <s v=" "/>
    <x v="1"/>
    <m/>
    <x v="0"/>
    <x v="585"/>
    <x v="0"/>
    <s v="Insured may be GC"/>
    <s v="Agent reports that insured says they are the &quot;owner/builder&quot;. However, they have hired a contractor to manage the construction project.  He is pulling permits and hiring subs. Isn't this a GC."/>
    <x v="3"/>
    <s v="Verify if there is anything in the contract between insd and the contractor that relieves the contractor of responsibility for subs and subrogation.  If not, we should be okay."/>
    <m/>
    <m/>
    <s v="Patterson"/>
    <m/>
    <m/>
    <n v="0"/>
  </r>
  <r>
    <x v="440"/>
    <s v="Hull Irvine"/>
    <s v="CA"/>
    <s v="Alison"/>
    <s v="Call"/>
    <s v="PGA Investments"/>
    <m/>
    <x v="6"/>
    <m/>
    <x v="3"/>
    <m/>
    <x v="0"/>
    <x v="585"/>
    <x v="0"/>
    <s v="Update question"/>
    <s v="1930 home bought as is. Condition fine, but insured doesn't know if there are breakers, fuses or k&amp;t. Plans to close paying cash, get in there with GC and gut/reno. "/>
    <x v="3"/>
    <s v="Suggested to find out how quickly he will get in there. If it will sit, it's a concern. Don't run utilities and equip off wiring until it is assessed. If any fuses or k&amp;t, gut quickly. Alison will investigate."/>
    <m/>
    <n v="10"/>
    <s v="Patterson"/>
    <m/>
    <m/>
    <n v="0"/>
  </r>
  <r>
    <x v="177"/>
    <s v="Hull Irvine"/>
    <s v="CA"/>
    <s v="Bobbi"/>
    <s v="Call"/>
    <s v="TBD"/>
    <m/>
    <x v="129"/>
    <s v="Malibu"/>
    <x v="1"/>
    <m/>
    <x v="0"/>
    <x v="585"/>
    <x v="0"/>
    <s v="Personal Prop on COC"/>
    <s v="Insured has a partially furnished home that after reno is complete will be their secondary. No alarms. Nice neighborhood on Malibu beach. $150,000 Cov C requested."/>
    <x v="3"/>
    <s v="Our rule is $50K binding authority w/o alarm-submit higher amounts. Since in nice hood on beach, approved subject to the $150K being larger items. Nothing small that could easily be carried off."/>
    <m/>
    <m/>
    <s v="Patterson"/>
    <m/>
    <m/>
    <n v="0"/>
  </r>
  <r>
    <x v="417"/>
    <s v="Hull CA"/>
    <m/>
    <s v="Alex"/>
    <s v="Phone/Email"/>
    <s v="Say, Geza"/>
    <m/>
    <x v="38"/>
    <s v="Avalon, CA"/>
    <x v="3"/>
    <m/>
    <x v="0"/>
    <x v="585"/>
    <x v="0"/>
    <s v="Currently renter occupied"/>
    <s v="Insured purchasing duplex, will be owner-occupied in 6 months as there are currently renters from prior owner. Agt proposing H03 with tenant-occupied rates; will not include owner occupied forms until owners actually move in"/>
    <x v="4"/>
    <s v="Discussed with Jeff, agreed OK with agt proposal. Obtaining tenant-occupied rate for entire year, will be owner occupied for 50% of term. "/>
    <m/>
    <m/>
    <s v="K.Burdine"/>
    <m/>
    <m/>
    <n v="0"/>
  </r>
  <r>
    <x v="686"/>
    <s v="Burns"/>
    <s v="MI"/>
    <s v="Leslie"/>
    <s v="Email"/>
    <s v="Young, Craig"/>
    <m/>
    <x v="2"/>
    <s v="Kenai AK"/>
    <x v="3"/>
    <m/>
    <x v="0"/>
    <x v="585"/>
    <x v="0"/>
    <s v="3 units"/>
    <s v="Leslie was looking at the Homeowners criteria which limits to 2 units.  "/>
    <x v="4"/>
    <s v="Provided a copy of the Dwelling criteria which allows 4 units."/>
    <m/>
    <m/>
    <s v="Patterson"/>
    <m/>
    <m/>
    <n v="0"/>
  </r>
  <r>
    <x v="756"/>
    <s v="Hull CA"/>
    <s v="Irvine"/>
    <s v="Alison"/>
    <s v="Call"/>
    <s v="Malmaison LLC"/>
    <m/>
    <x v="5"/>
    <m/>
    <x v="3"/>
    <m/>
    <x v="0"/>
    <x v="585"/>
    <x v="0"/>
    <s v="Short term model home"/>
    <s v="2016 vacant model w/$100K personal property. "/>
    <x v="3"/>
    <s v="Approved subject to confirmation of security. Kept locked, managed tours, alarm."/>
    <m/>
    <m/>
    <s v="Patterson"/>
    <m/>
    <m/>
    <n v="0"/>
  </r>
  <r>
    <x v="276"/>
    <s v="Hull CA"/>
    <s v="Irvine"/>
    <s v="Alex"/>
    <s v="Call/Email"/>
    <s v="Schroff &amp; Bristol"/>
    <m/>
    <x v="1"/>
    <s v="San Francisco"/>
    <x v="1"/>
    <m/>
    <x v="0"/>
    <x v="585"/>
    <x v="0"/>
    <s v="COC 3-4 months vacant"/>
    <s v="Insured renovating 1939 home (has a 1997 roof). Will be vacant 3-4 months while insured works out building plans. Then will gut and rebuild. This is from Alex's best agent."/>
    <x v="3"/>
    <s v="Approve subj to vacancy form added (created a new form w/compliance). Write at current value until gutted, then increase to completed value. MFRC and water damage ded being applied by agent. "/>
    <m/>
    <m/>
    <s v="Patterson"/>
    <m/>
    <m/>
    <n v="0"/>
  </r>
  <r>
    <x v="587"/>
    <s v="SCU"/>
    <s v="CO"/>
    <s v="Ashley"/>
    <s v="Email"/>
    <s v="3415 Bryant LLC"/>
    <m/>
    <x v="6"/>
    <s v="Denver "/>
    <x v="19"/>
    <m/>
    <x v="2"/>
    <x v="585"/>
    <x v="0"/>
    <s v="Tail end construction/Lapse"/>
    <s v="1905 home updated w/ this renovation. Insured is a financial investor. MFRC being added. Frame duplex. Per agent, the builder had a COC that expired 10/8. Agent has been unable to place. Cosmetic paint, tile, flooring left. Agt will s/c 5% and get signed no loss."/>
    <x v="3"/>
    <s v="Approved with a 20% s/c on minimum prem=$960. Received LLC info and insd is not affiliated w/builder."/>
    <m/>
    <m/>
    <s v="Patterson"/>
    <m/>
    <m/>
    <n v="0"/>
  </r>
  <r>
    <x v="721"/>
    <s v="XS Brokers"/>
    <s v="MA"/>
    <s v="Brendan"/>
    <s v="Email"/>
    <s v="Burke"/>
    <s v="Robert"/>
    <x v="2"/>
    <s v="Naugatuck"/>
    <x v="25"/>
    <m/>
    <x v="5"/>
    <x v="585"/>
    <x v="188"/>
    <s v="Age of Home"/>
    <s v="1895 risk, fully updated but not gutted. Online pics look okay - average. Agent asking for RC. "/>
    <x v="3"/>
    <s v="Don't feel that caliber of risk qualifies for RC."/>
    <m/>
    <m/>
    <s v="Patterson"/>
    <m/>
    <m/>
    <n v="0"/>
  </r>
  <r>
    <x v="418"/>
    <s v="SCU"/>
    <s v="CO"/>
    <s v="Kate"/>
    <m/>
    <s v="Stumpf"/>
    <s v="Kate"/>
    <x v="0"/>
    <s v="Evergreen"/>
    <x v="19"/>
    <s v="80439"/>
    <x v="2"/>
    <x v="585"/>
    <x v="188"/>
    <s v="Other UW Reason"/>
    <s v="EIFS home built in 1996. Frame. Fire department actually within 1 mile (report says 4.5 Miles). "/>
    <x v="3"/>
    <s v="Must confirm drainage for EIFS or we decline risk. Home is close to FD. No losses. Inspection shows no concerns."/>
    <m/>
    <m/>
    <s v="Lazovik"/>
    <m/>
    <m/>
    <n v="0"/>
  </r>
  <r>
    <x v="98"/>
    <s v="Hull Irvine"/>
    <m/>
    <s v="Bobbi"/>
    <s v="Email"/>
    <s v="Ray, Robert &amp; Laura"/>
    <m/>
    <x v="1"/>
    <s v="Santa Barbara"/>
    <x v="1"/>
    <m/>
    <x v="0"/>
    <x v="585"/>
    <x v="188"/>
    <s v="Occupying during construction"/>
    <s v="Insured will be occupying home during renovation. Agent wants okay to add coverages a homeowner needs."/>
    <x v="4"/>
    <m/>
    <m/>
    <m/>
    <s v="Patterson"/>
    <m/>
    <m/>
    <n v="0"/>
  </r>
  <r>
    <x v="99"/>
    <s v="Burns"/>
    <s v="MI"/>
    <s v="Alexa"/>
    <s v="Email"/>
    <s v="Clark, Christopher"/>
    <m/>
    <x v="21"/>
    <s v="Naples"/>
    <x v="32"/>
    <m/>
    <x v="2"/>
    <x v="585"/>
    <x v="722"/>
    <s v="High profile"/>
    <s v="2011 home almost 3 miles from gulf. Insd is retired NHL player now developmental coach for Columbus Blue Jackets."/>
    <x v="2"/>
    <s v="FL is currently restricted for wildfire. Active wildfires near Naples. Not too high profile - we can write when restr are lifted."/>
    <m/>
    <m/>
    <s v="Patterson"/>
    <m/>
    <m/>
    <n v="0"/>
  </r>
  <r>
    <x v="163"/>
    <s v="Hull Horsham"/>
    <s v="PA"/>
    <s v="Tamika"/>
    <s v="Call/Email"/>
    <s v="37 Navajo Place LLC"/>
    <m/>
    <x v="99"/>
    <s v="Wildwood"/>
    <x v="9"/>
    <m/>
    <x v="0"/>
    <x v="585"/>
    <x v="510"/>
    <s v="Occupancy"/>
    <s v="4 family dwelling, 1 unit occupied by owner along with a rented cottage. Agent asking to insure as homeowners 5 family. Usually this would go commercial."/>
    <x v="3"/>
    <s v="Reviewed w/Jeff. We like the risk, nice house. Unit 5 is separate, it's 2 structures. Along with that, one of the units is owner occupied. Agreed to write with 3% surcharge on the technical rate for 4 family."/>
    <m/>
    <n v="55"/>
    <s v="Patterson"/>
    <m/>
    <m/>
    <n v="0"/>
  </r>
  <r>
    <x v="68"/>
    <s v="Hull Horsham"/>
    <s v="NJ"/>
    <s v="Lisa"/>
    <s v="Email"/>
    <s v="Fernandez, Carmen"/>
    <m/>
    <x v="2"/>
    <s v="Glen Ridge "/>
    <x v="9"/>
    <m/>
    <x v="0"/>
    <x v="585"/>
    <x v="868"/>
    <s v="Open Claim"/>
    <s v="1908 home  updated in 2000. Online photos look okay. Insured had oil tank removed and it leaked some oil. SF denied loss. Insured funding clean up."/>
    <x v="0"/>
    <s v="Subj to long list of items - see email. Need to ensure work is being done professionally. Excluding liab and mold until proof of cleanup is received. Figure if they don't do it right, we don't have any liability. // Per followup, cleanup not even assessed yet - declined.//6/9/17 - clean soil test, now 3 family. Approved."/>
    <m/>
    <m/>
    <s v="Patterson"/>
    <m/>
    <m/>
    <n v="0"/>
  </r>
  <r>
    <x v="452"/>
    <s v="AmWINS"/>
    <s v="FL"/>
    <s v="Tasha"/>
    <m/>
    <s v="Kotara"/>
    <s v="John H &amp; Linda L"/>
    <x v="4"/>
    <s v="The Villages"/>
    <x v="32"/>
    <s v="32163"/>
    <x v="3"/>
    <x v="585"/>
    <x v="708"/>
    <s v="Rate"/>
    <s v="2007 masonry home w/tile roof.  Fenced pool.  Agent verifying she entered things correctly as she doesn't quote FL that often. Verified attached docs and verified deductible in guidelines. Location is inland FL."/>
    <x v="4"/>
    <s v="Meets criteria"/>
    <m/>
    <m/>
    <s v="Patterson"/>
    <m/>
    <m/>
    <n v="0"/>
  </r>
  <r>
    <x v="202"/>
    <s v="SCU"/>
    <s v="CO"/>
    <s v="Allison"/>
    <s v="Email"/>
    <s v="Heirloom 1 LLC"/>
    <m/>
    <x v="16"/>
    <s v="Pagosa Springs CO PC10"/>
    <x v="3"/>
    <m/>
    <x v="0"/>
    <x v="585"/>
    <x v="869"/>
    <s v="Response time &gt; 20 min"/>
    <s v="2000 built main dwelling (log veneer) and two small cabins purchased by LLC for use as secondary residences. LLC consists of &quot;a few guys&quot; per Allison. No liability requested since they lease some of the land to farmers. (They were nrn'd by Firemans Fund because of this.)"/>
    <x v="2"/>
    <s v="Emailed list of additional questions. Jeff wants us to run a FireLine. Trying to get access."/>
    <m/>
    <m/>
    <s v="Patterson"/>
    <m/>
    <m/>
    <n v="0"/>
  </r>
  <r>
    <x v="757"/>
    <s v="Burns"/>
    <s v="MI"/>
    <s v="Nicole"/>
    <m/>
    <s v="Mackie"/>
    <s v="Anthony   "/>
    <x v="42"/>
    <s v="Brooklyn"/>
    <x v="44"/>
    <s v="11216"/>
    <x v="8"/>
    <x v="585"/>
    <x v="12"/>
    <s v="High Profile"/>
    <s v="1940 condo with full updates.3 prior losses 1/2014 water leak from unit above $7,077. 2/20/18 water pipe burst $381,072. 12/28/18 water pipe burst $0 paid. Insured is completely replacing pipes. Repairs not complete-60% repaired.  Insured is high profile movie actor.  AOP $5K ded; Water dmg $10K ded."/>
    <x v="1"/>
    <s v="Declining due to open water claim. "/>
    <s v="Considered whether we might consider when repairs are done. Several strikes here. L ins score, high profile would be x-liab. We'd need conf ALL pipes were repaired. Still the issue of neighboring units (which DID happen) in this old building. Eve though dmg was from another unit, this insured's insurance responded."/>
    <m/>
    <s v="Patterson"/>
    <m/>
    <m/>
    <n v="1"/>
  </r>
  <r>
    <x v="565"/>
    <s v="SCU"/>
    <s v="CO"/>
    <s v="Allison"/>
    <s v="Email"/>
    <s v="Maguire"/>
    <s v="Julie &amp; Jens Proche"/>
    <x v="0"/>
    <s v="Denver"/>
    <x v="19"/>
    <m/>
    <x v="8"/>
    <x v="585"/>
    <x v="676"/>
    <s v="Dog bite"/>
    <s v="2006 home. Prior dog bite and insured is keeping the dog. Agent wants to quote with Animal Liability and remove the prior bite history exclusion."/>
    <x v="3"/>
    <s v="We can write with Limited Animal Liability but cannot remove the prior bite exclusion."/>
    <m/>
    <m/>
    <s v="Patterson"/>
    <m/>
    <m/>
    <n v="0"/>
  </r>
  <r>
    <x v="257"/>
    <s v="Hull CA"/>
    <s v="Stockton"/>
    <s v="Lisa"/>
    <s v="Email"/>
    <s v="Morgan 1986"/>
    <m/>
    <x v="98"/>
    <s v="Homewood"/>
    <x v="1"/>
    <m/>
    <x v="5"/>
    <x v="585"/>
    <x v="870"/>
    <s v="Prior loss"/>
    <s v="1998 home. Online photos look great. Theft at prior location - do we surcharge? App incomplete."/>
    <x v="3"/>
    <s v="Approved subject to details indicating insured had no fault in the theft, then no s/c applies. Also need application completed w/acceptable info and answers."/>
    <s v="Fault was out of a locked garage. Ok'd."/>
    <m/>
    <s v="Patterson"/>
    <m/>
    <m/>
    <n v="0"/>
  </r>
  <r>
    <x v="418"/>
    <s v="Hull Irvine"/>
    <s v="CA"/>
    <s v="Melissa"/>
    <m/>
    <s v="Northrop"/>
    <s v="Peter"/>
    <x v="0"/>
    <s v="Jamestown"/>
    <x v="1"/>
    <s v="95327"/>
    <x v="4"/>
    <x v="585"/>
    <x v="871"/>
    <s v="PC"/>
    <s v="Brush exposed home with 12 minute response time (minimum - volunteer). Frame home with stucco siding. Propane heat, built in 2009 with above ground pool."/>
    <x v="1"/>
    <s v="Due to TIV, brush and response time, I passed on this one."/>
    <m/>
    <m/>
    <s v="Lazovik"/>
    <m/>
    <m/>
    <n v="1"/>
  </r>
  <r>
    <x v="728"/>
    <s v="AmWINS"/>
    <s v="NH"/>
    <s v="Kyle"/>
    <m/>
    <s v="Greenberg"/>
    <s v="David &amp; Harriette"/>
    <x v="0"/>
    <s v="Hilton Head"/>
    <x v="20"/>
    <s v="29928"/>
    <x v="9"/>
    <x v="585"/>
    <x v="847"/>
    <s v="Other UW Reason"/>
    <s v="2000 home with no fence around pool. Hilton Head.  Has heavy shrubs. Photos provided."/>
    <x v="3"/>
    <s v="Get answers to missing questions on app. Advised of a form in error. We allow exceptions to pool excl on Hilton Head w/heavy shrubs. Some HOA's do not allow fences (aesthetics)."/>
    <m/>
    <m/>
    <s v="Patterson"/>
    <m/>
    <m/>
    <n v="0"/>
  </r>
  <r>
    <x v="702"/>
    <s v="XS Brokers"/>
    <s v="MA"/>
    <s v="Barbara"/>
    <m/>
    <s v="Bobrow"/>
    <s v="Fred &amp; Anjanette"/>
    <x v="0"/>
    <s v="Hamden"/>
    <x v="25"/>
    <s v="06517"/>
    <x v="5"/>
    <x v="585"/>
    <x v="810"/>
    <s v="Losses"/>
    <s v="1925 home with major reno in 2005. CS alarms. 3 prior losses 1/19 wind blew neighbor's dead tree on insd home $3353, 6/18 sewer backup $9256, 1/18 frozen pipe $37315."/>
    <x v="3"/>
    <s v="Approved subj to, but told Barbara we should probably resolve questions before offering terms (although rate only is okay).  Ensure repairs completed. Agt addressed w/$10K water damage ded, no sewer backup, no mold. Need conf that reno included plumb/elec to feel comfortable with RC/ERC. That would indicate probably gut. (This work was prior to their purchase.)  Need to clarify roof situation. May need to be excluded due to age. // 4/12 Barbara advised they got terms without ACV roof."/>
    <m/>
    <m/>
    <s v="Patterson"/>
    <m/>
    <m/>
    <n v="0"/>
  </r>
  <r>
    <x v="662"/>
    <s v="Hull Irvine"/>
    <s v="CA"/>
    <s v="Michelle"/>
    <s v="Email"/>
    <s v="Platt/Masi"/>
    <s v="Jess and Mark"/>
    <x v="0"/>
    <s v="Malibu"/>
    <x v="3"/>
    <m/>
    <x v="5"/>
    <x v="585"/>
    <x v="810"/>
    <s v="Other UW Reason"/>
    <s v="not in a brush zone, but it's across the street (100ft away) from medium/high brush. PC provided on app shows 4, ran FireLine and PC and it's coming back as a PPC10. "/>
    <x v="3"/>
    <s v="prefer something closer to a fire station. App indicates 3 miles. UPDATE: agt responded and indicated the PC is in fact 10. 5 miles to fire station. FireLine shows moderate slope, no access problems. Last fire in that area was in 2007 and 1996 (1/4 mile from Calabasas fire). will approve with a brush surcharge."/>
    <m/>
    <m/>
    <s v="Trott"/>
    <m/>
    <m/>
    <n v="0"/>
  </r>
  <r>
    <x v="121"/>
    <s v="Hull Horsham"/>
    <m/>
    <s v="Lisa"/>
    <s v="Email"/>
    <s v="Tobia-Fasulo, Gaye"/>
    <m/>
    <x v="0"/>
    <s v="West Orange "/>
    <x v="9"/>
    <m/>
    <x v="9"/>
    <x v="585"/>
    <x v="872"/>
    <s v="Prior loss"/>
    <s v="2013 $600+K fire loss. During rebuild, pipes were stolen in 2015. Then agent said insured couldn't get ins for 5 years after a fire.  Home now rebuilt. Online photos look good."/>
    <x v="0"/>
    <s v="No loss statement, fire marshal report, discuss pricing w/Lisa."/>
    <m/>
    <m/>
    <s v="Patterson"/>
    <m/>
    <m/>
    <n v="0"/>
  </r>
  <r>
    <x v="563"/>
    <s v="SCU"/>
    <s v="CO"/>
    <s v="Allison"/>
    <m/>
    <s v="Babbs"/>
    <s v="Carlton &amp; Maia"/>
    <x v="4"/>
    <m/>
    <x v="19"/>
    <m/>
    <x v="4"/>
    <x v="585"/>
    <x v="873"/>
    <s v="PC"/>
    <s v="New build. We currently wrote the outbuilding on this property as a stand alone since 2017. Secondary home. Agent quoted rater +10%."/>
    <x v="3"/>
    <s v=".50 rate. Typical range .60-.90 but this was an existing customer and this is a new range for Allison."/>
    <s v="Some chaos this week with a RUSH Stockton audit that backed up referrals.  Turnaround may have been impacted."/>
    <m/>
    <s v="Patterson"/>
    <m/>
    <m/>
    <n v="0"/>
  </r>
  <r>
    <x v="758"/>
    <s v="Hull Stockton"/>
    <s v="CA"/>
    <s v="Lisa"/>
    <m/>
    <s v="Lowe"/>
    <s v="Tyler &amp; Samantha"/>
    <x v="0"/>
    <s v="Stirling City"/>
    <x v="1"/>
    <s v="95978"/>
    <x v="5"/>
    <x v="585"/>
    <x v="874"/>
    <s v="Losses"/>
    <s v="1984 dwelling w/ prior $100K+ fire loss to Paradise home. Moved to new location. Photos show barn, fence, garden, grapevines. No RM. No OHQ. No updates listed."/>
    <x v="3"/>
    <s v="Did not apply loss s/c since CAT loss. Asked for confirmation about animals, crops. Roof exclusion due to no updates. OHQ needed. No RM provided, but eligible either way. "/>
    <m/>
    <m/>
    <s v="Patterson"/>
    <m/>
    <m/>
    <n v="0"/>
  </r>
  <r>
    <x v="44"/>
    <s v="Hull Irvine"/>
    <s v="CA"/>
    <s v="Michelle"/>
    <s v="Email"/>
    <s v="Cauzza"/>
    <s v="Jarod"/>
    <x v="0"/>
    <s v="Vista"/>
    <x v="1"/>
    <m/>
    <x v="2"/>
    <x v="585"/>
    <x v="875"/>
    <s v="Business on Premises"/>
    <s v="Primary frame home built in 1960. They have Also, the livestock they plan on keeping at this farm is a follow: _x000a_Mini Horses (x2) - not for pony rides, Rabbits (x2), Goats (x2), Mini Pigs (x2), Alpacas (x2), Chickens (x12), Peafowl (x2). Allow for limited tours for families and children, using the home grown vegetables to allow visitors to feed."/>
    <x v="1"/>
    <s v="Due to the nature of the business and the potential liability (even with our exclusions) we would have exorbitant defense costs that make this inadmissible to the program"/>
    <m/>
    <m/>
    <s v="Lazovik"/>
    <m/>
    <m/>
    <n v="1"/>
  </r>
  <r>
    <x v="618"/>
    <s v="Burns"/>
    <s v="MI"/>
    <s v="Matthew"/>
    <s v="Email"/>
    <s v="Vernola, Luigi"/>
    <m/>
    <x v="38"/>
    <s v="Murrieta CA/ PC 10"/>
    <x v="3"/>
    <m/>
    <x v="0"/>
    <x v="585"/>
    <x v="876"/>
    <s v="PC 10, Response time"/>
    <s v="response time 17 minutes, PC questionnaire attached-there are two wells, hydrant, and other water sources on property, central alarm only"/>
    <x v="3"/>
    <s v="approve, subj to confirming that if they do bring horses are personal use only (per photos/descript online there are stalls on prop). Suggesting 5% surcharge if can still remain competitive"/>
    <m/>
    <m/>
    <s v="K.Burdine"/>
    <m/>
    <m/>
    <n v="0"/>
  </r>
  <r>
    <x v="3"/>
    <s v="XS Brokers"/>
    <s v="MA"/>
    <s v="Barbara"/>
    <m/>
    <s v="Jillson"/>
    <s v="John&amp; Marianne"/>
    <x v="0"/>
    <s v="Guilford"/>
    <x v="25"/>
    <s v="06437"/>
    <x v="31"/>
    <x v="585"/>
    <x v="744"/>
    <s v="Age of Home"/>
    <s v="1870 home gutted/remodeled in 1980's. Unfenced pool with natural landscape barrier on 4.5 acre parcel.  Agt quoted w/FRC, applied 10% credit. "/>
    <x v="3"/>
    <s v="Age ok w/full gut. Recommend ERC inspection. FRC okay. RC would have been okay, so agreed w/10% credit. (Agt has 20% discretionary). Pool excl applies unless inspection shows otherwise (must resubmit to Markel). I saw business owners on app, googled address and found possible biz on prem. Agt to verify and advise."/>
    <m/>
    <m/>
    <s v="Patterson"/>
    <m/>
    <m/>
    <n v="0"/>
  </r>
  <r>
    <x v="209"/>
    <s v="Burns"/>
    <s v="MI"/>
    <s v="Ben"/>
    <s v="Email"/>
    <s v="Clouse, Mark"/>
    <m/>
    <x v="21"/>
    <s v="Woodward PA PC10"/>
    <x v="3"/>
    <m/>
    <x v="0"/>
    <x v="585"/>
    <x v="744"/>
    <s v="Not accessible yr round"/>
    <s v="1994 frame home on 10 acres, gated. Not accessible year round per Burns. Some dirt roads. 16 miles to FD."/>
    <x v="1"/>
    <s v="We require roads to be accessible year round and no more than 15-20 minute response time."/>
    <m/>
    <m/>
    <s v="Patterson"/>
    <m/>
    <m/>
    <n v="1"/>
  </r>
  <r>
    <x v="491"/>
    <s v="RPS Covington"/>
    <s v="LA"/>
    <s v="Traci"/>
    <m/>
    <s v="TBD"/>
    <m/>
    <x v="0"/>
    <m/>
    <x v="20"/>
    <m/>
    <x v="0"/>
    <x v="585"/>
    <x v="877"/>
    <s v="Business on Premises"/>
    <s v="Home on 70 acres. One small 2016 water damage claim. Insd has 4 donkeys and 10 goats. All personal, no business, no breeding, hobby only. Unfenced pond okay."/>
    <x v="2"/>
    <s v="Asked for claim detail for file. Review pricing for possible surcharge. Asked for other structure info - review condition and limited hay."/>
    <m/>
    <m/>
    <s v="Patterson"/>
    <m/>
    <m/>
    <n v="0"/>
  </r>
  <r>
    <x v="533"/>
    <s v="Burns"/>
    <s v="MI"/>
    <s v="Jill"/>
    <s v="Email"/>
    <s v="Vileisis"/>
    <s v="Birute"/>
    <x v="0"/>
    <s v="Malibu"/>
    <x v="1"/>
    <m/>
    <x v="4"/>
    <x v="585"/>
    <x v="878"/>
    <s v="Response time"/>
    <s v="1978 home w/some updates. Full alarms. In brush, no RiskMeter attached. 15-16 min response time by paid and volunteer FD. Ran FireLine - High 12."/>
    <x v="1"/>
    <s v="Borderline response time. High brush per FireLine."/>
    <m/>
    <m/>
    <s v="Patterson"/>
    <m/>
    <m/>
    <n v="1"/>
  </r>
  <r>
    <x v="727"/>
    <s v="Hull Irvine"/>
    <m/>
    <s v="Alex"/>
    <s v="Email/Call"/>
    <s v="Norris, Daniel"/>
    <m/>
    <x v="0"/>
    <s v="North Hollywood"/>
    <x v="1"/>
    <m/>
    <x v="0"/>
    <x v="585"/>
    <x v="18"/>
    <s v="Credit for Water Dmg Excl"/>
    <s v="1940 home w/updates. Very nice online photos. 2 water damage losses in 3 years. $9K and $12K. Agt quoted w/2 loss surcharge and $7500 ded for $3000 rate. Losses unrelated and do not show lack of maintenance. Plumbing was updated. One loss is bath pipes, one is dishwasher. Agent asking for pricing relief. "/>
    <x v="3"/>
    <s v="Approved w/13% credit which is about what they would get if we removed one loss. Feel we didn't &quot;require&quot; the excl, would have taken the risk. They are helping us. Looks like a nice risk overall."/>
    <m/>
    <m/>
    <s v="Patterson"/>
    <m/>
    <m/>
    <n v="0"/>
  </r>
  <r>
    <x v="154"/>
    <s v="Burns"/>
    <s v="MI"/>
    <s v="Jill"/>
    <s v="Email"/>
    <s v="Cacti Towers LLC"/>
    <m/>
    <x v="16"/>
    <s v="Rio Grande City"/>
    <x v="23"/>
    <m/>
    <x v="3"/>
    <x v="585"/>
    <x v="18"/>
    <s v="Cov B"/>
    <s v="1977 home updated in 2010 w/2012 metal roof update. New purchase. 10 other structures including carports, guest houses, bathrooms, storage barn, equip canopy, greenhouse."/>
    <x v="3"/>
    <m/>
    <m/>
    <n v="26"/>
    <s v="Patterson"/>
    <m/>
    <m/>
    <n v="0"/>
  </r>
  <r>
    <x v="700"/>
    <s v="Burns"/>
    <s v="MI"/>
    <s v="David"/>
    <s v="Email"/>
    <s v="Crowder"/>
    <s v="Mark"/>
    <x v="0"/>
    <s v="Goshen"/>
    <x v="17"/>
    <m/>
    <x v="6"/>
    <x v="586"/>
    <x v="879"/>
    <s v="Losses"/>
    <s v="history of water losses, including large back up claim earlier this year. Want back-up coverage"/>
    <x v="3"/>
    <s v="Water dmg exclusion"/>
    <m/>
    <m/>
    <s v="Burdine"/>
    <m/>
    <m/>
    <n v="0"/>
  </r>
  <r>
    <x v="759"/>
    <s v="XS Brokers"/>
    <s v="MA"/>
    <s v="Barbara"/>
    <m/>
    <s v="Harakas"/>
    <s v="Robert &amp; Haymara"/>
    <x v="0"/>
    <s v="Burlington"/>
    <x v="25"/>
    <s v="06013"/>
    <x v="6"/>
    <x v="587"/>
    <x v="880"/>
    <s v="Losses"/>
    <s v="1995 home with 3 prior losses. Bathtub overflow - open. Unknown amount. $10K ded suggested. Also ice dam $37K in 2015. Theft-items stolen from car in garage $5304."/>
    <x v="0"/>
    <s v="Need to know extent of bathtub claim and what is left to repair. Also what is expected payout to determine if $10k ded is enough. // $25K is appx loss, only floor tile left. Approved with $10K ded and no backup or mold coverage."/>
    <m/>
    <m/>
    <s v="Patterson"/>
    <m/>
    <m/>
    <n v="0"/>
  </r>
  <r>
    <x v="487"/>
    <s v="JM Wilson"/>
    <s v="MI"/>
    <s v="Cheryl"/>
    <m/>
    <s v="Handa"/>
    <s v="Anant &amp; Ashley"/>
    <x v="0"/>
    <s v="Chicago"/>
    <x v="4"/>
    <s v="60642"/>
    <x v="11"/>
    <x v="588"/>
    <x v="881"/>
    <s v="Losses"/>
    <s v="2015 home. 2 prior losses. 1/18 wind dmg to roof w/water damage $5600. 7/18 water pipe broke. $3267"/>
    <x v="3"/>
    <s v="Subj to $5000 deductible. Both losses this year. 2015 home, pipe breaks not common. Flat roof. No covg/ded required for 2015, but with a loss, $5K ded will help mitigate future loss."/>
    <m/>
    <m/>
    <s v="Patterson"/>
    <m/>
    <m/>
    <n v="0"/>
  </r>
  <r>
    <x v="670"/>
    <s v="Hull Irvine"/>
    <s v="CA"/>
    <s v="Alison"/>
    <s v="Email"/>
    <s v="Kiner"/>
    <s v="Seth &amp; Caren"/>
    <x v="0"/>
    <s v="Oak Park"/>
    <x v="1"/>
    <m/>
    <x v="5"/>
    <x v="589"/>
    <x v="882"/>
    <s v="Losses"/>
    <s v="NR due to prior loss-$456,000 water claim in 2015 (insured out of town), completely gutted and rebuilt, no issues since then, home office that has GL policy (no customers), including surcharge for loss"/>
    <x v="3"/>
    <s v="subj to $10K water deductible"/>
    <m/>
    <m/>
    <s v="Burdine"/>
    <m/>
    <m/>
    <n v="0"/>
  </r>
  <r>
    <x v="332"/>
    <s v="Hull Irvine"/>
    <s v="CA"/>
    <s v="Michelle"/>
    <m/>
    <s v="Weisberg"/>
    <s v="Chang &amp; Pilar"/>
    <x v="0"/>
    <s v="San Dimas"/>
    <x v="46"/>
    <s v="91773"/>
    <x v="11"/>
    <x v="589"/>
    <x v="18"/>
    <s v="Losses"/>
    <s v="2000 home with 4 prior water losses. 6/18 $0 slab leak, 6/18 $3K water heater leak, 10/16 $0 slab leak, 4/14 $12K pipe leak in wall"/>
    <x v="1"/>
    <s v="Declined for loss history. &gt;&gt;&gt;&gt;&gt;&gt;&gt;&gt;&gt;&gt;&gt;&gt;&gt;&gt;&gt;&gt;&gt;&gt;&gt;&gt;"/>
    <s v="Insurance score shows concern of cc bad debt, judgement $12K and low scores, 604, 646"/>
    <m/>
    <s v="Patterson"/>
    <m/>
    <m/>
    <n v="1"/>
  </r>
  <r>
    <x v="36"/>
    <s v="Hull Irvine"/>
    <s v="CA"/>
    <s v="Alison"/>
    <s v="Email"/>
    <s v="Baron"/>
    <s v="Larry &amp; Marilyn"/>
    <x v="0"/>
    <s v="Los Angeles"/>
    <x v="1"/>
    <m/>
    <x v="0"/>
    <x v="590"/>
    <x v="744"/>
    <s v="Losses"/>
    <s v="3 CAT claims, over 2400 brush zone, questioning if need to surcharge"/>
    <x v="2"/>
    <s v="requested more info about losses (Which fires, what damaged, etc) due to frequency"/>
    <m/>
    <m/>
    <s v="Burdine"/>
    <m/>
    <m/>
    <n v="0"/>
  </r>
  <r>
    <x v="211"/>
    <s v="Hull CO"/>
    <s v="NJ"/>
    <s v="Lisa"/>
    <s v="Email"/>
    <s v="112 Realty LLC"/>
    <m/>
    <x v="6"/>
    <s v="Montoloking NJ"/>
    <x v="3"/>
    <m/>
    <x v="0"/>
    <x v="591"/>
    <x v="0"/>
    <s v="Location"/>
    <s v="Risk is located on barrier island in NJ. Nice modular that is being remodeled inside. Online photo looks good."/>
    <x v="4"/>
    <s v="Asked for AAL questionnaire and submission of app, etc.  If rate comes out okay, we could write this. 1958 per AAL; Markel rate 2990."/>
    <m/>
    <m/>
    <s v="Patterson"/>
    <m/>
    <m/>
    <n v="0"/>
  </r>
  <r>
    <x v="531"/>
    <s v="Burns"/>
    <s v="MI"/>
    <s v="Jill"/>
    <s v="Email"/>
    <s v="Cartledge, David"/>
    <m/>
    <x v="64"/>
    <s v="Cullowhee, NC"/>
    <x v="3"/>
    <m/>
    <x v="0"/>
    <x v="592"/>
    <x v="883"/>
    <s v="Premium Consideration"/>
    <s v="trying to match $1000 premium from Encompass (Pulling out of NC), 2 claims on primary home"/>
    <x v="3"/>
    <s v="Advised with claim surcharges and TIV would need to bring in more premium to consider, ran insurance scores and both very high. Agreed to give 25% off quoted premium so OK at $2200"/>
    <m/>
    <m/>
    <s v="K.Burdine"/>
    <m/>
    <m/>
    <n v="0"/>
  </r>
  <r>
    <x v="696"/>
    <s v="Hull Stockton"/>
    <s v="CA"/>
    <s v="Kirk"/>
    <m/>
    <s v="Groom"/>
    <s v="Kathleen"/>
    <x v="0"/>
    <s v="Paradise"/>
    <x v="1"/>
    <s v="95969"/>
    <x v="9"/>
    <x v="593"/>
    <x v="884"/>
    <s v="Losses"/>
    <s v="Open claim from Camp Fire. The only damages that have been noticed so far are smoke damages. Insured was having company come out to confirm if there are any other damages. No repair has yet been started. UPDATE 1/9/19: hull came back indicating the repairs have now been made and are complete, no damage to insulation or interior of property. Asking if we can reconsider"/>
    <x v="1"/>
    <s v="Declined due to open claim. Extent of damages has not even been confirmed yet, repairs have not been started. UPDATE 1/9/19: Discussed with Jeff 1/9/2019 - Had this risk been in any other area, we would be able to consider. However, given that it is in Paradise there are many other ongoing concerns - market value of homes, building moratoriums, etc. As such, we will not be accepting risks in Paradise. "/>
    <m/>
    <m/>
    <s v="Busse"/>
    <m/>
    <m/>
    <n v="1"/>
  </r>
  <r>
    <x v="353"/>
    <s v="Hull Irvine"/>
    <s v="CA"/>
    <s v="Kelly"/>
    <s v="Email"/>
    <s v="Moradzadeh"/>
    <s v="Alex"/>
    <x v="1"/>
    <s v="Los Angeles"/>
    <x v="1"/>
    <m/>
    <x v="8"/>
    <x v="594"/>
    <x v="885"/>
    <s v="Losses"/>
    <s v="Working on renewal and wondering about loss notice from January. Homeowner withdrew the claim in March. 1951 Frame home. Water deductible at $5k"/>
    <x v="4"/>
    <s v="Already have bigger water deductible. OK with the risk."/>
    <m/>
    <m/>
    <s v="Lazovik"/>
    <m/>
    <m/>
    <n v="0"/>
  </r>
  <r>
    <x v="473"/>
    <s v="Burns"/>
    <s v="MI"/>
    <s v="David "/>
    <s v="Email"/>
    <s v="Whitehead"/>
    <s v="Steve"/>
    <x v="0"/>
    <s v="Dallas"/>
    <x v="23"/>
    <m/>
    <x v="8"/>
    <x v="595"/>
    <x v="886"/>
    <s v="Builders Risk"/>
    <s v="1979 dwelling w/roof update. Cosmetic renovation in addition to adding 14 pier rods to foundation. Nice home per online. Using contractor. Per form."/>
    <x v="4"/>
    <s v="Contractor liab in place"/>
    <m/>
    <m/>
    <s v="Patterson"/>
    <m/>
    <m/>
    <n v="0"/>
  </r>
  <r>
    <x v="244"/>
    <s v="Burns"/>
    <s v="MI"/>
    <s v="Ben"/>
    <s v="Email"/>
    <s v="Springston, Preston"/>
    <m/>
    <x v="0"/>
    <s v="Truckee CA PC10"/>
    <x v="3"/>
    <m/>
    <x v="0"/>
    <x v="595"/>
    <x v="887"/>
    <s v="23 min response"/>
    <s v="• Cov A $615K/TIV $1.1M_x000a_• 2009 PC10_x000a_• Paid department 11.8 miles/Backup department 10 miles away_x000a_• Somewhat concerned about 1.2 miles of gravel road, but no issue w/washout_x000a_• This is medium brush per RM.  High-6 per FL w/med fuels, mod slope and no access problems, no historical wildfire activity._x000a_• If we didn't have attachment 3, I probably wouldn't be considering._x000a_"/>
    <x v="3"/>
    <s v="Approved subject to installation of a central station fire alarm and a 10-20% surcharge for the extended response time. Reviewed w/Jeff and he agreed.  "/>
    <m/>
    <m/>
    <s v="Patterson"/>
    <m/>
    <m/>
    <n v="0"/>
  </r>
  <r>
    <x v="310"/>
    <s v="Burns"/>
    <s v="MI"/>
    <s v="Ben"/>
    <s v="Email"/>
    <s v="Amstutz, Edward"/>
    <m/>
    <x v="0"/>
    <s v="Elizabeth "/>
    <x v="4"/>
    <m/>
    <x v="18"/>
    <x v="595"/>
    <x v="887"/>
    <s v="Camp/Farm on property"/>
    <s v="Insured operates a camp/farm for kids, insured commercially w/Markel thru Burns."/>
    <x v="0"/>
    <s v="Asked numerous business questions to establish separation and ensure buildings we cover are not used in business. With Total Business Exclusion, there is no coverage for any buildings that are mixed use.  9/30/16 All checks out."/>
    <m/>
    <m/>
    <s v="Patterson"/>
    <m/>
    <m/>
    <n v="0"/>
  </r>
  <r>
    <x v="326"/>
    <s v="ASL"/>
    <s v="VA"/>
    <s v="Joanna"/>
    <m/>
    <s v="Olsen"/>
    <s v="James M &amp; Ofelia J"/>
    <x v="0"/>
    <s v="White Plains"/>
    <x v="29"/>
    <s v="20695"/>
    <x v="2"/>
    <x v="596"/>
    <x v="888"/>
    <s v="Losses"/>
    <s v="4 prior losses - 2 hail. 2 sump pump failure. Sump replaced. "/>
    <x v="3"/>
    <s v="Ok with no backup and $10K water damage ded. Surcharge for losses."/>
    <m/>
    <m/>
    <s v="Patterson"/>
    <m/>
    <m/>
    <n v="0"/>
  </r>
  <r>
    <x v="455"/>
    <s v="Burns"/>
    <s v="MI"/>
    <s v="Alexa"/>
    <s v="Email"/>
    <s v="Godwin"/>
    <s v="Rod &quot;Chris&quot;"/>
    <x v="0"/>
    <s v="Tampa"/>
    <x v="32"/>
    <m/>
    <x v="9"/>
    <x v="597"/>
    <x v="889"/>
    <s v="High Profile"/>
    <s v="2017 dwelling. Insured is wide receiver for Tampa Bay Bucs."/>
    <x v="3"/>
    <s v="Exclude liability due to high profile. No adverse news."/>
    <m/>
    <m/>
    <s v="Patterson"/>
    <m/>
    <m/>
    <n v="0"/>
  </r>
  <r>
    <x v="760"/>
    <s v="Burns"/>
    <s v="MI"/>
    <s v="Lindsay"/>
    <m/>
    <s v="Duren"/>
    <s v="Bart"/>
    <x v="0"/>
    <s v="Fresno"/>
    <x v="1"/>
    <s v="93722"/>
    <x v="9"/>
    <x v="598"/>
    <x v="890"/>
    <s v="Losses"/>
    <s v="2004 home, 5 losses - 8/2015 water damage - pipe under slab in kitchen burst $52k, 12/2017 water damage cement roof flashing leaked $753, 2/2018 water damage cement roof flashing leaked $952, 8/2018 theft car broke into $846, 10/2018 water damage sink leaked no payout, fixed by installation company. Insurance score S."/>
    <x v="2"/>
    <s v="Google search shows a daycare at this property, no mention of such in referral. First need to confirm this information. Regarding losses, they are roof or appliance related, so water backup is not an issue. Will most likely want $5k AOP with $25k water deductible as requested by agent. Then, an additional 15% surcharge to account for all 5 losses. "/>
    <m/>
    <m/>
    <s v="Busse"/>
    <m/>
    <m/>
    <n v="0"/>
  </r>
  <r>
    <x v="761"/>
    <s v="Burns"/>
    <s v="MI"/>
    <s v="Lindsay"/>
    <m/>
    <s v="Duren"/>
    <s v="Bart"/>
    <x v="0"/>
    <s v="Fresno"/>
    <x v="1"/>
    <s v="93722"/>
    <x v="9"/>
    <x v="598"/>
    <x v="890"/>
    <s v="Losses"/>
    <s v="2004 home. Referred for 5 losses, 4 paid. 8/17 water pipe under slab burst $52k, 12/17 cement roof flashing leaked $753, 2/18 same as 2017 claim $952, 80/2018 car broke into $846, 10/2018 sink leaked no payout installation co fixed it. S insurance score."/>
    <x v="3"/>
    <s v="Approved subject to $5,000 AOP, $25,000 water ded, exclude mold, and surcharge for the 4 paid losses. "/>
    <s v="S insurance score, very low. Has a recent history of frequent  smaller claims both water and non-water related."/>
    <m/>
    <s v="Busse"/>
    <m/>
    <m/>
    <n v="0"/>
  </r>
  <r>
    <x v="394"/>
    <s v="Hull Irvine"/>
    <s v="CA"/>
    <s v="Melissa"/>
    <m/>
    <s v="Smith"/>
    <s v="Janine &amp; Richard"/>
    <x v="8"/>
    <s v="Oceanside"/>
    <x v="1"/>
    <s v="92057"/>
    <x v="0"/>
    <x v="599"/>
    <x v="891"/>
    <s v="Losses"/>
    <s v="Referred from Hull, email advised that this was insured through Burns on previous term. 4 losses, all water related - 4/2017 $4201, 2/2017 $16685, 12/2016 $3625, 8/2015 $11461. App was not completed and no other information provided"/>
    <x v="1"/>
    <s v="Declined due to the water losses. Agents emailed advised it did not look like prior policy had any notes of mitigation or any water deductible/exclusion. "/>
    <s v="Will follow up with Danielle at Burns to ask what steps were taken with this policy given the 4 water losses"/>
    <m/>
    <s v="Busse"/>
    <m/>
    <m/>
    <n v="1"/>
  </r>
  <r>
    <x v="138"/>
    <s v="Hull Horsham"/>
    <m/>
    <s v="Lisa"/>
    <s v="Email"/>
    <s v="Schementi"/>
    <s v="Michael"/>
    <x v="2"/>
    <s v="Ocean Grove"/>
    <x v="9"/>
    <m/>
    <x v="0"/>
    <x v="600"/>
    <x v="631"/>
    <s v="Age of home"/>
    <s v="1890 dwelling - 3 fam rental. Written for prev owner in 2015 before we required confirmation of full gut. Photos look very good. No losses. Inspection shows updated systems."/>
    <x v="4"/>
    <m/>
    <m/>
    <n v="15"/>
    <s v="Patterson"/>
    <m/>
    <m/>
    <n v="0"/>
  </r>
  <r>
    <x v="428"/>
    <s v="Hull Horsham"/>
    <s v="PA"/>
    <s v="Tamika"/>
    <s v="Email"/>
    <s v="1623 Fairhill Road"/>
    <m/>
    <x v="1"/>
    <s v="Perkasie "/>
    <x v="2"/>
    <m/>
    <x v="0"/>
    <x v="600"/>
    <x v="647"/>
    <s v="Age of Home"/>
    <s v="1700 farmhouse renovated in 1900, updated in 1950. Online photos appear average. Sunroom being removed. Will be occupied during reno. Per agt, walls, plumbing, and wiring replaced. Oth structures have issues but will be renovated. Garage structure has 1 light powered by knob/tube."/>
    <x v="0"/>
    <s v="Average condition. Applied $10K water damage ded. Okay to insure garage if it is ONLY sitting there til reno. If used, don't want to insure due to knob/tube.  Apply $150-$200 s/c. Mold exclusion. See file for list."/>
    <m/>
    <m/>
    <s v="Patterson"/>
    <m/>
    <m/>
    <n v="0"/>
  </r>
  <r>
    <x v="72"/>
    <s v="ASL"/>
    <m/>
    <s v="Garry"/>
    <s v="Email"/>
    <s v="Davis, Curtis"/>
    <m/>
    <x v="0"/>
    <s v="Chesterfield"/>
    <x v="10"/>
    <m/>
    <x v="4"/>
    <x v="600"/>
    <x v="892"/>
    <s v="Lapse &lt; 12 months"/>
    <s v="1998 home with lapse. Insd thought mortgage paid. Reviewed online. Unprotected quest looks okay."/>
    <x v="4"/>
    <m/>
    <m/>
    <m/>
    <s v="Patterson"/>
    <m/>
    <m/>
    <n v="0"/>
  </r>
  <r>
    <x v="293"/>
    <s v="Burns"/>
    <s v="MI"/>
    <s v="Ben"/>
    <s v="Email"/>
    <s v="Stewart, Tony"/>
    <m/>
    <x v="0"/>
    <s v="Columbus"/>
    <x v="17"/>
    <m/>
    <x v="2"/>
    <x v="601"/>
    <x v="893"/>
    <s v="High profile"/>
    <s v="2007 home. Insd is race car driver. Chubb NRN due to media exposure. Full covg requested."/>
    <x v="3"/>
    <s v="Approved X-liability due to high profile."/>
    <m/>
    <m/>
    <s v="Patterson"/>
    <m/>
    <m/>
    <n v="0"/>
  </r>
  <r>
    <x v="625"/>
    <s v="Burns"/>
    <s v="MI"/>
    <s v="Jeffrey"/>
    <s v="Email"/>
    <s v="Foster"/>
    <s v="Robert"/>
    <x v="4"/>
    <m/>
    <x v="38"/>
    <m/>
    <x v="2"/>
    <x v="601"/>
    <x v="894"/>
    <s v="Losses"/>
    <s v="6 prior losses (4 on same date to various rentals, only 1 on current secondary home)"/>
    <x v="3"/>
    <s v="Agreed OK but claims must be surcharged (agreed to 4 as max per rater)."/>
    <m/>
    <m/>
    <s v="Burdine"/>
    <m/>
    <m/>
    <n v="0"/>
  </r>
  <r>
    <x v="751"/>
    <s v="Hull Stockton"/>
    <s v="MI"/>
    <s v="Lori"/>
    <s v="Email"/>
    <s v="Johnson"/>
    <s v="LaDonna"/>
    <x v="0"/>
    <s v="Fishers"/>
    <x v="17"/>
    <m/>
    <x v="5"/>
    <x v="601"/>
    <x v="895"/>
    <s v="Losses"/>
    <s v="3 water claims (2 over 3 years old); per app, for sale and possible leaks"/>
    <x v="3"/>
    <s v="Requested confirmation of occupancy as quoted as HO3 primary, also descript of leaks. If confirms-may offer with $10K water ded//home is occupied until sale,. No leaks, approved with $10K ded"/>
    <m/>
    <m/>
    <s v="Burdine"/>
    <m/>
    <m/>
    <n v="0"/>
  </r>
  <r>
    <x v="412"/>
    <s v="Burns"/>
    <s v="MI"/>
    <s v="Ben"/>
    <s v="Email"/>
    <s v="Simmons, Michael"/>
    <m/>
    <x v="0"/>
    <s v="Indianapolis, IN PC4"/>
    <x v="17"/>
    <m/>
    <x v="5"/>
    <x v="602"/>
    <x v="896"/>
    <s v="Open Liab loss"/>
    <s v="1979 home updated. A couple of hail and a wind loss. Also a liability loss - caretaker took special needs child to party-child slipped away and was killed in the street. Ex-wife is suing the insured for wrongful death."/>
    <x v="3"/>
    <s v="Approved subject to no liability.  Insured has quote from Hudson, so safer to let them write it.  Unknown if other children where wife could repeat this kind of behavior."/>
    <m/>
    <m/>
    <s v="Patterson"/>
    <m/>
    <m/>
    <n v="0"/>
  </r>
  <r>
    <x v="373"/>
    <s v="Burns"/>
    <s v="MI"/>
    <s v="Nicole"/>
    <m/>
    <s v="Saunders"/>
    <s v="Michael"/>
    <x v="4"/>
    <s v="Fraser"/>
    <x v="19"/>
    <s v="80442"/>
    <x v="5"/>
    <x v="603"/>
    <x v="897"/>
    <s v="High Profile"/>
    <s v="2019 home, no rental, insured is a pro baseball player, now a free agent."/>
    <x v="3"/>
    <s v="Okay excluding liability due to high profile. No adverse info on insd per google. Advised agt how to read a PC report w/zip code level match."/>
    <s v="Ins score K"/>
    <m/>
    <s v="Patterson"/>
    <m/>
    <m/>
    <n v="0"/>
  </r>
  <r>
    <x v="271"/>
    <s v="Hull CA"/>
    <s v="Irvine"/>
    <s v="Alison"/>
    <s v="Call/Email"/>
    <s v="Tubi"/>
    <m/>
    <x v="10"/>
    <s v="Studio City"/>
    <x v="1"/>
    <m/>
    <x v="0"/>
    <x v="604"/>
    <x v="0"/>
    <s v="COC concerns"/>
    <s v="1931 home &quot;updated&quot;. Insd doing carpet/paint, moving in, then updating kitchen/bath w/a licensed GC. Info came to agent in increments so she has some concern about what is really going on. Discussed options of when to inspect and if 2 should be done."/>
    <x v="3"/>
    <s v="Decided to inspect immediately w/EHP since none of that is being renovated. Not going to do a 2nd insp unless there is a concern. She is going to get a signed statement that the insd will hire lic gc and that they will fill out the COC form. Giving only prem liab and no contents until moving in."/>
    <m/>
    <m/>
    <s v="Patterson"/>
    <m/>
    <m/>
    <n v="0"/>
  </r>
  <r>
    <x v="762"/>
    <s v="Hull Charlotte"/>
    <s v="NC"/>
    <s v="Tamara"/>
    <m/>
    <s v="Freiwald"/>
    <s v="Andrea"/>
    <x v="0"/>
    <s v="Wadmalaw lsland"/>
    <x v="20"/>
    <n v="29487"/>
    <x v="2"/>
    <x v="604"/>
    <x v="898"/>
    <m/>
    <s v="Frame home built in 1982. Roof replaced in 2003. Partial plumbing and electrical 2017. CSA for burglar, smoke and fire. Swimming pool or trampoline on the premises."/>
    <x v="3"/>
    <s v="Attach TBE, exclude buildings, make sure pool excluded if not a proper fence"/>
    <m/>
    <m/>
    <s v="Lazovik"/>
    <m/>
    <m/>
    <n v="0"/>
  </r>
  <r>
    <x v="0"/>
    <s v="Burns"/>
    <s v="MI"/>
    <s v="Jill"/>
    <m/>
    <s v="Kohn"/>
    <s v="Judd"/>
    <x v="0"/>
    <m/>
    <x v="4"/>
    <m/>
    <x v="9"/>
    <x v="605"/>
    <x v="899"/>
    <s v="Losses"/>
    <s v="1958 home w/ updates. Plumbing completely updated in 2008 per app. 4 water losses. 7/18 shower leak $13K, 6/18 sump pump $13K, 2/18 water heater $43K, 4/17 pipe leak $4K. No water backup. Insd had pro come out. They installed a water alarm with automatic shutoff."/>
    <x v="0"/>
    <s v="Agreed to $25K water dmg ded, 10% s/c. no mold, no backup. Losses mitigated with alarm and shutoff. Asked for plumbing inspection w/regular insp and referral back to Markel if any concerns."/>
    <m/>
    <m/>
    <s v="Patterson"/>
    <m/>
    <m/>
    <n v="0"/>
  </r>
  <r>
    <x v="705"/>
    <s v="Burns"/>
    <s v="MI"/>
    <s v="Nicole"/>
    <m/>
    <s v="Kohn"/>
    <s v="Judd"/>
    <x v="0"/>
    <s v="Glencoe"/>
    <x v="4"/>
    <s v="60022"/>
    <x v="9"/>
    <x v="605"/>
    <x v="899"/>
    <s v="Losses"/>
    <s v="1958 home w/updates to all systems. $25K water ded quoted. Good ins score. 4 losses: 7/18 shower leak $13,365; 6/18 sump pump failure $13,405; 2/18 water heater leak $43,040; 4/17 hot water pipe leak $4,034."/>
    <x v="0"/>
    <s v="OK w/water dmg exclusion, no mold, no water backup. // Update 1/8/19 Insd had water alarm and dual sump pumps installed. They want to change the water damage excl to a $25K ded. Advised ok if the water alarm also includes automatic shut off.  Otherwise, stick with the exclusion."/>
    <m/>
    <m/>
    <s v="Patterson"/>
    <m/>
    <m/>
    <n v="0"/>
  </r>
  <r>
    <x v="463"/>
    <s v="Hull CA"/>
    <s v="Stockton"/>
    <s v="Lisa"/>
    <s v="Email"/>
    <s v="Kuehnis, Brian"/>
    <m/>
    <x v="130"/>
    <s v="Mariposa, CA"/>
    <x v="3"/>
    <m/>
    <x v="0"/>
    <x v="606"/>
    <x v="900"/>
    <s v="Cov B ok?"/>
    <s v="Cov B is listed at $560,000 (cov A is $631K.) No losses, built in 1979, no updates, no alarm. The other structure is another house on premises called a &quot;granny house&quot;"/>
    <x v="4"/>
    <s v="Asked follow up information due to discrepancies in the email vs documents provided. Asked for roof update information. "/>
    <s v="They will include ACV roof. Pics of the home and granny house look good, very well maintained. "/>
    <m/>
    <s v="Trott"/>
    <m/>
    <m/>
    <n v="0"/>
  </r>
  <r>
    <x v="763"/>
    <s v="Quaker"/>
    <s v="MA"/>
    <s v="Mary "/>
    <s v="Email"/>
    <s v="Blake"/>
    <s v="Julie"/>
    <x v="0"/>
    <s v="Harwich"/>
    <x v="21"/>
    <m/>
    <x v="0"/>
    <x v="607"/>
    <x v="901"/>
    <s v="Foreclosure"/>
    <s v="applicant coming off foreclosure, needs insurance in order to have it discharged"/>
    <x v="1"/>
    <s v="Due to recent foreclosure + lapse in coverage"/>
    <m/>
    <m/>
    <s v="Burdine"/>
    <m/>
    <m/>
    <n v="1"/>
  </r>
  <r>
    <x v="227"/>
    <s v="Burns"/>
    <m/>
    <s v="Danielle"/>
    <s v="Email"/>
    <s v="Trevino, Salvadore"/>
    <m/>
    <x v="0"/>
    <s v="Foresthill CA PC10"/>
    <x v="3"/>
    <m/>
    <x v="0"/>
    <x v="607"/>
    <x v="902"/>
    <s v="TIV&gt;$1.5M"/>
    <s v="Primary home with $1,298,000 other structures includes guesthouse/garage, and man cave storage with basement. In basement is gun safe and shooting range. Also has 8 dogs. Property only, no liability."/>
    <x v="0"/>
    <s v="Asked questions about 100 acres to ensure accessible by FD. Also asked questions about gun chemicals, storage, ventilation, etc. to evaluate fire and explosion hazard in basement."/>
    <s v="Danielle provided acceptable answers to questions asked. The indoor range will eventually be converted into guest quarters on the property since it already has plumbing and air. Will allow them to release terms. LKT 5-27-16"/>
    <m/>
    <s v="Patterson"/>
    <m/>
    <m/>
    <n v="0"/>
  </r>
  <r>
    <x v="500"/>
    <s v="Hull CA"/>
    <s v="Stockton"/>
    <s v="Lisa"/>
    <s v="Email"/>
    <s v="Woods, Ken"/>
    <m/>
    <x v="0"/>
    <s v="Railroad Flat CA PC10"/>
    <x v="3"/>
    <m/>
    <x v="0"/>
    <x v="607"/>
    <x v="903"/>
    <s v="Pond/PC10"/>
    <s v="Built in 1991. Pond in yard-rural. Response time ok and accessible. Mastiff will be excluded. Trulia shows horse/barn/woodstove. Asked agt to underwrite for business exposure and WBS quest."/>
    <x v="4"/>
    <s v="Pending woodstove, no business exposure, mastiff exclusion"/>
    <m/>
    <m/>
    <s v="Patterson"/>
    <m/>
    <m/>
    <n v="0"/>
  </r>
  <r>
    <x v="399"/>
    <s v="Burns"/>
    <s v="MI"/>
    <s v="Jill"/>
    <s v="Email"/>
    <s v=" Wilkins"/>
    <s v="Jimmy"/>
    <x v="0"/>
    <s v="Cardiff by the Sea"/>
    <x v="1"/>
    <m/>
    <x v="11"/>
    <x v="608"/>
    <x v="876"/>
    <s v="High profile"/>
    <s v="1964 home w/updates in 2010. Insured is pro skateboarder. Has a skateboard ramp in his yard. Fenced per online photos. $1M liab quoted."/>
    <x v="3"/>
    <s v="Excluding liab. Can't control guests use of skateboard ramp. Insd is 24 year old single individual. Would allow liab if he didn't have the ramp."/>
    <m/>
    <n v="17"/>
    <s v="Patterson"/>
    <m/>
    <m/>
    <n v="0"/>
  </r>
  <r>
    <x v="2"/>
    <s v="Appalachian"/>
    <s v="TN"/>
    <s v="John"/>
    <m/>
    <s v="Milobsky"/>
    <s v="Michael"/>
    <x v="0"/>
    <s v="Greenwood Village"/>
    <x v="19"/>
    <s v="80111"/>
    <x v="9"/>
    <x v="609"/>
    <x v="783"/>
    <s v="Losses"/>
    <s v="1970 home updated. Possible lapse. 4 prior losses going back to 2013. 12/13 Water 9K. 9/14 hail $34K, 7/16 hail $2K 2/17 liab $305K ski injury. Front range Arapahoe 1% wind/hail deductible."/>
    <x v="0"/>
    <s v="Asked if there is a lapse - no prior carrier listed. 1% ded ok.  Roof was replaced 1 year ago. Need info on the ski injury liab loss. Any negligence? // MP 2/8/19 No lapse, currently with Lex. Ski loss was accidental injury, son collided w/skier. They filed med claims even tho patrol said accidental. Son now lives in another state.  Considered higher wind/hail ded, but most recent was 2K which would be below the 1% ded. "/>
    <m/>
    <m/>
    <s v="Patterson"/>
    <m/>
    <m/>
    <n v="0"/>
  </r>
  <r>
    <x v="693"/>
    <s v="Burns"/>
    <s v="MI"/>
    <s v="Delta"/>
    <s v="Email"/>
    <s v="Whitney, John"/>
    <m/>
    <x v="0"/>
    <s v="Moorseville"/>
    <x v="17"/>
    <m/>
    <x v="23"/>
    <x v="610"/>
    <x v="904"/>
    <s v="Business on premises"/>
    <s v="1997 home w/updated roof. Insured used to own Whitney Farms on same property. Sold to Children. It is boarding/training for horses and kids will be adding an animal hospital.  All insured w/other carriers. Pending lawsuit against Whitney Farms (probs w/breeding a horse). Retail agents email says it is a loss for the Whitneys."/>
    <x v="2"/>
    <s v="Need more info on separation and the loss. If we proceed, need Total Business Excl and Building Excl for any business buildings."/>
    <m/>
    <m/>
    <s v="Patterson"/>
    <m/>
    <m/>
    <n v="0"/>
  </r>
  <r>
    <x v="149"/>
    <s v="Burns"/>
    <s v="MI"/>
    <s v="Jill"/>
    <s v="Email"/>
    <s v="Gummer"/>
    <s v="Mary W (Mamie)"/>
    <x v="0"/>
    <s v="Los Angeles"/>
    <x v="1"/>
    <m/>
    <x v="11"/>
    <x v="611"/>
    <x v="876"/>
    <s v="High profile"/>
    <s v="1944 home updated. Roof will be replaced when purchased. Not in brush. Online shows nice home but all wood accents are 135 year old barn wood."/>
    <x v="3"/>
    <s v="• Please apply Functional Replacement Cost due to this information:  https://www.zillow.com/homedetails/2566-Verbena-Dr-Los-Angeles-CA-90068/20805801_zpid/ &quot;Custom wood finishes using 135 year old wood from a barn in Northern California&quot;._x000a_• Woodburning stove questionnaire for freestanding fireplace shown in online photo._x000a_• Please apply roof exclusion until roof is replaced_x000a_• Complete acceptable answers to UW questions - Not all questions are answered_x000a_"/>
    <s v="Reviewed w/Louisa. We are okay with liability. Not too famous."/>
    <n v="25"/>
    <s v="Patterson"/>
    <m/>
    <m/>
    <n v="0"/>
  </r>
  <r>
    <x v="12"/>
    <s v="Hull Horsham"/>
    <s v="PA"/>
    <s v="Tamika"/>
    <s v="Email"/>
    <s v="Reefe"/>
    <s v="Bryan"/>
    <x v="2"/>
    <s v="Philadelphia"/>
    <x v="2"/>
    <m/>
    <x v="0"/>
    <x v="612"/>
    <x v="0"/>
    <s v="Occupancy/Use"/>
    <s v="1918 coml building w/living space. Insured is a realtor moving from his other home in Phil and will be living in 1 of 3 units. Other 2 units vacant for now. Will be renovated. Desirable up and coming area."/>
    <x v="3"/>
    <s v="Numerous subjectivities in email. Qualifies for DP3 as it is owner occupied.  Condition in occupied unit very nice. Others will be renovated. They are intact and systems are updated. Great ins score."/>
    <m/>
    <m/>
    <s v="Patterson"/>
    <m/>
    <m/>
    <n v="0"/>
  </r>
  <r>
    <x v="525"/>
    <s v="Hull Horsham"/>
    <s v="PA"/>
    <s v="Tamika"/>
    <m/>
    <s v="Reese"/>
    <s v="Bryan"/>
    <x v="2"/>
    <s v="Philadelphia"/>
    <x v="2"/>
    <s v="19122"/>
    <x v="0"/>
    <x v="612"/>
    <x v="687"/>
    <s v="Occupancy/Use"/>
    <s v="Update from approval that was given 2/2018. Prior closing fell through. Re-submitted for approval. Advised same terms still applied, and that new quote will need to be created for a new rate. Not to offer lesser rate, and if new quote is higher, higher rate should be used. "/>
    <x v="0"/>
    <s v="Update from approval that was given 2/2018. Prior closing fell through. Re-submitted for approval. Advised same terms still applied, and that new quote will need to be created for a new rate. Not to offer lesser rate, and if new quote is higher, higher rate should be used. // 12/11 agent found out all 3 units will be rented - no owner on site. In borderline area. Asked addl questions about security and repairs made. (MP)"/>
    <m/>
    <m/>
    <s v="Busse"/>
    <m/>
    <m/>
    <n v="0"/>
  </r>
  <r>
    <x v="357"/>
    <s v="Hull Irvine"/>
    <s v="CA"/>
    <s v="Alison"/>
    <m/>
    <s v="JS Properties"/>
    <m/>
    <x v="2"/>
    <s v="Laguna Beach"/>
    <x v="1"/>
    <n v="92651"/>
    <x v="9"/>
    <x v="613"/>
    <x v="905"/>
    <s v="Other UW Reason"/>
    <s v="Home built in 1946. Plumbing updated in 2016. Frame construction with stucco (per website). Roof is tile. Age unknown."/>
    <x v="3"/>
    <s v="Confirm Cast iron not in use for water supplies. Eyes need to be on the inspection and confirm condition of roof, plumbing and electrical. Attach water exclusion if cast iron used for carrying water. Confirm no business rentals on premises. Confirm roof condition at inspection. "/>
    <m/>
    <m/>
    <s v="Lazovik"/>
    <m/>
    <m/>
    <n v="0"/>
  </r>
  <r>
    <x v="438"/>
    <s v="Hull Stockton"/>
    <s v="CA"/>
    <s v="Lisa"/>
    <s v="Email"/>
    <s v="Nguyen"/>
    <s v="Tu &amp; Phung"/>
    <x v="0"/>
    <s v="San Jose"/>
    <x v="1"/>
    <m/>
    <x v="9"/>
    <x v="614"/>
    <x v="906"/>
    <s v="Business on Premises"/>
    <s v="grows/sells succulent plants (Evergreen Farm). Has commercial GL coverage and prop coverage with Hartford"/>
    <x v="3"/>
    <s v="TBE and GL in place"/>
    <m/>
    <m/>
    <s v="Burdine"/>
    <m/>
    <m/>
    <n v="0"/>
  </r>
  <r>
    <x v="92"/>
    <s v="Burns"/>
    <s v="MI"/>
    <s v="Danielle"/>
    <s v="Email"/>
    <s v="Hanna, Antoine"/>
    <m/>
    <x v="15"/>
    <s v="Bass Lake"/>
    <x v="1"/>
    <m/>
    <x v="4"/>
    <x v="615"/>
    <x v="907"/>
    <s v="Response time"/>
    <s v="2008 home, nice risk per inspection. Inspection revealed this is a PC10 w/17 min response time. Not in brush. Insp says volunteer 6 miles away, 14-17 min response. PC quest says paid/vol 8 miles away, 10 min response. Google shows 15-18 drive time. No alarm. Not in brush area. Photo shows hydrant within 600-900' of home."/>
    <x v="4"/>
    <m/>
    <m/>
    <m/>
    <s v="Patterson"/>
    <m/>
    <m/>
    <n v="0"/>
  </r>
  <r>
    <x v="349"/>
    <s v="Hull Irvine"/>
    <s v="CA"/>
    <s v="Alison"/>
    <s v="Email"/>
    <s v="Leung"/>
    <s v="Kai"/>
    <x v="0"/>
    <s v="Lake Arrowhead"/>
    <x v="1"/>
    <m/>
    <x v="5"/>
    <x v="616"/>
    <x v="908"/>
    <s v="Other UW Reason"/>
    <s v="Frame home built in 1970. Do not see updates listed. Will need confirmation on that. This is not in a brush zone but does have cedar siding."/>
    <x v="3"/>
    <s v="This zip code has been closed to new business but has now dropped to $44M in TIV so are asking for an exception. The home is not near any brush zones. Will accept the brush surcharge they suggested and ask for roof exception and $10 k water deductible if pipes are not completely updated"/>
    <m/>
    <m/>
    <s v="Lazovik"/>
    <m/>
    <m/>
    <n v="0"/>
  </r>
  <r>
    <x v="580"/>
    <s v="Burns"/>
    <s v="MI"/>
    <s v="Nicole"/>
    <m/>
    <s v="Holland"/>
    <s v="Lisa"/>
    <x v="0"/>
    <s v="Atascadero"/>
    <x v="1"/>
    <s v="93422"/>
    <x v="9"/>
    <x v="616"/>
    <x v="909"/>
    <s v="Business on Premises"/>
    <s v="1920 home w/full updates.  WRS8. Insd is psychiatrist. Clients screened at her primary location before coming to the home for appts. Once a year group held here. Separate wing with locked door from the residence area. Has business and malpractice policies in place. "/>
    <x v="3"/>
    <s v="Okay with TBE and continued maintenance of coml policies. Separated from home, pre-screened."/>
    <m/>
    <m/>
    <s v="Patterson"/>
    <m/>
    <m/>
    <n v="0"/>
  </r>
  <r>
    <x v="599"/>
    <s v="Burns"/>
    <s v="MI"/>
    <s v="Alexa"/>
    <m/>
    <s v="Shaw"/>
    <s v="Daniel &amp; Deborah"/>
    <x v="0"/>
    <s v="Geneva"/>
    <x v="32"/>
    <s v="32732"/>
    <x v="6"/>
    <x v="617"/>
    <x v="880"/>
    <s v="Business on Premises"/>
    <s v="1996 home, masonry. Ins Score K. Insd has business on the premises. Danville Inn. Wedding venue, bed &amp; breakfast with unique &quot;rooms&quot; including tree house, airplane room, yurts. Airplane hangar and planes for personal use. Online photo shows 2 planes which app says are insured's. Appears may be used in connection w/the business. No fuels in the hangar. Danville inn has commercial policy. TBE quoted. Confirmed PC9 w/PC quest."/>
    <x v="1"/>
    <s v="Asked if any activity related to business takes place in home (check-ins or rooms for guest use).  Online shows separate areas to stay, veh rentals, use of hangar, space for biz events. May possibly consider w/TBE &amp; full lia excl, also building exclusions. // MP 2/6/19 Found airbnb listing segues and kayaks for use and they have a pistol/rifle live fire shooting range.  Staff will assist.  Too much exposure for us. Concern of defense costs."/>
    <m/>
    <m/>
    <s v="Busse/Patterson"/>
    <m/>
    <m/>
    <n v="1"/>
  </r>
  <r>
    <x v="11"/>
    <s v="Hull Charlotte"/>
    <s v="NC"/>
    <s v="Alia"/>
    <s v="Email"/>
    <s v="Rossiter"/>
    <s v="Tim"/>
    <x v="5"/>
    <s v="Bluffton"/>
    <x v="20"/>
    <m/>
    <x v="0"/>
    <x v="618"/>
    <x v="910"/>
    <s v="Occupancy/Use"/>
    <s v="2004 dwelling that will be vacant for at least a month, then tenant occupied. Rates of both provided. How can they handle. CA/RW? "/>
    <x v="3"/>
    <s v="1. Rates are not right. Should be appx 65% diff. cc'd Tammi and Bethany.  2. Can endorse DP3 from vacant to tenant.  3. Can't have water bu on vacant.//worked w/Bethany and Alia. New rater coming. Alia will quote as vacant and issue that way. Endorse when tenant occupied."/>
    <m/>
    <m/>
    <s v="Patterson"/>
    <m/>
    <m/>
    <n v="0"/>
  </r>
  <r>
    <x v="3"/>
    <s v="Burns"/>
    <s v="MI"/>
    <s v="Jill"/>
    <m/>
    <s v="Pineapple Ridge LLC"/>
    <m/>
    <x v="4"/>
    <s v="McHenry"/>
    <x v="4"/>
    <s v="60051"/>
    <x v="9"/>
    <x v="619"/>
    <x v="691"/>
    <s v="Condition"/>
    <s v="1930 home updated, but there is 20% galvanized pipes remaining visible in basement per inspection. Nice home. Agt quoted w/$25K water damage ded and wants to keep RC. $1000 AOP ded. "/>
    <x v="3"/>
    <s v="$25K ded mitigates most of our concern esp w/pipes in basement."/>
    <s v="This is a higher ded than we require in other programs."/>
    <m/>
    <s v="Patterson"/>
    <m/>
    <m/>
    <n v="0"/>
  </r>
  <r>
    <x v="156"/>
    <s v="Hull Horsham"/>
    <s v="PA"/>
    <s v="Tamika"/>
    <s v="Email"/>
    <s v="Davis"/>
    <s v="Marshal &amp; Cara"/>
    <x v="0"/>
    <s v="Furlong"/>
    <x v="2"/>
    <m/>
    <x v="6"/>
    <x v="620"/>
    <x v="911"/>
    <s v="Open claim"/>
    <s v="New construction. Insd is an attorney and has an open defamation liability claim filed against his business. No details. Also 2 prior water losses and a loss in 2012 for guests spilling drinks $2400 paid."/>
    <x v="1"/>
    <s v="Need details of liab loss. Leaning toward no as 2012 drink spill loss raises red flag for claims conscious insured. 2 water losses not a concern as they sounded legit and this is a new build. Researched online looking for the defamation case. Insd is a business law atty for real estate, non profit, and corporate law."/>
    <s v="Agent replied to my proposal saying they found an alternative offer excluding liab, I can close the file."/>
    <n v="26"/>
    <s v="Patterson"/>
    <m/>
    <m/>
    <n v="1"/>
  </r>
  <r>
    <x v="681"/>
    <s v="Burns"/>
    <s v="MI"/>
    <s v="Lindsay"/>
    <m/>
    <s v="Jacobs"/>
    <s v="Michael"/>
    <x v="5"/>
    <s v="Englewood"/>
    <x v="19"/>
    <s v="80111"/>
    <x v="0"/>
    <x v="620"/>
    <x v="593"/>
    <s v="Losses"/>
    <s v="New build after total fire loss caused by stuffed animal leaning against furnace. Insureds rebuilding, divorcing, and selling the home. 6 month vacant policy quoted. 4/27/19 nonrenewal date."/>
    <x v="1"/>
    <s v="Declined on 4/24 - Cause of loss indicates carelessness. // 4/25 Burns requested reconsideration. They already approved it with the branch. // John and Danielle discussed and we are sticking with the decline."/>
    <s v="Ins score O.   "/>
    <m/>
    <s v="Patterson"/>
    <m/>
    <m/>
    <n v="1"/>
  </r>
  <r>
    <x v="411"/>
    <s v="JM Wilson"/>
    <s v="MI"/>
    <s v="Cheryl"/>
    <m/>
    <s v="Migdaleck"/>
    <s v="Anders"/>
    <x v="2"/>
    <s v="Lathrop"/>
    <x v="8"/>
    <m/>
    <x v="0"/>
    <x v="620"/>
    <x v="594"/>
    <s v="Losses"/>
    <s v="Large fire loss via arson. Suspects not caught yet. Insured has installed additional cameras and 12' fence around property (with gate). Brick home built in 1927 with complete updates to all systems in 2010. "/>
    <x v="3"/>
    <s v="Home is now well protected with large fence, cameras and lighting. Comfortable the a"/>
    <m/>
    <m/>
    <s v="Lazovik"/>
    <m/>
    <m/>
    <n v="0"/>
  </r>
  <r>
    <x v="545"/>
    <s v="Hull Irvine"/>
    <m/>
    <s v="Alex"/>
    <s v="Email"/>
    <s v="Aucella, Adam"/>
    <m/>
    <x v="10"/>
    <s v="Nevada City"/>
    <x v="1"/>
    <m/>
    <x v="2"/>
    <x v="620"/>
    <x v="742"/>
    <s v="Mid-term construction/lapse"/>
    <s v="Home was gutted to studs last year. Pol renewal lapsed 1/11/17. Insd claims didn't get renewal offer. Interior not complete. Bed &amp; bath ready so insured is moving in. "/>
    <x v="3"/>
    <s v="subj to: will add w/s note on app - verify. Need all uw ?'s answered. Confirm what heavy equipment they have, value, use. Noted on app."/>
    <m/>
    <m/>
    <s v="Patterson"/>
    <m/>
    <m/>
    <n v="0"/>
  </r>
  <r>
    <x v="397"/>
    <s v="Hull Irvine"/>
    <s v="CA"/>
    <s v="Lucas"/>
    <s v="Email"/>
    <s v="Hidalgo, LLC"/>
    <s v="Hidalgo, LLC"/>
    <x v="3"/>
    <s v="Malibu"/>
    <x v="1"/>
    <m/>
    <x v="5"/>
    <x v="620"/>
    <x v="726"/>
    <s v="TIV"/>
    <s v="$10K ded, Malibu secondary, air bnb exposure, no brush, surcharge 15% any way"/>
    <x v="4"/>
    <s v="premium acceptable for risk, no brush"/>
    <m/>
    <m/>
    <s v="Burdine"/>
    <m/>
    <m/>
    <n v="0"/>
  </r>
  <r>
    <x v="282"/>
    <s v="Burns"/>
    <s v="MI"/>
    <s v="Delta"/>
    <s v="Email"/>
    <s v="Ritz-Barr, Steven"/>
    <m/>
    <x v="0"/>
    <s v="Topanga CA PC4"/>
    <x v="1"/>
    <m/>
    <x v="5"/>
    <x v="620"/>
    <x v="912"/>
    <s v="High profile"/>
    <s v="Insured is a puppeteer, makes films using the puppets. May shoot once a year at his property.  1932 home updated in 2004. No online photos."/>
    <x v="3"/>
    <s v="Approved subject to why in Fair Plan? If brush ok. Also, if filming is 1-3 times/year and crew size is 8 or less and they have insurance for the crew, okay. Otherwise, re-evaluate."/>
    <m/>
    <m/>
    <s v="Patterson"/>
    <m/>
    <m/>
    <n v="0"/>
  </r>
  <r>
    <x v="20"/>
    <s v="JM Wilson"/>
    <s v="MI"/>
    <s v="Lori"/>
    <s v="Email"/>
    <s v="Savenok"/>
    <s v="Tatiana"/>
    <x v="0"/>
    <s v="Burr Ridge"/>
    <x v="4"/>
    <m/>
    <x v="8"/>
    <x v="620"/>
    <x v="727"/>
    <s v="Losses"/>
    <s v="Prior fire loss, error when quoting in VMGA, The fire originated at the fuse box and spread through-out the home.  It was basically a total loss, and all new wiring, plumbing, heating and roofing is in place as well as all interior work.  They have also installed sprinklers as they never want to go through anything like that ever again."/>
    <x v="4"/>
    <s v="future loss mitigated with sprinkler system"/>
    <m/>
    <m/>
    <s v="Burdine"/>
    <m/>
    <m/>
    <n v="0"/>
  </r>
  <r>
    <x v="485"/>
    <s v="JM Wilson"/>
    <s v="MI"/>
    <s v="John"/>
    <m/>
    <s v="Ferdynus"/>
    <s v="Halina &amp; Radoslaw"/>
    <x v="0"/>
    <s v="Lemont "/>
    <x v="4"/>
    <s v="60439"/>
    <x v="0"/>
    <x v="620"/>
    <x v="755"/>
    <s v="Losses"/>
    <s v="1994 home w/5 prior losses in 3 years. 4/15 storm damage to gutters $14K; 7/17 storm damage to windows $48K; 4/18 water damage to walls, ceilings, floors $11K; 6/18 foundation leak $0; 9/18 water damage to floor $4K."/>
    <x v="0"/>
    <s v="Need ins score. If good, need loss details. Also need &quot;self employment&quot; info.//Score is a credit. Ok to bind with water damage, mold, and backup exclusions. 12/12/18"/>
    <m/>
    <m/>
    <s v="Patterson"/>
    <m/>
    <m/>
    <n v="0"/>
  </r>
  <r>
    <x v="764"/>
    <s v="Burns"/>
    <s v="MI"/>
    <s v="Jill"/>
    <s v="Email"/>
    <s v="Boykin"/>
    <s v="Brandon    "/>
    <x v="0"/>
    <s v="Peachtree City"/>
    <x v="18"/>
    <m/>
    <x v="9"/>
    <x v="620"/>
    <x v="913"/>
    <s v="High Profile"/>
    <s v="defensive back for Baltimore Ravens"/>
    <x v="3"/>
    <s v="Requested confirmation of use prior to release since appears it is only him and his wife; so may be in Baltimore a lot."/>
    <m/>
    <m/>
    <s v="Burdine"/>
    <m/>
    <m/>
    <n v="0"/>
  </r>
  <r>
    <x v="538"/>
    <s v="Burns"/>
    <s v="MI"/>
    <s v="Danielle"/>
    <s v="Email"/>
    <s v="Yontz"/>
    <s v="Christine"/>
    <x v="0"/>
    <s v="Wisconsin Dells"/>
    <x v="12"/>
    <m/>
    <x v="9"/>
    <x v="620"/>
    <x v="914"/>
    <s v="Other UW Reason"/>
    <s v="foreclosure in last 5 years-now closed. Was taking care of sick sister and got behind on payments. Insurance score S, 2000 build, PC 3, local alarm, 2014 loss for theft"/>
    <x v="1"/>
    <s v="reviewed credit-also bankruptcy and open collections"/>
    <m/>
    <m/>
    <s v="Burdine"/>
    <m/>
    <m/>
    <n v="1"/>
  </r>
  <r>
    <x v="54"/>
    <s v="XS Brokers"/>
    <s v="MA"/>
    <s v="David"/>
    <m/>
    <s v="Perkins"/>
    <s v="Rebecca"/>
    <x v="4"/>
    <s v="Bala Cynwyd"/>
    <x v="2"/>
    <s v="19004"/>
    <x v="0"/>
    <x v="620"/>
    <x v="914"/>
    <s v="Losses"/>
    <s v="1956 home with complete updates to wiring and plumbing in 2006, heating in 2011, and complete roof update 2011. A loss letter was provided showing a 3/2018 loss sue to CAT storm, but app shows 3/2018 water loss, both with different amounts. "/>
    <x v="2"/>
    <s v="Asked for reason for referral, as it wasn’t clear and appeared to be within their authority. Mentioned the conflicting info I saw in the losses, so asked for their insight and recommendation and we can then assist if need be."/>
    <m/>
    <m/>
    <s v="Busse"/>
    <m/>
    <m/>
    <n v="0"/>
  </r>
  <r>
    <x v="341"/>
    <s v="JM Wilson"/>
    <s v="MI"/>
    <s v="Cheryl"/>
    <s v="Email"/>
    <s v="Peyton"/>
    <s v="Cynthia"/>
    <x v="0"/>
    <s v="Carmel"/>
    <x v="17"/>
    <m/>
    <x v="8"/>
    <x v="620"/>
    <x v="915"/>
    <s v="Losses"/>
    <s v="Brick veneer home built in 1998. Dog claim was closed for $1000. Cheryl was asking due to claim and increasing coverage C to 75%."/>
    <x v="4"/>
    <s v="Mitigating dog bite by excluding the animal. TIV increase is within JM Wilson authority."/>
    <m/>
    <m/>
    <s v="Lazovik"/>
    <m/>
    <m/>
    <n v="0"/>
  </r>
  <r>
    <x v="765"/>
    <s v="JM Wilson"/>
    <s v="MI"/>
    <s v="Lori"/>
    <s v="Email"/>
    <s v="Babcock"/>
    <s v="Clint"/>
    <x v="0"/>
    <s v="Muskegon"/>
    <x v="8"/>
    <m/>
    <x v="2"/>
    <x v="620"/>
    <x v="916"/>
    <s v="Losses"/>
    <s v="Home built 1938, updates to electrical, heating, and roof all in 2014-2015. Plumbing has not been updated. Three water/plumbing losses within last year and a half, totaling about $45,000. "/>
    <x v="3"/>
    <s v="Add water exclusion due to plumbing not being updated since year built and the three larger water claims. Also advised to get an updated cost estimator as the one they had was from 2016 and did not include debris removal in the value."/>
    <m/>
    <m/>
    <s v="Busse"/>
    <m/>
    <m/>
    <n v="0"/>
  </r>
  <r>
    <x v="384"/>
    <s v="Burns"/>
    <s v="MI"/>
    <s v="Alexa"/>
    <m/>
    <s v="2400 Spurgeon Ave"/>
    <m/>
    <x v="0"/>
    <s v="Redondo Beach"/>
    <x v="1"/>
    <s v="90278"/>
    <x v="8"/>
    <x v="620"/>
    <x v="917"/>
    <s v="Losses"/>
    <s v="1990 year built. WRS 6. 4 water losses, all similar 2016-2018. Pin hole leak in pipe, ranges from $3,720-$13,313. Insured had all supply lines redone in 2018 after last loss occurred, replacing all copper piping with PEX. C insurance score, agent applied $25,000 water deductible. "/>
    <x v="4"/>
    <s v="Approved as quoted since they confirmed plumbing was replaced after the losses occurred, and a higher water deductible was applied. No other concerns with the risk."/>
    <m/>
    <m/>
    <s v="Busse"/>
    <m/>
    <m/>
    <n v="0"/>
  </r>
  <r>
    <x v="502"/>
    <s v="Hull Irvine"/>
    <s v="CA"/>
    <s v="Kelly"/>
    <s v="Email"/>
    <s v="Gilles"/>
    <s v="Miho"/>
    <x v="0"/>
    <s v="Carlsbad"/>
    <x v="1"/>
    <m/>
    <x v="2"/>
    <x v="620"/>
    <x v="16"/>
    <s v="Business on Premises"/>
    <s v="1978 dwelling with part wire/plumb update 05 and full heat/roof update 08. Insured teaches yoga class once a week in her living room for 2-5 students. Has a separate liability policy for the class."/>
    <x v="3"/>
    <s v="Ok with TBE and maintain the liab policy. Advised of the exclusions in the TBE - may need to look at commercial coverage."/>
    <m/>
    <m/>
    <s v="Patterson"/>
    <m/>
    <m/>
    <n v="0"/>
  </r>
  <r>
    <x v="372"/>
    <s v="JM Wilson"/>
    <s v="CA"/>
    <s v="Cheryl"/>
    <s v="Email"/>
    <s v="Behler"/>
    <s v="Stacie"/>
    <x v="0"/>
    <s v="Grand Rapids"/>
    <x v="8"/>
    <m/>
    <x v="8"/>
    <x v="620"/>
    <x v="918"/>
    <s v="Age of Home"/>
    <s v="1878 build, fully gutted, no tours/no registry, no losses"/>
    <x v="3"/>
    <s v="As long as the complete gut/remodel has been confirmed, you have approval to offer terms on this risk."/>
    <m/>
    <m/>
    <s v="Burdine"/>
    <m/>
    <m/>
    <n v="0"/>
  </r>
  <r>
    <x v="326"/>
    <s v="Hull Irvine"/>
    <s v="CA"/>
    <s v="Kelly"/>
    <m/>
    <s v="Casper"/>
    <s v="Kurt &amp; Tami"/>
    <x v="0"/>
    <s v="Placerville"/>
    <x v="1"/>
    <s v="95667"/>
    <x v="6"/>
    <x v="621"/>
    <x v="919"/>
    <s v="PC"/>
    <s v="Not sure why this was referred. Within their authority."/>
    <x v="1"/>
    <s v="Returned to agent asking why this was referred."/>
    <m/>
    <m/>
    <s v="Patterson"/>
    <m/>
    <m/>
    <n v="1"/>
  </r>
  <r>
    <x v="222"/>
    <s v="Hull CA"/>
    <s v="Stockton"/>
    <s v="Lisa"/>
    <s v="Email"/>
    <s v="Wondries, Paul"/>
    <m/>
    <x v="21"/>
    <s v="Big Bear CA PC4"/>
    <x v="3"/>
    <m/>
    <x v="0"/>
    <x v="622"/>
    <x v="920"/>
    <s v="Lapse"/>
    <s v="1967 home updated in 2012. Lloyds $2807 before lapse. Agent credited 5% for updates."/>
    <x v="2"/>
    <s v="Reason for lapse. Verify PC, distance, access, etc.  Add 10% s/c to her 5% credit for net of 5% surcharge if approved."/>
    <m/>
    <m/>
    <s v="Patterson"/>
    <m/>
    <m/>
    <n v="0"/>
  </r>
  <r>
    <x v="187"/>
    <s v="Hull Irvine"/>
    <s v="CA"/>
    <s v="Alison"/>
    <s v="Email"/>
    <s v="Drolson"/>
    <s v="Kaitlin"/>
    <x v="0"/>
    <s v="Escondido"/>
    <x v="1"/>
    <m/>
    <x v="0"/>
    <x v="623"/>
    <x v="921"/>
    <s v="Business on premises"/>
    <s v="Insured renting out stables on property: max 3 horses, stables only (no foot traffic)"/>
    <x v="3"/>
    <s v="TBE, other structure exclusion for stables, and animal exclusion"/>
    <m/>
    <m/>
    <s v="Burdine"/>
    <m/>
    <m/>
    <n v="0"/>
  </r>
  <r>
    <x v="766"/>
    <s v="Hull Irvine"/>
    <s v="CA"/>
    <s v="Melissa"/>
    <s v="Email"/>
    <s v="Goodfriend"/>
    <s v="Scott &amp; Laurie"/>
    <x v="0"/>
    <s v="Santa Barbara"/>
    <x v="1"/>
    <m/>
    <x v="0"/>
    <x v="623"/>
    <x v="922"/>
    <s v="Prior claim "/>
    <s v="1959 home w/plumbing and roof update. Prior lawsuit from city to upgrade plumbing.  $30,245 paid 6/21/16."/>
    <x v="3"/>
    <s v="Found several articles online about high copper levels found in drinking water and the city forcing residents to replace pipes. I could not find this specific address, but it does sound like a CA thing. Copy of prior carrier claim doc in file. Subj to full underwriting including RM, OHQ, EHP, s/c for lapse."/>
    <m/>
    <n v="27"/>
    <s v="Patterson"/>
    <m/>
    <m/>
    <n v="0"/>
  </r>
  <r>
    <x v="653"/>
    <s v="XS Brokers"/>
    <s v="MA"/>
    <s v="Barbara"/>
    <m/>
    <s v="Judelson"/>
    <s v="Deborah"/>
    <x v="4"/>
    <s v="Guilford"/>
    <x v="25"/>
    <s v="06437"/>
    <x v="0"/>
    <x v="624"/>
    <x v="923"/>
    <s v="Losses"/>
    <s v="1935 home w/little info. Referred for loss history.  This home 10/29/12 Flood $209K, 8/28/11 Hurr Irene Flood $116K.  Primary home 3/5/15 water damage $477K, 10/29/12 wind blew tree onto roof $60K."/>
    <x v="0"/>
    <s v="Approved rate indication - no mold covg. Need more info to approve formal terms. More detail on losses, OHQ.  Ok'd rate ind since losses are old and flood would not be covered.  // 3/19 addl info from Barbara: Home has full updates. Flood claims were flood only, no wind. Still need info on 3/5/2015 loss to ensure no negligence/lack of maintenance. Agent changing to $5K AOP and we agreed to a water damage exclusion. I provided copy of the form.  Terms can be approved once we are comfortable with the 3/2015 loss details. // 3/15 loss was ice dams in all areas of home. Approved subj to AOP 5K, water dmg excl, OHQ"/>
    <m/>
    <m/>
    <s v="Patterson"/>
    <m/>
    <m/>
    <n v="0"/>
  </r>
  <r>
    <x v="415"/>
    <s v="Burns"/>
    <s v="MI"/>
    <s v="Ben "/>
    <s v="Email"/>
    <s v="Garman, Chris"/>
    <m/>
    <x v="44"/>
    <s v="Litchfield Park"/>
    <x v="7"/>
    <m/>
    <x v="9"/>
    <x v="625"/>
    <x v="924"/>
    <s v="Open claim"/>
    <s v="1980 home w/new roof. Had 2015 storm damage loss - roof completely replaced."/>
    <x v="4"/>
    <m/>
    <m/>
    <m/>
    <s v="Patterson"/>
    <m/>
    <m/>
    <n v="0"/>
  </r>
  <r>
    <x v="767"/>
    <s v="JM Wilson"/>
    <s v="MI"/>
    <s v="John"/>
    <s v="Call/Email"/>
    <s v="Waters"/>
    <s v="Andrew"/>
    <x v="0"/>
    <s v="Shawnee"/>
    <x v="28"/>
    <m/>
    <x v="8"/>
    <x v="625"/>
    <x v="925"/>
    <s v="Rate"/>
    <s v="Lex coming in at $2217. We are at $2800. Wood shake roof in KS. "/>
    <x v="3"/>
    <s v="Agreed to match 2217 tech prem (+ tax/fee) with $5000 deductible."/>
    <m/>
    <m/>
    <s v="Patterson"/>
    <m/>
    <m/>
    <n v="0"/>
  </r>
  <r>
    <x v="533"/>
    <s v="Hull Horsham"/>
    <s v="PA"/>
    <s v="Nichole"/>
    <s v="Email"/>
    <s v="Novitt"/>
    <s v="Anita"/>
    <x v="16"/>
    <s v="Belmar"/>
    <x v="9"/>
    <m/>
    <x v="5"/>
    <x v="626"/>
    <x v="926"/>
    <s v="Prior loss"/>
    <s v="1903 dwelling updated in 2016, roof in 2011. Water claim 2/2016. Power outage and multiple radiators burst. Boiler kept sending water when power came back on. Major water loss. Unknown $ amount."/>
    <x v="3"/>
    <s v="Agent added 10% credit. I asked for 10% debit instead."/>
    <m/>
    <m/>
    <s v="Patterson"/>
    <m/>
    <m/>
    <n v="0"/>
  </r>
  <r>
    <x v="330"/>
    <s v="Burns"/>
    <s v="MI"/>
    <s v="David"/>
    <s v="Email"/>
    <s v="Temby"/>
    <s v="Spencer"/>
    <x v="0"/>
    <s v="Sacramento"/>
    <x v="1"/>
    <m/>
    <x v="9"/>
    <x v="627"/>
    <x v="927"/>
    <s v="Occupancy/Use"/>
    <s v="Comm zoned property, converted for residential use. Includes 800 sq feet attached space that could be rented, but wife plans to use at this point"/>
    <x v="3"/>
    <s v="approval to offer terms on this risk. However, please include the total business exclusion."/>
    <m/>
    <m/>
    <s v="Burdine"/>
    <m/>
    <m/>
    <n v="0"/>
  </r>
  <r>
    <x v="452"/>
    <s v="Burns"/>
    <s v="MI"/>
    <s v="Leslie"/>
    <m/>
    <s v="Osborn"/>
    <s v="Jeffery"/>
    <x v="4"/>
    <s v="Three Rivers"/>
    <x v="23"/>
    <s v="78071"/>
    <x v="4"/>
    <x v="628"/>
    <x v="853"/>
    <s v="PC"/>
    <s v="2007 log home on 242 acres. No farm/animals. Pipe gates are always locked. FD has to call insured's cell phone to get the combination. Also, 2 wood bridges."/>
    <x v="1"/>
    <s v="Concern with locked gates all the time. Possible year round issue where FD can't get to the house. UPDATE 5/30/2019: Burns came back indicating code was given to fire department. No confirmation as to how FD keeps the information and who has access to it. FD is also volunteer. Given that and all other info regarding risk and accessibility I am still declining risk. "/>
    <s v="If they rectify this, need more info on bridges, drive time, 242 acres, use of property, complete app."/>
    <m/>
    <s v="Patterson/Busse"/>
    <m/>
    <m/>
    <n v="1"/>
  </r>
  <r>
    <x v="762"/>
    <s v="XS Brokers"/>
    <s v="MA"/>
    <s v="Barbara"/>
    <m/>
    <s v="Pierpont"/>
    <s v="Lynn"/>
    <x v="4"/>
    <s v="Weston"/>
    <x v="25"/>
    <s v="06883"/>
    <x v="5"/>
    <x v="629"/>
    <x v="928"/>
    <s v="Losses"/>
    <s v="One fire claim in 2018. CSBF combo alarm. Built in 1940. Frame home with complete updates to wiring, plumbing, heating and roofing in 2018 (after fire). Fire started while under renovation. The metal firebox was defective and touching the wood, igniting the interior wall. This was not under construction. Insured was burning construction material."/>
    <x v="3"/>
    <s v="Confirm the repairs are complete. Also confirm the remodeling is complete as we will not insure if insured is GC. Confirm CS alarms for both burglary and fire are installed."/>
    <m/>
    <m/>
    <s v="Lazovik"/>
    <m/>
    <m/>
    <n v="0"/>
  </r>
  <r>
    <x v="715"/>
    <s v="Hull CO"/>
    <s v="Horsham"/>
    <s v="Andrea"/>
    <s v="Email"/>
    <s v="Fasanelli, Richard"/>
    <m/>
    <x v="0"/>
    <s v="Martha's Vineyard"/>
    <x v="21"/>
    <m/>
    <x v="9"/>
    <x v="630"/>
    <x v="929"/>
    <s v="Looking for $50K ded"/>
    <s v="2016 home looking for $50K AOP and $50K named storm ded."/>
    <x v="3"/>
    <s v="Asked for rater, address, is this builders risk? It is seasonal. Rater shows $1837 with $10K ded. Really don't want to go any lower than that. Approved w/$10K ded"/>
    <m/>
    <m/>
    <s v="Patterson"/>
    <m/>
    <m/>
    <n v="0"/>
  </r>
  <r>
    <x v="215"/>
    <s v="Quaker"/>
    <s v="Worcester"/>
    <s v="Mary"/>
    <s v="Email"/>
    <s v="Pisani, Dustin"/>
    <m/>
    <x v="0"/>
    <s v="Claremont NH"/>
    <x v="3"/>
    <m/>
    <x v="0"/>
    <x v="631"/>
    <x v="930"/>
    <s v="2 felony drug convictions"/>
    <s v="1840 home w/updates. Under current criteria this is okay. Under Markel, it would be submit if not fully renovated.  Insd has 2 felony drug convictions and incarcerations. 2000 and 2010. Married, 39 years old, buying house. Agent explained he moved from Florida to &quot;get away from temptation&quot;. He is employed, wife is employed."/>
    <x v="0"/>
    <s v="Sent Jeff full details for review. Considering this since this may be the first referral we've received from Mary ever."/>
    <m/>
    <m/>
    <s v="Patterson"/>
    <m/>
    <m/>
    <n v="0"/>
  </r>
  <r>
    <x v="519"/>
    <s v="Burns"/>
    <s v="MI"/>
    <s v="Jill"/>
    <s v="Email"/>
    <s v="Pollock"/>
    <s v="James"/>
    <x v="3"/>
    <m/>
    <x v="1"/>
    <m/>
    <x v="6"/>
    <x v="632"/>
    <x v="931"/>
    <s v="PC"/>
    <s v="PC 9, 6 minutes respond time, but roads inaccessible in winter. 1986 build, 1 loss-closed/repaired"/>
    <x v="3"/>
    <s v="due to the increased response time and the inaccessibility during the winter months, please add a 15-20% surcharge."/>
    <m/>
    <m/>
    <s v="Burdine"/>
    <m/>
    <m/>
    <n v="0"/>
  </r>
  <r>
    <x v="324"/>
    <s v="Burns"/>
    <s v="MI"/>
    <s v="Leslie"/>
    <s v="Email"/>
    <s v="Shouse"/>
    <s v="August &amp; Earl"/>
    <x v="4"/>
    <s v="Richmond"/>
    <x v="23"/>
    <m/>
    <x v="4"/>
    <x v="633"/>
    <x v="932"/>
    <s v="PC"/>
    <s v="PC 10, DP1, ACV, AOP $5K, x-liab; quoted subject to inspection with EHP"/>
    <x v="4"/>
    <s v="approved as quoted. $5, 535 premium OK"/>
    <m/>
    <m/>
    <s v="Burdine"/>
    <m/>
    <m/>
    <n v="0"/>
  </r>
  <r>
    <x v="4"/>
    <s v="XS Brokers"/>
    <s v="MA"/>
    <s v="Barbara"/>
    <m/>
    <s v="Craven Family Irrevocable Trust"/>
    <m/>
    <x v="3"/>
    <s v="Chatham"/>
    <x v="21"/>
    <s v="02633"/>
    <x v="9"/>
    <x v="634"/>
    <x v="759"/>
    <s v="Age of Home"/>
    <s v="Year built 1800, however it was fully gutted in 2018. Seasonal risk with rental (8 weeks). YOC was entered as 2018, which is correct. Also asked about including 25% ordinance or law coverage. "/>
    <x v="3"/>
    <s v="Advised that 2018 is correct for YOC since it was gutted/rebuilt in that year. Online photos of home look really nice. ERC would be available. Advised subject to confirmation as to why increased ord/law is desired. If it was gutted and reno'd in 2018 everything should have been brought up to code. Also subject to EHP being completed confirming updated systems. "/>
    <m/>
    <m/>
    <s v="Busse"/>
    <m/>
    <m/>
    <n v="0"/>
  </r>
  <r>
    <x v="483"/>
    <s v="Hull CO"/>
    <s v="Horsham"/>
    <s v="Tamika"/>
    <s v="Email"/>
    <s v="Yoshida, Takashi"/>
    <m/>
    <x v="21"/>
    <s v="Brigantine NJ PC5"/>
    <x v="9"/>
    <m/>
    <x v="2"/>
    <x v="634"/>
    <x v="933"/>
    <s v="Rate reduction"/>
    <s v="1987 home on NJ coast. Agent looking for 8-9% credit to beat RPS quote from Lloyds. Ran AAL. Total came in at 2125. RPS/Lloyds 2980. Markel 3248. "/>
    <x v="4"/>
    <s v="Discussed w/Jeff.  While we are not giving rate reduction inland, their coastal loss ratio is good. "/>
    <m/>
    <m/>
    <s v="Patterson"/>
    <m/>
    <m/>
    <n v="0"/>
  </r>
  <r>
    <x v="700"/>
    <s v="JM Wilson"/>
    <s v="MI"/>
    <s v="Cheryl"/>
    <s v="Email"/>
    <s v="Berry"/>
    <s v="Scott &amp; Chrissie"/>
    <x v="0"/>
    <s v="Hamilton"/>
    <x v="40"/>
    <m/>
    <x v="9"/>
    <x v="634"/>
    <x v="884"/>
    <s v="Losses"/>
    <s v="04/2016-theft (maids children stole jewelry - $48,928), 01/18/18-pipe burst, $27K, 01/19/18-los diamond- $18,660"/>
    <x v="3"/>
    <s v="theft deductible $10K"/>
    <m/>
    <m/>
    <s v="Burdine"/>
    <m/>
    <m/>
    <n v="0"/>
  </r>
  <r>
    <x v="663"/>
    <s v="Hull Irvine"/>
    <s v="CA"/>
    <s v="Bobbi"/>
    <s v="Email"/>
    <s v="Lannen"/>
    <s v="Linda"/>
    <x v="3"/>
    <s v="Idyllwild"/>
    <x v="1"/>
    <m/>
    <x v="8"/>
    <x v="635"/>
    <x v="934"/>
    <s v="Other UW Reason"/>
    <s v="Insured owns vacant lot next to property, no other structures or anything else on the vacant lot. Built in 1993, updates to systems 25 years ago, roof in 2001. PC says 2, but the home is 1000 ft from hydrant and 4 miles from station, seems to be PC 9. Fireplace and WB stove. "/>
    <x v="3"/>
    <s v=" ACV roof due to roof age. PC change to 9 unless verified PC 2. Provide supplemental heat form. "/>
    <m/>
    <m/>
    <s v="Busse"/>
    <m/>
    <s v="Please check this during next audit to confirm PC was verified. "/>
    <n v="0"/>
  </r>
  <r>
    <x v="385"/>
    <s v="Hull Irvine"/>
    <s v="CA"/>
    <s v="Tina"/>
    <m/>
    <s v="Diamond"/>
    <s v="Robert"/>
    <x v="0"/>
    <s v="Sherman Oaks"/>
    <x v="1"/>
    <s v="91423"/>
    <x v="8"/>
    <x v="636"/>
    <x v="634"/>
    <s v="Prior Lapse/NRN"/>
    <s v="1949 home with updates to all systems and roofing within last 15 years. No losses. Being non-renewed by Lex due to not being on dual street. In brush and rated accordingly. "/>
    <x v="4"/>
    <s v="No concerns with previous non-renewal. Home is located just off a main road, in a low PC. Approved"/>
    <m/>
    <m/>
    <s v="Busse"/>
    <m/>
    <m/>
    <n v="0"/>
  </r>
  <r>
    <x v="659"/>
    <s v="TPI"/>
    <s v="MS"/>
    <s v="Johnathan"/>
    <s v="Email"/>
    <s v="Wright"/>
    <s v="Merrit"/>
    <x v="0"/>
    <s v="Smithdale"/>
    <x v="16"/>
    <m/>
    <x v="14"/>
    <x v="637"/>
    <x v="935"/>
    <s v="Losses"/>
    <s v="prior claim-grandson hit head after falling off golf-cart"/>
    <x v="3"/>
    <s v="approval to offer terms with liability and Med Pay excluded"/>
    <m/>
    <m/>
    <s v="Burdine"/>
    <m/>
    <m/>
    <n v="0"/>
  </r>
  <r>
    <x v="354"/>
    <s v="Hull CA"/>
    <s v="Stockton"/>
    <s v="Lisa"/>
    <s v="Email"/>
    <s v="Lui, Marc"/>
    <m/>
    <x v="0"/>
    <s v="Cool CA PC4"/>
    <x v="3"/>
    <m/>
    <x v="0"/>
    <x v="638"/>
    <x v="936"/>
    <s v="Other Str &gt;50% Covg A"/>
    <s v="Risk is a 1979 dome house."/>
    <x v="1"/>
    <m/>
    <m/>
    <m/>
    <s v="Patterson"/>
    <m/>
    <m/>
    <n v="1"/>
  </r>
  <r>
    <x v="260"/>
    <s v="Burns"/>
    <s v="MI"/>
    <s v="Ben"/>
    <s v="Email"/>
    <s v="DiSanto, Daniel"/>
    <m/>
    <x v="0"/>
    <s v="Nevada City"/>
    <x v="1"/>
    <m/>
    <x v="6"/>
    <x v="639"/>
    <x v="937"/>
    <s v="17 min response time"/>
    <s v="1997 frame in medium brush with alarms. This risk is a 3Y due to no hydrants, so it is a 9. FD is 4.8 miles. Some gravel road, no washout. Fireline shows High 9, mod fuels, no slope, no access issues. Checked fire map. No active fires nearby. Online photos show a gate w/chain (per quest - no gate)."/>
    <x v="3"/>
    <s v="Approved subject to confirmation that if there is a gate, the FD has access. Add 5% surcharge for longer response time. (Extra $170). Also 150' brush clear."/>
    <m/>
    <m/>
    <s v="Patterson"/>
    <m/>
    <m/>
    <n v="0"/>
  </r>
  <r>
    <x v="244"/>
    <s v="Hull CA"/>
    <s v="Stockton"/>
    <s v="Lisa"/>
    <s v="Email"/>
    <s v="Zak, Lawrence"/>
    <m/>
    <x v="21"/>
    <s v="Arnold CA  PC3"/>
    <x v="3"/>
    <m/>
    <x v="0"/>
    <x v="640"/>
    <x v="938"/>
    <s v="Prior losses"/>
    <s v="2002 home in brush. Insured did not originally reveal prior losses. Agent found out after releasing terms.  Other seasonal was total fire loss &gt;$300K. Primary had 2 water losses. Online photos look nice. Ins Score 932"/>
    <x v="2"/>
    <s v="Asked agent for details of all losses and need fire marshall report. (loss run attached indicates wildfire-need to verify)"/>
    <m/>
    <m/>
    <s v="Patterson"/>
    <m/>
    <m/>
    <n v="0"/>
  </r>
  <r>
    <x v="173"/>
    <s v="Burns"/>
    <s v="MI"/>
    <s v="Delta"/>
    <s v="Email"/>
    <s v="Glasso"/>
    <s v="Dian &amp; Chris"/>
    <x v="0"/>
    <s v="Nevada   "/>
    <x v="1"/>
    <m/>
    <x v="4"/>
    <x v="641"/>
    <x v="939"/>
    <s v="Response time"/>
    <s v="2005 home in brush. 15 minute drive time by combination fire department. Medium brush. .49 rate $7471 VMGA premium. Found possible business on premises although app says both are retired. No online photos of home found."/>
    <x v="3"/>
    <s v="Add 5% surcharge to get from .49 to .51. in case actual response time may be slightly over. 15 minute drive time. Check on business."/>
    <m/>
    <m/>
    <s v="Patterson"/>
    <m/>
    <m/>
    <n v="0"/>
  </r>
  <r>
    <x v="605"/>
    <s v="Burns"/>
    <s v="MI"/>
    <s v="Alexa"/>
    <m/>
    <s v="Estate of Guner Blok"/>
    <m/>
    <x v="5"/>
    <s v="Skokie"/>
    <x v="4"/>
    <s v="60076"/>
    <x v="8"/>
    <x v="642"/>
    <x v="940"/>
    <s v="Condition"/>
    <s v="Guner Blok recently passed away and home is now vacant. Lapse in coverage since 3/14/2019. The son believes entire property might have galvanized plumbing. They plan to remove soon because they want to rent it out. Bind request was for 3/27 but they were waiting for info on galvanized, want to know if they can use that date or today's date. Partial updates to systems and full roof update in 2017"/>
    <x v="3"/>
    <s v="Approved terms subject to a full water exclusion, mold exclusion, and water backup exclusion. Also subject to a favorable interior/exterior inspection. Advised that we will not use the 3/27 effective date and that a new signed no loss should be received with today's date as effective date. "/>
    <m/>
    <m/>
    <s v="Busse"/>
    <m/>
    <m/>
    <n v="0"/>
  </r>
  <r>
    <x v="616"/>
    <s v="Hull Irvine"/>
    <s v="CA"/>
    <s v="Alison"/>
    <s v="Email"/>
    <s v="Pelorous Equity Group Inc &amp; Thayer Properties Inc."/>
    <s v="Pelorous Equity Group Inc. &amp; Thayer Properties Inc."/>
    <x v="5"/>
    <s v="San Anselmo"/>
    <x v="1"/>
    <m/>
    <x v="0"/>
    <x v="643"/>
    <x v="941"/>
    <s v="Builders Risk"/>
    <s v="construction started in 2017, prior owners had to stop due to financial issues, new investors finishing up then placing to sell. No brush. "/>
    <x v="3"/>
    <s v="acceptable Corporate Questionnaires are received, and neither of the prior owners are involved with the Inc.’s, you have approval to offer terms. However, due to our late entry onto the risk please include a 15-20% surcharge."/>
    <m/>
    <m/>
    <s v="Burdine"/>
    <m/>
    <m/>
    <n v="0"/>
  </r>
  <r>
    <x v="538"/>
    <s v="Hull Irvine"/>
    <s v="CA"/>
    <s v="Kelly"/>
    <s v="Email"/>
    <s v="Short"/>
    <s v="Fred &amp; Mary"/>
    <x v="0"/>
    <s v="Ventura"/>
    <x v="1"/>
    <m/>
    <x v="2"/>
    <x v="644"/>
    <x v="942"/>
    <s v="Business on Premises"/>
    <s v="avocado farm on premises, loss history-bathtub leak 06/2014; 10/2017-fence blown down in storm' 12/2017-shop and barn burned from wildfire."/>
    <x v="3"/>
    <s v="approval to offer terms on this risk, subject to the total business exclusion being applied, and confirmation that a GL policy is in place for the business exposure."/>
    <m/>
    <m/>
    <s v="Burdine"/>
    <m/>
    <m/>
    <n v="0"/>
  </r>
  <r>
    <x v="622"/>
    <s v="Burns"/>
    <s v="MI"/>
    <s v="David"/>
    <s v="Email"/>
    <s v="Daic"/>
    <s v="Drago &amp; Kathy"/>
    <x v="0"/>
    <s v="Anderson"/>
    <x v="23"/>
    <m/>
    <x v="6"/>
    <x v="644"/>
    <x v="943"/>
    <s v="Losses"/>
    <s v="126 acres, nonrenewed from Chubb for 3 losses (03/2017-fire to main home-$1MIL; 08/2016-water $14K; 06/2015-tornado to horse barn-$0):Client owns 2 horses and 1 donkey and approximately 14 head of cattle. The property is NOT a working ranch / farm but for personal use only. Animal liability has been excluded"/>
    <x v="3"/>
    <s v="Due to the number of farm animals they own, they are not eligible for liability coverage. As such, terms may be offered x-liability."/>
    <m/>
    <m/>
    <s v="Burdine"/>
    <m/>
    <m/>
    <n v="0"/>
  </r>
  <r>
    <x v="54"/>
    <s v="Hull Stockton"/>
    <s v="CA"/>
    <s v="Kirk"/>
    <m/>
    <s v="Walker"/>
    <s v="Sarah"/>
    <x v="0"/>
    <s v="Magalia"/>
    <x v="1"/>
    <s v="95954"/>
    <x v="5"/>
    <x v="645"/>
    <x v="944"/>
    <s v="Losses"/>
    <s v="2004 home, recent victim of Camp Fire. Claim is for loss of use as they couldn’t get to their home during evacuation. Being cancelled from current carrier due to insolvency. Risk is PC4, appears to be in brush.  "/>
    <x v="3"/>
    <s v="Approved subject to confirmation that the open claim is loss of use only, and no damage to the property is present. If any damage, will want to re-refer for review. "/>
    <m/>
    <m/>
    <s v="Busse"/>
    <m/>
    <m/>
    <n v="0"/>
  </r>
  <r>
    <x v="169"/>
    <s v="SCU"/>
    <s v="CO"/>
    <s v="Allison"/>
    <s v="Email"/>
    <s v="Everett"/>
    <s v="Ralph &amp; Siri"/>
    <x v="16"/>
    <s v="Placerville"/>
    <x v="19"/>
    <m/>
    <x v="4"/>
    <x v="646"/>
    <x v="945"/>
    <s v="Response Time"/>
    <s v="Log home,  photos online at https://www.zillow.com/homedetails/4710-San-Juan-Vista-Rd-Placerville-CO-81430/124652354_zpid/.  This will be a new purchase for the insured.  The home is a little off the grid, but is accessible year round and the roads are maintained all winter.  However, the insured’s only plan to use the home in the summer months, so they won’t be using the woodstove often.  They will winterize it each winter which they are going to do right after they purchase.  They have solar panels and propane generator for power.  Response time 25-30 minutes"/>
    <x v="1"/>
    <s v="Due to response time double guideline requirement, primary wood stove, etc."/>
    <m/>
    <m/>
    <s v="Burdine"/>
    <m/>
    <m/>
    <n v="1"/>
  </r>
  <r>
    <x v="606"/>
    <s v="ASL"/>
    <s v="VA"/>
    <s v="Joanna"/>
    <m/>
    <s v="Cruz"/>
    <s v="Antonio &amp; Esperanza"/>
    <x v="0"/>
    <s v="Purcellville"/>
    <x v="10"/>
    <s v="20132"/>
    <x v="6"/>
    <x v="647"/>
    <x v="946"/>
    <s v="Business on Premises"/>
    <s v="2004 home. Insured has daycare with 6 children. GL of $1M in place.  Little Barnyard Daycare. Insd and one assistant per website. Playground equipment outside per pics."/>
    <x v="1"/>
    <s v="Originally approved (Licensed for 6 children. Online info looks good.  TBE and GL required.) But then they sent the OHQ. 9.1 miles and 16 minute drive time. Volunteer FD makes this about 20 min response. Not eligible."/>
    <m/>
    <m/>
    <s v="Patterson"/>
    <m/>
    <m/>
    <n v="1"/>
  </r>
  <r>
    <x v="299"/>
    <s v="SCU"/>
    <s v="CO"/>
    <s v="Allison"/>
    <s v="Email"/>
    <s v="Mitchell, Elizabeth"/>
    <m/>
    <x v="0"/>
    <s v="Taos"/>
    <x v="15"/>
    <m/>
    <x v="0"/>
    <x v="648"/>
    <x v="947"/>
    <s v="Adobe construction"/>
    <s v="1952 adobe home, average condition per photos. Interior renovations complete. Some exterior adobe repairs being done by contractor brother who is living there. Some chickens - no concern. 3 mi to FD."/>
    <x v="3"/>
    <s v="Discussed w/Rodney - seems concern from fire, wind, etc is low. Asked for details of renovation and extent of adobe &quot;damage&quot;. Asked if frame w/adobe, solid adobe, or reinforced. Add cosmetic roof for metal roof str. 12/6 discussed w/Jeff. He is okay w/adobe w/10% surcharge for construction. Add cosmetic roof."/>
    <m/>
    <m/>
    <s v="Patterson"/>
    <m/>
    <m/>
    <n v="0"/>
  </r>
  <r>
    <x v="24"/>
    <s v="RPS Covington"/>
    <s v="LA"/>
    <s v="Hillary"/>
    <s v="Email"/>
    <s v="Slone"/>
    <s v="Eric"/>
    <x v="0"/>
    <s v="New Orleans"/>
    <x v="0"/>
    <m/>
    <x v="0"/>
    <x v="649"/>
    <x v="0"/>
    <s v="Age of Home"/>
    <s v="100 year old shotgun style home recently renovated and 2 story addition added. System replaced, appears to be an gut/reno."/>
    <x v="4"/>
    <s v="Nice condition, reviewed appraisal"/>
    <m/>
    <m/>
    <s v="Patterson"/>
    <m/>
    <m/>
    <n v="0"/>
  </r>
  <r>
    <x v="686"/>
    <s v="Hull CO"/>
    <s v="Horsham"/>
    <s v="Tamika"/>
    <s v="Call"/>
    <m/>
    <m/>
    <x v="6"/>
    <m/>
    <x v="3"/>
    <m/>
    <x v="0"/>
    <x v="650"/>
    <x v="0"/>
    <s v="Tail end construction"/>
    <s v="2015 construction. Not completed. Zurich will not renew. Agent wants a 1 1/2 month policy. This is standard business. Advised we won't take on tail end construction that we won't retain, even with 3 month fully earned. Advised best bet go back to Zurich."/>
    <x v="3"/>
    <s v="Advised we could do it subject to 1 year fully earned premium, forcing them to stay with us for 1 year."/>
    <m/>
    <m/>
    <s v="Patterson"/>
    <m/>
    <m/>
    <n v="0"/>
  </r>
  <r>
    <x v="287"/>
    <s v="Hull CO"/>
    <s v="Horsham"/>
    <s v="Nichole"/>
    <s v="Email"/>
    <s v="Prunier, Richard"/>
    <m/>
    <x v="21"/>
    <s v="Nantucket"/>
    <x v="21"/>
    <m/>
    <x v="3"/>
    <x v="650"/>
    <x v="71"/>
    <s v="$50K Mold?"/>
    <s v="1995 home. Ran A+ no losses. Discussed w/Jeff and we are okay if the risk is nice allowing this exception of $50K mold limit. Used CA rates - $500 for the coverage."/>
    <x v="4"/>
    <m/>
    <m/>
    <m/>
    <s v="Patterson"/>
    <m/>
    <m/>
    <n v="0"/>
  </r>
  <r>
    <x v="689"/>
    <s v="Burns"/>
    <s v="MI"/>
    <s v="Lindsay"/>
    <s v="Email"/>
    <s v="Highland Corporation"/>
    <s v="Highland Corporation"/>
    <x v="4"/>
    <s v="Lynchburg"/>
    <x v="5"/>
    <m/>
    <x v="6"/>
    <x v="650"/>
    <x v="558"/>
    <s v="Business on Premises"/>
    <s v="PC 9, built in 2001, frame, seasonal, with a 10-15 minute response time. home used for business retreats and meetings"/>
    <x v="3"/>
    <s v="You have approval to offer terms on this risk. However, due to the use of the property for business meetings and retreats, the total business exclusion must be included on the policy. Additionally, please be sure they have a GL policy in place that provides coverage when using this property for business dealings."/>
    <m/>
    <m/>
    <s v="Burdine"/>
    <m/>
    <m/>
    <n v="0"/>
  </r>
  <r>
    <x v="404"/>
    <s v="Hull Irvine"/>
    <s v="CA"/>
    <s v="Alison"/>
    <s v="Email"/>
    <s v="Hsu"/>
    <s v="Shuchi"/>
    <x v="6"/>
    <s v="Los Angeles"/>
    <x v="1"/>
    <m/>
    <x v="11"/>
    <x v="650"/>
    <x v="10"/>
    <s v="Builders Risk"/>
    <s v="1953 dwelling that will be demolished completely with the exception of 1 wall.  Agent wants to know if that counts as demolition."/>
    <x v="1"/>
    <s v="Advised the moral and morale hazards apply since there is really no value to the dwelling."/>
    <m/>
    <m/>
    <s v="Patterson"/>
    <m/>
    <m/>
    <n v="1"/>
  </r>
  <r>
    <x v="395"/>
    <s v="Hull Irvine"/>
    <m/>
    <s v="Alison"/>
    <s v="Email"/>
    <s v="Rice, Chris"/>
    <m/>
    <x v="6"/>
    <s v="Los Angeles"/>
    <x v="1"/>
    <m/>
    <x v="0"/>
    <x v="650"/>
    <x v="10"/>
    <s v="Policy form"/>
    <s v="1926 home w/partial updates. New purchase will be renovated (extent not determined). MIL will live in part of house and other part will be rented.  Ho-3 or DP-3?"/>
    <x v="3"/>
    <s v="DP3 since it's MIL and tenants. HO4's for all as needed. MFRC and plumb/heat/elec inspection since partial update."/>
    <m/>
    <m/>
    <s v="Patterson"/>
    <m/>
    <m/>
    <n v="0"/>
  </r>
  <r>
    <x v="493"/>
    <s v="Hull CA"/>
    <s v="Irvine"/>
    <s v="Alison"/>
    <s v="Email"/>
    <s v="Baker, Shelli"/>
    <m/>
    <x v="0"/>
    <s v="Santa Clara CA PC4"/>
    <x v="3"/>
    <m/>
    <x v="0"/>
    <x v="650"/>
    <x v="948"/>
    <s v="Exclude 2 rentals"/>
    <s v="1920 dwelling updated in 00-12 with 2 rental dwellings on the same property. Agt is excluding for PD but extending liab from the policy for $150 addl prem."/>
    <x v="4"/>
    <m/>
    <m/>
    <m/>
    <s v="Patterson"/>
    <m/>
    <m/>
    <n v="0"/>
  </r>
  <r>
    <x v="466"/>
    <s v="Hull Irvine"/>
    <s v="CA"/>
    <s v="Bobbi"/>
    <s v="Email"/>
    <s v="Yu"/>
    <s v="Kenneth"/>
    <x v="1"/>
    <s v="Menlo Park"/>
    <x v="1"/>
    <m/>
    <x v="8"/>
    <x v="650"/>
    <x v="691"/>
    <s v="Condition"/>
    <s v="COC, updating wiring in home (1945 build), but not in attached garage that has knob &amp; tube wiring"/>
    <x v="1"/>
    <s v="No plans to update, advise if have plans to do so w/in 30 days can reconsider"/>
    <m/>
    <m/>
    <s v="Burdine"/>
    <m/>
    <m/>
    <n v="1"/>
  </r>
  <r>
    <x v="166"/>
    <s v="Burns"/>
    <s v="MI"/>
    <s v="Jill"/>
    <s v="Email"/>
    <s v="Choren"/>
    <s v="John &amp; Suzanne"/>
    <x v="5"/>
    <s v="Oconomowoc"/>
    <x v="12"/>
    <m/>
    <x v="6"/>
    <x v="650"/>
    <x v="697"/>
    <s v="Response time"/>
    <s v="1962 dwelling w/partial updates. PC9 per agent, but risk is listed as 13 miles from FD. Referred to Danielle. Woodstove quest ok - not in use. 49 acres. Online photos look okay. Flat roof per pics and app says built up. $5K ded."/>
    <x v="3"/>
    <s v="Verifying PC and response time. Conflicts with what I found online.. Update: Per agent, meant &quot;3&quot; not 13 miles. So FD appears correct. Also stated roads are paved and drive will be plowed as required. . Approved subject to accessibility OK. Burdine"/>
    <s v="May need to discuss this one with Danielle when info is clarified."/>
    <m/>
    <s v="Patterson"/>
    <m/>
    <m/>
    <n v="0"/>
  </r>
  <r>
    <x v="509"/>
    <s v="Hull Irvine"/>
    <s v="CA"/>
    <s v="Gina"/>
    <s v="Email"/>
    <s v="Baker"/>
    <s v="Benjamin"/>
    <x v="0"/>
    <s v="Malibu"/>
    <x v="1"/>
    <m/>
    <x v="11"/>
    <x v="650"/>
    <x v="853"/>
    <s v="TIV"/>
    <s v="Malibu risk (restricted zip) 1952 dwelling all updated recently. Ran fireline - high 8. Not in brush but surrounded by brush so agt applied 20% s/c."/>
    <x v="3"/>
    <s v=" We have been approving non-brush risks in this zip. Fireline is good."/>
    <m/>
    <m/>
    <s v="Patterson"/>
    <m/>
    <m/>
    <n v="0"/>
  </r>
  <r>
    <x v="125"/>
    <s v="Hull Irvine"/>
    <m/>
    <s v="Bobbi"/>
    <s v="Email"/>
    <s v="Voorhees, Bert"/>
    <m/>
    <x v="2"/>
    <s v="Tujunga"/>
    <x v="1"/>
    <m/>
    <x v="4"/>
    <x v="650"/>
    <x v="881"/>
    <s v="Response time"/>
    <s v="PC10 with 20 min response, but automatic aid in place w/ FD w/8min response. Concrete wall home w/ glass roof."/>
    <x v="1"/>
    <s v="IM to Jeff. EM to agent - how does the risk fit w/ISO's auto aid criteria? Discussed. Decided if ISO recognized, PC would be lower. Safe bet is to decline."/>
    <m/>
    <m/>
    <s v="Patterson"/>
    <m/>
    <m/>
    <n v="1"/>
  </r>
  <r>
    <x v="627"/>
    <s v="Hull Irvine"/>
    <s v="CA"/>
    <s v="Lucas"/>
    <s v="Email"/>
    <s v="Little"/>
    <s v="Davide &amp; Helena"/>
    <x v="0"/>
    <s v="Malibu"/>
    <x v="1"/>
    <m/>
    <x v="5"/>
    <x v="650"/>
    <x v="949"/>
    <s v="TIV"/>
    <s v="Malibu risk, no brush"/>
    <x v="4"/>
    <s v="Approved to quote. "/>
    <m/>
    <m/>
    <s v="Burdine"/>
    <m/>
    <m/>
    <n v="0"/>
  </r>
  <r>
    <x v="687"/>
    <s v="Burns"/>
    <s v="MI"/>
    <s v="Rachel"/>
    <s v="Email"/>
    <s v="West"/>
    <s v="Angela"/>
    <x v="0"/>
    <s v="Tulsa"/>
    <x v="30"/>
    <m/>
    <x v="8"/>
    <x v="650"/>
    <x v="950"/>
    <s v="Losses"/>
    <s v="primary home located in OK. Home was built in 2006, roof was fully updated in 2017. PC2. lady who owns a high value house who was recently divorced. Her ex husband called her agency and intimidated the CSR into adding him as a named insured to the policy. He even got them to backdate it to inception.After addition, he started calling in fraudulent liab/and property claims. Most have been closed, but a lot still open. Chubb NR due to claims"/>
    <x v="1"/>
    <s v="Advised that given circumstances of tension surrounding property/open claims, not eligible at this time"/>
    <m/>
    <m/>
    <s v="Burdine"/>
    <m/>
    <m/>
    <n v="1"/>
  </r>
  <r>
    <x v="650"/>
    <s v="Hull Irvine"/>
    <s v="CA"/>
    <s v="Gina"/>
    <m/>
    <s v="Langermann"/>
    <s v="Mark"/>
    <x v="0"/>
    <s v="Northridge"/>
    <x v="1"/>
    <s v="91325"/>
    <x v="11"/>
    <x v="650"/>
    <x v="951"/>
    <s v="Losses"/>
    <s v="Sent over as an initial request to see if we would consider. 1963 year built, two losses - 5/2017 theft/vandalism $3200, 7/2019 water flex line burst $19k. No app, just a quote sheet. They applied $5k water ded. "/>
    <x v="2"/>
    <s v="Advised we could consider, however, would need all required info for a referral (such as app) in order to make a final decision. Things to question, like age and updates, whether or not water deductible is enough. "/>
    <m/>
    <m/>
    <s v="Busse"/>
    <m/>
    <m/>
    <n v="0"/>
  </r>
  <r>
    <x v="696"/>
    <s v="Burns"/>
    <s v="MI"/>
    <s v="David"/>
    <m/>
    <s v="Parrish"/>
    <s v="James"/>
    <x v="0"/>
    <s v="Spring"/>
    <x v="23"/>
    <s v="77379"/>
    <x v="11"/>
    <x v="650"/>
    <x v="952"/>
    <s v="Losses"/>
    <s v="1983 home with updates to all systems and roof in 2018. 2 prior large losses, neither of which appeared to be fault of insured. 2016 loss was due to drunk driver that crashed into the home $172k, 2017 loss was a water loss about $200k - They purchased new home and were doing reno, water was off, pool guy came and turned water on (was not supposed to), plumber came to do work and when started working water came out and flooded home in mater of minutes. Claim is still open due to fact that prior carrier is trying to subrogate. All repairs have been made 100%. "/>
    <x v="4"/>
    <s v="Approved - losses are not fault of insured and pose no moral/morale hazard concern. Damages have been repaired."/>
    <m/>
    <m/>
    <s v="Busse"/>
    <m/>
    <m/>
    <n v="0"/>
  </r>
  <r>
    <x v="767"/>
    <s v="Burns"/>
    <s v="MI"/>
    <s v="David"/>
    <s v="Email"/>
    <s v="Hield"/>
    <s v="Chavano"/>
    <x v="0"/>
    <s v="Richardson"/>
    <x v="23"/>
    <m/>
    <x v="11"/>
    <x v="650"/>
    <x v="877"/>
    <s v="High Profile"/>
    <s v="Primary home, TX, professional basketball player with Sacramento Kinds. Requested sister to be listed as an AI (lives in home full-time)"/>
    <x v="4"/>
    <s v="requesting clarification on sister-is this a rental for applicant, or sis on deed of home? Pics, exposure Ok. Will confirm liab OK w/LT; confirmed this is a rental for applicant. Approved as DP3. advised sis would need HO4"/>
    <m/>
    <m/>
    <s v="Burdine"/>
    <m/>
    <m/>
    <n v="0"/>
  </r>
  <r>
    <x v="603"/>
    <s v="Hull Irvine"/>
    <s v="CA"/>
    <s v="Alison"/>
    <m/>
    <s v="Garcia"/>
    <s v="Yolanda"/>
    <x v="0"/>
    <s v="La Habra"/>
    <x v="1"/>
    <s v="90631"/>
    <x v="0"/>
    <x v="650"/>
    <x v="878"/>
    <s v="Losses"/>
    <s v="1999 home. $135K slab leak 8/16. Pipes have been re-routed. Also 3/18 $3711 broken roof tile claim. Prior cancel/nrn no details."/>
    <x v="3"/>
    <s v="If nrn for claims ok. Otherwise refer back. Since pipes re-routed, no slab leak concern."/>
    <m/>
    <m/>
    <s v="Patterson"/>
    <m/>
    <m/>
    <n v="0"/>
  </r>
  <r>
    <x v="338"/>
    <s v="SCU"/>
    <s v="CO"/>
    <s v="Allison"/>
    <s v="Email"/>
    <s v="Spade"/>
    <s v="Andrew"/>
    <x v="0"/>
    <s v="Piedmont"/>
    <x v="1"/>
    <m/>
    <x v="9"/>
    <x v="650"/>
    <x v="953"/>
    <s v="High Profile"/>
    <s v="1921 very nice home (per online photos) not in brush. Insured is husband of the late Kate Spade. (App says brother, but I found no mention of a brother named Andres, only a husband.  DOB seems in line.)  No liab requested - they have it through a &quot;family policy&quot;"/>
    <x v="3"/>
    <s v="Make sure we know who we are insuring. Ok x-liab. ERC okay."/>
    <m/>
    <m/>
    <s v="Patterson"/>
    <m/>
    <m/>
    <n v="0"/>
  </r>
  <r>
    <x v="378"/>
    <s v="Burns"/>
    <s v="MI"/>
    <s v="Nicole"/>
    <m/>
    <s v="Sommario"/>
    <s v="Frank"/>
    <x v="0"/>
    <s v="Elmhurst"/>
    <x v="4"/>
    <s v="60126"/>
    <x v="0"/>
    <x v="650"/>
    <x v="954"/>
    <s v="Losses"/>
    <s v="2013 home w/ 1 sewer backup and 3 other pipe losses. 2 were builder error per app. All under $3,500. "/>
    <x v="1"/>
    <s v="4 losses on newer home is a concern and also wonder if there are other hidden issues that may cause loss and it's too late to attribute to builder error."/>
    <m/>
    <m/>
    <s v="Patterson"/>
    <m/>
    <m/>
    <n v="1"/>
  </r>
  <r>
    <x v="666"/>
    <s v="Burns"/>
    <s v="MI"/>
    <s v="Jill"/>
    <s v="Email"/>
    <s v="Wilhelm"/>
    <s v="James"/>
    <x v="0"/>
    <s v="Sarasota"/>
    <x v="32"/>
    <m/>
    <x v="0"/>
    <x v="650"/>
    <x v="946"/>
    <s v="Rate    "/>
    <s v="2007 risk in Sarasota 1 mi from coast coming in with what seems like a low rate. Agent increased rate 50% and wants to know if that is okay."/>
    <x v="3"/>
    <s v="Reviewed with Product Management who sent to Tiger. Odd rate coming in for all. Advised to go ahead with 50% s/c provided we are within range of competition. Thanked Jill for questioning!"/>
    <m/>
    <m/>
    <s v="Patterson"/>
    <m/>
    <m/>
    <n v="0"/>
  </r>
  <r>
    <x v="393"/>
    <s v="Hull Irvine"/>
    <s v="CA"/>
    <s v="Alison"/>
    <m/>
    <s v="Meskin"/>
    <s v="Solomon"/>
    <x v="0"/>
    <s v="Beverly Hills"/>
    <x v="1"/>
    <s v="90211"/>
    <x v="2"/>
    <x v="650"/>
    <x v="955"/>
    <s v="Losses"/>
    <s v="1987 home /w updates, roof in 2002. 3 prior losses: wind $21K 11/16, theft from car $17K 12/16, water dmg $37K 4/18.  Agent applying water damage exclusion. Zip is open for business.  WRS 6."/>
    <x v="3"/>
    <s v="Applying exclusion eliminates exposure from water. $5K ded minimizes other possible losses.  Will s/c for 3 losses. Ins scores are good."/>
    <s v="I ran insurance scores on both - 870, 775"/>
    <m/>
    <s v="Patterson"/>
    <m/>
    <m/>
    <n v="0"/>
  </r>
  <r>
    <x v="145"/>
    <s v="Burns"/>
    <s v="MI"/>
    <s v="Jill"/>
    <s v="Email"/>
    <s v="Llewellyn"/>
    <s v="Matthew"/>
    <x v="14"/>
    <m/>
    <x v="4"/>
    <m/>
    <x v="4"/>
    <x v="651"/>
    <x v="956"/>
    <s v="PC 10/TIV"/>
    <s v="REFERRING DUE TO TIV $1,331,900 PC 10 &amp; NOT ACCESSIBLE YEAR ROUND, 40 ACRES (NO BUSINESS USE, PC10, brick veneer, secondary, c/s alarm, built in 2011, no losses, located in IL"/>
    <x v="3"/>
    <s v="Per PCQ, 10 min response time, gravel road to home may be inaccessible if bad weather. Advised OK to release terms with 30% surcharge for possible inaccessibility "/>
    <m/>
    <m/>
    <s v="K.Burdine"/>
    <m/>
    <m/>
    <n v="0"/>
  </r>
  <r>
    <x v="367"/>
    <s v="Hull CA"/>
    <s v="Irvine"/>
    <s v="Alison"/>
    <s v="Email"/>
    <s v="Rehwald, Carol"/>
    <m/>
    <x v="0"/>
    <s v="Venice CA  PC4"/>
    <x v="3"/>
    <m/>
    <x v="0"/>
    <x v="652"/>
    <x v="957"/>
    <s v="Home and Rental"/>
    <s v="1938 home, updated. Home and airbnb rental gar/loft on same property. Quoted as 2 family to acct for extra premium. Max 26 renters annually; weekly rental required. Primary home, so insured is there."/>
    <x v="4"/>
    <s v="Updated. Primary risk."/>
    <m/>
    <m/>
    <s v="Patterson"/>
    <m/>
    <m/>
    <n v="0"/>
  </r>
  <r>
    <x v="42"/>
    <s v="Burns"/>
    <s v="MI"/>
    <s v="Rachel"/>
    <s v="Email"/>
    <s v="Valle"/>
    <s v="Philip &amp; Bree"/>
    <x v="0"/>
    <s v="Atascadero"/>
    <x v="1"/>
    <m/>
    <x v="5"/>
    <x v="653"/>
    <x v="958"/>
    <s v="Losses"/>
    <s v="2005 dwelling with 3 water losses (due to wind and faulty window installation). Agt quoted on HO8, wind/hail excl, exist dmg excl. New custom windows going in by 10/30/18. "/>
    <x v="2"/>
    <s v="Also exclude mold. Address VMM loss on app $56K. Apply 25% s/c. Addl possible subjectivities on email if we proceed."/>
    <m/>
    <m/>
    <s v="Patterson"/>
    <m/>
    <m/>
    <n v="0"/>
  </r>
  <r>
    <x v="399"/>
    <s v="Hull Irvine"/>
    <m/>
    <s v="Alex"/>
    <s v="Email"/>
    <s v="Richman"/>
    <s v="Allen"/>
    <x v="25"/>
    <s v="Alpine Meadows"/>
    <x v="1"/>
    <m/>
    <x v="5"/>
    <x v="654"/>
    <x v="959"/>
    <s v="Prior loss"/>
    <s v="1967 frame dwelling. $250K prior water loss-2nd floor bath pipe break. Total gut &amp; remodel. Usu I would s/c 10% due to size of loss. Since gut/reno, would reduce to 5%. Then saw there is a leak detection system added. Decided against required s/c."/>
    <x v="3"/>
    <s v="S/C if there is room to do it."/>
    <m/>
    <n v="15"/>
    <s v="Patterson"/>
    <m/>
    <m/>
    <n v="0"/>
  </r>
  <r>
    <x v="207"/>
    <s v="Burns"/>
    <s v="MI"/>
    <s v="Danielle"/>
    <s v="Email"/>
    <s v="Jacques, Jerome"/>
    <m/>
    <x v="2"/>
    <s v="Malibu, CA PC 4?"/>
    <x v="3"/>
    <m/>
    <x v="0"/>
    <x v="654"/>
    <x v="960"/>
    <s v="High profile"/>
    <s v="tv producer-OK; but online details for home show: short-term rental situation (3-5 days), and use for events (wedding was held there before) and commercial/movie shoots. "/>
    <x v="2"/>
    <s v="Advised rather 4+ days minimum; but need clarification on possible commercial uses of property for events and filming. Also FD over 5 miles so checking PC"/>
    <m/>
    <m/>
    <s v="Burdine"/>
    <m/>
    <m/>
    <n v="0"/>
  </r>
  <r>
    <x v="720"/>
    <s v="Burns"/>
    <s v="MI"/>
    <s v="Leslie"/>
    <s v="Email"/>
    <s v="Cieslikowski"/>
    <s v="Carl &amp; Cathy"/>
    <x v="0"/>
    <s v="Grass Valley"/>
    <x v="1"/>
    <m/>
    <x v="4"/>
    <x v="654"/>
    <x v="961"/>
    <s v="Animals and Business on Premises"/>
    <s v="1999 risk rated PC9 by retail agent. Leslie caught and changed to 10. In brush. PC Quest shows 4 miles/7 min. Google shows 8.7 miles/17 min. Insd will have llamas, sheep, cattle for grazing. Will also rent 2 RV spaces."/>
    <x v="1"/>
    <s v="Response time &gt;15, in brush."/>
    <s v="Addl questions if I have wrong info regarding response time.  We could still have some exposure with the animals if there is any breeding or sales with people coming on the property.  Is there any of this, or is it strictly for grazing?_x000a_Could we please get some more information on the plans to rent RV storage space?  Will this allow in and out privileges?  Will they just be parked off season with 1-2 expected visits from the owners?  Is there a separate policy for the building rented out for RV storage?  What else is that structure used for?_x000a_What other structures are included in the $310,000?  We would need to exclude any used for the animals if there is breeding or sales.  We may need to exclude the building rented out for RV storage.  _x000a_"/>
    <n v="51"/>
    <s v="Patterson"/>
    <m/>
    <m/>
    <n v="1"/>
  </r>
  <r>
    <x v="720"/>
    <s v="Hull Irvine"/>
    <s v="CA"/>
    <s v="Alex"/>
    <s v="Call/Email"/>
    <s v="Tomta"/>
    <s v="Odette"/>
    <x v="0"/>
    <s v="Chatsworth"/>
    <x v="1"/>
    <m/>
    <x v="5"/>
    <x v="655"/>
    <x v="962"/>
    <s v="Prior losses"/>
    <s v="1976 dwelling with various water losses. Quoted with $50K water damage deductible and surcharge about 20% in addition to s/c for the claims.  2/16 slab leak $86K - pipes re-routed. Agt verifying extent. 10/16 pipe leak near tennis court $2435.  2/17 roof leak $181. Assume repairs made-agt verifying."/>
    <x v="3"/>
    <s v="Confirm repairs. Reroute of damaged pipes in slab. $5K premium."/>
    <m/>
    <n v="28"/>
    <s v="Patterson"/>
    <m/>
    <m/>
    <n v="0"/>
  </r>
  <r>
    <x v="423"/>
    <s v="Burns"/>
    <s v="MI"/>
    <s v="Rachel"/>
    <s v="Email"/>
    <s v="Esser"/>
    <s v="Michael"/>
    <x v="0"/>
    <m/>
    <x v="28"/>
    <m/>
    <x v="9"/>
    <x v="656"/>
    <x v="963"/>
    <s v="Business on Premises"/>
    <s v="1990 build,  flooring business on premise. The applicant uses an outbuilding on the property to store varnish and saw the flooring, there are employees on the premise but they do not have access to the home. Terms if offered would be subject to a total business exclusion and the outbuilding where the flooring business is housed would be excluded."/>
    <x v="3"/>
    <s v="Subject to GL policy in place"/>
    <m/>
    <m/>
    <s v="Burdine"/>
    <m/>
    <m/>
    <n v="0"/>
  </r>
  <r>
    <x v="645"/>
    <s v="Burns"/>
    <s v="MI"/>
    <s v="Rachel"/>
    <s v="Email"/>
    <s v="Rice"/>
    <s v="Dale E"/>
    <x v="0"/>
    <s v="Shawnee Mission"/>
    <x v="28"/>
    <m/>
    <x v="11"/>
    <x v="657"/>
    <x v="964"/>
    <s v="Losses"/>
    <s v="1955 dwelling with full updates. However there are 2 water losses. 5/17 $2K appliance pipe; 8/17 $146K heavy rains, sewage up through floor drains"/>
    <x v="4"/>
    <s v="Quoted with $10K water damage ded and no water backup. App did not answer galvanized, but this concern is offset with higher ded."/>
    <m/>
    <m/>
    <s v="Patterson"/>
    <m/>
    <m/>
    <n v="0"/>
  </r>
  <r>
    <x v="577"/>
    <s v="Burns"/>
    <s v="MI"/>
    <s v="Nicole"/>
    <m/>
    <s v="Feehan"/>
    <s v="Karen &amp; Timothy"/>
    <x v="2"/>
    <s v="Augora Hills"/>
    <x v="1"/>
    <s v="91301"/>
    <x v="8"/>
    <x v="658"/>
    <x v="965"/>
    <s v="High Profile"/>
    <s v="1985 dwelling, with complete updates in 2001 and roof in 2009. WRS 33. Applicant is a singer/song-writer/producer. "/>
    <x v="4"/>
    <s v="Approved terms as quoted. No concern with profile of applicant. Dwelling is updated and in line. "/>
    <m/>
    <m/>
    <s v="Busse"/>
    <m/>
    <m/>
    <n v="0"/>
  </r>
  <r>
    <x v="25"/>
    <s v="Hull Irvine"/>
    <s v="CA"/>
    <s v="Alison"/>
    <s v="Call"/>
    <s v="Turner GST Exempt Trust"/>
    <m/>
    <x v="2"/>
    <m/>
    <x v="1"/>
    <m/>
    <x v="0"/>
    <x v="659"/>
    <x v="0"/>
    <s v="Occupancy/Use"/>
    <s v="Duplex. Half will be vacation rental, half will be insured's property management business. No owner occupancy (habitational). Agt offering to write on DP3."/>
    <x v="1"/>
    <s v="This should go on a commercial policy. "/>
    <m/>
    <m/>
    <s v="Patterson"/>
    <m/>
    <m/>
    <n v="1"/>
  </r>
  <r>
    <x v="768"/>
    <s v="Hull Stockton"/>
    <m/>
    <s v="Lisa"/>
    <s v="Email"/>
    <s v="Palmer, Angela &amp; James"/>
    <m/>
    <x v="0"/>
    <s v="Santa Clarita"/>
    <x v="1"/>
    <m/>
    <x v="5"/>
    <x v="659"/>
    <x v="966"/>
    <s v="High profile"/>
    <s v="James Palmer is a British actor. In one recent TV episode and a few movies. Married in CA. Home pics online look good. No news stories.  Looks like no issue with Liab."/>
    <x v="4"/>
    <m/>
    <m/>
    <m/>
    <s v="Patterson"/>
    <m/>
    <m/>
    <n v="0"/>
  </r>
  <r>
    <x v="301"/>
    <s v="Burns"/>
    <s v="MI"/>
    <s v="Ben"/>
    <s v="Email"/>
    <s v="Opstead, Dean"/>
    <m/>
    <x v="112"/>
    <s v="Cook"/>
    <x v="31"/>
    <m/>
    <x v="4"/>
    <x v="659"/>
    <x v="967"/>
    <s v="PC10/TIV"/>
    <s v="1994 home. Roof updated in 2006. Vacation rental occupied. Home is on Lake Vermilion. Online source shows the sale came with pontoon, fishing boat, canoes, kayaks. 15 min response time reported. Google shows 16 min drive time. Visible, paved, volunteer FD."/>
    <x v="3"/>
    <s v="Subj to confirmation of 15 min response time. If longer, need to re-evaluate terms. Willing to offer X-liab if boats etc. are still there."/>
    <m/>
    <m/>
    <s v="Patterson"/>
    <m/>
    <m/>
    <n v="0"/>
  </r>
  <r>
    <x v="434"/>
    <s v="Burns"/>
    <s v="MI"/>
    <s v="Alexa"/>
    <s v="Email"/>
    <s v="Thomas"/>
    <s v="Dallas"/>
    <x v="0"/>
    <s v="Cooper City"/>
    <x v="32"/>
    <m/>
    <x v="8"/>
    <x v="659"/>
    <x v="968"/>
    <s v="High Profile"/>
    <s v="Home was built in 2003 of stucco construction, c/s fire alarm only; applicant is professional football player (Currently free agent)"/>
    <x v="4"/>
    <s v="Reviewed with LT. Agreed OK to offer w/ liab. "/>
    <m/>
    <m/>
    <s v="Burdine"/>
    <m/>
    <m/>
    <n v="0"/>
  </r>
  <r>
    <x v="743"/>
    <s v="Hull CA"/>
    <s v="Stockton"/>
    <s v="Lisa"/>
    <s v="Email"/>
    <s v="Coyne, Martin"/>
    <m/>
    <x v="98"/>
    <s v="San Diego CA PC3"/>
    <x v="3"/>
    <m/>
    <x v="0"/>
    <x v="660"/>
    <x v="0"/>
    <s v="Addl Insured"/>
    <s v="Agent asking to add property management company as AI."/>
    <x v="3"/>
    <s v="Agreed to add them as Additional Interest - providing notification only, no coverage.  Also asked Lisa to verify how much owner occupancy. Sounds like a full time rental."/>
    <s v="There are a couple of weeks of owner occupancy.  Approved."/>
    <m/>
    <s v="Patterson"/>
    <m/>
    <m/>
    <n v="0"/>
  </r>
  <r>
    <x v="121"/>
    <s v="Hull Irvine"/>
    <m/>
    <s v="Alison"/>
    <s v="Email"/>
    <s v="Kagen, Karen &amp; Michael"/>
    <m/>
    <x v="0"/>
    <s v="Los Angeles"/>
    <x v="1"/>
    <m/>
    <x v="9"/>
    <x v="661"/>
    <x v="969"/>
    <s v="Prior losses"/>
    <s v="1952 home w/all systems updated. New plumbing pipes in 2014 after HWT flooded home. Burglary in 7/16 $4417. This is an important agent for Alison. Farmers nonrenewed"/>
    <x v="0"/>
    <s v="Advised plumbing and water loss are okay. Need info on theft to determine what they did to mitigate or if special terms are needed. 6/20-loss was break in to car at gym"/>
    <m/>
    <m/>
    <s v="Patterson"/>
    <m/>
    <m/>
    <n v="0"/>
  </r>
  <r>
    <x v="80"/>
    <s v="Burns"/>
    <s v="MI"/>
    <s v="Jill"/>
    <s v="Email"/>
    <s v="Akin, Cheri"/>
    <m/>
    <x v="2"/>
    <s v="Placerville"/>
    <x v="1"/>
    <m/>
    <x v="5"/>
    <x v="662"/>
    <x v="970"/>
    <s v="Mine shaft on property"/>
    <s v="2007 home in brush. Seasonal pond, mine shaft, 40 acres, tree house. Online photos show good railing and professional looking tree house. 40 acres ok. Seasonal pond ok. Insd offered to fence mine shaft."/>
    <x v="3"/>
    <s v="• Confirmation of 150' brush clearance_x000a_• Regarding the mine shaft:  (1) The insured should fence off any entrances to the mine shaft so they are secure. (2) Insured should add signage indicating &quot;Danger - Do Not Enter&quot; or something to that effect.  (3) Insured should advise tenants the mine shaft is off limits and they are not to enter.  (4) It is recommended the insured consult with their legal counsel about adding language to their tenant lease stating the mine shaft is off limits and they are not responsible for injury._x000a_This is not a feature of the property added by the insured. It is not naturally occurring, but did come with the property. Securing entrances and advising tenants not to use, adding a waiver to the lease should protect the insured."/>
    <m/>
    <m/>
    <s v="Patterson"/>
    <m/>
    <m/>
    <n v="0"/>
  </r>
  <r>
    <x v="516"/>
    <s v="Burns"/>
    <s v="MI"/>
    <s v="Jeffrey"/>
    <s v="Email"/>
    <s v="Workman, Christa"/>
    <m/>
    <x v="0"/>
    <s v="Los Angeles CA PC2"/>
    <x v="3"/>
    <m/>
    <x v="0"/>
    <x v="662"/>
    <x v="971"/>
    <s v="Actress"/>
    <s v="1976 updated in 04 $500k liab and PI. In brush area."/>
    <x v="4"/>
    <s v="No adverse information. Not a widely known/popular actress. "/>
    <m/>
    <m/>
    <s v="Patterson"/>
    <m/>
    <m/>
    <n v="0"/>
  </r>
  <r>
    <x v="578"/>
    <s v="Burns"/>
    <s v="MI"/>
    <s v="Jeffrey"/>
    <s v="Email"/>
    <s v="The Stanley Nesheim Family Trust"/>
    <s v="The Stanley Nesheim Family Trust"/>
    <x v="5"/>
    <s v="Washington"/>
    <x v="56"/>
    <m/>
    <x v="8"/>
    <x v="662"/>
    <x v="972"/>
    <s v="Losses"/>
    <s v="prior fire loss, think it may have been electrical but loss undetermined. Parents owned home at time, but now deceased. Home repaired, now vacant, up for sale"/>
    <x v="4"/>
    <s v="with claim surcharge"/>
    <m/>
    <m/>
    <s v="Burdine"/>
    <m/>
    <m/>
    <n v="0"/>
  </r>
  <r>
    <x v="769"/>
    <s v="Burns"/>
    <s v="MI"/>
    <s v="Danielle"/>
    <s v="Email"/>
    <s v="Jacobson, Sandra &amp; Ronald"/>
    <m/>
    <x v="75"/>
    <s v="Prescott"/>
    <x v="7"/>
    <m/>
    <x v="4"/>
    <x v="663"/>
    <x v="973"/>
    <s v="TIV/PC"/>
    <s v="built in 2000 of frame construction.  PC10, 6 minute response time, with full c/s alarms. They have an open dog bit claim 11/11/16; reserve amount is $10,000. Insured was hiking with dog and dog was scared by other hiker that came around a bend and nibbled the ankle of the other hiker."/>
    <x v="3"/>
    <s v="PCQ Ok, approved with animal exclusion."/>
    <m/>
    <m/>
    <s v="K.Burdine"/>
    <m/>
    <m/>
    <n v="0"/>
  </r>
  <r>
    <x v="70"/>
    <s v="SCU"/>
    <s v="CO"/>
    <s v="Allison"/>
    <s v="Email"/>
    <s v="Born, Douglas"/>
    <m/>
    <x v="131"/>
    <s v="Eaton"/>
    <x v="19"/>
    <m/>
    <x v="4"/>
    <x v="664"/>
    <x v="974"/>
    <s v="Stand alone other structure"/>
    <s v="1984 8400 SF garage used by father/son as personal workshop. Radiant thermostatically controlled heat. Locked, entry gate. Adequate water from FD. 5 miles away. Agent really wants approval. Photos look okay. Visited daily. On property with a rental home. Tenant has no use of the structure."/>
    <x v="3"/>
    <s v="Unprot quest, X-liability."/>
    <m/>
    <m/>
    <s v="Patterson"/>
    <m/>
    <m/>
    <n v="0"/>
  </r>
  <r>
    <x v="544"/>
    <s v="XS Brokers"/>
    <s v="MA"/>
    <s v="Barbara"/>
    <m/>
    <s v="Nolan"/>
    <s v="Nancy"/>
    <x v="0"/>
    <s v="Plymouth"/>
    <x v="21"/>
    <s v="02360"/>
    <x v="0"/>
    <x v="664"/>
    <x v="975"/>
    <s v="Losses"/>
    <s v="2016 home rebuilt after 2015 non-suspicious total fire. Subsequent hose break under sink 7/18 $104K paid."/>
    <x v="2"/>
    <s v="Need to review C&amp;O report. Advised agt if ok, we would exclude mold. Need conf of loss repaired and claim closed. Only s/c for 3 years. Fire loss 7/2015."/>
    <m/>
    <m/>
    <s v="Patterson"/>
    <m/>
    <m/>
    <n v="0"/>
  </r>
  <r>
    <x v="355"/>
    <s v="Burns"/>
    <s v="MI"/>
    <s v="Rachel"/>
    <s v="Email"/>
    <s v="Aleman"/>
    <s v="Pablo"/>
    <x v="0"/>
    <s v="Palm Springs"/>
    <x v="1"/>
    <m/>
    <x v="9"/>
    <x v="665"/>
    <x v="976"/>
    <s v="Losses"/>
    <s v="Insured moved to new home. Prior location was burglarized and torched when they were in Mexico. $500K jewelry, pens, Rolex and 2 expensive cars stolen. Risk not in brush. Police report provided."/>
    <x v="2"/>
    <s v="Need more info on the case. Report shows witnesses, but not that there was an arrest."/>
    <s v="Ins score is 775 and no concerns. Insd prior business has no adverse info. No adverse info on the insd."/>
    <m/>
    <s v="Patterson"/>
    <m/>
    <m/>
    <n v="0"/>
  </r>
  <r>
    <x v="243"/>
    <s v="Hull CA"/>
    <s v="Irvine"/>
    <s v="Alison"/>
    <s v="Email"/>
    <s v="Snell, James"/>
    <m/>
    <x v="21"/>
    <s v="Cambria CA PC4"/>
    <x v="3"/>
    <m/>
    <x v="0"/>
    <x v="666"/>
    <x v="977"/>
    <s v="Prior WC/Liab loss"/>
    <s v="2001 home not in brush. Had a prior WC claim. That employee is no longer with the insured. WC is insured on a separate policy (as Lex prev required). We would be offering $500K prem liab only. "/>
    <x v="0"/>
    <s v="Asked for details of the loss so we can determine if there is any issue w/the insured."/>
    <s v="2 losses w/same claimant. Doesn't appear to be any insured negligence. Also found out there is a prior water loss."/>
    <m/>
    <s v="Patterson"/>
    <m/>
    <m/>
    <n v="0"/>
  </r>
  <r>
    <x v="646"/>
    <s v="Burns"/>
    <s v="MI"/>
    <s v="Jill"/>
    <s v="Email"/>
    <s v="Blair, Robert"/>
    <m/>
    <x v="2"/>
    <s v="CA PC9"/>
    <x v="3"/>
    <m/>
    <x v="0"/>
    <x v="666"/>
    <x v="978"/>
    <s v="PC9/TIV"/>
    <s v="1955-updated in 2005 frame. Brush"/>
    <x v="1"/>
    <s v="Rented for minimum of 2 nights"/>
    <m/>
    <m/>
    <s v="May"/>
    <m/>
    <m/>
    <n v="1"/>
  </r>
  <r>
    <x v="350"/>
    <s v="Burns"/>
    <s v="MI"/>
    <s v="Alexa"/>
    <s v="Email"/>
    <s v="Pitts"/>
    <s v="Andy &amp; Gail"/>
    <x v="0"/>
    <m/>
    <x v="4"/>
    <m/>
    <x v="4"/>
    <x v="667"/>
    <x v="968"/>
    <s v="PC"/>
    <s v="Attached is a primary home located in IL. Home was built in 1975 with roof update 2008, heating update 2008, PC 10; D score"/>
    <x v="4"/>
    <s v="RM, PCQ, photos, premium acceptable"/>
    <m/>
    <m/>
    <s v="Burdine"/>
    <m/>
    <m/>
    <n v="0"/>
  </r>
  <r>
    <x v="473"/>
    <s v="Burns"/>
    <s v="MI"/>
    <s v="Rachel"/>
    <s v="Email"/>
    <s v="Griese"/>
    <s v="Christopher"/>
    <x v="0"/>
    <s v="Stillwater"/>
    <x v="31"/>
    <m/>
    <x v="4"/>
    <x v="668"/>
    <x v="979"/>
    <s v="Losses"/>
    <s v="Newly rebuilt dwelling - prior $1.2M fire loss.  Fire dept report provided indicates cause is undetermined. Suspected it is electrical. "/>
    <x v="3"/>
    <s v="10% surcharge due to size of loss.  Fire report acceptable."/>
    <m/>
    <m/>
    <s v="Patterson"/>
    <m/>
    <m/>
    <n v="0"/>
  </r>
  <r>
    <x v="241"/>
    <s v="Burns"/>
    <s v="MI"/>
    <s v="Ben"/>
    <s v="Email"/>
    <s v="Stotsenberg, Henry"/>
    <m/>
    <x v="0"/>
    <s v="Murietta CA PC9"/>
    <x v="3"/>
    <m/>
    <x v="0"/>
    <x v="669"/>
    <x v="980"/>
    <s v="18 min response time"/>
    <s v="2004 home alarmed. 18 min response time per app. Mapquest shows shorter response. Gate which FD has access to. App shows loss in dispute - checking.  Online shows Stotsenberg Consulting, Mr's CPA firm at this address - checking.  RM in brush.  FireLine High 8. Med to Heavy fuels. Mod slope, no access probs."/>
    <x v="2"/>
    <m/>
    <m/>
    <m/>
    <s v="Patterson"/>
    <m/>
    <m/>
    <n v="0"/>
  </r>
  <r>
    <x v="770"/>
    <s v="Burns"/>
    <s v="MI"/>
    <s v="Nicole"/>
    <m/>
    <s v="Shelar"/>
    <s v="Jeff &amp; Rachel "/>
    <x v="7"/>
    <s v="Marathon"/>
    <x v="32"/>
    <s v="33050"/>
    <x v="2"/>
    <x v="670"/>
    <x v="981"/>
    <s v="Other UW Reason"/>
    <s v="1979 year built with no updates. Tile roof, but agent added roof exclusion. No losses. Insured lives in home as primary but renting the downstairs out (long term rental). Referred because it is in Monroe County, wanting to make sure they can offer terms with excluding wind"/>
    <x v="4"/>
    <s v="Per Burns' guidelines, Monroe county is eligible as long as wind is excluded. There was no other reason for referral. Approved as is since wind was excluded. "/>
    <m/>
    <m/>
    <s v="Busse"/>
    <m/>
    <m/>
    <n v="0"/>
  </r>
  <r>
    <x v="47"/>
    <s v="Burns"/>
    <s v="MI"/>
    <s v="Danielle"/>
    <s v="Email"/>
    <s v="Martinez"/>
    <s v="David"/>
    <x v="0"/>
    <s v="Bakersfield"/>
    <x v="1"/>
    <m/>
    <x v="8"/>
    <x v="670"/>
    <x v="982"/>
    <s v="Losses"/>
    <s v="1935 frame home with monitored burglar alarm. One large water loss on 12/26/2017 for $124k. While repairs begetting done, burglary occurred. Burns recommending $25k water damage deductible. Asking plumbing types remaining to be confirmed (no lead, galvanized or cast iron)"/>
    <x v="3"/>
    <s v="Asking for plumbing types to be confirmed. Home looks good. Attach absolute mold. If any questionable plumbing left then attach water exclusion."/>
    <m/>
    <m/>
    <s v="Lazovik"/>
    <m/>
    <m/>
    <n v="0"/>
  </r>
  <r>
    <x v="313"/>
    <s v="ASL"/>
    <m/>
    <s v="Garry"/>
    <s v="Email"/>
    <s v="Dolan, Timothy"/>
    <m/>
    <x v="21"/>
    <s v="Heathsville"/>
    <x v="10"/>
    <m/>
    <x v="32"/>
    <x v="671"/>
    <x v="983"/>
    <s v="TIV"/>
    <s v="Agent submitted thinking they had $1M authority. Advised they have $2M. Reviewed risk. It is okay, but 15% under Lloyds. (2772 vs. us:2379 w/mold)"/>
    <x v="3"/>
    <s v="Add a debit to get closer to competitor quote."/>
    <m/>
    <m/>
    <s v="Patterson"/>
    <m/>
    <m/>
    <n v="0"/>
  </r>
  <r>
    <x v="704"/>
    <s v="Burns"/>
    <s v="MI"/>
    <s v="Jill"/>
    <s v="Email"/>
    <s v="Woltz"/>
    <s v="John"/>
    <x v="3"/>
    <s v="Haysville"/>
    <x v="28"/>
    <m/>
    <x v="0"/>
    <x v="672"/>
    <x v="984"/>
    <s v="Business on Premises"/>
    <s v="1984 risk &quot;seasonal w/rental&quot; leased to Blue Sky Ranch and also used as AirBnB 2 night minimum. Renters can use boat and kayaks and bring pets."/>
    <x v="2"/>
    <s v="Shocking exposure per online search. Horses, equine therapy, boarding, possible breeding, open to public for events and parties. "/>
    <m/>
    <m/>
    <s v="Patterson"/>
    <m/>
    <m/>
    <n v="0"/>
  </r>
  <r>
    <x v="211"/>
    <s v="SCU"/>
    <s v="CO"/>
    <s v="Allison"/>
    <s v="Email"/>
    <s v="Stagecoach Ltd"/>
    <m/>
    <x v="2"/>
    <s v="Evergreen CO PC6"/>
    <x v="3"/>
    <m/>
    <x v="0"/>
    <x v="673"/>
    <x v="615"/>
    <s v="VRBO 2 night min"/>
    <s v="1983 home (need update info) was residence, now VRBO w/2 night min. Guidelines currently state 3. "/>
    <x v="4"/>
    <s v="Per Jeff today, we can allow all partners to follow 2 night minimum."/>
    <m/>
    <m/>
    <s v="Patterson"/>
    <m/>
    <m/>
    <n v="0"/>
  </r>
  <r>
    <x v="359"/>
    <s v="TPI"/>
    <s v="MS"/>
    <s v="Jerrold"/>
    <m/>
    <s v="Gore"/>
    <s v="Kevin"/>
    <x v="0"/>
    <s v="Tulsa"/>
    <x v="30"/>
    <s v="74137"/>
    <x v="8"/>
    <x v="673"/>
    <x v="985"/>
    <s v="Losses"/>
    <s v="2013 year built. Two losses - 7/2017 theft $6665 and 11/2017 water damage $131000. Water loss was hot water heater that burst upstairs. Water heater has been replaced and all damage has been repaired. Also, installed burglar/fire alarm system to try to mitigate future theft losses. App indicates pool that is fenced and gated. "/>
    <x v="4"/>
    <s v="Agent already included water damage exclusion and they also added a pool exclusion. No other concerns and approved as quoted."/>
    <m/>
    <m/>
    <s v="Busse"/>
    <m/>
    <m/>
    <n v="0"/>
  </r>
  <r>
    <x v="653"/>
    <s v="XS Brokers"/>
    <s v="MA"/>
    <s v="Barbara"/>
    <m/>
    <s v="Siegel"/>
    <s v="Ronald &amp; Arons, Gina"/>
    <x v="0"/>
    <s v="Lincoln"/>
    <x v="21"/>
    <s v="01773"/>
    <x v="0"/>
    <x v="673"/>
    <x v="986"/>
    <s v="Business on Premises"/>
    <s v="1965 home w/partial updates. Updated roof.  Insd is a psychologist. Sees 15 clients/week in home office. Has GL in place. TBE quoted. Wife is psy.d. also but travels. "/>
    <x v="3"/>
    <s v="Advised ACV or FRC only. Need OHQ/confirm no inelig plumb/elec. Apply TBE. Professional exclusion in policy + TBE excludes covg. Insd as GL.  Require coml policies be controlled by retail agent."/>
    <m/>
    <m/>
    <s v="Patterson"/>
    <m/>
    <m/>
    <n v="0"/>
  </r>
  <r>
    <x v="583"/>
    <s v="Hull Irvine"/>
    <s v="CA"/>
    <s v="Bobbi"/>
    <s v="Email"/>
    <s v="Guevorkian"/>
    <s v="Emma"/>
    <x v="0"/>
    <s v="Burbank "/>
    <x v="1"/>
    <m/>
    <x v="0"/>
    <x v="674"/>
    <x v="0"/>
    <s v="Losses"/>
    <s v="Risk has had minor damage from 2 wildfires in 2016 and 2017. In extremely low brush (RM) and Negligible-0 (FireLine). Renovated in 2017. Incomplete app."/>
    <x v="3"/>
    <s v="Asked for more fire and loss detail. PC confirmation. Roof update. Surcharge will apply as there have been 2 wildfire losses. Complete app. Considering since both fire reports show very low exposure. Reviewed w/Louisa. Low payout. Brush exposure negligible. We are getting extra 10% surcharge plus the 2 loss surcharges. Agreed to terms with increase ded from $2500 to $5000."/>
    <m/>
    <m/>
    <s v="Patterson"/>
    <m/>
    <m/>
    <n v="0"/>
  </r>
  <r>
    <x v="81"/>
    <s v="Burns"/>
    <s v="MI"/>
    <s v="Jill"/>
    <s v="Email"/>
    <s v="Mohsen, Aly"/>
    <m/>
    <x v="132"/>
    <s v="Springfield"/>
    <x v="36"/>
    <m/>
    <x v="8"/>
    <x v="675"/>
    <x v="987"/>
    <s v="Prior Felony"/>
    <s v="Insured charged w/perjury (and more) in 2006. Many news articles. 1989 home w/ no losses. This is not held against the insured, but FYI, the insured's brother tried to take out a hit on the judge in the case and burn down a jurors home."/>
    <x v="1"/>
    <m/>
    <m/>
    <m/>
    <s v="Patterson"/>
    <m/>
    <m/>
    <n v="1"/>
  </r>
  <r>
    <x v="210"/>
    <s v="Burns"/>
    <s v="MI"/>
    <s v="Jill"/>
    <s v="Email"/>
    <s v="King, Michael"/>
    <m/>
    <x v="0"/>
    <s v="Nevada City CA PC4"/>
    <x v="3"/>
    <m/>
    <x v="0"/>
    <x v="676"/>
    <x v="988"/>
    <s v="Oth Str &gt;35%"/>
    <s v="1999 home in brush. Oth str is a detached garage w/an apartment used by visitors and as a &quot;man cave&quot;. "/>
    <x v="4"/>
    <s v="This referral prompted me to search the overall referral log to find that Burns has submitted 4 risks for &quot;Oth Str &gt;35%&quot;.  All oth structures have been acceptable.  I proposed an authority increase to Jeff and he agreed to change to &quot;Oth Str &gt;100%&quot;.  Guideline changes coming soon."/>
    <m/>
    <m/>
    <s v="Patterson"/>
    <m/>
    <m/>
    <n v="0"/>
  </r>
  <r>
    <x v="91"/>
    <s v="Hull Irvine"/>
    <m/>
    <s v="Alex"/>
    <s v="Email"/>
    <s v="Pugh, John &amp; Robin"/>
    <m/>
    <x v="0"/>
    <s v="Yorba Linda"/>
    <x v="1"/>
    <m/>
    <x v="9"/>
    <x v="677"/>
    <x v="744"/>
    <s v="Prior losses"/>
    <s v="$1850 water claim 4+ years ago, $128K water claim about 3 years ago. Plumbing pipes completely replaced. Agt charged for loss and added 10%. $10K water damage ded"/>
    <x v="3"/>
    <s v="Offered lower ded if confirmation of 100% of  pipes and connections."/>
    <m/>
    <m/>
    <s v="Patterson"/>
    <m/>
    <m/>
    <n v="0"/>
  </r>
  <r>
    <x v="73"/>
    <s v="Hull Irvine"/>
    <m/>
    <s v="Alison"/>
    <s v="Email"/>
    <s v="Hay, David"/>
    <m/>
    <x v="2"/>
    <s v="Los Angeles"/>
    <x v="1"/>
    <m/>
    <x v="0"/>
    <x v="678"/>
    <x v="0"/>
    <s v="Prior losses"/>
    <s v="Rental property, agent wants 100K contents. 2 prior theft losses. Now has alarm"/>
    <x v="3"/>
    <s v="Risk is okay but contents are not acceptable. Decline addition of contents."/>
    <m/>
    <m/>
    <s v="Patterson"/>
    <m/>
    <m/>
    <n v="0"/>
  </r>
  <r>
    <x v="392"/>
    <s v="Hull Irvine"/>
    <s v="CA"/>
    <s v="Alex"/>
    <s v="Email"/>
    <s v="Peck, Zachary"/>
    <m/>
    <x v="0"/>
    <s v="Los Angeles"/>
    <x v="1"/>
    <m/>
    <x v="8"/>
    <x v="678"/>
    <x v="0"/>
    <s v="High profile"/>
    <s v="Grandson of Gregory Peck and son of Cheryl Tiegs (actors)"/>
    <x v="4"/>
    <s v="Reviewed internet, neither parent/grandparent still in lime light. Son is not in limelight"/>
    <m/>
    <m/>
    <s v="Burdine"/>
    <m/>
    <m/>
    <n v="0"/>
  </r>
  <r>
    <x v="122"/>
    <s v="Burns"/>
    <s v="MI"/>
    <s v="Delta"/>
    <s v="Email"/>
    <s v="Dipesa, Susant"/>
    <m/>
    <x v="1"/>
    <s v="Scituate"/>
    <x v="21"/>
    <m/>
    <x v="5"/>
    <x v="678"/>
    <x v="0"/>
    <s v="Raised home"/>
    <s v="Home will be raised, addition removed, interior rebuilt. Not moving to another location. Contractor is insured."/>
    <x v="3"/>
    <s v="10% s/c for raising. Asked for info and s/c on 1/27/15 loss on app - wind driven rain. No detail. "/>
    <m/>
    <m/>
    <s v="Patterson"/>
    <m/>
    <m/>
    <n v="0"/>
  </r>
  <r>
    <x v="511"/>
    <s v="Hull Irvine"/>
    <m/>
    <s v="Alex"/>
    <s v="Call"/>
    <s v="West Coast Properties LLC"/>
    <m/>
    <x v="2"/>
    <m/>
    <x v="3"/>
    <m/>
    <x v="0"/>
    <x v="678"/>
    <x v="0"/>
    <s v="Occupancy"/>
    <s v="4 unit home currently occupied by 2 tenants. 2 units under reno. Then those will be rented out, 2 tenants will move out and the other 2 units will undergo reno. Expect it to take a year.  $100K LOU agt will explain that it covers rental, not the vacants. Flat roof 10% s/c and $10K ded. 15% s/c for reno. vacant rate."/>
    <x v="4"/>
    <m/>
    <m/>
    <n v="10"/>
    <s v="Patterson"/>
    <m/>
    <m/>
    <n v="0"/>
  </r>
  <r>
    <x v="771"/>
    <s v="JM Wilson"/>
    <s v="MI"/>
    <s v="John"/>
    <s v="Email"/>
    <s v="Grant"/>
    <s v="Merline"/>
    <x v="0"/>
    <s v="Detroit"/>
    <x v="8"/>
    <m/>
    <x v="0"/>
    <x v="678"/>
    <x v="579"/>
    <s v="Occupancy/Use"/>
    <s v="1925 build, international owner (in Canada),need help with quote "/>
    <x v="2"/>
    <s v="Bethany can help with quote, but pended for eligibility concerns: age of home (need ohq), property condition (photos online show concerns), noted &quot;no prior coverage&quot; on app"/>
    <m/>
    <m/>
    <s v="Burdine"/>
    <m/>
    <m/>
    <n v="0"/>
  </r>
  <r>
    <x v="357"/>
    <s v="Burns"/>
    <s v="MI"/>
    <s v="David"/>
    <m/>
    <s v="Seger"/>
    <s v="David"/>
    <x v="6"/>
    <s v="Baroda"/>
    <x v="8"/>
    <n v="49101"/>
    <x v="2"/>
    <x v="678"/>
    <x v="579"/>
    <s v="Other UW Reason"/>
    <s v="Church will be converted into Bed &amp; Breakfast business in spring 2019. Working with architect and contract on the plans. Full updates will be done in 2019. Would like RC. Church built in 1900. Roof will need to be excluded. Frame construction and 'D' insurance score. Submitting as a builder's risk"/>
    <x v="3"/>
    <s v="Must rate as a vacant as it will not be touched over the winter. Can write a builders risk when construction will begin. RC not available on the vacant policy.  Settlement type will need to remain ACV. They can refer again when it is ready to be written as a builders risk. Exclude the roof unless inspection shows better condition than the pictures appear to show. Also confirm condition of electrical and plumbing and apply guidelines if needed based on findings."/>
    <m/>
    <m/>
    <s v="Lazovik"/>
    <m/>
    <m/>
    <n v="0"/>
  </r>
  <r>
    <x v="449"/>
    <s v="Burns"/>
    <s v="MI"/>
    <s v="Lindsay"/>
    <m/>
    <s v="The Barn Cat Coon Creek Farm"/>
    <m/>
    <x v="72"/>
    <s v="Fayetteville"/>
    <x v="23"/>
    <n v="78940"/>
    <x v="6"/>
    <x v="678"/>
    <x v="579"/>
    <s v="PC"/>
    <s v="Barndominion frame construction on insureds property but has it's own address. Used as a quilting studio for donating. No income is generated."/>
    <x v="0"/>
    <s v="Attach TBE (volunteers so it wouldn't impact their quilting). Asking for coverage A only.  Asked for more information regarding where the building is located for fire response purposes. Added S/C of 10% for response time."/>
    <m/>
    <m/>
    <s v="Lazovik"/>
    <m/>
    <m/>
    <n v="0"/>
  </r>
  <r>
    <x v="587"/>
    <s v="Hull CO"/>
    <s v="Horsham"/>
    <s v="Lisa"/>
    <s v="Email"/>
    <s v="Estate of M. Olivia Corrao"/>
    <m/>
    <x v="1"/>
    <s v="Florham Park"/>
    <x v="9"/>
    <m/>
    <x v="0"/>
    <x v="678"/>
    <x v="708"/>
    <s v="Executor is GC"/>
    <s v="1981 home w/updated roof. Son is executor of estate - owns constr company and is doing the work. "/>
    <x v="1"/>
    <s v="Son could be considered under the umbrella of insured. No subrogation opportunity."/>
    <m/>
    <m/>
    <s v="Patterson"/>
    <m/>
    <m/>
    <n v="1"/>
  </r>
  <r>
    <x v="752"/>
    <s v="Hull Irvine"/>
    <s v="CA"/>
    <s v="Alex"/>
    <s v="Call"/>
    <s v="Harris, Robert"/>
    <m/>
    <x v="20"/>
    <s v="Villa Park"/>
    <x v="1"/>
    <m/>
    <x v="5"/>
    <x v="678"/>
    <x v="989"/>
    <s v="prior loss"/>
    <s v="Prior large fire loss-vacant/for sale, should be short term policy; loss cause reported to be fault electric wiring (was 1960s with no updates), but now home completely redone and wiring 2017.  UPDATED: $15K of loss was from smoke/fire, remaining $400K was from asbestos abatement. Home completely redone, interior and exterior. Asbestos remediation confirmation provided. Home will also be a rental. "/>
    <x v="3"/>
    <s v="Advised OK to submit, but would need fire marshal report or cause &amp; origin report from prior carrier for review. Updated: confirmed loss cause, approved w/ 10% surcharge"/>
    <m/>
    <m/>
    <s v="Burdine"/>
    <m/>
    <m/>
    <n v="0"/>
  </r>
  <r>
    <x v="772"/>
    <s v="Burns"/>
    <s v="MI"/>
    <s v="Delta"/>
    <s v="Email"/>
    <s v="Nickles, Julie"/>
    <m/>
    <x v="2"/>
    <s v="York"/>
    <x v="2"/>
    <m/>
    <x v="5"/>
    <x v="678"/>
    <x v="990"/>
    <s v="Roof exclusion waiver?"/>
    <s v="1991 home. 26 year old roof, no updates. Insp says average condn. Was vacant, now going to be a rental. Agent asking for exception to remove exclusion."/>
    <x v="3"/>
    <s v="Write with ACV roof and increased water damage deductible $5,000 minimum? No close up photos of roof."/>
    <m/>
    <m/>
    <s v="Patterson"/>
    <m/>
    <m/>
    <n v="0"/>
  </r>
  <r>
    <x v="623"/>
    <s v="Hull Irvine"/>
    <s v="CA"/>
    <s v="Alison"/>
    <s v="Email"/>
    <s v="Azar"/>
    <s v="Elias"/>
    <x v="5"/>
    <s v="Stevenson Ranch"/>
    <x v="1"/>
    <m/>
    <x v="5"/>
    <x v="678"/>
    <x v="691"/>
    <s v="Losses"/>
    <s v="Vacant/For sale: 2 losses-02/17 theft ($0-thought had to pay for tenants property), 07/2016 smoke from nearby fire; two losses at other locations (property since sold)"/>
    <x v="4"/>
    <s v="OK with terms as quoted"/>
    <m/>
    <m/>
    <s v="Burdine"/>
    <m/>
    <m/>
    <n v="0"/>
  </r>
  <r>
    <x v="350"/>
    <s v="Hull Irvine"/>
    <s v="CA"/>
    <s v="Alison"/>
    <s v="Email"/>
    <s v="Levy"/>
    <s v="Solomon"/>
    <x v="0"/>
    <s v="Malibu"/>
    <x v="1"/>
    <m/>
    <x v="0"/>
    <x v="678"/>
    <x v="812"/>
    <s v="TIV"/>
    <s v="Submitting for exception in Malibu"/>
    <x v="4"/>
    <s v="No brush, photos great"/>
    <m/>
    <m/>
    <s v="Burdine"/>
    <m/>
    <m/>
    <n v="0"/>
  </r>
  <r>
    <x v="165"/>
    <s v="Burns"/>
    <s v="MI"/>
    <s v="Delta"/>
    <s v="Email"/>
    <s v="Carol Hafner Revocable Trust"/>
    <m/>
    <x v="0"/>
    <s v="Hilton Head"/>
    <x v="20"/>
    <m/>
    <x v="9"/>
    <x v="678"/>
    <x v="853"/>
    <s v="Verify premium"/>
    <s v="1998 home 2.09 miles from coast. Alarms. Pool w/exclusion. CQ shows $2110. Is this right?"/>
    <x v="4"/>
    <s v="Verified w/Bethany. Rate is correct."/>
    <m/>
    <m/>
    <s v="Patterson"/>
    <m/>
    <m/>
    <n v="0"/>
  </r>
  <r>
    <x v="612"/>
    <s v="Burns"/>
    <s v="MI"/>
    <s v="Alexa"/>
    <m/>
    <s v="Hastings"/>
    <s v="Chaz"/>
    <x v="0"/>
    <s v="Hartford"/>
    <x v="12"/>
    <s v="53027"/>
    <x v="4"/>
    <x v="678"/>
    <x v="949"/>
    <s v="Other UW Reason"/>
    <s v="Bankruptcy closed yesterday.  1976 home with updates. Ins score K. Referring due to bankruptcy. Agt provided article stating sale of Harley dealership went bad because insd failed to disclose a $4M mortgage."/>
    <x v="1"/>
    <s v="Reviewed ins score report - many issues, and bankruptcy is personal."/>
    <s v="Judgement, personal bankruptcy, 21 bad debts."/>
    <m/>
    <s v="Patterson"/>
    <m/>
    <m/>
    <n v="1"/>
  </r>
  <r>
    <x v="773"/>
    <s v="SCU"/>
    <s v="CO"/>
    <s v="Allison"/>
    <s v="Email"/>
    <s v="Koo"/>
    <s v="Kwan Mo"/>
    <x v="1"/>
    <s v="Orange"/>
    <x v="1"/>
    <m/>
    <x v="8"/>
    <x v="678"/>
    <x v="991"/>
    <s v="Builders Risk"/>
    <s v="1990 dwelling with $465K wildfire loss for 10/17. Not in brush area. Fireline is &quot;2&quot;. In process of repair."/>
    <x v="3"/>
    <s v="Add 10% s/c. Fireline ok. Confirm cause. Exclude roof and water until repaired."/>
    <m/>
    <m/>
    <s v="Patterson"/>
    <m/>
    <m/>
    <n v="0"/>
  </r>
  <r>
    <x v="613"/>
    <s v="Burns"/>
    <s v="MI"/>
    <s v="Lindsay"/>
    <m/>
    <s v="Lloyd"/>
    <s v="Stephen"/>
    <x v="0"/>
    <s v="Erie"/>
    <x v="19"/>
    <s v="80516"/>
    <x v="8"/>
    <x v="678"/>
    <x v="992"/>
    <s v="Condition"/>
    <s v="1980 geodesic home w/full roof update in 1990. They &quot;replace damaged shingles every year.&quot; No losses at this loc. In flood zone. Has a floating foundation. "/>
    <x v="1"/>
    <s v="We don't do geodesic homes due to valuation concern. On this one, concerned w/roof and floating foundation/flood zone."/>
    <s v="Ins score B"/>
    <m/>
    <s v="Patterson"/>
    <m/>
    <m/>
    <n v="1"/>
  </r>
  <r>
    <x v="324"/>
    <s v="Burns"/>
    <s v="MI"/>
    <s v="Rachel"/>
    <s v="Email"/>
    <s v="Khanna"/>
    <s v="Vishal"/>
    <x v="0"/>
    <s v="Lincolnton"/>
    <x v="38"/>
    <m/>
    <x v="4"/>
    <x v="678"/>
    <x v="992"/>
    <s v="PC"/>
    <s v="primary home in NE. Built in 2008 with full update to the roof in 2016. Brick veneer, PC10, two losses (2016-hail-$100K, theft from veh), 13-15 minute response time"/>
    <x v="3"/>
    <s v="VMGA rate acceptable"/>
    <s v=" "/>
    <m/>
    <s v="Patterson"/>
    <m/>
    <m/>
    <n v="0"/>
  </r>
  <r>
    <x v="743"/>
    <s v="Burns"/>
    <s v="MI"/>
    <s v="Ben"/>
    <s v="Email"/>
    <s v="Hardin, Melora"/>
    <m/>
    <x v="0"/>
    <s v="Altadena CA PC4"/>
    <x v="3"/>
    <m/>
    <x v="0"/>
    <x v="678"/>
    <x v="992"/>
    <s v="High profile"/>
    <s v="Insured is Melora Hardin (The Office, a couple of movies). 1992 home fully updated in 2006. No losses, no brush. "/>
    <x v="4"/>
    <s v="Not recently popular, established, conservative property. Nothing online of a concern.  Feel okay about the insured."/>
    <m/>
    <m/>
    <s v="Patterson"/>
    <m/>
    <m/>
    <n v="0"/>
  </r>
  <r>
    <x v="56"/>
    <s v="Burns"/>
    <s v="MI"/>
    <s v="Delta"/>
    <s v="Email"/>
    <s v="Babbit, Jamie"/>
    <m/>
    <x v="0"/>
    <s v="Topanga"/>
    <x v="1"/>
    <m/>
    <x v="5"/>
    <x v="678"/>
    <x v="993"/>
    <s v="High profile"/>
    <s v="1956 home fully updated in 2010. Insured is writer/producer/director. Nothing controversial/concerning found in news."/>
    <x v="3"/>
    <s v="Agreed to write with liability but no personal injury (therefore no umbrella)."/>
    <m/>
    <m/>
    <s v="Patterson"/>
    <m/>
    <m/>
    <n v="0"/>
  </r>
  <r>
    <x v="117"/>
    <s v="Burns"/>
    <s v="MI"/>
    <s v="Delta"/>
    <s v="Email"/>
    <s v="Martin, Nicholas"/>
    <m/>
    <x v="0"/>
    <s v="Pearland "/>
    <x v="23"/>
    <m/>
    <x v="8"/>
    <x v="678"/>
    <x v="994"/>
    <s v="High profile"/>
    <s v="2009 home w/full alarms in TX. Insured is a football player for Houston Texans NFL. No negative information online."/>
    <x v="4"/>
    <m/>
    <m/>
    <m/>
    <s v="Patterson"/>
    <m/>
    <m/>
    <n v="0"/>
  </r>
  <r>
    <x v="581"/>
    <s v="SCU"/>
    <s v="CO"/>
    <s v="Allison"/>
    <s v="Email"/>
    <s v="Bremmer"/>
    <s v="Randy &amp; Christi"/>
    <x v="0"/>
    <s v="Fort Collins"/>
    <x v="19"/>
    <m/>
    <x v="9"/>
    <x v="678"/>
    <x v="18"/>
    <s v="Business on Premises"/>
    <s v="PC3, 2007 build, no losses,The insured owns an Electrical Engineering business with 1 employee.  He operates it out of a separate entrance/building from the home, but does share the same driveway.  "/>
    <x v="3"/>
    <s v="approval to offer terms on this risk as quoted, subject to the GL policy remaining in-place and the total business exclusion."/>
    <m/>
    <m/>
    <s v="Burdine"/>
    <m/>
    <m/>
    <n v="0"/>
  </r>
  <r>
    <x v="61"/>
    <s v="Burns"/>
    <s v="MI"/>
    <s v="Matt"/>
    <s v="Email/Call"/>
    <s v="All4Love LLC"/>
    <m/>
    <x v="0"/>
    <s v="Weatherford"/>
    <x v="23"/>
    <m/>
    <x v="23"/>
    <x v="678"/>
    <x v="18"/>
    <s v="Business on premises/TIV"/>
    <s v="Home, Pool House, Guest House and separately, Commercial buildings and warehouses for insureds 2 businesses - door design and custom builder. Matt sent appraisal and aerial. All looks good."/>
    <x v="3"/>
    <s v="Subj to building excl on each coml bldg and Total Business Excl.  Approved $3K over TIV limit."/>
    <s v="Gave approval for renewal terms w/ same subjectivities. K.Burdine 12/15/17"/>
    <m/>
    <s v="Patterson"/>
    <m/>
    <m/>
    <n v="0"/>
  </r>
  <r>
    <x v="286"/>
    <s v="Hull CA"/>
    <s v="Irvine"/>
    <s v="Alex"/>
    <s v="Email"/>
    <s v="Consulate General of Hungary"/>
    <m/>
    <x v="0"/>
    <s v="Los Angeles"/>
    <x v="1"/>
    <m/>
    <x v="8"/>
    <x v="678"/>
    <x v="18"/>
    <s v="High profile"/>
    <s v="Previously approved 12/22/15, email in file. Home owned by Consulate General of Hungary, occupant is Hungarian Counsel. Agreed to write as owner occupied w/premises liab."/>
    <x v="4"/>
    <m/>
    <m/>
    <m/>
    <s v="Patterson"/>
    <m/>
    <m/>
    <n v="0"/>
  </r>
  <r>
    <x v="300"/>
    <s v="Hull CA"/>
    <s v="Irvine"/>
    <s v="Alison"/>
    <s v="Email"/>
    <s v="Semradek"/>
    <m/>
    <x v="0"/>
    <s v="Malibu"/>
    <x v="1"/>
    <m/>
    <x v="5"/>
    <x v="678"/>
    <x v="995"/>
    <s v="Brush"/>
    <s v="1992 home in brush. &quot;80 acre turned parcel&quot; with cleared brush"/>
    <x v="3"/>
    <s v="Subj to 150' clearance and fully completed app."/>
    <m/>
    <m/>
    <s v="Patterson"/>
    <m/>
    <m/>
    <n v="0"/>
  </r>
  <r>
    <x v="629"/>
    <s v="Burns"/>
    <s v="MI"/>
    <m/>
    <s v="Email"/>
    <s v="Carter"/>
    <s v="Jeffrey"/>
    <x v="0"/>
    <s v="Wrightwood"/>
    <x v="1"/>
    <m/>
    <x v="0"/>
    <x v="678"/>
    <x v="996"/>
    <s v="Other UW Reason"/>
    <s v="Home referred due to fire within 20 miles. Fork fire is 98.8% contained and will not be considered 100% until fire lines replaced (per ranger contacted by agent)"/>
    <x v="4"/>
    <s v="No active fire - just hot spots. Will not be considered out until lines replaced"/>
    <m/>
    <m/>
    <s v="Lazovik"/>
    <m/>
    <m/>
    <n v="0"/>
  </r>
  <r>
    <x v="66"/>
    <s v="Burns"/>
    <s v="MI"/>
    <s v="Delta"/>
    <s v="Email"/>
    <s v="Sheen, Martin &amp; Janet"/>
    <m/>
    <x v="16"/>
    <s v="Malibu"/>
    <x v="1"/>
    <m/>
    <x v="12"/>
    <x v="678"/>
    <x v="996"/>
    <s v="High profile"/>
    <s v="1963 home w/ alarms. Both are actors. Martin is also a political activist."/>
    <x v="3"/>
    <s v="Subj to X-liability.  Too famous for liab, but not concerned about wild living or that people who oppose him would damage his home."/>
    <m/>
    <m/>
    <s v="Patterson"/>
    <m/>
    <m/>
    <n v="0"/>
  </r>
  <r>
    <x v="120"/>
    <s v="Hull Irvine"/>
    <m/>
    <s v="Alison"/>
    <s v="Email"/>
    <s v="Brill, Eric &amp; Ana"/>
    <m/>
    <x v="0"/>
    <s v="Rolling Hills Estate"/>
    <x v="1"/>
    <m/>
    <x v="0"/>
    <x v="678"/>
    <x v="997"/>
    <s v="Tree limb on carport"/>
    <s v="Insured has a unique established healthy tree with a limb that is overhanging the carport. This is an attached open on 3 sides carport - low value but attached to the house. This is for Alison's best retail agent. Arborist has examined and says it is healthy. Removing it will cause the tree to fall over. ."/>
    <x v="3"/>
    <s v="Can arborist supply a statement about the health, longevity, and how much the tree grows, along with other photos. Flat roof exception $5K ded if &lt;10 years."/>
    <s v="Guidelines in process of changing. This offer seemed closest based on our proposed changes."/>
    <m/>
    <s v="Patterson"/>
    <m/>
    <m/>
    <n v="0"/>
  </r>
  <r>
    <x v="774"/>
    <s v="Hull Irvine"/>
    <s v="CA"/>
    <s v="Alison"/>
    <s v="Email"/>
    <s v="Brill"/>
    <s v="Eric &amp; Ana"/>
    <x v="4"/>
    <s v="West Covina"/>
    <x v="1"/>
    <m/>
    <x v="9"/>
    <x v="678"/>
    <x v="109"/>
    <s v="Other UW Reason"/>
    <s v="Arborist Report/Tree issue:  1955 home updated. Approved quote last year pending arborist report. Extensive discussion w/ agent, review of report, photos in file. "/>
    <x v="3"/>
    <s v="Comfortable with arborist report and credentials found online. Several subjectivities to continue monitoring overhanging branch and provide reports every 3 years. Agent to monitor. Set a pend for 3 years out to audit this file."/>
    <m/>
    <m/>
    <s v="Patterson"/>
    <m/>
    <m/>
    <n v="0"/>
  </r>
  <r>
    <x v="409"/>
    <s v="Hull Irvine"/>
    <s v="CA"/>
    <s v="Michelle"/>
    <m/>
    <s v="Tomta"/>
    <s v="Odette"/>
    <x v="0"/>
    <s v="Chatsworth"/>
    <x v="1"/>
    <n v="91311"/>
    <x v="3"/>
    <x v="678"/>
    <x v="998"/>
    <s v="Losses"/>
    <s v="Suggesting $25k water deductible. There have 3 water claims in 2 years. One slab leak (85k), pipe leak(2435) near tennis court and roof damage($181) with ensuing rain this year. All have been fixed. Adding additional 10% surcharge for losses. Built in 1976. Heating and roofing updated in 2008. Plumbing completely updated in 2017."/>
    <x v="3"/>
    <s v="Decent IS. Lots of things going on here. Roof was just repaired after the water loss. Need more information in order to NOT exclude the roof. Remove tennis court. $25k deductible approved if plumbing replaced otherwise exclude."/>
    <m/>
    <m/>
    <s v="Lazovik"/>
    <m/>
    <m/>
    <n v="0"/>
  </r>
  <r>
    <x v="287"/>
    <s v="Burns"/>
    <s v="Michigan"/>
    <s v="Delta"/>
    <s v="Email"/>
    <s v="Roe, Michael &amp; Debbie"/>
    <m/>
    <x v="38"/>
    <s v="Oakhurst"/>
    <x v="1"/>
    <m/>
    <x v="6"/>
    <x v="679"/>
    <x v="999"/>
    <s v="TIV/PC9"/>
    <s v="Primary home, 2.5 miles from FD, in med brush. No c/s alarm"/>
    <x v="4"/>
    <s v="Surcharge for brush, great response time from FD, primary occupancy, hydrant with 2500 feet, home great condition"/>
    <m/>
    <m/>
    <s v="Burdine"/>
    <m/>
    <m/>
    <n v="0"/>
  </r>
  <r>
    <x v="63"/>
    <s v="SCU"/>
    <s v="CO"/>
    <s v="Allison"/>
    <s v="Email"/>
    <s v="Neubeiser, Evan"/>
    <m/>
    <x v="1"/>
    <s v="Breckenridge"/>
    <x v="19"/>
    <m/>
    <x v="12"/>
    <x v="680"/>
    <x v="744"/>
    <s v="Mid-term COC w/lapse"/>
    <s v="Insured had 2 water claims and decided to renovate. Home is gutted and will add 700 SF addition. Coverage lapsed yesterday. "/>
    <x v="3"/>
    <s v="Approved subject to lapse surcharge and midterm COC surcharge. 10% total"/>
    <m/>
    <m/>
    <s v="Patterson"/>
    <m/>
    <m/>
    <n v="0"/>
  </r>
  <r>
    <x v="720"/>
    <s v="Burns"/>
    <s v="MI"/>
    <s v="Danielle"/>
    <s v="Email"/>
    <s v="Glasco"/>
    <s v="Grace &amp; Goulding, Chris"/>
    <x v="0"/>
    <s v="Nevada City"/>
    <x v="1"/>
    <m/>
    <x v="6"/>
    <x v="681"/>
    <x v="1000"/>
    <s v="TIV"/>
    <s v="2005 home in brush, no alarms. Confirmed 2.7 mile, 8 min response time."/>
    <x v="3"/>
    <s v="Reference to a business &quot;Dian Glasco Multi Media&quot;. Home office okay. Refer back if other."/>
    <m/>
    <n v="26"/>
    <s v="Patterson"/>
    <m/>
    <m/>
    <n v="0"/>
  </r>
  <r>
    <x v="306"/>
    <s v="Hull CO"/>
    <s v="Charlotte"/>
    <s v="Alia"/>
    <s v="Email"/>
    <s v="Jones"/>
    <m/>
    <x v="1"/>
    <s v="Seabrook Island"/>
    <x v="20"/>
    <m/>
    <x v="9"/>
    <x v="682"/>
    <x v="1001"/>
    <s v="Coastal Builders Risk"/>
    <s v="Agent looking for approval for coastal risk.  Ran AAL and came in with $11,247. Quoted agent $12,000 annually. Advised we could do a 3 month renovation. Submit full info for consideration. Make sure we Cov A is 100% of completed value."/>
    <x v="3"/>
    <s v="Advised we could do a 3 month renovation. Submit full info for consideration. Make sure we Cov A is 100% of completed value."/>
    <m/>
    <m/>
    <s v="Patterson"/>
    <m/>
    <m/>
    <n v="0"/>
  </r>
  <r>
    <x v="136"/>
    <s v="Hull Irvine"/>
    <m/>
    <s v="Bobbi"/>
    <s v="Email/Call"/>
    <s v="Dold"/>
    <s v="Peter &amp; Lesley"/>
    <x v="15"/>
    <s v="Big Bear Lake"/>
    <x v="1"/>
    <m/>
    <x v="5"/>
    <x v="682"/>
    <x v="711"/>
    <s v="Backdate"/>
    <s v="Retailer bound coverage on 7/5 for escrow closing. His bind request went to his draft email folder.  There have been no losses.  There is a small fire but it is over 20 miles away per notes in file. Risk looks fine. "/>
    <x v="3"/>
    <s v="Quote is for 6/13, but approved bind as of 7/5 with signed and dated statement of no loss.//Agent asked if they could forego signed no loss. Verified NO with Louisa."/>
    <m/>
    <m/>
    <s v="Patterson"/>
    <s v="X"/>
    <s v="Did they get signed no loss?"/>
    <n v="0"/>
  </r>
  <r>
    <x v="638"/>
    <s v="Burns"/>
    <s v="MI"/>
    <s v="Ben"/>
    <s v="Email"/>
    <s v="Almond Brothers LP"/>
    <m/>
    <x v="133"/>
    <s v="Tahoe City"/>
    <x v="1"/>
    <m/>
    <x v="4"/>
    <x v="682"/>
    <x v="647"/>
    <s v="Response Time"/>
    <s v="Home was built in 1979 of frame construction.  Secondary (no rental) PC9 in brush and no losses. Partial Updates in 2000 except the roof done fully in 2005. Would like to offer with 25% ERC"/>
    <x v="3"/>
    <s v="Confirmed response time is exactly 15 minutes, Good history/updates made to home. Suggesting alarm due to occupancy type, but won't require since &quot;lower&quot; value. Approved subj to the partner of the LP being an occupant of the home and visibility to neighbors"/>
    <m/>
    <m/>
    <m/>
    <m/>
    <m/>
    <n v="0"/>
  </r>
  <r>
    <x v="337"/>
    <s v="Hull Irvine"/>
    <s v="CA"/>
    <s v="Alison"/>
    <s v="Email"/>
    <s v="Karapetian"/>
    <s v="Armen"/>
    <x v="0"/>
    <s v="Whittier"/>
    <x v="1"/>
    <m/>
    <x v="0"/>
    <x v="682"/>
    <x v="1002"/>
    <s v="Prior Losses"/>
    <s v="There have been 3 prior losses, 1 within the past 3 years. The recent one had a large payout (02/2017 $100K-theft and damage to flooring). The other 2 losses in 2014 had a $0 payout (1 theft from car). The agent advised that some other homes in the area were also burglarized. The insured did have CS alarms at that time, however, the burglars cut through the glass on the rear sliding door to gain entry. They have since also installed cameras and a ring doorbell system"/>
    <x v="3"/>
    <s v="Theft ded of $25K. "/>
    <m/>
    <m/>
    <s v="Burdine"/>
    <m/>
    <m/>
    <n v="0"/>
  </r>
  <r>
    <x v="676"/>
    <s v="Burns"/>
    <s v="MI"/>
    <s v="Jill"/>
    <s v="Email"/>
    <s v="Rivas, Pierre"/>
    <m/>
    <x v="38"/>
    <s v="Placerville CA PC9"/>
    <x v="3"/>
    <m/>
    <x v="0"/>
    <x v="683"/>
    <x v="1003"/>
    <s v="PC9 TIV over authority"/>
    <s v="2005 frame. Stucco. Tile roof. Fire response 5 mins. Roads paved and accessible. Prior NRN Farmers due to brush."/>
    <x v="4"/>
    <s v="Need risk meter, rater (to confirm brush), Value seems low, 200' brush clearance verif."/>
    <m/>
    <m/>
    <s v="Patterson"/>
    <m/>
    <m/>
    <n v="0"/>
  </r>
  <r>
    <x v="45"/>
    <s v="XS Brokers"/>
    <s v="MA"/>
    <s v="Brendan"/>
    <s v="Email"/>
    <s v="Cazorla"/>
    <s v="Miguel"/>
    <x v="2"/>
    <s v="Paterson"/>
    <x v="9"/>
    <m/>
    <x v="2"/>
    <x v="684"/>
    <x v="771"/>
    <s v="Losses"/>
    <s v="Open Claim for fire 8/20/2017. Frame home built in 1928. Two family owner occupied rental. Application states complete wiring, plumbing, heating and roofing updated in 2017."/>
    <x v="1"/>
    <s v="Open claim and fire investigation not complete. Also note that no smoke detectors were not present in home. AC unit caught fire and spread to mattress and box spring on floor.  Search online mentions 6 units available in this building. Did not ask for clarification of fire wall between the two halves due to declination of fire investigation"/>
    <m/>
    <m/>
    <s v="Lazovik"/>
    <m/>
    <m/>
    <n v="1"/>
  </r>
  <r>
    <x v="62"/>
    <s v="Burns"/>
    <s v="MI"/>
    <s v="Matt"/>
    <s v="Call"/>
    <s v="Muglia, Pamela"/>
    <m/>
    <x v="0"/>
    <m/>
    <x v="10"/>
    <m/>
    <x v="0"/>
    <x v="685"/>
    <x v="0"/>
    <s v="Questionable attached structure"/>
    <s v="1970's home attached by breezeway to 3 story 1892 grist mill. Insured wants to insure living structure home only. There is a firewall."/>
    <x v="1"/>
    <s v="Discussed w/Matt. Concern if there was a fire in the attached 3 story grist mill, it would topple onto the living structure - firewall wouldn't help. Decided it was best to pass. "/>
    <m/>
    <m/>
    <s v="Patterson"/>
    <s v="X"/>
    <s v="Matt advised All Risks quoted this as an HO-3 with $770,000 covg or HO-8 with $330,000. Check to see if this was with Markel."/>
    <n v="1"/>
  </r>
  <r>
    <x v="168"/>
    <s v="Hull Irvine"/>
    <s v="CA"/>
    <s v="Alison"/>
    <s v="Call"/>
    <s v="TBD"/>
    <m/>
    <x v="0"/>
    <m/>
    <x v="3"/>
    <m/>
    <x v="0"/>
    <x v="685"/>
    <x v="0"/>
    <s v="Employees"/>
    <s v="Elderly insured has 3 FT and 2 PT caretakers who are mostly fam members. WC limits to 2. Can they write excluding liability. 2 small water losses ($1400 and $2500). Written by HUB, their biggest agent."/>
    <x v="3"/>
    <s v="Okay without liability.  Also said beware of SPP.  There isn't any."/>
    <m/>
    <m/>
    <s v="Patterson"/>
    <m/>
    <m/>
    <n v="0"/>
  </r>
  <r>
    <x v="696"/>
    <s v="Burns"/>
    <s v="MI"/>
    <s v="Nicole"/>
    <m/>
    <s v="Mead"/>
    <s v="Raymond"/>
    <x v="0"/>
    <s v="Casper"/>
    <x v="51"/>
    <s v="82604"/>
    <x v="11"/>
    <x v="686"/>
    <x v="1004"/>
    <s v="Occupancy/Use"/>
    <s v="2001 building that was a 60x120 shop w/ office and garage space for drilling business.  Business is sold.  Building now used as a residence and storage. No business on premises."/>
    <x v="4"/>
    <s v="Online photos okay. No concerns w/occupancy."/>
    <s v="Handle 12/28, but I already closed the 2018 log."/>
    <m/>
    <s v="Patterson"/>
    <m/>
    <m/>
    <n v="0"/>
  </r>
  <r>
    <x v="368"/>
    <s v="Burns"/>
    <s v="MI"/>
    <s v="Nicole"/>
    <m/>
    <s v="Walters"/>
    <s v="Ronald D &amp; Margaret"/>
    <x v="4"/>
    <s v="James Creek"/>
    <x v="47"/>
    <s v="16657"/>
    <x v="4"/>
    <x v="687"/>
    <x v="1005"/>
    <s v="PC"/>
    <s v="2016 log home. Response time 19-24 minutes. .43 rate quoted. No alarms. Volunteer FD. 14 min drive time. 2017 insp shows home under constr."/>
    <x v="3"/>
    <s v="Verify construction is complete."/>
    <s v="We allow Burns to approve 20 min response time before referring.  With their exception criteria, I am comfortable using rate to approve this risk.  I used .65.  Has close neighbors. Moderate value.  Newer risk.  "/>
    <m/>
    <s v="Patterson"/>
    <m/>
    <m/>
    <n v="0"/>
  </r>
  <r>
    <x v="633"/>
    <s v="Hull CO"/>
    <s v="Charlotte"/>
    <s v="Alia"/>
    <s v="Email"/>
    <s v="Sullivans Island"/>
    <m/>
    <x v="0"/>
    <s v="Sullivans Island"/>
    <x v="20"/>
    <m/>
    <x v="0"/>
    <x v="688"/>
    <x v="1006"/>
    <s v="Rate reduction?"/>
    <s v="Alia quoted 8220 w/Markel and is looking for match of $7100.  AAL wind rate only is 6374. non-wind is around 2500."/>
    <x v="1"/>
    <s v="Can't match the rate."/>
    <m/>
    <m/>
    <s v="Patterson"/>
    <m/>
    <m/>
    <n v="1"/>
  </r>
  <r>
    <x v="65"/>
    <s v="Burns"/>
    <s v="MI"/>
    <s v="Ben"/>
    <s v="Email"/>
    <s v="Danze, Alex"/>
    <m/>
    <x v="15"/>
    <s v="Big Bear Lake"/>
    <x v="1"/>
    <m/>
    <x v="12"/>
    <x v="688"/>
    <x v="798"/>
    <s v="Home will be rented for weddings"/>
    <s v="2007 home in brush. Insured will rent occasionally for weddings. Also, I found this on AirBnB and pointed out to the agent to re-rate for this exposure."/>
    <x v="3"/>
    <s v="X-liability; add Total Business Exclusion. Unknown level of exposure when renting for weddings."/>
    <m/>
    <m/>
    <s v="Patterson"/>
    <m/>
    <m/>
    <n v="0"/>
  </r>
  <r>
    <x v="554"/>
    <s v="Burns"/>
    <s v="MI"/>
    <s v="Jill"/>
    <s v="Email"/>
    <s v="McMillan"/>
    <s v="Ross"/>
    <x v="16"/>
    <s v="Big Sandy"/>
    <x v="5"/>
    <m/>
    <x v="4"/>
    <x v="688"/>
    <x v="917"/>
    <s v="PC"/>
    <s v="Built 1993 with full updates in 2010, and roof updated in 2012, c/s alarms, no losses, frame, secondary, located in TN"/>
    <x v="1"/>
    <s v="Nearest FD 13.1 miles away, response time too great"/>
    <m/>
    <m/>
    <s v="Burdine"/>
    <m/>
    <m/>
    <n v="1"/>
  </r>
  <r>
    <x v="447"/>
    <s v="Burns"/>
    <s v="MI"/>
    <s v="Alexa"/>
    <m/>
    <s v="Lutz"/>
    <s v="William Alexander"/>
    <x v="8"/>
    <s v="New Orleans "/>
    <x v="0"/>
    <s v="30528"/>
    <x v="8"/>
    <x v="688"/>
    <x v="1007"/>
    <s v="High Profile"/>
    <s v="2019 home 13 miles from coast. Ins Score C. Applicant is NFL kicker for New Orleans Saints. Quoted with $50K liab.  New purchase.  Blank uw questions."/>
    <x v="3"/>
    <s v="No adverse info on google. Due to high profile, approve x-liab. New home. Location okay."/>
    <s v="Got submission from RPS Cov on 4/18/19."/>
    <m/>
    <s v="Patterson"/>
    <m/>
    <m/>
    <n v="0"/>
  </r>
  <r>
    <x v="575"/>
    <s v="RPS Covington"/>
    <s v="MI"/>
    <s v="Hillary"/>
    <m/>
    <s v="Lutz"/>
    <s v="William Alexander"/>
    <x v="0"/>
    <s v="New Orleans "/>
    <x v="0"/>
    <s v="30528"/>
    <x v="8"/>
    <x v="688"/>
    <x v="1007"/>
    <s v="High Profile"/>
    <s v="2019 home 13 miles from coast. Ins Score C. Applicant is NFL kicker for New Orleans Saints. Quoted with $50K liab.  New purchase.  Blank uw questions."/>
    <x v="3"/>
    <s v="No adverse info on google. Due to high profile, approve x-liab. New home. Location okay."/>
    <s v="Got submission from Burns on 4/16/19."/>
    <m/>
    <s v="Patterson"/>
    <m/>
    <m/>
    <n v="0"/>
  </r>
  <r>
    <x v="644"/>
    <s v="Hull Irvine"/>
    <s v="CA"/>
    <s v="Bobbi"/>
    <m/>
    <s v="Klein"/>
    <s v="Alfred"/>
    <x v="0"/>
    <s v="Vista"/>
    <x v="1"/>
    <s v="92084"/>
    <x v="8"/>
    <x v="688"/>
    <x v="18"/>
    <s v="Business on Premises"/>
    <s v="1997 home on same property as wholesale plant nursery. Aerial shows separation. Has GL in place and work comp for 2 employees. TBE applied. 6-700' to brush. "/>
    <x v="3"/>
    <s v="Ok w/TBE and rate as brush per new guidelines. Business has separation and has other insurance in place."/>
    <m/>
    <m/>
    <s v="Patterson"/>
    <m/>
    <m/>
    <n v="0"/>
  </r>
  <r>
    <x v="625"/>
    <s v="Burns"/>
    <s v="MI"/>
    <s v="Jill"/>
    <s v="Email"/>
    <s v="Walko"/>
    <s v="Brian"/>
    <x v="0"/>
    <m/>
    <x v="19"/>
    <m/>
    <x v="6"/>
    <x v="688"/>
    <x v="1008"/>
    <s v="PC"/>
    <s v="PC9, frame, primary, built in 1983/roof updated, located in CO"/>
    <x v="4"/>
    <s v="approved as quoted"/>
    <m/>
    <m/>
    <s v="Burdine"/>
    <m/>
    <m/>
    <n v="0"/>
  </r>
  <r>
    <x v="708"/>
    <s v="ASL"/>
    <s v="VA"/>
    <s v="Garry"/>
    <s v="Email"/>
    <s v="Groop, Peter"/>
    <m/>
    <x v="133"/>
    <s v="Elkton"/>
    <x v="29"/>
    <m/>
    <x v="4"/>
    <x v="689"/>
    <x v="1009"/>
    <s v="Response time"/>
    <s v="Home built 1996, 15 min response time, no alarms"/>
    <x v="4"/>
    <s v="Response time within limits, tanker trucks bring water and pool on premise. "/>
    <m/>
    <m/>
    <s v="Burdine"/>
    <m/>
    <m/>
    <n v="0"/>
  </r>
  <r>
    <x v="640"/>
    <s v="Burns"/>
    <s v="MI"/>
    <s v="David"/>
    <s v="Email"/>
    <s v="Lashley"/>
    <s v="Marilyn"/>
    <x v="2"/>
    <s v="Washington"/>
    <x v="56"/>
    <m/>
    <x v="8"/>
    <x v="690"/>
    <x v="1010"/>
    <s v="Other UW Reason"/>
    <s v="1909 Rowhouse in DC. Fully gutted and renovated in 2005. PC2. Rental"/>
    <x v="3"/>
    <s v="Approved subject to water deductible. There is a flat roof. In addition, the row house needs to have a fire wall between the units"/>
    <m/>
    <m/>
    <s v="Lazovik"/>
    <m/>
    <m/>
    <n v="0"/>
  </r>
  <r>
    <x v="296"/>
    <s v="Hull CA"/>
    <s v="CA"/>
    <s v="Alison"/>
    <s v="Email"/>
    <s v="Sacco, Maria"/>
    <m/>
    <x v="1"/>
    <s v="Bakersfield"/>
    <x v="1"/>
    <m/>
    <x v="9"/>
    <x v="691"/>
    <x v="0"/>
    <s v="Builders Risk"/>
    <s v="This risk is being non-renewed by Gorst (through Lexington), because it has been under construction for 5 years and the insured had a vandalism claim on 03/20/2016 . The insured plans on finishing this year and it is 50% done.  The insured had put it on hold because she had some other pressing things going on but is focused on finishing this year."/>
    <x v="1"/>
    <s v="New build, poor loss experience with extensive builders risk that take so long to finish. Also, had claim related to the risk type (vandalism)"/>
    <m/>
    <m/>
    <s v="K.Burdine"/>
    <m/>
    <m/>
    <n v="1"/>
  </r>
  <r>
    <x v="94"/>
    <s v="Burns NC"/>
    <m/>
    <s v="Anella"/>
    <s v="Email"/>
    <s v="Holtman, Catherine"/>
    <m/>
    <x v="23"/>
    <s v="Hatteras"/>
    <x v="11"/>
    <m/>
    <x v="0"/>
    <x v="692"/>
    <x v="1011"/>
    <s v="Lapse"/>
    <s v="1999 home lapse since 2/5/17. Decent ins score."/>
    <x v="3"/>
    <s v="Discussed w/Tim. Approve subj to reasonable explanation for 2 mo lapse, no history of cancel/late pay, signed no loss."/>
    <m/>
    <m/>
    <s v="Patterson"/>
    <m/>
    <m/>
    <n v="0"/>
  </r>
  <r>
    <x v="187"/>
    <s v="Burns"/>
    <s v="MI"/>
    <s v="Delta"/>
    <s v="Email"/>
    <s v="Cawelti"/>
    <s v="Holt &amp; Andria"/>
    <x v="0"/>
    <s v="Wood Fords"/>
    <x v="1"/>
    <m/>
    <x v="4"/>
    <x v="693"/>
    <x v="1012"/>
    <s v="PC"/>
    <s v="primary home located in CA. Frame construction, built in 2003, PC 10, Drive time is 15 minutes, not in brush, no losses, no c/s alarms."/>
    <x v="3"/>
    <s v="PCQ,drivetime, RM OK. Advised to be sure no concerns w/ animals as requested $50K in animal liab but no animals mentioned on app"/>
    <m/>
    <m/>
    <s v="Burdine"/>
    <m/>
    <m/>
    <n v="0"/>
  </r>
  <r>
    <x v="365"/>
    <s v="Appalachian"/>
    <s v="TN"/>
    <s v="Brett"/>
    <m/>
    <s v="Baltes"/>
    <s v="Israel"/>
    <x v="0"/>
    <s v="Homestead"/>
    <x v="32"/>
    <s v="33030"/>
    <x v="6"/>
    <x v="694"/>
    <x v="1013"/>
    <s v="Business on Premises"/>
    <s v="2008 home. Insured has horses. Taken to exhibits and competitions and they sell them.  Fence separating horses from home. No animal liability. "/>
    <x v="0"/>
    <s v="Verified a horse sale is very rare. Insd has 6 horses. No other coverage. Our cutoff is 5. Offered to give minimum animal liab ($10K) with 10% surcharge due to # of animals. Apply TBE to be sure. "/>
    <m/>
    <m/>
    <s v="Patterson"/>
    <m/>
    <m/>
    <n v="0"/>
  </r>
  <r>
    <x v="336"/>
    <s v="Burns"/>
    <s v="MI"/>
    <s v="Rachel"/>
    <s v="Email"/>
    <s v="Reichard"/>
    <s v="Cynthia M. Schneider Living Trust, The"/>
    <x v="0"/>
    <s v="Bloomington"/>
    <x v="17"/>
    <m/>
    <x v="9"/>
    <x v="695"/>
    <x v="1014"/>
    <s v="Losses"/>
    <s v="1924 dwelling with all updates. 2017 $146K water loss. ($10K water ded added). 2016 fire loss from attic fan malfunction $528K."/>
    <x v="3"/>
    <s v="15% addl s/c for size of losses. (Mitigated some with $10K water ded)."/>
    <m/>
    <m/>
    <s v="Patterson"/>
    <m/>
    <m/>
    <n v="0"/>
  </r>
  <r>
    <x v="222"/>
    <s v="Burns"/>
    <s v="MI"/>
    <s v="Jill"/>
    <s v="Email"/>
    <s v="Hamilton, Carrie"/>
    <m/>
    <x v="0"/>
    <s v="Garden Valley CA PC10"/>
    <x v="3"/>
    <m/>
    <x v="0"/>
    <x v="696"/>
    <x v="1015"/>
    <s v="PC10 17 min response"/>
    <s v="2016 home with alarms and part paid fire department."/>
    <x v="3"/>
    <s v="2 miles of gravel roads but accessible year round.  Positives are part paid FD, and alarms. Required 10% surcharge."/>
    <m/>
    <m/>
    <s v="Patterson"/>
    <m/>
    <m/>
    <n v="0"/>
  </r>
  <r>
    <x v="223"/>
    <s v="Hull CA"/>
    <s v="Irvine"/>
    <s v="Alison"/>
    <s v="Email"/>
    <s v="Wolf, Gordon"/>
    <m/>
    <x v="0"/>
    <s v="Studio City CA PC2"/>
    <x v="3"/>
    <m/>
    <x v="0"/>
    <x v="697"/>
    <x v="1016"/>
    <s v="Business attached"/>
    <s v="1926 home updates unknown. Insured has a marketing business in a room attached to the home. 3 employees, customers."/>
    <x v="2"/>
    <s v="Need update info. Commercial policy in place for prop and liab needed. Need to see rates. Would apply total business exclusion."/>
    <m/>
    <m/>
    <s v="Patterson"/>
    <m/>
    <m/>
    <n v="0"/>
  </r>
  <r>
    <x v="253"/>
    <s v="Burns"/>
    <s v="MI"/>
    <s v="Ben"/>
    <s v="Email"/>
    <s v="Florito, Elizabeth"/>
    <m/>
    <x v="0"/>
    <s v="Novato CA PC3"/>
    <x v="1"/>
    <m/>
    <x v="9"/>
    <x v="698"/>
    <x v="1017"/>
    <s v="Open Work Comp claim"/>
    <s v="1975 frame home full updates in 2000. One open loss - caregiver hurt back helping insured $104,000 paid so far. Still open WC. Also has a prior theft claim for items taken by a caregiver. PAF schedule submitted."/>
    <x v="0"/>
    <s v="• Is the caregiver who suffered the injury still going to be taking care of the insured?_x000a_• There was a prior theft loss by a caregiver - what kinds of items were missing/taken?  I'm not sure if we are comfortable offering the PAF._x000a_• What is included in the $57,266 jewelry schedule?_x000a_"/>
    <s v="Got answers from Matt on 8/10/16. Agreed to offer terms with the PAF and form BWH0150 which restricts jewelry in a safe."/>
    <m/>
    <s v="Patterson"/>
    <m/>
    <m/>
    <n v="0"/>
  </r>
  <r>
    <x v="425"/>
    <s v="XS Brokers"/>
    <s v="MA"/>
    <s v="Barbara"/>
    <m/>
    <s v="Clark"/>
    <s v="Nancy"/>
    <x v="7"/>
    <s v="Little Compton"/>
    <x v="58"/>
    <s v="02837"/>
    <x v="2"/>
    <x v="699"/>
    <x v="1018"/>
    <s v="Other UW Reason"/>
    <s v="1865 year built with complete updates in 2003 to everything. Primary home that has two units. One is for the applicant full time owner occupied, the other unit is rented during summer months June-Sept. Agent wasn’t sure how to properly rate. "/>
    <x v="3"/>
    <s v="Approved subject to OHQ, FRC, and rating as follows - 2 options: 1) rate as owner occupied with 10% surcharge to match rate of secondary rented 10-20 weeks, or 2) rate as secondary rented 10-20 weeks and override the description to read primary instead of secondary. Advised to still rate as two family, and to use HO rental form MPLH0179."/>
    <m/>
    <m/>
    <s v="Busse"/>
    <m/>
    <m/>
    <n v="0"/>
  </r>
  <r>
    <x v="113"/>
    <s v="ASL"/>
    <s v="VA"/>
    <s v="Garry"/>
    <s v="Email"/>
    <s v="Strauss, Shannon &amp; James"/>
    <m/>
    <x v="0"/>
    <s v="Virginia Beach"/>
    <x v="10"/>
    <m/>
    <x v="2"/>
    <x v="700"/>
    <x v="1019"/>
    <s v="TIV"/>
    <s v="1994 home."/>
    <x v="4"/>
    <s v="Advised Garry their authority is $2M. I still reviewed and approved/"/>
    <m/>
    <m/>
    <s v="Patterson"/>
    <m/>
    <m/>
    <n v="0"/>
  </r>
  <r>
    <x v="633"/>
    <s v="Hull CA"/>
    <s v="Irvine"/>
    <s v="Alison"/>
    <s v="Email"/>
    <s v="Chowdhury, Shahnewaz"/>
    <m/>
    <x v="88"/>
    <s v="Agoura Hills "/>
    <x v="1"/>
    <m/>
    <x v="5"/>
    <x v="700"/>
    <x v="1020"/>
    <s v="Address not found on google"/>
    <s v="2015 home in development w/20 houses. Comes up on all real estate sites. Insp okay. 100' brush clearance to property line. NRN by prior carrier due to trampoline."/>
    <x v="3"/>
    <s v="Subj to trampoline exclusion (mandatory anyway) and #8 question on app completed."/>
    <m/>
    <m/>
    <s v="Patterson"/>
    <m/>
    <m/>
    <n v="0"/>
  </r>
  <r>
    <x v="376"/>
    <s v="Burns"/>
    <s v="MI"/>
    <s v="Lindsay"/>
    <s v="Email"/>
    <s v="Gomez"/>
    <s v="John &amp; Rosa"/>
    <x v="0"/>
    <s v="Murietta"/>
    <x v="1"/>
    <m/>
    <x v="5"/>
    <x v="701"/>
    <x v="1021"/>
    <s v="PC"/>
    <s v="PC 10, built in 1989 updated in 2000, frame, primary, located not in brush in CA with a 5 minute response time; VMGA $7,796 premium"/>
    <x v="4"/>
    <s v="ISO, RM, PC questionnaire, photos OK. "/>
    <m/>
    <m/>
    <s v="Burdine"/>
    <m/>
    <m/>
    <n v="0"/>
  </r>
  <r>
    <x v="766"/>
    <s v="Hull Horsham"/>
    <s v="NJ"/>
    <s v="MacKenzie"/>
    <s v="Email"/>
    <s v="21 63rd Condo Assoc"/>
    <m/>
    <x v="2"/>
    <s v="Sea Isle City"/>
    <x v="9"/>
    <m/>
    <x v="0"/>
    <x v="702"/>
    <x v="1022"/>
    <s v="Existing damage"/>
    <s v="1987 2 fam rental home updated in 2006. Water damage loss from leaking windows; curr carrier nonrenewing as they no longer write multi fam homes. Agt proposing to write builders risk and then convert to 2 fam."/>
    <x v="1"/>
    <s v="Due to existing water damage - demo/repair hasn't started. If more is found we could be on the hook."/>
    <m/>
    <n v="16"/>
    <s v="Patterson"/>
    <m/>
    <m/>
    <n v="1"/>
  </r>
  <r>
    <x v="431"/>
    <s v="Hull Irvine"/>
    <s v="CA"/>
    <s v="Alison"/>
    <m/>
    <s v="Krushnic"/>
    <s v="Dmitri"/>
    <x v="2"/>
    <s v="Los Angeles"/>
    <x v="1"/>
    <s v="90027"/>
    <x v="0"/>
    <x v="702"/>
    <x v="1023"/>
    <s v="High Profile"/>
    <s v="Applicant is an actor, not in any major films. 1922 year built with complete updates to everything in 2000. Alison called me and asked if they had to refer this if everything else is within their authority and they are excluding liability on this risk. "/>
    <x v="4"/>
    <s v="Approved risk. Advised that even though everything else besides high profile is within authority and they are excluding liability, we still want to see them. They could be a high enough profile that could raise concern for not only liability, but physical damage to the property as well. "/>
    <m/>
    <m/>
    <s v="Busse"/>
    <m/>
    <m/>
    <n v="0"/>
  </r>
  <r>
    <x v="775"/>
    <s v="Hull Irvine"/>
    <s v="CA"/>
    <s v="Melissa"/>
    <m/>
    <s v="Faria"/>
    <s v="Jeanine"/>
    <x v="4"/>
    <s v="Ventura"/>
    <x v="1"/>
    <s v="93001"/>
    <x v="5"/>
    <x v="703"/>
    <x v="1024"/>
    <s v="Losses"/>
    <s v="WRS 28. Year built is 1992. 9/2015 water leak in bathroom $190.95, 10/2016 shattered skylight $5850, and 12/2017 Thomas fire ash and soot damage $38k. "/>
    <x v="3"/>
    <s v="Approved subject to increasing deductible to $2,500. They had just $500 listed on the app. No other concerns with file. "/>
    <m/>
    <m/>
    <s v="Busse"/>
    <m/>
    <m/>
    <n v="0"/>
  </r>
  <r>
    <x v="433"/>
    <s v="Burns"/>
    <s v="MI"/>
    <s v="Nicole"/>
    <s v="Email"/>
    <s v="Wilks"/>
    <s v="Levi"/>
    <x v="0"/>
    <s v="Cisco"/>
    <x v="23"/>
    <m/>
    <x v="4"/>
    <x v="704"/>
    <x v="1025"/>
    <s v="PC"/>
    <s v="Home was built in 2010, Brick Veneer construction, with no updates. Central station burglar and fire alarm, no losses, PC10. It says the last policy expired in 11/17. Metal shop on premises only for personal use."/>
    <x v="3"/>
    <s v="Exclude the metal shop. Rest of the risk seems good."/>
    <m/>
    <m/>
    <s v="Lazovik"/>
    <m/>
    <m/>
    <n v="0"/>
  </r>
  <r>
    <x v="662"/>
    <s v="Burns"/>
    <s v="CA"/>
    <s v="Jill"/>
    <s v="Email"/>
    <s v="Doremus"/>
    <s v="Drake"/>
    <x v="0"/>
    <s v="Los Angeles"/>
    <x v="1"/>
    <m/>
    <x v="0"/>
    <x v="705"/>
    <x v="0"/>
    <s v="High Profile"/>
    <s v="Insured is a screen writer. Nominated at Sundance Film Festival. Not a name I recognize. "/>
    <x v="4"/>
    <s v="Approved- not that famous."/>
    <m/>
    <m/>
    <s v="Trott"/>
    <m/>
    <m/>
    <n v="0"/>
  </r>
  <r>
    <x v="505"/>
    <s v="Hull Irvine"/>
    <m/>
    <s v="Bobbi"/>
    <s v="Email"/>
    <s v="Lepe"/>
    <s v="Raul &amp; Bethany"/>
    <x v="0"/>
    <s v="Mission Viejo"/>
    <x v="1"/>
    <m/>
    <x v="0"/>
    <x v="705"/>
    <x v="0"/>
    <s v="Inspection"/>
    <s v="Insured forgot key and insp co is now wanting to charge $100 to go back to do interior. Can they waive?"/>
    <x v="3"/>
    <s v="As long as OHQ and RCE are ok."/>
    <m/>
    <n v="18"/>
    <s v="Patterson"/>
    <m/>
    <m/>
    <n v="0"/>
  </r>
  <r>
    <x v="193"/>
    <s v="Hull CA"/>
    <s v="Irvine"/>
    <s v="Alison"/>
    <s v="Email"/>
    <s v="Trott"/>
    <m/>
    <x v="0"/>
    <s v="Orange Cty CA PC4"/>
    <x v="3"/>
    <m/>
    <x v="0"/>
    <x v="705"/>
    <x v="504"/>
    <s v="2 Claims"/>
    <s v="Broken pipes $24k, Open dog bite, NRN by mercury, Low Brush, 1983"/>
    <x v="4"/>
    <s v="Dog euthanized, animal exclusion added"/>
    <m/>
    <m/>
    <s v="Patterson"/>
    <m/>
    <m/>
    <n v="0"/>
  </r>
  <r>
    <x v="768"/>
    <s v="Hull Irvine"/>
    <m/>
    <s v="Alex"/>
    <s v="Email"/>
    <s v="Drexel Luxury Homes LLC"/>
    <m/>
    <x v="2"/>
    <s v="Los Angeles"/>
    <x v="1"/>
    <m/>
    <x v="0"/>
    <x v="705"/>
    <x v="708"/>
    <s v="LLC name"/>
    <s v="Insured is a property investor. Unknown how many other properties. Liab is limited to premises."/>
    <x v="4"/>
    <s v="LLC form indicates one individual. Nothing online that appears concerning."/>
    <m/>
    <m/>
    <s v="Patterson"/>
    <m/>
    <m/>
    <n v="0"/>
  </r>
  <r>
    <x v="403"/>
    <s v="Hull Charlotte"/>
    <s v="NC"/>
    <s v="Alia"/>
    <s v="Email"/>
    <s v="Gilley"/>
    <m/>
    <x v="1"/>
    <s v="Greenville"/>
    <x v="20"/>
    <m/>
    <x v="0"/>
    <x v="705"/>
    <x v="708"/>
    <s v="Insured is GC"/>
    <s v="1965 home. Insured is the GC, hiring subcontractors."/>
    <x v="1"/>
    <m/>
    <m/>
    <m/>
    <s v="Patterson"/>
    <m/>
    <m/>
    <n v="1"/>
  </r>
  <r>
    <x v="342"/>
    <s v="Burns"/>
    <s v="MI"/>
    <s v="Jill"/>
    <s v="Email"/>
    <s v="Soberanes"/>
    <s v="Suzanne"/>
    <x v="0"/>
    <s v="Walnut Creek"/>
    <x v="1"/>
    <m/>
    <x v="0"/>
    <x v="705"/>
    <x v="708"/>
    <s v="Business on premises"/>
    <s v="Total Business Exclusion - Insured runs equestrian center on property One employee, Lisa Soberanes (Suzanne's sister), 15-20 horses GL Limits $2MM Umbrella $1MM Liability $400,000 Fire Coverage"/>
    <x v="4"/>
    <s v="Ok with risk; x-liab w/ GL in place for business exposure"/>
    <m/>
    <m/>
    <s v="Burdine"/>
    <m/>
    <m/>
    <n v="0"/>
  </r>
  <r>
    <x v="638"/>
    <s v="Hull CO"/>
    <s v="NJ"/>
    <s v="Lisa"/>
    <s v="Email"/>
    <s v="Padinha, Carrie"/>
    <m/>
    <x v="1"/>
    <s v="Essex Falls"/>
    <x v="9"/>
    <m/>
    <x v="0"/>
    <x v="705"/>
    <x v="708"/>
    <s v="Builders Risk"/>
    <s v="1929 build year,system  updates in 1990,  home in wife name only, father in law's company serving as GC, Cosmetic updates throughout interior"/>
    <x v="3"/>
    <s v=" Confirmed spouse isn't doing renovations; gave approval with confirmation of fire protection since not listed on app, and expected completion of renovations within 1 year."/>
    <m/>
    <m/>
    <s v="Burdine"/>
    <m/>
    <m/>
    <n v="0"/>
  </r>
  <r>
    <x v="723"/>
    <s v="Burns"/>
    <s v="MI"/>
    <s v="Nicole"/>
    <m/>
    <s v="Henry"/>
    <s v="Derrick"/>
    <x v="5"/>
    <s v="Nashville"/>
    <x v="5"/>
    <s v="37209"/>
    <x v="9"/>
    <x v="705"/>
    <x v="725"/>
    <s v="High Profile"/>
    <s v="2016 home w/burglar alarm. Has been vacant 10 days and is for sale. Insd is high profile NFL player. Quoted with liability. App says property is checked daily."/>
    <x v="3"/>
    <s v="Protected-PC3, excluding liability. No adverse news info on this individual. Has burglar alarm. Newer home."/>
    <m/>
    <m/>
    <s v="Patterson"/>
    <m/>
    <m/>
    <n v="0"/>
  </r>
  <r>
    <x v="306"/>
    <s v="Bolton"/>
    <s v="AL"/>
    <s v="Janet"/>
    <s v="Email"/>
    <s v="Wiggins, Christopher"/>
    <m/>
    <x v="0"/>
    <s v="Pascagoula"/>
    <x v="16"/>
    <m/>
    <x v="2"/>
    <x v="705"/>
    <x v="630"/>
    <s v="$1M liability"/>
    <s v="1990 home. Insured is a doctor and needs $1M liab. Agent asked for approval and rates."/>
    <x v="4"/>
    <s v="Provided rates and advised this is within their authority to underwrite, quote, and bind."/>
    <m/>
    <m/>
    <s v="Patterson"/>
    <m/>
    <m/>
    <n v="0"/>
  </r>
  <r>
    <x v="283"/>
    <s v="SCU"/>
    <s v="CO"/>
    <s v="Allison"/>
    <s v="Email"/>
    <s v="Delano, Daniel"/>
    <m/>
    <x v="21"/>
    <s v="Woody Creek"/>
    <x v="19"/>
    <m/>
    <x v="4"/>
    <x v="705"/>
    <x v="1026"/>
    <s v="Response time over 15 min"/>
    <s v="CO home renovated in 2015. 25 minute response time, part dirt road. Excellent FD, but still it is 25 minutes, no alarm, no sprinkler, seasonal risk."/>
    <x v="1"/>
    <s v="Excellent FD, but still it is 25 minutes, no alarm, no sprinkler, seasonal risk. Agent's 5% s/c - don't feel any s/c is enough to take this on.  10/31/16: Allison proposed we reconsider with 50% surcharge."/>
    <m/>
    <m/>
    <s v="Patterson"/>
    <s v=" "/>
    <m/>
    <n v="1"/>
  </r>
  <r>
    <x v="92"/>
    <s v="Hull Irvine"/>
    <s v="CA"/>
    <s v="Alison"/>
    <s v="Email"/>
    <s v="Dahan, Eyal"/>
    <m/>
    <x v="0"/>
    <s v="Los Angeles "/>
    <x v="1"/>
    <m/>
    <x v="8"/>
    <x v="705"/>
    <x v="825"/>
    <s v="Prior losses"/>
    <s v="Insured has filed 6 claims since 2013 and is in current litigation with his current carrier."/>
    <x v="1"/>
    <m/>
    <m/>
    <m/>
    <s v="Patterson"/>
    <m/>
    <m/>
    <n v="1"/>
  </r>
  <r>
    <x v="449"/>
    <s v="Burns"/>
    <s v="MI"/>
    <s v="Leslie"/>
    <m/>
    <s v="Slate"/>
    <s v="Christopher"/>
    <x v="0"/>
    <s v="San Luis Obispo"/>
    <x v="1"/>
    <n v="93401"/>
    <x v="0"/>
    <x v="705"/>
    <x v="727"/>
    <s v="Losses"/>
    <s v="Two losses. One is included as oil/fuel leak but insured says it was a water leak. Water/leak was $81k. Another leak in June 2018 in one of the rooms."/>
    <x v="1"/>
    <s v="Losses are odd. First one is 2016. Clue says Liability and they say water leak. Then next loss is water leak and say all copper was replaced with PEX. "/>
    <m/>
    <m/>
    <s v="Lazovik"/>
    <m/>
    <m/>
    <n v="1"/>
  </r>
  <r>
    <x v="541"/>
    <s v="Burns"/>
    <s v="MI"/>
    <s v="Ben"/>
    <s v="Email"/>
    <s v="Sabankaya, Mustafa"/>
    <m/>
    <x v="0"/>
    <s v="Weed CA PC9"/>
    <x v="3"/>
    <m/>
    <x v="0"/>
    <x v="705"/>
    <x v="755"/>
    <s v="215 horses on prop/No prior ins"/>
    <s v="1900 home fully updated with additions and complete system upgrades in 2000. Insd has barn, shed, 215 horses. Agent is excluding all oth str and all liability."/>
    <x v="1"/>
    <s v="Approved subject to verif there is no hay within 25 feet of the dwelling. Also checked ins score due to lapse and it was decent."/>
    <s v="Received new info. There are 6 investors; never had insurance on the home; now getting a $1.75M loan and needs insurance on the home. Reviewed details of insurance score and don't feel comfortable.  Withdrew offer of terms."/>
    <m/>
    <s v="Patterson"/>
    <m/>
    <m/>
    <n v="1"/>
  </r>
  <r>
    <x v="150"/>
    <s v="Burns"/>
    <s v="MI"/>
    <s v="Jill"/>
    <s v="Email"/>
    <s v="Wisckol  BWH105463"/>
    <s v="Kim"/>
    <x v="16"/>
    <s v="Hope Valley"/>
    <x v="1"/>
    <m/>
    <x v="4"/>
    <x v="705"/>
    <x v="744"/>
    <s v="Response time"/>
    <s v="2016 risk in brush with resp time over 15 min. Renewal that was not referred at NB. Full sprinkler system in home w/direct alarm to FD. Insp shows no balusters (addressed), elec panel cover missing, WBS."/>
    <x v="3"/>
    <s v="Check on elec panel and wbs. Why not referred at NB?"/>
    <s v="Declined request for additional credit to decrease $972 renewal premium increase. KB 09/06/2017"/>
    <n v="27"/>
    <s v="Patterson"/>
    <m/>
    <m/>
    <n v="0"/>
  </r>
  <r>
    <x v="19"/>
    <s v="JM Wilson"/>
    <s v="MI"/>
    <s v="Cheryl"/>
    <s v="Email"/>
    <s v="Reynolds"/>
    <s v="James &amp; Cynthia"/>
    <x v="0"/>
    <s v="Polo"/>
    <x v="4"/>
    <m/>
    <x v="2"/>
    <x v="705"/>
    <x v="1027"/>
    <s v="High Profile"/>
    <s v="1881 build, historical registry and not sure if you consider a chicago cubs executor a high profile. Coverage A $800,000 Roof completed in 2006, home gutted in 1990, no losses, being canceled by Nationwide due to historical registry, just purchased in 12/17"/>
    <x v="3"/>
    <s v="Approved-confirmed no tours, no rebuild guidelines; subject to acceptable OHQ; profile not too high; no ornate features from photos in home"/>
    <m/>
    <m/>
    <s v="Burdine"/>
    <m/>
    <m/>
    <n v="0"/>
  </r>
  <r>
    <x v="724"/>
    <s v="Hull CA"/>
    <s v="Irvine"/>
    <s v="Alison"/>
    <s v="Email"/>
    <s v="Stuart, Sean"/>
    <m/>
    <x v="0"/>
    <s v="Calabasas"/>
    <x v="1"/>
    <m/>
    <x v="0"/>
    <x v="705"/>
    <x v="1028"/>
    <s v="Backdating"/>
    <s v="Insured requested bind on Saturday but agent's office was closed. Wanted bound 8/28. Hull received request on 8/29.  "/>
    <x v="3"/>
    <s v="Agreed to go back to 8/28 with statement of no loss, answer to Q8 on Pg 4 of application, and no fires."/>
    <m/>
    <m/>
    <s v="Patterson"/>
    <m/>
    <m/>
    <n v="0"/>
  </r>
  <r>
    <x v="776"/>
    <s v="Burns"/>
    <s v="MI"/>
    <s v="Delta"/>
    <s v="Email"/>
    <s v="Ryan, Ben"/>
    <m/>
    <x v="0"/>
    <s v="Calabasas"/>
    <x v="1"/>
    <m/>
    <x v="5"/>
    <x v="705"/>
    <x v="1028"/>
    <s v="High profile"/>
    <s v="Insured is Ben Ryan, Film Producer. Agent and UW googled and don't find any info online. 1959 home updated in 1980 in brush, alarms."/>
    <x v="4"/>
    <s v="Not too famous."/>
    <m/>
    <m/>
    <s v="Patterson"/>
    <m/>
    <m/>
    <n v="0"/>
  </r>
  <r>
    <x v="751"/>
    <s v="Burns"/>
    <s v="MI"/>
    <s v="Delta"/>
    <s v="Email"/>
    <s v="Lopez"/>
    <s v="John"/>
    <x v="0"/>
    <s v="Houston"/>
    <x v="23"/>
    <m/>
    <x v="0"/>
    <x v="705"/>
    <x v="955"/>
    <s v="Condition"/>
    <s v="Historic registry, primary residence rent out other structure for VRBO and AirBNB, and occasional weddings. Quoted with TBE and will confirm GL, 1905 build, full updates, no alarms"/>
    <x v="3"/>
    <s v="Subject to no tours of property; reviewed online and there isn't any info on tours or weddings"/>
    <m/>
    <m/>
    <s v="Burdine"/>
    <m/>
    <m/>
    <n v="0"/>
  </r>
  <r>
    <x v="430"/>
    <s v="SCU"/>
    <s v="CO"/>
    <s v="Allison"/>
    <m/>
    <s v="Reynolds"/>
    <s v="Mike &amp; Holly"/>
    <x v="0"/>
    <s v="Ramah"/>
    <x v="19"/>
    <s v="80832"/>
    <x v="4"/>
    <x v="705"/>
    <x v="1029"/>
    <s v="PC"/>
    <s v="1999 log home w/ metal roof. 1% wind/hail and cosmetic roof applied. PCQ shows 15 min response, but other info on the app indicates 20 min drive time + time for volunteer deployment. "/>
    <x v="1"/>
    <s v="High value &gt; 15 min response. Not comfortable."/>
    <m/>
    <m/>
    <s v="Patterson"/>
    <m/>
    <m/>
    <n v="1"/>
  </r>
  <r>
    <x v="777"/>
    <s v="Burns"/>
    <s v="MI"/>
    <s v="Jill"/>
    <s v="Email"/>
    <s v="Rubino, Maria"/>
    <m/>
    <x v="0"/>
    <s v="Oakhurst CA PC10"/>
    <x v="3"/>
    <m/>
    <x v="0"/>
    <x v="705"/>
    <x v="1030"/>
    <s v="PC10"/>
    <s v="1995 home in brush zone. 9.41 acres, 12 minute response, accessible."/>
    <x v="4"/>
    <m/>
    <m/>
    <m/>
    <s v="Patterson"/>
    <m/>
    <m/>
    <n v="0"/>
  </r>
  <r>
    <x v="584"/>
    <s v="Burns"/>
    <s v="MI"/>
    <s v="Danielle"/>
    <s v="Email"/>
    <s v="Pounders"/>
    <s v="Patrick"/>
    <x v="16"/>
    <s v="Menlo Park"/>
    <x v="1"/>
    <m/>
    <x v="6"/>
    <x v="705"/>
    <x v="1031"/>
    <s v="TIV"/>
    <s v="1976 home w/no updates. Roof exclusion. PC9 4 min response time, accessible. In brush."/>
    <x v="4"/>
    <s v="Agent asked for ERC. Per their chart we should not approve. Asked to advise if additional circumstances."/>
    <m/>
    <m/>
    <s v="Patterson"/>
    <m/>
    <m/>
    <n v="0"/>
  </r>
  <r>
    <x v="36"/>
    <s v="Burns"/>
    <s v="MI"/>
    <s v="David"/>
    <s v="Email"/>
    <s v="Lyras"/>
    <s v="Ruth"/>
    <x v="0"/>
    <s v="Kenwood"/>
    <x v="1"/>
    <m/>
    <x v="5"/>
    <x v="705"/>
    <x v="1032"/>
    <s v="Losses"/>
    <s v="1950 with full updates in 2015 PC 4; hydrant within 100 ft In a brush zone; smoke damage from wildfire loss. $200K paid, almost closed."/>
    <x v="3"/>
    <s v="claim and brush surcharge"/>
    <m/>
    <m/>
    <s v="Burdine"/>
    <m/>
    <m/>
    <n v="0"/>
  </r>
  <r>
    <x v="735"/>
    <s v="Burns"/>
    <s v="MI"/>
    <s v="Nicole"/>
    <m/>
    <s v="                            "/>
    <s v="John"/>
    <x v="0"/>
    <s v="Placer  "/>
    <x v="1"/>
    <s v="95722"/>
    <x v="3"/>
    <x v="706"/>
    <x v="1033"/>
    <s v="High Profile"/>
    <s v="2004 home in brush 87 score. $24K pipe break in 8/18. Claim closed. Agent providing proof as loss run says still open. Applying $25K water damage ded. Mold and backup requested. Insd is high profile former Indy Car racer, now ESPN broadcaster. Has home office but no exposure."/>
    <x v="3"/>
    <s v="Exclude mold. Backup ok since newer home and only one loss. Not too high profile. A ins score."/>
    <m/>
    <m/>
    <s v="Patterson"/>
    <m/>
    <m/>
    <n v="0"/>
  </r>
  <r>
    <x v="711"/>
    <s v="Burns"/>
    <s v="MI"/>
    <s v="Delta"/>
    <s v="Email"/>
    <s v="Forsythe, John &amp; Gwendolyn"/>
    <m/>
    <x v="0"/>
    <s v="Perkasie"/>
    <x v="2"/>
    <m/>
    <x v="3"/>
    <x v="707"/>
    <x v="987"/>
    <s v="Business in home"/>
    <s v="1995 frame home. Business in basement making microchips for model trains. 10 employees. No other foot traffic. Business policy in place. Liab requested."/>
    <x v="2"/>
    <s v="requested business info, equip used, verify no vendors/customers. Explained total business excl implications for in home business. Only offer x-liab."/>
    <m/>
    <m/>
    <s v="Patterson"/>
    <m/>
    <m/>
    <n v="0"/>
  </r>
  <r>
    <x v="778"/>
    <s v="Hull Stockton"/>
    <s v="CA"/>
    <s v="Lisa"/>
    <s v="Email"/>
    <s v="Dolan"/>
    <s v="Dan"/>
    <x v="0"/>
    <s v="Murrieta"/>
    <x v="1"/>
    <m/>
    <x v="4"/>
    <x v="708"/>
    <x v="966"/>
    <s v="PC10"/>
    <s v="2006 home low brush tile roof. UW question blank: &quot;Conv of fraud, bribery, arson&quot;. No UPQ"/>
    <x v="2"/>
    <s v="Need UPQ to determine response time and location details. If ok, subj to UW question. Online pics ok."/>
    <m/>
    <n v="23"/>
    <s v="Patterson"/>
    <m/>
    <m/>
    <n v="0"/>
  </r>
  <r>
    <x v="490"/>
    <s v="AmWINS"/>
    <s v="IL"/>
    <s v="Tasha"/>
    <m/>
    <s v="Benante"/>
    <s v="Charles"/>
    <x v="0"/>
    <s v="Long Grove"/>
    <x v="4"/>
    <s v="60047"/>
    <x v="2"/>
    <x v="708"/>
    <x v="18"/>
    <s v="High Profile"/>
    <s v="2004 home owned by the drummer of Anthrax. 2 prior losses 1/10/17 Burst pipe $17K, 3/1/19 water backup $5K. Both repaired and mitigated. $2500 ded quoted. Mold and backup quoted."/>
    <x v="2"/>
    <s v="No mold, no backup due to prior losses.  No liability due to high profile.  Discussed with JB."/>
    <s v=" "/>
    <m/>
    <s v="Patterson"/>
    <m/>
    <m/>
    <n v="0"/>
  </r>
  <r>
    <x v="215"/>
    <s v="Burns"/>
    <s v="MI"/>
    <s v="Matt"/>
    <s v="Email"/>
    <s v="Burton, Scott"/>
    <m/>
    <x v="16"/>
    <s v="Noblesville IN PC10"/>
    <x v="3"/>
    <m/>
    <x v="0"/>
    <x v="708"/>
    <x v="1034"/>
    <s v="PC10&gt;$1.5M"/>
    <s v="2012 frm/mv home w/full alarms. Secondary residence for insured who owns winery in Carmel. Home is on main road. We don't have the Unprotected questionnaire."/>
    <x v="4"/>
    <s v="Approved subject to an acceptable Unprotected Questionnaire."/>
    <m/>
    <m/>
    <s v="Patterson"/>
    <m/>
    <m/>
    <n v="0"/>
  </r>
  <r>
    <x v="311"/>
    <s v="Burns"/>
    <s v="MI"/>
    <s v="Leslie"/>
    <s v="Email"/>
    <s v="Newman, Todd"/>
    <m/>
    <x v="0"/>
    <s v="Cayucos, CA/PC 10"/>
    <x v="3"/>
    <m/>
    <x v="0"/>
    <x v="709"/>
    <x v="923"/>
    <s v="PC 10, Response time &gt;15 mins"/>
    <s v="No losses, PC questionnaire attached (20 min response time, FD 8 miles), high brush risk-brush cleared 200 feet but Oak trees all around property within 200 feet, ran insurance score-both very high."/>
    <x v="3"/>
    <s v="Approved with .50 premium bump if trees (including limbs) are appropriately cleared"/>
    <m/>
    <m/>
    <s v="K.Burdine"/>
    <m/>
    <m/>
    <n v="0"/>
  </r>
  <r>
    <x v="596"/>
    <s v="Burns"/>
    <s v="MI"/>
    <s v="Danielle"/>
    <s v="Email"/>
    <s v="Tuverson-Perkins"/>
    <s v="Leslie"/>
    <x v="0"/>
    <s v="Boulder"/>
    <x v="19"/>
    <m/>
    <x v="9"/>
    <x v="709"/>
    <x v="1035"/>
    <s v="Losses"/>
    <s v="2003 dwelling. Boat loss where drunk friend jumped off back of boat when son was backing up. Achilles injury. Policy paid limits and insured had to pay too. Insd still owns boat."/>
    <x v="3"/>
    <s v="X-liab if they still have boat.  If they sell, we can insure."/>
    <m/>
    <m/>
    <s v="Patterson"/>
    <m/>
    <m/>
    <n v="0"/>
  </r>
  <r>
    <x v="297"/>
    <s v="SCU"/>
    <s v="CO"/>
    <s v="Allison"/>
    <s v="Email"/>
    <s v="Malloy, Dan"/>
    <m/>
    <x v="16"/>
    <s v="Delta"/>
    <x v="19"/>
    <m/>
    <x v="6"/>
    <x v="710"/>
    <x v="1036"/>
    <s v="TIV/PC9"/>
    <s v="2004 home w/multiple structures on 193 acres. No liab - agent writing a farm liab pol for the acreage that is leased for neighbor to farm. FD 4.4 miles/10 min response. Accessible. Str include guest dwelling, rec room, garage, storage."/>
    <x v="4"/>
    <m/>
    <m/>
    <m/>
    <s v="Patterson"/>
    <m/>
    <m/>
    <n v="0"/>
  </r>
  <r>
    <x v="9"/>
    <s v="AmWINS"/>
    <s v="FL"/>
    <s v="Danielle"/>
    <m/>
    <s v="Jackson"/>
    <s v="Joseph"/>
    <x v="0"/>
    <s v="Davie"/>
    <x v="32"/>
    <s v="33331"/>
    <x v="2"/>
    <x v="711"/>
    <x v="1037"/>
    <s v="Prior Lapse/NRN"/>
    <s v="2005 home w/prior 2017 Irma loss - roof replacement just completed but prior carrier nonrenewed so there is a 30 day lapse."/>
    <x v="1"/>
    <s v="Discussed with Bethany. Due to agg going quickly we are being selective in tri-county area. Declined for prior loss, length of time to make repair, and lapse."/>
    <m/>
    <m/>
    <s v="Patterson"/>
    <m/>
    <m/>
    <n v="1"/>
  </r>
  <r>
    <x v="678"/>
    <s v="Burns"/>
    <s v="MI"/>
    <s v="Jill"/>
    <s v="Email"/>
    <s v="Demeuse"/>
    <s v="Steve"/>
    <x v="0"/>
    <s v="Stillwater"/>
    <x v="31"/>
    <m/>
    <x v="4"/>
    <x v="712"/>
    <x v="1038"/>
    <s v="PC"/>
    <s v="Primary, 1999 build, 2 losses (CAT and water), "/>
    <x v="3"/>
    <s v="Approved subj to repairs from 06/17 CAT loss. Response time acceptable (7 minutes)"/>
    <m/>
    <m/>
    <s v="Burdine"/>
    <m/>
    <m/>
    <n v="0"/>
  </r>
  <r>
    <x v="103"/>
    <s v="Hull Irvine"/>
    <m/>
    <s v="Alison"/>
    <s v="Email"/>
    <s v="The Barth Family Trust"/>
    <m/>
    <x v="0"/>
    <s v="San Clemente"/>
    <x v="1"/>
    <m/>
    <x v="0"/>
    <x v="713"/>
    <x v="0"/>
    <s v="Structure is a mobile home"/>
    <s v="Mobile home on permanent concrete foundation. Would we consider insuring as an HO-3."/>
    <x v="1"/>
    <s v="&quot;Once a mobile home, always a mobile home.&quot;"/>
    <m/>
    <m/>
    <s v="Patterson"/>
    <m/>
    <m/>
    <n v="1"/>
  </r>
  <r>
    <x v="102"/>
    <s v="Hull Irvine"/>
    <s v="CA"/>
    <s v="Alison"/>
    <s v="Email"/>
    <s v="Barth Family Trust"/>
    <m/>
    <x v="75"/>
    <s v="San Clemente"/>
    <x v="1"/>
    <m/>
    <x v="0"/>
    <x v="713"/>
    <x v="1039"/>
    <s v="Mobile home "/>
    <s v="This is a mobile home that has a concrete perimeter foundation (not slab foundation). "/>
    <x v="1"/>
    <s v="mobile home risk"/>
    <m/>
    <m/>
    <s v="Burdine"/>
    <m/>
    <m/>
    <n v="1"/>
  </r>
  <r>
    <x v="141"/>
    <s v="Hull Irvine"/>
    <m/>
    <s v="Kelly"/>
    <s v="Email"/>
    <s v="Shantz"/>
    <s v="Duncan"/>
    <x v="21"/>
    <s v="Running Springs"/>
    <x v="1"/>
    <m/>
    <x v="0"/>
    <x v="713"/>
    <x v="1039"/>
    <s v="Corporate Name"/>
    <s v="2012 home in name of insured and his development co name. He and wife are part of the LLC. Can home be written in corp name?"/>
    <x v="3"/>
    <s v="Ok if titled owner. Then w/prem liab only and no PI. Need answer to prior cancel/decl/nrn question.//8/4-prior decl is SL-2's. This is n/a! Green Constructor is a titled owner. Approved."/>
    <m/>
    <n v="26"/>
    <s v="Patterson"/>
    <m/>
    <m/>
    <n v="0"/>
  </r>
  <r>
    <x v="327"/>
    <s v="Hull Charlotte"/>
    <s v="NC"/>
    <s v="Whitney"/>
    <s v="Email"/>
    <s v="Lavington Hagood LLC"/>
    <s v="Lavington Hagood LLC"/>
    <x v="3"/>
    <s v="Green Pond"/>
    <x v="20"/>
    <m/>
    <x v="9"/>
    <x v="714"/>
    <x v="1040"/>
    <s v="Age of Home"/>
    <s v="age of home qualifies for modified functional replacement cost, just want replacement cost; quoted with slight surcharge"/>
    <x v="4"/>
    <s v="Discussed w/ MP agreed OK to offer as quoted"/>
    <m/>
    <m/>
    <s v="Burdine"/>
    <m/>
    <m/>
    <n v="0"/>
  </r>
  <r>
    <x v="418"/>
    <s v="Burns"/>
    <s v="MI"/>
    <s v="Jill"/>
    <m/>
    <s v="Boe"/>
    <s v="Scott"/>
    <x v="5"/>
    <s v="Colorado Springs"/>
    <x v="19"/>
    <s v="80906"/>
    <x v="8"/>
    <x v="715"/>
    <x v="1041"/>
    <s v="TIV"/>
    <s v="Home going on the market. Built in 1984, frame with fiberboard and brick veneer. Roof is under construction (tile getting replaced due to storm) CSA fire and burglar alarms."/>
    <x v="3"/>
    <s v="Agree with roof exclusion and water deductible of at least $5000 (pipe leak in 2015). Three CAT claims in last 4 years. 5% wind/hail puts roof replacement if needed (again) at a $40k deductible."/>
    <m/>
    <m/>
    <s v="Lazovik"/>
    <m/>
    <m/>
    <n v="0"/>
  </r>
  <r>
    <x v="608"/>
    <s v="Hull CO"/>
    <s v="PA"/>
    <s v="Nichole"/>
    <s v="Email"/>
    <s v="Rooney, John"/>
    <m/>
    <x v="6"/>
    <s v="Martha's Vineyard PC9"/>
    <x v="3"/>
    <m/>
    <x v="0"/>
    <x v="716"/>
    <x v="1042"/>
    <s v="COC "/>
    <s v="Asked more questions about this construction risk. It is mostly done. Interior left. With Lloyds now."/>
    <x v="4"/>
    <s v="Why moving from Lloyds? Time left? Current prem.  About 9 months left. Lloyds increased prem. We are coming in higher than Lloyds expiring. Nice home.  We offered 10% under renewal premium.  $5800-range."/>
    <m/>
    <m/>
    <s v="Patterson"/>
    <m/>
    <m/>
    <n v="0"/>
  </r>
  <r>
    <x v="161"/>
    <s v="Hull Irvine"/>
    <s v="CA"/>
    <s v="Alison"/>
    <s v="Email"/>
    <s v="Kappeler"/>
    <s v="Nan &amp; John"/>
    <x v="0"/>
    <s v="Huntington Beach "/>
    <x v="1"/>
    <m/>
    <x v="8"/>
    <x v="717"/>
    <x v="946"/>
    <s v="Open claim"/>
    <s v="2003 home nonrenewed by 21st Century due to 2 claims. 1 pipe burst. 1 open dog bite 8/2017."/>
    <x v="3"/>
    <s v="Blank answer to Q#8, confirm damage repaired."/>
    <m/>
    <n v="17"/>
    <s v="Patterson"/>
    <s v="X"/>
    <s v="Was the UW question answered?"/>
    <n v="0"/>
  </r>
  <r>
    <x v="248"/>
    <s v="Burns"/>
    <s v="MI"/>
    <s v="Leslie"/>
    <s v="Email"/>
    <s v="Estes, Kenneth"/>
    <m/>
    <x v="0"/>
    <s v="Acton CA PC9"/>
    <x v="3"/>
    <m/>
    <x v="0"/>
    <x v="718"/>
    <x v="109"/>
    <s v="TIV &gt;$1.5M PC10"/>
    <s v="2006 home in low brush. FD 10 min response. Online photos show very clear area. Odd configuration of potted plants - ask about business. Large garage and shop - confirm personal use."/>
    <x v="3"/>
    <s v="Approved subject to 20+ miles from any fire; all personal use - no business."/>
    <m/>
    <m/>
    <s v="Patterson"/>
    <m/>
    <m/>
    <n v="0"/>
  </r>
  <r>
    <x v="111"/>
    <s v="Burns"/>
    <s v="MI"/>
    <s v="Jill"/>
    <s v="Email"/>
    <s v="Lance, Brent"/>
    <m/>
    <x v="0"/>
    <s v="Big Bear City"/>
    <x v="1"/>
    <m/>
    <x v="9"/>
    <x v="718"/>
    <x v="1043"/>
    <s v="Other structure limit"/>
    <s v="2006 home with Barn, detached garage w/apt, car port, $60K 36 panel solar system. 6 acres, 6 horses - both personal use. Agt offering x-liability. In brush."/>
    <x v="3"/>
    <s v="You are approved to release terms subject to:_x000a_• Confirmation there is no rental in the apartment.  (If there is rental, we can probably approve and appropriate forms can be added. Just let me know.)_x000a_• I'm approving with no liability (x-liability).  However, if you want to make a case for it, I can reconsider.  Our guideline is 5 and they have 6.  If exposure is low and no concern about current or future breeding, boarding, riding lessons, or horse sales, we could consider.  To determine exposure, it would be helpful to know:_x000a_o How many people in the household_x000a_o Do friends/neighbors/other family members ride_x000a_o Frequency of riding_x000a_o Is there a fenced area on the property where the horses are kept_x000a_o Any large amounts of hay stored in buildings_x000a_o Any 4H or horse shows?  If there are, how often are the horses taken off the property?  _x000a_o Do they expect the number of horses to change?_x000a_"/>
    <s v="Provided acceptable responses to questions. Gave Ok for liab. K.Burdine"/>
    <m/>
    <s v="Patterson"/>
    <m/>
    <m/>
    <n v="0"/>
  </r>
  <r>
    <x v="663"/>
    <s v="Hull Irvine"/>
    <s v="CA"/>
    <s v="Michelle"/>
    <s v="Email"/>
    <s v="Ruecker"/>
    <s v="Lukas"/>
    <x v="1"/>
    <s v="Los Angeles"/>
    <x v="1"/>
    <m/>
    <x v="8"/>
    <x v="719"/>
    <x v="1044"/>
    <s v="TIV"/>
    <s v="Home will be remodeled over 6 months and insureds will reside there during the process. This is a frame home built in 1940 with CSA temp and burglary. The roof is tile. This is in a brush zone."/>
    <x v="1"/>
    <s v="Photos online show there are trees built into the decking and close to the home. I do not feel that 150' of defensible space will be possible without removing all of this."/>
    <m/>
    <m/>
    <s v="Lazovik"/>
    <m/>
    <m/>
    <n v="1"/>
  </r>
  <r>
    <x v="657"/>
    <s v="Hull Irvine"/>
    <s v="CA"/>
    <s v="Alex"/>
    <s v="Call/Email"/>
    <s v="Maconick"/>
    <s v="Rupert"/>
    <x v="0"/>
    <s v="Los Angeles"/>
    <x v="1"/>
    <m/>
    <x v="5"/>
    <x v="720"/>
    <x v="0"/>
    <s v="Lapse"/>
    <s v="2 month lapse. 1962 home. Insd owns an ad agency. He didn't pay renewal. "/>
    <x v="3"/>
    <s v="Signed no loss.  Ins Score is great."/>
    <m/>
    <n v="15"/>
    <s v="Patterson"/>
    <m/>
    <m/>
    <n v="0"/>
  </r>
  <r>
    <x v="25"/>
    <s v="Hull Horsham"/>
    <s v="PA"/>
    <s v="MacKenzie"/>
    <s v="Email"/>
    <s v="6905 Pleasure Ave "/>
    <s v="6905 Pleasure Ave"/>
    <x v="2"/>
    <s v="Sea Isle"/>
    <x v="9"/>
    <m/>
    <x v="3"/>
    <x v="720"/>
    <x v="989"/>
    <s v="Losses"/>
    <s v="1 loss, w/ Hull for 3 years-all damages repaired and inspection OK"/>
    <x v="3"/>
    <s v="ACV roof endorsement (1994 build-original roof)"/>
    <m/>
    <m/>
    <s v="Burdine"/>
    <m/>
    <m/>
    <n v="0"/>
  </r>
  <r>
    <x v="119"/>
    <s v="Burns"/>
    <s v="MI"/>
    <s v="Jill"/>
    <s v="Email"/>
    <s v="Pina, Luis &amp; Virginia"/>
    <m/>
    <x v="0"/>
    <s v="Alpine"/>
    <x v="1"/>
    <m/>
    <x v="4"/>
    <x v="720"/>
    <x v="1045"/>
    <s v="PC10"/>
    <s v="2008 home w/tile roof in brush. 12 min response time 7.6 mi to paid fire department. "/>
    <x v="4"/>
    <m/>
    <m/>
    <m/>
    <s v="Patterson"/>
    <m/>
    <m/>
    <n v="0"/>
  </r>
  <r>
    <x v="34"/>
    <s v="Hull Irvine"/>
    <s v="CA"/>
    <s v="Alison"/>
    <s v="Email"/>
    <s v="King"/>
    <s v="David"/>
    <x v="0"/>
    <s v="Malibu"/>
    <x v="1"/>
    <m/>
    <x v="0"/>
    <x v="721"/>
    <x v="18"/>
    <s v="TIV"/>
    <s v="Referred since we capped Malibu 90265. Referrals of PC1-7 non-brush only. This risk is in brush."/>
    <x v="1"/>
    <s v="Not writing any new brush exposed business in Malibu."/>
    <m/>
    <m/>
    <s v="Patterson"/>
    <m/>
    <m/>
    <n v="1"/>
  </r>
  <r>
    <x v="138"/>
    <s v="Hull Horsham"/>
    <m/>
    <s v="MacKenzie"/>
    <s v="Email"/>
    <s v="Patterson    63759621 "/>
    <s v="L. Ruth"/>
    <x v="16"/>
    <s v="Avalon"/>
    <x v="9"/>
    <m/>
    <x v="2"/>
    <x v="722"/>
    <x v="1046"/>
    <s v="EIFS"/>
    <s v="1993 EIFS home insured for 3 years no losses. Inspected in 2015 - EIFS identified. Beautiful online photos. Can we renew?"/>
    <x v="3"/>
    <s v="1997 is cutoff for water-managed (draining) EIFS. Advised we need a professional inspection to ensure good condition, no rot, no mold. Don't do without it. Hidden damage can occur."/>
    <m/>
    <n v="27"/>
    <s v="Patterson"/>
    <m/>
    <m/>
    <n v="0"/>
  </r>
  <r>
    <x v="547"/>
    <s v="Burns"/>
    <s v="MI"/>
    <s v="Rachel"/>
    <s v="Email"/>
    <s v="Rose Meadow Farm LLC"/>
    <s v="Rose Meadow Farm LLC"/>
    <x v="0"/>
    <m/>
    <x v="44"/>
    <m/>
    <x v="9"/>
    <x v="723"/>
    <x v="1047"/>
    <s v="Business on Premises"/>
    <s v="greenhouse on property, no marijuana, TBE applied,  Attached is a primary home built in NY. Built in 1952 of frame construction with full updates to heating, roofing, and plumbing in 2013, full updates to wiring in 1990. PC3, with no losses."/>
    <x v="3"/>
    <s v="GL and TBE in place"/>
    <m/>
    <m/>
    <s v="Burdine"/>
    <m/>
    <m/>
    <n v="0"/>
  </r>
  <r>
    <x v="587"/>
    <s v="Hull CA"/>
    <s v="Irvine"/>
    <s v="Alex"/>
    <s v="Call"/>
    <s v="Bofferding, Kevin"/>
    <m/>
    <x v="1"/>
    <s v="Orange"/>
    <x v="1"/>
    <m/>
    <x v="8"/>
    <x v="724"/>
    <x v="1048"/>
    <s v="Prior losses"/>
    <s v="High pressure pipe burst at street and shot at 45 degree angle into the house breaking window, blowing off roof, filling house w/debris, etc. Insured has been out of hours for 16 months, since 6/2015. National General is nonrenewing 10/23. Insured not moving in until 11/30 at least. Also had a $20K pipe break in 2004"/>
    <x v="4"/>
    <s v="Reviewed app, rating, loss history. Risk is basically brand new. Will be vacant with construction finishing up, moving in 11/30."/>
    <m/>
    <m/>
    <s v="Patterson"/>
    <m/>
    <m/>
    <n v="0"/>
  </r>
  <r>
    <x v="313"/>
    <s v="Burns"/>
    <s v="MI"/>
    <s v="Delta"/>
    <s v="Email"/>
    <s v="DeMare, Inez"/>
    <m/>
    <x v="0"/>
    <s v="Minneapolis"/>
    <x v="31"/>
    <m/>
    <x v="25"/>
    <x v="725"/>
    <x v="1049"/>
    <s v="Daycare in home"/>
    <s v="1919 home no info on updates. Prior NRN/Cancel - no info. In home daycare with 10 children. Agent quoting X-Liab."/>
    <x v="3"/>
    <s v="• Excluding liability (as quoted)_x000a_• Do not add form BWH0141_x000a_• Confirm there is a GL in place_x000a_• Home is 1919 - no update info - confirm acceptable updates_x000a_• App indicates prior cancel or nonrenewal - assume this is for the daycare.  If other reason, please let me know before binding._x000a_"/>
    <m/>
    <m/>
    <s v="Patterson"/>
    <m/>
    <m/>
    <n v="0"/>
  </r>
  <r>
    <x v="173"/>
    <s v="Hull Irvine"/>
    <s v="CA"/>
    <s v="Alison"/>
    <s v="Call/Email"/>
    <s v="Brant"/>
    <s v="Deborah"/>
    <x v="0"/>
    <s v="La Jolla"/>
    <x v="1"/>
    <m/>
    <x v="9"/>
    <x v="725"/>
    <x v="18"/>
    <s v="Prior loss"/>
    <s v="1962 home with prior losses. 2/1/2016 – wind damage to exterior and roof - $5,725; 6/11/2016 – theft – home burglarized $35,629;       1/3/2017 – water – bathroom plumbing - $7,511. Agent quoted w/$5K AOP and $10K wter damage. CS alarms added since burglary and insured keeps their items in a &quot;secret hiding spot&quot;. Asking to insure 3 watches totaling $36K. Need current appraisal on one of them. Declined by their stand alone market._x000a_"/>
    <x v="0"/>
    <s v="Numerous questions. Not sure if we can do since prior loss. May refer to Jamie Gregory.//agreed to issue//11/9/17 agent asked for 16% credit to match Lex. Declined, but offered to desk bind for 3 days."/>
    <m/>
    <m/>
    <s v="Patterson"/>
    <m/>
    <m/>
    <n v="0"/>
  </r>
  <r>
    <x v="615"/>
    <s v="Hull CA"/>
    <s v="CA"/>
    <s v="Alison"/>
    <s v="Email"/>
    <s v="Shorecliffs, LLC"/>
    <m/>
    <x v="134"/>
    <s v="Corona Del Mar"/>
    <x v="1"/>
    <m/>
    <x v="8"/>
    <x v="726"/>
    <x v="0"/>
    <s v="LLC/change in risk"/>
    <s v="Insured buying home, renting to seller for short time, then renovating, Agt proposing HO3-rental then switch to BR. LLC -Mohrhoff Family Trust, Roger A Mohrhoff, Trustee is the owner of Shorecliffs, LLC.  No other assets "/>
    <x v="3"/>
    <s v="approved subject to acceptable LLC questionaire as none attached"/>
    <m/>
    <m/>
    <s v="K.Burdine"/>
    <m/>
    <m/>
    <n v="0"/>
  </r>
  <r>
    <x v="506"/>
    <s v="Hull CA"/>
    <s v="Irvine"/>
    <s v="Alison"/>
    <s v="Email"/>
    <s v="Rokhsar"/>
    <m/>
    <x v="0"/>
    <s v="Los Angeles CA PC5"/>
    <x v="3"/>
    <m/>
    <x v="0"/>
    <x v="726"/>
    <x v="1050"/>
    <s v="Woodshake Roof"/>
    <s v="1949 home updated in 1993 w/woodshake roof. High brush zone. Agt says Larry approved in the past (??). Alarmed."/>
    <x v="2"/>
    <s v="Asked for more info on the approval as I'm pretty strict about 22 year old wood roof in a high brush zone."/>
    <m/>
    <m/>
    <s v="Patterson"/>
    <m/>
    <m/>
    <n v="0"/>
  </r>
  <r>
    <x v="328"/>
    <s v="Hull Irvine"/>
    <s v="CA"/>
    <s v="Kelly"/>
    <s v="Email"/>
    <s v="Messina"/>
    <s v="Paul &amp; Stephanie"/>
    <x v="0"/>
    <s v="Twain Harte"/>
    <x v="1"/>
    <m/>
    <x v="0"/>
    <x v="727"/>
    <x v="1051"/>
    <s v="Other UW Reason"/>
    <s v="Risk is over 20 miles from wildfire (Ferguson) that is now 82% contained"/>
    <x v="4"/>
    <s v="not aware of any internal restrictions that may have been put into place within your agency, but since it is over 20 miles away, you are able to move forward with this quote based on our guidelines. "/>
    <m/>
    <m/>
    <s v="Burdine"/>
    <m/>
    <m/>
    <n v="0"/>
  </r>
  <r>
    <x v="236"/>
    <s v="Hull CA"/>
    <s v="Stockton"/>
    <s v="Lisa"/>
    <s v="Email"/>
    <s v="Stewart, Scott"/>
    <m/>
    <x v="98"/>
    <s v="Palm Springs CA PC3"/>
    <x v="3"/>
    <m/>
    <x v="0"/>
    <x v="728"/>
    <x v="1052"/>
    <s v="Rate reduction"/>
    <s v="1935 home fully updated in 1991. Beautiful online photos. Agent quote $2860. Wants to get to $2300. Owner occupied is around $2500.  Can't do it.  Offered to proceed w/quoted rate w/answers to addl questions."/>
    <x v="2"/>
    <s v="• The insured is self employed.Verify no business at this location (storage, employees, etc.)_x000a_• The app indicates the home is for sale.  What is the situation?  How often is the insured coming to the home and how many days are they staying?_x000a_• Who manages the vacation rental?_x000a_"/>
    <m/>
    <m/>
    <s v="Patterson"/>
    <m/>
    <m/>
    <n v="0"/>
  </r>
  <r>
    <x v="47"/>
    <s v="Burns"/>
    <s v="MI"/>
    <s v="Leslie"/>
    <s v="Email"/>
    <s v="Heinrich"/>
    <s v="Robert"/>
    <x v="0"/>
    <s v="Racine"/>
    <x v="12"/>
    <m/>
    <x v="9"/>
    <x v="729"/>
    <x v="1053"/>
    <s v="Losses"/>
    <s v="Newly rebuilt dwelling. Large fire loss in 2016. Just completed renovations. Roof, electric, plumbing and heating all new in 2017."/>
    <x v="4"/>
    <s v="Reviewed fire report - due to lightning. Premium lower due to high insurance score. 1928 home has been completely updated due to the large fire loss"/>
    <m/>
    <m/>
    <s v="Lazovik"/>
    <m/>
    <m/>
    <n v="0"/>
  </r>
  <r>
    <x v="482"/>
    <s v="Hull CA"/>
    <s v="Irvine"/>
    <s v="Alison"/>
    <s v="Email"/>
    <s v="Corrao Fam Trust"/>
    <m/>
    <x v="1"/>
    <s v="Los Angeles CA PC4"/>
    <x v="3"/>
    <m/>
    <x v="0"/>
    <x v="730"/>
    <x v="853"/>
    <s v="Tail end construction"/>
    <s v="1938 home where construction started in March. Current carrier didn't know and nonrenewed eff 5/18. Elec, plumb, heat is done. Home will be owner occupied when complete."/>
    <x v="3"/>
    <s v="Approved subject to 10% surcharge if we can get it and still be competitive."/>
    <s v="Alison wrote back. We were already higher than Scottsdale, but we have a better valuation clause. She added 5% on."/>
    <m/>
    <s v="Patterson"/>
    <m/>
    <m/>
    <n v="0"/>
  </r>
  <r>
    <x v="329"/>
    <s v="Hull Stockton"/>
    <s v="CA"/>
    <s v="Lisa"/>
    <s v="Email"/>
    <s v="Scantlin"/>
    <s v="Mark &amp; Debra"/>
    <x v="0"/>
    <s v="Acton"/>
    <x v="1"/>
    <m/>
    <x v="8"/>
    <x v="730"/>
    <x v="947"/>
    <s v="Other UW Reason"/>
    <s v="new purchase, will have one personal horse, prior CAT loss from wildfire to prior property"/>
    <x v="3"/>
    <s v="As long as only 1 horse (Per photos, room for more) for personal use only, approved with animal liab. No need to surcharge prior cat loss"/>
    <m/>
    <m/>
    <s v="Burdine"/>
    <m/>
    <m/>
    <n v="0"/>
  </r>
  <r>
    <x v="779"/>
    <s v="Burns"/>
    <s v="MI"/>
    <s v="Danielle"/>
    <m/>
    <s v="Koethe"/>
    <s v="Scott"/>
    <x v="0"/>
    <s v="Elkhorn"/>
    <x v="38"/>
    <s v="68022"/>
    <x v="8"/>
    <x v="730"/>
    <x v="1054"/>
    <s v="Business on Premises"/>
    <s v="Insured has indoor basketball court and gym and is considering by appointment only training sessions.  GL is being obtained and will be in place"/>
    <x v="4"/>
    <s v="Approved dependent on GL in place and liability excluded on business use in gym"/>
    <m/>
    <m/>
    <s v="Jeff"/>
    <m/>
    <m/>
    <n v="0"/>
  </r>
  <r>
    <x v="412"/>
    <s v="Hull CA"/>
    <s v="Irvine"/>
    <s v="Alison"/>
    <s v="Email"/>
    <s v="Wenk, Robert"/>
    <m/>
    <x v="2"/>
    <s v="San Diego CA PC3"/>
    <x v="1"/>
    <m/>
    <x v="9"/>
    <x v="730"/>
    <x v="1055"/>
    <s v="Business on premises"/>
    <s v="2003 home with an avacado farm on prem. Insd has no GL. Has a company handling maintenance and harvesting. We have no Total Biz Excl on the DF."/>
    <x v="3"/>
    <s v="Approved subject to no liability and no other structures coverage. Asked all business on prem questions."/>
    <m/>
    <m/>
    <s v="Patterson"/>
    <m/>
    <m/>
    <n v="0"/>
  </r>
  <r>
    <x v="305"/>
    <s v="Hull CA"/>
    <s v="Irvine"/>
    <s v="Alex"/>
    <s v="Email"/>
    <s v="Parker, Michael"/>
    <m/>
    <x v="0"/>
    <s v="Woodland Hills"/>
    <x v="1"/>
    <m/>
    <x v="5"/>
    <x v="730"/>
    <x v="1055"/>
    <s v="Dog bite"/>
    <s v="1987 home updated. Insd lab/australian shep mix dog bit the gardener. Agt quoting with animal exclusion."/>
    <x v="4"/>
    <m/>
    <m/>
    <m/>
    <s v="Patterson"/>
    <m/>
    <m/>
    <n v="0"/>
  </r>
  <r>
    <x v="314"/>
    <s v="Burns"/>
    <s v="MI"/>
    <s v="Alexa"/>
    <s v="Email"/>
    <s v="Silkwood, Justin"/>
    <m/>
    <x v="0"/>
    <m/>
    <x v="1"/>
    <m/>
    <x v="6"/>
    <x v="730"/>
    <x v="1056"/>
    <s v="PC 9"/>
    <s v="Home was built in 2013, log (milled and_x000a_treated) , PC9, with a 5 minute response time, local alarm, no losses, fire sprinklers on roof. The home also has 2- 2500 gallon holding tanks and a 75,000 gallon pond next to the home_x000a_"/>
    <x v="3"/>
    <s v="Premium ok for risk, advised I noticed they are self-employed, so please just be sure that no business is being conducted on the premises."/>
    <m/>
    <m/>
    <s v="Burdine"/>
    <m/>
    <m/>
    <n v="0"/>
  </r>
  <r>
    <x v="378"/>
    <s v="SCU"/>
    <s v="CO"/>
    <s v="Allison"/>
    <m/>
    <s v="Pasko"/>
    <s v="Debbie &amp; Michard Mancuso"/>
    <x v="0"/>
    <s v="Evergreen "/>
    <x v="19"/>
    <s v="80439"/>
    <x v="9"/>
    <x v="730"/>
    <x v="1057"/>
    <s v="Losses"/>
    <s v="1999 home w/ prior fire loss. Boiler malfunctioned and caught on fire. $17K 3/25/17. C&amp;O report in file confirms. Insp says EIFS, but we allow EIFS/Stucco after 1997 per guidelines and it is only 15%. RCE=$744K. Cov A= $850K."/>
    <x v="3"/>
    <s v="Fire loss okay base on age of home and cause confirmed. EIFS/Stucco okay due to age of home and guidelines allow. Ins score confirms good risk. Need to confirm Cov A. Insp is from 8/17. Agt can confirm w/new insp."/>
    <s v="I ran ins scores = 825 &amp; 834."/>
    <m/>
    <s v="Patterson"/>
    <m/>
    <m/>
    <n v="0"/>
  </r>
  <r>
    <x v="188"/>
    <s v="Hull Irvine"/>
    <s v="CA"/>
    <s v="Alison"/>
    <s v="Email/Call"/>
    <s v="Hildebrand"/>
    <s v="Madison"/>
    <x v="0"/>
    <s v="Malibu"/>
    <x v="1"/>
    <m/>
    <x v="5"/>
    <x v="730"/>
    <x v="1058"/>
    <s v="Exception to cap"/>
    <s v="Malibu risk where agency has exceeded cap. Submitting for exception. 1959 home w/ some updates. RM is not in brush, but brush is within 500' (heavy). FireLine shows high 12 w/heavy fuel and med-heavy surrounding fuel."/>
    <x v="1"/>
    <s v="Too close to brushy area."/>
    <s v=" "/>
    <m/>
    <s v="Patterson"/>
    <m/>
    <m/>
    <n v="1"/>
  </r>
  <r>
    <x v="180"/>
    <s v="Burns"/>
    <s v="MI"/>
    <s v="Jill"/>
    <s v="Email"/>
    <s v="Peterson   BWH106983"/>
    <s v="Charles"/>
    <x v="0"/>
    <s v="Temecula "/>
    <x v="1"/>
    <m/>
    <x v="4"/>
    <x v="730"/>
    <x v="511"/>
    <s v="PC10"/>
    <s v="1977 home. No updates indicated. Online source shows stable, horses, corrals, guest house. 14 min response time per my check - FD is 7.6 miles away."/>
    <x v="3"/>
    <s v="Agent wants to renew. Reviewed details and they meet current requirements."/>
    <s v=" "/>
    <m/>
    <s v="Patterson"/>
    <m/>
    <m/>
    <n v="0"/>
  </r>
  <r>
    <x v="780"/>
    <s v="Burns"/>
    <s v="MI"/>
    <s v="Delta"/>
    <s v="Email"/>
    <s v="Peterson, Charles"/>
    <m/>
    <x v="0"/>
    <s v="Temecula "/>
    <x v="1"/>
    <m/>
    <x v="4"/>
    <x v="730"/>
    <x v="511"/>
    <s v="PC10"/>
    <s v="1977 home. No updates indicated. Online source shows stable, horses, corrals, guest house. 14 min response time per my check - FD is 7.6 miles away."/>
    <x v="3"/>
    <s v="Subj to roof exclusion (if roof not replaced), and investigate possible animal exposure, verify condition of other structures. Per Delta 12/2, no animals, structures ok. Roof is tile. "/>
    <m/>
    <m/>
    <s v="Patterson"/>
    <m/>
    <m/>
    <n v="0"/>
  </r>
  <r>
    <x v="739"/>
    <s v="Burns"/>
    <s v="MI"/>
    <s v="Jill"/>
    <s v="Email"/>
    <s v="Benson, Steve &amp; Darleene"/>
    <m/>
    <x v="0"/>
    <s v="Colfax"/>
    <x v="1"/>
    <m/>
    <x v="13"/>
    <x v="730"/>
    <x v="19"/>
    <s v="PC 9"/>
    <s v="Built in 1990, roof updated 2013, in brush zone, frame, no losses, RM, Unprotected questionnaire provided"/>
    <x v="4"/>
    <s v="Questionnaire OK, water tank on premises, response time OK. Declined use of discretionary credit due to PC and Brush"/>
    <m/>
    <m/>
    <s v="K.Burdine"/>
    <m/>
    <m/>
    <n v="0"/>
  </r>
  <r>
    <x v="531"/>
    <s v="ASL"/>
    <s v="VA"/>
    <s v="Charity"/>
    <s v="Email"/>
    <s v="Valk, Danielle"/>
    <m/>
    <x v="89"/>
    <s v="North Miami Beach, FL"/>
    <x v="3"/>
    <m/>
    <x v="0"/>
    <x v="731"/>
    <x v="1059"/>
    <s v="Prior water loss"/>
    <s v="2014 water loss, surcharged and $10K water ded"/>
    <x v="4"/>
    <s v="Approved with surcharge and water ded, as long as A/C unit (from prior claim) has been appropriately repaired"/>
    <s v="Agency received bind request for this per Charity."/>
    <m/>
    <s v="K.Burdine"/>
    <m/>
    <m/>
    <n v="0"/>
  </r>
  <r>
    <x v="105"/>
    <s v="Burns"/>
    <s v="MI"/>
    <s v="Delta"/>
    <s v="Email"/>
    <s v="Gitlin, Mimi Polk"/>
    <m/>
    <x v="0"/>
    <s v="Los Angeles"/>
    <x v="1"/>
    <m/>
    <x v="11"/>
    <x v="732"/>
    <x v="1060"/>
    <s v="High profile"/>
    <s v="1954 home w/partial updates. FRC applied. Insured is movie producer, Thelma &amp; Louisa and others prior to 2000."/>
    <x v="3"/>
    <s v="Subj to explanation of yes answer to business on premises. (Not too famous for full covg.)"/>
    <m/>
    <m/>
    <s v="Patterson"/>
    <m/>
    <m/>
    <n v="0"/>
  </r>
  <r>
    <x v="535"/>
    <s v="Burns"/>
    <s v="MI"/>
    <s v="Danielle"/>
    <s v="Email"/>
    <s v="Barnes, Larry"/>
    <m/>
    <x v="0"/>
    <s v="Georgetown CA  PC9"/>
    <x v="3"/>
    <m/>
    <x v="0"/>
    <x v="733"/>
    <x v="1061"/>
    <s v="PC9&gt;$1.5M"/>
    <s v="2006 frame home.  Alarms, no losses.  Google search shows the insureds business &quot;Larry Barnes Electric&quot; is at same property. Wife is employed w/business."/>
    <x v="0"/>
    <s v="Asked business questions and whether this qualifies for in-home business program."/>
    <s v="N/A for in-home business program.  Insured uses an outbuilding for business storage. Approved subject to no employees other than wife coming on premises, and asked Danielle to review outbuilding policy language. If it is excluded for coverage, we should exclude on the policy."/>
    <m/>
    <s v="Patterson"/>
    <m/>
    <m/>
    <n v="0"/>
  </r>
  <r>
    <x v="45"/>
    <s v="Burns"/>
    <s v="MI"/>
    <s v="David"/>
    <s v="Email"/>
    <s v="Lacy"/>
    <s v="Tom"/>
    <x v="2"/>
    <s v="Cornville"/>
    <x v="7"/>
    <m/>
    <x v="2"/>
    <x v="734"/>
    <x v="1062"/>
    <s v="Occupancy/Use"/>
    <s v="1997 nice dwelling with large barn, fenced area, treehouse. Agt proposed to exclude 90x47 pond/waterfall."/>
    <x v="3"/>
    <s v="Treehouses are ineligible in most of our programs. To exclude pond and to ensure no issue w/treehouse liab, exclude liab overall. Also Building Excl for treehouse. Confirm no farm, no biz, no animals. "/>
    <m/>
    <s v="Patterson"/>
    <s v="Patterson"/>
    <m/>
    <m/>
    <n v="0"/>
  </r>
  <r>
    <x v="576"/>
    <s v="Burns"/>
    <s v="MI"/>
    <s v="Rachel"/>
    <s v="Email"/>
    <s v="Deboard"/>
    <s v="Deardra"/>
    <x v="0"/>
    <s v="Alta"/>
    <x v="1"/>
    <m/>
    <x v="4"/>
    <x v="734"/>
    <x v="1063"/>
    <s v="PC"/>
    <s v="HO-3 primary home located in CA. Home was built in 2002 of frame construction, with no updates. PC10, in brush. No losses, local alarms"/>
    <x v="4"/>
    <s v="premium appropriate for 15 minute drive time; acceptable PCQ provided."/>
    <m/>
    <m/>
    <s v="Burdine"/>
    <m/>
    <m/>
    <n v="0"/>
  </r>
  <r>
    <x v="250"/>
    <s v="Hull CA"/>
    <s v="Stockton"/>
    <s v="Lisa"/>
    <s v="Email"/>
    <s v="Delaney, Karen"/>
    <m/>
    <x v="0"/>
    <s v="Los Gatos CA PC2"/>
    <x v="1"/>
    <m/>
    <x v="8"/>
    <x v="735"/>
    <x v="1064"/>
    <s v="Backdating"/>
    <s v="Retail agent sent request to bind eff 7/22/16. They sent it to the main agent in error instead of Hull. Lisa is asking for backdating. 1976 home updated. Online photos look very nice."/>
    <x v="3"/>
    <s v="Approved if it is going to be an issue  with a lender otherwise prefer current date. Asked Lisa to confirm Cov A as online photos look really nice."/>
    <m/>
    <m/>
    <s v="Patterson"/>
    <m/>
    <m/>
    <n v="0"/>
  </r>
  <r>
    <x v="399"/>
    <s v="Burns"/>
    <s v="MI"/>
    <s v="Delta"/>
    <s v="Email"/>
    <s v="Fulco"/>
    <s v="Frank Carl"/>
    <x v="0"/>
    <s v="Sedalia"/>
    <x v="19"/>
    <m/>
    <x v="4"/>
    <x v="736"/>
    <x v="1065"/>
    <s v="TIV"/>
    <s v="2003 brick veneer home with alarms. FD is 6.1 miles away. 10 min. Confirmed online."/>
    <x v="4"/>
    <m/>
    <m/>
    <n v="11"/>
    <s v="Patterson"/>
    <m/>
    <m/>
    <n v="0"/>
  </r>
  <r>
    <x v="292"/>
    <s v="Hull CO"/>
    <s v="Horsham"/>
    <s v="Andrea"/>
    <s v="Email"/>
    <s v="Parsons, Virginia"/>
    <m/>
    <x v="5"/>
    <s v="Cape Neddick"/>
    <x v="6"/>
    <m/>
    <x v="5"/>
    <x v="737"/>
    <x v="798"/>
    <s v="Vacant 3 terms"/>
    <s v="Agent wrote a vacant policy with us in 2013. It has renewed twice. Now they are checking to see if we will go a 4th term. Insured taken many measures to mitigate loss."/>
    <x v="3"/>
    <s v="Asked additional questions about winterizing, caretaker, etc. Email in file.  Everything sounds good. Issue outstanding is water pipes for heater. Insured has a temp alarm, and they are checking very regularly. Feel this mitigates loss.  Prem incr from $3308 to $4522 helps too."/>
    <m/>
    <m/>
    <s v="Patterson"/>
    <m/>
    <m/>
    <n v="0"/>
  </r>
  <r>
    <x v="122"/>
    <s v="Burns"/>
    <s v="MI"/>
    <s v="Jill"/>
    <s v="Email"/>
    <s v="Niemi, Nathan"/>
    <m/>
    <x v="1"/>
    <s v="Ann Arbor"/>
    <x v="8"/>
    <m/>
    <x v="0"/>
    <x v="738"/>
    <x v="0"/>
    <s v="Replace foundation"/>
    <s v="1939 home will be updated during reno. Adding 1200 SF addn and replace foundation. "/>
    <x v="3"/>
    <s v="1. Need construction site to be lighted and fenced. Replacing foundation could involve open hole? If they can't do this, offer X-liability  2. App says prior cancel because of &quot;remold&quot;. Thinking they mean remodel, but want to make sure this isn't a comment about mold."/>
    <m/>
    <m/>
    <s v="Patterson"/>
    <m/>
    <m/>
    <n v="0"/>
  </r>
  <r>
    <x v="115"/>
    <s v="Burns"/>
    <s v="MI"/>
    <s v="Leslie"/>
    <s v="Email"/>
    <s v="BBH Mountain Properties LLC"/>
    <m/>
    <x v="7"/>
    <s v="Blue River"/>
    <x v="19"/>
    <m/>
    <x v="6"/>
    <x v="738"/>
    <x v="914"/>
    <s v="Unknown (?)"/>
    <s v="Reviewed risk. Asked Leslie to let me know if I missed something, but this did not appear to be over her authority. 1972 risk w/FRC. PC9 since no hydrant. Quoting subj to older home quest. Confirming updates and getting LLC quest."/>
    <x v="4"/>
    <m/>
    <m/>
    <m/>
    <s v="Patterson"/>
    <m/>
    <m/>
    <n v="0"/>
  </r>
  <r>
    <x v="618"/>
    <s v="Burns"/>
    <s v="MI"/>
    <s v="Ben"/>
    <s v="Email"/>
    <s v="Goodman, Joel"/>
    <m/>
    <x v="38"/>
    <s v="Topanga CA PC4"/>
    <x v="3"/>
    <m/>
    <x v="0"/>
    <x v="738"/>
    <x v="1066"/>
    <s v="High profile"/>
    <s v="Joel Goodman-Composer; reviewed Google and he is well-established in career. Multiple compositions in film/music and awards, interviews with PBS. Nothing of concern insurance wise."/>
    <x v="4"/>
    <m/>
    <m/>
    <m/>
    <s v="K.Burdine"/>
    <m/>
    <m/>
    <n v="0"/>
  </r>
  <r>
    <x v="296"/>
    <s v="Hull CA"/>
    <s v="CA"/>
    <s v="Alison"/>
    <s v="Email"/>
    <s v="Nix,David &amp; Virginia "/>
    <m/>
    <x v="87"/>
    <s v="Tahoe City"/>
    <x v="1"/>
    <m/>
    <x v="5"/>
    <x v="739"/>
    <x v="18"/>
    <s v="Multiple Owners/Roof Type"/>
    <s v="Multiple owners (3 couples-fam members); secondary, rented 6 weeks; original wood roof; home listed for sale"/>
    <x v="3"/>
    <s v="agt rated as a Secondary/Rental and added the Rental Endorsement and Animal Excl to Tenants endorsement; no brush, roof exclusion attached; extra 10% for roof and home for sale. Approved, but requested additional 5-10% surcharge to acct for addtl owners if remain competitve"/>
    <m/>
    <m/>
    <s v="Burdine"/>
    <m/>
    <m/>
    <n v="0"/>
  </r>
  <r>
    <x v="475"/>
    <s v="Burns"/>
    <s v="MI"/>
    <s v="Jeffrey"/>
    <s v="Email"/>
    <s v="Sigridur Thorisdottirh"/>
    <m/>
    <x v="0"/>
    <s v="Sherman Oaks CA PC2"/>
    <x v="3"/>
    <m/>
    <x v="0"/>
    <x v="739"/>
    <x v="1067"/>
    <s v="High profile"/>
    <s v="Insured is actor and spouse is film producer. No adverse info. Covg A seems low $260 SF. Renie Brush area. 1942-updated all in 01."/>
    <x v="2"/>
    <s v="1. verify brush s/c applied and brush clearance ok (post insp)  2. re-run MSB w/ higher than standard constr."/>
    <m/>
    <m/>
    <s v="Patterson"/>
    <m/>
    <m/>
    <n v="0"/>
  </r>
  <r>
    <x v="532"/>
    <s v="Hull CA"/>
    <s v="Irvine"/>
    <s v="Bobbi"/>
    <s v="Email"/>
    <s v="Bubonic, Joseph"/>
    <m/>
    <x v="0"/>
    <s v="Newport Beach"/>
    <x v="1"/>
    <m/>
    <x v="8"/>
    <x v="740"/>
    <x v="1068"/>
    <s v="Prior losses"/>
    <s v="1972 home w/updates in 2001. Insured has water loss 8/16 $26,559. Agt applied $15K water damage ded. 2nd loss 7/25/16 Contamination $136,800. Was from mold-remediated and there is a certificate."/>
    <x v="0"/>
    <s v="OK w/$15k water ded, 15% addl s/c due to loss size, no mold coverage."/>
    <m/>
    <m/>
    <s v="Patterson"/>
    <m/>
    <m/>
    <n v="0"/>
  </r>
  <r>
    <x v="572"/>
    <s v="AmWINS"/>
    <s v="IL"/>
    <s v="Tasha"/>
    <m/>
    <s v="Mikesh"/>
    <s v="Lamote"/>
    <x v="4"/>
    <s v="Bismarck"/>
    <x v="43"/>
    <s v="58504"/>
    <x v="4"/>
    <x v="740"/>
    <x v="1069"/>
    <s v="TIV"/>
    <s v="2013 home 7 mi/11 minutes from paid FD. Straight shot. 2000' from hydrant. No alarms. Agt recommending CS fire/burglar (not required). Insd is Exec."/>
    <x v="3"/>
    <s v="Acceptable PC quest needed.  Appears this will be within 15 min. "/>
    <m/>
    <m/>
    <s v="Patterson"/>
    <m/>
    <m/>
    <n v="0"/>
  </r>
  <r>
    <x v="410"/>
    <s v="Burns"/>
    <m/>
    <s v="Danielle"/>
    <s v="Email"/>
    <s v="Arquette, Rosanna"/>
    <m/>
    <x v="8"/>
    <s v="Big Sur, CA"/>
    <x v="3"/>
    <m/>
    <x v="0"/>
    <x v="741"/>
    <x v="1070"/>
    <s v="High profile"/>
    <s v="Rosanna Arquette is an actress. Not concerned about her profile. Advised as long as there is proper brush clearance (surcharge is applicable), they may release terms."/>
    <x v="3"/>
    <m/>
    <m/>
    <m/>
    <s v="Trott"/>
    <m/>
    <m/>
    <n v="0"/>
  </r>
  <r>
    <x v="660"/>
    <s v="Hull CO"/>
    <s v="Horsham"/>
    <s v="Lisa"/>
    <s v="Email"/>
    <s v="Mimi Rose Design LLC"/>
    <m/>
    <x v="0"/>
    <m/>
    <x v="9"/>
    <m/>
    <x v="0"/>
    <x v="742"/>
    <x v="1071"/>
    <s v="$126K water loss"/>
    <s v="3/10/15 pipe froze and burst $126K loss. New pipes, heat monitor installed. $10K water damage ded added. 2005 home."/>
    <x v="3"/>
    <s v="Approved w/10% surcharge due to size of loss. Later got call from Lisa. The loss was due to a frozen pipe. Insd is also winterizing the home. Because of that we dropped the extra s/c and agreed to go with $2500 ded to help beat a Lloyds quote."/>
    <m/>
    <m/>
    <s v="Patterson"/>
    <m/>
    <m/>
    <n v="0"/>
  </r>
  <r>
    <x v="677"/>
    <s v="XS Brokers"/>
    <s v="MA"/>
    <s v="Brendan"/>
    <s v="Email"/>
    <s v="Reis"/>
    <s v="Jose"/>
    <x v="2"/>
    <s v="Shelton"/>
    <x v="25"/>
    <m/>
    <x v="0"/>
    <x v="743"/>
    <x v="1072"/>
    <s v="Losses"/>
    <s v="2 water damage claims in last 3.5 years, broken pipe, pipe replaced. Hot water leak, replaced. Updated plumbing in building"/>
    <x v="3"/>
    <s v="$2500 AOP ded, all repairs done"/>
    <m/>
    <m/>
    <s v="Burdine"/>
    <m/>
    <m/>
    <n v="0"/>
  </r>
  <r>
    <x v="201"/>
    <s v="SCU"/>
    <s v="CO"/>
    <s v="Allison"/>
    <s v="Email"/>
    <s v="Volk III, John"/>
    <m/>
    <x v="21"/>
    <s v="Westcliffe CO PC9"/>
    <x v="3"/>
    <m/>
    <x v="0"/>
    <x v="744"/>
    <x v="1073"/>
    <s v="Seacoast Rate"/>
    <s v="Built in 96. Metal roof. Other systems updated. Insd is a doctor. 10 min response. FD 2 miles away. Low brush. Seacoast=5670. Us=7006. Allison wants to match to win this skeptical agent. "/>
    <x v="4"/>
    <s v="Verify no farming. Sent thoughts back about matching vs. incr. She is adding cosmetic damage form. Will increase rate 5% each year per Allison."/>
    <m/>
    <m/>
    <s v="Patterson"/>
    <m/>
    <m/>
    <n v="0"/>
  </r>
  <r>
    <x v="101"/>
    <s v="Burns"/>
    <s v="MI"/>
    <s v="Delta"/>
    <s v="Email"/>
    <s v="Topping, Kelly"/>
    <m/>
    <x v="0"/>
    <s v="Greenwood"/>
    <x v="1"/>
    <m/>
    <x v="4"/>
    <x v="745"/>
    <x v="1074"/>
    <s v="TIV"/>
    <s v="2014 PC10 in brush. 15 min response per agent. No alarms. 260 acres 5 cows, 5-8 goats. Grazing only, no farming. WBS pipe in guest house photo. Google drive time=17 min 10.1 mi. Set back on property w/gated entrance. Volunteer and paid dept. Online shows business &quot;Gold Pan Funding&quot;-owner's message says now retired. Must be prev owner. 3720 SF = $237 SF Lodge style timber."/>
    <x v="3"/>
    <s v="5% surcharge for longer response time($440). WBS Quest. Verify Cov A."/>
    <m/>
    <m/>
    <s v="Patterson"/>
    <m/>
    <m/>
    <n v="0"/>
  </r>
  <r>
    <x v="170"/>
    <s v="Hull Irvine"/>
    <s v="CA"/>
    <s v="Alex"/>
    <s v="Call"/>
    <s v="4955 Marmol LLC"/>
    <m/>
    <x v="1"/>
    <m/>
    <x v="3"/>
    <m/>
    <x v="0"/>
    <x v="746"/>
    <x v="0"/>
    <s v="Prior loss"/>
    <s v="Prior owners had a total fire loss. Our applicant purchased the dwelling in the burned out condition and will be rebuilding it, ground up. "/>
    <x v="0"/>
    <s v="Confirm the applicant has no connection to prior owner. Order immediate inspection to ensure it is ground up construction./10/25 more info: the home is not burned to the ground. No idea what caused fire. We need a fire marshal report. Covg is not bound. Holding 10/13 eff date. Allow up to 30 days from that date with signed loss if we agree to write. 10/26 more info. Home changed hands a couple of times since loss (people renoing and then deciding not to.) Confirmed elec is off and will be fully replaced.  Asked agt to confirm no furnace issue and then ok to bind."/>
    <m/>
    <m/>
    <s v="Patterson"/>
    <m/>
    <m/>
    <n v="0"/>
  </r>
  <r>
    <x v="781"/>
    <s v="Hull Irvine"/>
    <s v="CA"/>
    <s v="Alison"/>
    <m/>
    <s v="Beachwood Canyon Properties LLC"/>
    <m/>
    <x v="0"/>
    <s v="Los Angeles"/>
    <x v="1"/>
    <s v="90026"/>
    <x v="2"/>
    <x v="746"/>
    <x v="1075"/>
    <s v="Other UW Reason"/>
    <s v="LLC formed by singer Elizabeth Grant (and sister Caroline Grant). Frame home built in 1911. Wondering if liability is ok given it is an LLC."/>
    <x v="4"/>
    <s v="Offering premises liability only. Home was recently restored"/>
    <m/>
    <m/>
    <s v="Lazovik"/>
    <m/>
    <m/>
    <n v="0"/>
  </r>
  <r>
    <x v="474"/>
    <s v="Burns"/>
    <s v="MI"/>
    <s v="Jill"/>
    <s v="Email"/>
    <s v="Pipkin, Byron"/>
    <m/>
    <x v="0"/>
    <s v="Auburn"/>
    <x v="1"/>
    <m/>
    <x v="6"/>
    <x v="747"/>
    <x v="1076"/>
    <s v="TIV"/>
    <s v="Currently written under BWD104350-tenant occupied. Insured will be moving in as primary residence. Brush. Insp ok."/>
    <x v="4"/>
    <m/>
    <m/>
    <m/>
    <s v="Patterson"/>
    <m/>
    <m/>
    <n v="0"/>
  </r>
  <r>
    <x v="89"/>
    <s v="Burns"/>
    <s v="CA"/>
    <s v="Jill"/>
    <s v="Email"/>
    <s v="SZIGETHY, Bela &amp; Alice"/>
    <m/>
    <x v="0"/>
    <s v="Lake Hopatcong"/>
    <x v="9"/>
    <m/>
    <x v="18"/>
    <x v="748"/>
    <x v="1077"/>
    <s v="20 minute response time in winter"/>
    <s v="Built in 2007, no losses, frame construction, 10 minute response time in summer months"/>
    <x v="3"/>
    <s v="Approval with a 10% surcharge"/>
    <m/>
    <m/>
    <s v="Burdine"/>
    <m/>
    <m/>
    <n v="0"/>
  </r>
  <r>
    <x v="600"/>
    <s v="Hull Irvine"/>
    <s v="CA"/>
    <s v="Bobbi"/>
    <s v="Email"/>
    <s v="Clements"/>
    <s v="Louise"/>
    <x v="0"/>
    <s v="Westlake Village"/>
    <x v="1"/>
    <m/>
    <x v="0"/>
    <x v="748"/>
    <x v="946"/>
    <s v="Losses"/>
    <s v="open liability claim (dog bite-Mastiff-insured son owns dog and still lives in house). 08/4/2017 loss date. "/>
    <x v="3"/>
    <s v="Discussed w/ MP, OK proceeding with animal exclusion"/>
    <m/>
    <m/>
    <s v="Burdine"/>
    <m/>
    <m/>
    <n v="0"/>
  </r>
  <r>
    <x v="39"/>
    <s v="Burns"/>
    <s v="MI"/>
    <s v="Jeffrey"/>
    <s v="Email"/>
    <s v="Vale"/>
    <s v="Keith"/>
    <x v="0"/>
    <s v="Mattawan"/>
    <x v="8"/>
    <m/>
    <x v="2"/>
    <x v="749"/>
    <x v="1078"/>
    <s v="Business on Premises"/>
    <s v="Attached is MI home looking for HO3, RC, with a &quot;C&quot; insurance score. Home built in 2009, PC5, they run in-home fitness classes in their basement 5 days a week, by appointment only. We would be adding the total business exclusion, and the operation has their own GL policy."/>
    <x v="4"/>
    <s v="approved as quoted"/>
    <m/>
    <m/>
    <s v="Burdine"/>
    <m/>
    <m/>
    <n v="0"/>
  </r>
  <r>
    <x v="325"/>
    <s v="Hull Irvine"/>
    <s v="CA"/>
    <s v="Bobbi"/>
    <s v="Email"/>
    <s v="Lipking"/>
    <s v="Jeremy &amp; Danielle"/>
    <x v="0"/>
    <s v="Agoura Hills"/>
    <x v="1"/>
    <m/>
    <x v="8"/>
    <x v="750"/>
    <x v="0"/>
    <s v="Losses"/>
    <s v="• 6/22/2013: Dog Bite – Insured’s pug bit someone at a prior address of the insured’s. They still own the dog. $41,257 paid out._x000a_• 11/12/2014: Water Damage – Pipe leak at prior address. $431,000 paid out._x000a_ _x000a_This home is a new purchase for the insured. However, the prior owner of this home also had a couple of losses (CLUE report attached) that are in subrogation. "/>
    <x v="3"/>
    <s v="Adv we'll need the animal liab exl form attached. Also asking for additional info on the big water loss- was it owner occ? Were they not home at the time? It's a pretty big loss for water. Also asking if there is any existing damage for the prior owner claims that are in subro."/>
    <m/>
    <m/>
    <s v="Trott"/>
    <m/>
    <m/>
    <n v="0"/>
  </r>
  <r>
    <x v="334"/>
    <s v="Quaker"/>
    <s v="MA"/>
    <s v="Austin"/>
    <s v="Email"/>
    <s v="Conigliaro"/>
    <s v="Douglas &amp; Carla"/>
    <x v="4"/>
    <s v="Boston"/>
    <x v="21"/>
    <m/>
    <x v="0"/>
    <x v="750"/>
    <x v="1079"/>
    <s v="Prior Lapse/NRN"/>
    <s v="Insured is owner of a pharmacy that had a major suit issue. Insured found moving their personal funds and was fined (no jail). Chubb NRN'd"/>
    <x v="3"/>
    <s v="Reviewed w/ Jeff.  1/4/18 approval email in Quaker file from Jeff &quot;Financial fraud charges with minimal fines from what I read - if the insureds aren't in dire financial trouble because of the charges, then I wouldn't be completely opposed to it.&quot; Approved subject to 15% surcharge on total prem."/>
    <s v="I ran insurance score on as many applicants as possible.  713 and 710 scores - okay."/>
    <m/>
    <s v="Patterson"/>
    <m/>
    <m/>
    <n v="0"/>
  </r>
  <r>
    <x v="11"/>
    <s v="Burns"/>
    <s v="MI"/>
    <s v="Jill"/>
    <s v="Email"/>
    <s v="Evans"/>
    <s v="Keith"/>
    <x v="0"/>
    <s v="Henderson"/>
    <x v="39"/>
    <m/>
    <x v="9"/>
    <x v="751"/>
    <x v="1080"/>
    <s v="TIV"/>
    <s v="Primary, c/s alarm, no losses, sanctuary on prop-http://lionhabitatranch.org/  Per app 42 lions, Emu, ostrich, 4 presa canarios and cane corsos. Clear separation from home per inspection (large fences); quoted x-liab"/>
    <x v="1"/>
    <s v="Exposure too high w/ so many exposures, even w/ x-liab. Also, foot traffic, animals, sanctuary essentially &quot;closing off&quot; two sides of the home in the event of an emergency, etc cause concern for prop coverages as well"/>
    <s v="Discussed with LT."/>
    <m/>
    <s v="Burdine"/>
    <m/>
    <m/>
    <n v="1"/>
  </r>
  <r>
    <x v="571"/>
    <s v="Burns"/>
    <m/>
    <s v="Danielle"/>
    <s v="Email"/>
    <s v="Wiedenfeld, John"/>
    <m/>
    <x v="89"/>
    <s v="Alpine, CA/PC10"/>
    <x v="3"/>
    <m/>
    <x v="0"/>
    <x v="752"/>
    <x v="1081"/>
    <s v="PC10/over 1.5m TIV"/>
    <s v="Ran FL, came back as a 5 (high), light fuels and moderate slope.  Good response time, roads, accessible."/>
    <x v="4"/>
    <m/>
    <m/>
    <m/>
    <s v="Patterson"/>
    <m/>
    <m/>
    <n v="0"/>
  </r>
  <r>
    <x v="27"/>
    <s v="Hull Irvine"/>
    <s v="CA"/>
    <s v="Alison"/>
    <s v="Email"/>
    <s v="Contreras"/>
    <s v="Meliton"/>
    <x v="1"/>
    <s v="Montello"/>
    <x v="1"/>
    <m/>
    <x v="0"/>
    <x v="753"/>
    <x v="0"/>
    <s v="Losses"/>
    <s v="New build with a tenant dwelling on the same property. Prior losses = fire loss/total due to elec malfunction of heat lamp in garage used with their pet gecko. Will get fire marshal report. Also had 12/16 broken copper pipe loss in owned unit and another $4k water loss in tenant unit."/>
    <x v="4"/>
    <s v="It is challenging for them to get fire marshal reports to release a quote.  Agreed to provide at time of binding. We can always decline then. Agreed to allow oth str rented to others form for the rental dwelling."/>
    <m/>
    <m/>
    <s v="Patterson"/>
    <m/>
    <m/>
    <n v="0"/>
  </r>
  <r>
    <x v="268"/>
    <s v="Hull CO"/>
    <s v="Charlotte"/>
    <s v="Karen"/>
    <s v="Email"/>
    <s v="Peuma, Inc"/>
    <m/>
    <x v="1"/>
    <s v="Charleston"/>
    <x v="20"/>
    <m/>
    <x v="9"/>
    <x v="753"/>
    <x v="12"/>
    <s v="Waive minimum earned"/>
    <s v="Agent quoted 25% minimum earned on a builders risk and wanted to waive it as project will be completed shortly after renewal of a 3 month pol. Was an annual since May 2015. "/>
    <x v="1"/>
    <s v="Advised agent that 25% was a misquote - should have been 100. The 25% will stand. Previously discussed this on another risk that I sent her a copy of."/>
    <m/>
    <m/>
    <s v="Patterson"/>
    <m/>
    <m/>
    <n v="1"/>
  </r>
  <r>
    <x v="768"/>
    <s v="Hull Irvine"/>
    <m/>
    <s v="Bobbi"/>
    <s v="Email"/>
    <s v="Fein, Kenneth"/>
    <m/>
    <x v="5"/>
    <s v="Calabasas"/>
    <x v="1"/>
    <m/>
    <x v="8"/>
    <x v="753"/>
    <x v="647"/>
    <s v="Prior losses"/>
    <s v="1970 home fully alarmed. Was mother's home. Prior losses found on A+ related to residence location. One was that the insd was visiting mother and fell hit her head. Ins paid what med didn't. Another was AC leaked and got carpet wet. Call to ins only, no claim filed.  Good insurance scores."/>
    <x v="4"/>
    <s v="no surcharge for losses."/>
    <m/>
    <m/>
    <s v="Patterson"/>
    <m/>
    <m/>
    <n v="0"/>
  </r>
  <r>
    <x v="365"/>
    <s v="AmWINS"/>
    <s v="NH"/>
    <s v="Kyle"/>
    <m/>
    <s v="Dostal "/>
    <s v="Susan &amp; Ralph F Jr"/>
    <x v="0"/>
    <s v="Vineyard Haven"/>
    <x v="21"/>
    <s v="02568"/>
    <x v="5"/>
    <x v="753"/>
    <x v="880"/>
    <s v="Losses"/>
    <s v="2005 home w/ prior $100K water damage loss from burst pipe in 2018. No mold quoted. Water backup quoted. Claim closed. All Damage repaired. Agt looking to stay with the quoted rate to beat competition."/>
    <x v="0"/>
    <s v="Good risk, one loss. Newer. Ok'd with $10K water ded and require inspection for proper insulation. Allowed water backup since newer home and loss unrelated. Agt was competing w/prior carrier and wanted to help them win."/>
    <s v="Reviewed with John. Approval in file."/>
    <m/>
    <s v="Patterson"/>
    <m/>
    <m/>
    <n v="0"/>
  </r>
  <r>
    <x v="710"/>
    <s v="Hull Irvine"/>
    <m/>
    <s v="Alex"/>
    <s v="Email"/>
    <s v="Fermanyan, Minas"/>
    <m/>
    <x v="0"/>
    <s v="Burbank"/>
    <x v="1"/>
    <m/>
    <x v="0"/>
    <x v="753"/>
    <x v="1082"/>
    <s v="Open Claim"/>
    <s v="Insured had a prior smoke damage from brush fire claim and has an open liab claim from tenant falling on stairs. These are both at 1 of 3 insured rental properties. Agent will surcharge on the home property for these 2. Advised we don't want to do any rentals. Asked about business at this addr that I found via google &quot;Grigor's Key Service&quot;."/>
    <x v="2"/>
    <s v="Business at prop? What caused claimant to fall? Anything negligent on insd part?"/>
    <m/>
    <m/>
    <s v="Patterson"/>
    <m/>
    <m/>
    <n v="0"/>
  </r>
  <r>
    <x v="647"/>
    <s v="Burns"/>
    <s v="MI"/>
    <s v="Jill"/>
    <s v="Email"/>
    <s v="Boyett"/>
    <s v="Andrew"/>
    <x v="0"/>
    <s v="Dallas"/>
    <x v="23"/>
    <m/>
    <x v="0"/>
    <x v="753"/>
    <x v="18"/>
    <s v="Business on Premises"/>
    <s v="1989 dwelling w/ updates. Wife does 1 on 1 swim lessons in the backyard pool. Many precautions in place and a GL."/>
    <x v="3"/>
    <s v="TBE, pool exclusion.  Liability ok."/>
    <m/>
    <m/>
    <s v="Patterson"/>
    <m/>
    <m/>
    <n v="0"/>
  </r>
  <r>
    <x v="18"/>
    <s v="Burns"/>
    <s v="MI"/>
    <s v="Jill"/>
    <s v="Email"/>
    <s v="Smith"/>
    <s v="Bob"/>
    <x v="0"/>
    <m/>
    <x v="1"/>
    <m/>
    <x v="13"/>
    <x v="753"/>
    <x v="1055"/>
    <s v="TIV"/>
    <s v="Built in 2007, frame, primary, 8B, in brush, no losses, located in CA"/>
    <x v="4"/>
    <s v="subject to confirmation of the wood burning stove being professionally installed.. However, from the PC questionnaire, this property is over 5 miles from the fire department. If that is in fact correct, it would need to be rated as a PC 10. If it is in fact within 5 miles, then please be sure that you use PC 9 rates for the 8B assignment"/>
    <m/>
    <m/>
    <s v="Burdine"/>
    <m/>
    <m/>
    <n v="0"/>
  </r>
  <r>
    <x v="694"/>
    <s v="Burns"/>
    <s v="MI"/>
    <s v="Matt"/>
    <s v="Email"/>
    <s v="Everett, Davis"/>
    <m/>
    <x v="21"/>
    <s v="Middletown CA PC10"/>
    <x v="3"/>
    <m/>
    <x v="0"/>
    <x v="753"/>
    <x v="1055"/>
    <s v="PC10 TIV"/>
    <s v="1990 No alarm/visible to neighbors. Gravel road. 5 mi 12 min response time"/>
    <x v="1"/>
    <s v="Decline due to PC10 gravel road, no alarm. Matt came back asking if they installed alarm would we do it. Discussed w/Louisa. I called Fire Marshall Dave Minsch 707-533-7129. Left message, called twice after. No reply. (Condition year round of road, any part paved, response time?)"/>
    <m/>
    <m/>
    <s v="Patterson"/>
    <m/>
    <m/>
    <n v="1"/>
  </r>
  <r>
    <x v="148"/>
    <s v="Hull Stockton"/>
    <s v="CA"/>
    <s v="Lisa"/>
    <s v="Email"/>
    <s v="Dehqanzada"/>
    <s v="Aria &amp; Jennifer"/>
    <x v="0"/>
    <s v="Shingle Springs"/>
    <x v="1"/>
    <m/>
    <x v="6"/>
    <x v="753"/>
    <x v="1083"/>
    <s v="TIV"/>
    <s v="2015 home in brush w/tile roof. Online pics look good. No UPQ. "/>
    <x v="3"/>
    <s v="Acceptable UPQ and drive time &lt;15 min by paid FD."/>
    <m/>
    <n v="19"/>
    <s v="Patterson"/>
    <m/>
    <m/>
    <n v="0"/>
  </r>
  <r>
    <x v="737"/>
    <s v="Burns NC"/>
    <s v="NC"/>
    <s v="Anella"/>
    <s v="Email"/>
    <s v="Jackson, Anthony"/>
    <m/>
    <x v="0"/>
    <s v="Southern Shores"/>
    <x v="11"/>
    <m/>
    <x v="5"/>
    <x v="753"/>
    <x v="1084"/>
    <s v="Underground fuel tank"/>
    <s v="2017 build, underground fuel tank in use. 5000 AOP ded, "/>
    <x v="3"/>
    <s v="Approved subject to confirmation of professional installation of tank, and detectors. Propane tank, not oil. Agt confirmed 03/31 that propane unit professionally installed and has detectors. Agt already had a bind request in office. New build"/>
    <s v=" *note: discussed w/ agent that &quot;additional considerations characteristics&quot; are actually considered ineligible. Exception approved by L.Trott"/>
    <m/>
    <s v="Burdine"/>
    <m/>
    <m/>
    <n v="0"/>
  </r>
  <r>
    <x v="282"/>
    <s v="Burns"/>
    <s v="MI"/>
    <s v="Delta"/>
    <s v="Email"/>
    <s v="Sullivan, Michael"/>
    <m/>
    <x v="21"/>
    <s v="Pioneer"/>
    <x v="1"/>
    <m/>
    <x v="6"/>
    <x v="753"/>
    <x v="1084"/>
    <s v="TIV"/>
    <s v="2006 home in PC9 in brush no alarms. 2.2 miles away with some dirt road.  6 minute response time. Accessible, visible to neighbors. Nice online photos"/>
    <x v="3"/>
    <s v="Subj to completed woodstove questionnaire."/>
    <m/>
    <m/>
    <s v="Patterson"/>
    <m/>
    <m/>
    <n v="0"/>
  </r>
  <r>
    <x v="253"/>
    <s v="Burns"/>
    <s v="MI"/>
    <s v="Ben "/>
    <s v="Email"/>
    <s v="Gilbeau, Robert"/>
    <m/>
    <x v="0"/>
    <s v="Murphys CA PC9"/>
    <x v="1"/>
    <m/>
    <x v="6"/>
    <x v="753"/>
    <x v="1030"/>
    <s v="TIV&gt;$1.5M"/>
    <s v="1994 home frame, no alarms, 1 loss - tree damage from storm $2200. 60 acres personal use. PC quest ok. Sprinklers. Pool w/board. Found adverse online information for individual with same name. Ins score pretty much confirms. (High ranking Navy Admiral in bribery scandal)"/>
    <x v="1"/>
    <s v="Declined.  (Outstanding issues - where home sits on 60 acres and if accessible by FD. Pool excl due to board)"/>
    <m/>
    <m/>
    <s v="Patterson"/>
    <m/>
    <m/>
    <n v="1"/>
  </r>
  <r>
    <x v="240"/>
    <s v="Burns"/>
    <s v="MI"/>
    <s v="Leslie"/>
    <s v="Email"/>
    <s v="Scott, Timothy"/>
    <m/>
    <x v="0"/>
    <s v="Berry Creek CA PC9"/>
    <x v="3"/>
    <m/>
    <x v="0"/>
    <x v="753"/>
    <x v="1085"/>
    <s v="TIV&gt;$1.5M "/>
    <s v="2016 home on 40 acres. Med brush. 1.2 miles/6 min from FD. Paved. Mix of volunteer/paid FD. No farming or business on 40 acres."/>
    <x v="3"/>
    <s v="Approved subject to woodstove quest and verif of how dwelling is situated on property - near the front, accessible by fire trucks."/>
    <m/>
    <m/>
    <s v="Patterson"/>
    <m/>
    <m/>
    <n v="0"/>
  </r>
  <r>
    <x v="570"/>
    <s v="SCU"/>
    <s v="CO"/>
    <s v="Allison"/>
    <m/>
    <s v="O'Neil"/>
    <s v="Kevin &amp; Lisa"/>
    <x v="0"/>
    <s v="Parma"/>
    <x v="45"/>
    <s v="83660"/>
    <x v="6"/>
    <x v="753"/>
    <x v="1086"/>
    <s v="Other UW Reason"/>
    <s v="Referred due to PC 9 over $1.5M and BMX track on property. Lloyds is mo longer offering liability after 3 years of loss free, due to BMX track. There also is a go-cart track, golf driving range and pool on premises. Detached garage has about 10-15 dirt bikes lined up in it along with a handful of go-carts. In a remote area, so they said there shouldn't be concern of trespassers coming to the property.  2001 year built, inspection provided shows property to be in good condition. "/>
    <x v="3"/>
    <s v="Advised we would be willing to approve only with excluding liability, due to BMX track, unfenced pool and driving range. Also, there was a note about responding FD being over 5 miles, and if that was the case they need to rate as PC 10."/>
    <m/>
    <m/>
    <s v="Busse"/>
    <m/>
    <m/>
    <n v="0"/>
  </r>
  <r>
    <x v="172"/>
    <s v="Burns"/>
    <s v="CA"/>
    <s v="Jill"/>
    <s v="Email"/>
    <s v="Heidt"/>
    <s v="Frederick"/>
    <x v="16"/>
    <s v="Lenoir"/>
    <x v="11"/>
    <m/>
    <x v="6"/>
    <x v="753"/>
    <x v="109"/>
    <s v="PC"/>
    <s v="Quoted as a PC 9, Frame, secondary, built in 2015, no losses, located in NC, 15-16 minute response time, FD 6.4 miles away"/>
    <x v="3"/>
    <s v="approval to offer terms on this risk, however it must be rated as a PC 10 since the fire department is over 5 miles from the property."/>
    <m/>
    <m/>
    <s v="Burdine"/>
    <m/>
    <m/>
    <n v="0"/>
  </r>
  <r>
    <x v="749"/>
    <s v="Hull CA"/>
    <s v="CA"/>
    <s v="Melissa"/>
    <s v="Email"/>
    <s v="Moshin"/>
    <m/>
    <x v="0"/>
    <s v="Healdsburg CA PC10"/>
    <x v="3"/>
    <m/>
    <x v="0"/>
    <x v="753"/>
    <x v="124"/>
    <s v="Vineyard"/>
    <s v="2015 brush, 114 acres w/leased vineyard."/>
    <x v="2"/>
    <s v="Questions on PC10 and vineyard business"/>
    <m/>
    <m/>
    <s v="Patterson"/>
    <m/>
    <m/>
    <n v="0"/>
  </r>
  <r>
    <x v="712"/>
    <s v="Burns"/>
    <s v="MI "/>
    <s v="Ben"/>
    <s v="Email"/>
    <s v="Dollar, Tim"/>
    <m/>
    <x v="16"/>
    <s v="Osceola MO PC10"/>
    <x v="3"/>
    <m/>
    <x v="0"/>
    <x v="753"/>
    <x v="1087"/>
    <s v="20 min response"/>
    <s v="2005 frme home. Has CS fire/burglar and sprinkler system. 20 min response from volunteer FD with 10 responders during the day and 17 at night. Quest indicates gate barrier (need info). There are 2 other responding FD's further away. $5K AOP and $10K Water backup ded's."/>
    <x v="3"/>
    <s v="Approved subject to acceptable info about the gate."/>
    <m/>
    <m/>
    <s v="Patterson"/>
    <m/>
    <m/>
    <n v="0"/>
  </r>
  <r>
    <x v="39"/>
    <s v="Burns"/>
    <s v="MI"/>
    <s v="Leslie"/>
    <s v="Email"/>
    <s v="Sweitzer Properties LLC"/>
    <s v="Sweitzer Properties LLC"/>
    <x v="6"/>
    <s v="Wilmette"/>
    <x v="4"/>
    <m/>
    <x v="0"/>
    <x v="754"/>
    <x v="1088"/>
    <s v="Losses"/>
    <s v="1928 build, LLC for tax purposes, company cancellation due to claims. 08/27/2018 open water loss, home was vacant, not checked on, so damages extensive. Now, insured lives nearby and check home frequently. Current pay out is $501,000. Still open"/>
    <x v="1"/>
    <s v="to avoid risks that have an open claim--particularly an open water claim. Water claims can be quite extensive, and it is common for hidden damages and other issues to be revealed after repairs are well under-way. As such, we do need to wait until the claim is actually closed. Once the claim is closed, and the repairs are complete, we could consider as it sounds that they have put appropriate mitigation measures in place."/>
    <m/>
    <m/>
    <s v="Burdine"/>
    <m/>
    <m/>
    <n v="1"/>
  </r>
  <r>
    <x v="239"/>
    <s v="Hull CA"/>
    <s v="Irvine"/>
    <s v="Alison"/>
    <s v="Email"/>
    <s v="Wagner, Laurie"/>
    <m/>
    <x v="0"/>
    <s v="Ramona CA PC?"/>
    <x v="3"/>
    <m/>
    <x v="0"/>
    <x v="755"/>
    <x v="1089"/>
    <s v="Business on prop"/>
    <s v="2007 home on 10 acres. Insured has vineyard and winery on prem.  Lots of questions to agents to see if our exclusion would hold.  Leaning toward it probably not being something we want due to the winery. May consider x-liabilty if we can feel comfortable with the property being separated from the business."/>
    <x v="2"/>
    <m/>
    <m/>
    <m/>
    <s v="Patterson"/>
    <m/>
    <m/>
    <n v="0"/>
  </r>
  <r>
    <x v="153"/>
    <s v="Burns"/>
    <s v="MI"/>
    <s v="Jill"/>
    <s v="Email"/>
    <s v="Smith"/>
    <s v="Nathan  "/>
    <x v="0"/>
    <s v="Malibu"/>
    <x v="1"/>
    <m/>
    <x v="6"/>
    <x v="756"/>
    <x v="1090"/>
    <s v="TIV"/>
    <s v="1986 home w/updates, roof in 2009 per app. 12 min drive time by paid FD confirmed via google. PCQ says 100' brush clearance. Google search shows some kind of business at address. This appears to be new purchase per nice online info and pics."/>
    <x v="3"/>
    <s v="• A favorable HO Acord app PRIOR to binding - confirming no lapse, no losses, occupation, etc. (as you noted)_x000a_• Confirmation of 150' brush clearance (PCQ says 100')_x000a_• Please obtain details and refer back for review if there is a business on the property.  I found info about some kind of business at this address when I was reviewing the risk online:  https://www.google.com/search?q=+calamity+malibu+ca&amp;oq=+calamity+malibu+ca&amp;gs_l=psy-ab.3...17386.19776.0.20657.10.10.0.0.0.0.142.1142.0j9.9.0..3..0...1.1.64.psy-ab..1.6.801...0j0i67k1j0i7i30k1.pagTZK43ftA_x000a_"/>
    <m/>
    <n v="28"/>
    <s v="Patterson"/>
    <m/>
    <m/>
    <n v="0"/>
  </r>
  <r>
    <x v="574"/>
    <s v="XS Brokers"/>
    <s v="MA"/>
    <s v="Barbara"/>
    <m/>
    <s v="Dann"/>
    <s v="Harriet B"/>
    <x v="0"/>
    <s v="Needham"/>
    <x v="21"/>
    <s v="02494"/>
    <x v="8"/>
    <x v="757"/>
    <x v="1091"/>
    <s v="Losses"/>
    <s v="1991 primary home w/3 prior losses. $2500 AOP w/$10K water damage. 2/14 ice dam $1975. 3/15 iced dam $11K. 11/28/18 frozen pipe $163,488."/>
    <x v="1"/>
    <s v="Replaced roof, but that doesn't solve ice dams. Accuweather shows 36 degree low the few days before the loss.  How did the pipe freeze and have that much damage?  No DOB to run ins score. Declined due to multiple claims and concern of how the dwelling manages winter weather."/>
    <m/>
    <m/>
    <s v="Patterson"/>
    <m/>
    <m/>
    <n v="1"/>
  </r>
  <r>
    <x v="139"/>
    <s v="Hull Irvine"/>
    <m/>
    <s v="Alison"/>
    <s v="Email"/>
    <s v="Cole"/>
    <s v="Andrea"/>
    <x v="0"/>
    <s v="Ojai"/>
    <x v="1"/>
    <m/>
    <x v="5"/>
    <x v="758"/>
    <x v="94"/>
    <s v="2 horses"/>
    <s v="2006 home w/2 horses, personal use. Also a barn. Agent hasn't discussed w/me before so she was checking."/>
    <x v="3"/>
    <s v="Verify no breeding, boarding, riding lessons, no commercial. Brief review of documentation as this is within agent's authority"/>
    <m/>
    <n v="12"/>
    <s v="Patterson"/>
    <m/>
    <m/>
    <n v="0"/>
  </r>
  <r>
    <x v="442"/>
    <s v="Burns"/>
    <s v="MI"/>
    <s v="Delta"/>
    <s v="Email"/>
    <s v="Guilkey, Paul"/>
    <m/>
    <x v="0"/>
    <s v="Clayton"/>
    <x v="1"/>
    <m/>
    <x v="4"/>
    <x v="758"/>
    <x v="1092"/>
    <s v="PC10"/>
    <s v="Confirmed home is 4 mi from FD with 9 min response time per my check. Not in brush. 1992 home. Local alarm only."/>
    <x v="3"/>
    <s v="App asks for liab extension to another property - we don't do that.  App notes prior cancel/nrn. Approved/subject to an acceptable answer."/>
    <m/>
    <m/>
    <s v="Patterson"/>
    <m/>
    <m/>
    <n v="0"/>
  </r>
  <r>
    <x v="452"/>
    <s v="XS Brokers"/>
    <s v="MA"/>
    <s v="Barbara"/>
    <m/>
    <s v="Stoner"/>
    <s v="James"/>
    <x v="1"/>
    <s v="Westport"/>
    <x v="25"/>
    <s v="06880"/>
    <x v="2"/>
    <x v="759"/>
    <x v="1093"/>
    <s v="Losses"/>
    <s v="1932 home w/updates. 8/17/18 windstorm $174K still under repair. Roof replacement and interior work. Insd living in home."/>
    <x v="1"/>
    <s v="Not comfortable coming in the middle of repair when it involves wind/water."/>
    <m/>
    <m/>
    <s v="Patterson"/>
    <m/>
    <m/>
    <n v="1"/>
  </r>
  <r>
    <x v="302"/>
    <s v="Hull CA"/>
    <s v="Irvine"/>
    <s v="Alison"/>
    <s v="Email"/>
    <s v="Dewell, James"/>
    <m/>
    <x v="0"/>
    <s v="La Canada "/>
    <x v="1"/>
    <m/>
    <x v="9"/>
    <x v="759"/>
    <x v="1094"/>
    <s v="Business in home"/>
    <s v="Insured performs shaminism in the home. Had prior liab loss - friend fell - claim denied.  Insd has $2M GL."/>
    <x v="3"/>
    <s v="Our direction for medical professions is to only offer terms X-Liability. Insd could be perceived to have deep pockets. Also include Total Business Exclusion."/>
    <m/>
    <m/>
    <m/>
    <m/>
    <m/>
    <n v="0"/>
  </r>
  <r>
    <x v="443"/>
    <s v="Hull CA"/>
    <s v="Irvine"/>
    <s v="Bobbi"/>
    <s v="Email"/>
    <s v="Pickles, Andrew"/>
    <m/>
    <x v="0"/>
    <s v="Santa Barbara"/>
    <x v="1"/>
    <m/>
    <x v="9"/>
    <x v="760"/>
    <x v="1095"/>
    <s v="Brush clearance?"/>
    <s v="1979 home, no roof update per app. Has one loss listed, not surcharged, $0 paid per app. Fire specialist email indicates prop line is &lt;150' and some clearing of brush is not recommended due to erosion hazard."/>
    <x v="3"/>
    <s v="Approved subj to: 1. Detailed review of what clearing they CAN still do. 2. S/C 10% for imperfect brush clearing 3. S/C for loss if it is the insured's and there was any damage or LAE. 4. Add roof excl. 1979 home no indication of update."/>
    <m/>
    <m/>
    <s v="Patterson"/>
    <m/>
    <m/>
    <n v="0"/>
  </r>
  <r>
    <x v="4"/>
    <s v="Hull Irvine"/>
    <s v="CA"/>
    <s v="Kelly"/>
    <m/>
    <s v="Barsotti"/>
    <s v="Scott"/>
    <x v="0"/>
    <s v="Los Angeles"/>
    <x v="1"/>
    <s v="90034"/>
    <x v="11"/>
    <x v="760"/>
    <x v="109"/>
    <s v="Rate"/>
    <s v="1948 home replumbed in 2016, heat in 2017, elec 2015. Slate roof 2012. Agt quoted with $50K water damage ded. 3 losses 1/17 water bathroom leak $97K. 3/17 water wash machine line break $292K. 7/17 water toilet line flooded downstairs $45K."/>
    <x v="4"/>
    <m/>
    <m/>
    <m/>
    <m/>
    <m/>
    <m/>
    <n v="0"/>
  </r>
  <r>
    <x v="86"/>
    <s v="Burns"/>
    <s v="CA"/>
    <s v="Jill"/>
    <s v="Email"/>
    <s v="Keyser, Joel"/>
    <m/>
    <x v="39"/>
    <s v="Sherman Oaks "/>
    <x v="1"/>
    <m/>
    <x v="5"/>
    <x v="761"/>
    <x v="1096"/>
    <s v="Open Claim/New Bankruptcy"/>
    <s v="1990 home.  Insd is CPA. Filing Chapter 11. Open claim on this risk. "/>
    <x v="1"/>
    <s v="Concern with new bankruptcy - Ch 11 is typically business, but can be individual. Insd is self employed CPA, so there is a close connection.  "/>
    <m/>
    <m/>
    <s v="Patterson"/>
    <m/>
    <m/>
    <n v="1"/>
  </r>
  <r>
    <x v="362"/>
    <s v="Burns"/>
    <s v="MI"/>
    <s v="Jill"/>
    <m/>
    <s v="King"/>
    <s v="Derek Ross"/>
    <x v="0"/>
    <s v="Los Angeles"/>
    <x v="1"/>
    <s v="90068"/>
    <x v="11"/>
    <x v="761"/>
    <x v="1097"/>
    <s v="High Profile"/>
    <s v="1990 year built, no losses. It is located in brush, rated appropriately. Applicant is a television and radio presenter and actor. "/>
    <x v="4"/>
    <s v="No concerns with profile of applicant. Approved to release terms as quoted. "/>
    <m/>
    <m/>
    <s v="Busse"/>
    <m/>
    <m/>
    <n v="0"/>
  </r>
  <r>
    <x v="383"/>
    <s v="Hull Irvine"/>
    <s v="CA"/>
    <s v="Gina"/>
    <s v="Email"/>
    <s v="Napoles"/>
    <s v="Stephanie"/>
    <x v="0"/>
    <s v="Fallbrook"/>
    <x v="1"/>
    <m/>
    <x v="9"/>
    <x v="762"/>
    <x v="1098"/>
    <s v="Losses"/>
    <s v="2007 home currently with Lex. Agt asking if we would be interested in quoting with $25K water dmg ded.  Loss runs show 12 water losses, close in date in 12/2016.  App lists 2/21/15 water/mold. 9/9/16 water/mold. 1/20/17 water damage from rain storm."/>
    <x v="1"/>
    <s v="Frequency of loss and mold issues"/>
    <m/>
    <m/>
    <s v="Patterson"/>
    <m/>
    <m/>
    <n v="1"/>
  </r>
  <r>
    <x v="226"/>
    <s v="Hull CA"/>
    <s v="Irvine"/>
    <s v="Alison"/>
    <s v="Email"/>
    <m/>
    <m/>
    <x v="1"/>
    <s v="Lahoya CA"/>
    <x v="3"/>
    <m/>
    <x v="0"/>
    <x v="763"/>
    <x v="960"/>
    <s v="Cov C ok?"/>
    <s v="1957 home being renovated. Insured leaving some contents in 2 rooms. $25,000."/>
    <x v="3"/>
    <s v="Approved subject to a $2500 theft or $2500 AOP deductible."/>
    <m/>
    <m/>
    <s v="Patterson"/>
    <m/>
    <m/>
    <n v="0"/>
  </r>
  <r>
    <x v="609"/>
    <s v="Burns"/>
    <s v="MI"/>
    <s v="David"/>
    <s v="Email"/>
    <s v="Jimenez"/>
    <s v="Jorge &amp; Jennifer"/>
    <x v="7"/>
    <s v="Trabuco Canyon"/>
    <x v="1"/>
    <m/>
    <x v="9"/>
    <x v="764"/>
    <x v="1099"/>
    <s v="High Profile"/>
    <s v="Client is established actor/writer/producer"/>
    <x v="3"/>
    <s v="x-liability, current high profile actor"/>
    <m/>
    <m/>
    <s v="Burdine"/>
    <m/>
    <m/>
    <n v="0"/>
  </r>
  <r>
    <x v="357"/>
    <s v="Hull Stockton"/>
    <s v="CA"/>
    <s v="Melissa"/>
    <m/>
    <s v="Kurzawski"/>
    <s v="Bettye"/>
    <x v="0"/>
    <s v="Copperopolis"/>
    <x v="1"/>
    <n v="95228"/>
    <x v="2"/>
    <x v="764"/>
    <x v="1100"/>
    <s v="Losses"/>
    <s v="Large loss ($119,863). Lightning struck garage - total loss. Claim is closed and structure is rebuilt. Frame home covered with cedar/wood shingles.  There was a partial roof update in 2018. Partial plumbing update in 2018. Home built in 1992. Home located in brush."/>
    <x v="3"/>
    <s v="Surcharge for the brush. Roof must be either ACV or excluded based on the inspection. Removal of vegetation and trees per the guidelines as it is brush exposed. "/>
    <m/>
    <m/>
    <s v="Lazovik"/>
    <m/>
    <m/>
    <n v="0"/>
  </r>
  <r>
    <x v="162"/>
    <s v="Burns"/>
    <s v="MI"/>
    <s v="Jill"/>
    <s v="Email"/>
    <s v="Dollar"/>
    <s v="Tim  BWH106295"/>
    <x v="0"/>
    <s v="Osceola"/>
    <x v="36"/>
    <m/>
    <x v="4"/>
    <x v="765"/>
    <x v="1101"/>
    <s v="Response time"/>
    <s v="Prior approval last year. Slight Cov A increase so resubmitted for review. 20 min response time."/>
    <x v="3"/>
    <s v="Pool exclusion per inspection."/>
    <m/>
    <n v="18"/>
    <s v="Patterson"/>
    <m/>
    <m/>
    <n v="0"/>
  </r>
  <r>
    <x v="782"/>
    <s v="AmWINS"/>
    <s v="FL"/>
    <s v="Niki"/>
    <m/>
    <s v="Del Rey"/>
    <s v="Brian"/>
    <x v="0"/>
    <s v="St Augustine"/>
    <x v="59"/>
    <s v="32080"/>
    <x v="2"/>
    <x v="766"/>
    <x v="1102"/>
    <s v="Prior Lapse/NRN"/>
    <s v="1952 year built with partial updates to wiring 2016 and plumbing 2016, complete updates to roof 2013 and heating 2010. App states galvanized/cast iron is still in place. Applicant was arrested for felony sale/distribution of marijuana in 2016. Current carrier is non-renewing due to &quot;material change in the risk due to undisclosed exposure.&quot; Agent tried asking for more details and only came back with that is had to do something with a drug arrest."/>
    <x v="1"/>
    <s v="Due to prior non-renewal, and condition of plumbing, deciding to decline this risk."/>
    <m/>
    <m/>
    <s v="Busse"/>
    <m/>
    <m/>
    <n v="1"/>
  </r>
  <r>
    <x v="623"/>
    <s v="Burns"/>
    <s v="CA"/>
    <s v="David"/>
    <s v="Email"/>
    <s v="Dreifuss"/>
    <s v="Daniel"/>
    <x v="0"/>
    <s v="Los Angeles"/>
    <x v="1"/>
    <m/>
    <x v="8"/>
    <x v="766"/>
    <x v="1103"/>
    <s v="High Profile"/>
    <s v="film producer, 2 prior losses on rental property,score E, liab requested, Built in 1937; Frame construction; Full updates in 2009"/>
    <x v="3"/>
    <s v="reviewed online info, no concerns with offer liab (confirmed OK with LT), requested info on large 03/2017 claim ($85K) just to be sure no concerns carry over to this application"/>
    <m/>
    <m/>
    <s v="Burdine"/>
    <m/>
    <m/>
    <n v="0"/>
  </r>
  <r>
    <x v="783"/>
    <s v="Burns"/>
    <s v="MI"/>
    <s v="Ben"/>
    <s v="Email"/>
    <s v="Royston, Patricia"/>
    <m/>
    <x v="38"/>
    <s v="Grass Valley "/>
    <x v="1"/>
    <m/>
    <x v="6"/>
    <x v="766"/>
    <x v="1038"/>
    <s v="TIV"/>
    <s v="Home was built in 2004 of frame construction.  Primary PC9 in brush and no losses. Property has a 3000 gal holding tank and hydrant attachment on the premises."/>
    <x v="4"/>
    <s v="everything ok on home, google search reveals nothing concerning, premium quoted at Premium: $ $2500 AOP deductible; with 2500 wind/hail_x000a_"/>
    <m/>
    <m/>
    <s v="K.Burdine"/>
    <m/>
    <m/>
    <n v="0"/>
  </r>
  <r>
    <x v="162"/>
    <s v="Hull Irvine"/>
    <s v="CA"/>
    <s v="Alison"/>
    <s v="Call/Email"/>
    <s v="Robie"/>
    <s v="Stephen"/>
    <x v="0"/>
    <s v="Newport Beach"/>
    <x v="1"/>
    <m/>
    <x v="0"/>
    <x v="766"/>
    <x v="19"/>
    <s v="Prior losses"/>
    <s v="11/11 $100K water loss - kitchen pipes replaced. 6/16 $11K hot water pipe burst under kitchen.  10/16 $8K washing machine pipe burst flooded garage. "/>
    <x v="2"/>
    <s v="Asked questions about repairs in 2011. Would probably consider water damage exclusion or at least a $25K ded."/>
    <m/>
    <n v="32"/>
    <s v="Patterson"/>
    <m/>
    <m/>
    <n v="0"/>
  </r>
  <r>
    <x v="192"/>
    <s v="Hull CA"/>
    <s v="Irvine"/>
    <s v="Alex"/>
    <s v="Email/Call"/>
    <s v="Vieria, Alvaro"/>
    <m/>
    <x v="39"/>
    <s v="Los Angeles CA PC2"/>
    <x v="3"/>
    <m/>
    <x v="0"/>
    <x v="767"/>
    <x v="1104"/>
    <s v="Prior loss"/>
    <s v="2008 nice home per online photos. Had a loos connection under sink - $135K water loss!  Low brush but agt surcharged for it and added brush form. Alarms."/>
    <x v="3"/>
    <s v="Approved subj to confirmation of Cov A. Online looks nice - 3 story stucco."/>
    <m/>
    <m/>
    <s v="Patterson"/>
    <m/>
    <m/>
    <n v="0"/>
  </r>
  <r>
    <x v="55"/>
    <s v="Hull Irvine"/>
    <s v="CA"/>
    <s v="Alison"/>
    <m/>
    <s v="Delano"/>
    <s v="Hugh &amp; Lisa"/>
    <x v="0"/>
    <s v="San Clemente"/>
    <x v="1"/>
    <s v="92673"/>
    <x v="9"/>
    <x v="768"/>
    <x v="19"/>
    <s v="Losses"/>
    <s v="1997 home nonrenewing w/prior carrier due to 2014 pipe burst $7100 and 7/18 fridge line leak $117K. All repairs made. Agent quoting w/ water damage exclusion, no mold, no water backup."/>
    <x v="3"/>
    <s v="Risk removed w/ exclusion."/>
    <m/>
    <m/>
    <s v="Patterson"/>
    <m/>
    <m/>
    <n v="0"/>
  </r>
  <r>
    <x v="784"/>
    <s v="Burns"/>
    <s v="MI"/>
    <s v="Jill"/>
    <s v="Email"/>
    <s v="Fields, Howard"/>
    <m/>
    <x v="135"/>
    <s v="Healdsburg CA PC10"/>
    <x v="3"/>
    <m/>
    <x v="0"/>
    <x v="769"/>
    <x v="1105"/>
    <s v="Agency exceeded authority by binding this-over their TIV of $1.5m"/>
    <s v="1976 frame. No risk meter. 12-16 min response time. 120 acres. Was on CIG farm policy-NRN due to not protected. Has caretaker. $96,500 equipment. 1/2 acre grapes personal use. No alarms Paved roads. Water tank."/>
    <x v="1"/>
    <s v="Reviewed over phone w/Louisa and Audrey (they were on business). Advised Jill by phone and email to DNOC and place elsewhere. Too many issues to dig into."/>
    <m/>
    <m/>
    <s v="Patterson"/>
    <m/>
    <m/>
    <n v="1"/>
  </r>
  <r>
    <x v="663"/>
    <s v="Burns"/>
    <s v="MI"/>
    <s v="Nicole"/>
    <s v="Email"/>
    <s v="Lunco LLC"/>
    <m/>
    <x v="4"/>
    <s v="Oakley"/>
    <x v="22"/>
    <m/>
    <x v="3"/>
    <x v="770"/>
    <x v="1106"/>
    <s v="Business on Premises"/>
    <s v="Home built in 1998, frame construction, no updates, no alarms and no losses. 43 acres are leased to a farmer. There is a barn along with hay and storage shed with lawn mower, snow blower and some hay in winter. The shed is a garage and there are no animals or stalls."/>
    <x v="3"/>
    <s v="Confirm no animals on the farm, attach cosmetic damage for metal roof, TBE for the farm. "/>
    <m/>
    <m/>
    <s v="Lazovik"/>
    <m/>
    <m/>
    <n v="0"/>
  </r>
  <r>
    <x v="539"/>
    <s v="Hull Stockton"/>
    <s v="CA"/>
    <s v="Lisa"/>
    <s v="Email"/>
    <s v="Brown"/>
    <s v="Gerald"/>
    <x v="0"/>
    <s v="Kentfield"/>
    <x v="1"/>
    <m/>
    <x v="8"/>
    <x v="771"/>
    <x v="1107"/>
    <s v="Builders Risk"/>
    <s v="1972 dwelling gutted/rebuilt in 2008. Partially flat roof. $5K ded. Having a deck built that will take 4 months to complete. Builders risk? Okay to add primary home coverages?"/>
    <x v="0"/>
    <s v="App says &quot;no prior covg&quot;. Reason is because no rail on existing deck. Carrier nonrenewed.  Insd is replacing. Approve as builders risk, ok to add primary coverages since insd is living there subj to confirmation of temporary safety measures, or exclude liability."/>
    <m/>
    <m/>
    <s v="Patterson"/>
    <m/>
    <m/>
    <n v="0"/>
  </r>
  <r>
    <x v="540"/>
    <s v="Hull Irvine"/>
    <s v="CA"/>
    <s v="Alison"/>
    <s v="Email"/>
    <s v="Gillis"/>
    <s v="John"/>
    <x v="0"/>
    <s v="Fallbrook"/>
    <x v="1"/>
    <m/>
    <x v="5"/>
    <x v="772"/>
    <x v="1108"/>
    <s v="Occupancy"/>
    <s v="1989 risk out of brush on 3 acres. Insured's trust is buying. Adult son who is a trust beneficiary will occupy the home as primary residence. Can they write as HO3? Trust as AI. Son may take on fostering up to 6 dogs, and grow shitake mushrooms for a business. Not happening now. Details to follow."/>
    <x v="3"/>
    <s v="HO3 ok with trust as AI. Provided info on how we may be able to handle businesses with exclusions."/>
    <m/>
    <m/>
    <s v="Patterson"/>
    <m/>
    <m/>
    <n v="0"/>
  </r>
  <r>
    <x v="440"/>
    <s v="Burns"/>
    <s v="MI"/>
    <s v="Jill"/>
    <s v="Email"/>
    <s v="Wilkins      "/>
    <s v="Eric"/>
    <x v="0"/>
    <s v="Coarsegold"/>
    <x v="1"/>
    <m/>
    <x v="6"/>
    <x v="773"/>
    <x v="1109"/>
    <s v="Acreage"/>
    <s v="1972 home with updates in brush. On 40 acres. Nice online photos. Confirmed 5-6 minute response time. Accessible. "/>
    <x v="3"/>
    <s v="Confirm accessible on the 40 acres by emergency veh, and response time not impacted by 40 acres"/>
    <m/>
    <n v="19"/>
    <s v="Patterson"/>
    <m/>
    <m/>
    <n v="0"/>
  </r>
  <r>
    <x v="233"/>
    <s v="Burns"/>
    <s v="MI"/>
    <s v="Ben"/>
    <s v="Email"/>
    <s v="Blake, Barbara"/>
    <m/>
    <x v="136"/>
    <s v="Yosemite Natl Park CA PC10"/>
    <x v="3"/>
    <m/>
    <x v="0"/>
    <x v="774"/>
    <x v="18"/>
    <s v="25 Min Response Time"/>
    <s v="2003 full time VRBO rental. In brush. No alarms. 25 min response by paid FD. Updates - Wire part 15; plumb part 14; heat part 12; roof full 03."/>
    <x v="1"/>
    <s v="Asked for current rate so I can evaluate if we can do this with a surcharge. On the fence due to value and no alarms.  Newer home, has been maintained. FD is paid and they probably don't mess around in Yosemite.  Found addl online sources  that show precarious trees, and recent video of home for sale."/>
    <m/>
    <m/>
    <s v="Patterson"/>
    <m/>
    <m/>
    <n v="1"/>
  </r>
  <r>
    <x v="762"/>
    <s v="Hull Irvine"/>
    <s v="CA"/>
    <s v="Melissa"/>
    <m/>
    <s v="Mejia"/>
    <s v="Cindy"/>
    <x v="0"/>
    <s v="Los Angeles"/>
    <x v="1"/>
    <n v="91307"/>
    <x v="4"/>
    <x v="775"/>
    <x v="1110"/>
    <s v="Losses"/>
    <s v="Water loss of $66k for water leak in 1/17. Frame home built in 1985. Stucco siding. Fire hydrant within 75 feet. CSA for burglary. Smoke detectors. Wiring updated in 1995. In ground pool. Clay tile roof installed in 1995."/>
    <x v="1"/>
    <s v="PC 10 with response time over 20 minutes. "/>
    <m/>
    <m/>
    <s v="Lazovik"/>
    <m/>
    <m/>
    <n v="1"/>
  </r>
  <r>
    <x v="118"/>
    <s v="Burns"/>
    <s v="MI"/>
    <s v="Delta"/>
    <s v="Email"/>
    <s v="Leineke, Joel"/>
    <m/>
    <x v="1"/>
    <s v="Bucks Lake"/>
    <x v="1"/>
    <m/>
    <x v="4"/>
    <x v="776"/>
    <x v="812"/>
    <s v="Not accessible year round"/>
    <s v="New build so that is probably why RM won't pull. Ran neighboring property and it is in brush. Not accessible year round. PC10 w/15 min response."/>
    <x v="1"/>
    <s v="Additionally, prior cancel/nrn = yes on app. (not addressed w/agent)"/>
    <m/>
    <m/>
    <s v="Patterson"/>
    <m/>
    <m/>
    <n v="1"/>
  </r>
  <r>
    <x v="499"/>
    <s v="Hull Irvine"/>
    <s v="CA"/>
    <s v="Bobbi"/>
    <s v="Email"/>
    <s v="1808 O.F., LLC"/>
    <m/>
    <x v="2"/>
    <s v="Del Mar"/>
    <x v="1"/>
    <m/>
    <x v="0"/>
    <x v="776"/>
    <x v="1111"/>
    <s v="TIV"/>
    <s v="Rental property right on the ocean in Del Mar. Melissa had been working with agent to get some interior inspection photos done. Today the pictures arrived and look fine. We are past any sort of inspection so we are on this home regardless."/>
    <x v="3"/>
    <s v="Must flag and get full inspection before next renewal date."/>
    <m/>
    <m/>
    <s v="Lazovik"/>
    <m/>
    <s v="Please check up on this during next audit and make sure inspection will be done."/>
    <n v="0"/>
  </r>
  <r>
    <x v="367"/>
    <s v="Hull CA"/>
    <s v="Irvine"/>
    <s v="Alison"/>
    <s v="Email/Call"/>
    <s v="Quat, Steven"/>
    <m/>
    <x v="6"/>
    <s v="Ventura CA  PC2"/>
    <x v="3"/>
    <m/>
    <x v="0"/>
    <x v="776"/>
    <x v="1112"/>
    <s v="1894 Historic"/>
    <s v="New purchase for insured. Built in 1894. On historic registry. Insd having contractor beef up retrofit. Then insd will be replacing fixtures and appliances. MFRC would be applied."/>
    <x v="1"/>
    <s v="Concerned about bones and systems in home. If fixtures are so old, how updated is the plumbing and wiring?"/>
    <m/>
    <m/>
    <s v="Patterson"/>
    <m/>
    <m/>
    <n v="1"/>
  </r>
  <r>
    <x v="487"/>
    <s v="Burns"/>
    <s v="MI"/>
    <s v="Nicole"/>
    <m/>
    <s v="Pugh"/>
    <s v="Joann"/>
    <x v="0"/>
    <s v="Grand Rapids"/>
    <x v="49"/>
    <s v="49525"/>
    <x v="6"/>
    <x v="776"/>
    <x v="1113"/>
    <s v="PC"/>
    <s v="1998 home 3 mi to FD. Tankers only, no hydrant. Prior dog bite loss. Still has the dog.  Animal Exclusion applied."/>
    <x v="3"/>
    <s v="PC quest is acceptable. "/>
    <m/>
    <m/>
    <s v="Patterson"/>
    <m/>
    <m/>
    <n v="0"/>
  </r>
  <r>
    <x v="581"/>
    <s v="Burns"/>
    <s v="MI"/>
    <s v="Jill"/>
    <s v="Email"/>
    <s v="Zhang"/>
    <s v="Jing"/>
    <x v="7"/>
    <s v="San Francisco"/>
    <x v="1"/>
    <m/>
    <x v="9"/>
    <x v="776"/>
    <x v="1113"/>
    <s v="Heat Source"/>
    <s v="05/1/2015-$95K liab loss-had to file Ellis act to evict tenant and they sued for wrongful eviction. 3 unit building, gas wall heaters in 2 units, insureds unit has no heat so uses fireplace and electric blanket. 1918 build, partial updates to wiring and plumbing, full updates to heating/roofing"/>
    <x v="0"/>
    <s v="Due to heat source combined with age of home//agent provided updated OHQ-central heat and updates made to all units"/>
    <m/>
    <m/>
    <s v="Burdine"/>
    <m/>
    <m/>
    <n v="0"/>
  </r>
  <r>
    <x v="394"/>
    <s v="XS Brokers"/>
    <s v="MA"/>
    <s v="Barbara"/>
    <m/>
    <s v="Bachant"/>
    <s v="William"/>
    <x v="0"/>
    <s v="Wareham"/>
    <x v="21"/>
    <s v="02538"/>
    <x v="2"/>
    <x v="776"/>
    <x v="1114"/>
    <s v="Losses"/>
    <s v="2006 year built home. 3 losses. 4/2014 pipe burst. 6/2014 liability loss at a rental property that the insured no longer owns. Older woman slipped and fell. 3/2015 ice dams caused damage. Insured is contractor and did everything as should be, stated it was a rough year and everyone had claims due to this and the bad weather. "/>
    <x v="3"/>
    <s v="Approved subject to confirmation that the water loss was not at the current property. If it was, need to obtain further details of the loss and confirmation of mitigation. "/>
    <s v="Some chaos this week with a RUSH Stockton audit that backed up referrals.  Turnaround may have been impacted."/>
    <m/>
    <s v="Busse"/>
    <m/>
    <m/>
    <n v="0"/>
  </r>
  <r>
    <x v="785"/>
    <s v="Burns"/>
    <s v="MI"/>
    <s v="Leslie"/>
    <s v="Email"/>
    <s v="McCray"/>
    <s v="Ron"/>
    <x v="0"/>
    <s v="Colfax"/>
    <x v="1"/>
    <m/>
    <x v="6"/>
    <x v="776"/>
    <x v="1115"/>
    <s v="TIV"/>
    <s v="2006 home in brush w/200'clearance on 20 acres. 5 min response time. In ground pool leaks - applying existing damage excl. Insd will be replacing. Prior CA/NRN question on app is &quot;yes&quot;, no explanation. Insd is CEO of Sac Ice."/>
    <x v="3"/>
    <s v="Reason for yes answer? Consider pool exclusion. Confirm no business - provided web info."/>
    <m/>
    <n v="24"/>
    <s v="Patterson"/>
    <m/>
    <m/>
    <n v="0"/>
  </r>
  <r>
    <x v="358"/>
    <s v="Burns"/>
    <s v="CA"/>
    <s v="Danielle"/>
    <s v="Email"/>
    <s v="SHAHIDI, AFSHIN &amp; KERI "/>
    <m/>
    <x v="75"/>
    <m/>
    <x v="1"/>
    <m/>
    <x v="9"/>
    <x v="776"/>
    <x v="1116"/>
    <s v="High-profile"/>
    <s v="primary home located in CA.  Home was updated in 2001 of frame construction.  PC3 with alarms and 1 loss:_x000a_09.01.16 - water loss - a pipe burst in the storage area -damaged carpet._x000a_They have replaced all new pipes_x000a_Insured is high profile - actress &amp; a photographer_x000a_"/>
    <x v="3"/>
    <s v="Approved subject to x-liability, Mr. insured is high profile celebrity photograph and their minor daughter (currently 17) is on a popular currently filming ABC show (Black-ish)"/>
    <m/>
    <m/>
    <s v="Burdine"/>
    <m/>
    <m/>
    <n v="0"/>
  </r>
  <r>
    <x v="600"/>
    <s v="JM Wilson"/>
    <s v="MI"/>
    <s v="Cheryl"/>
    <s v="Email"/>
    <s v="Smith"/>
    <s v="James &amp; Kim"/>
    <x v="0"/>
    <s v="Wichita"/>
    <x v="28"/>
    <m/>
    <x v="8"/>
    <x v="776"/>
    <x v="1117"/>
    <s v="Losses"/>
    <s v="1994 build, central alarms. 2 claims-08/19/16  water heater, 12/2016 pipe, "/>
    <x v="3"/>
    <s v="approved with $2500 AOP ded"/>
    <m/>
    <m/>
    <s v="Burdine"/>
    <m/>
    <m/>
    <n v="0"/>
  </r>
  <r>
    <x v="692"/>
    <s v="Hull Irvine"/>
    <s v="CA"/>
    <s v="Lucas"/>
    <s v="Email"/>
    <s v="Pavel"/>
    <s v="Augstin"/>
    <x v="0"/>
    <s v="Fallbrook"/>
    <x v="1"/>
    <m/>
    <x v="9"/>
    <x v="776"/>
    <x v="1118"/>
    <s v="Prior Lapse/NRN"/>
    <s v="No coverage since 11/01/2017-insured cancelled auto and didn't understand that it included their home.Prepping to sale and noticed lack of insurance"/>
    <x v="3"/>
    <s v="ran his insurance score and it is very good, so we can consider this with a 15% surcharge. Please just make sure a no loss statement is completed prior to binding, and order a rush inspection of the property."/>
    <m/>
    <m/>
    <s v="Burdine"/>
    <m/>
    <m/>
    <n v="0"/>
  </r>
  <r>
    <x v="574"/>
    <s v="JM Wilson"/>
    <s v="MI"/>
    <s v="Cheryl"/>
    <m/>
    <s v="Scalzi"/>
    <s v="Frank"/>
    <x v="2"/>
    <s v="West Bloomfield"/>
    <x v="8"/>
    <s v="48322"/>
    <x v="9"/>
    <x v="777"/>
    <x v="1119"/>
    <s v="Losses"/>
    <s v="1992 dwelling with 09 roof update. Good insurance score. 3 prior losses. 1/7/17 $20k fire, no details. 2 wind losses 17,18. $5K AOP. UW questions on app incomplete."/>
    <x v="3"/>
    <s v="Need fire marshal or O&amp;C report to confirm reason for fire. Wind losses are minor - $5K aop covers. Need to confirm occupancy as app contradicts. Get updated signed app w/all uw questions answered. // 5/14/19 MP 2017 $20K Fire loss was a smoke loss caused by careless use of candle by prior tenant who is no longer in the home.  Home is tenant occupied. All repairs completed. Subj to conf of reason for lapse (agt can approve) and completed app."/>
    <s v="Ins Score B"/>
    <m/>
    <s v="Patterson"/>
    <m/>
    <m/>
    <n v="0"/>
  </r>
  <r>
    <x v="257"/>
    <s v="Burns"/>
    <s v="MI"/>
    <s v="Ben"/>
    <s v="Email"/>
    <s v="Rhodehamel, William"/>
    <m/>
    <x v="0"/>
    <s v="Brownsburg"/>
    <x v="17"/>
    <m/>
    <x v="2"/>
    <x v="778"/>
    <x v="1120"/>
    <s v="Large fire claim"/>
    <s v="1900 frame home w/updates in 1999, roof in 2015. Negligent fire loss (candle burned artwork) in 2014. No fire marshall report?? 20 acres cash rented to farmer for crops. Also had theft loss $1000 stolen laptop from kids dorm."/>
    <x v="2"/>
    <s v="Asked for fire department incident report and proof of year of construction. 2 online sources say 1948."/>
    <m/>
    <m/>
    <s v="Patterson"/>
    <m/>
    <m/>
    <n v="0"/>
  </r>
  <r>
    <x v="733"/>
    <s v="ASL"/>
    <s v="VA"/>
    <s v="Charity"/>
    <s v="Email"/>
    <s v="Coleman"/>
    <s v="Gary"/>
    <x v="0"/>
    <s v="Lorton"/>
    <x v="10"/>
    <m/>
    <x v="2"/>
    <x v="779"/>
    <x v="1121"/>
    <s v="Losses"/>
    <s v="3 claims-08/2017-water from high rains, 05/2017-theft (insured had check mailing out…), 02/2016-hail. "/>
    <x v="4"/>
    <s v="Requested more specific info on recent claims, and also current VMGA premium//Approval as long as issue with basement which allowed for water intrusion is fixed"/>
    <m/>
    <m/>
    <s v="Burdine"/>
    <m/>
    <m/>
    <n v="0"/>
  </r>
  <r>
    <x v="471"/>
    <s v="Hull CA"/>
    <s v="Stockton"/>
    <s v="Melissa"/>
    <s v="Email"/>
    <s v="Hayes, Jerilyn"/>
    <m/>
    <x v="0"/>
    <s v="Twain Harte"/>
    <x v="1"/>
    <m/>
    <x v="2"/>
    <x v="780"/>
    <x v="19"/>
    <s v="Lapse"/>
    <s v="1979 home with only heating update in 2003 and roof in 2007. $300K market; $953 Cov A. Lapse since April due to non-pay. Insd is disabled. Ins score is average. Collections for med bills. Uses pellet stove. Online photo shows lots of debris on roof."/>
    <x v="1"/>
    <s v="Due to lapse."/>
    <m/>
    <m/>
    <s v="Patterson"/>
    <m/>
    <m/>
    <n v="1"/>
  </r>
  <r>
    <x v="229"/>
    <s v="Hull CA"/>
    <s v="Stockton"/>
    <s v="Kirk"/>
    <s v="Email"/>
    <s v="Stratton, David"/>
    <m/>
    <x v="8"/>
    <s v="Granite Bay CA PC3"/>
    <x v="3"/>
    <m/>
    <x v="0"/>
    <x v="781"/>
    <x v="1122"/>
    <s v="Rate reduction"/>
    <s v="Competing w/C N A. Agent has applied 5% and still need $200.  Running insurance score.  1951 seasonal home"/>
    <x v="3"/>
    <s v="Ask if home has been updated and details."/>
    <s v="Home updated in 2013. No claims. Good insurance score."/>
    <m/>
    <s v="Patterson"/>
    <m/>
    <m/>
    <n v="0"/>
  </r>
  <r>
    <x v="172"/>
    <s v="Burns"/>
    <s v="CA"/>
    <s v="Matthew"/>
    <s v="Email"/>
    <s v="Roth"/>
    <s v="Blane"/>
    <x v="0"/>
    <s v="Alta"/>
    <x v="1"/>
    <m/>
    <x v="4"/>
    <x v="782"/>
    <x v="1123"/>
    <s v="PC"/>
    <s v="Near prior fire (10 miles) but the fire is now 100% contained.  Home was built in 2002 of frame construction.PC10 with no alarm, but visible to neighbors and accessible all year (however road is unpaved), and no losses.There is not a wood shake roof but there is wood siding. There is a 14 minute response, quoting at a $5k deductible and .60 rate"/>
    <x v="4"/>
    <s v="Response time OK. Reviewed with MP and confirmed no active fires in area. System was rating at .495 rate but agt took upon himself to quote at higher. Approved at higher"/>
    <m/>
    <m/>
    <s v="Burdine"/>
    <m/>
    <m/>
    <n v="0"/>
  </r>
  <r>
    <x v="404"/>
    <s v="Burns"/>
    <s v="MI"/>
    <s v="Alexa"/>
    <s v="Email"/>
    <s v="Clarke"/>
    <s v="David"/>
    <x v="0"/>
    <s v="Zionsville"/>
    <x v="17"/>
    <m/>
    <x v="5"/>
    <x v="783"/>
    <x v="1124"/>
    <s v="Losses"/>
    <s v="primary HO3 located in IN. Home was built in 2005 of frame construction , PC4 , no alarms, open loss with prior carrier-subrogated fire loss for other structure (painters left oil rags on floor and fire in other structure)."/>
    <x v="3"/>
    <s v="Approved w/ other structure exclusion"/>
    <m/>
    <m/>
    <s v="Burdine"/>
    <m/>
    <m/>
    <n v="0"/>
  </r>
  <r>
    <x v="136"/>
    <s v="Burns"/>
    <s v="MI"/>
    <s v="Leslie"/>
    <s v="Email"/>
    <s v="Damiani"/>
    <s v="Joel"/>
    <x v="6"/>
    <s v="Honolulu"/>
    <x v="57"/>
    <m/>
    <x v="9"/>
    <x v="784"/>
    <x v="1125"/>
    <s v="Distance to coast"/>
    <s v="2017 newly built condo. Additional construction on interior. Only appx 1000' to coast. Guidelines say &lt;2000' is ineligible."/>
    <x v="4"/>
    <s v="Approved w/ 2% deductible, same as &gt;2000'. Also 10% surcharge. Discussed w/Jeff. Okay since it is a condo. Subj to:  BR supplement and GL cert. Quote says Named Storm $0. Need to fix."/>
    <s v=" "/>
    <m/>
    <s v="Patterson"/>
    <m/>
    <m/>
    <n v="0"/>
  </r>
  <r>
    <x v="610"/>
    <s v="Burns"/>
    <s v="MI"/>
    <s v="Matt"/>
    <s v="Email"/>
    <s v="Eberle"/>
    <s v="Karl"/>
    <x v="16"/>
    <s v="Iliamna"/>
    <x v="53"/>
    <m/>
    <x v="4"/>
    <x v="785"/>
    <x v="1126"/>
    <s v="Response time"/>
    <s v="1980 home with updates. No alarms. 1 mile from DF with no hydrants, but response time estimated to be over 15 minutes from volunteer fire department. Pricing is .53."/>
    <x v="0"/>
    <s v="With Chubb 11/17 renewal.// 9/28 addl info from Matt. Remote Eskimo village accessibly by plane or boat to island.  However it is confirmed that the volunteer FD is on the same landmass with 15 minute response. Advised pricing is solid. Make sure we have good Cov A value."/>
    <m/>
    <n v="37"/>
    <s v="Patterson"/>
    <m/>
    <m/>
    <n v="0"/>
  </r>
  <r>
    <x v="435"/>
    <s v="Hull Irvine"/>
    <m/>
    <s v="Bobbi"/>
    <s v="Email"/>
    <s v="Ernst Benzien Revocable Trust"/>
    <m/>
    <x v="5"/>
    <s v="Santa Barbara"/>
    <x v="1"/>
    <m/>
    <x v="2"/>
    <x v="785"/>
    <x v="1127"/>
    <s v="Contents limit"/>
    <s v="1977 frame home up for sale. Agent requesting $300,000 personal property. No alarm."/>
    <x v="3"/>
    <s v="$10K theft ded and central station alarm per guidelines."/>
    <m/>
    <m/>
    <s v="Patterson"/>
    <m/>
    <m/>
    <n v="0"/>
  </r>
  <r>
    <x v="569"/>
    <s v="Burns"/>
    <s v="MI"/>
    <s v="Matt"/>
    <s v="Email"/>
    <s v="Hay, Colin"/>
    <m/>
    <x v="0"/>
    <s v="Topanga CA PC4"/>
    <x v="3"/>
    <m/>
    <x v="0"/>
    <x v="786"/>
    <x v="1128"/>
    <s v="High profile"/>
    <s v="Insured lead singer of &quot;Men at Work&quot;.  1976 frame home, in brush.  Updated in 2000. Can't see good online photos.  Insured has credit freeze on - no ins score available. Older home questionnaire looks good.  "/>
    <x v="2"/>
    <s v="Discussed with Jeff - not too famous."/>
    <m/>
    <m/>
    <s v="Patterson"/>
    <m/>
    <m/>
    <n v="0"/>
  </r>
  <r>
    <x v="624"/>
    <s v="Burns"/>
    <s v="MI"/>
    <s v="Danielle"/>
    <s v="Email"/>
    <s v="Icenogle, Eric"/>
    <m/>
    <x v="0"/>
    <s v="Sonora CA PC10"/>
    <x v="3"/>
    <m/>
    <x v="0"/>
    <x v="787"/>
    <x v="1129"/>
    <s v="TIV&gt;$1.5M"/>
    <s v="2008 home PC10 no alarms. In brush. FL attached. Long paved driveway. Set off road, but very accessible. 17 minute response time."/>
    <x v="3"/>
    <s v="Want to add surcharge for PC10, longer response time, long driveway."/>
    <s v="Added 5% ($6600 premium)"/>
    <m/>
    <s v="Patterson"/>
    <m/>
    <m/>
    <n v="0"/>
  </r>
  <r>
    <x v="446"/>
    <s v="Hull CA"/>
    <s v="Irvine"/>
    <s v="Bobbi"/>
    <s v="Email"/>
    <s v="Armenta, Juan"/>
    <m/>
    <x v="21"/>
    <s v="Green Valley Lk PC5"/>
    <x v="3"/>
    <m/>
    <x v="0"/>
    <x v="788"/>
    <x v="1130"/>
    <s v="Log"/>
    <s v="1993 3221 SF, no brush, insd is Work Comp Atty, Travelers NRN-no longer writing in area."/>
    <x v="1"/>
    <s v="Kit home, high value. "/>
    <m/>
    <m/>
    <s v="Patterson"/>
    <m/>
    <m/>
    <n v="1"/>
  </r>
  <r>
    <x v="444"/>
    <s v="Burns"/>
    <s v="MI"/>
    <s v="Delta"/>
    <s v="Email"/>
    <s v="Strate, Mark"/>
    <m/>
    <x v="0"/>
    <s v="Grass Valley"/>
    <x v="1"/>
    <m/>
    <x v="23"/>
    <x v="789"/>
    <x v="1131"/>
    <s v="TIV"/>
    <s v="2006 frame home in brush. 14 min response time. 4.6 miles. Confirmed w/google. Paid fire department. 10 acres. Prior carrier nonrenewed - no explanation."/>
    <x v="3"/>
    <s v="Subj to acceptable nrn reason (such as brush) and situated accessibly on 10 acres."/>
    <m/>
    <m/>
    <s v="Patterson"/>
    <m/>
    <m/>
    <n v="0"/>
  </r>
  <r>
    <x v="786"/>
    <s v="Burns"/>
    <s v="MI"/>
    <s v="Delta"/>
    <s v="Email"/>
    <s v="Kansas, Pete"/>
    <m/>
    <x v="0"/>
    <s v="Oakhurst"/>
    <x v="1"/>
    <m/>
    <x v="6"/>
    <x v="790"/>
    <x v="1132"/>
    <s v="TIV"/>
    <s v="1997 home in brush w/8 min response time. FD 2 miles away. Accessible. Per PC quest, 200' brush clearance."/>
    <x v="3"/>
    <s v="WBS as noted, Brush clear confirmation, Complete app - Q8 not answered (conviction of fraud, bribery, arson)"/>
    <m/>
    <m/>
    <s v="Patterson"/>
    <m/>
    <m/>
    <n v="0"/>
  </r>
  <r>
    <x v="434"/>
    <s v="Burns"/>
    <s v="MI"/>
    <s v="Rachel"/>
    <s v="Email"/>
    <s v="Lulti"/>
    <s v="Merti"/>
    <x v="1"/>
    <m/>
    <x v="1"/>
    <m/>
    <x v="9"/>
    <x v="791"/>
    <x v="847"/>
    <s v="Builders Risk"/>
    <s v="Attached is a builders risk property located in CA. Home was built in 2018 it is ground up construction, currently approx. 75% complete; RM not pulling new address, rest of city not in brush"/>
    <x v="3"/>
    <s v="advised that as long as entire city not in brush; then comfortable with no brush rating. But if any area has, then need to rate as brush"/>
    <m/>
    <m/>
    <s v="Burdine"/>
    <m/>
    <m/>
    <n v="0"/>
  </r>
  <r>
    <x v="191"/>
    <s v="Hull Irvine"/>
    <s v="CA"/>
    <s v="Alison"/>
    <s v="Email"/>
    <s v="DB Charleston, LLS"/>
    <m/>
    <x v="5"/>
    <s v="Los Angeles"/>
    <x v="1"/>
    <m/>
    <x v="8"/>
    <x v="791"/>
    <x v="1133"/>
    <s v="Wildfire &lt;20 miles"/>
    <s v="1969 vacant frame dwelling.  8.25 miles from Creek fire (I measured). Fire is 98% contained, no longer under control of CalFire. They are clearing remaining issue.  "/>
    <x v="4"/>
    <s v="Agreed to bind since fire is highly contained per multiple sources and 8.25 miles away."/>
    <m/>
    <m/>
    <s v="Patterson"/>
    <m/>
    <m/>
    <n v="0"/>
  </r>
  <r>
    <x v="287"/>
    <s v="SCU"/>
    <s v="CO"/>
    <s v="Allison"/>
    <s v="Email"/>
    <s v="Otto, Vince"/>
    <m/>
    <x v="21"/>
    <s v="Westcliffe"/>
    <x v="19"/>
    <m/>
    <x v="4"/>
    <x v="791"/>
    <x v="1134"/>
    <s v="Response time 20 minutes"/>
    <s v="2016 Seasonal home with c/s alarms; in brush; PC10. FD is 2 miles away but is volunteer. Could be up to 20 min response. $975,000 Cov A, TIV $1,547,500._x000a__x000a_Allison looking to compete w/Lex.  Our rater= $6,991. She needs us to get to $5,373.  Appx 24% credit._x000a__x000a_FireLine shows High-8 Medium fuels, moderate slope, no access probs, no historical wildfire activity._x000a_"/>
    <x v="1"/>
    <s v="Reviewed w/Jeff. Credit too steep for us."/>
    <m/>
    <m/>
    <s v="Patterson"/>
    <m/>
    <m/>
    <n v="1"/>
  </r>
  <r>
    <x v="300"/>
    <s v="Burns"/>
    <s v="MI"/>
    <s v="Leslie"/>
    <s v="Email"/>
    <s v="Hillard, Patrick"/>
    <m/>
    <x v="0"/>
    <s v="Fraser"/>
    <x v="19"/>
    <m/>
    <x v="6"/>
    <x v="791"/>
    <x v="1135"/>
    <s v="TIV"/>
    <s v="1997 home with 2 losses - hail and adult son suicide in basement/cleanup."/>
    <x v="4"/>
    <m/>
    <m/>
    <m/>
    <s v="Patterson"/>
    <m/>
    <m/>
    <n v="0"/>
  </r>
  <r>
    <x v="553"/>
    <s v="Burns"/>
    <s v="MI"/>
    <s v="Jill"/>
    <s v="Email"/>
    <s v="Bates"/>
    <s v="Brian"/>
    <x v="75"/>
    <s v="Fort Wayne"/>
    <x v="17"/>
    <m/>
    <x v="8"/>
    <x v="791"/>
    <x v="1136"/>
    <s v="Roof "/>
    <s v="PC2, frame, c/s alarms, built in 1974/will confirm full updates, no losses, located in IN; Wood shake roof put on in 1989 and resealed/patched in 2016 with a new 8yr warranty.  I don't have a copy of the warranty, but I am told we can get it if need be.  Could we write this wood shake roof with an ACV loss settlement on the roof if we get a copy of the warranty?"/>
    <x v="3"/>
    <s v="subject to warranty for ACV loss on roof"/>
    <m/>
    <m/>
    <s v="Burdine"/>
    <m/>
    <m/>
    <n v="0"/>
  </r>
  <r>
    <x v="620"/>
    <s v="Hull Irvine"/>
    <s v="CA"/>
    <s v="Bobbi"/>
    <s v="Email"/>
    <s v="Lansberry"/>
    <s v="Kevin &amp; Lynn"/>
    <x v="0"/>
    <s v="Pasadena"/>
    <x v="1"/>
    <m/>
    <x v="0"/>
    <x v="791"/>
    <x v="23"/>
    <s v="High Profile"/>
    <s v="1976 home updated in 2017. Prior owner had claims - agt getting info. Insured is VP and CFO for Disney.  In brush."/>
    <x v="3"/>
    <s v="Agt getting claim info-will refer if applicable. Offered x-liability after discussion w/Louisa. Insured too high profile for liab. // Later on 3/8 agent found out $20K smoke claim from Sand Fires. All damage repaired. Also a $0 theft - not an issue."/>
    <m/>
    <m/>
    <s v="Patterson"/>
    <m/>
    <m/>
    <n v="0"/>
  </r>
  <r>
    <x v="243"/>
    <s v="Burns"/>
    <s v="MI"/>
    <s v="Ben"/>
    <s v="Email"/>
    <s v="Sabatella, Anthony"/>
    <m/>
    <x v="0"/>
    <s v="Truckee CA PC9"/>
    <x v="3"/>
    <m/>
    <x v="0"/>
    <x v="791"/>
    <x v="1137"/>
    <s v="TIV&gt;$1.5M"/>
    <s v="1998 home not in brush no losses. 5 acres. Resp FD is 4 miles away, confirmed."/>
    <x v="4"/>
    <m/>
    <m/>
    <m/>
    <s v="Patterson"/>
    <m/>
    <m/>
    <n v="0"/>
  </r>
  <r>
    <x v="361"/>
    <s v="SCU"/>
    <s v="CO"/>
    <s v="Allison"/>
    <s v="Email"/>
    <s v="Kania, Jan"/>
    <m/>
    <x v="5"/>
    <s v="Dewey-Humboldt AZ  PC10"/>
    <x v="3"/>
    <m/>
    <x v="0"/>
    <x v="792"/>
    <x v="1138"/>
    <s v="Rate reduction"/>
    <s v="3 vacant units currently w/Lloyds. Allison looking for 22% credit to match rate, and to set up a program where she can automatically apply credits, like Seacoast project."/>
    <x v="1"/>
    <s v="Referred to Jeff w/recommendations."/>
    <s v="Provided some questions and proposal to work the book of possible Lloyds business but declined this risk. Jeff agreed."/>
    <m/>
    <s v="Patterson"/>
    <m/>
    <m/>
    <n v="1"/>
  </r>
  <r>
    <x v="205"/>
    <s v="Burns"/>
    <s v="MI"/>
    <s v="Danielle"/>
    <s v="Email"/>
    <s v="Contreras, Christina"/>
    <m/>
    <x v="0"/>
    <s v="Foresthill CA PC? (3/9/10W)"/>
    <x v="3"/>
    <m/>
    <x v="0"/>
    <x v="793"/>
    <x v="1139"/>
    <s v="PC9 TIV over authority"/>
    <s v="1986 frame home w/ alarms. New purchase. Ran PPC which shows 3, Burns says 9, Retail Agt says 10W. Verified w/ISO. Medium per RM. High per FireLine.  Woodstoves in online photos. No roof updates noted."/>
    <x v="4"/>
    <s v="Approved subject to PPC verif, woodstove review, roof exclusion, brush clearance. "/>
    <m/>
    <m/>
    <s v="Patterson"/>
    <m/>
    <m/>
    <n v="0"/>
  </r>
  <r>
    <x v="743"/>
    <s v="Hull CA"/>
    <s v="Irvine"/>
    <s v="Alison"/>
    <s v="Email"/>
    <s v="Moses, Sharyn"/>
    <m/>
    <x v="0"/>
    <s v="Altadena CA PC9"/>
    <x v="3"/>
    <m/>
    <x v="0"/>
    <x v="794"/>
    <x v="1140"/>
    <s v="Duplex w/med students"/>
    <s v="Unit 1 is owner occupied by insured. Unit 2 is occupied by med students. Current carrier nonrenewed.  We are okay with med/grad students. Alison is including animal liab and providing me with a copy of Lex form to exclude animal liab for tenants in a situation like this."/>
    <x v="3"/>
    <s v="Approved subject to including the tenant animal exclusion."/>
    <m/>
    <m/>
    <s v="Patterson"/>
    <m/>
    <m/>
    <n v="0"/>
  </r>
  <r>
    <x v="165"/>
    <s v="Burns"/>
    <s v="MI"/>
    <s v="Rachel"/>
    <s v="Email"/>
    <s v="Branson"/>
    <s v="Michael"/>
    <x v="16"/>
    <s v="Pacific"/>
    <x v="50"/>
    <m/>
    <x v="6"/>
    <x v="794"/>
    <x v="1141"/>
    <s v="PC"/>
    <s v="Home was built in 2003. It is built of 100% frame construction. PC10. No losses."/>
    <x v="4"/>
    <s v="Response time, PCQ OK"/>
    <m/>
    <m/>
    <s v="Burdine"/>
    <m/>
    <m/>
    <n v="0"/>
  </r>
  <r>
    <x v="420"/>
    <s v="Appalachian"/>
    <s v="TN"/>
    <s v="John"/>
    <m/>
    <s v="Rieben"/>
    <s v="Tanaya"/>
    <x v="0"/>
    <s v="Leesburg"/>
    <x v="10"/>
    <s v="20875"/>
    <x v="2"/>
    <x v="795"/>
    <x v="1142"/>
    <s v="Losses"/>
    <s v="2008 home w/ 3 prior water losses. 2 were frozen pipes from same storm but in diff locations. $28K and $8K paid in 3/14.  7/16 loss - heat pump installation issue $45K paid. Agt quoting w/$10K water ded. They provided inspection copy. Nice looking home."/>
    <x v="2"/>
    <s v="Advised we could consider $10K water ded if no mold covg. 2 losses were from same occurrence and heat pump was an install issue. However…the inspection has considerable issues that we may not be able to overcome. Listed them for the agt. PC, animals, dog, diving rock, underground tank, business on premises."/>
    <s v="Extremely high ins score."/>
    <m/>
    <s v="Patterson"/>
    <m/>
    <m/>
    <n v="0"/>
  </r>
  <r>
    <x v="787"/>
    <s v="Burns"/>
    <s v="MI"/>
    <s v="Danielle"/>
    <s v="Email"/>
    <s v="Vargas"/>
    <s v="Samuel &amp; Joshua"/>
    <x v="75"/>
    <s v="Hollister"/>
    <x v="1"/>
    <m/>
    <x v="5"/>
    <x v="796"/>
    <x v="1143"/>
    <s v="PC 9"/>
    <s v="Attached is a primary home quote for the above named insured located in CA.  Home was built in 2002 of frame construction.  PC9 with alarms and no losses."/>
    <x v="4"/>
    <s v="all info acceptable"/>
    <m/>
    <m/>
    <s v="K.Burdine"/>
    <m/>
    <m/>
    <n v="0"/>
  </r>
  <r>
    <x v="476"/>
    <s v="Burns"/>
    <s v="MI"/>
    <s v="Lindsay"/>
    <s v="Email"/>
    <s v="Reynolds"/>
    <s v="Carla"/>
    <x v="0"/>
    <m/>
    <x v="7"/>
    <m/>
    <x v="4"/>
    <x v="797"/>
    <x v="1144"/>
    <s v="PC"/>
    <s v="The property is accessible year round and is 6.3 miles to fire station, 10 minute response time."/>
    <x v="4"/>
    <s v="PCQ ,premium, online info OK"/>
    <m/>
    <m/>
    <s v="Burdine"/>
    <m/>
    <m/>
    <n v="0"/>
  </r>
  <r>
    <x v="788"/>
    <s v="Hull Irvine"/>
    <s v="CA"/>
    <s v="Bobbi"/>
    <s v="Email"/>
    <s v="DeFrenza"/>
    <s v="Antonio"/>
    <x v="4"/>
    <s v="Big Bear Lake"/>
    <x v="1"/>
    <m/>
    <x v="0"/>
    <x v="798"/>
    <x v="864"/>
    <s v="Losses"/>
    <s v="$260,000 water loss, caused 04/19/2017; part failure. Alarm company notice condensation on windows and notified insured of possible water issues"/>
    <x v="3"/>
    <s v="water exclusion; advised if other mitigations put into place (i.e. water shut off or alarm) may consider w/ special h20 deductible"/>
    <m/>
    <m/>
    <s v="Burdine"/>
    <m/>
    <m/>
    <n v="0"/>
  </r>
  <r>
    <x v="147"/>
    <s v="Hull Irvine"/>
    <s v="CA"/>
    <s v="Alex"/>
    <s v="Call/Email"/>
    <s v="Pendola"/>
    <s v="Greg &amp; Marcie"/>
    <x v="0"/>
    <s v="Calabasas"/>
    <x v="1"/>
    <m/>
    <x v="5"/>
    <x v="798"/>
    <x v="23"/>
    <s v="Prior losses"/>
    <s v="1987 home w/updates. no online photos.  4 prior losses for leaky windows and water damage. $15-$50,000 each. Insured has replaced all windows.//8/22 App shows leak from light fixture as well. Repair doc shows roof repair as well as replaced windows. Agent quoting w/$1000 ded as insd has made these extensive repairs to mitigate.  (($55K in repairs)"/>
    <x v="3"/>
    <s v="Please refer for review.//8/22 reviewed all info.  Asked for $5K water damage deductible. If we go a year w/no losses, can re-assess."/>
    <m/>
    <n v="28"/>
    <s v="Patterson"/>
    <m/>
    <m/>
    <n v="0"/>
  </r>
  <r>
    <x v="626"/>
    <s v="Burns"/>
    <s v="MI"/>
    <s v="Ben"/>
    <s v="Email"/>
    <s v="Kassis, Robert"/>
    <m/>
    <x v="0"/>
    <s v="Nevada City"/>
    <x v="1"/>
    <m/>
    <x v="4"/>
    <x v="799"/>
    <x v="1145"/>
    <s v="PC10"/>
    <s v="2005 home no alarms. Hartford NRN due to location $1875 prem. Ours $7686. Advised agt no credits due to PC10. Med brush."/>
    <x v="3"/>
    <s v="Subj to being near front of 30 acres/accessible; 150' brush; no active fire within 20 miles."/>
    <m/>
    <m/>
    <s v="Patterson"/>
    <m/>
    <m/>
    <n v="0"/>
  </r>
  <r>
    <x v="85"/>
    <s v="Hull Irvine"/>
    <m/>
    <s v="Alison"/>
    <s v="Email"/>
    <s v="Winkler, David &amp; Sherry"/>
    <m/>
    <x v="16"/>
    <s v="Mammoth Lakes"/>
    <x v="1"/>
    <m/>
    <x v="5"/>
    <x v="800"/>
    <x v="1076"/>
    <s v="Wood roof"/>
    <s v="About 1000' from brush zone, not in designated brush zone. Wood shake roof. 1997 home."/>
    <x v="4"/>
    <m/>
    <m/>
    <m/>
    <s v="Patterson"/>
    <m/>
    <m/>
    <n v="0"/>
  </r>
  <r>
    <x v="612"/>
    <s v="Hull Irvine"/>
    <s v="CA"/>
    <s v="Michelle"/>
    <m/>
    <s v="McCabe"/>
    <s v="Matt"/>
    <x v="0"/>
    <s v="Larkspur "/>
    <x v="1"/>
    <s v="94939"/>
    <x v="8"/>
    <x v="801"/>
    <x v="1146"/>
    <s v="PC"/>
    <s v="1967 home w/updates. In brush. Agt wanted us to write $32K jewelry, but declined that portion. Asked for home only, will place jewelry elsewhere."/>
    <x v="3"/>
    <s v="Risk within guidelines. Ok with jewelry insured w/other carrier."/>
    <m/>
    <m/>
    <s v="Patterson"/>
    <m/>
    <m/>
    <n v="0"/>
  </r>
  <r>
    <x v="315"/>
    <s v="Burns"/>
    <s v="MI"/>
    <s v="Matthew"/>
    <s v="Email"/>
    <s v="Williams"/>
    <s v="Richard"/>
    <x v="0"/>
    <s v="Kelseyville"/>
    <x v="1"/>
    <m/>
    <x v="4"/>
    <x v="802"/>
    <x v="1147"/>
    <s v="Prior Lapse/NRN"/>
    <s v="2000 construction, PC 10 w/ no alarm and accessible all year-12 minute response time, no losses, other structures: game room, detached garage, granny unit, home office. "/>
    <x v="4"/>
    <s v="photos, response OK"/>
    <m/>
    <m/>
    <s v="Burdine"/>
    <m/>
    <m/>
    <n v="0"/>
  </r>
  <r>
    <x v="789"/>
    <s v="Hull Irvine"/>
    <s v="CA"/>
    <s v="Alison"/>
    <s v="Email/Call"/>
    <s v="Pakzad"/>
    <s v="Nicolas"/>
    <x v="0"/>
    <s v="Beverly Hills"/>
    <x v="1"/>
    <m/>
    <x v="0"/>
    <x v="803"/>
    <x v="0"/>
    <s v="High Profile"/>
    <s v="Insureds father was owner of high end boutique. Son inherited. Owns 2 properties near each other. Agent is writing them separately. Primary and guest house. "/>
    <x v="4"/>
    <s v="Reviewed w/Louisa. Not too famous."/>
    <m/>
    <m/>
    <s v="Patterson"/>
    <m/>
    <m/>
    <n v="0"/>
  </r>
  <r>
    <x v="534"/>
    <s v="Hull Irvine"/>
    <s v="CA"/>
    <s v="Alison"/>
    <s v="Call"/>
    <s v="Cauden Ltd a BVI Ltd Co."/>
    <m/>
    <x v="4"/>
    <s v="Sherman Oaks"/>
    <x v="1"/>
    <m/>
    <x v="0"/>
    <x v="803"/>
    <x v="0"/>
    <s v="Other UW Reason"/>
    <s v="Named Insured out of Country:  Agent wondered if we had an issue with the named insured.  "/>
    <x v="4"/>
    <s v="We have written overseas named insured's before. Agt says no adverse info online, couldn't find anything. Will get LLC questionnaire."/>
    <m/>
    <m/>
    <s v="Patterson"/>
    <m/>
    <m/>
    <n v="0"/>
  </r>
  <r>
    <x v="558"/>
    <s v="Hull Horsham"/>
    <m/>
    <s v="Nichole"/>
    <s v="Email"/>
    <m/>
    <m/>
    <x v="8"/>
    <m/>
    <x v="3"/>
    <m/>
    <x v="0"/>
    <x v="803"/>
    <x v="0"/>
    <s v="Owned by large trust"/>
    <s v="Property is owned by trust that has 48 family members. They use this prop seasonally as a vacation residence. 12 shed structures on our insureds beach owned by neighbors."/>
    <x v="2"/>
    <s v="Initial suggestions/questions: • I’m sure we’d have to do this excluding liability_x000a_• We would have to specifically exclude the changing rooms_x000a_• Could we see a list of rules/regs or any contract pertaining to the property and the family members use_x000a_• Who in the family is ultimately responsible for managing insurance and home maintenance_x000a_• Is there a maintenance person or property manager who looks over the property_x000a_"/>
    <m/>
    <m/>
    <s v="Patterson"/>
    <m/>
    <m/>
    <n v="0"/>
  </r>
  <r>
    <x v="790"/>
    <s v="Hull Irvine"/>
    <s v="CA"/>
    <s v="Alex"/>
    <s v="Call"/>
    <s v="Oakley"/>
    <s v="Natasha"/>
    <x v="0"/>
    <s v="Los Angeles"/>
    <x v="1"/>
    <m/>
    <x v="0"/>
    <x v="803"/>
    <x v="0"/>
    <s v="High profile"/>
    <s v="Insured achieved fame as a blogger and on instagram. She and close friend have &quot;Bikini A Day&quot; business. No adverse news."/>
    <x v="3"/>
    <s v="Excluding liability.  Insured could be a target risk - public and lavish lifestyle."/>
    <m/>
    <m/>
    <s v="Patterson"/>
    <m/>
    <m/>
    <n v="0"/>
  </r>
  <r>
    <x v="533"/>
    <s v="Hull Horsham"/>
    <s v="PA"/>
    <s v="Tamika"/>
    <s v="Call/Email"/>
    <s v="TBD"/>
    <m/>
    <x v="5"/>
    <s v="Philadelphia"/>
    <x v="2"/>
    <m/>
    <x v="0"/>
    <x v="803"/>
    <x v="0"/>
    <s v="ACV okay?"/>
    <s v="Beautiful updated home with ornate woodwork and interior trims. Insured relocating from MO and wants to insure ACV only. Online photos show good condition."/>
    <x v="4"/>
    <m/>
    <m/>
    <m/>
    <s v="Patterson"/>
    <m/>
    <m/>
    <n v="0"/>
  </r>
  <r>
    <x v="415"/>
    <s v="Hull CO"/>
    <s v="Charlotte"/>
    <s v="Alia"/>
    <s v="Call"/>
    <m/>
    <m/>
    <x v="1"/>
    <m/>
    <x v="3"/>
    <m/>
    <x v="0"/>
    <x v="803"/>
    <x v="0"/>
    <s v="Tail end construction"/>
    <s v="New home insured w/Zurich ground up construction. Policy expiring 8/23. Needs 30-60 day policy. Ready to move to Chubb when done. "/>
    <x v="1"/>
    <s v="Agent proposed 3 mos fully earned. Big exposure for us at the tail end."/>
    <m/>
    <m/>
    <s v="Patterson"/>
    <m/>
    <m/>
    <n v="1"/>
  </r>
  <r>
    <x v="791"/>
    <s v="Burns"/>
    <s v="MI"/>
    <s v="Nicole"/>
    <m/>
    <s v="Franks"/>
    <s v="Richard"/>
    <x v="1"/>
    <s v="Northville"/>
    <x v="8"/>
    <s v="48167"/>
    <x v="3"/>
    <x v="803"/>
    <x v="647"/>
    <s v="Builders Risk"/>
    <s v="1937 year built. Will be fully updated in 2019, home is being completely redone/gutted. There is a lapse since July, insured just started reno and thought contractor was purchasing COC policy. House is being lifted and poured foundation. Now has 4 walls, roof is being redone. Insured is owner of Livenation (ticket website). "/>
    <x v="3"/>
    <s v="Everything checks out with the builders risk. Since there was mention of roof being replaced, approved subject to roof exclusion and water damage exclusion until it is completely replaced. They had 10% surcharge for lapse, advised that should be increased to 20%. There wasn't any mention of updates but I am assuming with gut job those are all done/being done. Advised no ineligible wiring if electricity is still active. UPDATE 3/11/19: Burns came back asking to remove water exclusion since foundation is now completed. Advised part of water exclusion was due to roof being replaced. Once that is compelte we can remove roof and water exclusions."/>
    <m/>
    <m/>
    <s v="Busse"/>
    <m/>
    <m/>
    <n v="0"/>
  </r>
  <r>
    <x v="667"/>
    <s v="Burns"/>
    <s v="MI"/>
    <s v="Lindsey"/>
    <m/>
    <s v="Seger"/>
    <s v="David"/>
    <x v="6"/>
    <s v="Baroda "/>
    <x v="8"/>
    <s v="49101"/>
    <x v="26"/>
    <x v="803"/>
    <x v="647"/>
    <s v="Builders Risk"/>
    <s v="1900 church being renovated to B&amp;B. Orig approved by Bethany. Construction now starting. No vandalism-photo in insp shows start of tearout. Mechanicals will be upgraded. Insp shows no issues. $1M is 100% of completed value. Okay to apply TBE. 5X PC confirmed."/>
    <x v="0"/>
    <s v="Inspection shows acceptable risk. No excl needed. Verify one room in photos. Need 100% ITV. Apply TBE in case conversion doesn't happen promptly. Need PCQ. // MP 4/19/19 All concerns satisfied. Verified response time/drive time on google. "/>
    <s v="Good ins score."/>
    <m/>
    <s v="Patterson"/>
    <m/>
    <m/>
    <n v="0"/>
  </r>
  <r>
    <x v="792"/>
    <s v="Hull Irvine"/>
    <s v="CA"/>
    <s v="Alison"/>
    <s v="Email"/>
    <s v="Letts"/>
    <s v="Ian"/>
    <x v="1"/>
    <s v="Los Angeles"/>
    <x v="1"/>
    <m/>
    <x v="8"/>
    <x v="803"/>
    <x v="755"/>
    <s v="Builders Risk"/>
    <s v="They are using a licensed and insured GC and will move in upon completion. The home is 65% completed."/>
    <x v="2"/>
    <s v="It appears the build started in 2015. Why has it taken so long to complete? Additionally, it doesn’t appear the have any coverage in place currently. Is there a reason why they have gone without coverage, and are now seeking so late into the project?"/>
    <m/>
    <m/>
    <s v="Burdine"/>
    <m/>
    <m/>
    <n v="0"/>
  </r>
  <r>
    <x v="589"/>
    <s v="SCU"/>
    <s v="CO"/>
    <s v="Allison"/>
    <s v="Email"/>
    <s v="Talenfeld"/>
    <s v="Elizabeth"/>
    <x v="4"/>
    <s v="Somerset"/>
    <x v="19"/>
    <m/>
    <x v="4"/>
    <x v="803"/>
    <x v="1096"/>
    <s v="PC"/>
    <s v="Insured has a dome home used seasonally now that agent wants to insure for $100K with a roof exclusion. Will be starting construction on a $1M seasonal this summer, ground up. Road not accessible year round, but will be when new home is built. "/>
    <x v="3"/>
    <s v="Can't do dome home unless they have a valid estimator that has &quot;dome&quot; construction option.  Can do builders risk - ok with .80 rate now and .65 when occupied due to extended response time - 15 miles, 5 is dirt."/>
    <m/>
    <m/>
    <s v="Patterson"/>
    <m/>
    <m/>
    <n v="0"/>
  </r>
  <r>
    <x v="758"/>
    <s v="JM Wilson"/>
    <s v="MI"/>
    <s v="Lori"/>
    <m/>
    <s v="Diorio"/>
    <s v="Thomas   "/>
    <x v="4"/>
    <s v="Malvern"/>
    <x v="40"/>
    <s v="44644"/>
    <x v="33"/>
    <x v="803"/>
    <x v="1096"/>
    <s v="Other UW Reason"/>
    <s v="Agent needed second opinion on the risk due to being fairly new quoting with us. $1M+ TIV, used as secondary while insured sells PA home. "/>
    <x v="3"/>
    <s v="All within agents authority. 2 issues found: Not PC8. I ran PPC - it is a 5Y which is 10% higher rate. Also, agt says secondary, but she added rental forms. Advised to remove, or ensure it is rated sec w/rental."/>
    <m/>
    <m/>
    <s v="Patterson"/>
    <m/>
    <m/>
    <n v="0"/>
  </r>
  <r>
    <x v="99"/>
    <s v="Hull Irvine"/>
    <m/>
    <s v="Alison"/>
    <s v="Email"/>
    <s v="Stuart, Charles"/>
    <m/>
    <x v="83"/>
    <s v="Santa Barbara"/>
    <x v="1"/>
    <m/>
    <x v="5"/>
    <x v="803"/>
    <x v="1148"/>
    <s v="Brush clearance"/>
    <s v="New 2017 home.  Insd has 150 brush clearance on all sides except one side has only 50' to neighbors property. It sounds like it isn't properly cleared."/>
    <x v="0"/>
    <s v="Approved per guidelines, ok to clear to property line. Advised to call FD or Cal Fire to report. Also some ? From app that don't have explanations.//No animals. Roof is not flat=slight slope. Reno from prev fire. Almost rebuilt. Sent new questions about the prior loss.//6/20 all info received and okay."/>
    <m/>
    <m/>
    <s v="Patterson"/>
    <m/>
    <m/>
    <n v="0"/>
  </r>
  <r>
    <x v="604"/>
    <s v="Hull Irvine"/>
    <s v="CA"/>
    <s v="Bobbi"/>
    <s v="Email"/>
    <s v="Yehoda"/>
    <s v="Yaron"/>
    <x v="5"/>
    <s v="Los Angeles"/>
    <x v="1"/>
    <m/>
    <x v="8"/>
    <x v="803"/>
    <x v="1119"/>
    <s v="Occupancy/Use"/>
    <s v="100,000 in contents for a vacant home without alarms. The home was rebuilt in 2017 and is furnished and up for sale now."/>
    <x v="3"/>
    <s v="required $10K theft ded"/>
    <m/>
    <m/>
    <s v="Burdine"/>
    <m/>
    <m/>
    <n v="0"/>
  </r>
  <r>
    <x v="595"/>
    <s v="Hull Irvine"/>
    <m/>
    <s v="Alison"/>
    <s v="Email"/>
    <s v="Sutherland"/>
    <m/>
    <x v="137"/>
    <s v="Santa Barbara"/>
    <x v="1"/>
    <m/>
    <x v="2"/>
    <x v="803"/>
    <x v="1149"/>
    <s v="Asbestos removal"/>
    <s v="1905 home in process of renovation - asbestos removal is part of the plan."/>
    <x v="1"/>
    <m/>
    <m/>
    <m/>
    <s v="Patterson"/>
    <m/>
    <m/>
    <n v="1"/>
  </r>
  <r>
    <x v="537"/>
    <s v="Hull CO"/>
    <s v="NJ"/>
    <s v="Lisa"/>
    <s v="Email"/>
    <s v="Daniels, Marc"/>
    <m/>
    <x v="1"/>
    <s v="Kinnelon NJ PC9"/>
    <x v="3"/>
    <m/>
    <x v="0"/>
    <x v="803"/>
    <x v="1150"/>
    <s v="Open loss"/>
    <s v="Frozen pipe 2/15/15 $160,000. Home now vacant, rebuilding, then for sale. Damages are paid by prior carrier-this is the rebuild."/>
    <x v="4"/>
    <s v="Discussed w/Jeff. Approved terms HO3 w/surcharge 20%, water ded $10K no credit. Convert to DP3 vacant when done"/>
    <m/>
    <m/>
    <s v="Patterson"/>
    <m/>
    <m/>
    <n v="0"/>
  </r>
  <r>
    <x v="504"/>
    <s v="Burns"/>
    <s v="CA"/>
    <s v="Nicole"/>
    <m/>
    <s v="Naidu Family Vineyards, LLC"/>
    <m/>
    <x v="2"/>
    <s v="Sabastopol"/>
    <x v="1"/>
    <s v="95472"/>
    <x v="5"/>
    <x v="803"/>
    <x v="744"/>
    <s v="Business on Premises"/>
    <s v="Frame home built in 1993.  Dwelling sits on 10 acres of vineyards.  3 acres is rented to the Naidu family for commercial production.  Vineyard is fenced off from dwelling and short-term rental tenants are not allowed access to the vineyard.  No alarm and no prior losses.  Agent requested to include liability and a TBE."/>
    <x v="1"/>
    <s v="Based on mapping location provided by the agency, home has a lengthy and fairly narrow road leading to it from the road address provided.  This combined with short term vacation rental status and proximity to vineyard ops are reasons for decline."/>
    <s v="Ins score is No Hit"/>
    <m/>
    <s v="Bach"/>
    <m/>
    <m/>
    <n v="1"/>
  </r>
  <r>
    <x v="158"/>
    <s v="Burns"/>
    <s v="MI"/>
    <s v="Jill"/>
    <s v="Email"/>
    <s v="Perez"/>
    <s v="Victor"/>
    <x v="16"/>
    <s v="Glenbrook"/>
    <x v="39"/>
    <m/>
    <x v="9"/>
    <x v="803"/>
    <x v="744"/>
    <s v="Pricing"/>
    <s v="1974 frame secondary with no losses, no alarms. Full update to FLAT roof in 2010. VMGA=$3048 (.25) . Lloyds=$2595 (.21). appx 15% credit. They are quoting HO5."/>
    <x v="1"/>
    <s v="Asked Delta if VMGA had any credit applied yet (since agent has discretionary)// Declined to match the rate due to 1974 secondary w/flat roof. No online info or photos to give me any additional comfort level."/>
    <m/>
    <n v="22"/>
    <s v="Patterson"/>
    <m/>
    <m/>
    <n v="1"/>
  </r>
  <r>
    <x v="207"/>
    <s v="Hull CA"/>
    <s v="Stockton"/>
    <s v="Alison"/>
    <s v="Email"/>
    <s v="Mullin, John"/>
    <m/>
    <x v="99"/>
    <s v="Riverside CA PC4"/>
    <x v="3"/>
    <m/>
    <x v="0"/>
    <x v="803"/>
    <x v="1151"/>
    <s v="Seasonal/Vacation Rental usage"/>
    <s v="3 units - 1st floor used by insured seasonally, top 2 are vacation rentals."/>
    <x v="0"/>
    <m/>
    <m/>
    <m/>
    <s v="Trott/Burdine/Patterson"/>
    <m/>
    <m/>
    <n v="0"/>
  </r>
  <r>
    <x v="529"/>
    <s v="Hull Charlotte"/>
    <s v="NC"/>
    <s v="Tammi"/>
    <m/>
    <s v="Kourakos"/>
    <s v="John"/>
    <x v="0"/>
    <s v="Bluffton"/>
    <x v="20"/>
    <s v="29910"/>
    <x v="8"/>
    <x v="803"/>
    <x v="1152"/>
    <s v="Losses"/>
    <s v="2003 home w/ 2 prior losses 3/20/18 hail $29K. 12/16/17 fire $150K. Tammi will go up $3K and still be within range of competition. First responder report provided."/>
    <x v="2"/>
    <s v="Need first responder report, DOB to run ins score, fully completed app, was roof replaced?  //  5/15/19 MP Tammi says no FM report. Advised we can approve rate indication, but no terms approved w/o another authority confirming cause of fire.  App provided-ok. Ins score good."/>
    <s v="I ran ins score 797"/>
    <m/>
    <s v="Patterson"/>
    <m/>
    <m/>
    <n v="0"/>
  </r>
  <r>
    <x v="156"/>
    <s v="SCU"/>
    <s v="CO"/>
    <s v="Ashley"/>
    <s v="Email"/>
    <s v="1738 Golf Lane LLC"/>
    <m/>
    <x v="138"/>
    <s v="Vail"/>
    <x v="19"/>
    <m/>
    <x v="8"/>
    <x v="803"/>
    <x v="1153"/>
    <s v="TIV"/>
    <s v="1983 risk updated. Insd uses as secondary, never rented. Insured is a businessman in the community. No adverse info at all."/>
    <x v="3"/>
    <s v="See file."/>
    <m/>
    <n v="18"/>
    <s v="Patterson"/>
    <m/>
    <m/>
    <n v="0"/>
  </r>
  <r>
    <x v="631"/>
    <s v="Quaker"/>
    <m/>
    <s v="Tim"/>
    <s v="Email"/>
    <s v="Sebenius, James"/>
    <m/>
    <x v="0"/>
    <s v="Fresno CA PC10"/>
    <x v="3"/>
    <m/>
    <x v="0"/>
    <x v="803"/>
    <x v="1154"/>
    <s v="Response time"/>
    <s v="1920 home updated in 2011. Letter from FD that response time is 27 minutes. Just discussed w/Jeff today and we are being tight with our 15 minutes."/>
    <x v="1"/>
    <m/>
    <m/>
    <m/>
    <s v="Patterson"/>
    <m/>
    <m/>
    <n v="1"/>
  </r>
  <r>
    <x v="32"/>
    <s v="Burns"/>
    <s v="MI"/>
    <s v="Rachel"/>
    <s v="Email"/>
    <s v="Marshall"/>
    <s v="Stephen"/>
    <x v="2"/>
    <m/>
    <x v="1"/>
    <m/>
    <x v="6"/>
    <x v="803"/>
    <x v="880"/>
    <s v="Business on Premises"/>
    <s v="the dwelling is rented to long term tenants and the garage is rented to a painter who does not live there but uses the structures as his workshop. There is no foot traffic, but he does store some paintings and materials in the garage. No more than $10,000 worth of material. We have added a total business exclusion."/>
    <x v="4"/>
    <s v="TBE included, since tenant occupied Ok with comm exposure, acceptable RM and PCQ obtained"/>
    <m/>
    <m/>
    <s v="Burdine"/>
    <m/>
    <m/>
    <n v="0"/>
  </r>
  <r>
    <x v="400"/>
    <s v="Burns"/>
    <s v="CA"/>
    <s v="Rachel"/>
    <m/>
    <s v="Darrah"/>
    <s v="Jeanne"/>
    <x v="3"/>
    <s v="Saint Catalina Island"/>
    <x v="1"/>
    <m/>
    <x v="5"/>
    <x v="803"/>
    <x v="1111"/>
    <s v="Other UW Reason"/>
    <s v="Seasonal home on island considered in LA County. The island mainly consists of a marina for yachts. Full city fire department fire coverage. Issue is that WRS report noted that this risk is not in a wildfire zone. Reviewed report and location and told them to proceed. The island is surrounded by water and not considered a wildfire area."/>
    <x v="4"/>
    <s v="After research, comfortable this is not considered a wildfire zone. Small island surrounded by deep pacific water."/>
    <m/>
    <m/>
    <s v="Busse"/>
    <m/>
    <m/>
    <n v="0"/>
  </r>
  <r>
    <x v="41"/>
    <s v="Hull Irvine"/>
    <s v="CA"/>
    <s v="Bobbi"/>
    <s v="Email"/>
    <s v="Chartoff"/>
    <s v="Charley"/>
    <x v="2"/>
    <s v="Malibu"/>
    <x v="1"/>
    <m/>
    <x v="8"/>
    <x v="803"/>
    <x v="1155"/>
    <s v="TIV"/>
    <s v="PC OK, no brush"/>
    <x v="4"/>
    <s v="guidelines met"/>
    <m/>
    <m/>
    <s v="Burdine"/>
    <m/>
    <m/>
    <n v="0"/>
  </r>
  <r>
    <x v="251"/>
    <s v="Quaker"/>
    <m/>
    <s v="Tim"/>
    <s v="Email"/>
    <s v="Norkin Rev Trust"/>
    <m/>
    <x v="0"/>
    <s v="Nantucket MA"/>
    <x v="21"/>
    <m/>
    <x v="0"/>
    <x v="803"/>
    <x v="1156"/>
    <s v="2 open water claims/B&amp;B"/>
    <s v="1768 home renovated and updated. Has 2 open water claims from 2016. Also has B&amp;B in the home. "/>
    <x v="1"/>
    <m/>
    <m/>
    <m/>
    <s v="Patterson"/>
    <m/>
    <m/>
    <n v="1"/>
  </r>
  <r>
    <x v="793"/>
    <s v="Burns"/>
    <s v="MI"/>
    <s v="Leslie"/>
    <s v="Email/Call"/>
    <s v="Itz"/>
    <s v="David &amp; Juliana"/>
    <x v="1"/>
    <s v="Ribera"/>
    <x v="15"/>
    <m/>
    <x v="4"/>
    <x v="803"/>
    <x v="946"/>
    <s v="Response time"/>
    <s v="2007 risk w/30-45 minute volunteer FD response time. Insd may be GC-app and BR quest conflict-Leslie will verify. Pricing is .20/TIV. Flat roof. $10K ded. Was a B&amp;B-new purchase."/>
    <x v="0"/>
    <s v="Need competitor pricing. Danielle indicated .60-.80 for longer response times. Our rate of $2106 considers 15 min.//Went with .60 TIV rate //8/30 revised terms to $1M Cov A from $700,000"/>
    <m/>
    <n v="54"/>
    <s v="Patterson"/>
    <m/>
    <m/>
    <n v="0"/>
  </r>
  <r>
    <x v="431"/>
    <s v="Hull Irvine"/>
    <s v="CA"/>
    <s v="Alison"/>
    <m/>
    <s v="McCutcheon"/>
    <s v="John"/>
    <x v="0"/>
    <s v="Redwood City"/>
    <x v="1"/>
    <s v="94062"/>
    <x v="2"/>
    <x v="803"/>
    <x v="18"/>
    <s v="Losses"/>
    <s v="1998 year built, WRS 6. Per agent, applicant has not had claims for 30 years until 2018. Automatic fire sprinkler pipe was ruptured during installation of a ceiling fan $226k. Then, while applicant was our of the home for damage to be repaired, someone broke in to the vacant home and stole personal property $27k. CSA alarms have been installed. Agent already included a water exclusion. "/>
    <x v="4"/>
    <s v="Approved as quoted since water exclusion was already applied. No other concerns, CSA alarms will help mitigate any future theft losses. UPDATE 3/20/2019: Alison came back asking if we can consider removing the water damage exclusion and moving forward with an increased deductible instead. Loss was not one that indicates plumbing system issues, and was fault when insured hit a pipe when installing a ceiling fan. No other losses other than this loss. Advised we will approve with the removal of the exclusion and applying a $25,000 water damage deductible. "/>
    <s v="The initial request came from the agent advising they would put a water exclusion in place, so I approved terms as such, even though just an incrased deductible would have been acceptable. "/>
    <m/>
    <s v="Busse"/>
    <m/>
    <m/>
    <n v="0"/>
  </r>
  <r>
    <x v="70"/>
    <s v="Burns"/>
    <s v="MI"/>
    <s v="Leslie"/>
    <s v="Email"/>
    <s v="1802 Palisades Investments"/>
    <m/>
    <x v="132"/>
    <s v="Leawood"/>
    <x v="28"/>
    <m/>
    <x v="0"/>
    <x v="803"/>
    <x v="18"/>
    <s v="Business in home"/>
    <s v="1995 home. Roof update in 2009. Agt advises insd does consulting in home. Uses for personal and rents out to clients. Found online bankruptcy. Answered &quot;no&quot; on the app. Insured replied &quot;oh, I thought we discussed&quot;.  Requested X Liability and with Total Biz Excl."/>
    <x v="0"/>
    <s v="Asked for info on bankruptcy and more info on the business.  Sent back a whole bunch more questions.  Still need to examine the bankruptcy. Mr 712 w/tax liens &amp; bad debt; Mrs 809 and ok. Sent back a final message asking for full description of the risk as I cannot figure out from the vague, incomplete and contradictory answers. Received summary and I am comfortable."/>
    <m/>
    <m/>
    <s v="Patterson"/>
    <m/>
    <m/>
    <n v="0"/>
  </r>
  <r>
    <x v="238"/>
    <s v="Hull CA"/>
    <s v="Irvine"/>
    <s v="Alison"/>
    <s v="Email"/>
    <s v="Wind &amp; Sea Property LLC"/>
    <m/>
    <x v="112"/>
    <s v="Big Sur, CA PC10"/>
    <x v="3"/>
    <m/>
    <x v="0"/>
    <x v="803"/>
    <x v="18"/>
    <s v="PC10"/>
    <s v="2006 home. No solid info on responding fire department. Might be 15 miles away with 24-29 minute response, or .8 miles away. Near brush per RM. Extreme brush per FireLine."/>
    <x v="1"/>
    <s v="Advised Alison we need solid info on responding to consider due to FireLine score."/>
    <s v="Alison advised that the Fire Brigade confirmed the closest FD would respond. She then came back indicating the insured may be &quot;hosting weddings and possibly other events here as well from time to time&quot;.  I advised we were not comfortable offering terms without more info on the details of the events and wedding situation.  Could be a liability as well as a physical damage exposure."/>
    <m/>
    <s v="Patterson"/>
    <m/>
    <m/>
    <n v="1"/>
  </r>
  <r>
    <x v="340"/>
    <s v="Burns"/>
    <s v="MI"/>
    <s v="Alexa"/>
    <s v="Email"/>
    <s v="Garfield"/>
    <s v="Kathleen"/>
    <x v="53"/>
    <s v="Los Angeles"/>
    <x v="1"/>
    <m/>
    <x v="11"/>
    <x v="803"/>
    <x v="1157"/>
    <s v="TIV"/>
    <s v="1989 condo located in brush. Good ins score. "/>
    <x v="4"/>
    <s v="We have a project item to evaluate TIV for condos - need to increase the referral point."/>
    <m/>
    <m/>
    <s v="Patterson"/>
    <m/>
    <m/>
    <n v="0"/>
  </r>
  <r>
    <x v="758"/>
    <s v="Burns"/>
    <s v="MI"/>
    <s v="Rachel"/>
    <m/>
    <s v="Vasquez"/>
    <s v="Julian"/>
    <x v="0"/>
    <s v="Tuleta"/>
    <x v="23"/>
    <s v="78162"/>
    <x v="6"/>
    <x v="803"/>
    <x v="1076"/>
    <s v="Prior Lapse/NRN"/>
    <s v="2 year lapse and Insd has 6 pleasure use horses.2008 home w/ cs burglar alarm. No Cov B, No Liab. App also shows 37 cattle."/>
    <x v="3"/>
    <s v="No liab coverage. Add TBE, ensure fencing is ok, require coml policy in place. Even though no liab, could incur large defense costs. 20% surcharge for lapse."/>
    <m/>
    <m/>
    <s v="Patterson"/>
    <m/>
    <m/>
    <n v="0"/>
  </r>
  <r>
    <x v="113"/>
    <s v="ASL"/>
    <s v="VA"/>
    <s v="Charity"/>
    <s v="Email"/>
    <s v="Taylor, Peter &amp; Patricia"/>
    <m/>
    <x v="21"/>
    <s v="Austinville"/>
    <x v="10"/>
    <m/>
    <x v="4"/>
    <x v="803"/>
    <x v="1076"/>
    <s v="PC10"/>
    <s v="2005 home. Online search shows nearest FD is 10.2 miles away w/20 min drive time. It is a volunteer FD so actual response time will be higher."/>
    <x v="1"/>
    <s v="Advised if she gets different info on an unprotected questionnaire, let us know."/>
    <m/>
    <m/>
    <s v="Patterson"/>
    <m/>
    <m/>
    <n v="1"/>
  </r>
  <r>
    <x v="635"/>
    <s v="Burns"/>
    <s v="MI"/>
    <s v="Leslie"/>
    <s v="Email"/>
    <s v="Smith, Ken"/>
    <m/>
    <x v="0"/>
    <s v="Saratoga CA PC10"/>
    <x v="3"/>
    <m/>
    <x v="0"/>
    <x v="803"/>
    <x v="1076"/>
    <s v="PC10 TIV&gt;$1.5M"/>
    <s v="1981 home with updated roof.  In brush 10 minute response. 4 miles from FD.  Woodstove in home per online source."/>
    <x v="0"/>
    <s v="Yes answer on app to prior cancel/nrn - no explanation.  If we proceed, it is subject to acceptable woodstove questionnaire."/>
    <s v="With Lloyds, being NRN due to PC10-they are not writing. PC10 info is fine. Approved subjet to acceptable woodstove quest."/>
    <m/>
    <s v="Patterson"/>
    <m/>
    <m/>
    <n v="0"/>
  </r>
  <r>
    <x v="310"/>
    <s v="Burns"/>
    <s v="MI"/>
    <s v="Ben"/>
    <s v="Email"/>
    <s v="Segar, Peter &amp; Jean"/>
    <m/>
    <x v="38"/>
    <s v="Murietta"/>
    <x v="1"/>
    <m/>
    <x v="4"/>
    <x v="803"/>
    <x v="1076"/>
    <s v="PC 10"/>
    <s v="PC 10, in brush, questionnaires and risk meter"/>
    <x v="1"/>
    <s v="&quot;Extreme&quot; per Fireline, w/in 1 mile of Renie "/>
    <m/>
    <m/>
    <s v="Burdine"/>
    <m/>
    <m/>
    <n v="1"/>
  </r>
  <r>
    <x v="551"/>
    <s v="Hull Irvine"/>
    <s v="CA"/>
    <s v="Kelly"/>
    <s v="Email"/>
    <s v="Smith"/>
    <s v="Frank"/>
    <x v="0"/>
    <s v="Los Angeles"/>
    <x v="1"/>
    <m/>
    <x v="11"/>
    <x v="803"/>
    <x v="1158"/>
    <s v="Other UW Reason"/>
    <s v="House built in 1947, completely updated in 2006. PC1 in the Hollywood hills. New purchase and low brush."/>
    <x v="4"/>
    <s v="Not sure why it was referred. House looks great. Listed on line and in excellent condition."/>
    <m/>
    <m/>
    <s v="Lazovik"/>
    <m/>
    <m/>
    <n v="0"/>
  </r>
  <r>
    <x v="6"/>
    <s v="Hull Charlotte"/>
    <s v="NC"/>
    <s v="Alia"/>
    <m/>
    <s v="875 Chelsea Plantation"/>
    <m/>
    <x v="0"/>
    <s v="Ridgeland"/>
    <x v="20"/>
    <s v="29936"/>
    <x v="6"/>
    <x v="803"/>
    <x v="19"/>
    <s v="TIV"/>
    <s v="No docs provided. PC9, 7 min response time, 2.5 miles away."/>
    <x v="2"/>
    <s v="Asked for ACORD app, PC app, LLC/trust app. Any other docs. Can't make a decision without that info."/>
    <m/>
    <m/>
    <s v="Patterson"/>
    <m/>
    <m/>
    <n v="0"/>
  </r>
  <r>
    <x v="7"/>
    <s v="Burns"/>
    <s v="MI"/>
    <s v="Lindsay"/>
    <m/>
    <s v="Twenty Two LLC"/>
    <m/>
    <x v="42"/>
    <s v="Charlotte"/>
    <x v="11"/>
    <s v="28203"/>
    <x v="8"/>
    <x v="803"/>
    <x v="19"/>
    <s v="High Profile"/>
    <s v="2013 masonry condo. Applicant plays for Carolina Panthers. Subj to LLC quest. $5K AOP"/>
    <x v="3"/>
    <s v="No liability due to high profile. LLC quest. "/>
    <s v="Rolled roof likely flat. 6 years old. No addl guidelines. "/>
    <m/>
    <s v="Patterson"/>
    <m/>
    <m/>
    <n v="0"/>
  </r>
  <r>
    <x v="717"/>
    <s v="Burns"/>
    <s v="MI"/>
    <s v="Jill"/>
    <s v="Email"/>
    <s v="JAMES NICHOLAS &amp; DAVID LYSINGE"/>
    <m/>
    <x v="14"/>
    <s v="Santa Ysabel"/>
    <x v="1"/>
    <m/>
    <x v="4"/>
    <x v="803"/>
    <x v="19"/>
    <s v="PC"/>
    <s v="2008 build year, secondary, per PC questionnaire water tank on premise, and 15 minute response time (road partially unpaved but still accessible), in brush,  AOP is $5K"/>
    <x v="3"/>
    <s v="subject to appropriate brush clearance/surcharge; also home on 100 acres so need to be sure response time accounts for that. If doesn't, needs to let us know for reconsideration."/>
    <m/>
    <m/>
    <s v="Burdine"/>
    <m/>
    <m/>
    <n v="0"/>
  </r>
  <r>
    <x v="356"/>
    <s v="TPI"/>
    <m/>
    <s v="Heather"/>
    <s v="Email"/>
    <s v="Miller, Elizabeth"/>
    <m/>
    <x v="0"/>
    <s v="Luther OK  PC8"/>
    <x v="3"/>
    <m/>
    <x v="0"/>
    <x v="803"/>
    <x v="19"/>
    <s v="TIV over $1M"/>
    <s v="9/7/12 Lightning $30,719. 5/19/13 $976,026 Wind"/>
    <x v="1"/>
    <s v="Declined due to central OK and loss history. Called and emailed Heather."/>
    <m/>
    <m/>
    <s v="Patterson"/>
    <m/>
    <m/>
    <n v="1"/>
  </r>
  <r>
    <x v="213"/>
    <s v="Burns"/>
    <s v="MI"/>
    <s v="Jill"/>
    <s v="Email"/>
    <s v="Double Eagle LLC"/>
    <m/>
    <x v="139"/>
    <s v="New Foundland PA"/>
    <x v="3"/>
    <m/>
    <x v="0"/>
    <x v="803"/>
    <x v="19"/>
    <s v="B&amp;B 7 rooms"/>
    <s v="1992 20K SF home w/7 rooms for rent B&amp;B. Pool, indoor basketball."/>
    <x v="1"/>
    <s v="Discussed w/Jeff. At this time, until we build more program experience, we want to stick to the guidelines of 4 rooms."/>
    <m/>
    <m/>
    <s v="Patterson"/>
    <m/>
    <m/>
    <n v="1"/>
  </r>
  <r>
    <x v="290"/>
    <s v="Burns"/>
    <s v="MI"/>
    <s v="Delta"/>
    <s v="Email"/>
    <s v="Blanchot, Michael"/>
    <m/>
    <x v="0"/>
    <s v="Oak Glenn"/>
    <x v="1"/>
    <m/>
    <x v="6"/>
    <x v="803"/>
    <x v="19"/>
    <s v="Weddings on premises"/>
    <s v="1987 built &quot;castle type home&quot; with drawbridge, moat, outbuildings. Online listing mentions it as a location for weddings. Agent submitted stating insured is planning to rent yard for weddings. No immediate plans, unsure when."/>
    <x v="0"/>
    <s v="We are not a great market for this type of exposure when the home itself is the backdrop for photos. If inside of home, drawbridge, moat could be used by the wedding party, this is a concern. Tough to define a separation. X-Liability and with Total Business exclusion, coverage is getting kind of slim.  11/9/16 Branch still wants quote. Grapevines &amp; orchard on prem per online. Approved/subj to X-Liab, Total Biz Excl, either $0 oth str or exclude any bldgs used in weddings or grapes and orchard. Reminder to advise insured of the parameters of the excl. If they allow wedding party inside dwelling and there is a loss, there is no coverage for the dwelling."/>
    <m/>
    <m/>
    <s v="Patterson"/>
    <m/>
    <m/>
    <n v="0"/>
  </r>
  <r>
    <x v="397"/>
    <s v="Hull Irvine"/>
    <s v="CA"/>
    <s v="Lucas"/>
    <s v="Email"/>
    <s v="Hamlin"/>
    <s v="John"/>
    <x v="0"/>
    <s v="Malibu"/>
    <x v="1"/>
    <m/>
    <x v="0"/>
    <x v="803"/>
    <x v="1136"/>
    <s v="TIV"/>
    <s v="not in brush, but 700+ feet away so applying 20% debit"/>
    <x v="4"/>
    <s v="risk/premium acceptable"/>
    <m/>
    <m/>
    <s v="Burdine"/>
    <m/>
    <m/>
    <n v="0"/>
  </r>
  <r>
    <x v="35"/>
    <s v="Burns"/>
    <s v="MI"/>
    <s v="Rachel"/>
    <s v="Email"/>
    <s v="Sillery"/>
    <s v="Colin &amp; Audrey"/>
    <x v="0"/>
    <s v="Bell Canyon"/>
    <x v="1"/>
    <m/>
    <x v="4"/>
    <x v="803"/>
    <x v="109"/>
    <s v="PC"/>
    <s v="primary home in CA. Built in 2012 with no updates. It is frame construction, PC10. One small water loss."/>
    <x v="3"/>
    <s v="approval to issue as quoted, subject to a confirmed response time w/in 15 minutes."/>
    <m/>
    <m/>
    <s v="Burdine"/>
    <m/>
    <m/>
    <n v="0"/>
  </r>
  <r>
    <x v="391"/>
    <s v="Hull Irvine"/>
    <s v="CA"/>
    <s v="Kelly"/>
    <s v="Email"/>
    <s v="Hamlin"/>
    <s v="John"/>
    <x v="0"/>
    <s v="Malibu"/>
    <x v="1"/>
    <m/>
    <x v="8"/>
    <x v="803"/>
    <x v="109"/>
    <s v="TIV"/>
    <s v="1990 dwelling not in brush. No concerns."/>
    <x v="3"/>
    <s v="Not in brush, clean risk. PC2."/>
    <m/>
    <m/>
    <s v="Patterson"/>
    <m/>
    <m/>
    <n v="0"/>
  </r>
  <r>
    <x v="252"/>
    <s v="Hull CA"/>
    <s v="Irvine"/>
    <s v="Alex"/>
    <s v="Email"/>
    <s v="Elahi, Ali"/>
    <m/>
    <x v="0"/>
    <s v="Newport Coast CA PC3"/>
    <x v="1"/>
    <m/>
    <x v="9"/>
    <x v="803"/>
    <x v="1159"/>
    <s v="Prior losses"/>
    <s v="2005 home, alarms, not in brush. Prior exterior countertop loss $3K (?) and slab leak $100K in 5/16. Not much info on the repair/mitigation. Only losses for 10 years residing in home."/>
    <x v="0"/>
    <s v="Approved w/water damage exclusion. To consider 25K ded, need full info on damage repair and mitigation techniques used."/>
    <s v="Reply from Alex-epoxy lining added to pipe (website provided.) The damaged pipe ran from garage to kitchen - 3/4&quot; copper pipe.  Agreed to $25K water damage ded. Further receipts show that the hot water line replaced runs several appliances, kitchen, and baths. Agt asked for reduced deductible.  Agreed to go to $10K pending no further water losses."/>
    <m/>
    <s v="Patterson"/>
    <m/>
    <m/>
    <n v="0"/>
  </r>
  <r>
    <x v="321"/>
    <s v="Quaker"/>
    <s v="MA"/>
    <s v="Austin"/>
    <m/>
    <s v="Sebenius"/>
    <s v="James"/>
    <x v="4"/>
    <s v="Fresno"/>
    <x v="1"/>
    <s v="93602"/>
    <x v="4"/>
    <x v="803"/>
    <x v="1160"/>
    <s v="Other UW Reason"/>
    <s v="Quaker asking if we would consider a single one off risk in CA, PC10."/>
    <x v="1"/>
    <s v="Advised we are evaluating our position in CA, can't do a one off."/>
    <m/>
    <m/>
    <s v="Patterson"/>
    <m/>
    <m/>
    <n v="1"/>
  </r>
  <r>
    <x v="55"/>
    <s v="Hull Stockton"/>
    <s v="CA"/>
    <s v="Melissa"/>
    <m/>
    <s v="Feldhaus"/>
    <s v="Torey"/>
    <x v="0"/>
    <s v="Paradise"/>
    <x v="1"/>
    <s v="95969"/>
    <x v="0"/>
    <x v="803"/>
    <x v="1160"/>
    <s v="Losses"/>
    <s v="Open claim due to recent Camp Fire. No apparent fire damage, but there is smoke damage. Prior carrier insolvent. Not sure of full extent of damage and repair needs at this time. "/>
    <x v="1"/>
    <s v="Confirmed with Jeff, we are declining due to open claim. We are still reviewing our exposure in the area, not sure how comfortable we are with new business in Paradise. "/>
    <m/>
    <m/>
    <s v="Busse"/>
    <m/>
    <m/>
    <n v="1"/>
  </r>
  <r>
    <x v="19"/>
    <s v="Burns"/>
    <s v="MI"/>
    <s v="David"/>
    <s v="Email"/>
    <s v="Erb"/>
    <s v="Rory"/>
    <x v="0"/>
    <m/>
    <x v="1"/>
    <m/>
    <x v="4"/>
    <x v="803"/>
    <x v="1115"/>
    <s v="PC"/>
    <s v="2002 build, central alarms, frame construction, PC 10"/>
    <x v="4"/>
    <s v="PCQ, map, photos, RM OK."/>
    <m/>
    <m/>
    <s v="Burdine"/>
    <m/>
    <m/>
    <n v="0"/>
  </r>
  <r>
    <x v="319"/>
    <s v="Hull Irvine"/>
    <s v="CA"/>
    <s v="Alison"/>
    <s v="Call"/>
    <s v="Laisure"/>
    <s v="Mark &amp; Karen "/>
    <x v="4"/>
    <s v="Nevada City"/>
    <x v="1"/>
    <m/>
    <x v="4"/>
    <x v="803"/>
    <x v="23"/>
    <s v="Other UW Reason"/>
    <s v="Very nice secondary home on a lake. Has a log guest house (s/c?) with a woodstove. Also a 2nd guest house. Can they write all that? Woodstove will be removed as soon as they close (new purchase). There is an open mine. An actual mine with tracks. There also appears to be an open well pit in the photos.  The lake has a platform and a long slide going into it.  The slide is over 5' above the platform. $9K liab claim from 5 years ago."/>
    <x v="3"/>
    <s v="Agent is able to write liab elsewhere. Insd is removing the WBS. Secondary risk so feel okay about not getting a questionnaire while it's in process.  Log home is maybe 10% of the total TIV so waived any extra surcharge. Agt checking on the liab claim"/>
    <m/>
    <m/>
    <s v="Patterson"/>
    <m/>
    <m/>
    <n v="0"/>
  </r>
  <r>
    <x v="576"/>
    <s v="Quaker"/>
    <s v="MA"/>
    <s v="Austin"/>
    <s v="Email/Call"/>
    <s v="Horn"/>
    <s v="Ragnar"/>
    <x v="42"/>
    <s v="New York"/>
    <x v="44"/>
    <m/>
    <x v="0"/>
    <x v="803"/>
    <x v="23"/>
    <s v="High Profile"/>
    <s v="Insured's convicted for illegal au pair management involving overwork and &quot;employing&quot; 2 when Norway law requires light work and only 1 per HH. Condo in NY is their primary. Court case appealed in Norway."/>
    <x v="1"/>
    <s v="Willing to consider exception for the case. Willing to consider exception for another HO-6. Not able to write in NY. Can't do one off's."/>
    <m/>
    <m/>
    <s v="Patterson"/>
    <m/>
    <m/>
    <n v="1"/>
  </r>
  <r>
    <x v="92"/>
    <s v="Burns"/>
    <s v="MI"/>
    <s v="Leslie"/>
    <s v="Email/Call"/>
    <s v="Greenwood, Marion"/>
    <m/>
    <x v="0"/>
    <s v="Brooklyn"/>
    <x v="44"/>
    <m/>
    <x v="11"/>
    <x v="803"/>
    <x v="23"/>
    <s v="1896 YOC"/>
    <s v="1896 brownstone completely updated in 2005. Nice online photos. No interior info. "/>
    <x v="3"/>
    <s v="MFRC."/>
    <s v="Burns does not have the flat roof deductible requirement of other partners."/>
    <m/>
    <s v="Patterson"/>
    <m/>
    <m/>
    <n v="0"/>
  </r>
  <r>
    <x v="209"/>
    <s v="Hull CA"/>
    <s v="Irvine"/>
    <s v="Alison"/>
    <s v="Email/Call"/>
    <s v="Shriver, Daniel"/>
    <m/>
    <x v="0"/>
    <s v="Oakhurst CA PC5"/>
    <x v="3"/>
    <m/>
    <x v="0"/>
    <x v="803"/>
    <x v="23"/>
    <s v="Wood roof in brush zone"/>
    <s v="1988 home. No system updates. Roof is in process of being replaced w/metal. Will be completed within 45 days."/>
    <x v="4"/>
    <s v="Subject to metal roof and 150' brush clearance in 45 days. If not, send dnoc. Also required roof exclusion."/>
    <m/>
    <m/>
    <s v="Patterson"/>
    <m/>
    <m/>
    <n v="0"/>
  </r>
  <r>
    <x v="269"/>
    <s v="Hull CA"/>
    <s v="Irvine"/>
    <s v="Alison"/>
    <s v="Email"/>
    <s v="Mandell, Yvette"/>
    <m/>
    <x v="0"/>
    <s v="Newport Beach "/>
    <x v="1"/>
    <m/>
    <x v="8"/>
    <x v="803"/>
    <x v="23"/>
    <s v="2 water losses"/>
    <s v="1999 home in brush. 2 water damage claims from pipe leaks. App says damaged pipes were replaced. No further info, broker checking. State Farm NRN due to losses."/>
    <x v="3"/>
    <s v="Approved w/water damage exclusion"/>
    <m/>
    <m/>
    <s v="Patterson"/>
    <m/>
    <m/>
    <n v="0"/>
  </r>
  <r>
    <x v="378"/>
    <s v="JM Wilson"/>
    <s v="MI"/>
    <s v="Cheryl"/>
    <m/>
    <s v="Ginn"/>
    <s v="Darrin &amp; Monica"/>
    <x v="0"/>
    <s v="Newark"/>
    <x v="60"/>
    <s v="43055"/>
    <x v="9"/>
    <x v="803"/>
    <x v="1161"/>
    <s v="Age of Home"/>
    <s v="1896 historic home w/no tours. Nice online photos. Full updates at different times per app. However OHQ states there is still 20% knob and tube and 10% cast iron or lead still in use.  "/>
    <x v="1"/>
    <s v="Guidelines require gut/reno for pre 1900 homes. This has not been fully updated if there is still knob &amp; tube and cast iron/lead.  All of these are ineligible."/>
    <m/>
    <m/>
    <s v="Patterson"/>
    <m/>
    <m/>
    <n v="1"/>
  </r>
  <r>
    <x v="794"/>
    <s v="Hull Irvine"/>
    <m/>
    <s v="Melissa"/>
    <s v="Email"/>
    <s v="Jackson, Roddrick"/>
    <m/>
    <x v="0"/>
    <s v="Yorba Linda"/>
    <x v="1"/>
    <m/>
    <x v="9"/>
    <x v="804"/>
    <x v="1162"/>
    <s v="Prior claims"/>
    <s v="1989 home w/4 prior water claims over 3 years old - no detail. Agt proposing $15K water dmg ded, no backup. $3123 Markel rater; $4512 Lexington"/>
    <x v="3"/>
    <s v="Approved at $4K prem w/$15K water ded."/>
    <m/>
    <m/>
    <s v="Patterson"/>
    <s v="X"/>
    <s v="Lots of back and forth on terms. Make sure $4K prem and $15K ded was applied."/>
    <n v="0"/>
  </r>
  <r>
    <x v="795"/>
    <s v="Hull CA"/>
    <s v="Irvine"/>
    <s v="Vanessa"/>
    <s v="Email"/>
    <s v="Anderson, Darren"/>
    <m/>
    <x v="0"/>
    <s v="Alpine CA PC10"/>
    <x v="3"/>
    <m/>
    <x v="0"/>
    <x v="805"/>
    <x v="1163"/>
    <s v="PC10"/>
    <s v="2007 home in medium brush. Issues include location/pc10; construction equipment; trust; greenhouse. Home may have sprinklers. We could exclude equipment. Insured wants no covg B. Location/PC checks out"/>
    <x v="4"/>
    <s v=" "/>
    <m/>
    <m/>
    <s v="Patterson"/>
    <m/>
    <m/>
    <n v="0"/>
  </r>
  <r>
    <x v="353"/>
    <s v="Burns"/>
    <s v="MI"/>
    <s v="David"/>
    <s v="Email"/>
    <s v="Neuerburg"/>
    <s v="Matt"/>
    <x v="3"/>
    <s v="Dubois"/>
    <x v="51"/>
    <m/>
    <x v="4"/>
    <x v="806"/>
    <x v="1164"/>
    <s v="PC"/>
    <s v="PC 10 with a response time of 37 minutes. May not be accessible in winter due to the snow. "/>
    <x v="1"/>
    <s v="Would consider if the home was not so high in TIV. Without access year round, CSA, etc., this risk seems to high for future large loss."/>
    <m/>
    <m/>
    <s v="Lazovik"/>
    <m/>
    <m/>
    <n v="1"/>
  </r>
  <r>
    <x v="406"/>
    <s v="Hull Irvine"/>
    <s v="CA"/>
    <s v="Kelly"/>
    <s v="Email"/>
    <s v="Kelner"/>
    <s v="Joel"/>
    <x v="0"/>
    <s v="Coto De Caza "/>
    <x v="1"/>
    <m/>
    <x v="9"/>
    <x v="807"/>
    <x v="1165"/>
    <s v="Losses"/>
    <s v="1990 dwelling, new purchase for this insd. Prior owner had a $100,000 slab leak loss in 2017. Pipe was fixed, damage fixed. Insured to replace all plumbing and remove pipes from slab, moving them into the walls. Also will install water shutoff."/>
    <x v="4"/>
    <s v="One loss, prior owner. New owner taking strong action to mitigate any chance of future. Approved subj to contracting for work within 30 days of binding. Contemplated higher water damage ded, and decided against it. Not this insd loss. He is being pro-active."/>
    <m/>
    <m/>
    <s v="Patterson"/>
    <m/>
    <m/>
    <n v="0"/>
  </r>
  <r>
    <x v="259"/>
    <s v="Burns"/>
    <s v="MI"/>
    <s v="Leslie"/>
    <s v="Email"/>
    <s v="Cains, Peter"/>
    <m/>
    <x v="0"/>
    <s v="Newcastle"/>
    <x v="1"/>
    <m/>
    <x v="6"/>
    <x v="808"/>
    <x v="1166"/>
    <s v="PC9/TIV"/>
    <s v="1993 home w/roof and heat updated in 2013. Nice home per photos and online. Pool has no fence but has auto cover. No detail. PC quest answers conflict - gated or not gated? App incomplete-agt pointed out as subjectivity. Medium brush"/>
    <x v="3"/>
    <s v="Completed app (as you noted)_x000a_PC questionnaire - #6 and #7 conflict.  If gated, FD must have access to gate security code._x000a_Provide information about the pool's automatic cover that relieves liability concerns with the pool being an attractive nuisance._x000a_I don't see the cover in the residential listing photos - where is it contained?_x000a_How does the cover operate?_x000a_When is the cover put in place?_x000a_"/>
    <m/>
    <m/>
    <s v="Patterson"/>
    <m/>
    <m/>
    <n v="0"/>
  </r>
  <r>
    <x v="696"/>
    <s v="XS Brokers"/>
    <s v="MI"/>
    <s v="Barbara"/>
    <m/>
    <s v="Eliason"/>
    <s v="Brian"/>
    <x v="4"/>
    <s v="Hillsborough"/>
    <x v="52"/>
    <s v="03244"/>
    <x v="34"/>
    <x v="809"/>
    <x v="1167"/>
    <s v="PC"/>
    <s v="1790 home, no mention of previous updates. High value, and there appears to be discrepancies as to what the value actually is. PC was currently rated as 9 but could possibly be 10, as app says FD is over 6 miles. "/>
    <x v="1"/>
    <s v="Declined due to combination of high value and age of the home. Also, being a PC 9 or 10, not near comfortable enough to consider. Confusion with value, which is understood due to age, but not something we want to pursue. "/>
    <m/>
    <m/>
    <s v="Busse"/>
    <m/>
    <m/>
    <n v="1"/>
  </r>
  <r>
    <x v="185"/>
    <s v="Burns"/>
    <s v="MI"/>
    <s v="Jill"/>
    <s v="Email"/>
    <s v="Speck"/>
    <s v="Daniel"/>
    <x v="0"/>
    <s v="Nevada"/>
    <x v="1"/>
    <m/>
    <x v="6"/>
    <x v="810"/>
    <x v="1168"/>
    <s v="TIV"/>
    <s v="1990 home updated in 2014. In brush. Acceptable PCQ."/>
    <x v="4"/>
    <s v="Confirmed 6 minute response time."/>
    <m/>
    <m/>
    <s v="Patterson"/>
    <m/>
    <m/>
    <n v="0"/>
  </r>
  <r>
    <x v="520"/>
    <s v="Burns"/>
    <s v="MI"/>
    <s v="Jill"/>
    <s v="Email"/>
    <s v="Karvelas"/>
    <s v="Brian &amp; Lizeth"/>
    <x v="0"/>
    <s v="Grass Valley"/>
    <x v="1"/>
    <m/>
    <x v="4"/>
    <x v="811"/>
    <x v="1169"/>
    <s v="TIV"/>
    <s v="2017 home in medium brush. Agt quoted as PC10. 7 min drive time. Photos show very nice home on the top of a hill."/>
    <x v="4"/>
    <s v="Nice home, reasonable drive time."/>
    <m/>
    <m/>
    <s v="Patterson"/>
    <m/>
    <m/>
    <n v="0"/>
  </r>
  <r>
    <x v="796"/>
    <s v="Hull Irvine"/>
    <s v="CA"/>
    <s v="Michelle"/>
    <s v="Email"/>
    <s v="Tomlinson"/>
    <s v="Kelli"/>
    <x v="0"/>
    <s v="Carisbad"/>
    <x v="1"/>
    <m/>
    <x v="0"/>
    <x v="812"/>
    <x v="1170"/>
    <s v="Losses"/>
    <s v="3 water losses in last 3 years, 1 theft (ex-husband, no longer in house)"/>
    <x v="3"/>
    <s v="water damage exclusion ,and $5K AOP"/>
    <m/>
    <m/>
    <s v="Burdine"/>
    <m/>
    <m/>
    <n v="0"/>
  </r>
  <r>
    <x v="797"/>
    <s v="Burns"/>
    <s v="MI"/>
    <s v="Matthew"/>
    <s v="Email"/>
    <s v="Sader"/>
    <s v="Henry"/>
    <x v="0"/>
    <s v="Roca"/>
    <x v="38"/>
    <m/>
    <x v="6"/>
    <x v="813"/>
    <x v="1171"/>
    <s v="Business on Premises"/>
    <s v="PC 9, no alarm, visible to neighbors, 1993 build, 1 hail loss in 2016, IS D,onsite kennel 3 buildings, total 16,900 feet), 150 yards from home, about 5 customers a day, quoted with animal liab excluded"/>
    <x v="3"/>
    <s v="No liability; exposure too large, even with exclusions in place"/>
    <s v="Note: also several negative online reviews of business practices for kennel"/>
    <m/>
    <s v="Burdine"/>
    <m/>
    <m/>
    <n v="0"/>
  </r>
  <r>
    <x v="109"/>
    <s v="Burns"/>
    <s v="MI"/>
    <s v="Leslie"/>
    <s v="Email"/>
    <s v="Lieberman, Roger"/>
    <m/>
    <x v="7"/>
    <s v="Sacramento"/>
    <x v="1"/>
    <m/>
    <x v="8"/>
    <x v="814"/>
    <x v="1172"/>
    <s v="Rating"/>
    <s v="Leslie checking on rating since this is primary with rental. In research, found 2 businesses using the insured location address."/>
    <x v="3"/>
    <s v="Check on business use - 2 businesses use the insured address and photos look like board room and waiting room."/>
    <m/>
    <m/>
    <s v="Patterson"/>
    <s v="X"/>
    <s v="No policy on file 7.31.17"/>
    <n v="0"/>
  </r>
  <r>
    <x v="332"/>
    <s v="Hull Irvine"/>
    <s v="CA"/>
    <s v="Alison"/>
    <m/>
    <s v="Schafer"/>
    <s v="Kent"/>
    <x v="3"/>
    <s v="Valley Center "/>
    <x v="1"/>
    <s v="92082"/>
    <x v="9"/>
    <x v="815"/>
    <x v="1173"/>
    <s v="Occupancy/Use"/>
    <s v="1976 dwelling used seasonally by insured. May also be tenant, need to confirm. Contracted picker for avocado, citrus, persimmon, fig, possibly grapes. Groundskeeper there daily. No other employees.  In brush. Outbuilding used for business. Cov B listed on app"/>
    <x v="3"/>
    <s v="Ok with covg for dwelling. Clarify occupancy - either way ok. Exclude Cov B and add TBE."/>
    <m/>
    <m/>
    <s v="Patterson"/>
    <m/>
    <m/>
    <n v="0"/>
  </r>
  <r>
    <x v="349"/>
    <s v="Hull Irvine"/>
    <s v="CA"/>
    <s v="Alison"/>
    <s v="Email"/>
    <s v="Katz"/>
    <s v="Jerry"/>
    <x v="0"/>
    <s v="Los Angeles"/>
    <x v="1"/>
    <m/>
    <x v="0"/>
    <x v="816"/>
    <x v="1174"/>
    <s v="High Profile"/>
    <s v="Home built in 1974. Frame with stucco cladding. Complete updates were made to wiring (2012), plumbing (1985), heating (1985) and roofing (2012). "/>
    <x v="3"/>
    <s v="Approved x-liability"/>
    <m/>
    <m/>
    <s v="Lazovik"/>
    <m/>
    <m/>
    <n v="0"/>
  </r>
  <r>
    <x v="24"/>
    <s v="Burns"/>
    <s v="MI"/>
    <s v="Lindsay"/>
    <s v="Email"/>
    <s v="Busbice"/>
    <s v="Matthew"/>
    <x v="4"/>
    <s v="Bondurant"/>
    <x v="51"/>
    <m/>
    <x v="4"/>
    <x v="817"/>
    <x v="1175"/>
    <s v="PC"/>
    <s v="25 minute response time, PC 10, on 35 acres, built in 2009, frame, secondary, accessible year round with a well and creek within 350 ft, 25 minute response time, J insurance score."/>
    <x v="3"/>
    <s v="30% surcharge due to response time"/>
    <m/>
    <m/>
    <s v="Burdine"/>
    <m/>
    <m/>
    <n v="0"/>
  </r>
  <r>
    <x v="281"/>
    <s v="Burns"/>
    <s v="MI"/>
    <s v="Ben"/>
    <s v="Email"/>
    <s v="Kramer, Wayne"/>
    <m/>
    <x v="0"/>
    <s v="Los Angeles "/>
    <x v="1"/>
    <m/>
    <x v="8"/>
    <x v="818"/>
    <x v="1176"/>
    <s v="High profile"/>
    <s v="1992 home in brush. Insd is Wayne Kramer, writer/director. Movies were 10+ years ago."/>
    <x v="4"/>
    <s v="Not too famous."/>
    <m/>
    <m/>
    <s v="Patterson"/>
    <m/>
    <m/>
    <n v="0"/>
  </r>
  <r>
    <x v="609"/>
    <s v="Hull Irvine"/>
    <s v="CA"/>
    <s v="Lisa"/>
    <s v="Email"/>
    <s v="Sanford"/>
    <s v="Jason"/>
    <x v="0"/>
    <s v="Santa Barbara"/>
    <x v="1"/>
    <m/>
    <x v="9"/>
    <x v="819"/>
    <x v="1177"/>
    <s v="High Profile"/>
    <s v="1974 home not in brush with alarms. Insured is a film producer."/>
    <x v="4"/>
    <s v="Not too famous"/>
    <m/>
    <m/>
    <s v="Patterson"/>
    <m/>
    <m/>
    <n v="0"/>
  </r>
  <r>
    <x v="767"/>
    <s v="JM Wilson"/>
    <s v="MI"/>
    <s v="Cheryl"/>
    <s v="Email"/>
    <s v="Morgan"/>
    <s v="Robert"/>
    <x v="0"/>
    <s v="Mooresville"/>
    <x v="11"/>
    <m/>
    <x v="3"/>
    <x v="820"/>
    <x v="24"/>
    <s v="Losses"/>
    <s v="NR from prior carrier due to 08/2014 and 09/14 water loss (partial plumbing updates since then), 11/15/2017-hail and wind"/>
    <x v="3"/>
    <s v="Approved subject to $25K water deductible"/>
    <m/>
    <m/>
    <s v="Burdine"/>
    <m/>
    <m/>
    <n v="0"/>
  </r>
  <r>
    <x v="441"/>
    <s v="Hull CA"/>
    <s v="Irvine"/>
    <s v="Bobbi"/>
    <s v="Email"/>
    <s v="Martin, Glen"/>
    <m/>
    <x v="6"/>
    <m/>
    <x v="3"/>
    <m/>
    <x v="0"/>
    <x v="821"/>
    <x v="1178"/>
    <s v="3rd yr of construction"/>
    <s v="2008 home being renovated. 2 years with Lex, 3rd term w/another carrier who NRN's 6 month policy."/>
    <x v="1"/>
    <s v="We have poor experience with 2nd/3rd year builders risk policies."/>
    <m/>
    <m/>
    <s v="Patterson"/>
    <m/>
    <m/>
    <n v="1"/>
  </r>
  <r>
    <x v="759"/>
    <s v="Hull Irvine"/>
    <s v="CA"/>
    <s v="Gina"/>
    <m/>
    <s v="Humble"/>
    <s v="Daniel"/>
    <x v="3"/>
    <s v="Montara"/>
    <x v="1"/>
    <s v="94037"/>
    <x v="5"/>
    <x v="821"/>
    <x v="1179"/>
    <s v="Losses"/>
    <s v="2008 home w/2 prior water damage losses in 2016. Leakage $3435 and under floor heating system pipes $55K."/>
    <x v="3"/>
    <s v="Exclude water damage, mold, backup. Eliminates exposure. No mention of what repairs were made."/>
    <m/>
    <m/>
    <s v="Patterson"/>
    <m/>
    <m/>
    <n v="0"/>
  </r>
  <r>
    <x v="61"/>
    <s v="Burns"/>
    <s v="MI"/>
    <s v="Delta"/>
    <s v="Email"/>
    <s v="Greenberg, Robert"/>
    <m/>
    <x v="21"/>
    <s v="North Fork"/>
    <x v="1"/>
    <m/>
    <x v="19"/>
    <x v="822"/>
    <x v="1180"/>
    <s v="TIV"/>
    <s v="1998 frame home in PC10. 10 min response time per agt. In brush, alarms. Can't find &quot;Madera&quot; fire department within 3.97/10 min resp per PC quest. Madera is about 50 miles away?"/>
    <x v="3"/>
    <s v="Subj to confirmation of FD location.//gave approval to renew, Cov A needs to go up $30K per inspection.K burdine 12/11/17"/>
    <m/>
    <m/>
    <s v="Patterson"/>
    <m/>
    <m/>
    <n v="0"/>
  </r>
  <r>
    <x v="300"/>
    <s v="Burns"/>
    <s v="MI"/>
    <s v="Leslie"/>
    <s v="Email"/>
    <s v="Martinez, Cliff"/>
    <m/>
    <x v="0"/>
    <s v="Topanga"/>
    <x v="1"/>
    <m/>
    <x v="5"/>
    <x v="823"/>
    <x v="1181"/>
    <s v="High profile"/>
    <s v="1957 home updated in 2000 in brush no alarms. Insured is a music composer, was drummer for Red Hot Chili Peppers and Captain Beefheart."/>
    <x v="3"/>
    <s v="Not &quot;too famous&quot;. Ensure 150' clearance. Primary home/work at home okay with no alarms."/>
    <m/>
    <m/>
    <s v="Patterson"/>
    <m/>
    <m/>
    <n v="0"/>
  </r>
  <r>
    <x v="395"/>
    <s v="Burns"/>
    <s v="MI"/>
    <s v="Alexa"/>
    <s v="Email"/>
    <s v="Martinez, Cliff"/>
    <m/>
    <x v="0"/>
    <s v="Topanga"/>
    <x v="1"/>
    <m/>
    <x v="5"/>
    <x v="823"/>
    <x v="1182"/>
    <s v="High profile"/>
    <s v="1957 home updated in 2000 in brush no alarms. Insured is a music composer, was drummer for Red Hot Chili Peppers and Captain Beefheart."/>
    <x v="3"/>
    <s v="Not &quot;too famous&quot;. Has caretaker frequently staying on premises - ok w/no alarm. Prev approved 12/2016. No changes in online concerns."/>
    <m/>
    <m/>
    <s v="Patterson"/>
    <m/>
    <m/>
    <n v="0"/>
  </r>
  <r>
    <x v="392"/>
    <s v="Hull Irvine"/>
    <s v="CA"/>
    <s v="Bobbi"/>
    <s v="Email"/>
    <s v="Asselin, Shawn &amp; Tabrizi-Asselin"/>
    <m/>
    <x v="140"/>
    <s v="Pasadena"/>
    <x v="1"/>
    <m/>
    <x v="0"/>
    <x v="824"/>
    <x v="1151"/>
    <s v="Personal Prop on COC"/>
    <s v="HUCAH150002440 already issued, want to add $50K personal property for items in garage on property"/>
    <x v="4"/>
    <s v="Ded OK, limit reasonable"/>
    <m/>
    <m/>
    <s v="Burdine"/>
    <m/>
    <m/>
    <n v="0"/>
  </r>
  <r>
    <x v="85"/>
    <s v="Burns"/>
    <s v="MI"/>
    <s v="Alexa"/>
    <s v="Email"/>
    <s v="Weatherhead, Randy"/>
    <m/>
    <x v="0"/>
    <s v="Ramona"/>
    <x v="1"/>
    <m/>
    <x v="4"/>
    <x v="825"/>
    <x v="1183"/>
    <s v="TIV"/>
    <s v="In brush. FD 6 mi away w/10 min response. Alarms. 2008 home. "/>
    <x v="3"/>
    <s v="• Fully equipped wood shop per online info.  Please verify no business use._x000a_• App says no pool but online photos show a pool.  https://www.zillow.com/homedetails/19240-Rangeland-Rd-Ramona-CA-92065/16748200_zpid/. Just wanted to bring to your attention so you can confirm eligibility._x000a_• Question about animals is blank on app. Looking for acceptable answer and confirmation of coverage eligibility, if applicable._x000a_"/>
    <m/>
    <m/>
    <s v="Patterson"/>
    <m/>
    <m/>
    <n v="0"/>
  </r>
  <r>
    <x v="215"/>
    <s v="Hull CA"/>
    <s v="Irvine"/>
    <s v="Alison"/>
    <s v="Email"/>
    <s v="Walker, Larry"/>
    <m/>
    <x v="0"/>
    <s v="Murrieta CA PC4"/>
    <x v="3"/>
    <m/>
    <x v="0"/>
    <x v="826"/>
    <x v="1184"/>
    <s v="Prior water loss"/>
    <s v="2012 home. Seller had a 7/15 water loss. Water was turned off. Outside worker turned valve on. Bathtub plug was in. Tub overflowed. Letter from adjuster and agent received. "/>
    <x v="4"/>
    <s v="No surcharge or water deductible needed for the buyer. Not their loss, not an issue with the home."/>
    <m/>
    <m/>
    <s v="Patterson"/>
    <m/>
    <m/>
    <n v="0"/>
  </r>
  <r>
    <x v="451"/>
    <s v="SCU"/>
    <s v="CO"/>
    <s v="Allison"/>
    <m/>
    <s v="Beshore"/>
    <s v="Eric &amp; Ann"/>
    <x v="3"/>
    <s v="Silverthorne"/>
    <x v="61"/>
    <m/>
    <x v="8"/>
    <x v="826"/>
    <x v="1185"/>
    <s v="Rate"/>
    <s v="1996 home PC2. Had for 1 year. Water leak detection system installed. Agt looking to apply total of 12% credit. Has central station alarms and water leak detection and shutoff.  "/>
    <x v="4"/>
    <s v="Newer home. No losses. Nice online pics. We'll win this over Lex for going 2% more.  Excellent mitigation system."/>
    <m/>
    <m/>
    <s v="Patterson"/>
    <m/>
    <m/>
    <n v="0"/>
  </r>
  <r>
    <x v="394"/>
    <s v="Hull Irvine"/>
    <s v="CA"/>
    <s v="Michelle"/>
    <m/>
    <s v="Walker"/>
    <s v="Barry"/>
    <x v="0"/>
    <s v="Encinitas "/>
    <x v="1"/>
    <s v="92024"/>
    <x v="0"/>
    <x v="827"/>
    <x v="1186"/>
    <s v="Business on Premises"/>
    <s v="Applicant has horse business on premises. Home is in the name of an LLC. No other information was given about the business, so I had to follow up. Found on follow up email that there are 12 horses, breeding and riding, separate shop with merchandise."/>
    <x v="1"/>
    <s v="Agent already mentioned they would apply TBE and animal exclusion, however, their guidelines also mention more than 5 horses and any riding warrants full liability exclusion. Even with that added and an exclusion of business related structures, not comfortable with the risk."/>
    <s v="Some chaos this week with a RUSH Stockton audit that backed up referrals.  Turnaround may have been impacted."/>
    <m/>
    <s v="Busse"/>
    <m/>
    <m/>
    <n v="1"/>
  </r>
  <r>
    <x v="1"/>
    <s v="Burns"/>
    <s v="MI"/>
    <s v="David"/>
    <m/>
    <s v="Meyer"/>
    <s v="Louise &amp; Thomas"/>
    <x v="0"/>
    <s v="Los Angeles"/>
    <x v="1"/>
    <s v="90068"/>
    <x v="11"/>
    <x v="828"/>
    <x v="1187"/>
    <s v="High Profile"/>
    <s v="1927 home with complete updates in 2005. Insured is a film producer, most famously known for the Hinger Games. "/>
    <x v="3"/>
    <s v="Overall, the risk seems acceptable, no concerns with profile. However, it appears that the incorrect rates were used (brush) since WRS is 78, and that our UW guidelines had been missed as they quoted 50% ERC. Gave approval highlighting our recent changes, approved subject to removing 50% ERC (25% is OK) and applying updated surcharge for brush. "/>
    <m/>
    <m/>
    <s v="Busse"/>
    <m/>
    <m/>
    <n v="0"/>
  </r>
  <r>
    <x v="79"/>
    <s v="Hull Irvine"/>
    <m/>
    <s v="Bobbi"/>
    <s v="Email"/>
    <s v="Horowitz, Jack"/>
    <m/>
    <x v="0"/>
    <s v="Pasadena"/>
    <x v="1"/>
    <m/>
    <x v="11"/>
    <x v="829"/>
    <x v="1188"/>
    <s v="COC"/>
    <s v="1956 home w/updates. New purchase. Insd is taking 1 month to repaint, change carpet and new cabinets. Nothing major. Agent wants to write as HO3 Vs. COC."/>
    <x v="3"/>
    <s v="If no work to electrical plumbing, makes sense. "/>
    <m/>
    <m/>
    <s v="Patterson"/>
    <m/>
    <m/>
    <n v="0"/>
  </r>
  <r>
    <x v="419"/>
    <s v="TPI"/>
    <m/>
    <s v="Heather"/>
    <s v="Email"/>
    <s v="Robles, Ben"/>
    <m/>
    <x v="0"/>
    <s v="Little Rock AR PC2"/>
    <x v="3"/>
    <m/>
    <x v="0"/>
    <x v="830"/>
    <x v="1189"/>
    <s v="TIV &gt;$1M"/>
    <s v="Built in 2008. 10/26/15 water loss-no details. Insd owns contracting business."/>
    <x v="4"/>
    <s v="Pipe burst, all repaired. "/>
    <m/>
    <m/>
    <s v="Patterson"/>
    <m/>
    <m/>
    <n v="0"/>
  </r>
  <r>
    <x v="198"/>
    <s v="Burns"/>
    <s v="MI"/>
    <s v="Jeffrey"/>
    <s v="Email"/>
    <s v="Sweat, Keith"/>
    <m/>
    <x v="21"/>
    <s v="Alpharetta GA PC4"/>
    <x v="3"/>
    <m/>
    <x v="0"/>
    <x v="831"/>
    <x v="1190"/>
    <s v="High profile"/>
    <s v="1991 seasonal home for R&amp;B singer Keith Sweat. Per Jeff, not too high profile. Insd has a bankruptcy/repo/foreclosure. Internet search ok"/>
    <x v="4"/>
    <s v="Ins score 965"/>
    <m/>
    <m/>
    <s v="Patterson"/>
    <m/>
    <m/>
    <n v="0"/>
  </r>
  <r>
    <x v="224"/>
    <s v="Burns"/>
    <s v="MI"/>
    <s v="Danielle"/>
    <s v="Email"/>
    <s v="Hasty, Allen"/>
    <m/>
    <x v="0"/>
    <s v="Santa Cruz CA  PC3"/>
    <x v="3"/>
    <m/>
    <x v="0"/>
    <x v="832"/>
    <x v="1191"/>
    <s v="Land leased for fruit sold to groceries"/>
    <s v="1965 home w/updates. Insured leases land per email, per app, fruit is grown and sold. Asked for clarification. "/>
    <x v="0"/>
    <s v="May need to apply Business Exclusion. Asked business on prem questions."/>
    <s v="Reviewed business responses and agreed to write with full business exclusion."/>
    <m/>
    <s v="Patterson"/>
    <m/>
    <m/>
    <n v="0"/>
  </r>
  <r>
    <x v="747"/>
    <s v="Burns"/>
    <s v="MI"/>
    <s v="Delta"/>
    <s v="Email"/>
    <s v="Hasty, Allen"/>
    <m/>
    <x v="0"/>
    <s v="Santa Cruz"/>
    <x v="1"/>
    <m/>
    <x v="0"/>
    <x v="832"/>
    <x v="1191"/>
    <s v="Dog bite"/>
    <s v="We previously approved this risk-insured had vegetable sales from property. That has ceased, but we have been advised of a 2012 dog bite, and the insured still has the dog."/>
    <x v="3"/>
    <s v="Approved with the Animal Exclusion - no Animal Liab and must have the exclusion as long as that dog is in the house."/>
    <m/>
    <m/>
    <s v="Patterson"/>
    <m/>
    <m/>
    <n v="0"/>
  </r>
  <r>
    <x v="305"/>
    <s v="Hull CA"/>
    <s v="Irvine"/>
    <s v="Alison"/>
    <s v="Email"/>
    <s v="Pimineta, Hugo"/>
    <m/>
    <x v="44"/>
    <s v="Beverly Hills"/>
    <x v="1"/>
    <m/>
    <x v="8"/>
    <x v="833"/>
    <x v="967"/>
    <s v="Ownership by 2 Trusts &amp; LLC"/>
    <s v="1937 home w/updates. 3 family dwelling co-owned by 2 trusts &amp; LLC.  Occupied by LLC member and 1 trust member. Agt rated w/10% s/c for rental for 3rd unit which is AirBnB rental."/>
    <x v="3"/>
    <s v="Check on partial roof and partial elec update. Rest of terms as agent noted are acceptable."/>
    <m/>
    <m/>
    <s v="Patterson"/>
    <m/>
    <m/>
    <n v="0"/>
  </r>
  <r>
    <x v="237"/>
    <s v="Hull CA"/>
    <s v="Irvine"/>
    <s v="Alison"/>
    <s v="Email"/>
    <s v="Tatum, Frank"/>
    <m/>
    <x v="0"/>
    <s v="Los Angeles CA PC2"/>
    <x v="3"/>
    <m/>
    <x v="0"/>
    <x v="833"/>
    <x v="1192"/>
    <s v="Prior fire loss &gt;$25K"/>
    <s v="1938 home complete gut/remodel in 2015. Had an electrical fire prior to remodel in 2015.  Ins scores look good for both individuals. Alison used 2015 as model year and added 10% s/c for the loss."/>
    <x v="2"/>
    <s v="Asked for copy of fire marshall report. Shoot a copy to Erin Braun for her to look at as she ran the ins scores."/>
    <m/>
    <m/>
    <s v="Patterson"/>
    <m/>
    <m/>
    <n v="0"/>
  </r>
  <r>
    <x v="536"/>
    <s v="Burns"/>
    <s v="MI"/>
    <s v="Jill"/>
    <s v="Email"/>
    <s v="Pacquiao, Emanuel"/>
    <m/>
    <x v="21"/>
    <m/>
    <x v="1"/>
    <m/>
    <x v="2"/>
    <x v="834"/>
    <x v="1193"/>
    <s v="High profile"/>
    <s v="1999 home in brush. Insured is famous boxer.  No negative press."/>
    <x v="3"/>
    <s v="Agreed to write without liability due to insured being high profile. Lapse - add surcharge. Signed no loss. Insp indicates issue w/pool fence-need to resolve."/>
    <s v="Reviewed w/Louisa"/>
    <m/>
    <s v="Patterson"/>
    <m/>
    <m/>
    <n v="0"/>
  </r>
  <r>
    <x v="215"/>
    <s v="Hull CA"/>
    <s v="Irvine"/>
    <s v="Alison"/>
    <s v="Email"/>
    <s v="Pascualy, Rodrigo"/>
    <m/>
    <x v="96"/>
    <s v="Newport Coast CA PC3"/>
    <x v="3"/>
    <m/>
    <x v="0"/>
    <x v="835"/>
    <x v="1194"/>
    <s v="Prior water loss"/>
    <s v="1997 home. Not in brush area per RM (in high brush per FireLine).  Loss almost 3 years ago - water heater burst. Insured has replumbed the entire house."/>
    <x v="4"/>
    <s v="We surcharged for loss. We are not applying higher water ded since insured took preventative measures w/replumbing."/>
    <m/>
    <m/>
    <s v="Patterson"/>
    <m/>
    <m/>
    <n v="0"/>
  </r>
  <r>
    <x v="742"/>
    <s v="Hull Irvine"/>
    <s v="CA"/>
    <s v="Michelle"/>
    <m/>
    <s v="Dedmon"/>
    <s v="Dewayne"/>
    <x v="2"/>
    <s v="Baldwin Hills"/>
    <x v="1"/>
    <s v="90008"/>
    <x v="0"/>
    <x v="836"/>
    <x v="1195"/>
    <s v="High Profile"/>
    <s v="Applicant is an NBA player for the Atlanta Hawks. No adverse information found. Dwelling is 1957 year built, photos online show it was recently redone and looks like it was done well. No mention of updates, but it appears there have been updates completed due to condition of home online. "/>
    <x v="3"/>
    <s v="No concerns with profile of applicant. Approved subject to completed and acceptable app (missing updates, PPC), acceptable OHQ, and confirmation of system updates per guideline requirements. "/>
    <m/>
    <m/>
    <s v="Busse"/>
    <m/>
    <m/>
    <n v="0"/>
  </r>
  <r>
    <x v="263"/>
    <s v="Hull CA"/>
    <s v="Irvine"/>
    <s v="Alison"/>
    <s v="Email"/>
    <s v="Krasne, Ira"/>
    <m/>
    <x v="0"/>
    <s v="Indian Wells "/>
    <x v="1"/>
    <m/>
    <x v="9"/>
    <x v="836"/>
    <x v="1196"/>
    <s v="3 claims"/>
    <s v="1959 home not updated per app. Water pipe claim, roof damage and water claim, fire claim. 2 yes answers on app - prior cancel, prior bankruptcy in 5 years."/>
    <x v="2"/>
    <s v="Agt added $10K water dmg ded for 2 water losses. Need Fire Marshall report. Need info on 2 yes answers. Advised roof exclusion should be added."/>
    <m/>
    <m/>
    <s v="Patterson"/>
    <m/>
    <m/>
    <n v="0"/>
  </r>
  <r>
    <x v="564"/>
    <s v="Hull Irvine"/>
    <s v="CA"/>
    <s v="Michelle"/>
    <s v="Email"/>
    <s v="Joswiak"/>
    <s v="Greg"/>
    <x v="4"/>
    <s v="Half Moon Bay"/>
    <x v="1"/>
    <m/>
    <x v="4"/>
    <x v="836"/>
    <x v="1197"/>
    <s v="TIV"/>
    <s v="1980 frame home to be used as secondary. Joswiak is a higher profile insured as the VP for Product marketing at Apple. Roof needs replacing per the inspection. Balcony damage found, pre-existing damage endorsement. Trees must be trimmed back from home. All fascia, roof eaves must be fixed. Exposed electrical circuit breaker in the garage. Heat shield needed in the attic. light over a tub and GFCI in bathrooms"/>
    <x v="1"/>
    <s v="Due to condition of home, we will decline"/>
    <m/>
    <m/>
    <s v="Lazovik"/>
    <m/>
    <m/>
    <n v="1"/>
  </r>
  <r>
    <x v="267"/>
    <s v="Hull CA"/>
    <s v="Irvine"/>
    <s v="Bobbi"/>
    <s v="Email"/>
    <s v="Krasne, Ira"/>
    <m/>
    <x v="0"/>
    <s v="Indian Wells"/>
    <x v="1"/>
    <m/>
    <x v="0"/>
    <x v="836"/>
    <x v="23"/>
    <s v="Prior losses"/>
    <s v="1959 home with 3 prior losses. 12/13 fire $55,000; 9/14 roof damage/water $10,000; 1/16 pipe burst $12,285.  $10K water damage ded applied.  Renewal offered by Lloyds but insured didn't accept until 2 weeks after date; they refused to renew. No foreclosure. Insd hasn't been completely responsible, but has 800 range ins score which is good. No updates; need roof exclusion. Asked for fire marshall report."/>
    <x v="2"/>
    <s v="Allowed offering of terms subj to fire marshall report which I must review to approve final terms.  Agent emailed back on 9/20. Turns out the $10K roof/water loss was actually $260,000. Agent had wrong info entered in system. I googled and this was a freak storm on the tail end of a hurricane.  There is an 82 page county report about it.  Approved w/terms as is. Advised still need fire marshall report.  Received on 9/20. Cause is undetermined but no human interaction noted. Appears to support insd's report that stored materials started on fire."/>
    <m/>
    <m/>
    <s v="Patterson"/>
    <s v="X"/>
    <m/>
    <n v="0"/>
  </r>
  <r>
    <x v="395"/>
    <s v="Burns"/>
    <s v="MI"/>
    <s v="Jill"/>
    <s v="Email"/>
    <s v="Currey, Janice"/>
    <m/>
    <x v="0"/>
    <s v="Malibu"/>
    <x v="1"/>
    <m/>
    <x v="0"/>
    <x v="837"/>
    <x v="1198"/>
    <s v="ERC"/>
    <s v="1964 home w/partial updates in 1983. Agent asking for okay to add ERC."/>
    <x v="3"/>
    <s v="Advised Jill this is something within their authority to decide on and we are auditing on the back end."/>
    <m/>
    <m/>
    <s v="Patterson"/>
    <m/>
    <m/>
    <n v="0"/>
  </r>
  <r>
    <x v="432"/>
    <s v="Hull Irvine"/>
    <s v="CA"/>
    <s v="Melissa"/>
    <m/>
    <s v="Kimberly Bukewihge Irrevocable Trust No 1"/>
    <m/>
    <x v="0"/>
    <s v="Ladera Ranch "/>
    <x v="1"/>
    <s v="92694"/>
    <x v="9"/>
    <x v="838"/>
    <x v="1199"/>
    <s v="Other UW Reason"/>
    <s v="2002 home w/ 10/15 $44K water loss. Insured since 2015. Requesting jewelry schedule with one item just over $25K and total schedule at $101,517. 3 employees (no WC). Items kept in home safe when not worn."/>
    <x v="3"/>
    <s v="Made exception with addition of form MPLH0150/#9 Myst Disappearance Exclusion and #12 Residence Safe clause.  Agent checking on number of employees. If any are less than 10 hours, they don't count."/>
    <m/>
    <m/>
    <s v="Patterson"/>
    <m/>
    <m/>
    <n v="0"/>
  </r>
  <r>
    <x v="161"/>
    <s v="Burns"/>
    <s v="MI"/>
    <s v="Alexa"/>
    <s v="Email"/>
    <s v="Starr"/>
    <s v="Johnathan"/>
    <x v="16"/>
    <s v="Little Grass Valley"/>
    <x v="1"/>
    <m/>
    <x v="6"/>
    <x v="838"/>
    <x v="1200"/>
    <s v="TIV"/>
    <s v="2017 new construction almost complete. Local alarms only with sprinklers and cameras outside.  No online photos. Inspection provided - looks good. List of construction remaining is minimal. Even if insured is doing (lic contractor), it is minimal cosmetic."/>
    <x v="1"/>
    <s v="WBS quest.  //  9/28 risk is 12 miles from controlled burn Eureka fire. Unable to bind until 100% contained. //10/2 additional request received to consider since insured is without coverage. "/>
    <s v="Discussed w/Louisa.  // 10/2 Referred to Louisa"/>
    <n v="49"/>
    <s v="Patterson"/>
    <m/>
    <m/>
    <n v="1"/>
  </r>
  <r>
    <x v="87"/>
    <s v="Hull Irvine"/>
    <m/>
    <s v="Alison"/>
    <s v="Email"/>
    <s v="Black, Janis"/>
    <m/>
    <x v="2"/>
    <s v="Los Angeles"/>
    <x v="1"/>
    <m/>
    <x v="0"/>
    <x v="839"/>
    <x v="1201"/>
    <s v="Prior loss"/>
    <s v="1926 home updated due to $176K prior water loss. 2 story duplex. Water loss damaged both units. Insd is GC. We'd be writing after reno complete. Sounds like plumbing was replaced."/>
    <x v="3"/>
    <s v="Add MFRC. Confirm all plumbing new and no water damage excl needed."/>
    <m/>
    <m/>
    <s v="Patterson"/>
    <m/>
    <m/>
    <n v="0"/>
  </r>
  <r>
    <x v="36"/>
    <s v="Burns"/>
    <s v="MI"/>
    <s v="Lindsay"/>
    <s v="Email"/>
    <s v="Hebson"/>
    <s v="Mark"/>
    <x v="7"/>
    <s v="Ladera Ranch"/>
    <x v="1"/>
    <m/>
    <x v="9"/>
    <x v="840"/>
    <x v="1202"/>
    <s v="Losses"/>
    <s v="Primary home in CA, not in brush, built in 2003 of frame construction with full plumbing updates in 2017. PC3 full CS Alarms, 2 losses (1 water loss, 1 V&amp;MM)"/>
    <x v="4"/>
    <s v="water ded in place"/>
    <m/>
    <m/>
    <s v="Burdine"/>
    <m/>
    <m/>
    <n v="0"/>
  </r>
  <r>
    <x v="571"/>
    <s v="Burns"/>
    <m/>
    <s v="Danielle"/>
    <s v="Email"/>
    <s v="Rieckermann, Katja"/>
    <m/>
    <x v="89"/>
    <s v="Los Angeles, CA PC2"/>
    <x v="3"/>
    <m/>
    <x v="0"/>
    <x v="841"/>
    <x v="1203"/>
    <s v="High profile"/>
    <s v="insured is a singer- toured with Rod Stewart in the early 00's. Was on Alley McBeal for a few. Not too high profile. Water loss in 2013 $4600 paid, no alarm. Risk meter came back at a 12 (high)- medium to heavy fuels, steep slope. "/>
    <x v="0"/>
    <s v="Requested confirmation brush/tree clearance appropriate based on online photos. Came back from agent 200' brush clearance"/>
    <m/>
    <m/>
    <s v="Burdine/Patterson"/>
    <m/>
    <m/>
    <n v="0"/>
  </r>
  <r>
    <x v="633"/>
    <s v="Hull CA"/>
    <s v="Irvine"/>
    <s v="Alison"/>
    <s v="Email"/>
    <s v="Watson, Jacob"/>
    <m/>
    <x v="0"/>
    <s v="Lower Lake"/>
    <x v="1"/>
    <m/>
    <x v="14"/>
    <x v="842"/>
    <x v="1204"/>
    <s v="Brush area  "/>
    <s v="2016 home in 8B, FD 5 miles away. High brush. Agent added 20% to quoted rate."/>
    <x v="3"/>
    <s v="Subj to 150' clearance and fully completed app."/>
    <m/>
    <m/>
    <s v="Patterson"/>
    <m/>
    <m/>
    <n v="0"/>
  </r>
  <r>
    <x v="683"/>
    <s v="Burns"/>
    <s v="MI"/>
    <s v="Jill"/>
    <s v="Email"/>
    <s v="Evans, David &amp; Michelle"/>
    <m/>
    <x v="0"/>
    <s v="Ramona"/>
    <x v="1"/>
    <m/>
    <x v="4"/>
    <x v="843"/>
    <x v="19"/>
    <s v="PC10"/>
    <s v="2008 in PC10 w/5-6 min response time. (12-15 min per google - still ok).  No hydrant. High brush. 10,000 gallon tank 500' from home."/>
    <x v="4"/>
    <m/>
    <m/>
    <m/>
    <s v="Patterson"/>
    <m/>
    <m/>
    <n v="0"/>
  </r>
  <r>
    <x v="798"/>
    <s v="Burns"/>
    <s v="MI"/>
    <s v="Jill"/>
    <s v="Email"/>
    <s v="Kurtz"/>
    <s v="Margaret"/>
    <x v="0"/>
    <s v="Greer"/>
    <x v="7"/>
    <m/>
    <x v="6"/>
    <x v="844"/>
    <x v="1205"/>
    <s v="TIV"/>
    <s v="1995 home with 2 prior water losses: 5/17 water heater $1005; 6/17 sink flood $1783. $5K ded applied."/>
    <x v="4"/>
    <s v="Acceptable deductible."/>
    <m/>
    <m/>
    <s v="Patterson"/>
    <m/>
    <m/>
    <n v="0"/>
  </r>
  <r>
    <x v="320"/>
    <s v="Burns"/>
    <s v="MI"/>
    <s v="Lindsay"/>
    <s v="Email"/>
    <s v="Gitlin"/>
    <s v="Mimi"/>
    <x v="0"/>
    <s v="Los Angeles"/>
    <x v="1"/>
    <m/>
    <x v="8"/>
    <x v="845"/>
    <x v="1206"/>
    <s v="High Profile"/>
    <s v="Primary home in CA not in brush, PC1, built in 1954, with partial updates to wiring/ heating plumbing in 2004 and full roof update in 2016, FRC dwelling settlement; Insured is a movie producer. GAIA Entertainment, Inc"/>
    <x v="4"/>
    <s v="No adverse info found. "/>
    <m/>
    <m/>
    <s v="Burdine"/>
    <m/>
    <m/>
    <n v="0"/>
  </r>
  <r>
    <x v="799"/>
    <s v="Hull Irvine"/>
    <s v="CA"/>
    <s v="Lisa"/>
    <m/>
    <s v="Martinez"/>
    <s v="Lisa"/>
    <x v="0"/>
    <s v="Murrieta"/>
    <x v="1"/>
    <s v="92562"/>
    <x v="4"/>
    <x v="845"/>
    <x v="1207"/>
    <s v="PC"/>
    <s v="Home in brush and PC 10. Concrete tile roof. Built in 2002. No alarms or sprinklers. "/>
    <x v="1"/>
    <s v="Home has high TIV, pc10 and is in brush. Also do not have alarms or sprinklers."/>
    <m/>
    <m/>
    <s v="Lazovik"/>
    <m/>
    <m/>
    <n v="1"/>
  </r>
  <r>
    <x v="358"/>
    <s v="Hull Irvine"/>
    <s v="CA"/>
    <s v="Bobbi"/>
    <s v="Email"/>
    <s v="Zavalza, Camen"/>
    <m/>
    <x v="75"/>
    <s v="Perris"/>
    <x v="1"/>
    <m/>
    <x v="5"/>
    <x v="846"/>
    <x v="1208"/>
    <s v="Mobile home on property"/>
    <s v="It’s a primary home on 4.5 acres that is in escrow. Year built is 1992. There was a loss in 2014 from the previous owner (pipe leak, $21k paid out, repairs made, claim closed). I’ve applied a special water damage exclusion. There is also a mobile home on the property that will be rented out. Would we be able to quote the main home and attach the Building Exclusion to specifically exclude the mobile home"/>
    <x v="3"/>
    <s v="Approved subject to other building exclusion and x-liability"/>
    <m/>
    <m/>
    <s v="Burdine"/>
    <m/>
    <m/>
    <n v="0"/>
  </r>
  <r>
    <x v="125"/>
    <s v="Hull Irvine"/>
    <m/>
    <s v="Bobbi"/>
    <s v="Email"/>
    <s v="Pokrajac, Steven &amp; Cori"/>
    <m/>
    <x v="0"/>
    <s v="Monrovia"/>
    <x v="1"/>
    <m/>
    <x v="0"/>
    <x v="847"/>
    <x v="1115"/>
    <s v="Open claim"/>
    <s v="1992 home, nice online photos. Open claim due to neighbor blaming insured and other defendants for a mudslide. We should not have any exposure with this open loss.  Issues that caused the mudslide have been fixed. Excellent account for 10 years w/retailer."/>
    <x v="3"/>
    <s v="Keep rates not too far off expiring."/>
    <m/>
    <m/>
    <s v="Patterson"/>
    <m/>
    <m/>
    <n v="0"/>
  </r>
  <r>
    <x v="313"/>
    <s v="SCU"/>
    <s v="CO"/>
    <s v="Allison"/>
    <s v="Email"/>
    <s v="Verebelyi, Natasha"/>
    <m/>
    <x v="0"/>
    <s v="Castle Pines"/>
    <x v="19"/>
    <m/>
    <x v="12"/>
    <x v="848"/>
    <x v="1209"/>
    <s v="High profile"/>
    <s v="1996 home w/2013 roof. Alarms. Agent offering liab and personal injury. Insured is Ms. Colorado. "/>
    <x v="4"/>
    <s v="Reviewed online for news - no concern. FB looks fine."/>
    <m/>
    <m/>
    <s v="Patterson"/>
    <m/>
    <m/>
    <n v="0"/>
  </r>
  <r>
    <x v="464"/>
    <s v="Burns"/>
    <s v="MI"/>
    <s v="Alexa"/>
    <s v="Email"/>
    <s v="Palensky, James"/>
    <m/>
    <x v="21"/>
    <s v="Ames"/>
    <x v="34"/>
    <m/>
    <x v="4"/>
    <x v="848"/>
    <x v="1210"/>
    <s v="TIV"/>
    <s v="2004 frame home. App says PC9, 3 mi to FD, no hydrant. Google search shows 5.9 mi to FD which makes this a PC10. Alarms. Drive time 10 min, volunteer FD."/>
    <x v="3"/>
    <s v="Rate as PC10."/>
    <m/>
    <m/>
    <s v="Patterson"/>
    <m/>
    <m/>
    <n v="0"/>
  </r>
  <r>
    <x v="670"/>
    <s v="Hull Stockton"/>
    <s v="CA"/>
    <s v="Kirk"/>
    <s v="Email"/>
    <s v="Hallin"/>
    <s v="Steve"/>
    <x v="0"/>
    <s v="Murrieta"/>
    <x v="1"/>
    <m/>
    <x v="4"/>
    <x v="849"/>
    <x v="1211"/>
    <s v="PC"/>
    <s v="Brush, $5K ded, 2007 build, no alarms"/>
    <x v="3"/>
    <s v="acceptable PCQ,"/>
    <m/>
    <m/>
    <s v="Burdine"/>
    <m/>
    <m/>
    <n v="0"/>
  </r>
  <r>
    <x v="150"/>
    <s v="Hull Irvine"/>
    <s v="CA"/>
    <s v="Alison"/>
    <s v="Call"/>
    <s v="Rauch"/>
    <m/>
    <x v="0"/>
    <s v="Tarzana"/>
    <x v="1"/>
    <m/>
    <x v="0"/>
    <x v="850"/>
    <x v="0"/>
    <s v="Vines on wall"/>
    <s v="1962 home updated in 2000. All admitted carriers declined due to vines growing all over garage. Stucco finish."/>
    <x v="3"/>
    <s v="If vines are on a trellis and not growing on the actual wall, it would be okay. If any part of the vines are attached to the wall, I reviewed concerns with water damage and damage to stucco."/>
    <m/>
    <n v="10"/>
    <s v="Patterson"/>
    <m/>
    <m/>
    <n v="0"/>
  </r>
  <r>
    <x v="666"/>
    <s v="Hull Irvine"/>
    <s v="CA"/>
    <s v="Alison"/>
    <s v="Email"/>
    <s v="Williams "/>
    <s v="Jacklyn"/>
    <x v="16"/>
    <s v="Ojai"/>
    <x v="1"/>
    <m/>
    <x v="0"/>
    <x v="850"/>
    <x v="0"/>
    <s v="Effective date"/>
    <s v="1967 risk w/roof update. Agent bound on 11/10 but didn't get docs in until today and the wildfire in CA is within 5 miles. Lapsed risk w/Lex. For big agent in Malibu."/>
    <x v="4"/>
    <m/>
    <s v="Reviewed w/ Louisa by phone and per her suggestion, emailed Jeff w/full info. He agreed risk bound 11/10/17. "/>
    <m/>
    <s v="Patterson"/>
    <m/>
    <m/>
    <n v="0"/>
  </r>
  <r>
    <x v="248"/>
    <s v="Hull CO"/>
    <s v="Charlotte"/>
    <s v="Alia"/>
    <s v="Email"/>
    <s v="Dry Bar Charleston"/>
    <m/>
    <x v="37"/>
    <s v="Charleston SC  PC1"/>
    <x v="3"/>
    <m/>
    <x v="0"/>
    <x v="850"/>
    <x v="744"/>
    <s v="Rate reduction"/>
    <s v="1890 condo building. Agent looking for $0.75 rate.  Rater coming in at $0.92. Reviewed AAL rating and including EQ, I come in at $0.60.  "/>
    <x v="3"/>
    <s v="Approved $0.75 rate subj to compelte app; verif of total gut/remodel; info no Dry Bar Charleston incl commercial questionnaire."/>
    <m/>
    <m/>
    <s v="Patterson"/>
    <m/>
    <m/>
    <n v="0"/>
  </r>
  <r>
    <x v="387"/>
    <s v="Burns"/>
    <s v="MI"/>
    <s v="Danielle"/>
    <s v="Email"/>
    <s v="Lusha, Masiela"/>
    <m/>
    <x v="21"/>
    <s v="Burbank"/>
    <x v="1"/>
    <m/>
    <x v="8"/>
    <x v="850"/>
    <x v="916"/>
    <s v="High profile"/>
    <s v="1990 home updated. Insured is actress from  George Lopez show. Other movies."/>
    <x v="4"/>
    <s v="Reviewed w/Jeff - felt okay w/liab."/>
    <m/>
    <m/>
    <s v="Patterson"/>
    <m/>
    <m/>
    <n v="0"/>
  </r>
  <r>
    <x v="212"/>
    <s v="Burns"/>
    <s v="MI"/>
    <s v="Danielle"/>
    <s v="Email"/>
    <s v="Tauzer, Mark"/>
    <m/>
    <x v="141"/>
    <s v="Sebastopol CA  PC10"/>
    <x v="3"/>
    <m/>
    <x v="0"/>
    <x v="850"/>
    <x v="916"/>
    <s v="Farming on property"/>
    <s v="1988 short term rental. Farming on same property, but fenced off. No other structures. PC 10.  Can get GL."/>
    <x v="4"/>
    <s v="Approved X-liability.  Unable to offer liability because I don't have a good way to exclude it.  Can't apply our upcoming Business Exclusion as that would exclude the rental operation as well."/>
    <m/>
    <m/>
    <s v="Patterson"/>
    <m/>
    <m/>
    <n v="0"/>
  </r>
  <r>
    <x v="105"/>
    <s v="Hull Horsham"/>
    <m/>
    <s v="Andrea"/>
    <s v="Email"/>
    <s v="Fabbri, Brian"/>
    <m/>
    <x v="5"/>
    <s v="Montville"/>
    <x v="9"/>
    <m/>
    <x v="0"/>
    <x v="850"/>
    <x v="953"/>
    <s v="4th renewal"/>
    <s v="1989 home vacant and for sale for 4 years. Listed with Remax. Insured visits weekly."/>
    <x v="3"/>
    <s v="Too late to NRN. Asked for 10% surcharge ($7000 prem)."/>
    <m/>
    <m/>
    <s v="Patterson"/>
    <m/>
    <m/>
    <n v="0"/>
  </r>
  <r>
    <x v="630"/>
    <s v="Hull CA"/>
    <s v="CA"/>
    <s v="Alison"/>
    <s v="Email"/>
    <s v="Sallam, Aliah"/>
    <m/>
    <x v="0"/>
    <s v="Los Angeles"/>
    <x v="1"/>
    <m/>
    <x v="8"/>
    <x v="850"/>
    <x v="1068"/>
    <s v="Historical home/multi-family home"/>
    <s v="1910 built historic home registry (no tours), 4 family (owner in 1, tenant in other 3), not sure on pipes so water ded of $10K, other updates made"/>
    <x v="1"/>
    <s v="# of families ineligible combined with historical home. Reviewed pics, a lot of detail to exterior of home; looks to be average maintenance"/>
    <m/>
    <m/>
    <s v="Burdine"/>
    <m/>
    <m/>
    <n v="1"/>
  </r>
  <r>
    <x v="87"/>
    <s v="Hull Irvine"/>
    <m/>
    <s v="Alex"/>
    <s v="Email"/>
    <s v="Diener, Todd/Brinker, Lucas"/>
    <m/>
    <x v="0"/>
    <s v="Los Angeles "/>
    <x v="1"/>
    <m/>
    <x v="0"/>
    <x v="850"/>
    <x v="1212"/>
    <s v="High profile"/>
    <s v="Agent asked if liability is okay due to higher profile."/>
    <x v="4"/>
    <s v="Nothing online found of concern. They are managers of actors and models."/>
    <m/>
    <m/>
    <s v="Patterson"/>
    <m/>
    <m/>
    <n v="0"/>
  </r>
  <r>
    <x v="302"/>
    <s v="Hull CA"/>
    <s v="CA"/>
    <s v="Bobbi"/>
    <s v="Email"/>
    <s v="Kawachi, Dennis"/>
    <m/>
    <x v="0"/>
    <s v="Los Angeles"/>
    <x v="1"/>
    <m/>
    <x v="8"/>
    <x v="850"/>
    <x v="1076"/>
    <s v="build year, heat source"/>
    <s v="1951 build, all updates made (per app, elec partial); coal stove primary heating device"/>
    <x v="3"/>
    <s v="Subject to surcharge for coal heating (per review seems OK) , and confirmation whether there is a drop-off at pool as appears in pic (Also steps on that side). If there is, advised need to consider x-liab"/>
    <m/>
    <m/>
    <s v="Burdine"/>
    <m/>
    <m/>
    <n v="0"/>
  </r>
  <r>
    <x v="746"/>
    <s v="Hull Irvine"/>
    <s v="CA"/>
    <s v="Alex"/>
    <s v="Call/Email"/>
    <s v="Betzler, Brett"/>
    <m/>
    <x v="75"/>
    <s v="Mill Valley"/>
    <x v="1"/>
    <m/>
    <x v="0"/>
    <x v="850"/>
    <x v="1158"/>
    <s v="Backdate"/>
    <s v="Renewed w/ Chubb, but Chubb decided to NR due to brush clearance and backdated cancellation. Agt was waiting on cancellation notice before offering terms on Markel, but since backdated cancel, now needing to backdate coverage to 04/15"/>
    <x v="3"/>
    <s v="Agt had home for prior owner for the last year, and knows no claims reported. Error of cancellation beyond insured control. Approved subject to signed no loss of insured."/>
    <m/>
    <m/>
    <s v="Burdine"/>
    <m/>
    <m/>
    <n v="0"/>
  </r>
  <r>
    <x v="392"/>
    <s v="Burns"/>
    <s v="MI"/>
    <s v="Jill"/>
    <s v="Email"/>
    <s v="Smith, Ron"/>
    <m/>
    <x v="75"/>
    <s v="Forest Ranch"/>
    <x v="1"/>
    <m/>
    <x v="6"/>
    <x v="850"/>
    <x v="1213"/>
    <s v="PC 9"/>
    <s v="Renewal of BWH103523-10181197, PC 9, appropriate brush clearance, response time 3 minutes per inspection provided, accessible year round, primary occupied"/>
    <x v="4"/>
    <s v="Home now has alarms, no other changes since approval; inspection provided and in great condition"/>
    <m/>
    <m/>
    <s v="Burdine"/>
    <m/>
    <m/>
    <n v="0"/>
  </r>
  <r>
    <x v="314"/>
    <s v="Burns"/>
    <s v="MI"/>
    <s v="Danielle"/>
    <s v="Email"/>
    <s v="Fisher, John &amp; Maureen"/>
    <m/>
    <x v="0"/>
    <m/>
    <x v="1"/>
    <m/>
    <x v="11"/>
    <x v="850"/>
    <x v="1214"/>
    <s v="High-profile"/>
    <s v="Attached is a risk located in CA for a high profile insured.  Primary home built in 1965 and updated in 2004/2015.  PC1 with alarms and no losses."/>
    <x v="4"/>
    <s v="Reviewed Google, insured is a former actor/tv producer. Actively writes. No high-profile projects at this time. "/>
    <m/>
    <m/>
    <s v="Burdine"/>
    <m/>
    <m/>
    <n v="0"/>
  </r>
  <r>
    <x v="136"/>
    <s v="Burns"/>
    <m/>
    <s v="Alexa"/>
    <s v="Email"/>
    <s v="Pierre-Paul"/>
    <s v="Jason"/>
    <x v="16"/>
    <s v="Montclair"/>
    <x v="9"/>
    <m/>
    <x v="8"/>
    <x v="850"/>
    <x v="124"/>
    <s v="High profile"/>
    <s v="Insured is DE for NY Giants. Had 2015 fireworks incident involving injury."/>
    <x v="3"/>
    <s v="Exclude liab and PI due to high profile/target risk."/>
    <s v="Referred to Louisa to discuss high profile. Louisa agrees to exclude liab and pers inj."/>
    <m/>
    <s v="Patterson"/>
    <m/>
    <m/>
    <n v="0"/>
  </r>
  <r>
    <x v="795"/>
    <s v="Burns"/>
    <s v="MI"/>
    <s v="Jill"/>
    <s v="Email"/>
    <s v="Smith, Ron"/>
    <m/>
    <x v="0"/>
    <s v="Forest Ranch CA PC9"/>
    <x v="3"/>
    <m/>
    <x v="0"/>
    <x v="850"/>
    <x v="124"/>
    <s v="PC9"/>
    <s v="2016 home on 21 acres. No alarms, insured is retired. Med/high brush area. 4 minute response. Situated no more than 200' from road. Paved, accessible, visible."/>
    <x v="4"/>
    <s v="Approved pending confirmation of 150' brush clearance, no lapse, no losses."/>
    <m/>
    <m/>
    <s v="Patterson"/>
    <m/>
    <m/>
    <n v="0"/>
  </r>
  <r>
    <x v="233"/>
    <s v="Burns"/>
    <s v="MI"/>
    <s v="Ben"/>
    <s v="Email"/>
    <s v="Rushing, Eric"/>
    <m/>
    <x v="0"/>
    <s v="El Dorado Hills CA  PC10"/>
    <x v="1"/>
    <m/>
    <x v="4"/>
    <x v="850"/>
    <x v="124"/>
    <s v="TIV"/>
    <s v="2007 frame home in brush, no alarms. 6 miles to FD. There is a hydrant. 12 minute response from paid FD."/>
    <x v="4"/>
    <m/>
    <m/>
    <m/>
    <s v="Patterson"/>
    <m/>
    <m/>
    <n v="0"/>
  </r>
  <r>
    <x v="240"/>
    <s v="Burns"/>
    <s v="MI"/>
    <s v="Leslie"/>
    <s v="Email"/>
    <s v="Ronay, Myron"/>
    <m/>
    <x v="0"/>
    <s v="Malibu CA PC10"/>
    <x v="3"/>
    <m/>
    <x v="0"/>
    <x v="850"/>
    <x v="1215"/>
    <s v="TIV&gt;$1.5M PC10"/>
    <s v="1999 home w/alarms and sprinklers. 6.7 mi from FD with 10 min response. Insured is Corporate and Transportation attorney."/>
    <x v="3"/>
    <s v="Approved subject to 150' brush clearance confirmation."/>
    <m/>
    <m/>
    <s v="Patterson"/>
    <m/>
    <m/>
    <n v="0"/>
  </r>
  <r>
    <x v="800"/>
    <s v="Burns"/>
    <s v="MI"/>
    <s v="Ben"/>
    <s v="Email"/>
    <s v="Warner, Kevin &amp; Kelly"/>
    <m/>
    <x v="2"/>
    <s v="Littlewood "/>
    <x v="19"/>
    <m/>
    <x v="4"/>
    <x v="850"/>
    <x v="1216"/>
    <s v="Response time"/>
    <s v="Home was built in 2000 of frame construction.  Primary PC9 NOT in brush and no losses. Has C/S Alarms."/>
    <x v="1"/>
    <s v="Even with no brush, response time is 15-20 minutes, volunteer FD. "/>
    <m/>
    <m/>
    <s v="Burdine"/>
    <m/>
    <m/>
    <n v="1"/>
  </r>
  <r>
    <x v="67"/>
    <s v="Burns NC"/>
    <s v="NC"/>
    <s v="Kasey"/>
    <s v="Email"/>
    <s v="Burkhard, Thomas"/>
    <m/>
    <x v="0"/>
    <s v="Swansboro"/>
    <x v="11"/>
    <m/>
    <x v="32"/>
    <x v="850"/>
    <x v="1145"/>
    <s v="$1M Liability"/>
    <s v="2008 home. Insd is a physician. English Retriever no bit, swimming pool, no dive board or slide."/>
    <x v="2"/>
    <s v="If insured has access to Umbrella, we'd like to stay at $500K. (If some reason to proceed w/$1M, we are not comfortable with dog   and pool must be fenced and usage supervised)"/>
    <m/>
    <m/>
    <s v="Patterson"/>
    <m/>
    <m/>
    <n v="0"/>
  </r>
  <r>
    <x v="87"/>
    <s v="Hull Irvine"/>
    <m/>
    <s v="Alison"/>
    <s v="Email"/>
    <s v="Osborne, Dahlma"/>
    <m/>
    <x v="0"/>
    <s v="Rancho Palos Verdes"/>
    <x v="1"/>
    <m/>
    <x v="0"/>
    <x v="850"/>
    <x v="1145"/>
    <s v="Prior losses"/>
    <s v="1995 home w/2 slab leaks. Insd rerouted cold water. 2015-$0, 2016 $89K."/>
    <x v="3"/>
    <s v="Water damage exclusion - they haven't re-routed the hot water pipe. Offered further discussion, but feel like this is a  loss waiting to happen"/>
    <m/>
    <m/>
    <s v="Patterson"/>
    <m/>
    <m/>
    <n v="0"/>
  </r>
  <r>
    <x v="399"/>
    <s v="Burns"/>
    <s v="MI"/>
    <s v="Jeff"/>
    <s v="Email"/>
    <s v="Young"/>
    <s v="Gail"/>
    <x v="2"/>
    <s v="Solona Beach"/>
    <x v="1"/>
    <m/>
    <x v="11"/>
    <x v="850"/>
    <x v="1217"/>
    <s v="TIV"/>
    <s v="1961 home w/full updates. 2 prior water losses described. $25K water ded. No loss trend."/>
    <x v="3"/>
    <s v="Verify adequate cov B. Online indicates 1600 SF guest house, only $200K cov B."/>
    <m/>
    <n v="13"/>
    <s v="Patterson"/>
    <m/>
    <m/>
    <n v="0"/>
  </r>
  <r>
    <x v="153"/>
    <s v="Burns"/>
    <s v="MI"/>
    <s v="Jeff"/>
    <s v="Email"/>
    <s v="Epstein"/>
    <s v="Jeff"/>
    <x v="0"/>
    <s v="Santa Rosa Valley"/>
    <x v="1"/>
    <m/>
    <x v="4"/>
    <x v="850"/>
    <x v="1218"/>
    <s v="TIV"/>
    <s v="1980 dwelling w/tile roof. Email says PC9. PCQ says PC10. PPC says 10W which is 10. 13 min drive time by paid FD. 6.9 miles away with hydrant. $43K water damage claim in 2015 - pipes replaced per app. Agent applied $25K water damage ded. Jeff to correct rating to in brush. There is a garage w/apartment but it is not rented."/>
    <x v="3"/>
    <s v="Correct rate to in brush, correct update info, rate as PC10.  "/>
    <m/>
    <n v="27"/>
    <s v="Patterson"/>
    <m/>
    <m/>
    <n v="0"/>
  </r>
  <r>
    <x v="515"/>
    <s v="Burns"/>
    <s v="MI"/>
    <s v="Ben"/>
    <s v="Email"/>
    <s v="Rogers, Sherman"/>
    <m/>
    <x v="21"/>
    <s v="Heltonville IN PC10"/>
    <x v="3"/>
    <m/>
    <x v="0"/>
    <x v="850"/>
    <x v="1219"/>
    <s v="TIV &gt;$1.5M PC10"/>
    <s v="2001 home with one prior water loss 7/15/15 $18K. Added $10K AOP, $10K wind/hail. Per quest, 15 min response, paved roads, accessible, monitored alarms."/>
    <x v="1"/>
    <s v="Asked for detail of water loss ($25K backup, need to confirm not a backup loss). Also need address of resp fire dept to confirm response time."/>
    <s v="Prior loss due to heavy rain getting thru between patio and house. All repaired. Checked 2 FD addresses provided. 38 min and 29-33 min response. Unprotected quest said 15 min response. Declined due to higher value with 30 min + response."/>
    <m/>
    <s v="Patterson"/>
    <m/>
    <m/>
    <n v="1"/>
  </r>
  <r>
    <x v="589"/>
    <s v="Hull Charlotte"/>
    <s v="NC"/>
    <s v="Tim"/>
    <s v="Email"/>
    <s v="Saboeiro"/>
    <s v="Greg"/>
    <x v="0"/>
    <s v="Okatie "/>
    <x v="20"/>
    <m/>
    <x v="4"/>
    <x v="850"/>
    <x v="24"/>
    <s v="PC"/>
    <s v="2000 home in established golf/retirement community w/hydrants. FD is 6.6 miles away, just over 15 min response. Agt quoting w/20% surcharge with central station alarm subjectivity."/>
    <x v="4"/>
    <s v="Comfortable with the rate. This is a good &quot;10&quot; situation and it is for Tim who never asks for exceptions. Map shows 17 min response."/>
    <m/>
    <m/>
    <s v="Patterson"/>
    <m/>
    <m/>
    <n v="0"/>
  </r>
  <r>
    <x v="176"/>
    <s v="Burns"/>
    <s v="MI"/>
    <s v="Jill"/>
    <s v="Email"/>
    <s v="Moore"/>
    <s v="Mike"/>
    <x v="16"/>
    <m/>
    <x v="1"/>
    <m/>
    <x v="4"/>
    <x v="850"/>
    <x v="24"/>
    <s v="PC 10"/>
    <s v="Frame, built in 1995, secondary, no losses, located in CA"/>
    <x v="4"/>
    <s v="photos/brush OK."/>
    <m/>
    <m/>
    <s v="Burdine"/>
    <m/>
    <m/>
    <n v="0"/>
  </r>
  <r>
    <x v="624"/>
    <s v="Hull CA"/>
    <s v="Irvine"/>
    <s v="Alex"/>
    <s v="Email"/>
    <s v="Balson, Allyse"/>
    <m/>
    <x v="0"/>
    <s v="Beverly Hills CA PC1"/>
    <x v="3"/>
    <m/>
    <x v="0"/>
    <x v="851"/>
    <x v="1220"/>
    <s v="2 losses"/>
    <s v="1941 home w/updates, alarmed, low brush. 2 prior losses. Dog bite and $130K water damage."/>
    <x v="3"/>
    <s v="Approved w/animal exclusion, $25K water damage, 5% or more debit for large loss. "/>
    <m/>
    <m/>
    <s v="Patterson"/>
    <m/>
    <m/>
    <n v="0"/>
  </r>
  <r>
    <x v="442"/>
    <s v="Burns"/>
    <s v="MI"/>
    <s v="Ben"/>
    <s v="Email"/>
    <s v="Clemens, Curt"/>
    <m/>
    <x v="2"/>
    <s v="Studio City"/>
    <x v="1"/>
    <m/>
    <x v="11"/>
    <x v="851"/>
    <x v="1221"/>
    <s v="TIV"/>
    <s v="1988 home fully updated, not in brush (Renie). Online photos look good."/>
    <x v="4"/>
    <m/>
    <m/>
    <m/>
    <s v="Patterson"/>
    <m/>
    <m/>
    <n v="0"/>
  </r>
  <r>
    <x v="175"/>
    <s v="Hull Horsham"/>
    <s v="PA"/>
    <s v="MacKenzie"/>
    <s v="Email"/>
    <s v="Maria"/>
    <s v="Rose"/>
    <x v="0"/>
    <s v="Margate City"/>
    <x v="9"/>
    <m/>
    <x v="0"/>
    <x v="852"/>
    <x v="1222"/>
    <s v="EIFS siding"/>
    <s v="RUA3385 renewal policy. Most recent inspection noted 70% EIFS siding. No claims, 8th year renewal, quoted with surcharge, 1964 build"/>
    <x v="3"/>
    <s v="Approved, requested inspection by qualified EIFS siding inspector by 2018 renewal. Absolute mold endorsement is on pol as well"/>
    <m/>
    <m/>
    <s v="Burdine"/>
    <m/>
    <m/>
    <n v="0"/>
  </r>
  <r>
    <x v="769"/>
    <s v="Burns"/>
    <s v="MI"/>
    <s v="Delta"/>
    <s v="Email"/>
    <s v="Bradley, Bill"/>
    <m/>
    <x v="75"/>
    <s v="Bermuda Dunes"/>
    <x v="1"/>
    <m/>
    <x v="5"/>
    <x v="852"/>
    <x v="1223"/>
    <s v="Business"/>
    <s v="primary home located in CA.  Home was built in 2000 of frame construction. PC4, not in brush, no losses, no alarms. There is a business exposure. There is one driveway, 2 buildings on the property. One building is used as an office for Bradley Electric. The other building is where the applicant lives. Little foot traffic. It is rare a client would come to the office. Usually the only people at this office are him, his office manager and his estimator."/>
    <x v="3"/>
    <s v="Home acceptable, business separated. OK w/ total business and other structure exclusion"/>
    <m/>
    <m/>
    <s v="K.Burdine"/>
    <m/>
    <m/>
    <n v="0"/>
  </r>
  <r>
    <x v="801"/>
    <s v="TPI"/>
    <m/>
    <s v="Penny"/>
    <s v="Email"/>
    <s v="Winters, Charles"/>
    <m/>
    <x v="36"/>
    <s v="Ocean Springs "/>
    <x v="16"/>
    <m/>
    <x v="2"/>
    <x v="853"/>
    <x v="1224"/>
    <s v="TIV"/>
    <s v="2007 home over Penny's authority - Jerrold is out of the office. App looks great. Value provided-looks okay. Online photos good."/>
    <x v="4"/>
    <m/>
    <m/>
    <m/>
    <s v="Patterson"/>
    <m/>
    <m/>
    <n v="0"/>
  </r>
  <r>
    <x v="433"/>
    <s v="Hull Irvine"/>
    <s v="CA"/>
    <s v="Michelle"/>
    <s v="Email"/>
    <s v="Otto"/>
    <s v="Jeffrey"/>
    <x v="0"/>
    <s v="Playa Del Rey"/>
    <x v="1"/>
    <m/>
    <x v="0"/>
    <x v="854"/>
    <x v="1225"/>
    <s v="Business on Premises"/>
    <s v="Primary home built 1999. Applicant is an accountant and runs a business out of his home. Has 1 employee, rarely any foot traffic and has a CGL. Loss of use was entered as &quot;24 months.&quot; Sprinklers in home, burglar system. "/>
    <x v="3"/>
    <s v="Apply TBE and update loss of use to dollar amount, not 24 months. "/>
    <m/>
    <m/>
    <s v="Busse"/>
    <m/>
    <m/>
    <n v="0"/>
  </r>
  <r>
    <x v="255"/>
    <s v="Hull CA"/>
    <s v="Irvine"/>
    <s v="Alex"/>
    <s v="Email"/>
    <s v="Alsborg"/>
    <m/>
    <x v="0"/>
    <s v="Long Beach CA PC2"/>
    <x v="1"/>
    <m/>
    <x v="8"/>
    <x v="855"/>
    <x v="0"/>
    <s v="Mansard roof damage"/>
    <s v="1925 home updated; unknown when roof updated and there are damaged shingles on the mansard portion of the roof. Prior carrier cancelled due to mansard shingle damage. Alex asked if it was a concern."/>
    <x v="3"/>
    <s v="Advised Alex details of issues w/mansard roofs and why it is an issue. Offered terms with MFRC and roof exclusion until repaired."/>
    <m/>
    <m/>
    <s v="Patterson"/>
    <m/>
    <m/>
    <n v="0"/>
  </r>
  <r>
    <x v="733"/>
    <s v="Burns"/>
    <s v="MI"/>
    <s v="Jill"/>
    <s v="Email"/>
    <s v="Dishman"/>
    <s v="Gary"/>
    <x v="0"/>
    <s v="El Dorado Hilla"/>
    <x v="1"/>
    <m/>
    <x v="6"/>
    <x v="855"/>
    <x v="1226"/>
    <s v="TIV"/>
    <s v="PC9, frame, primary, built in 1976, no losses, located in brush in CA"/>
    <x v="3"/>
    <s v="PCQ, pics, OK. Approved subj to roof exclusion as no updates"/>
    <m/>
    <m/>
    <s v="Burdine"/>
    <m/>
    <m/>
    <n v="0"/>
  </r>
  <r>
    <x v="461"/>
    <s v="Burns"/>
    <s v="MI"/>
    <s v="Jill"/>
    <m/>
    <s v="Hale"/>
    <s v="Jane"/>
    <x v="0"/>
    <s v="Georgetown"/>
    <x v="27"/>
    <s v="40324"/>
    <x v="8"/>
    <x v="856"/>
    <x v="1227"/>
    <s v="Business on Premises"/>
    <s v="2019 home, new purchase. Insd moving 2 businesses into the home. Personal training and art which includes classes, sales, and quarterly wine/paint or wine/yoga. $1M liab quoted.$5K AOP"/>
    <x v="3"/>
    <s v="Concern with larger exposure in the home which we will likely end up defending - difficult to separate some of these classes from personal liability. Approved terms excluding liability, TBE, GL required for all business exposures including personal training, holistic oil sales, art classes, art sales, wine/paint and wine/yoga, and any other ventures."/>
    <s v="Approved by John 4/4/19 via email."/>
    <m/>
    <s v="Patterson"/>
    <m/>
    <m/>
    <n v="0"/>
  </r>
  <r>
    <x v="0"/>
    <s v="Hull Irvine"/>
    <s v="CA"/>
    <s v="Tina"/>
    <m/>
    <s v="Shaolian"/>
    <s v="Mansour"/>
    <x v="0"/>
    <s v="Tarzana"/>
    <x v="1"/>
    <s v="91356"/>
    <x v="8"/>
    <x v="857"/>
    <x v="19"/>
    <s v="Losses"/>
    <s v="1964 home updated. Not in brush. 2 prior losses &gt;4 years ago. Water/roof and backup. No backup quoted. Mold was quoted."/>
    <x v="3"/>
    <s v="No s/c needed. Advised to use discretionary credit. No backup, no mold. Get new app. Roof replaced."/>
    <m/>
    <m/>
    <s v="Patterson"/>
    <m/>
    <m/>
    <n v="0"/>
  </r>
  <r>
    <x v="323"/>
    <s v="Burns"/>
    <s v="MI"/>
    <s v="Jill"/>
    <s v="Email"/>
    <s v="Smith"/>
    <s v="W Sidney"/>
    <x v="2"/>
    <s v="Petoskey"/>
    <x v="8"/>
    <m/>
    <x v="3"/>
    <x v="858"/>
    <x v="1228"/>
    <s v="Losses"/>
    <s v="open liab loss-involving their PUL-2016-Son DUI on ATV, caused death. Son no longer in house."/>
    <x v="3"/>
    <s v="No PUL coverage"/>
    <m/>
    <m/>
    <s v="Burdine"/>
    <m/>
    <m/>
    <n v="0"/>
  </r>
  <r>
    <x v="529"/>
    <s v="Hull Irvine"/>
    <s v="CA"/>
    <s v="Michelle"/>
    <m/>
    <s v="Razaghi"/>
    <s v="Farahnaz"/>
    <x v="0"/>
    <s v="Anaheim Hills"/>
    <x v="1"/>
    <s v="92807"/>
    <x v="2"/>
    <x v="859"/>
    <x v="1229"/>
    <s v="Losses"/>
    <s v="1988 home w/updates. Partial plumbing in 2004. Has 3 losses: 7/8/18 water dmg from broken toilet $11K; 10/9/17 Holy fire dmg to other structure $47K; 3/26/17 water damage from sewer/drain backup $30K. Quoting with $30K water damage ded and AOP $7,500."/>
    <x v="0"/>
    <s v="Need Fire Marshal report as dates of loss do not coincide with 2018 date of the Holy Fire. Allowing to offer rate indication but must send to us to review report for formal terms. No backup, no mold. WRS is 8. Ins score is flat. Fire marshal report confirmed it was the &quot;Canyon Fire&quot;. (BL)"/>
    <s v="I ran ins score 683"/>
    <m/>
    <s v="Patterson"/>
    <m/>
    <m/>
    <n v="0"/>
  </r>
  <r>
    <x v="787"/>
    <s v="SCU"/>
    <s v="CO"/>
    <s v="Allison"/>
    <s v="Email"/>
    <s v="Johnson"/>
    <s v="Betty"/>
    <x v="142"/>
    <s v="Breckenridge"/>
    <x v="19"/>
    <m/>
    <x v="8"/>
    <x v="860"/>
    <x v="1230"/>
    <s v="TIV/Wood roof"/>
    <s v="Attached is the rater, apps, riskmeter, and some photos.  There is no loss history.    The home is surrounded by aspen trees, and not too far from Main Street Breckenridge.  It’s in a Low Propensity to Burn area, but there are trees within 100 feet.  I’ve included a roof exclusion, and the wildfire form.  Which I’ll talk to the agent about trimming trees within 10 vertical feet of the roof."/>
    <x v="3"/>
    <s v="Approval subject to addressing brush/trees prior to issuance. Also, updated 1978 (1965 build) so requested inspection to include interior to review all systems"/>
    <m/>
    <m/>
    <s v="K.Burdine"/>
    <m/>
    <m/>
    <n v="0"/>
  </r>
  <r>
    <x v="324"/>
    <s v="Burns"/>
    <s v="MI"/>
    <s v="Lindsay"/>
    <s v="Email"/>
    <s v="Collins"/>
    <s v="La'el"/>
    <x v="0"/>
    <m/>
    <x v="23"/>
    <m/>
    <x v="5"/>
    <x v="861"/>
    <x v="1231"/>
    <s v="High Profile"/>
    <s v="NFL rookie with Dallas cowboys, policy being cancelled by Nationwide due to noncompliance with inspection requirements (applicant's agent let fall through cracks while he is at spring training)"/>
    <x v="3"/>
    <s v="approval property terms, x-liab due to high profile"/>
    <m/>
    <m/>
    <s v="Burdine"/>
    <m/>
    <m/>
    <n v="0"/>
  </r>
  <r>
    <x v="41"/>
    <s v="Hull Irvine"/>
    <s v="CA"/>
    <s v="Bobbi"/>
    <s v="Email"/>
    <s v="Chartoff"/>
    <s v="Charley"/>
    <x v="0"/>
    <s v="Malibu"/>
    <x v="1"/>
    <m/>
    <x v="8"/>
    <x v="862"/>
    <x v="1232"/>
    <s v="TIV"/>
    <s v="PC OK, no brush"/>
    <x v="4"/>
    <s v="requirements met"/>
    <m/>
    <m/>
    <s v="Burdine"/>
    <m/>
    <m/>
    <n v="0"/>
  </r>
  <r>
    <x v="298"/>
    <s v="Hull CA"/>
    <s v="Irvine"/>
    <s v="Alex"/>
    <s v="Email"/>
    <s v="Caldwell, Mardie"/>
    <m/>
    <x v="0"/>
    <s v="Nevada City"/>
    <x v="1"/>
    <m/>
    <x v="5"/>
    <x v="863"/>
    <x v="1233"/>
    <s v="Prior losses"/>
    <s v="1896 home fully updated, but gutting is not confirmed yet. Prior schedule rug loss - $95K w/farmers. Rugs were cleaned and it damaged them. Also $7500 pipe break. Per app, pipes fully updated (replaced) in 1990."/>
    <x v="2"/>
    <s v="No sched PP due to loss. Gave Jamie's contact info at Markel Specialty. Prior to 1900 and not gutted is ineligible. Offered exception if we confirm home is excellent. Can't find online pix. Re pipe, confirm 1990 was full replacement. If not, need higher water damage ded $5K or $10K-can discuss. Need older home quest."/>
    <m/>
    <m/>
    <s v="Patterson"/>
    <m/>
    <m/>
    <n v="0"/>
  </r>
  <r>
    <x v="788"/>
    <s v="Hull Stockton"/>
    <s v="CA"/>
    <s v="Lisa"/>
    <s v="Email"/>
    <s v="Perrins"/>
    <s v="Steven &amp; Dawson"/>
    <x v="0"/>
    <s v="Oroville"/>
    <x v="1"/>
    <m/>
    <x v="6"/>
    <x v="864"/>
    <x v="1234"/>
    <s v="PC"/>
    <s v="1992 builder, central alarms, PC 9, brush, no losses"/>
    <x v="4"/>
    <s v="PCQ ,premium, online info OK"/>
    <m/>
    <m/>
    <s v="Burdine"/>
    <m/>
    <m/>
    <n v="0"/>
  </r>
  <r>
    <x v="496"/>
    <s v="XS Brokers"/>
    <s v="MA"/>
    <s v="Barbara"/>
    <m/>
    <s v="Suzanne E Duffy Revocable Trust"/>
    <m/>
    <x v="2"/>
    <s v="New Haven"/>
    <x v="25"/>
    <s v="06510"/>
    <x v="11"/>
    <x v="865"/>
    <x v="1235"/>
    <s v="Losses"/>
    <s v="1908 year built. Partial updates to wiring, plumbing, heating in 2003 and 2008. Complete roof update in 2003. 3 family rental. 3 water losses - 1/4/2018 radiator cracked, water and steam damage $31k, 1/19/2018 pipe under kitchen sink let go causing water damage $7k, 8/2018 line to hot water heater burst $11k. Agent asked if $10k water deductible or exclusion should be applied. Also asked what to do with roof since it appears portion of it is flat."/>
    <x v="3"/>
    <s v="Since there are only partial updates, especially plumbing, approving subject to water damage exclusion. With the roof, it does appear sections are flat, and on RCE it says built-up tar and gravel is part of the roof covering which is used typically only for flat roofs. As such, applying the $5,000 roof and ensuing water deductible should apply also, and a completed OHQ. "/>
    <m/>
    <m/>
    <s v="Busse"/>
    <m/>
    <m/>
    <n v="0"/>
  </r>
  <r>
    <x v="95"/>
    <s v="Burns"/>
    <s v="MI"/>
    <s v="Leslie"/>
    <s v="Email"/>
    <s v="Evans, David &amp; Michelle "/>
    <m/>
    <x v="0"/>
    <s v="Ramona"/>
    <x v="1"/>
    <m/>
    <x v="4"/>
    <x v="866"/>
    <x v="1236"/>
    <s v="PC10"/>
    <s v="2008 in PC10 w/5-6 min response time. (12-15 min per google - still ok).  No hydrant. No brush per invalid report attached. 10,000 gallon tank 500' from home."/>
    <x v="3"/>
    <s v="Subj to brush s/c. Sent Jill's prev submission to Leslie and asked her to share w/Danielle. The &quot;CA Brush Fire&quot; report is not valid. Need RM or FireLine. I provided FireLine. Both RM and FL show high brush."/>
    <s v="(duplicate submission for another retailer)"/>
    <m/>
    <s v="Patterson"/>
    <m/>
    <m/>
    <n v="0"/>
  </r>
  <r>
    <x v="234"/>
    <s v="Burns"/>
    <s v="MI"/>
    <s v="Ben"/>
    <s v="Email"/>
    <s v="Humes, Margaret"/>
    <m/>
    <x v="0"/>
    <s v="Sonora CA PC10"/>
    <x v="3"/>
    <m/>
    <x v="0"/>
    <x v="866"/>
    <x v="1087"/>
    <s v="Response time 20 mins"/>
    <s v="2001 home. Has central station alarm, not monitored. Nice online pics. RiskMeter=high brush. FireLine=Moderate-3 with light fuels. Home is stucco with tile roof. Home has outside sprinklers around home. "/>
    <x v="3"/>
    <s v="Approved subject to addition of central station fire alarm. 5-10% surcharge on tech rate. ($9466 currently). Home must be to the front of the 37 acres with no accessibility issues. Must be all paved roads and driveway, accessible year round."/>
    <m/>
    <m/>
    <s v="Patterson"/>
    <m/>
    <m/>
    <n v="0"/>
  </r>
  <r>
    <x v="201"/>
    <s v="Burns"/>
    <s v="MI"/>
    <s v="Jeffrey"/>
    <s v="Email"/>
    <s v="Dupper, Gilbert"/>
    <m/>
    <x v="0"/>
    <s v="Redlands CA  PC10"/>
    <x v="3"/>
    <m/>
    <x v="0"/>
    <x v="867"/>
    <x v="1237"/>
    <s v="PC10/TIV"/>
    <s v="Built in 85. ACV roof. Good response time, year round access. Med brush. 4 pet pygmy goats and 3 dogs; 1 is a Rott/Shepherd."/>
    <x v="4"/>
    <s v="Need to confirm Covg A. Attached value shows $1,558,000. Once agreed, ok with animal excl.; confirm brush 150'; pool exclusion.//He will offer at $1,558,000 per follow up call."/>
    <m/>
    <m/>
    <s v="Patterson"/>
    <m/>
    <m/>
    <n v="0"/>
  </r>
  <r>
    <x v="635"/>
    <s v="Burns"/>
    <s v="MI"/>
    <s v="Ben"/>
    <s v="Email"/>
    <s v="Orlandella, Vito"/>
    <m/>
    <x v="0"/>
    <s v="Auberry CA PC9"/>
    <x v="3"/>
    <m/>
    <x v="0"/>
    <x v="868"/>
    <x v="1238"/>
    <s v="PC9 TIV&gt;$1.5M"/>
    <s v="1992 frame home in brush w/8 minute response. Woodstove in home per online source."/>
    <x v="3"/>
    <s v="Approved subject to acceptable woodstove questionnaire."/>
    <m/>
    <m/>
    <s v="Patterson"/>
    <m/>
    <m/>
    <n v="0"/>
  </r>
  <r>
    <x v="125"/>
    <s v="Hull Irvine"/>
    <m/>
    <s v="Alison"/>
    <s v="Call"/>
    <s v="Sassounian, Farhad &amp; Shilla"/>
    <m/>
    <x v="0"/>
    <s v="Studio City"/>
    <x v="1"/>
    <m/>
    <x v="0"/>
    <x v="869"/>
    <x v="0"/>
    <s v="Prior loss"/>
    <s v="8/25/12 $81K water loss due to filter under sink leaking when no one was home. 1967 home updated in 98. Unsure if galvanized."/>
    <x v="3"/>
    <s v="Did no review full submission.  Agent applying $10,000 water damage ded."/>
    <m/>
    <m/>
    <s v="Patterson"/>
    <m/>
    <m/>
    <n v="0"/>
  </r>
  <r>
    <x v="27"/>
    <s v="Burns"/>
    <s v="MI"/>
    <s v="Lindsay"/>
    <s v="Email"/>
    <s v="Clancy"/>
    <s v="Christian"/>
    <x v="0"/>
    <m/>
    <x v="1"/>
    <m/>
    <x v="8"/>
    <x v="870"/>
    <x v="1239"/>
    <s v="High Profile"/>
    <s v="Insd is manager to rapper Tyler the Creator."/>
    <x v="1"/>
    <s v="Tyler is too high profile.  Manager is closely associated."/>
    <s v="Reviewed w/Louisa"/>
    <m/>
    <s v="Patterson"/>
    <m/>
    <m/>
    <n v="1"/>
  </r>
  <r>
    <x v="242"/>
    <s v="Burns"/>
    <s v="MI"/>
    <s v="Leslie"/>
    <s v="Email"/>
    <s v="Holroyde, Judd"/>
    <m/>
    <x v="33"/>
    <s v="Truckee, CA PC9"/>
    <x v="3"/>
    <m/>
    <x v="0"/>
    <x v="871"/>
    <x v="995"/>
    <s v="PC9&gt;$1.5M"/>
    <s v="FireLine High 12 - Med fuels, steep slope, limited access. RiskMeter Medium.  New build. 20 acres w/private well for sprinkler"/>
    <x v="2"/>
    <s v="Need to confirm acceptable response time and access. Not clear from info provided.  • Unprotected questionnaire_x000a_• 20 acres - where is the dwelling situated on the acreage?  Are driveways fully accessible by fire trucks?_x000a_• Your email mentions a sprinkler system - is that for outside or inside the home?_x000a_• Is there a central station fire alarm?_x000a_• App says tenant occupied - just want to confirm there is some seasonal/owner occupied usage._x000a_If we go forward, it will be subject to an acceptable short term rental questionnaire._x000a_"/>
    <s v="Paid FD 3.3 miles away - 10 min response time.  Situated near center of 20 acres. Appears to have a wide paved drive per engineer plans. Sprinkler system in home. No alarms. Need to confirm there is some owner occupancy. Need short term quest."/>
    <m/>
    <s v="Patterson"/>
    <m/>
    <m/>
    <n v="0"/>
  </r>
  <r>
    <x v="802"/>
    <s v="JM Wilson"/>
    <s v="MI"/>
    <s v="Cheryl"/>
    <m/>
    <s v="Peck"/>
    <s v="Dale &amp; Mary"/>
    <x v="0"/>
    <s v="Vulcan"/>
    <x v="8"/>
    <s v="49892"/>
    <x v="6"/>
    <x v="871"/>
    <x v="19"/>
    <s v="TIV"/>
    <s v="Cement home with a flat roof, built 2005. There is a woodburning stove as secondary, floor radiant heat as primary. There is also an unfinished greenhouse on the roof. Does not look like all of roof has railings, which would be needed for liability. "/>
    <x v="1"/>
    <s v="App also said FD was 6 miles. Woodstove is in a wooden shed, not very comfortable with that. Also, lots of work being done to home from what it looks like. Due to all of that, we are going to decline."/>
    <m/>
    <m/>
    <s v="Busse"/>
    <m/>
    <m/>
    <n v="1"/>
  </r>
  <r>
    <x v="798"/>
    <s v="Burns"/>
    <s v="MI"/>
    <s v="Jill"/>
    <s v="Email"/>
    <s v="Elwes"/>
    <s v="Cary &amp; Lisa"/>
    <x v="0"/>
    <s v="Malibu"/>
    <x v="1"/>
    <m/>
    <x v="5"/>
    <x v="871"/>
    <x v="1091"/>
    <s v="High profile"/>
    <s v="Insured is actor (Princess Bride, TV, movies, not much recently). Married w/child. No controversial info. 1978 unpdated.In brush. Nice online photos."/>
    <x v="4"/>
    <m/>
    <s v="Reviewed w/Louisa. Liab okay since no current roles. Family."/>
    <m/>
    <s v="Patterson"/>
    <m/>
    <m/>
    <n v="0"/>
  </r>
  <r>
    <x v="539"/>
    <s v="Hull Irvine"/>
    <s v="Irvine"/>
    <s v="Michelle"/>
    <s v="Email"/>
    <s v="Lung"/>
    <s v="Richard"/>
    <x v="5"/>
    <m/>
    <x v="1"/>
    <m/>
    <x v="0"/>
    <x v="872"/>
    <x v="0"/>
    <s v="Losses"/>
    <s v="Soon to be vacant home with 3 claims (one liability claim 6/26/16 due to employee harassment case. PC code not given. Asking for $1M Liability. Large value home requesting $200k in contents."/>
    <x v="3"/>
    <s v="Must confirm date of home (2002 vs 1990) for correct rate. $200k approved if central station burglar alarm or must reduce to $50K. Vacant needs to be DF. Surcharge for 2 losses and no water back up."/>
    <m/>
    <m/>
    <s v="Lazovik"/>
    <m/>
    <m/>
    <n v="0"/>
  </r>
  <r>
    <x v="88"/>
    <s v="Burns"/>
    <s v="MI"/>
    <s v="Alexa"/>
    <s v="Email"/>
    <s v="Hearn, John"/>
    <m/>
    <x v="0"/>
    <s v="Corpus Christi"/>
    <x v="23"/>
    <m/>
    <x v="4"/>
    <x v="873"/>
    <x v="1240"/>
    <s v="PC 10"/>
    <s v="Attached is a submission for primary home located in TX. Home was built in 2004, brick veneer, PC10, with a 20-30 minute response time, no alarms, security cameras, 6 dogs, no losses."/>
    <x v="1"/>
    <s v="Too great of a response time with such a high TIV"/>
    <m/>
    <m/>
    <s v="Burdine"/>
    <m/>
    <m/>
    <n v="1"/>
  </r>
  <r>
    <x v="31"/>
    <s v="Hull Irvine"/>
    <s v="CA"/>
    <s v="Alison"/>
    <s v="Email"/>
    <s v="Knauer"/>
    <s v="Steven"/>
    <x v="3"/>
    <s v="Malibu"/>
    <x v="1"/>
    <m/>
    <x v="0"/>
    <x v="874"/>
    <x v="18"/>
    <s v="TIV"/>
    <s v="Location.  Risk is in Malibu, we have that zip restricted for submission only. Risk was approved last November."/>
    <x v="4"/>
    <m/>
    <m/>
    <m/>
    <s v="Patterson"/>
    <m/>
    <m/>
    <n v="0"/>
  </r>
  <r>
    <x v="205"/>
    <s v="Burns"/>
    <s v="MI"/>
    <s v="Danielle"/>
    <s v="Email"/>
    <s v="Logsdon, Dana"/>
    <m/>
    <x v="0"/>
    <s v="Alpine CA PC10"/>
    <x v="3"/>
    <m/>
    <x v="0"/>
    <x v="874"/>
    <x v="1241"/>
    <s v="PC10 &gt;$1.5M"/>
    <s v="2001 frame home. Insured is a roofer. Tile roof. Has alarms. $10K deductible.  Response time 7 minutes. Road accessible.  Adequate brush clearance.  Online photos show a fairly cleared area up on a bluff.  High brush per RM, high per FireLine."/>
    <x v="0"/>
    <s v="Provided Wildfire Mitigation form for this risk as there are some plants that they cannot clear."/>
    <s v="Additional follow up asking for exception to pool fencing. They are on 4 acres, &gt; than 100 yards from closest neighbor. Advised we need to apply pool exclusion."/>
    <m/>
    <s v="Patterson"/>
    <m/>
    <m/>
    <n v="0"/>
  </r>
  <r>
    <x v="402"/>
    <s v="Hull CA"/>
    <s v="Irvine"/>
    <s v="Alison"/>
    <s v="Email"/>
    <s v="Bassiri, Ali"/>
    <m/>
    <x v="0"/>
    <s v="Encino    "/>
    <x v="1"/>
    <m/>
    <x v="8"/>
    <x v="875"/>
    <x v="1242"/>
    <s v="2 losses"/>
    <s v="2007 home. No alarms. NRN due to claim history. Water leak (repaired) and some odd claim: &quot;Neighbor disputing prop lot line&quot;. Looks like 2 carriers paid. "/>
    <x v="0"/>
    <s v="Need to add s/c for Renie fire. Need $10K theft and AOP ded due to no alarms. Need full detail and proof of lot line dispute being settled. "/>
    <s v="Property encroachment claim. 2 carriers were on loss and shared. Letter from Travelers in file. All settled and closed."/>
    <m/>
    <s v="Patterson"/>
    <m/>
    <m/>
    <n v="0"/>
  </r>
  <r>
    <x v="743"/>
    <s v="Hull CA"/>
    <s v="Stockton"/>
    <s v="Kirk"/>
    <s v="Email"/>
    <s v="Taylor, Steven"/>
    <m/>
    <x v="0"/>
    <s v="Twain Hartt CA PC4"/>
    <x v="3"/>
    <m/>
    <x v="0"/>
    <x v="876"/>
    <x v="1243"/>
    <s v="Wood shake roof"/>
    <s v="1988 home with wood shake roof in brush area. Med per RM; High per FireLine with med fuel, moderate slope, good access. "/>
    <x v="1"/>
    <s v="Declined due to:  • FireLine is coming back High (6) which is on the lower end of their high rating.  Fuels at the property and surrounding area are listed as medium.  There is a moderate slope, no access problems.  I was hoping to get a lower rating.  _x000a_• The home is 1988 with no roof updates.  We can’t be sure of the fire retardant properties of the roof, and it is our understanding that post-manufacture application of fire retardant chemicals are not completely effective.  _x000a_• Additionally, we’re looking at over $1M in Cov A, over $2M in TIV._x000a_"/>
    <m/>
    <m/>
    <s v="Patterson"/>
    <m/>
    <m/>
    <n v="1"/>
  </r>
  <r>
    <x v="691"/>
    <s v="Appalachian"/>
    <s v="TN"/>
    <s v="John"/>
    <m/>
    <s v="Todd"/>
    <s v="Barry"/>
    <x v="0"/>
    <s v="Yuma"/>
    <x v="7"/>
    <s v="85365"/>
    <x v="2"/>
    <x v="877"/>
    <x v="1244"/>
    <s v="Losses"/>
    <s v="2005 year built. Looks like a nice home per the inspection provided. App indicates a liability loss from 2014 in amount of $425,000 and that it was &quot;dropped/closed.&quot; No other info provided. App indicates PC5, but inspection indicates no hydrant/water source within 1000 ft. App also says no pool but inspection shows pool. "/>
    <x v="1"/>
    <s v="Advised that the home itself appears to be a very good risk, in great condition. No concern with the pool, property is fenced. However, need more info on liability loss in order to review further. Also asked to clarify protection class since inspection shows no hydrant within 1,000 feet. Mentioned updated app will be needed to confirm everything is accurate, such as pool question. UPDATE 4/11/2019: liability loss was applicant arrested for 1st degree murder, 4 grand jurys and 1 prelim hearing before everything was dropped. Used insurance to cover legal ccosts. Declined due to loss history. "/>
    <m/>
    <m/>
    <s v="Busse"/>
    <m/>
    <m/>
    <n v="1"/>
  </r>
  <r>
    <x v="294"/>
    <s v="Hull CA"/>
    <s v="Irvine"/>
    <s v="Alex"/>
    <s v="Email"/>
    <s v="Anderson, Gisele"/>
    <m/>
    <x v="0"/>
    <s v="San Juan Capistrano"/>
    <x v="1"/>
    <m/>
    <x v="5"/>
    <x v="878"/>
    <x v="1245"/>
    <s v="Zipline"/>
    <s v="1966 home updated in 2005. No brush exposure. 2013 loss. UW questions not answered. 3 dogs, 4 goats, small aviary, pool, trampoline, zipline. Insd nrn due to zipline.  No standard carriers are willing to write. Insd also has a firepit per inspection that is under overhang and canvas awning."/>
    <x v="2"/>
    <s v="See email: Concern with firepit-asked many questions. 10% addl s/c due to above avg liab exposure. Need details on 2013 water loss for file. All UW questions should be okay. Terrier mix dog? Advise insd excluded if a pit bull. "/>
    <m/>
    <m/>
    <s v="Patterson"/>
    <m/>
    <m/>
    <n v="0"/>
  </r>
  <r>
    <x v="534"/>
    <s v="Hull Irvine"/>
    <s v="CA"/>
    <s v="Bobbi"/>
    <s v="Email"/>
    <s v="Kinyon"/>
    <s v="Barry &amp; Holly"/>
    <x v="2"/>
    <s v="Malibu"/>
    <x v="1"/>
    <m/>
    <x v="5"/>
    <x v="879"/>
    <x v="987"/>
    <s v="TIV"/>
    <s v="1956 dwelling gut/update in 2002. Nice online photos. Insured lives across the street. Not in brush. We asked 90265 to be referred case by case."/>
    <x v="4"/>
    <s v="Nice risk, insured is close. Good individual exception."/>
    <m/>
    <m/>
    <s v="Patterson"/>
    <m/>
    <m/>
    <n v="0"/>
  </r>
  <r>
    <x v="787"/>
    <s v="Burns"/>
    <s v="MI"/>
    <s v="Delta"/>
    <s v="Email"/>
    <s v="BERGSCHLOSS LLC"/>
    <s v="BERGSCHLOSS LLC"/>
    <x v="143"/>
    <s v="West Des Moines"/>
    <x v="34"/>
    <m/>
    <x v="5"/>
    <x v="880"/>
    <x v="1246"/>
    <s v="TIV?"/>
    <s v="Home was built in 2017 of frame construction, PC4 , full C/S alarms and no losses. Home is currently a model home for  a new builder. Insured leasing to builder for two years, then will become their secondary."/>
    <x v="3"/>
    <s v="x-liab due to traffic from being model home"/>
    <m/>
    <m/>
    <s v="K.Burdine"/>
    <m/>
    <m/>
    <n v="0"/>
  </r>
  <r>
    <x v="386"/>
    <s v="SCU"/>
    <s v="CO"/>
    <s v="Allison"/>
    <m/>
    <s v="Ponticelli"/>
    <s v="Dana &amp; Sharon"/>
    <x v="0"/>
    <s v="Chatsworth"/>
    <x v="1"/>
    <s v="91311"/>
    <x v="8"/>
    <x v="881"/>
    <x v="1247"/>
    <s v="Condition"/>
    <s v="1996 home w/synthetic stucco. 79 WRS, quoted before our guidelines changed. Eff 11/27/19. Has alarms and tile roof."/>
    <x v="2"/>
    <s v="Advised need to find out if there is a drainage/weep system. Castle may not - not included in their inspection. Nice looking higher value home."/>
    <m/>
    <m/>
    <s v="Patterson"/>
    <m/>
    <m/>
    <n v="0"/>
  </r>
  <r>
    <x v="536"/>
    <s v="Burns"/>
    <s v="MI"/>
    <s v="Jill"/>
    <s v="Email"/>
    <s v="Picchietti, Frances"/>
    <m/>
    <x v="39"/>
    <s v="Bannockburn"/>
    <x v="4"/>
    <m/>
    <x v="0"/>
    <x v="882"/>
    <x v="1248"/>
    <s v="TIV"/>
    <s v="1966 home fully updated. Father passed away, son living in home.  Will be re-titled and LLC obtained."/>
    <x v="4"/>
    <m/>
    <m/>
    <m/>
    <s v="Patterson"/>
    <m/>
    <m/>
    <n v="0"/>
  </r>
  <r>
    <x v="594"/>
    <s v="Hull CA"/>
    <s v="Stockton"/>
    <s v="Lisa"/>
    <s v="Email"/>
    <s v="Brady, Michael"/>
    <m/>
    <x v="38"/>
    <s v="Topanga CA PC4"/>
    <x v="3"/>
    <m/>
    <x v="0"/>
    <x v="883"/>
    <x v="1249"/>
    <s v="Waive Insp/TIV&gt;$3M"/>
    <s v="1979 home updated in 2000. High value inspection completed &lt;1 year ago, can we waive new insp? Brush is confirmed to be 150' clearance w/annual confirmation by FD."/>
    <x v="4"/>
    <s v="Approved pending exterior inspection to confirm no hazards and good condition. Reminder not to leave money on the table."/>
    <m/>
    <m/>
    <s v="Patterson"/>
    <m/>
    <m/>
    <n v="0"/>
  </r>
  <r>
    <x v="538"/>
    <s v="Hull Stockton"/>
    <s v="CA"/>
    <s v="Lisa"/>
    <s v="Email"/>
    <s v="Azevedo"/>
    <s v="Loren M"/>
    <x v="0"/>
    <s v="Placerville"/>
    <x v="1"/>
    <m/>
    <x v="4"/>
    <x v="884"/>
    <x v="1250"/>
    <s v="PC"/>
    <s v="160 acres (no farming or ranching), has policy in place to cover liability so no liability needed, Just A, B, C, PC 10"/>
    <x v="3"/>
    <s v="You have approval to offer terms on this risk subject to the rating being updated to a PC 10, the $10K AOP ded, and other structure exclusion."/>
    <m/>
    <m/>
    <s v="Burdine"/>
    <m/>
    <m/>
    <n v="0"/>
  </r>
  <r>
    <x v="92"/>
    <s v="Burns"/>
    <s v="MI"/>
    <s v="Alexa"/>
    <s v="Email"/>
    <s v="Barletta Cape Properties"/>
    <m/>
    <x v="0"/>
    <s v="Barnstable"/>
    <x v="21"/>
    <m/>
    <x v="0"/>
    <x v="885"/>
    <x v="1251"/>
    <s v="Premium credit"/>
    <s v="2010 (1999?) home located on the Cape. Agent trying to match Quaker quote. Nice online photos."/>
    <x v="3"/>
    <s v="Cannot match Quaker quote (14.5% credit) as partner programs are unique. Approved 10% credit. Also verify YOC and need LLC/Corp form due to named insd."/>
    <s v="Discussed w/Jeff. Concern about precedent. Partner programs are unique."/>
    <m/>
    <s v="Patterson"/>
    <m/>
    <m/>
    <n v="0"/>
  </r>
  <r>
    <x v="790"/>
    <s v="Hull Irvine"/>
    <s v="CA"/>
    <s v="Bobbi"/>
    <s v="Email"/>
    <s v="Akhlaghpour"/>
    <s v="Mary"/>
    <x v="0"/>
    <s v="Woodland Hills"/>
    <x v="1"/>
    <m/>
    <x v="0"/>
    <x v="886"/>
    <x v="1136"/>
    <s v="Bankruptcy"/>
    <s v="Insured has a Chapter 11 business bankruptcy and needs US Trustee listed on their policy. Lexington won't take the risk and agent is looking to place elsewhere.  "/>
    <x v="1"/>
    <s v="Pass on a bankruptcy. Also advised we would not add US Trustee if we had been on the risk."/>
    <m/>
    <m/>
    <s v="Patterson"/>
    <m/>
    <m/>
    <n v="1"/>
  </r>
  <r>
    <x v="384"/>
    <s v="Burns"/>
    <s v="MI"/>
    <s v="Jill"/>
    <m/>
    <s v="Kehoe"/>
    <s v="Dorothy"/>
    <x v="0"/>
    <s v="Ojai"/>
    <x v="1"/>
    <s v="93023"/>
    <x v="5"/>
    <x v="887"/>
    <x v="1252"/>
    <s v="Losses"/>
    <s v="1970 year built with updates only to heating in 2015. Roof is tile, exclusion already applied per agent. Two losses, first was CAT from Thomas fire, mandatory evacuation. Second was 3 months later the property was ransacked while vacant. WRS 20. ISO PPC report provided shows split PC 4/9, no documentation confirming it as 4."/>
    <x v="3"/>
    <s v="Approving subject to FRC since only update to heating, need OHQ, EHP w/ standard inspection, and also confirmation as to how PC was determined as per guidelines split PCs are ineligible. Also advised that the second loss should be surcharged. "/>
    <m/>
    <m/>
    <s v="Busse"/>
    <m/>
    <m/>
    <n v="0"/>
  </r>
  <r>
    <x v="318"/>
    <s v="Hull Irvine"/>
    <s v="CA"/>
    <s v="Alison"/>
    <s v="Email"/>
    <s v="Kasloff"/>
    <s v="Masako"/>
    <x v="4"/>
    <s v="Malibu"/>
    <x v="1"/>
    <m/>
    <x v="2"/>
    <x v="888"/>
    <x v="1248"/>
    <s v="TIV"/>
    <s v="Risk is in Malibu, not in brush. Nice online photos."/>
    <x v="4"/>
    <s v="Not in brush, lower PC, good home."/>
    <m/>
    <m/>
    <s v="Patterson"/>
    <m/>
    <m/>
    <n v="0"/>
  </r>
  <r>
    <x v="75"/>
    <s v="Burns"/>
    <s v="MI"/>
    <s v="Leslie"/>
    <s v="Email"/>
    <s v="Lykies, David"/>
    <m/>
    <x v="5"/>
    <s v="Georgetown"/>
    <x v="23"/>
    <m/>
    <x v="4"/>
    <x v="889"/>
    <x v="1253"/>
    <s v="TIV   "/>
    <s v="Vacant and for sale. Fully alarmed. Agent applied 10% credit. 2002 home. 3-6-12 mo terms. Agt quoting subj to acceptable PC quest. There Is a hydrant even though this is a pc10."/>
    <x v="3"/>
    <s v="PC quest (as noted)."/>
    <m/>
    <m/>
    <s v="Patterson"/>
    <m/>
    <m/>
    <n v="0"/>
  </r>
  <r>
    <x v="657"/>
    <s v="Hull Irvine"/>
    <s v="CA"/>
    <s v="Alex"/>
    <s v="Call"/>
    <s v="Bass"/>
    <m/>
    <x v="8"/>
    <m/>
    <x v="1"/>
    <m/>
    <x v="0"/>
    <x v="890"/>
    <x v="0"/>
    <s v="Construction"/>
    <s v="Insured is adding 2 interior walls in a basement. Do they need a COC"/>
    <x v="4"/>
    <s v="This is pretty basic.  At most a couple of outlets would be run. Insured having work done by a contractor. No COC needed."/>
    <m/>
    <n v="5"/>
    <s v="Patterson"/>
    <m/>
    <m/>
    <n v="0"/>
  </r>
  <r>
    <x v="168"/>
    <s v="Hull Horsham"/>
    <s v="NJ"/>
    <s v="Lisa"/>
    <s v="Email"/>
    <s v="Congregation Berditchev Lakewood Inc."/>
    <m/>
    <x v="144"/>
    <m/>
    <x v="3"/>
    <m/>
    <x v="0"/>
    <x v="890"/>
    <x v="0"/>
    <s v="Occupancy"/>
    <s v="This is a single family home being renovated to be a synagogue."/>
    <x v="1"/>
    <s v="This should be written on a commercial policy."/>
    <m/>
    <m/>
    <s v="Patterson"/>
    <m/>
    <m/>
    <n v="1"/>
  </r>
  <r>
    <x v="591"/>
    <s v="Hull CA"/>
    <s v="Irvine"/>
    <s v="Alison"/>
    <s v="Email"/>
    <s v="Taylor, Jim"/>
    <m/>
    <x v="0"/>
    <s v="Lake Tahoe CA "/>
    <x v="3"/>
    <m/>
    <x v="0"/>
    <x v="890"/>
    <x v="0"/>
    <s v="Log home"/>
    <s v="1928 log home designed by renowned architect Julia Morgan (Hearst Castle). Updated in 90's. Hand hewn logs w/wood interior."/>
    <x v="4"/>
    <s v="Suggest $500/SF and 10% surcharge to total premium."/>
    <m/>
    <m/>
    <s v="Patterson"/>
    <m/>
    <m/>
    <n v="0"/>
  </r>
  <r>
    <x v="215"/>
    <s v="Hull CA"/>
    <s v="Irvine"/>
    <s v="Alex"/>
    <s v="Call"/>
    <m/>
    <m/>
    <x v="1"/>
    <m/>
    <x v="3"/>
    <m/>
    <x v="0"/>
    <x v="890"/>
    <x v="0"/>
    <s v="2 mos left in COC"/>
    <s v="Insured is currently w/State Farm who is cancelling policy. Insured bought home in January and  started construction in February. State farm found and and doesn't want to be on.  Construction due to be complete in a few months. Writings as HO3 COC and will convert when done.  Full interior remodel."/>
    <x v="0"/>
    <s v="  "/>
    <m/>
    <m/>
    <s v="Patterson"/>
    <m/>
    <m/>
    <n v="0"/>
  </r>
  <r>
    <x v="216"/>
    <s v="Burns"/>
    <m/>
    <s v="Leslie"/>
    <s v="Email"/>
    <s v="Murphy, Tim"/>
    <m/>
    <x v="64"/>
    <s v="North Fork, CA/PC10"/>
    <x v="3"/>
    <m/>
    <x v="0"/>
    <x v="890"/>
    <x v="0"/>
    <s v="TIV and PC10"/>
    <s v="Cov A is $1.2m with $5k ded."/>
    <x v="1"/>
    <s v="Ran risk meter, came back at a 9 (high)- that in combination with the PC10 does not make me comfortable. "/>
    <m/>
    <m/>
    <s v="Trott"/>
    <m/>
    <m/>
    <n v="1"/>
  </r>
  <r>
    <x v="327"/>
    <s v="Hull Stockton"/>
    <s v="CA"/>
    <s v="Lisa"/>
    <s v="Email"/>
    <s v="KD Works, LLC"/>
    <s v="KD Works, LLC"/>
    <x v="1"/>
    <s v="Marin"/>
    <x v="1"/>
    <m/>
    <x v="9"/>
    <x v="890"/>
    <x v="744"/>
    <s v="Losses"/>
    <s v="2014-water damage from small roof leek, open liab loss-they are a claimant (weren't aware they were) of sewage overflow from neighbor onto their property. Neighbor already cleaned up at their expense, so applicant wasn't aware of insurance involvement"/>
    <x v="4"/>
    <s v="Repairs made, no concerns with for risk"/>
    <m/>
    <m/>
    <s v="Burdine"/>
    <m/>
    <m/>
    <n v="0"/>
  </r>
  <r>
    <x v="449"/>
    <s v="SCU"/>
    <s v="CO"/>
    <s v="Allison"/>
    <m/>
    <s v="Madole"/>
    <s v="Juanita"/>
    <x v="5"/>
    <s v="Boulder"/>
    <x v="19"/>
    <n v="80304"/>
    <x v="8"/>
    <x v="890"/>
    <x v="744"/>
    <s v="Prior Lapse/NRN"/>
    <s v="Home is vacant as it is up for sale.  There is a 3 month lapse as it was non-renewed due to vacancy and they did not go and get insurance. Obtaining no loss statement and adding 10% lapse surcharge."/>
    <x v="4"/>
    <s v="Reviewed pictures online. Nothing jumps out. Charging for the lapse."/>
    <m/>
    <m/>
    <s v="Lazovik"/>
    <m/>
    <m/>
    <n v="0"/>
  </r>
  <r>
    <x v="803"/>
    <s v="Burns"/>
    <s v="MI"/>
    <s v="Delta"/>
    <s v="Email"/>
    <s v="Clear Horizon Capital, Inc"/>
    <m/>
    <x v="145"/>
    <s v="El Dorado Hills"/>
    <x v="1"/>
    <m/>
    <x v="4"/>
    <x v="890"/>
    <x v="1153"/>
    <s v="PC 10/TIV"/>
    <s v="builders risk in CA.  Home was built in 1987 of frame construction, PC 10 w/ 10 minute response time, in brush. Insured GC, Subs have insurance; liab excluded"/>
    <x v="3"/>
    <s v="No info on principal/designee. Advised as long as inc. info OK, and principal will be occupant once completed then approval ok w/no liab"/>
    <m/>
    <m/>
    <s v="Burdine"/>
    <m/>
    <m/>
    <n v="0"/>
  </r>
  <r>
    <x v="241"/>
    <s v="Hull CO"/>
    <s v="Charlotte"/>
    <s v="Alia"/>
    <s v="Email"/>
    <s v="Shriver"/>
    <m/>
    <x v="0"/>
    <s v="Charleston SC "/>
    <x v="3"/>
    <m/>
    <x v="0"/>
    <x v="890"/>
    <x v="877"/>
    <s v="Rate"/>
    <s v="Can we do $0.75 rate?  1841 home completely remodeled in 2016. Online photos look great. There are 2 businesses on 1st floor per online."/>
    <x v="3"/>
    <s v="Approved subject to finding out the story on the businesses."/>
    <m/>
    <m/>
    <s v="Patterson"/>
    <m/>
    <m/>
    <n v="0"/>
  </r>
  <r>
    <x v="360"/>
    <s v="Hull CO"/>
    <s v="Charlotte"/>
    <s v="Karen"/>
    <s v="Email"/>
    <s v="Booth, Joyce"/>
    <m/>
    <x v="1"/>
    <s v="Charleston SC PC1"/>
    <x v="3"/>
    <m/>
    <x v="0"/>
    <x v="890"/>
    <x v="880"/>
    <s v="Rate reduction"/>
    <s v="1935 masonry home about 5 miles from coast. Agent looking for $0.75 rate including earthquake.  Ran AAL and added EQ which came out exactly to what the rater quoted."/>
    <x v="1"/>
    <m/>
    <m/>
    <m/>
    <s v="Patterson"/>
    <m/>
    <m/>
    <n v="1"/>
  </r>
  <r>
    <x v="446"/>
    <s v="Burns"/>
    <s v="MI"/>
    <s v="Jill"/>
    <s v="Email"/>
    <s v="Sachs, Myles"/>
    <m/>
    <x v="32"/>
    <s v="Laguna Beach CA PC3"/>
    <x v="3"/>
    <m/>
    <x v="0"/>
    <x v="890"/>
    <x v="1254"/>
    <s v="Lapse for 1 yr"/>
    <s v="1995 4700 SF. Low brush. Good online photos. Insd's parents were killed by a brother. Insd has been getting affairs in order. Brother is in jail, trial is 3/2016. Seems solid he will be going to prison. "/>
    <x v="4"/>
    <s v="Lapse makes sense. Brother will be going to prison. Not really a high profile insured."/>
    <m/>
    <m/>
    <s v="Patterson"/>
    <m/>
    <m/>
    <n v="0"/>
  </r>
  <r>
    <x v="771"/>
    <s v="Burns"/>
    <s v="MI"/>
    <s v="Alexa"/>
    <s v="Email"/>
    <s v="Ridgeway Partners LLC"/>
    <s v="Ridgeway Partners LLC"/>
    <x v="4"/>
    <m/>
    <x v="7"/>
    <m/>
    <x v="4"/>
    <x v="890"/>
    <x v="1255"/>
    <s v="Occupancy/Use"/>
    <s v="1989 build, PC 9 (quoted), no alarms, 318 acres (300 used for grazing-GL in place), vacant since 2003, electricity off"/>
    <x v="3"/>
    <s v="Home is actually used as secondary by 3 adult children, electric will be turned on, advised must be rated as PC 10 since 5.1 miles from FD. TBE must be applied."/>
    <m/>
    <m/>
    <s v="Burdine"/>
    <m/>
    <m/>
    <n v="0"/>
  </r>
  <r>
    <x v="568"/>
    <s v="Burns"/>
    <s v="MI"/>
    <s v="Matt   "/>
    <s v="Email"/>
    <s v="Brown"/>
    <s v="Letitia Uptown"/>
    <x v="5"/>
    <m/>
    <x v="7"/>
    <m/>
    <x v="0"/>
    <x v="890"/>
    <x v="1255"/>
    <s v="Occupancy/Use"/>
    <s v="Reapproval that does not appear to have been logged before.  Vacant AZ home, 1989 no alarms. 300 acres leased for grazing, GL in place.  X-liability.  Vacant since 2003, management co checks on home monthly., nephew stays in home one weekend a year. Elec is off but will be on soon."/>
    <x v="0"/>
    <s v="Approved subj to utilities being on and signed no loss.  "/>
    <m/>
    <m/>
    <s v="Patterson"/>
    <m/>
    <m/>
    <n v="0"/>
  </r>
  <r>
    <x v="22"/>
    <s v="Hull Irvine"/>
    <s v="CA"/>
    <s v="Alison"/>
    <s v="Email"/>
    <s v="Hakim"/>
    <s v="Said"/>
    <x v="0"/>
    <s v="Malibu"/>
    <x v="1"/>
    <m/>
    <x v="5"/>
    <x v="890"/>
    <x v="1256"/>
    <s v="TIV"/>
    <s v="Malibu risk off PCH and not in brush. I am quoting D at 10% since it isn’t a primary. TIV is $1,450,000. "/>
    <x v="3"/>
    <s v="need an acceptable Older Home Questionnaire based on its age. Also, the TIV seems a little low based on online pics, so please be sure to let us know if further review determines it is significantly higher."/>
    <m/>
    <m/>
    <s v="Burdine"/>
    <m/>
    <m/>
    <n v="0"/>
  </r>
  <r>
    <x v="773"/>
    <s v="Hull Irvine"/>
    <s v="CA"/>
    <s v="Luke"/>
    <s v="Email"/>
    <s v="The Chazanas Family Living Trust"/>
    <m/>
    <x v="0"/>
    <s v="Beverly Hills "/>
    <x v="1"/>
    <m/>
    <x v="11"/>
    <x v="890"/>
    <x v="1112"/>
    <s v="TIV"/>
    <s v="2014 dwelling in capped zip. Alarms. Not in brush, but near brush which appears acceptable. Agent applied surcharge. Home is 8 years old, may be a flat roof, but that is acceptable with no update and no endorsement/exclusion."/>
    <x v="4"/>
    <s v="Not in brush, lower PC, good home. Fireline shows high 11.  Since we are between $50M and $100M, comfortable writing the risk with the additional surcharge.  Med fuels, moderate slope, no historical wildfire activity."/>
    <m/>
    <m/>
    <s v="Patterson"/>
    <m/>
    <m/>
    <n v="0"/>
  </r>
  <r>
    <x v="351"/>
    <s v="Hull Irvine"/>
    <s v="CA"/>
    <s v="Alison"/>
    <m/>
    <s v="Patterson"/>
    <s v="Jack"/>
    <x v="0"/>
    <s v="Los Angeles"/>
    <x v="1"/>
    <n v="90046"/>
    <x v="3"/>
    <x v="890"/>
    <x v="1112"/>
    <s v="High Profile"/>
    <s v="Patterson is member of clean break band that just released song with Demi Lovato this year. Marina is releasing first album in 3 years. Home is in renie with CSA. Built in 1956 with complete updates to everything in 1995."/>
    <x v="3"/>
    <s v="Approved without liability"/>
    <m/>
    <m/>
    <s v="Lazovik"/>
    <m/>
    <m/>
    <n v="0"/>
  </r>
  <r>
    <x v="658"/>
    <s v="Hull Irvine"/>
    <m/>
    <s v="Alison"/>
    <s v="Email"/>
    <s v="Felix"/>
    <s v="Robert"/>
    <x v="2"/>
    <s v="Yorba Linda"/>
    <x v="1"/>
    <m/>
    <x v="9"/>
    <x v="890"/>
    <x v="1083"/>
    <s v="Occupancy"/>
    <s v="Risk will be rented back to sellers for 6 months. Agent asking if we can do HO3 Seasonal w/rental"/>
    <x v="3"/>
    <s v="Risk acceptable, but want to do on DP3 as it will be clearly rented for a full 6 months. Agent came back to discuss.  I reviewed w/Jeff and we agreed good exposure. If they want a 1 year policy HO3 w/rental, then okay."/>
    <m/>
    <m/>
    <s v="Patterson"/>
    <m/>
    <m/>
    <n v="0"/>
  </r>
  <r>
    <x v="663"/>
    <s v="Hull Irvine"/>
    <s v="CA"/>
    <s v="Alison"/>
    <s v="Email"/>
    <s v="Aarons"/>
    <s v="Ashley"/>
    <x v="2"/>
    <s v="Los Angeles"/>
    <x v="1"/>
    <m/>
    <x v="11"/>
    <x v="890"/>
    <x v="1058"/>
    <s v="Business on Premises"/>
    <s v="Property is rented out to film producers in the LA area and their equipment is kept at the home. Built in 1966, flat roof, no dates provided for system updates other than questionnaire saying within last 35 years. Indicated there is business on property, but that could've been in regards to them renting the property. "/>
    <x v="3"/>
    <s v="Follow guidelines for flat roof and add roof and ensuing water form. Also follow inspection and guidelines regarding the major systems and last updated. Confirm there isn't any other business aside from them renting the property. "/>
    <m/>
    <m/>
    <s v="Busse"/>
    <m/>
    <m/>
    <n v="0"/>
  </r>
  <r>
    <x v="328"/>
    <s v="Hull Irvine"/>
    <s v="CA"/>
    <s v="Bobbi"/>
    <s v="Email"/>
    <s v="Surman"/>
    <s v="Thomas &amp; Lisa"/>
    <x v="0"/>
    <s v="Laguna Beach"/>
    <x v="1"/>
    <m/>
    <x v="11"/>
    <x v="890"/>
    <x v="1257"/>
    <s v="Condition"/>
    <s v="Partial cast iron plumbing (about 20%). "/>
    <x v="3"/>
    <s v="subject water damage exclusion"/>
    <m/>
    <m/>
    <s v="Burdine"/>
    <m/>
    <m/>
    <n v="0"/>
  </r>
  <r>
    <x v="426"/>
    <s v="Hull Irvine"/>
    <s v="CA"/>
    <s v="Bobbi"/>
    <s v="Email"/>
    <s v="Oppenheim"/>
    <s v="Chad"/>
    <x v="0"/>
    <s v="Malibu"/>
    <x v="1"/>
    <m/>
    <x v="8"/>
    <x v="890"/>
    <x v="109"/>
    <s v="TIV"/>
    <s v="PC OK, no brush"/>
    <x v="4"/>
    <s v="guidelines met"/>
    <m/>
    <m/>
    <s v="Burdine"/>
    <m/>
    <m/>
    <n v="0"/>
  </r>
  <r>
    <x v="172"/>
    <s v="Burns"/>
    <s v="CA"/>
    <s v="Jill"/>
    <s v="Email"/>
    <s v="Schulze"/>
    <s v="Walther"/>
    <x v="16"/>
    <s v="Apache"/>
    <x v="7"/>
    <m/>
    <x v="4"/>
    <x v="890"/>
    <x v="1258"/>
    <s v="PC/TIV"/>
    <s v="Frame, secondary, built in 2006, PC10, no losses, located in AZ"/>
    <x v="4"/>
    <s v="PCQ OK, response time w/15 minutes. Photos OK"/>
    <m/>
    <m/>
    <s v="Burdine"/>
    <m/>
    <m/>
    <n v="0"/>
  </r>
  <r>
    <x v="532"/>
    <s v="Burns"/>
    <s v="MI"/>
    <s v="Delta"/>
    <s v="Email"/>
    <s v="Swain, Jonathan"/>
    <m/>
    <x v="16"/>
    <s v="Cazenovia"/>
    <x v="12"/>
    <m/>
    <x v="4"/>
    <x v="890"/>
    <x v="1258"/>
    <s v="TIV/PC10"/>
    <s v="2016 new build. Per online source, property is over 400 acres w/outbuildings. 16 min response time per PC quest. I can't validate address of prop or FD online, but we have preplan from FD which supports response time."/>
    <x v="3"/>
    <s v="Validate use and condition of outbuildings.  Placement of home doesn't impact response time and is accessible by emergency veh."/>
    <m/>
    <m/>
    <s v="Patterson"/>
    <m/>
    <m/>
    <n v="0"/>
  </r>
  <r>
    <x v="211"/>
    <s v="Hull CA"/>
    <s v="Irvine"/>
    <s v="Alison"/>
    <s v="Email"/>
    <s v="Fago, Kenneth"/>
    <m/>
    <x v="0"/>
    <s v="Cherry Valley CA PC4"/>
    <x v="3"/>
    <m/>
    <x v="0"/>
    <x v="890"/>
    <x v="1259"/>
    <s v="Prior losses"/>
    <s v="1991 home w/2 water losses. $14K ice maker water line broke. $217K hose to toilet split. This had been recently replaced by insured (who is a contractor). The part failed. He is doing all the repair work, still under construction. There is a GC overseeing."/>
    <x v="1"/>
    <s v="Not comfortable with size of loss and that home is still under repair."/>
    <m/>
    <m/>
    <s v="Patterson"/>
    <m/>
    <m/>
    <n v="1"/>
  </r>
  <r>
    <x v="804"/>
    <s v="Hull Irvine"/>
    <s v="CA"/>
    <s v="Lisa"/>
    <m/>
    <s v="Karim"/>
    <s v="Khondokar"/>
    <x v="0"/>
    <s v="Coto De Caza "/>
    <x v="1"/>
    <s v="92679"/>
    <x v="9"/>
    <x v="890"/>
    <x v="1260"/>
    <s v="Losses"/>
    <s v="Frame home built in 2001. Large water loss in 12/2017. Home was completely re-piped. The faulty hose was replaced and scheduled for replacement every 2 years. Original Tile roof with no CSA or sprinklers."/>
    <x v="4"/>
    <s v="Home is not in brush and piping is all replaced. Do not see anything outstanding."/>
    <m/>
    <m/>
    <s v="Lazovik"/>
    <m/>
    <m/>
    <n v="0"/>
  </r>
  <r>
    <x v="386"/>
    <s v="Hull Irvine"/>
    <s v="CA"/>
    <s v="Kelly"/>
    <m/>
    <s v="Vardapetyan"/>
    <s v="Levon"/>
    <x v="0"/>
    <s v="Sun Valley"/>
    <x v="1"/>
    <s v="91352"/>
    <x v="2"/>
    <x v="890"/>
    <x v="23"/>
    <s v="Losses"/>
    <s v="1963 home updated with 78 WRS. 4 prior losses, 3 due to smoke damage/cleanup from wildfire."/>
    <x v="1"/>
    <s v="Concern with High Value, prior losses, and high risk score."/>
    <m/>
    <m/>
    <s v="Patterson"/>
    <m/>
    <m/>
    <n v="1"/>
  </r>
  <r>
    <x v="593"/>
    <s v="Hull Irvine"/>
    <s v="CA"/>
    <s v="Kelly"/>
    <s v="Email"/>
    <s v="Kasal"/>
    <s v="Craig"/>
    <x v="0"/>
    <s v="Hidden Hills"/>
    <x v="1"/>
    <m/>
    <x v="0"/>
    <x v="890"/>
    <x v="23"/>
    <s v="Losses"/>
    <s v="06/21/2016-fire to other structure"/>
    <x v="3"/>
    <s v="You may offer terms on the risk, with an other structure exclusion applied. Should they want to include coverage on the other structure, we would need to review the fire report or cause &amp; origin report, to confirm the cause of loss."/>
    <m/>
    <m/>
    <s v="Burdine"/>
    <m/>
    <m/>
    <n v="0"/>
  </r>
  <r>
    <x v="365"/>
    <s v="Burns"/>
    <s v="MI"/>
    <s v="Jill"/>
    <m/>
    <s v="Pitts"/>
    <s v="Zachary"/>
    <x v="0"/>
    <s v="Potosi"/>
    <x v="33"/>
    <s v="53820"/>
    <x v="6"/>
    <x v="890"/>
    <x v="1261"/>
    <s v="PC"/>
    <s v="2006 home currently with no alarms. Confirmed PC9. 9 minute drive time confirmed by volunteer PD. Some gravel but accessible year round.  Quoted $5428 = .26 rate. Lapse since Feb 19. No ins score provided. Log cabin w/wood shake roof - 13 years old."/>
    <x v="0"/>
    <s v="Trying not to pend if we don't have to.  Felt ok offering terms subject to:  Response time estimated 15-20 min. I doubled the rate to .50. Didn't feel ok going all the way to .60. For CSFB, 10% credit per excel rater. Insd said they are probably installing CSFB. 13 year old cabin w/wood roof ok. Need acceptable reason for lapse of 2 months. // 4/12/19 per Jill, J score (OK) and lapse was non pay. 2 month lapse is OK."/>
    <m/>
    <m/>
    <s v="Patterson"/>
    <m/>
    <m/>
    <n v="0"/>
  </r>
  <r>
    <x v="567"/>
    <s v="Burns"/>
    <s v="MI"/>
    <s v="Leslie"/>
    <s v="Email"/>
    <s v="Query, Tommy"/>
    <m/>
    <x v="0"/>
    <s v="Colorado Springs"/>
    <x v="19"/>
    <m/>
    <x v="6"/>
    <x v="890"/>
    <x v="1261"/>
    <s v="TIV"/>
    <s v="1999 log home. PC9 on dirt road. Fully accessible. 5 min response. WBS quest ok. "/>
    <x v="4"/>
    <m/>
    <m/>
    <m/>
    <s v="Patterson"/>
    <m/>
    <m/>
    <n v="0"/>
  </r>
  <r>
    <x v="664"/>
    <s v="Burns"/>
    <s v="MI"/>
    <s v="Jeffrey"/>
    <m/>
    <s v="Everhart"/>
    <s v="Carl Pry &amp; Cher"/>
    <x v="0"/>
    <s v="Cottonwood"/>
    <x v="7"/>
    <s v="86326"/>
    <x v="4"/>
    <x v="890"/>
    <x v="1262"/>
    <s v="Other UW Reason"/>
    <s v="2002 year built, lapse in coverage since purchase of property 7/2018. Has been vacant, and applicant is now going to occupy as primary home. There is a pool in the back that is not fenced. Small backyard with infinity pool. Want to know if they can offer without pool exclusion. "/>
    <x v="3"/>
    <s v="Location of home is not in a suburban neighborhood that would have a close proximity to neighbors. There are no properties behind the home, and within a few hundred feet of the front of the home is 1-2 other properties only. Access to the back of the home does not appear to be easily accessible, either. As such, approved with no pool exclusion subject to confirmation of no or limited access to pool from the front. Also, a completed and acceptable PC quest will be needed since they mentioned they had some questions on the first one that they needed to clarify. "/>
    <m/>
    <m/>
    <s v="Busse"/>
    <m/>
    <m/>
    <n v="0"/>
  </r>
  <r>
    <x v="490"/>
    <s v="AmWINS"/>
    <s v="IL"/>
    <s v="Tasha"/>
    <m/>
    <s v="Drabant"/>
    <s v="Scott"/>
    <x v="0"/>
    <s v="Richmond   "/>
    <x v="4"/>
    <s v="60071"/>
    <x v="5"/>
    <x v="890"/>
    <x v="1262"/>
    <s v="Condition"/>
    <s v="1907 historic home. No tours. On Natl Registry. Quoted FRC and $10K ded due to no alarms. Lifting wood shingles. Other structure barn has peeling paint and lifting clapboards.  Per inspections, several areas of missing railings/balusters."/>
    <x v="3"/>
    <s v="Okay if roof is excluded, barn is excluded. We have no tour exclusion, but several online sources do not show tours. Liab must also be excluded due to 4 deck rail/baluster sections missing and 2 sets of stairs with no rail/balusters. "/>
    <m/>
    <m/>
    <s v="Patterson"/>
    <m/>
    <m/>
    <n v="0"/>
  </r>
  <r>
    <x v="28"/>
    <s v="XS Brokers"/>
    <s v="MA"/>
    <s v="Therese"/>
    <s v="Email"/>
    <s v="Strang"/>
    <s v="Charles &amp; Doris"/>
    <x v="0"/>
    <s v="Nantucket"/>
    <x v="21"/>
    <m/>
    <x v="0"/>
    <x v="890"/>
    <x v="1161"/>
    <s v="Losses"/>
    <s v="2015 home with prior $1.3M fire loss due to chimney fire. Home rebuilt. No current coverage."/>
    <x v="2"/>
    <s v="Need C&amp;O report and run ins score at the time we review. Need to review reason for lapse. Did not ok subj to because of both lapse and prior fire."/>
    <m/>
    <m/>
    <s v="Patterson"/>
    <m/>
    <m/>
    <n v="0"/>
  </r>
  <r>
    <x v="621"/>
    <s v="SCU"/>
    <s v="CO"/>
    <s v="Allison"/>
    <m/>
    <s v="Manful"/>
    <s v="Gregory &amp; Heather"/>
    <x v="0"/>
    <s v="Walnut Creek"/>
    <x v="1"/>
    <s v="94596"/>
    <x v="9"/>
    <x v="890"/>
    <x v="1263"/>
    <s v="Losses"/>
    <s v="1958 home w/full update in 09-12. Had $454K loss 5/2/17. Defective water circulation pump caused large water loss. Prior carrier subrogated and insured is involved in trial against the pump manufacturer. Pump is replaced w/another brand-all repairs completed. Agent surcharged for loss. WRS is 8. No mold, no animal liab quoted."/>
    <x v="4"/>
    <s v="Loss was due to defective pump which is in process of subrogation. Low brush meets guidelines for TIV. "/>
    <m/>
    <m/>
    <s v="Patterson"/>
    <m/>
    <m/>
    <n v="0"/>
  </r>
  <r>
    <x v="313"/>
    <s v="Burns"/>
    <s v="MI"/>
    <s v="Leslie"/>
    <s v="Email"/>
    <s v="Lanni, Valerie"/>
    <m/>
    <x v="0"/>
    <s v="Temecula"/>
    <x v="1"/>
    <m/>
    <x v="19"/>
    <x v="890"/>
    <x v="1263"/>
    <s v="TIV"/>
    <s v="2003 home not in brush. Confirmed FD 4.2 miles away. Other FD's nearby. "/>
    <x v="4"/>
    <m/>
    <m/>
    <m/>
    <s v="Patterson"/>
    <m/>
    <m/>
    <n v="0"/>
  </r>
  <r>
    <x v="695"/>
    <s v="Burns"/>
    <s v="MI"/>
    <s v="Ben"/>
    <s v="Email"/>
    <s v="Black, Michael"/>
    <m/>
    <x v="21"/>
    <s v="Red River "/>
    <x v="15"/>
    <m/>
    <x v="6"/>
    <x v="890"/>
    <x v="1263"/>
    <s v="Lapse"/>
    <s v="2007 log home. Insured has self insured for several years. (CEO of gas and oil co. ) Agt to obtain signed no loss, 10% s/c, photos, no credit for $2500."/>
    <x v="4"/>
    <s v="Ins Score okay. No online photos. Online articles talk about millions of dollars."/>
    <m/>
    <m/>
    <s v="Patterson"/>
    <m/>
    <m/>
    <n v="0"/>
  </r>
  <r>
    <x v="318"/>
    <s v="Hull Irvine"/>
    <s v="CA"/>
    <s v="Alison"/>
    <s v="Email"/>
    <s v="Ihle Family Trust"/>
    <m/>
    <x v="0"/>
    <s v="Escondido"/>
    <x v="1"/>
    <m/>
    <x v="2"/>
    <x v="890"/>
    <x v="24"/>
    <s v="Business on Premises"/>
    <s v="1995 dwelling. Unknown if in brush, but not a restricted zip. Runs AirBnB w/3 night minimum. 15% s/c applied (generous). Insured has a concrete business. Online search shows insd address but notes say it is office only w/some employees."/>
    <x v="3"/>
    <s v="Confirm where concrete operations, equip, supplies are kept if the dwelling is office only. Okay if all that is elsewhere. Re-evaluate terms if its at the property."/>
    <m/>
    <m/>
    <s v="Patterson"/>
    <m/>
    <m/>
    <n v="0"/>
  </r>
  <r>
    <x v="28"/>
    <s v="Hull Irvine"/>
    <s v="CA"/>
    <s v="Alison"/>
    <s v="Email"/>
    <s v="Rusconi"/>
    <s v="John"/>
    <x v="0"/>
    <s v="Malibu"/>
    <x v="1"/>
    <m/>
    <x v="5"/>
    <x v="890"/>
    <x v="1264"/>
    <s v="TIV"/>
    <s v="Malibu risk, no brush, 1946 build"/>
    <x v="3"/>
    <s v="Approved subj to alarm requirements being met; also acceptable OHQ"/>
    <m/>
    <m/>
    <s v="Burdine"/>
    <m/>
    <m/>
    <n v="0"/>
  </r>
  <r>
    <x v="649"/>
    <s v="Hull Irvine"/>
    <s v="CA"/>
    <s v="Alison"/>
    <m/>
    <s v="Rock"/>
    <s v="Paul &amp; Sameera"/>
    <x v="0"/>
    <s v="Los Angeles"/>
    <x v="1"/>
    <s v="90077"/>
    <x v="9"/>
    <x v="890"/>
    <x v="1265"/>
    <s v="High Profile"/>
    <s v="1881 (typo?) w/roof update in 2018. Insds are high profile film producer and actress. Water damage loss from leaking refrigerator line 5/18 $81K, fire retardant dmg $25K 12/18."/>
    <x v="3"/>
    <s v="Verify YOC. Verify condition / updates for  plumbing - apply higher water damage deductible. Sect II okay, not too famous."/>
    <m/>
    <m/>
    <s v="Patterson"/>
    <m/>
    <m/>
    <n v="0"/>
  </r>
  <r>
    <x v="9"/>
    <s v="Quaker"/>
    <s v="MA"/>
    <s v="Austin"/>
    <m/>
    <s v="Clarkin"/>
    <s v="Thomas &amp; Cheryl"/>
    <x v="0"/>
    <s v="Saunderstown"/>
    <x v="58"/>
    <s v="02874"/>
    <x v="9"/>
    <x v="890"/>
    <x v="1266"/>
    <s v="Losses"/>
    <s v="2018 rebuild due to total loss. 12/17 teenage son sneaking cigarettes flicked onto leaves near house and house burned to the ground."/>
    <x v="1"/>
    <s v="Careless loss."/>
    <m/>
    <m/>
    <s v="Patterson"/>
    <m/>
    <m/>
    <n v="1"/>
  </r>
  <r>
    <x v="78"/>
    <s v="Hull Stockton"/>
    <m/>
    <s v="Kirk"/>
    <s v="Email"/>
    <s v="Singh, Manjit"/>
    <m/>
    <x v="0"/>
    <s v="Wilton"/>
    <x v="1"/>
    <m/>
    <x v="6"/>
    <x v="890"/>
    <x v="1267"/>
    <s v="TIV"/>
    <s v="2005 home not in brush. PC 8b=9 as there is a hydrant. Unsure of alarms. $2500 ded"/>
    <x v="3"/>
    <s v="• Rating should be PC9 (we don’t have 8b in your program).  It sounds like there is a hydrant source, so that keeps it from being a 10.  (I’ve attached that bulletin we recently sent out which is helpful.)_x000a_• Central station burglar and fire would be required or we would need to apply $10,000 AOP deductible._x000a_• Online description mentions olive trees and orchard:  https://www.zillow.com/homedetails/9681-Stablegate-Rd-Wilton-CA-95693/61331481_zpid/. Please find out additional details.  Is this personal use?  Any commercial sales? How big of an area?  If business use or large area, we’ll need to ask additional questions._x000a_"/>
    <m/>
    <m/>
    <s v="Patterson"/>
    <m/>
    <m/>
    <n v="0"/>
  </r>
  <r>
    <x v="42"/>
    <s v="Hull Irvine"/>
    <s v="CA"/>
    <s v="Luke"/>
    <s v="Email"/>
    <s v="Taylor"/>
    <s v="Leon &amp; Masha Levinson"/>
    <x v="0"/>
    <s v="Kenwood"/>
    <x v="1"/>
    <m/>
    <x v="0"/>
    <x v="890"/>
    <x v="290"/>
    <s v="Losses"/>
    <s v="1956 dwelling with guest house.  Guest house had total fire loss from &quot;unidentified&quot; cause. But per subsequent report, could have been unattended candles. Primary home burned to ground by brush fire."/>
    <x v="1"/>
    <s v="Cause of loss indicates possible negligence. Ins scores ok."/>
    <m/>
    <m/>
    <s v="Patterson"/>
    <m/>
    <m/>
    <n v="1"/>
  </r>
  <r>
    <x v="326"/>
    <s v="Burns"/>
    <s v="MI"/>
    <s v="David"/>
    <m/>
    <s v="Westerman"/>
    <s v="Sybil"/>
    <x v="0"/>
    <s v="San Luis Obispo"/>
    <x v="1"/>
    <s v="93405"/>
    <x v="4"/>
    <x v="891"/>
    <x v="1268"/>
    <s v="TIV"/>
    <s v="RM=100-150' from high brush. Roads not accessible year round. 8 miles away - PC10.  Office with assistant on premises."/>
    <x v="1"/>
    <s v="Too close to high brush and not accessible year round."/>
    <s v="We are not allowing this limit for PC 10 with other partners. Haven't delivered news to Burns yet."/>
    <m/>
    <s v="Patterson"/>
    <m/>
    <m/>
    <n v="1"/>
  </r>
  <r>
    <x v="383"/>
    <s v="XS Brokers"/>
    <s v="MA"/>
    <s v="Lindsey"/>
    <s v="Email"/>
    <s v="River Drive Realty Trust"/>
    <m/>
    <x v="4"/>
    <s v="Falmouth"/>
    <x v="21"/>
    <m/>
    <x v="2"/>
    <x v="892"/>
    <x v="1269"/>
    <s v="Losses"/>
    <s v="2005 home. Listed as seasonal. 1.5 hours from insured's primary, on the water. (Insured is realtor.) Online sources show he is the owner since 2005. Seems legit as seasonal. Open loss is broken fridge line damage to floors. Still under repair since 3/17. Expect completed 2/24/18. Client doesn't like their carrier's claim handling. PA involved. Another loss 8/27/17 lost diamond ring on ferry $8200. "/>
    <x v="3"/>
    <s v="No SPP. Asked for detail on how much left to repair. Concern with mid-repair water losses. Loss completely repaired. Approved subj to mold exclusion."/>
    <m/>
    <s v=" "/>
    <s v="Patterson"/>
    <m/>
    <m/>
    <n v="0"/>
  </r>
  <r>
    <x v="485"/>
    <s v="JM Wilson"/>
    <s v="MI"/>
    <s v="Lori"/>
    <m/>
    <s v="Caffray"/>
    <s v="Mark"/>
    <x v="0"/>
    <s v="Evanston "/>
    <x v="4"/>
    <s v="60202"/>
    <x v="11"/>
    <x v="893"/>
    <x v="1270"/>
    <s v="Losses"/>
    <s v="1914 home w/full updates. Nice online pics. 3 water losses in 5 years. $5K, $14K, $15K. All caused by basement water pipe freezing and bursting. Most recent was 12/17. Also myst dis loss 2018.  No backup quoted. 20% surcharge. Unknown ins score."/>
    <x v="0"/>
    <s v="&quot;Adding heat&quot; not mitigation. Per call from Lori, B score.  Ok with mold excl, $25K water damage ded (bsmt is now finished&quot;. Need app answers to uw questions.  If they prof install a water shut off device, they can reduce to $5K water damage ded."/>
    <m/>
    <m/>
    <s v="Patterson"/>
    <m/>
    <m/>
    <n v="0"/>
  </r>
  <r>
    <x v="37"/>
    <s v="Burns"/>
    <s v="MI"/>
    <s v="Danielle"/>
    <s v="Email"/>
    <s v="Hogan"/>
    <s v="Cory"/>
    <x v="5"/>
    <s v="Blair"/>
    <x v="38"/>
    <m/>
    <x v="4"/>
    <x v="894"/>
    <x v="1271"/>
    <s v="Losses"/>
    <s v="2008 vacant dwelling. Quoted as PC 9 but PC quest shows 6 mi to FD w/hydrant within 1000' (10W). Prior loss (unknown date) water pipe burst $175K. $10K water ded quoted."/>
    <x v="3"/>
    <s v="Rerate to 10W. Verify cause of burst pipe and resubmit if due to freeze, lack of heat etc. Confirm no mold. Bind if loss is closed."/>
    <m/>
    <m/>
    <s v="Patterson"/>
    <m/>
    <m/>
    <n v="0"/>
  </r>
  <r>
    <x v="704"/>
    <s v="Hull Irvine"/>
    <s v="CA"/>
    <s v="Alison"/>
    <s v="Email"/>
    <s v="Brenner "/>
    <s v="Kevin L &amp; Diana R"/>
    <x v="0"/>
    <s v="Sherman Oaks"/>
    <x v="1"/>
    <m/>
    <x v="11"/>
    <x v="895"/>
    <x v="1272"/>
    <s v="Losses"/>
    <s v="2 large water claims – over 2 years. The insured now has a leak detection system. "/>
    <x v="3"/>
    <s v="Maintenance of leak detection system. AOP is $5K so ok with it at that ded. Suggested go up to $10k, but won't require. Also subject to confirmation that repairs complete"/>
    <m/>
    <m/>
    <s v="Burdine"/>
    <m/>
    <m/>
    <n v="0"/>
  </r>
  <r>
    <x v="89"/>
    <s v="Hull Irvine"/>
    <s v="CA"/>
    <s v="Alison"/>
    <s v="Email"/>
    <s v="Ibe, Michael &amp; Mindee Bridgette"/>
    <m/>
    <x v="75"/>
    <s v="Carlsbad"/>
    <x v="1"/>
    <m/>
    <x v="8"/>
    <x v="896"/>
    <x v="1183"/>
    <s v="Large prior claim"/>
    <s v="4/3/16 – waterline under kitchen sink (in the slab) broke &amp; ruptured into cabinets and floor. $223,234.32 was paid out. Full water damage exclusion being applied, and considering water shut off"/>
    <x v="3"/>
    <s v="Water damage exclusion a necessity at this point, suggest water shut off"/>
    <m/>
    <m/>
    <s v="Burdine"/>
    <m/>
    <m/>
    <n v="0"/>
  </r>
  <r>
    <x v="430"/>
    <s v="Hull Irvine"/>
    <s v="CA"/>
    <s v="Bobbi"/>
    <m/>
    <s v="Stroub"/>
    <s v="Stephanie &amp; Stephen"/>
    <x v="0"/>
    <s v="Tiburon"/>
    <x v="1"/>
    <s v="94920"/>
    <x v="0"/>
    <x v="897"/>
    <x v="1161"/>
    <s v="Losses"/>
    <s v="1928 dwelling within 2500' of brush. Updates in 08. 2017 large water loss $150,000. Open dogbite claim with $50K+ reserve. Agent not comfortable and declined. Wanted to advise as it appears retail agent is shopping this."/>
    <x v="1"/>
    <s v="Agt advising us of declination."/>
    <m/>
    <m/>
    <s v="Patterson"/>
    <m/>
    <m/>
    <n v="1"/>
  </r>
  <r>
    <x v="805"/>
    <s v="Hull Stockton"/>
    <s v="CA"/>
    <s v="Lisa"/>
    <s v="Email"/>
    <s v="Wenham"/>
    <s v="Kenneth"/>
    <x v="0"/>
    <s v="Shingle Springs"/>
    <x v="1"/>
    <m/>
    <x v="6"/>
    <x v="898"/>
    <x v="1273"/>
    <s v="TIV"/>
    <s v="2017 home. No online photos. Scottsdale rated in brush. RM shows not in brush."/>
    <x v="4"/>
    <m/>
    <m/>
    <m/>
    <s v="Patterson"/>
    <m/>
    <m/>
    <n v="0"/>
  </r>
  <r>
    <x v="748"/>
    <s v="Hull Irvine"/>
    <s v="CA"/>
    <s v="Melissa"/>
    <s v="Email"/>
    <s v="Quach"/>
    <s v="Hung"/>
    <x v="1"/>
    <s v="Brisbane"/>
    <x v="1"/>
    <m/>
    <x v="0"/>
    <x v="899"/>
    <x v="1274"/>
    <s v="Prior Lapse/NRN"/>
    <s v="insured has not had prior coverage and the home is about 70% completed. The insured Mr. Quach and his sister's will move in as soon as it is completed."/>
    <x v="1"/>
    <s v="Too much gap in coverage, building nearing completion"/>
    <m/>
    <m/>
    <s v="Burdine"/>
    <m/>
    <m/>
    <n v="1"/>
  </r>
  <r>
    <x v="251"/>
    <s v="Hull CA"/>
    <s v="Irvine"/>
    <s v="Alison"/>
    <s v="Email"/>
    <s v="Randal Dernham Trust"/>
    <m/>
    <x v="5"/>
    <s v="Oakland CA PC2"/>
    <x v="1"/>
    <m/>
    <x v="8"/>
    <x v="900"/>
    <x v="1275"/>
    <s v="Prior loss?"/>
    <s v="1941 home vacant. Agent quoted in June w/ no losses. A+ shows a $0 paid. Caretaker placed hot coffee pot on porcelain sink and it cracked. Agent asked if we could waive the loss surcharge Already getting generous premium for the risk. "/>
    <x v="4"/>
    <m/>
    <m/>
    <m/>
    <s v="Patterson"/>
    <m/>
    <m/>
    <n v="0"/>
  </r>
  <r>
    <x v="456"/>
    <s v="Burns"/>
    <s v="MI"/>
    <s v="Danielle"/>
    <s v="Email"/>
    <s v="Sterling"/>
    <s v="Donald"/>
    <x v="0"/>
    <s v="Los Angeles"/>
    <x v="1"/>
    <m/>
    <x v="0"/>
    <x v="901"/>
    <x v="1276"/>
    <s v="High profile"/>
    <s v="1928 risk updated. Insd has negative record including sexual harassment and discrimination suits. Consider with and without liab."/>
    <x v="1"/>
    <m/>
    <s v="Discussing w/Louisa&gt;&gt;Jeff - Declined"/>
    <n v="41"/>
    <s v="Patterson"/>
    <m/>
    <m/>
    <n v="1"/>
  </r>
  <r>
    <x v="346"/>
    <s v="Hull Charlotte"/>
    <s v="NC"/>
    <s v="Brittney"/>
    <m/>
    <s v="Crowley"/>
    <s v="Peter &amp; Patricia"/>
    <x v="3"/>
    <s v="Bald Head Island"/>
    <x v="11"/>
    <s v="28461"/>
    <x v="3"/>
    <x v="902"/>
    <x v="1277"/>
    <s v="Losses"/>
    <s v="2001 home on Bald Head Island. Not an outer banks island. Agt quoted w/2% wind ded. Prior loss. $400K 9/14/18 Hurricane. Roof and water damage. Attempting to have all repairs done by mid-May so they can rent for June 1."/>
    <x v="0"/>
    <s v="Need 3% wind ded. Asked questions about interior repair still pending. Concern of taking on water damage/mold that hasn't been completely remediated/repaired. Rated via CQ. Bald head island has FD 4 mins from insd property. Volunteer. Response time &lt;15 min.   $0.58 rate per CQ. Increase to .60 rate. // Beadboard left to install. Not Builders Risk. Increased rate. "/>
    <m/>
    <m/>
    <s v="Patterson"/>
    <m/>
    <m/>
    <n v="0"/>
  </r>
  <r>
    <x v="90"/>
    <s v="Hull Irvine"/>
    <m/>
    <s v="Alison"/>
    <s v="Email"/>
    <s v="Granatt, Richard &amp; Barbara"/>
    <m/>
    <x v="0"/>
    <s v="Studio City"/>
    <x v="1"/>
    <m/>
    <x v="8"/>
    <x v="903"/>
    <x v="19"/>
    <s v="Prior losses"/>
    <s v="2006 home w/2 water losses ($245 K and $56 K) Insured paid to re-pipe entire home. Farmers nonrenewed. Clue shows large loss still open. Also ensure 100% repiped."/>
    <x v="3"/>
    <m/>
    <m/>
    <m/>
    <s v="Patterson"/>
    <m/>
    <m/>
    <n v="0"/>
  </r>
  <r>
    <x v="200"/>
    <s v="TPI"/>
    <m/>
    <s v="Heather"/>
    <s v="Email"/>
    <s v="Gaddy, Ira"/>
    <m/>
    <x v="0"/>
    <s v="Gulfport LA  PC4"/>
    <x v="3"/>
    <m/>
    <x v="0"/>
    <x v="904"/>
    <x v="1278"/>
    <s v="TIV&gt;$1M"/>
    <s v="Built 1997. Heat and Plumb updates in 12. Nice google photo."/>
    <x v="4"/>
    <m/>
    <m/>
    <m/>
    <s v="Patterson"/>
    <m/>
    <m/>
    <n v="0"/>
  </r>
  <r>
    <x v="238"/>
    <s v="Hull CA"/>
    <s v="Stockton"/>
    <s v="Lisa"/>
    <s v="Email"/>
    <s v="Hilburn, Dave"/>
    <m/>
    <x v="16"/>
    <s v="Truckee, CA PC5"/>
    <x v="3"/>
    <m/>
    <x v="0"/>
    <x v="904"/>
    <x v="1279"/>
    <s v="Rate?"/>
    <s v="2006 home. Secondary.  In brush - Medium per RM.  FireLine is High-6 with med/mod fuels. No alarms. Insurance score is 997. In order to match rate, we need to apply a 17% credit.  "/>
    <x v="3"/>
    <s v="Reviewed w/ Jeff and he supported a credit.  I decided on a 17% credit. Advised agent. Suggested an alarm system to save another $250/year."/>
    <m/>
    <m/>
    <s v="Patterson"/>
    <m/>
    <m/>
    <n v="0"/>
  </r>
  <r>
    <x v="54"/>
    <s v="SCU"/>
    <s v="CO"/>
    <s v="Allison"/>
    <m/>
    <s v="Ninfa LLC"/>
    <m/>
    <x v="42"/>
    <s v="Aspen"/>
    <x v="19"/>
    <s v="81611"/>
    <x v="9"/>
    <x v="905"/>
    <x v="1280"/>
    <s v="TIV"/>
    <s v="High value condo, slight lapse since 11/21/2018. 1994 year built, updates have been completed. "/>
    <x v="4"/>
    <s v="Approval - agent also applied surcharge for lapse"/>
    <m/>
    <m/>
    <s v="Busse"/>
    <m/>
    <m/>
    <n v="0"/>
  </r>
  <r>
    <x v="806"/>
    <s v="Burns"/>
    <s v="MI"/>
    <s v="Jill"/>
    <s v="Email/Call"/>
    <s v="Pryor, Jonnie-Kaye"/>
    <m/>
    <x v="0"/>
    <s v="Cool CA PC5"/>
    <x v="3"/>
    <m/>
    <x v="0"/>
    <x v="906"/>
    <x v="1281"/>
    <s v="Oth Str &gt;35%"/>
    <s v="Built in 97, update in 2008. Online photos show this is a dome house. Called agent to confirm. No pics in file, but there is correspondence w/sub to confirm."/>
    <x v="1"/>
    <s v="We cannot get a good value on dome houses so we are not a market for them at this time. If a vendor could add this construction type, we could consider for future risks."/>
    <m/>
    <m/>
    <s v="Patterson"/>
    <m/>
    <m/>
    <n v="1"/>
  </r>
  <r>
    <x v="280"/>
    <s v="Hull CA"/>
    <s v="Irvine"/>
    <s v="Bobbi"/>
    <s v="Email"/>
    <s v="Baron, Rebecca"/>
    <m/>
    <x v="0"/>
    <s v="Malibu"/>
    <x v="1"/>
    <m/>
    <x v="5"/>
    <x v="907"/>
    <x v="1282"/>
    <s v="Prior losses"/>
    <s v="6/12/15 water line under fridge broke. $50K water damage deductible. 1998 home. Also 4/23/14 theft $18K paid. Added gate and cameras since then."/>
    <x v="2"/>
    <s v="• Theft loss – What was stolen?  Did the insured’s have central station alarm at the time? It doesn’t sound like an alarm system is new.  What happened?  If any jewelry was taken, we may be unable to insure the PAF (per guidelines)._x000a_• PAF – Do you have a list of items we are being asked to insure?  Where are they kept when not being worn?_x000a_11/2 - Response is they had alarm and break in happened anyway - purses &amp; jewelry were stolen."/>
    <m/>
    <m/>
    <s v="Patterson"/>
    <m/>
    <m/>
    <n v="0"/>
  </r>
  <r>
    <x v="323"/>
    <s v="Hull Irvine"/>
    <s v="CA"/>
    <s v="Lucas"/>
    <s v="Email"/>
    <s v="Klimov"/>
    <s v="Anton"/>
    <x v="2"/>
    <s v="Malibu"/>
    <x v="1"/>
    <m/>
    <x v="14"/>
    <x v="908"/>
    <x v="1153"/>
    <s v="TIV"/>
    <s v="tenant occupied duplex is in Malibu where we are over our zip code cap. It is across the street from the water front and out of the Brushfire Zone but in the Renie zone showing 1800’ to brush. I added a 20% debit for the zip code in addition to the brush load. "/>
    <x v="4"/>
    <s v="risk acceptable for exception"/>
    <m/>
    <m/>
    <s v="Burdine"/>
    <m/>
    <m/>
    <n v="0"/>
  </r>
  <r>
    <x v="634"/>
    <s v="Hull Irvine"/>
    <s v="CA"/>
    <s v="Michelle"/>
    <m/>
    <s v="England"/>
    <s v="Theodore"/>
    <x v="0"/>
    <s v="Santa Paula"/>
    <x v="1"/>
    <s v="93060"/>
    <x v="4"/>
    <x v="908"/>
    <x v="1091"/>
    <s v="TIV"/>
    <s v="Home built in 1998. Tile roof is original. Frame home with stucco siding. Interior and exterior sprinklers. 7 miles from FD. Insured installed 2 private hydrants as well as 3 wells and 5 water tanks."/>
    <x v="1"/>
    <s v="Not within our new pared down rules for Hull. This is a PC 10 in brush with TIV &gt; 1.5"/>
    <m/>
    <m/>
    <s v="Lazovik"/>
    <m/>
    <m/>
    <n v="1"/>
  </r>
  <r>
    <x v="806"/>
    <s v="Burns"/>
    <s v="MI"/>
    <s v="Jill"/>
    <s v="Email"/>
    <s v="Dares, William"/>
    <m/>
    <x v="0"/>
    <s v="Jefferson Cty LA PC1"/>
    <x v="3"/>
    <m/>
    <x v="0"/>
    <x v="908"/>
    <x v="1091"/>
    <s v="Premium Adj?"/>
    <s v="Built in 2016, frame. Checked rating options to see if we could beat competitor quote.  $7254 vs. our $9798"/>
    <x v="1"/>
    <s v="We can't be competitive on this one.  Encouraged Jill to try again as this looks like a nice clean risk."/>
    <m/>
    <m/>
    <s v="Patterson"/>
    <m/>
    <m/>
    <n v="1"/>
  </r>
  <r>
    <x v="587"/>
    <s v="Hull CA"/>
    <s v="Irvine"/>
    <s v="Alison"/>
    <s v="Email"/>
    <s v="Schiewe, Mitchel"/>
    <m/>
    <x v="0"/>
    <s v="Manhattan Beach    "/>
    <x v="1"/>
    <m/>
    <x v="8"/>
    <x v="908"/>
    <x v="1283"/>
    <s v="Prior losses"/>
    <s v="1994 home w/4 prior losses. 2 are in 3 years. Slab leak, broken pipe. Agent applied $7500 water damage ded. Also loss by neighbor and against insd for tree damage."/>
    <x v="3"/>
    <s v="Home being repiped and regulator added. Situation is okay w/ neighbor."/>
    <m/>
    <m/>
    <s v="Patterson"/>
    <m/>
    <m/>
    <n v="0"/>
  </r>
  <r>
    <x v="603"/>
    <s v="Burns"/>
    <s v="MI"/>
    <s v="Rachel"/>
    <m/>
    <s v="Graves"/>
    <s v="Alexander"/>
    <x v="0"/>
    <s v="Topanga"/>
    <x v="1"/>
    <s v="90290"/>
    <x v="8"/>
    <x v="908"/>
    <x v="1284"/>
    <s v="High Profile"/>
    <s v="2017 home, protected, but in brush zone. Insd is high profile producer/director. No adverse info."/>
    <x v="3"/>
    <s v="No app included - advised if all ok on app, ok to offer terms including liab. "/>
    <m/>
    <m/>
    <s v="Patterson"/>
    <m/>
    <m/>
    <n v="0"/>
  </r>
  <r>
    <x v="669"/>
    <s v="Hull Stockton"/>
    <s v="CA"/>
    <s v="Lisa"/>
    <s v="Email"/>
    <s v="Doyle"/>
    <s v="David &amp; Kelly"/>
    <x v="0"/>
    <s v="Twain Harte"/>
    <x v="1"/>
    <m/>
    <x v="6"/>
    <x v="909"/>
    <x v="1285"/>
    <s v="TIV"/>
    <s v="2007 home in brush w/central burglar alarm. $10K deductible applied. NRN by prior carrier. "/>
    <x v="3"/>
    <s v="Need acceptable reason for NRN."/>
    <m/>
    <m/>
    <s v="Patterson"/>
    <m/>
    <m/>
    <n v="0"/>
  </r>
  <r>
    <x v="626"/>
    <s v="ASL"/>
    <m/>
    <s v="Charity"/>
    <s v="Email"/>
    <s v="Shelton, Gordon"/>
    <m/>
    <x v="0"/>
    <s v="Duck"/>
    <x v="11"/>
    <m/>
    <x v="2"/>
    <x v="910"/>
    <x v="109"/>
    <s v="Unauthorized State"/>
    <s v="Agent does not write in NC. Risk looks good.  Checked w/Louisa who checked w/Audrey. If we don't have forms and rates for them, we can't quote."/>
    <x v="1"/>
    <m/>
    <m/>
    <m/>
    <s v="Patterson"/>
    <m/>
    <m/>
    <n v="1"/>
  </r>
  <r>
    <x v="7"/>
    <s v="Hull Charlotte"/>
    <s v="NC"/>
    <s v="Tammi"/>
    <m/>
    <s v="Aronstein"/>
    <s v="Michael"/>
    <x v="4"/>
    <s v="Okatie"/>
    <x v="20"/>
    <s v="29909"/>
    <x v="5"/>
    <x v="911"/>
    <x v="1286"/>
    <s v="Losses"/>
    <s v="2005 seasonal home w/1 prior loss. 8/22/17 water line on back of fridge broke. $167,694 in damage.  Agt applied additional $1,000 to $5,508 technical prem in addition to charging for the loss."/>
    <x v="4"/>
    <s v="Newer home, only loss. Not an indication of plumbing issues. Loss will be surcharged approximately 30% with a/p."/>
    <m/>
    <m/>
    <s v="Patterson"/>
    <m/>
    <m/>
    <n v="0"/>
  </r>
  <r>
    <x v="55"/>
    <s v="XS Brokers"/>
    <s v="MA"/>
    <s v="Barbara"/>
    <m/>
    <s v="Hallberg"/>
    <s v="Victor"/>
    <x v="0"/>
    <s v="North Haven"/>
    <x v="25"/>
    <s v="06473"/>
    <x v="5"/>
    <x v="912"/>
    <x v="1287"/>
    <s v="Losses"/>
    <s v="1964 home with partial updates to systems and roof 2016-2017. Central smoke and fire alarms. Applicant is family of UW at agency, looking to see what they can do about losses. 5/2018 tornado, 1/2018 frozen pipe, 10/2017 wind, 8/2017 VMM. Home has oil heat, frozen pipe was from oil co not being able to reach home during bad winter, heat then shut off. Concern still present for future winter months. "/>
    <x v="3"/>
    <s v="Advised that the CAT loss did not need to be surcharged, but would still want to account for the other three. Confirm VMM details to ensure they do not indicate any ongoing concern. $5,000 AOP as noted by agent. Advised they can use discretionary credit if they feel is good risk."/>
    <m/>
    <m/>
    <s v="Busse"/>
    <m/>
    <m/>
    <n v="0"/>
  </r>
  <r>
    <x v="55"/>
    <s v="Hull Irvine"/>
    <s v="CA"/>
    <s v="Kelly"/>
    <m/>
    <s v="Rieder"/>
    <s v="James"/>
    <x v="3"/>
    <s v="Carpinteria"/>
    <x v="1"/>
    <s v="93013"/>
    <x v="0"/>
    <x v="913"/>
    <x v="1288"/>
    <s v="Prior Lapse/NRN"/>
    <s v="1947 home with partial updates to everything in 2005. inspection was provided and there didn’t appear to be any immediate concerns. Agent proposed questions about animals, employees and weeks of rental. Being non-renewed due to not being on dual street?"/>
    <x v="0"/>
    <s v="Asked for clarification on what a dual street is, so that we can better review. If acceptable, would approve subject to adding TBE for reason of animals, employees, and that an outside company comes to harvest avocados. Advised to let us know if they had any further concerns with animals, employees, weeks of rental. Also advised to gather older home questionnaire. // 12/19 agt advised $100K+ Thomas fire loss. Not in brush zone. $10K aop for no alarms. Quoted as primary w/15% s/c for rental 25 weeks. Advised to add TBE for avocados. They need to get an acceptable OHQ. (MP)"/>
    <m/>
    <m/>
    <s v="Busse"/>
    <m/>
    <m/>
    <n v="0"/>
  </r>
  <r>
    <x v="138"/>
    <s v="Burns"/>
    <s v="MI"/>
    <s v="Alexa"/>
    <s v="Email"/>
    <s v="Balswick"/>
    <s v="Jerry &amp; Carolyn"/>
    <x v="21"/>
    <s v="Sonora"/>
    <x v="1"/>
    <m/>
    <x v="6"/>
    <x v="914"/>
    <x v="1289"/>
    <s v="TIV"/>
    <s v="2002 frame home in brush, 7 acres with c/s fire alarm. Response time 15 min minimum. Could be 17 w/traffic."/>
    <x v="3"/>
    <s v="7% surcharge for borderline response time"/>
    <s v="I am comfortable proceeding because of some positives about the situation:_x000a_• Medium brush per RiskMeter; High 12 w/medium fuels per FireLine_x000a_• Other fire stations within 5 miles of home_x000a_• Risk is seasonal but has central station fire alarms_x000a_• Additional surcharge being applied_x000a_25 miles from Detwiler fire per my measurement"/>
    <n v="29"/>
    <s v="Patterson"/>
    <m/>
    <m/>
    <n v="0"/>
  </r>
  <r>
    <x v="699"/>
    <s v="Hull Irvine"/>
    <s v="CA"/>
    <s v="Luke"/>
    <m/>
    <s v="Ciarmoli"/>
    <s v="Dino &amp; Susan"/>
    <x v="1"/>
    <s v="Carlsbad"/>
    <x v="1"/>
    <s v="92008"/>
    <x v="5"/>
    <x v="915"/>
    <x v="946"/>
    <s v="Builders Risk"/>
    <s v="Construction started and will take more than 12 months - agt submitted to make sure we are okay."/>
    <x v="3"/>
    <s v="Meets criteria. Licensed builder.  Extensive remodel so it makes sense that it may take longer. A portion is being &quot;demo'd&quot; and replaced. Not concerned with this partial demo.  Need to figure out the rate. Note says &quot;manual rate&quot;. Not sure what that means. $0.27 seems low for BR.  Jake Brown verified rate - it is correct.  Asked Luke to get some surcharge if he can."/>
    <m/>
    <m/>
    <s v="Patterson"/>
    <m/>
    <m/>
    <n v="0"/>
  </r>
  <r>
    <x v="648"/>
    <s v="Hull Irvine"/>
    <s v="CA"/>
    <s v="Alison"/>
    <s v="Email"/>
    <s v="Janov"/>
    <s v="France"/>
    <x v="2"/>
    <s v="Malibu"/>
    <x v="1"/>
    <m/>
    <x v="14"/>
    <x v="916"/>
    <x v="1290"/>
    <s v="TIV"/>
    <s v="Vacation rental in Malibu, not brush exposed, CFSB alarms, 1947 build with updates"/>
    <x v="4"/>
    <s v="Approved, property in great condition, no brush"/>
    <m/>
    <m/>
    <s v="Burdine"/>
    <m/>
    <m/>
    <n v="0"/>
  </r>
  <r>
    <x v="378"/>
    <s v="JM Wilson"/>
    <s v="MI"/>
    <s v="Cheryl"/>
    <m/>
    <s v="Staples"/>
    <s v="Guy &amp; Laura"/>
    <x v="1"/>
    <s v="Grand Rapids"/>
    <x v="8"/>
    <s v="49506"/>
    <x v="8"/>
    <x v="917"/>
    <x v="1291"/>
    <s v="Builders Risk"/>
    <s v="New construction. Referred for high value and COC approval."/>
    <x v="4"/>
    <s v="This is within agent's authority.  I don't see anything of concern."/>
    <m/>
    <m/>
    <s v="Patterson"/>
    <m/>
    <m/>
    <n v="0"/>
  </r>
  <r>
    <x v="304"/>
    <s v="Hull CA"/>
    <s v="Irvine"/>
    <s v="Alison"/>
    <s v="Email"/>
    <s v="Borger, Asaf"/>
    <m/>
    <x v="0"/>
    <s v="Los Angeles"/>
    <x v="1"/>
    <m/>
    <x v="5"/>
    <x v="918"/>
    <x v="1292"/>
    <s v="High profile"/>
    <s v="Insured is EDM DJ Borgore. Online info shows him to be controversial, X-rated, etc. gives us an indication this could be a party house. Had 1 prior water claim - rain entered balcony."/>
    <x v="1"/>
    <s v="Reviewed w/Jeff and online view of photos. Considered X-Liab. Due to concern of party house, we declined."/>
    <m/>
    <m/>
    <s v="Patterson"/>
    <m/>
    <m/>
    <n v="1"/>
  </r>
  <r>
    <x v="771"/>
    <s v="Hull Horsham"/>
    <s v="VA"/>
    <s v="Tamika"/>
    <s v="Email"/>
    <s v="Pending"/>
    <s v="Pending"/>
    <x v="0"/>
    <s v="Pottsville"/>
    <x v="2"/>
    <m/>
    <x v="0"/>
    <x v="919"/>
    <x v="0"/>
    <s v="Business on Premises"/>
    <s v="residential property with commercial kitch (was a caterer), another apartment above has regular kitchen. Quote w/ pool exclusion (diving board), exclude coverage B, add tBE as precaution"/>
    <x v="3"/>
    <s v="approval to offer terms, confirmed banquet hall no longer in use as such and will obtain and acceptable Supplemental Heat Questionnaires."/>
    <m/>
    <m/>
    <s v="Burdine"/>
    <m/>
    <m/>
    <n v="0"/>
  </r>
  <r>
    <x v="333"/>
    <s v="Burns"/>
    <s v="MI"/>
    <s v="Jill"/>
    <s v="Email"/>
    <s v="Taylor, Jayceon"/>
    <m/>
    <x v="0"/>
    <s v="Calabasa"/>
    <x v="1"/>
    <m/>
    <x v="0"/>
    <x v="919"/>
    <x v="0"/>
    <s v="High Profile"/>
    <s v="Rapper-The Game, attached list of legal issues (most recent 2016), currently renting home but in process of buying"/>
    <x v="1"/>
    <s v="Too high profile; still very involved in entertainment/music industry. For example, recently had a reality show (2015) on a major network where females competed to date him"/>
    <m/>
    <m/>
    <s v="K.Burdine"/>
    <m/>
    <m/>
    <n v="1"/>
  </r>
  <r>
    <x v="805"/>
    <s v="Hull Irvine"/>
    <s v="CA"/>
    <s v="Alex"/>
    <s v="Call"/>
    <s v="138 Cypress LLC"/>
    <s v=" "/>
    <x v="129"/>
    <m/>
    <x v="3"/>
    <m/>
    <x v="0"/>
    <x v="919"/>
    <x v="0"/>
    <s v="Age of home"/>
    <s v="1913 home w/partial updates along the way with latest in 1980. Agent will be renovating including updates to systems. Agt quoting with FRC and roof exclusion. $10K ded"/>
    <x v="4"/>
    <m/>
    <m/>
    <m/>
    <s v="Patterson"/>
    <m/>
    <m/>
    <n v="0"/>
  </r>
  <r>
    <x v="692"/>
    <s v="Burns"/>
    <s v="MI"/>
    <s v="Jill"/>
    <s v="Email"/>
    <s v="Hawes"/>
    <s v="Lucy"/>
    <x v="4"/>
    <s v="Salt Lake City"/>
    <x v="22"/>
    <m/>
    <x v="4"/>
    <x v="919"/>
    <x v="955"/>
    <s v="PC"/>
    <s v="47 minutes response time, lo home, 2008 build, secondary"/>
    <x v="1"/>
    <s v="Response time too high past max comfort of 30 minutes"/>
    <m/>
    <m/>
    <s v="Burdine"/>
    <m/>
    <m/>
    <n v="1"/>
  </r>
  <r>
    <x v="260"/>
    <s v="Hull CA"/>
    <s v="Stockton"/>
    <s v="Lisa"/>
    <s v="Email"/>
    <s v="Rosdahl, Per"/>
    <m/>
    <x v="2"/>
    <s v="Calistoga"/>
    <x v="1"/>
    <m/>
    <x v="6"/>
    <x v="919"/>
    <x v="1109"/>
    <s v="PC9/TIV"/>
    <s v="2001 full time rental in brush zone. Actually PC8B. Found online photos which show a vineyard. Photos look &quot;brushy&quot;."/>
    <x v="0"/>
    <s v="Asked business questions. Advised if we proceed, need 150' brush clearance."/>
    <s v="8/22 reply from Lisa. New owner - no vineyard. Brush is cleared to 150'."/>
    <m/>
    <s v="Patterson"/>
    <m/>
    <m/>
    <n v="0"/>
  </r>
  <r>
    <x v="21"/>
    <s v="Burns"/>
    <s v="MI"/>
    <s v="Jill"/>
    <s v="Email"/>
    <s v="Papadakos"/>
    <s v="Dimitri"/>
    <x v="0"/>
    <m/>
    <x v="44"/>
    <m/>
    <x v="5"/>
    <x v="919"/>
    <x v="1293"/>
    <s v="Business on Premises"/>
    <s v="Frame, Built in 2000, PC4, right on lake Michigan, no losses, full c/s alarms, no hit on the insurance score. The other structure on the insured's property is used for the insured's not for profit business. Applicant has a separate policy for the structure and GL policy for the business. The business is BESFI, which exists to promote ballet education in Suffolk County, NY Other Structures is excluded, and total business exclusion has been added._x000a_http://www.besfi.com/_x000a_"/>
    <x v="4"/>
    <s v="Approved as quoted with TBE"/>
    <m/>
    <m/>
    <s v="Burdine"/>
    <m/>
    <m/>
    <n v="0"/>
  </r>
  <r>
    <x v="582"/>
    <s v="Hull Irvine"/>
    <s v="CA"/>
    <s v="Alison"/>
    <s v="Email"/>
    <s v="Huff"/>
    <s v="Aubrey"/>
    <x v="0"/>
    <s v="Solana Beach"/>
    <x v="1"/>
    <m/>
    <x v="0"/>
    <x v="919"/>
    <x v="1294"/>
    <s v="High Profile"/>
    <s v="retired baseball player, wants liability, NR by Chubb for losses to prior home. Current home 2018 build, CSFB,"/>
    <x v="3"/>
    <s v="x-liab. Reviewed online sources and still very visible in public eye"/>
    <m/>
    <m/>
    <s v="Burdine"/>
    <m/>
    <m/>
    <n v="0"/>
  </r>
  <r>
    <x v="589"/>
    <s v="Hull Irvine"/>
    <s v="CA"/>
    <s v="Alison"/>
    <s v="Email"/>
    <s v="Partovy"/>
    <s v="Katherine"/>
    <x v="3"/>
    <s v="Malibu"/>
    <x v="1"/>
    <m/>
    <x v="0"/>
    <x v="919"/>
    <x v="24"/>
    <s v="TIV"/>
    <s v="Vacation rental not in brush."/>
    <x v="4"/>
    <s v="This appears to be within Alison's authority. Asked her about it."/>
    <m/>
    <m/>
    <s v="Patterson"/>
    <m/>
    <m/>
    <n v="0"/>
  </r>
  <r>
    <x v="83"/>
    <s v="Burns"/>
    <s v="MI"/>
    <s v="Alexa"/>
    <s v="Email"/>
    <s v="Russell, Kent"/>
    <m/>
    <x v="16"/>
    <s v="Laguna Beach "/>
    <x v="1"/>
    <m/>
    <x v="9"/>
    <x v="919"/>
    <x v="1295"/>
    <s v="TIV"/>
    <s v="1985 updated home no brush alarms. Prior = fair plan."/>
    <x v="3"/>
    <s v="As long as fair plan was not for condition"/>
    <m/>
    <m/>
    <s v="Patterson"/>
    <m/>
    <m/>
    <n v="0"/>
  </r>
  <r>
    <x v="722"/>
    <s v="Burns"/>
    <s v="MI"/>
    <s v="Rachel"/>
    <m/>
    <s v="Litvak"/>
    <s v="Alexander"/>
    <x v="0"/>
    <s v="Los Angeles"/>
    <x v="1"/>
    <s v="90046"/>
    <x v="11"/>
    <x v="919"/>
    <x v="1296"/>
    <s v="High Profile"/>
    <s v="2008 year built. Applicant is a screenwriter, wrote Predators, The Three Musketeers, and The Hunting Party. WRS 80. App stated that there is a part time employee at the property. Before a decision is made, sent back for clarification on the number of employees and what work is done. "/>
    <x v="4"/>
    <s v="Agent came back advising that the employees are a house keeper and the other is a jacuzzi/spa cleaner. Approved to release terms."/>
    <s v="Some chaos this week with a RUSH Stockton audit that backed up referrals.  Turnaround may have been impacted."/>
    <m/>
    <s v="B"/>
    <m/>
    <m/>
    <n v="0"/>
  </r>
  <r>
    <x v="323"/>
    <s v="Burns"/>
    <s v="MI"/>
    <s v="Jill"/>
    <s v="Email"/>
    <s v="Fields"/>
    <s v="Robert &amp; Monica"/>
    <x v="0"/>
    <s v="Shingles Springs"/>
    <x v="1"/>
    <m/>
    <x v="4"/>
    <x v="919"/>
    <x v="1296"/>
    <s v="TIV"/>
    <s v="In brush, PC10. No concerns with the risk"/>
    <x v="4"/>
    <s v="No issues"/>
    <s v="Advised Jill  this is within their authority to bind based on new criteria we implemented. Gave them a break on logging the error."/>
    <m/>
    <s v="Patterson"/>
    <m/>
    <m/>
    <n v="0"/>
  </r>
  <r>
    <x v="807"/>
    <s v="Hull Horsham"/>
    <s v="PA"/>
    <s v="Andrea"/>
    <s v="Email"/>
    <s v="Jaindl"/>
    <s v="David &amp; Jacquelyn"/>
    <x v="14"/>
    <s v="Paupack"/>
    <x v="2"/>
    <m/>
    <x v="6"/>
    <x v="919"/>
    <x v="1296"/>
    <s v="PC 9/TIV"/>
    <s v="2013 build, inland, PCQ provided"/>
    <x v="4"/>
    <s v="all info acceptable"/>
    <m/>
    <m/>
    <s v="K.Burdine"/>
    <m/>
    <m/>
    <n v="0"/>
  </r>
  <r>
    <x v="236"/>
    <s v="Burns"/>
    <s v="MI"/>
    <s v="Ben"/>
    <s v="Email"/>
    <s v="Ocean Apt1001N"/>
    <m/>
    <x v="0"/>
    <s v="Key Biscayne FL PC4"/>
    <x v="3"/>
    <m/>
    <x v="0"/>
    <x v="919"/>
    <x v="25"/>
    <s v="Rate?"/>
    <s v="2014 condo with 1 water loss .7 miles form the coast. Territory 6.  Ben is double checking the X-Wind premium to make sure it is accurate."/>
    <x v="3"/>
    <s v="Entered info in our rater. Ben had $2589. I come in about $100 higher. But I don't have ins score or list of coverages."/>
    <m/>
    <m/>
    <s v="Patterson"/>
    <m/>
    <m/>
    <n v="0"/>
  </r>
  <r>
    <x v="160"/>
    <s v="Burns"/>
    <s v="MI"/>
    <s v="Jill"/>
    <s v="Email"/>
    <s v="Merkel"/>
    <s v="Timothy &amp; Beth"/>
    <x v="1"/>
    <s v="Muncie"/>
    <x v="17"/>
    <m/>
    <x v="4"/>
    <x v="919"/>
    <x v="1297"/>
    <s v="TIV/Large loss"/>
    <s v="1992 dwelling that suffered a total fire loss on 7/28/17. Fire marshal report in file-undetermined cause. Also 3/16 $48K hail loss. "/>
    <x v="1"/>
    <s v="Provided confidential list of concerns to Jill."/>
    <s v="750-is ins scores. Doesn't appear over-extended. However, 5 adults live in the house and work at the restaurant. $1.3M RC; $589K Market value. House for sale for a year prior to the fire. Value $675K reduced over the year to $499,900, plus the renovated and replaced appliances. Appears hard to sell. Alarm on when all left for work - no smoke detectors per report. Fire reported by neighbor at noon. Also found PMB Aircraft parts at the property owned by Mike Bristow. Not sure who this is. Didn't mention it since we are declining. Spent a lot of time on this risk because the scores were decent and I wanted to provide a helpful declination."/>
    <n v="65"/>
    <s v="Patterson"/>
    <m/>
    <m/>
    <n v="1"/>
  </r>
  <r>
    <x v="143"/>
    <s v="ASL"/>
    <s v="VA"/>
    <s v="Charity"/>
    <s v="Email"/>
    <s v="Mainland"/>
    <s v="Kirt &amp; Mary"/>
    <x v="0"/>
    <s v="Purcellville"/>
    <x v="10"/>
    <m/>
    <x v="4"/>
    <x v="919"/>
    <x v="1270"/>
    <s v="PC10"/>
    <s v="2017 home. 14 min 7 mi to responding paid FD. Agt quoting .350. PC1-9 rate is .20. "/>
    <x v="4"/>
    <m/>
    <m/>
    <n v="12"/>
    <s v="Patterson"/>
    <m/>
    <m/>
    <n v="0"/>
  </r>
  <r>
    <x v="746"/>
    <s v="SCU"/>
    <s v="CO"/>
    <s v="Allison"/>
    <s v="Email"/>
    <s v="Jeffery &amp; Debra Brabender"/>
    <m/>
    <x v="146"/>
    <s v="Park City"/>
    <x v="22"/>
    <m/>
    <x v="9"/>
    <x v="919"/>
    <x v="1298"/>
    <s v="blanket coverage on personal property"/>
    <s v="primary home, two units-short term VRBO rental in one of the units during ski season.   No more than 75 days rental with a 4 night minimum rental: listing is at https://www.vrbo.com/385121.  1998 build;_x000a_PC 3; Interior sprinklers. Wants to schedule blanket $25K fine arts (max $6K per item), blanket $50K wine (max $2K per item), and $50K jewelry ($25K earrings, $25K necklace); 2 prior water losses-water line replaced and repairs made_x000a_"/>
    <x v="3"/>
    <s v="Approved usage and jewelry, declined wine completely, advised OK to blanket fine arts as long as not any collectables; also advised central burglar needed and all other scheduled item guidelines"/>
    <m/>
    <m/>
    <s v="Burdine"/>
    <m/>
    <m/>
    <n v="0"/>
  </r>
  <r>
    <x v="808"/>
    <s v="Burns"/>
    <s v="MI"/>
    <s v="Leslie"/>
    <s v="Email"/>
    <s v="Equi Sport LLC"/>
    <m/>
    <x v="0"/>
    <s v="Ocala"/>
    <x v="32"/>
    <m/>
    <x v="0"/>
    <x v="919"/>
    <x v="1299"/>
    <s v="Horse business"/>
    <s v="Insured sells horses. Excluding liability which is insured w/Markel Equine. Wants $1M on barn"/>
    <x v="3"/>
    <s v="You are approved to release a quote subject to:_x000a_• Excluding liability as quoted _x000a_• Building exclusion for the barn_x000a_• Total Business Exclusion form_x000a_• FL is currently under moratorium due to fires.  If we proceed with terms, it would be subject to the moratorium being lifted._x000a_"/>
    <m/>
    <m/>
    <s v="Patterson"/>
    <m/>
    <m/>
    <n v="0"/>
  </r>
  <r>
    <x v="159"/>
    <s v="Burns"/>
    <s v="MI"/>
    <s v="Jill"/>
    <s v="Email"/>
    <s v="Lance"/>
    <s v="Brent  BWD110048"/>
    <x v="0"/>
    <m/>
    <x v="3"/>
    <m/>
    <x v="0"/>
    <x v="920"/>
    <x v="1300"/>
    <s v="Change from prior referral"/>
    <s v="See July 7 email and prior May 25 entry on this log about this risk.  Insured is now moving in and requesting increased limits"/>
    <x v="4"/>
    <m/>
    <m/>
    <n v="13"/>
    <s v="Patterson"/>
    <m/>
    <m/>
    <n v="0"/>
  </r>
  <r>
    <x v="385"/>
    <s v="Burns"/>
    <s v="MI"/>
    <s v="Jill"/>
    <m/>
    <s v="Walters "/>
    <s v="Susan"/>
    <x v="5"/>
    <s v="Rancho Santa Fe"/>
    <x v="1"/>
    <s v="92067"/>
    <x v="9"/>
    <x v="921"/>
    <x v="1301"/>
    <s v="High Profile"/>
    <s v="1961 home w/updates in 2000 per app. Original per inspection. Insd is prior actress. Agt will ck on updates, length of vacancy, etc. "/>
    <x v="3"/>
    <s v="Subj to roof update as insp indicates original 1961 tile roof. Excl should apply if this is the case. Insd not &quot;too famous&quot;. Some current roles. No adverse info. Liab on DP3 ok."/>
    <m/>
    <m/>
    <s v="Patterson"/>
    <m/>
    <m/>
    <n v="0"/>
  </r>
  <r>
    <x v="809"/>
    <s v="Hull Irvine"/>
    <m/>
    <s v="Alex"/>
    <s v="Email"/>
    <s v="Adler, Ellen &amp; Elliot"/>
    <m/>
    <x v="0"/>
    <s v="San Diego "/>
    <x v="1"/>
    <m/>
    <x v="0"/>
    <x v="922"/>
    <x v="1270"/>
    <s v="Lapse"/>
    <s v="No covg since 10/15 when prior carrier nonrenewed. Mtg didn't force place. Just realized no coverage.  Insds are both attorneys per internet search. Loss 10/15 toilet overflow damage to bathroom and downstairs."/>
    <x v="3"/>
    <s v="No online photos. A+ I ran shows this loss only. Ins scores very good. Subj to confirm reason for nrn in 2015, current/complete app, 15% surcharge."/>
    <m/>
    <m/>
    <s v="Patterson"/>
    <m/>
    <m/>
    <n v="0"/>
  </r>
  <r>
    <x v="810"/>
    <s v="Burns"/>
    <s v="MI"/>
    <s v="Danielle"/>
    <s v="Email"/>
    <s v="Sullivan"/>
    <s v="Michael"/>
    <x v="16"/>
    <s v="Pioneer"/>
    <x v="1"/>
    <m/>
    <x v="6"/>
    <x v="923"/>
    <x v="1302"/>
    <s v="TIV"/>
    <s v="2006 home rated last year as 8B. SRD discovered it should be a 9 and should have been referred. 7 minute response time by FD. In brush. Multiple FD's with name listed on PCQ. RM shows several FD's."/>
    <x v="4"/>
    <m/>
    <m/>
    <m/>
    <s v="Patterson"/>
    <m/>
    <m/>
    <n v="0"/>
  </r>
  <r>
    <x v="811"/>
    <s v="Hull Stockton"/>
    <s v="CA"/>
    <s v="Lisa"/>
    <s v="Email"/>
    <s v="Smith"/>
    <s v="Kurt &amp; Debora"/>
    <x v="0"/>
    <s v="Placerville"/>
    <x v="1"/>
    <m/>
    <x v="4"/>
    <x v="924"/>
    <x v="1303"/>
    <s v="TIV"/>
    <s v="1969 build, all updates, no losses, no animals, in brush, central alarm in home, 4/9 per app"/>
    <x v="3"/>
    <s v="RM, photos OK, advised based on distance to FD approved as a PC 10"/>
    <m/>
    <m/>
    <s v="Burdine"/>
    <m/>
    <m/>
    <n v="0"/>
  </r>
  <r>
    <x v="73"/>
    <s v="SCU"/>
    <s v="CO"/>
    <s v="Allison"/>
    <s v="Email"/>
    <s v="Ingersoll, Barbara"/>
    <m/>
    <x v="0"/>
    <s v="Colorado Springs"/>
    <x v="19"/>
    <m/>
    <x v="6"/>
    <x v="925"/>
    <x v="1304"/>
    <s v="TIV"/>
    <s v="1978 home w/roof update. Home in trust name. 15 min response by volunteer FD. Some dirt roads. Fully accessible."/>
    <x v="3"/>
    <s v="Verify placement on 294 acres does not increase response time and home is accessible on property"/>
    <m/>
    <m/>
    <s v="Patterson"/>
    <m/>
    <m/>
    <n v="0"/>
  </r>
  <r>
    <x v="249"/>
    <s v="Burns"/>
    <s v="MI"/>
    <s v="Ben"/>
    <s v="Email"/>
    <s v="Woods, Carl"/>
    <m/>
    <x v="0"/>
    <s v="Otisco IN PC8"/>
    <x v="3"/>
    <m/>
    <x v="0"/>
    <x v="925"/>
    <x v="1305"/>
    <s v="Business on premises"/>
    <s v="1997 home updated. Insured has a statuary business on property - mfg, sales, gift shop, possible trade shows. "/>
    <x v="0"/>
    <s v="Emailed a number of questions and concerns."/>
    <s v="Ben provided addl info and we have a comfort with the separation. Approved subject to agent controlling, $5K ded, Deck rail added, Total business excl applied."/>
    <m/>
    <s v="Patterson"/>
    <m/>
    <m/>
    <n v="0"/>
  </r>
  <r>
    <x v="449"/>
    <s v="Hull Irvine"/>
    <s v="CA"/>
    <s v="Alison"/>
    <m/>
    <s v="Donfeld"/>
    <s v="Joshua &amp; Amy"/>
    <x v="0"/>
    <s v="Los Angeles"/>
    <x v="1"/>
    <n v="90069"/>
    <x v="11"/>
    <x v="926"/>
    <x v="1306"/>
    <s v="Losses"/>
    <s v="CS Temperature and burglar alarms. Frame home with stucco siding.  Tile roof from 1990. Heating replaced in 2006. partial updates to wiring and plumbing in 2018. Home built in 1923. Tile roof leaded last year and open dog bite claim. Dog is no longer in household."/>
    <x v="3"/>
    <s v="Must be ACV or FRC. Confirm closed foundation - not open. Animal exclusion if they have another dog. Can exclude roof or use the fire and lightning only roof endorsement. Suspicious the roof is no longer viable. "/>
    <m/>
    <m/>
    <s v="Lazovik"/>
    <m/>
    <m/>
    <n v="0"/>
  </r>
  <r>
    <x v="746"/>
    <s v="SCU"/>
    <s v="CO"/>
    <s v="Allison"/>
    <s v="Email"/>
    <s v="Diamond Investment Group LLC"/>
    <m/>
    <x v="14"/>
    <s v="Vermal"/>
    <x v="22"/>
    <m/>
    <x v="4"/>
    <x v="927"/>
    <x v="1307"/>
    <s v="Response Time &gt;30 mins"/>
    <s v="1995 build, log cabin, response time 30 minutes, inaccessible in Winter months, LLC questionnaire OK (all related), home winterized during winter months; trying to build relationship with large agency in area"/>
    <x v="1"/>
    <s v="Too great of a response time with such a high TIV"/>
    <m/>
    <m/>
    <s v="Burdine"/>
    <m/>
    <m/>
    <n v="1"/>
  </r>
  <r>
    <x v="269"/>
    <s v="Hull CA"/>
    <s v="Irvine"/>
    <s v="Alison"/>
    <s v="Email"/>
    <s v="Rowley, Nicholas"/>
    <m/>
    <x v="0"/>
    <s v="Topanga"/>
    <x v="1"/>
    <m/>
    <x v="5"/>
    <x v="927"/>
    <x v="1308"/>
    <s v="Vineyard"/>
    <s v="1990 in brush. Insured is trial attorney. Vineyard on property (was a working vineyard w/tastings) but agent says &quot;no business&quot;.  Flat roof areas per inspection. Alarms, but not monitored._x000a_"/>
    <x v="3"/>
    <s v="Approved pending what is going on with vineyard. If they pay harvesters, may need Total Business Exclusion. Agent quoted 10K AOP due to alarm not monitored. Advised even If they are we need $10K water damage ded due to flat roof."/>
    <m/>
    <m/>
    <s v="Patterson"/>
    <m/>
    <m/>
    <n v="0"/>
  </r>
  <r>
    <x v="463"/>
    <s v="Burns"/>
    <m/>
    <s v="Matthew"/>
    <s v="Email"/>
    <s v="Tometich, Rick"/>
    <m/>
    <x v="20"/>
    <s v="Gilbert, AZ"/>
    <x v="3"/>
    <m/>
    <x v="0"/>
    <x v="928"/>
    <x v="1309"/>
    <s v="TIV on DP3"/>
    <s v="insured is paying a staging company to live in home (?) see hometendersofamerica.net"/>
    <x v="2"/>
    <s v="Asking some f/u's. Why is the insured going the home tender route? What is the length of state? Also asking about cov C (which is $670,500.)"/>
    <m/>
    <m/>
    <s v="Trott"/>
    <m/>
    <m/>
    <n v="0"/>
  </r>
  <r>
    <x v="36"/>
    <s v="Hull Irvine"/>
    <s v="CA"/>
    <s v="Bobbi"/>
    <s v="Email"/>
    <s v="Hill"/>
    <s v="Laurie &amp; Dean"/>
    <x v="0"/>
    <s v="Malibu"/>
    <x v="1"/>
    <m/>
    <x v="0"/>
    <x v="929"/>
    <x v="1310"/>
    <s v="TIV"/>
    <s v="Malibu risk"/>
    <x v="4"/>
    <s v="no brush, photos/review OK"/>
    <m/>
    <m/>
    <s v="Burdine"/>
    <m/>
    <m/>
    <n v="0"/>
  </r>
  <r>
    <x v="402"/>
    <s v="Quaker"/>
    <m/>
    <s v="Tim"/>
    <s v="Email"/>
    <s v="Fisher, Stephen"/>
    <m/>
    <x v="21"/>
    <s v="Nantucket  "/>
    <x v="62"/>
    <m/>
    <x v="5"/>
    <x v="929"/>
    <x v="1115"/>
    <s v="2 prior losses"/>
    <s v="1983 home on Nantucket. Alarms and caretaker. 2 prior losses.  5/16 fridge leak $28K; 3/15 ice dam $67K."/>
    <x v="4"/>
    <m/>
    <m/>
    <m/>
    <s v="Patterson"/>
    <m/>
    <m/>
    <n v="0"/>
  </r>
  <r>
    <x v="401"/>
    <s v="Hull Irvine"/>
    <s v="CA"/>
    <s v="Gina"/>
    <s v="Email"/>
    <s v="Mora"/>
    <s v="Edith &amp; Jeffrey"/>
    <x v="0"/>
    <s v="Los Angeles"/>
    <x v="1"/>
    <m/>
    <x v="0"/>
    <x v="929"/>
    <x v="1263"/>
    <s v="Losses"/>
    <s v="2 total losses within 3 years-09/2016-fridge leak, 02/17/2018-pin hole leak no pay out amount; AOP ded $2500"/>
    <x v="3"/>
    <s v="confirmation of claims closed/repairs made, also need to include both losses on rater"/>
    <m/>
    <m/>
    <s v="Burdine"/>
    <m/>
    <m/>
    <n v="0"/>
  </r>
  <r>
    <x v="261"/>
    <s v="Hull CA"/>
    <s v="Irvine"/>
    <s v="Alison"/>
    <s v="Email"/>
    <s v="Alsabih, Nabil"/>
    <m/>
    <x v="0"/>
    <s v="Pasadena "/>
    <x v="1"/>
    <m/>
    <x v="8"/>
    <x v="929"/>
    <x v="1311"/>
    <s v="Scheduled property limits"/>
    <s v="1926 home updated in 2008. PAF &gt;$100K. Jewelry $98,945 ($51,890 ring). Fine arts $54,150."/>
    <x v="2"/>
    <s v="Discussed w/Jeff. Confirm alarms and why rifles are on fine arts. Need appraisals or proof of purchase for all items. Also confirm brush clearance."/>
    <m/>
    <m/>
    <s v="Patterson"/>
    <m/>
    <m/>
    <n v="0"/>
  </r>
  <r>
    <x v="91"/>
    <s v="Hull Irvine"/>
    <m/>
    <s v="Alison"/>
    <s v="Email"/>
    <s v="Bright, Sara &amp; Byers, John Andrew"/>
    <m/>
    <x v="0"/>
    <s v="Pacific Palisades"/>
    <x v="1"/>
    <m/>
    <x v="9"/>
    <x v="929"/>
    <x v="1312"/>
    <s v="Business on premises"/>
    <s v="2017 home recent ground up construction.  $700K art studio just starting construction. Will be insured's studio - she is a prof artist. Husband is a artist, record producer, musician. No online info. Agent adding % for builders risk even though not on home. Agreed Total Business excl can be added now. 6-7 month construction. Unknown if there will be public traffic etc. Agent will check as construction gets closer. Not in brush."/>
    <x v="3"/>
    <s v="10% surcharge (bldrs risk is normally 50%-typically don't need to add for other structure construction but agent doing it since it is so large). Add Total Business Exclusion. When constr is complete add Building Exclusion."/>
    <m/>
    <m/>
    <s v="Patterson"/>
    <s v="X (No sooner than January 2018"/>
    <m/>
    <n v="0"/>
  </r>
  <r>
    <x v="43"/>
    <s v="Hull Irvine"/>
    <s v="CA"/>
    <s v="Kelly"/>
    <s v="Email"/>
    <s v="Moghavem"/>
    <s v="Sean &amp; Sharon"/>
    <x v="0"/>
    <s v="Beverly Hills"/>
    <x v="1"/>
    <m/>
    <x v="11"/>
    <x v="930"/>
    <x v="1313"/>
    <s v="TIV"/>
    <s v="Beverly Hills Risk, no brush, PC 1, TIV &lt;3M"/>
    <x v="4"/>
    <s v="Requested brush surcharge to be included (100-200 feet from brush)"/>
    <m/>
    <m/>
    <s v="Burdine"/>
    <m/>
    <m/>
    <n v="0"/>
  </r>
  <r>
    <x v="507"/>
    <s v="Burns"/>
    <s v="MI"/>
    <s v="Danielle"/>
    <s v="Email"/>
    <s v="Jones"/>
    <s v="Christopher"/>
    <x v="0"/>
    <s v="Hanford"/>
    <x v="1"/>
    <m/>
    <x v="6"/>
    <x v="931"/>
    <x v="1314"/>
    <s v="TIV"/>
    <s v="Home was built in 2000 of frame construction.PC9 risk - 8 minute response time/accessible year round and no hydrant within 1000 feet. Home is not equipped with alarms and has no losses"/>
    <x v="4"/>
    <s v="Photos, PCQ OK."/>
    <m/>
    <m/>
    <s v="Burdine"/>
    <m/>
    <m/>
    <n v="0"/>
  </r>
  <r>
    <x v="165"/>
    <s v="Hull Horsham"/>
    <s v="PA"/>
    <s v="Tamika"/>
    <s v="Email"/>
    <s v="Demarest"/>
    <s v="Emily"/>
    <x v="1"/>
    <s v="Philadelphia"/>
    <x v="2"/>
    <m/>
    <x v="11"/>
    <x v="932"/>
    <x v="1315"/>
    <s v="Age of home"/>
    <s v="1867, completed updated but wiring won't be complete until w/in 30 days of closing (prior updates partial). Agt requiring updates w/in 30 day timeframe. Will have option to change to primary after remodeling completed"/>
    <x v="3"/>
    <s v="Contingent upon confirming all updates before offering RCV, and acceptable Builders Risk Supp"/>
    <m/>
    <m/>
    <s v="Burdine"/>
    <m/>
    <m/>
    <n v="0"/>
  </r>
  <r>
    <x v="491"/>
    <s v="Burns"/>
    <s v="MI"/>
    <s v="Jill"/>
    <m/>
    <s v="Bahl"/>
    <s v="Panka"/>
    <x v="0"/>
    <s v="Danville"/>
    <x v="1"/>
    <s v="94506"/>
    <x v="8"/>
    <x v="933"/>
    <x v="1316"/>
    <s v="Losses"/>
    <s v="1986 primary home not in brush. 4 roof leak/water dmg losses all closed. (4/17 $3299K, 4/17 $471, 11/18 $5867, 2/19 $5000).  They only did partial replacement of the roof, but 2 of the losses were in the same spot, and it is a big house.  Ins score is L which is 1.0 factor.  Insd is a doctor."/>
    <x v="3"/>
    <s v="Approve with the quoted roof exclusion and add a water damage exclusion.   Additionally we would require mold and water backup exclusions.  There is a pool with diving board so the pool exclusion applies.  "/>
    <s v="Partial repair seems a bit of an under-reaction.  If it was worse insurance score, I'd be concerned of a morale hazard.  I'm concerned with additional roof leaks which aren't detected as roof leaks, and neglect of plumbing. They didn't describe the 4/17 $471 but it was one day apart from the other one, so I'm not going to ask.   // Referred for John's opinion 3/21/19 4:22PM.  John agreed."/>
    <m/>
    <s v="Patterson"/>
    <m/>
    <m/>
    <n v="0"/>
  </r>
  <r>
    <x v="219"/>
    <s v="Burns"/>
    <s v="MI"/>
    <s v="Danielle"/>
    <s v="Email"/>
    <s v="Avignon, Major"/>
    <m/>
    <x v="44"/>
    <s v="Manhattan Beach CA PC2"/>
    <x v="3"/>
    <m/>
    <x v="0"/>
    <x v="933"/>
    <x v="1317"/>
    <s v="City of Manhattan Beach as AI"/>
    <s v="2016 home which is 2/3 owner occupied and 1/3 tenant occupied. Property encroaches on 20 feet near the street. City of Manhattan Beach wants to be AI."/>
    <x v="4"/>
    <s v="I approved the City as an Additional Interest (not Insured) with form HO 04 10 10 00 which notifies them if there is a cancellation or NRN."/>
    <m/>
    <m/>
    <s v="Patterson"/>
    <m/>
    <m/>
    <n v="0"/>
  </r>
  <r>
    <x v="147"/>
    <s v="Burns"/>
    <s v="MI"/>
    <s v="Jeff"/>
    <s v="Email"/>
    <s v="Steiner"/>
    <s v="James"/>
    <x v="1"/>
    <s v="Centre Hall"/>
    <x v="2"/>
    <m/>
    <x v="6"/>
    <x v="934"/>
    <x v="1318"/>
    <s v="TIV"/>
    <s v="2017 new construction. Photo shows risk partially constructed. No info on prior carrier or how long under construction, etc."/>
    <x v="0"/>
    <s v="From the photo provided, it looks like construction has already started.  How long has construction been in progress?  Where has risk been insured?  If uninsured, please advise why.  If previously insured, please advise why coverage is being moved from current carrier.  When is construction estimated to be completed?  Any reason for delay if beyond 1 year?  Is there a licensed and insured general contractor managing the construction?  Is $1,375,000 the estimated cost of the completed structure?//8/22 all answers ok. approved w/5-10% s/c if possible. //8/30 mistake - no prior COC covg. Agent quoting w/20% surcharge. Approved. "/>
    <s v="823 and 807 ins scores."/>
    <n v="29"/>
    <s v="Patterson"/>
    <m/>
    <m/>
    <n v="0"/>
  </r>
  <r>
    <x v="212"/>
    <s v="Burns"/>
    <s v="MI"/>
    <s v="Danielle"/>
    <s v="Email"/>
    <s v="Purtell, Russell"/>
    <m/>
    <x v="0"/>
    <s v="Malibu CA PC9"/>
    <x v="3"/>
    <m/>
    <x v="0"/>
    <x v="935"/>
    <x v="1319"/>
    <s v="PC9 TIV &gt;1.5M"/>
    <s v="2008 frame home in Renie brush, well cleared area. Local alarms only. Inspection shows nice home. No online photos. Response time &lt;10 min, accessible."/>
    <x v="4"/>
    <m/>
    <m/>
    <m/>
    <s v="Patterson"/>
    <m/>
    <m/>
    <n v="0"/>
  </r>
  <r>
    <x v="231"/>
    <s v="Burns"/>
    <s v="MI"/>
    <s v="Ben"/>
    <s v="Email"/>
    <s v="Landucci, Nathan"/>
    <m/>
    <x v="0"/>
    <s v="White Bear Lake MN PC10"/>
    <x v="3"/>
    <m/>
    <x v="0"/>
    <x v="936"/>
    <x v="1320"/>
    <s v="PC10 island"/>
    <s v="Beautiful 1986 frame home w/roof updated in 2005. Sprinklered. Home has no fire service and is not accessible."/>
    <x v="1"/>
    <s v="Asked agent for current rate. Reviewed carefully and felt that at this time in our program, I'm not comfortable taking on a risk with no fire protection."/>
    <m/>
    <m/>
    <s v="Patterson"/>
    <m/>
    <m/>
    <n v="1"/>
  </r>
  <r>
    <x v="178"/>
    <s v="Burns"/>
    <s v="MI"/>
    <s v="Delta"/>
    <s v="Email"/>
    <s v="Dorsey"/>
    <s v="Susan"/>
    <x v="0"/>
    <s v="Woodside"/>
    <x v="1"/>
    <m/>
    <x v="4"/>
    <x v="937"/>
    <x v="1321"/>
    <s v="TIV"/>
    <s v="1952 updated home. 15 min response time from paid department. In brush. Verified FireLine is High 9. Photos show light forested area."/>
    <x v="4"/>
    <m/>
    <m/>
    <m/>
    <s v="Patterson"/>
    <m/>
    <m/>
    <n v="0"/>
  </r>
  <r>
    <x v="577"/>
    <s v="Burns"/>
    <s v="MI"/>
    <s v="Jeffrey"/>
    <m/>
    <s v="Feehan"/>
    <s v="Karen &amp; Timothy"/>
    <x v="0"/>
    <s v="Aguora Hills"/>
    <x v="1"/>
    <s v="91301"/>
    <x v="8"/>
    <x v="938"/>
    <x v="1322"/>
    <s v="High Profile"/>
    <s v="Same applicant as previous referral, but this is for their primary home. 1985 year built with partial updates, roof is tile. App notes swimming pool, no marking of fenced or not. WRS is 48. "/>
    <x v="3"/>
    <s v="Approved subject to confirmation that pool/property is fenced. If not, swimming pool exclusion is to be applied. App says ERC up to 200%, will only allow 25% ERC. "/>
    <m/>
    <m/>
    <s v="Busse"/>
    <m/>
    <m/>
    <n v="0"/>
  </r>
  <r>
    <x v="267"/>
    <s v="Burns"/>
    <s v="MI"/>
    <s v="Ben"/>
    <s v="Email"/>
    <s v="Ellsworth, Anthony"/>
    <m/>
    <x v="0"/>
    <s v="Ramona"/>
    <x v="1"/>
    <m/>
    <x v="5"/>
    <x v="939"/>
    <x v="1323"/>
    <s v="Prior bankruptcy"/>
    <s v="2000 home not in brush. Alarms. Insured has a 2015 chapter 11 bankruptcy from his business. Confirmed this w/ins score in the 10% credit range. Online photos look good."/>
    <x v="4"/>
    <m/>
    <m/>
    <m/>
    <s v="Patterson"/>
    <m/>
    <m/>
    <n v="0"/>
  </r>
  <r>
    <x v="95"/>
    <s v="RPS Covington"/>
    <m/>
    <s v="Suzanne"/>
    <s v="Email"/>
    <m/>
    <m/>
    <x v="0"/>
    <s v="New Orleans"/>
    <x v="0"/>
    <m/>
    <x v="0"/>
    <x v="940"/>
    <x v="0"/>
    <s v="Age of home"/>
    <s v="1900 home fully restored and updated. Agents cutoff is 1930."/>
    <x v="3"/>
    <s v="Subj to everything else being okay. Esp updates."/>
    <m/>
    <m/>
    <s v="Patterson"/>
    <m/>
    <m/>
    <n v="0"/>
  </r>
  <r>
    <x v="726"/>
    <s v="SCU"/>
    <s v="CO"/>
    <s v="Allison"/>
    <s v="Email"/>
    <s v="Harrison"/>
    <s v="Charles"/>
    <x v="147"/>
    <s v="Castle Valley"/>
    <x v="22"/>
    <m/>
    <x v="4"/>
    <x v="940"/>
    <x v="1324"/>
    <s v="Inaccessible year round"/>
    <s v="Risk was bound with info of 15 min response time. Turns out to be 30 min and inaccessible year round. Builders risk. 2012 log home with finishing being done to 2nd floor."/>
    <x v="3"/>
    <s v="Reviewed w/Bethany. Quote was .46 rate. We offered .70 and all subjectivities agent noted, plus need acceptable woodstove questionnaire."/>
    <m/>
    <m/>
    <s v="Patterson"/>
    <m/>
    <m/>
    <n v="0"/>
  </r>
  <r>
    <x v="812"/>
    <s v="Burns"/>
    <s v="MI"/>
    <s v="Jill"/>
    <s v="Email"/>
    <s v="Teaford"/>
    <s v="Stephen"/>
    <x v="4"/>
    <s v="Elkton"/>
    <x v="29"/>
    <m/>
    <x v="4"/>
    <x v="940"/>
    <x v="23"/>
    <s v="PC"/>
    <s v="17 minute response time, MD risk, $7,325.00 premium; Seasonal (will confirm if rental exposure, rated as no rental), built in 1982/some updates, no losses"/>
    <x v="3"/>
    <s v="PCQ, online info OK. Need to surcharge 25% to get to closer to agreed rate for extended response time. Also requested alarms be confirmed"/>
    <m/>
    <m/>
    <s v="Burdine"/>
    <m/>
    <m/>
    <n v="0"/>
  </r>
  <r>
    <x v="420"/>
    <s v="Hull Irvine"/>
    <s v="CA"/>
    <s v="Alison"/>
    <m/>
    <s v="Haber"/>
    <s v="Sherry"/>
    <x v="0"/>
    <s v="Newport Beach"/>
    <x v="1"/>
    <s v="92660"/>
    <x v="0"/>
    <x v="940"/>
    <x v="1262"/>
    <s v="Losses"/>
    <s v="1989 home w/ 3 losses.  3/17 $25K water heater broke. 3/18 toilet leak $7K 7/18 house sitter left hose on, damaged neighbor's prop. Possible original wood shake roof."/>
    <x v="3"/>
    <s v="$25K water damage ded. 7/18 loss is liab. Should mitigate any future issues. Home is 30 years old. "/>
    <s v="Good ins score."/>
    <m/>
    <s v="Patterson"/>
    <m/>
    <m/>
    <n v="0"/>
  </r>
  <r>
    <x v="191"/>
    <s v="SCU"/>
    <s v="CO"/>
    <s v="Allison"/>
    <s v="Email"/>
    <s v="Thomas     "/>
    <s v="Dennis"/>
    <x v="16"/>
    <s v="Woodside"/>
    <x v="1"/>
    <m/>
    <x v="8"/>
    <x v="940"/>
    <x v="1294"/>
    <s v="Brush clearance"/>
    <s v="2008 dwelling in brush. Insured has 3 lab dogs. Brush clearance only 30 feet. Can an exception be made."/>
    <x v="1"/>
    <s v="We are strict with our CA brush clearance. So is CAL Fire. Clear, then we can consider. Also, reminder to check for active fires."/>
    <m/>
    <m/>
    <s v="Patterson"/>
    <m/>
    <m/>
    <n v="1"/>
  </r>
  <r>
    <x v="224"/>
    <s v="Burns"/>
    <s v="MI"/>
    <s v="Matt"/>
    <s v="Email"/>
    <s v="Scott, Sandra"/>
    <m/>
    <x v="0"/>
    <s v="Angels Camp CA PC9"/>
    <x v="3"/>
    <m/>
    <x v="0"/>
    <x v="940"/>
    <x v="1325"/>
    <s v="TIV&gt;$1.5M PC9"/>
    <s v="2008 frame home in medium brush. No alarms. Accessible year round. 10 min response. 30 acres personal use."/>
    <x v="4"/>
    <m/>
    <m/>
    <m/>
    <s v="Patterson"/>
    <m/>
    <m/>
    <n v="0"/>
  </r>
  <r>
    <x v="628"/>
    <s v="AmWINS"/>
    <s v="PA"/>
    <s v="John"/>
    <m/>
    <s v="Stevens"/>
    <s v="Richard &amp; Ileana"/>
    <x v="4"/>
    <s v="Tetonia"/>
    <x v="45"/>
    <s v="83452"/>
    <x v="6"/>
    <x v="940"/>
    <x v="25"/>
    <s v="TIV"/>
    <s v="No app, info to follow. Referred due to TIV/PC and $10K ded due to no central station alarm.  Is NEST ok?"/>
    <x v="2"/>
    <s v="Need app to consider. PC App available (if not this can be subj). Confirmed NEST self-monitor does not qualify as CSFB. Must have direct call to fire/police. Ok'd providing $5K ded for info purposes."/>
    <m/>
    <m/>
    <s v="Patterson"/>
    <m/>
    <m/>
    <n v="0"/>
  </r>
  <r>
    <x v="539"/>
    <s v="Burns"/>
    <s v="MI"/>
    <s v="David"/>
    <s v="Email"/>
    <s v="Von Normann"/>
    <s v="James"/>
    <x v="0"/>
    <s v="Santa Rosa Valley"/>
    <x v="1"/>
    <m/>
    <x v="4"/>
    <x v="940"/>
    <x v="1326"/>
    <s v="Rate"/>
    <s v="PC 10 home quoted with another partner for half the premium. Frame, owner occupied, primary with stucco cladding. "/>
    <x v="1"/>
    <s v="Unable to match premium between programs"/>
    <s v="Hull is not scored and was the main difference between the two scores. We do not match program premiums."/>
    <m/>
    <s v="Lazovik"/>
    <m/>
    <m/>
    <n v="1"/>
  </r>
  <r>
    <x v="557"/>
    <s v="Burns"/>
    <s v="MI"/>
    <s v="Leslie"/>
    <m/>
    <s v="Linson"/>
    <s v="John"/>
    <x v="0"/>
    <s v="Santa Monica"/>
    <x v="1"/>
    <s v="90402"/>
    <x v="11"/>
    <x v="940"/>
    <x v="1326"/>
    <s v="High Profile"/>
    <s v="1925 home, with updates in 1984 (not confirmed if partial or complete). Applicant is producer, largest project Sons of Anarchy, with other tv shows and movies as well. Agent indicated losses that were with prior owner but added $25k water damage ded. Replied back for app to review. "/>
    <x v="2"/>
    <s v="Need app to review"/>
    <m/>
    <m/>
    <s v="Busse"/>
    <m/>
    <m/>
    <n v="0"/>
  </r>
  <r>
    <x v="21"/>
    <s v="SCU"/>
    <s v="CO"/>
    <s v="Allison"/>
    <s v="Email"/>
    <s v="Bennett"/>
    <s v="Ian &amp; Jill McCarthy"/>
    <x v="0"/>
    <s v="Boulder"/>
    <x v="19"/>
    <m/>
    <x v="8"/>
    <x v="940"/>
    <x v="1299"/>
    <s v="Business on Premises"/>
    <s v="a Pediatric Occupational Therapy business in the home that has a separate entrance, but is the same property as the primary home.  They do have a commercial GL policy, we’ve added an animal exclusion, we added a total business exclusion, and a 10% surcharge. "/>
    <x v="3"/>
    <s v="You have approval to offer terms as quoted. Please be sure the agency is aware they need to confirm that the professional liability and general liability policies remain in place before each renewal."/>
    <m/>
    <m/>
    <s v="Burdine"/>
    <m/>
    <m/>
    <n v="0"/>
  </r>
  <r>
    <x v="563"/>
    <s v="JM Wilson"/>
    <s v="MI"/>
    <s v="Cheryl"/>
    <m/>
    <s v="Concessi"/>
    <s v="Vincent"/>
    <x v="4"/>
    <s v="Curran"/>
    <x v="8"/>
    <s v="48728"/>
    <x v="4"/>
    <x v="940"/>
    <x v="1327"/>
    <s v="PC"/>
    <s v="Was previously referred back in October 2018 and risk was declined due to TIV, PC, and response time. After follow up from agent, Bethany advised we could consider if alarms, pump, generator and dry hydrant were installed. Alarms are now in along with generator. Home is in the process of being built, will be ready in March. Agent advised that dry hydrant and pump will be started as soon as ground thaws. "/>
    <x v="3"/>
    <s v="Since approval was granted before by Bethany on the subjectivity that the other 4 items were completed, I approved. Still subject to hydrant and pump installation prior to binding. Also subject to confirmation of completion of property prior to issuance. "/>
    <m/>
    <m/>
    <s v="Busse"/>
    <m/>
    <m/>
    <n v="0"/>
  </r>
  <r>
    <x v="204"/>
    <s v="Hull CA"/>
    <s v="Irvine"/>
    <s v="Vanessa"/>
    <s v="Email"/>
    <s v="Fleming, Terry"/>
    <m/>
    <x v="0"/>
    <s v="Murrieta CA PC4"/>
    <x v="3"/>
    <m/>
    <x v="0"/>
    <x v="940"/>
    <x v="1328"/>
    <s v="Motocross Track"/>
    <s v="1988 home, beautiful condition. Has a full motocross track in backyard. Backs up to area that looks like open cross country land. Has a separate driveway for the track. Brush is negligible per FireLine and low per RM"/>
    <x v="2"/>
    <s v="Consider x-liability. Attractive nuisance and liability hazard. Track is personal use limited hours for insured and kids. Still said x-liab okay. Home okay."/>
    <m/>
    <m/>
    <s v="Patterson"/>
    <m/>
    <m/>
    <n v="0"/>
  </r>
  <r>
    <x v="401"/>
    <s v="Burns"/>
    <s v="MI"/>
    <s v="David"/>
    <s v="Email"/>
    <s v="Lundy"/>
    <s v="James"/>
    <x v="2"/>
    <s v="Glenbrook"/>
    <x v="39"/>
    <m/>
    <x v="4"/>
    <x v="940"/>
    <x v="1329"/>
    <s v="PC"/>
    <s v="property is not accessible by road year round. Unprotected Rated Questionnaire indicates there is a dry hydrant installed, but home is not accessible by fire department year round; PC 10. There is also an additional 34.5 acres used for personal use."/>
    <x v="2"/>
    <s v="requested information as to why it's not accessible year round"/>
    <m/>
    <m/>
    <s v="Burdine"/>
    <m/>
    <m/>
    <n v="0"/>
  </r>
  <r>
    <x v="444"/>
    <s v="Hull Irvine"/>
    <m/>
    <s v="Alex"/>
    <s v="Email/Call"/>
    <s v="Fearon, Todd &amp; Karen"/>
    <m/>
    <x v="0"/>
    <s v="Chico"/>
    <x v="1"/>
    <m/>
    <x v="23"/>
    <x v="940"/>
    <x v="1330"/>
    <s v="TIV"/>
    <s v="2017 new build in brush. Metal roof w/exclusion. Agent debited 60% to be close to competitor quotes (thank you!). New rates increase this PC."/>
    <x v="4"/>
    <m/>
    <m/>
    <m/>
    <s v="Patterson"/>
    <m/>
    <m/>
    <n v="0"/>
  </r>
  <r>
    <x v="440"/>
    <s v="Hull Horsham"/>
    <s v="PA"/>
    <s v="Andrea"/>
    <s v="Email"/>
    <s v="John R Harrison LLC"/>
    <m/>
    <x v="0"/>
    <s v="Warwick"/>
    <x v="29"/>
    <m/>
    <x v="0"/>
    <x v="940"/>
    <x v="1331"/>
    <s v="TIV"/>
    <s v="1989 home w/ no updates and no alarms per app. Was assisted living facility, no primary residence."/>
    <x v="3"/>
    <s v="• We are assuming no current use as assisted living, not a bed &amp; breakfast_x000a_• Apply roof exclusion – 27 year old roof with no update info.  If roof has been replaced in last 25 years, you don’t have to exclude._x000a_• Protection class is not PC9 or 10 – if so refer with response time info_x000a_• We require c/s burglar and fire alarms for TIV over $2,000,000; or in lieu of alarms, a $10,000 AOP deductible can be applied_x000a_"/>
    <m/>
    <n v="17"/>
    <s v="Patterson"/>
    <m/>
    <m/>
    <n v="0"/>
  </r>
  <r>
    <x v="753"/>
    <s v="Burns"/>
    <s v="MI"/>
    <s v="Jill"/>
    <s v="Email"/>
    <s v="Gamel"/>
    <s v="David"/>
    <x v="0"/>
    <s v="Littleton"/>
    <x v="19"/>
    <m/>
    <x v="8"/>
    <x v="941"/>
    <x v="1332"/>
    <s v="Losses"/>
    <s v="Two large losses - one was hail from 7/2018 in amount of $68,116, roof was replaced. Second loss was 2/2018 water damage in amount of $113,738 from toilet coupler break. Water detection system and auto water shut off system installed and damage repaired. Kerosene primary heat source. Requested Wind/Hail ded to be $10,000 due to new roof. *Update - follow up referral to add ERC. "/>
    <x v="3"/>
    <s v="Due to prior hail loss, will require to leave wind/hail at 2%. Also, due to large water loss will require $10,000 water damage ded. Not excluding water since mentioned systems were installed. No further surcharge since we already surcharge enough through rating on losses, per convo with Jeff. *Update - approved subject to confirmation the home is insured at 100% replacement value"/>
    <m/>
    <m/>
    <s v="Busse"/>
    <m/>
    <m/>
    <n v="0"/>
  </r>
  <r>
    <x v="813"/>
    <s v="Hull Irvine"/>
    <s v="CA"/>
    <s v="Alison"/>
    <s v="Email"/>
    <s v="Morrison"/>
    <s v="Patrick"/>
    <x v="0"/>
    <s v="Topanga"/>
    <x v="1"/>
    <m/>
    <x v="5"/>
    <x v="942"/>
    <x v="1333"/>
    <s v="TIV"/>
    <s v="other structures 1,840,000"/>
    <x v="4"/>
    <s v="no comm use of other structures, pc ok, photos ok"/>
    <m/>
    <m/>
    <s v="Burdine"/>
    <m/>
    <m/>
    <n v="0"/>
  </r>
  <r>
    <x v="420"/>
    <s v="Burns"/>
    <s v="MI"/>
    <s v="Lindsay"/>
    <m/>
    <s v="Hansen"/>
    <s v="Jerry"/>
    <x v="4"/>
    <s v="Oakley"/>
    <x v="22"/>
    <s v="84055"/>
    <x v="4"/>
    <x v="943"/>
    <x v="1334"/>
    <s v="PC"/>
    <s v="1995 log home, not hand hewn. No updates noted. No alarms, no losses, wood stove as primary heat source. PC10 with FD 10.3 miles, response time 20-25 minutes, not accessible year-round"/>
    <x v="1"/>
    <s v="Had this been a lower TIV we may have been able to consider. However, given TIV, wood stove as primary heat source and not accessible year-round, we feel we would not be able to get an adequate rate. "/>
    <m/>
    <m/>
    <s v="Busse"/>
    <m/>
    <m/>
    <n v="1"/>
  </r>
  <r>
    <x v="272"/>
    <s v="SCU"/>
    <s v="CO"/>
    <s v="Allison"/>
    <s v="Email"/>
    <s v="Ramos, Philip"/>
    <m/>
    <x v="0"/>
    <s v="Wolcott"/>
    <x v="19"/>
    <m/>
    <x v="4"/>
    <x v="944"/>
    <x v="1335"/>
    <s v="Response Time 25 minutes"/>
    <s v="1999 frame home w/stucco. No brush. Low brush per FireLine. No alarms, but insd has interior sprinkler. Response time 25 minutes. 16 miles away, part dirt road in good condition.  Chubb nrn due to distance to FD.  40 acres. Possible flat roof per photos."/>
    <x v="3"/>
    <s v="Approved subject to confirmation home is accessible on the 40 acres. If there is a flat roof a $10K water dmg ded applies."/>
    <m/>
    <m/>
    <s v="Patterson"/>
    <m/>
    <m/>
    <n v="0"/>
  </r>
  <r>
    <x v="264"/>
    <s v="Hull CA"/>
    <s v="Irvine"/>
    <s v="Alison"/>
    <s v="Email"/>
    <s v="Han, Kwang He"/>
    <m/>
    <x v="0"/>
    <s v="Los Angeles"/>
    <x v="1"/>
    <m/>
    <x v="0"/>
    <x v="945"/>
    <x v="1336"/>
    <s v="Open claim"/>
    <s v="2 losses - tile roof leak in 2014. $260K toilet line break 5/2016. Damage not completely repaired."/>
    <x v="1"/>
    <s v="Not comfortable with open water damage claims. (mold, undiscovered damage, issue could occur during repair)"/>
    <m/>
    <m/>
    <s v="Patterson"/>
    <m/>
    <m/>
    <n v="1"/>
  </r>
  <r>
    <x v="226"/>
    <s v="SCU"/>
    <s v="CO"/>
    <s v="Allison"/>
    <s v="Email"/>
    <s v="Davis, Joanne"/>
    <m/>
    <x v="0"/>
    <s v="Greenwood Village CO PC3"/>
    <x v="3"/>
    <m/>
    <x v="0"/>
    <x v="946"/>
    <x v="290"/>
    <s v="Lapse"/>
    <s v="1999 home not in brush. Covg lapsed in 2014.  Then auto lapsed in 2015, and they realized it. Agent added a 3% surcharge."/>
    <x v="3"/>
    <s v="Ran insurance score-it is acceptable (in a credit range)"/>
    <s v="Gave approval to increase by $180K-kitchen is being renovated, expected completion by July 2016 so surcharged at 10% instead of full builders risk-K.Burdine"/>
    <m/>
    <s v="Patterson"/>
    <m/>
    <m/>
    <n v="0"/>
  </r>
  <r>
    <x v="99"/>
    <s v="Hull Stockton"/>
    <m/>
    <s v="Kirk"/>
    <s v="Email"/>
    <s v="Esenwein, Dennis"/>
    <m/>
    <x v="21"/>
    <s v="Truckee"/>
    <x v="1"/>
    <m/>
    <x v="6"/>
    <x v="947"/>
    <x v="1337"/>
    <s v="TIV"/>
    <s v="2009 home in brush with concrete roof. In brush, PC9. No alarms"/>
    <x v="3"/>
    <s v="Need rater. Subj to: Completed and acceptable PC quest. Completed and acceptable WBS quest. 7% Surcharge due to custom design. Concrete roof - is it flat? If so, $10K ded.  Decided against MFRC because other than living room, home looks more standard. Surcharge will help."/>
    <m/>
    <m/>
    <s v="Patterson"/>
    <m/>
    <m/>
    <n v="0"/>
  </r>
  <r>
    <x v="327"/>
    <s v="Hull Irvine"/>
    <s v="CA"/>
    <s v="Lucas"/>
    <s v="Email"/>
    <s v="Groen"/>
    <s v="Eric"/>
    <x v="4"/>
    <s v="Santa Rosa Valley"/>
    <x v="1"/>
    <m/>
    <x v="0"/>
    <x v="948"/>
    <x v="1338"/>
    <s v="Losses"/>
    <s v="2 water losses, insured provided narrative about extensive measures taken so won't occur again"/>
    <x v="3"/>
    <s v="subject to $10K water ded"/>
    <m/>
    <m/>
    <s v="Burdine"/>
    <m/>
    <m/>
    <n v="0"/>
  </r>
  <r>
    <x v="497"/>
    <s v="Hull Irvine"/>
    <s v="CA"/>
    <s v="Bobbi"/>
    <s v="Email"/>
    <s v="Gilliland"/>
    <s v="Geraldine"/>
    <x v="0"/>
    <s v="Malibu"/>
    <x v="1"/>
    <m/>
    <x v="0"/>
    <x v="949"/>
    <x v="1339"/>
    <s v="TIV"/>
    <s v="Lexington Malibu Renewal"/>
    <x v="4"/>
    <s v="RM, ISO, TIV, Pics OK"/>
    <m/>
    <m/>
    <s v="Burdine"/>
    <m/>
    <m/>
    <n v="0"/>
  </r>
  <r>
    <x v="72"/>
    <s v="Hull Irvine"/>
    <m/>
    <s v="Alison"/>
    <s v="Email"/>
    <s v="Zamir, Zion &amp; Michelle"/>
    <m/>
    <x v="5"/>
    <s v="Los Angeles"/>
    <x v="1"/>
    <m/>
    <x v="11"/>
    <x v="950"/>
    <x v="1340"/>
    <s v="Possible demolition"/>
    <s v="Insured will either completely demolish or demolish leaving only 1 wall at some unknown date in the future. Currently vacant and being checked."/>
    <x v="1"/>
    <s v="Moral and morale hazard. Why would they want to insure?"/>
    <m/>
    <m/>
    <s v="Patterson"/>
    <m/>
    <m/>
    <n v="1"/>
  </r>
  <r>
    <x v="166"/>
    <s v="Hull Horsham"/>
    <s v="PA"/>
    <s v="MacKenzie"/>
    <s v="Email"/>
    <s v="Bernard"/>
    <s v="Brian &amp; Haag, Wendy"/>
    <x v="16"/>
    <m/>
    <x v="3"/>
    <m/>
    <x v="2"/>
    <x v="951"/>
    <x v="1341"/>
    <s v="EIFS"/>
    <s v="1995 risk with EIFS. Appears no drainage system. Had risk since 2009 w/one withdrawn loss. Discussed w/Ray in 2016, but never finalized surcharge. Agent proposing 5% surcharge."/>
    <x v="3"/>
    <s v="Okay with 10% s/c (60.4% s/c on tech rate.)"/>
    <m/>
    <m/>
    <s v="Patterson"/>
    <m/>
    <m/>
    <n v="0"/>
  </r>
  <r>
    <x v="561"/>
    <s v="Burns"/>
    <s v="MI"/>
    <s v="Ben"/>
    <s v="Email"/>
    <s v="O'Gara Sharon"/>
    <m/>
    <x v="0"/>
    <s v="Greenwood IN PC4"/>
    <x v="3"/>
    <m/>
    <x v="0"/>
    <x v="952"/>
    <x v="1342"/>
    <s v="TIV near $3M"/>
    <s v="2004 frame home with Trust as AI. Online found a possible prior break-in -I is it our insured? Email attached to submission references a blanket schedule. This is listed as a referral to SRD. "/>
    <x v="3"/>
    <s v="Approved subject to SRD review of news story about break in."/>
    <m/>
    <m/>
    <s v="Patterson"/>
    <m/>
    <m/>
    <n v="0"/>
  </r>
  <r>
    <x v="693"/>
    <s v="Hull Horsham"/>
    <m/>
    <s v="Nichole"/>
    <s v="Email"/>
    <s v="Yannetti, Mark &amp; Kristin"/>
    <m/>
    <x v="0"/>
    <s v="Topsfield"/>
    <x v="21"/>
    <m/>
    <x v="0"/>
    <x v="953"/>
    <x v="1343"/>
    <s v="Knob &amp; Tube wiring"/>
    <s v="1900 home in process of renovation/update. Currently has knob &amp; tube wiring. Big agent for Nichole."/>
    <x v="2"/>
    <s v="Is insd in home? If not, could elec run temp line. Cut power to knob &amp; tube. We could write when the power was cut."/>
    <m/>
    <m/>
    <s v="Patterson"/>
    <m/>
    <m/>
    <n v="0"/>
  </r>
  <r>
    <x v="761"/>
    <s v="Hull Stockton"/>
    <s v="CA"/>
    <s v="Lisa"/>
    <m/>
    <s v="2012 O'Connor Family Trust"/>
    <m/>
    <x v="1"/>
    <s v="San Francisco"/>
    <x v="1"/>
    <s v="94127"/>
    <x v="11"/>
    <x v="954"/>
    <x v="1344"/>
    <s v="Builders Risk"/>
    <s v="1951 renovation started in 7/2017. Delay due to issue with permits. All professional construction. Not in brush. Final TIV should be below $3M. Currently 60^ complete w/only interior left. Expect 6 months to finish."/>
    <x v="3"/>
    <s v="25% surcharge for mid-term construction. Asked agt to verify rate. Advised of requirement to use WildFireRiskScore. This one is a 6 (I ran)."/>
    <m/>
    <m/>
    <s v="Patterson"/>
    <m/>
    <m/>
    <n v="0"/>
  </r>
  <r>
    <x v="79"/>
    <s v="Hull Stockton"/>
    <m/>
    <s v="Lisa"/>
    <s v="Email"/>
    <s v="Blum, Craig &amp; Kimberly"/>
    <m/>
    <x v="15"/>
    <s v="Rancho Mirage"/>
    <x v="1"/>
    <m/>
    <x v="6"/>
    <x v="955"/>
    <x v="1345"/>
    <s v="TIV"/>
    <s v="2015 home not in brush. Online photos show portions of flat roof. Agent quoted PC9. Full alarms and partial sprinklers"/>
    <x v="3"/>
    <s v="$10K wtr dmg ded for flat roof."/>
    <m/>
    <m/>
    <s v="Patterson"/>
    <m/>
    <m/>
    <n v="0"/>
  </r>
  <r>
    <x v="222"/>
    <s v="Burns"/>
    <s v="MI"/>
    <s v="Jill"/>
    <s v="Email"/>
    <s v="Sterchi, Robert L"/>
    <m/>
    <x v="2"/>
    <s v="Loudon TN PC10"/>
    <x v="3"/>
    <m/>
    <x v="0"/>
    <x v="956"/>
    <x v="1346"/>
    <s v="PC10 DP3&gt;$1.5M"/>
    <s v="1982 home w/rood updated in 2004. Tenant is insured's father who originally owned home and sold it to son for his life use. Volunteer FD. Per mapquest, FD is 5.2 miles from risk, 7 min response. Home is alarmed and there is a full time caretaker.  FD is volunteer. Property is 148 acres."/>
    <x v="3"/>
    <s v="Approved subject to confirmation that the home does not sit too far off the road and the driveway to access it is fully accessible by firetrucks."/>
    <m/>
    <m/>
    <s v="Patterson"/>
    <m/>
    <m/>
    <n v="0"/>
  </r>
  <r>
    <x v="260"/>
    <s v="Burns"/>
    <s v="MI"/>
    <s v="Ben"/>
    <s v="Email"/>
    <s v="Boles, Penny"/>
    <m/>
    <x v="21"/>
    <s v="Mammoth Creek"/>
    <x v="22"/>
    <m/>
    <x v="6"/>
    <x v="957"/>
    <x v="1347"/>
    <s v="PC9/TIV"/>
    <s v="2006 frame seasonal/no rental. Alarms. Inspection acceptable. App from 2014."/>
    <x v="3"/>
    <s v="Approve subj to current and acceptable app."/>
    <m/>
    <m/>
    <s v="Patterson"/>
    <m/>
    <m/>
    <n v="0"/>
  </r>
  <r>
    <x v="560"/>
    <s v="TPI"/>
    <m/>
    <s v="Jerrold"/>
    <s v="Email"/>
    <s v="Heffner, Robert"/>
    <m/>
    <x v="0"/>
    <s v="Gulfport MS PC3"/>
    <x v="3"/>
    <m/>
    <x v="0"/>
    <x v="957"/>
    <x v="1348"/>
    <s v="TIV&gt;$1.75"/>
    <s v="Built in 2006."/>
    <x v="4"/>
    <s v="Overall clean risk. Increased agents authority after this submission to $3Mfor PC 1-9/1.5M for PC 9-10"/>
    <s v="Orig. quoted w/ $1.575 A. reduced to $1.45 OK"/>
    <m/>
    <s v="Patterson"/>
    <m/>
    <m/>
    <n v="0"/>
  </r>
  <r>
    <x v="191"/>
    <s v="Hull Stockton"/>
    <s v="CA"/>
    <s v="Lisa"/>
    <s v="Email"/>
    <s v="Christian   "/>
    <s v="Brad"/>
    <x v="2"/>
    <s v="Healdsburg"/>
    <x v="1"/>
    <m/>
    <x v="5"/>
    <x v="958"/>
    <x v="1349"/>
    <s v="Acreage"/>
    <s v="2000 home in brush. Online photos okay. Home has been custom updated since purchase. Hot tub with no cover some distance from the dwelling."/>
    <x v="3"/>
    <s v="Get hot tub cover. Confirm no business. Photos show vineyard near the home. Need info if it is theirs."/>
    <m/>
    <m/>
    <s v="Patterson"/>
    <m/>
    <m/>
    <n v="0"/>
  </r>
  <r>
    <x v="642"/>
    <s v="Hull Irvine"/>
    <s v="CA"/>
    <s v="Melissa"/>
    <m/>
    <s v="Jakana"/>
    <s v="Sam &amp; Tilda"/>
    <x v="0"/>
    <s v="Coto de Caza"/>
    <x v="1"/>
    <s v="92679"/>
    <x v="0"/>
    <x v="958"/>
    <x v="1350"/>
    <s v="Losses"/>
    <s v="1960 home w/updates. Insd has 4 water losses in 2017-2018. $1860-$8581. They purchased a leak detection/automatic shut off system; high deductible?"/>
    <x v="2"/>
    <s v="Numerous questions re the plumbing, PC, pricing, Cov A. Will scrutinize due to value at almost $3M. Online realtor.com shows immaculate updated home."/>
    <m/>
    <m/>
    <s v="Patterson"/>
    <m/>
    <m/>
    <n v="0"/>
  </r>
  <r>
    <x v="590"/>
    <s v="Burns"/>
    <s v="MI"/>
    <s v="Leslie"/>
    <s v="Email"/>
    <s v="Bush, Kevin"/>
    <m/>
    <x v="0"/>
    <s v="Oak Glen"/>
    <x v="1"/>
    <m/>
    <x v="4"/>
    <x v="959"/>
    <x v="1351"/>
    <s v="PC10"/>
    <s v=" primary home located in CA. Built in 1996, frame construction, PC10, in brush, 5 minute response time, no c/s alarms and no losses."/>
    <x v="3"/>
    <s v="Subject to acceptable brush clearance; PC questionnaire provided-response time OK and tanks/pond on premises"/>
    <s v="Advised Leslie same applicant as one submitted by Delta"/>
    <m/>
    <s v="Burdine"/>
    <m/>
    <m/>
    <n v="0"/>
  </r>
  <r>
    <x v="752"/>
    <s v="Burns"/>
    <s v="MI"/>
    <s v="Delta"/>
    <s v="Email"/>
    <s v="Bush, Kevin"/>
    <m/>
    <x v="0"/>
    <s v="Oak Glen"/>
    <x v="1"/>
    <m/>
    <x v="4"/>
    <x v="959"/>
    <x v="1352"/>
    <s v="PC 10"/>
    <s v=" primary home located in CA. Built in 1996, frame construction, PC10, in brush, 5 minute response time, no c/a alarms and no losses."/>
    <x v="3"/>
    <s v="Subject to acceptable brush clearance; PC questionnaire provided-response time OK and tanks/pond on premises."/>
    <m/>
    <m/>
    <s v="Burdine"/>
    <m/>
    <m/>
    <n v="0"/>
  </r>
  <r>
    <x v="402"/>
    <s v="Burns"/>
    <s v="MI"/>
    <s v="Ben"/>
    <s v="Email"/>
    <s v="Jordan Family Trust"/>
    <m/>
    <x v="0"/>
    <s v="Oak Glen "/>
    <x v="1"/>
    <m/>
    <x v="4"/>
    <x v="959"/>
    <x v="1352"/>
    <s v="PC10"/>
    <s v="1996 home on 26 acres. Very nice photos online. Details about 2 large garages and equestrian facilities.  PC10 - 5 min response, accessible, medium brush."/>
    <x v="0"/>
    <s v="Need info on use of garages and equestrian exposure. Where on 26 acres are the structures and are they fully accessible by FD?  Per Ben, no farming, no animals. Garages used for insured's own car collection. No horses, no equestrian exposure. Home fully accessible."/>
    <m/>
    <m/>
    <s v="Patterson"/>
    <m/>
    <m/>
    <n v="0"/>
  </r>
  <r>
    <x v="485"/>
    <s v="Burns"/>
    <s v="MI"/>
    <s v="Leslie"/>
    <m/>
    <s v="Ober"/>
    <s v="Robert"/>
    <x v="4"/>
    <s v="Malibu"/>
    <x v="1"/>
    <s v="90265"/>
    <x v="8"/>
    <x v="960"/>
    <x v="1353"/>
    <s v="TIV"/>
    <s v="1974 home updated in 1999. Wildfire score of 80. Over $3M TIV."/>
    <x v="1"/>
    <s v="Reminded Leslie of new direction. Markel max is $3M PC1-7; $1.5M PC8-10."/>
    <m/>
    <m/>
    <s v="Patterson"/>
    <m/>
    <m/>
    <n v="1"/>
  </r>
  <r>
    <x v="530"/>
    <s v="XS Brokers"/>
    <s v="MA"/>
    <s v="Sean"/>
    <s v="Email"/>
    <s v="Creative Development Assoc LLP"/>
    <m/>
    <x v="2"/>
    <s v="Kingston "/>
    <x v="21"/>
    <m/>
    <x v="0"/>
    <x v="961"/>
    <x v="1354"/>
    <s v="Prior loss"/>
    <s v="1/2016 $200K pipe burst. Home was vacant at the time. Found when insd checked on it. 1999 home will now be tenant occupied."/>
    <x v="3"/>
    <s v="Additional surcharge for size of loss. (1999 home w/ plumbing loss seems to be a fluke). Also want completed app (uw questions); completed Corp/LLC form."/>
    <m/>
    <m/>
    <s v="Patterson"/>
    <m/>
    <m/>
    <n v="0"/>
  </r>
  <r>
    <x v="220"/>
    <s v="Burns"/>
    <s v="MI"/>
    <s v="Leslie"/>
    <s v="Email"/>
    <s v="Schwartz. Ross"/>
    <m/>
    <x v="0"/>
    <s v="Hollywood CA PC2"/>
    <x v="3"/>
    <m/>
    <x v="0"/>
    <x v="962"/>
    <x v="1355"/>
    <s v="TIV&gt;$3M"/>
    <s v="1933 home updated in 2002. PC2 with Negligible brush exposure per FireLine. Alarmed. Mr. is attorney-real estate, employment, mergers, acquisitions, trademarks. Challenging fire access area, but FD practices per inspection. Notes in inspection about insured being a writer with an assistant. Will find out details. Need newer inspection - this is from 2013. Sewer backup claim in 2011 $13,000. Old home quest notes all repaired and plumbing fixed."/>
    <x v="3"/>
    <s v="Subject to review of the situation with a writing assistant who works in the home, noted in inspection.  Advise insured of any exclusions for personal property or liability for employees."/>
    <m/>
    <m/>
    <s v="Patterson"/>
    <m/>
    <m/>
    <n v="0"/>
  </r>
  <r>
    <x v="196"/>
    <s v="Hull CA"/>
    <s v="Stockton"/>
    <s v="Lisa"/>
    <s v="Email"/>
    <s v="Wang, Hanguang"/>
    <m/>
    <x v="0"/>
    <s v="Los Angeles CA PC 2"/>
    <x v="3"/>
    <m/>
    <x v="0"/>
    <x v="963"/>
    <x v="1356"/>
    <s v="Lapse since 12/20"/>
    <s v="Overlooks SF Bay. 1978 home fully updated in 14. Brush medium. FD 4-5 miles/hydrant/PC2."/>
    <x v="4"/>
    <s v="Approved pending 150' brush clearance. Get signed statement of no loss."/>
    <m/>
    <m/>
    <s v="Patterson"/>
    <m/>
    <m/>
    <n v="0"/>
  </r>
  <r>
    <x v="626"/>
    <s v="Hull CA"/>
    <s v="Irvine"/>
    <s v="Alison"/>
    <s v="Email"/>
    <s v=" Marguet"/>
    <m/>
    <x v="6"/>
    <s v="San Clemente"/>
    <x v="1"/>
    <m/>
    <x v="9"/>
    <x v="964"/>
    <x v="17"/>
    <s v="Tail end construction"/>
    <s v="2016 home. Insured looking for a 3 month policy - tail end construction. Agent rated vacant DP3 w/surcharge"/>
    <x v="1"/>
    <s v="Not good UW results on tail end constr. We would be taking on over $1M exposure for 3 mos of premium."/>
    <m/>
    <m/>
    <s v="Patterson"/>
    <m/>
    <m/>
    <n v="1"/>
  </r>
  <r>
    <x v="435"/>
    <s v="Hull Irvine"/>
    <m/>
    <s v="Alison"/>
    <s v="Email"/>
    <s v="Rowe, Maria"/>
    <m/>
    <x v="0"/>
    <s v="Malibu"/>
    <x v="1"/>
    <m/>
    <x v="9"/>
    <x v="965"/>
    <x v="1357"/>
    <s v="Prior loss"/>
    <s v="Insured has 2 water claims. 2nd was discovered when 1st was being repaired.  Cost=$14. Wonder if we can eliminate surcharge."/>
    <x v="2"/>
    <s v="Asked what the water losses actually were."/>
    <m/>
    <m/>
    <s v="Patterson"/>
    <m/>
    <m/>
    <n v="0"/>
  </r>
  <r>
    <x v="420"/>
    <s v="Hull Irvine"/>
    <s v="CA"/>
    <s v="Michelle"/>
    <m/>
    <s v="Assi"/>
    <s v="Kaream"/>
    <x v="0"/>
    <s v="Del Mar"/>
    <x v="1"/>
    <s v="92014"/>
    <x v="8"/>
    <x v="966"/>
    <x v="1358"/>
    <s v="Losses"/>
    <s v="1973 home w/ 3 losses. 2 are window leaks during storms, shown to be an installation issue. 1/16 $23K paid. 1/17 $3K paid. 10/18 $115K paid for fire around the fireplace fire box. Box was defective. Not in brush."/>
    <x v="1"/>
    <s v="High value, 3 installation issues, 1973 home. What comes next?"/>
    <m/>
    <m/>
    <s v="Patterson"/>
    <m/>
    <m/>
    <n v="1"/>
  </r>
  <r>
    <x v="258"/>
    <s v="Burns"/>
    <s v="MI"/>
    <s v="Leslie"/>
    <s v="Email"/>
    <s v="Marx, Melissa"/>
    <m/>
    <x v="0"/>
    <s v="Calabasas"/>
    <x v="1"/>
    <m/>
    <x v="2"/>
    <x v="966"/>
    <x v="1359"/>
    <s v="2 prior water losses"/>
    <s v="1989 home updated w/new plumbing in 2013 after $300K pipe break on 2nd floor. Then in 2016, another pipe break. Agent wants to apply water damage excl. Currently w/CA Fair Plan. Ins score is decent."/>
    <x v="3"/>
    <s v="Approved subject to exclusion which is newly drafted and has not been distributed to Burns yet."/>
    <m/>
    <m/>
    <s v="Patterson"/>
    <m/>
    <m/>
    <n v="0"/>
  </r>
  <r>
    <x v="354"/>
    <s v="Hull CO"/>
    <s v="Horsham"/>
    <s v="Nichole"/>
    <s v="Email"/>
    <s v="Manzo Trust"/>
    <m/>
    <x v="21"/>
    <s v="Bethany Beach DE"/>
    <x v="3"/>
    <m/>
    <x v="0"/>
    <x v="967"/>
    <x v="1360"/>
    <s v="$25K ded?"/>
    <s v="1998 home no updates. Agent wants $25K deductible"/>
    <x v="4"/>
    <s v="Ran AAL which showed we need a total premium of $3408 at 2% wind ded. We'd be getting about $4700 w/the $25K ded."/>
    <m/>
    <m/>
    <s v="Patterson"/>
    <m/>
    <m/>
    <n v="0"/>
  </r>
  <r>
    <x v="353"/>
    <s v="Burns"/>
    <s v="MI"/>
    <s v="Rachel"/>
    <s v="Email"/>
    <s v="Stathis"/>
    <s v="John"/>
    <x v="1"/>
    <s v="Rehoboth Beach"/>
    <x v="24"/>
    <m/>
    <x v="5"/>
    <x v="968"/>
    <x v="1361"/>
    <s v="Losses"/>
    <s v="Primary home with large loss. Neighbor's house caught fire and caused large loss for exterior of house."/>
    <x v="4"/>
    <s v="Looks good. Will obtain a builder's risk supplemental prior to binding and a favorable COC inspection."/>
    <m/>
    <m/>
    <s v="Lazovik"/>
    <m/>
    <m/>
    <n v="0"/>
  </r>
  <r>
    <x v="713"/>
    <s v="Burns"/>
    <s v="MI"/>
    <s v="Delta"/>
    <s v="Email"/>
    <s v="Cook, Carl"/>
    <m/>
    <x v="98"/>
    <s v="Bloomfield"/>
    <x v="17"/>
    <m/>
    <x v="6"/>
    <x v="969"/>
    <x v="1362"/>
    <s v="TIV/AirBnB"/>
    <s v="1993 home w/updated roof in 2015. 11 min response time per FD. Full alarms. 2 night min with AirBnB-rent a room or whole house. Insd not there. Pool with diving board-agt adding pool exclusion. Animal question not answered on app."/>
    <x v="3"/>
    <s v="Subj to Verification of no animals (Burns program includes animal liability). Pool excl (as noted)"/>
    <m/>
    <m/>
    <s v="Patterson"/>
    <m/>
    <m/>
    <n v="0"/>
  </r>
  <r>
    <x v="251"/>
    <s v="Burns"/>
    <s v="MI"/>
    <s v="Ben"/>
    <s v="Email"/>
    <s v="Dickstein, Ross"/>
    <m/>
    <x v="0"/>
    <s v="Silverthorne CO PC10"/>
    <x v="19"/>
    <m/>
    <x v="4"/>
    <x v="970"/>
    <x v="1363"/>
    <s v="Response time 20-25 mins"/>
    <s v="1994 log home PC10 alarmed, visible, accessible. Response time at least 20-25 mins on a good day. Ran FireLine and it is High 13 w/med fuels, steep, limited access."/>
    <x v="1"/>
    <s v="Felt it best to decline due to FireLine details and high response time."/>
    <m/>
    <m/>
    <s v="Patterson"/>
    <m/>
    <m/>
    <n v="1"/>
  </r>
  <r>
    <x v="321"/>
    <s v="Burns"/>
    <s v="MI"/>
    <s v="Lindsay"/>
    <m/>
    <s v="Pemrick"/>
    <s v="Donald"/>
    <x v="0"/>
    <s v="Los Angeles"/>
    <x v="1"/>
    <s v="91367"/>
    <x v="11"/>
    <x v="971"/>
    <x v="1364"/>
    <s v="High Profile"/>
    <s v="Insd is a casting director. No adverse information. 1912 dwelling fully updated in 2014. 22 miles from Woolsey per map tool. App notes a detached dwelling on same property $236,000. Cov B $149,000."/>
    <x v="3"/>
    <s v="Need adequate Cov B. Confirm use. Verify distance from fire before binding. Not in brush."/>
    <m/>
    <m/>
    <s v="Patterson"/>
    <m/>
    <m/>
    <n v="0"/>
  </r>
  <r>
    <x v="26"/>
    <s v="JM Wilson"/>
    <s v="MI"/>
    <s v="John"/>
    <s v="Email"/>
    <s v="Klewein"/>
    <s v="Jeff"/>
    <x v="4"/>
    <s v="Linn"/>
    <x v="28"/>
    <m/>
    <x v="6"/>
    <x v="972"/>
    <x v="0"/>
    <s v="Business on Premises"/>
    <s v="secondary home, 3 losses (2 in last 5 years) all weather; inlaws have rent land from applicant for cattle (they have GL in place)"/>
    <x v="3"/>
    <s v="app has as PC 9, requested PCQ. Advised can consider w/ acceptable PCQ, business exclusion, and animal exclusion. Also claim surcharges//Acceptable PCQ received. Approved subj to exclusions/surcharge"/>
    <m/>
    <m/>
    <s v="Burdine"/>
    <m/>
    <m/>
    <n v="0"/>
  </r>
  <r>
    <x v="26"/>
    <s v="Hull Irvine"/>
    <s v="CA"/>
    <s v="Alison"/>
    <s v="Call"/>
    <s v="Moonflower LLC"/>
    <m/>
    <x v="6"/>
    <s v="Santa Barbara"/>
    <x v="1"/>
    <m/>
    <x v="10"/>
    <x v="972"/>
    <x v="0"/>
    <s v="Builders Risk"/>
    <s v="1940 gutted and remodeled home going through renovation. Construction is mid-term, renewal comes up 4/1. Agt wants Markel to write this. It is currently insured wrong under some kind of coml policy. Not in brush."/>
    <x v="3"/>
    <s v="Agent is submitting for review. Sounds like it will be okay."/>
    <s v="2nd call/update - 2 weeks from completion. Will be seasonal/rental on HO-3. Agt will rate with a 25% annual surcharge rate to keep competitive. Almost completed, exposure should be minor. "/>
    <m/>
    <s v="Patterson"/>
    <m/>
    <m/>
    <n v="0"/>
  </r>
  <r>
    <x v="325"/>
    <s v="Hull Stockton"/>
    <s v="CA"/>
    <s v="Alison"/>
    <s v="Email"/>
    <s v="Upton"/>
    <s v="Dan &amp; Maya"/>
    <x v="1"/>
    <s v="Santa Barbara"/>
    <x v="1"/>
    <m/>
    <x v="0"/>
    <x v="972"/>
    <x v="0"/>
    <s v="Other UW Reason"/>
    <s v="builders risk with a living roof. Vegetation not planted directly on the roof, but on planters elevated above. "/>
    <x v="1"/>
    <s v="FireLine is high (12) with heavy fuels. Steep slope per FireLine. RM shows in a brush zone and in Renie. Was considering it, however, with the high brush and the potential to have brush on the roof, I'm not comfortable. "/>
    <m/>
    <m/>
    <s v="Trott"/>
    <m/>
    <m/>
    <n v="1"/>
  </r>
  <r>
    <x v="127"/>
    <s v="Hull Horsham"/>
    <m/>
    <s v="Tamika"/>
    <s v="Email"/>
    <s v="Akhtar, Gurinder"/>
    <m/>
    <x v="1"/>
    <s v="Beaumont"/>
    <x v="23"/>
    <m/>
    <x v="0"/>
    <x v="972"/>
    <x v="0"/>
    <s v="Mid term builders risk"/>
    <s v="New build started in 2/2017; will be completed 12/2017.65% done. Roof, floor, cabinets, paint left."/>
    <x v="0"/>
    <s v="Where currently insured, why moving? Risk was uninsured. Thought builder took care of it."/>
    <m/>
    <m/>
    <s v="Patterson"/>
    <m/>
    <m/>
    <n v="0"/>
  </r>
  <r>
    <x v="151"/>
    <s v="Hull Irvine"/>
    <s v="CA"/>
    <s v="Alex"/>
    <s v="Call"/>
    <s v="Latos"/>
    <m/>
    <x v="16"/>
    <m/>
    <x v="3"/>
    <m/>
    <x v="0"/>
    <x v="972"/>
    <x v="0"/>
    <s v="Occupancy"/>
    <s v="Insured rents to brother and occasionally visits. Brother has HO4. Agent wants to write on HO3 w/ low contents, no loss of use, premises only coverage."/>
    <x v="3"/>
    <s v="Agreed as a family member is typically a good exposure. By insured definition, family members are included as insureds. Nice home. Brother has been there over a year."/>
    <m/>
    <n v="8"/>
    <s v="Patterson"/>
    <m/>
    <m/>
    <n v="0"/>
  </r>
  <r>
    <x v="172"/>
    <s v="Hull Irvine"/>
    <s v="CA"/>
    <s v="Alison"/>
    <s v="Email"/>
    <s v="TBD"/>
    <m/>
    <x v="0"/>
    <s v="Beverly Hills"/>
    <x v="1"/>
    <m/>
    <x v="0"/>
    <x v="972"/>
    <x v="0"/>
    <s v="Loss surcharge"/>
    <s v="1965 home updated in 98. 100% copper. Agt originally quoted with 10% s/c. Now they found a loss. $20K toilet overflow (2nd floor). Has alarms, $5K water dmg ded."/>
    <x v="3"/>
    <s v="Agreed to have agent surcharge for loss, remove their credit and add just enough to match prem. New employee bound without running A+ so they really wanted to match."/>
    <m/>
    <m/>
    <s v="Patterson"/>
    <m/>
    <m/>
    <n v="0"/>
  </r>
  <r>
    <x v="213"/>
    <s v="Hull CA"/>
    <s v="Irvine"/>
    <s v="Alex"/>
    <s v="Call"/>
    <m/>
    <m/>
    <x v="5"/>
    <s v="Beverly Hills CA PC4"/>
    <x v="3"/>
    <m/>
    <x v="0"/>
    <x v="972"/>
    <x v="0"/>
    <s v="1 year old inspection"/>
    <s v="Home is vacant and for sale. Has been with Lexington. 1 year old inspection - do they need to reinspect? Beverly Hills home"/>
    <x v="4"/>
    <s v="Approved w/ exterior inspection only and confirmation of no existing interior issues or claims."/>
    <m/>
    <m/>
    <s v="Patterson"/>
    <m/>
    <m/>
    <n v="0"/>
  </r>
  <r>
    <x v="266"/>
    <s v="Hull CA"/>
    <s v="Irvine"/>
    <s v="Alex"/>
    <s v="Call"/>
    <s v="Kagel, David"/>
    <m/>
    <x v="0"/>
    <s v="Beverly Hills"/>
    <x v="1"/>
    <m/>
    <x v="0"/>
    <x v="972"/>
    <x v="0"/>
    <s v="Prior loss "/>
    <s v="1970's home retrofitted. 4 years ago, construction at a nearby park involved sandblasting. Apparently vibrations caused major issues at home as well as covering home in sand/dirt. Issues include: crack to expensive entryway glass, crack in pool, shift to entry gate to prop. $589,000 in damage"/>
    <x v="4"/>
    <s v="Odd loss, out of insd control, if there were plumbing or elec issues, seems those would have surfaced by now. All repairs made."/>
    <m/>
    <m/>
    <s v="Patterson"/>
    <m/>
    <m/>
    <n v="0"/>
  </r>
  <r>
    <x v="744"/>
    <s v="Burns"/>
    <s v="MI"/>
    <s v="Jill"/>
    <s v="Email"/>
    <s v="Trotts "/>
    <s v="Michael"/>
    <x v="1"/>
    <s v="Hamilton"/>
    <x v="17"/>
    <m/>
    <x v="5"/>
    <x v="972"/>
    <x v="18"/>
    <s v="Prior losses"/>
    <s v="New construction with large prior loss. 2/17 painter rags combusted $685K loss. 12/16 freezing pipes $16K. Agent getting info on loss, who is contractor, subro?"/>
    <x v="1"/>
    <s v="Resubmit with full info. Fire marshal report. Can consider - not insured's fault. // 10/2 - contractor who caused 2 losses is same contractor they are still using.  "/>
    <m/>
    <n v="29"/>
    <s v="Patterson"/>
    <m/>
    <m/>
    <n v="1"/>
  </r>
  <r>
    <x v="795"/>
    <s v="Hull CA"/>
    <s v="Stockton"/>
    <s v="Kirk"/>
    <s v="Email"/>
    <s v="Machiel, Russell"/>
    <m/>
    <x v="6"/>
    <s v="Woodland CA PC8B"/>
    <x v="3"/>
    <m/>
    <x v="0"/>
    <x v="972"/>
    <x v="18"/>
    <s v="Insd is contractor"/>
    <s v="Insured started construction 1 year ago overseen by a licensed contractor. Expects completion in early 2017. "/>
    <x v="1"/>
    <s v="Need licensed builder in charge. Insured builds take a long time as they do it in their free time. More likelihood of loss."/>
    <m/>
    <m/>
    <s v="Patterson"/>
    <m/>
    <m/>
    <n v="1"/>
  </r>
  <r>
    <x v="535"/>
    <s v="Hull CA"/>
    <s v="Irvine"/>
    <s v="Alex"/>
    <s v="Email"/>
    <s v="Haddad, Hazem"/>
    <m/>
    <x v="1"/>
    <s v="Newport Beach PC2"/>
    <x v="3"/>
    <m/>
    <x v="0"/>
    <x v="972"/>
    <x v="18"/>
    <s v="COC tail end"/>
    <s v="2015 home written 1 year with E&amp;S carrier, 7 month extension. Still has 3 months to go.  Finish work is left. No brush. Alarms are unknown."/>
    <x v="4"/>
    <s v="Alex is writing as an annual HO3 with first 3 months being COC and then will convert to owner occupied."/>
    <m/>
    <m/>
    <s v="Patterson"/>
    <m/>
    <m/>
    <n v="0"/>
  </r>
  <r>
    <x v="294"/>
    <s v="Hull CA"/>
    <s v="Irvine"/>
    <s v="Alex"/>
    <s v="Call"/>
    <s v="Becker"/>
    <m/>
    <x v="1"/>
    <s v="Calabasas"/>
    <x v="1"/>
    <m/>
    <x v="5"/>
    <x v="972"/>
    <x v="18"/>
    <s v="Tail end construction"/>
    <s v="1995 home under renovation. Has been with Lex for 1 year. Renewal is pricing at $7600; we are $1000 less. Agent is shopping. Expect 6 months more. Interior flooring, cabinets, paint, baseboards left. Elec &amp; plumbing in place. Alex wants to bump our pricing closer to the $7600 and offer a 6 month or annual term."/>
    <x v="4"/>
    <m/>
    <m/>
    <m/>
    <s v="Patterson"/>
    <m/>
    <m/>
    <n v="0"/>
  </r>
  <r>
    <x v="711"/>
    <s v="Burns"/>
    <s v="MI"/>
    <s v="Delta"/>
    <s v="Email"/>
    <s v="Anjum, Zafir"/>
    <m/>
    <x v="16"/>
    <s v="Weed"/>
    <x v="1"/>
    <m/>
    <x v="4"/>
    <x v="972"/>
    <x v="1063"/>
    <s v="Response Time/ACV"/>
    <s v="1993 home. PC 10-10-15 response time. Water tank on premises. Inspections attached (including ACV); caretaker on premises. Monitored fire/alarm, no brush. Pool not properly fenced (picket fence, no lock)"/>
    <x v="3"/>
    <s v="Confirm true secondary (since caretaker there for last 10 years, always on premises); ensure pool exclusion on pol; add outbuilding exclusion if available;confirm debris/veh removed"/>
    <m/>
    <m/>
    <s v="Patterson"/>
    <m/>
    <m/>
    <n v="0"/>
  </r>
  <r>
    <x v="17"/>
    <s v="Burns"/>
    <s v="MI"/>
    <s v="Jeffrey"/>
    <s v="Email"/>
    <s v="Wyatt"/>
    <s v="Constance"/>
    <x v="6"/>
    <s v="Tahoe City"/>
    <x v="1"/>
    <m/>
    <x v="5"/>
    <x v="972"/>
    <x v="987"/>
    <s v="Rate"/>
    <s v="Attached is a COC located AT 3305 Dardanelles Ave Tahoe City, CA 96145.  Home is being built completed in 2018 of frame construction.  PC4 to provide alarm certs, and have stated no losses."/>
    <x v="3"/>
    <s v="You have approval to offer terms on this risk.  However, since it is not pulling a Risk Meter, you will need to treat it as if it is in brush. "/>
    <m/>
    <m/>
    <s v="Burdine"/>
    <m/>
    <m/>
    <n v="0"/>
  </r>
  <r>
    <x v="711"/>
    <s v="Burns"/>
    <s v="MI"/>
    <s v="Delta"/>
    <s v="Email"/>
    <s v="Quinn, Brian"/>
    <m/>
    <x v="21"/>
    <s v="Truckee"/>
    <x v="1"/>
    <m/>
    <x v="6"/>
    <x v="972"/>
    <x v="1076"/>
    <s v="TIV"/>
    <s v="Quoted last year. No changes. 1992 w/full alarms. 8 min response. No losses. "/>
    <x v="4"/>
    <s v="Advised approvals are good for 90 days."/>
    <m/>
    <m/>
    <s v="Patterson"/>
    <m/>
    <m/>
    <n v="0"/>
  </r>
  <r>
    <x v="749"/>
    <s v="Burns"/>
    <s v="MI"/>
    <s v="Jeffrey"/>
    <s v="Email"/>
    <s v="Quinn, Brian"/>
    <m/>
    <x v="21"/>
    <s v="Truckee CA PC9"/>
    <x v="3"/>
    <m/>
    <x v="0"/>
    <x v="972"/>
    <x v="1076"/>
    <s v="PC9/TIV"/>
    <s v="1992 in brush"/>
    <x v="4"/>
    <s v="Alarmed, good response time and paved roads. Issuing subj to brush clearance, wbs quest, ACV roof end."/>
    <m/>
    <m/>
    <s v="Patterson"/>
    <m/>
    <m/>
    <n v="0"/>
  </r>
  <r>
    <x v="58"/>
    <s v="SCU"/>
    <s v="CO"/>
    <s v="Allison"/>
    <s v="Email"/>
    <s v="Naylor, Mary"/>
    <m/>
    <x v="34"/>
    <s v="Denver"/>
    <x v="19"/>
    <m/>
    <x v="8"/>
    <x v="972"/>
    <x v="1084"/>
    <s v="Vacant w/damage"/>
    <s v="1896 home w/updates. Prior water loss and fire loss. Damage cleaned out but not repaired from fire. Dwelling up for sale as is. Special agency connection for our partner. Wants to offer DP1 ACV 3 month term no endorsements, 20% surcharge. Getting photos and fire marshall confirmation. Online search shows no suspicious concern w/fire."/>
    <x v="3"/>
    <s v="30% surcharge, fire marshall report, confirm condition w/photos. One 3 month term only. $10K AOP "/>
    <s v="Due to special agency connection (details in file) and additional rate, felt comfortable making the exception. Online, insd still shows licensed for assisted living."/>
    <m/>
    <s v="Patterson"/>
    <m/>
    <m/>
    <n v="0"/>
  </r>
  <r>
    <x v="543"/>
    <s v="Hull Irvine"/>
    <m/>
    <s v="Alex"/>
    <s v="Email"/>
    <m/>
    <m/>
    <x v="1"/>
    <m/>
    <x v="3"/>
    <m/>
    <x v="0"/>
    <x v="972"/>
    <x v="1158"/>
    <s v="Insured is GC"/>
    <s v="Alex wrote this and an excess liability policy and then it was disclosed the insured is their own GC.  1 year 'til completion. Insured is a contractor, hiring insured subs."/>
    <x v="1"/>
    <s v="Considered with X-liab and as is. Not comfortable. Excess carrier is cancelling too."/>
    <m/>
    <m/>
    <s v="Patterson"/>
    <m/>
    <m/>
    <n v="1"/>
  </r>
  <r>
    <x v="202"/>
    <s v="SCU"/>
    <s v="CO"/>
    <s v="Allison"/>
    <s v="Email"/>
    <s v="Boudreaux, Steve"/>
    <m/>
    <x v="21"/>
    <s v="Alma CO PC9"/>
    <x v="3"/>
    <m/>
    <x v="0"/>
    <x v="972"/>
    <x v="1158"/>
    <s v="TIV &gt; $5M PC9"/>
    <s v="2008 frame home. PC9 - FD is 5 miles away; 10-15 min response; accessible; visible."/>
    <x v="4"/>
    <s v="Online shows log but Allison says it is frame w/log veneer.  "/>
    <m/>
    <m/>
    <s v="Patterson"/>
    <m/>
    <m/>
    <n v="0"/>
  </r>
  <r>
    <x v="278"/>
    <s v="Hull CA"/>
    <s v="Irvine"/>
    <s v="Alex"/>
    <s v="Email"/>
    <s v="Jebef, Elizabeth"/>
    <m/>
    <x v="1"/>
    <s v="Topanga"/>
    <x v="1"/>
    <m/>
    <x v="5"/>
    <x v="972"/>
    <x v="1158"/>
    <s v="Prior loss"/>
    <s v="Insured has a prior total loss due to lightning - house burned to the ground. $1.1M loss. Occurred 7/18/15. They are just now rebuilding. Home was only a few years old. Rebuilding from ground up. $1.5M cov A. "/>
    <x v="0"/>
    <s v="Approved w/surcharge for loss and 2% premium surcharge - agent said we had room.//Per Alex 10/24, nothing touched since the claim occurred. To preserve slab, driveway and retaining walls, demolition is going to be by hand. No major equip. Then they will start rebuilding. Ok'd being on this as this is not the demo we typically see."/>
    <m/>
    <m/>
    <s v="Patterson"/>
    <m/>
    <m/>
    <n v="0"/>
  </r>
  <r>
    <x v="555"/>
    <s v="Hull Irvine"/>
    <m/>
    <s v="Alison"/>
    <s v="Email/Call"/>
    <s v="Parks, Michael"/>
    <m/>
    <x v="148"/>
    <s v="Encino"/>
    <x v="1"/>
    <m/>
    <x v="17"/>
    <x v="972"/>
    <x v="511"/>
    <s v="COC w/tenant"/>
    <s v="Unique situation - home is being renovated while it is tenant occupied. Agent confirmed this is the case. She was going to credit due to occupancy (vacant rate) but we decided since rate is pretty good, we would not apply a credit."/>
    <x v="1"/>
    <s v="No credit to rate.  1/25/17 found out insured will be acting as their own GC. Withdrew terms."/>
    <m/>
    <m/>
    <s v="Patterson"/>
    <m/>
    <m/>
    <n v="1"/>
  </r>
  <r>
    <x v="597"/>
    <s v="Burns"/>
    <s v="MI"/>
    <s v="Ben"/>
    <s v="Email"/>
    <s v="Felder Fam Trust"/>
    <m/>
    <x v="2"/>
    <s v="Oroville CA PC9"/>
    <x v="3"/>
    <m/>
    <x v="0"/>
    <x v="972"/>
    <x v="109"/>
    <s v="TIV&gt;$1.5M"/>
    <s v="1985 frame home. In brush. 85 acres. 7 minute response time from FD 3 miles away."/>
    <x v="4"/>
    <s v="Approved subj to verif that the home sits a reasonable distance off road and has an accessible driveway. Also adequate brush clearance."/>
    <m/>
    <m/>
    <s v="Patterson"/>
    <m/>
    <m/>
    <n v="0"/>
  </r>
  <r>
    <x v="492"/>
    <s v="Hull Irvine"/>
    <s v="CA"/>
    <s v="Alison"/>
    <s v="Email"/>
    <s v="Robertson"/>
    <s v="Glenn &amp; Barbara"/>
    <x v="2"/>
    <s v="Santa Barbara"/>
    <x v="1"/>
    <m/>
    <x v="2"/>
    <x v="972"/>
    <x v="1258"/>
    <s v="Losses"/>
    <s v="1880 YOC (per app) unknown if gut/reno since question on Lex app is not answered. Vacation rental that lapsed for non pay 10/17. Also, insd was having landscaping done and a worker fell in a poorly capped well. This is going under WC, not a liab loss. Insd is a divorce attorney - long established in the area. No adverse information. Google shows &quot;Williamson Web Development&quot; at this address."/>
    <x v="3"/>
    <s v="Confirm gut reno. Exclude liab as we don't know if there are other hazards or if this one is fixed. Lapse ok w/15% s/c. Investigate business. No adverse info online. Careless to let insurance lapse, but don't see this as a moral hazard. Has the means to maintain property. Very nice online photos."/>
    <m/>
    <m/>
    <s v="Patterson"/>
    <m/>
    <m/>
    <n v="0"/>
  </r>
  <r>
    <x v="492"/>
    <s v="Hull Irvine"/>
    <s v="CA"/>
    <s v="Bobbi"/>
    <s v="Email"/>
    <s v="Cohen"/>
    <s v="Faramarz &amp; Dalia"/>
    <x v="5"/>
    <s v="Beverly Hills"/>
    <x v="1"/>
    <m/>
    <x v="2"/>
    <x v="972"/>
    <x v="1365"/>
    <s v="TIV"/>
    <s v="2005 dwelling w/burglar alarm. Not in brush. Writing as vacant but will be tenant occupied soon. Very nice online photos. "/>
    <x v="4"/>
    <s v="Reviewed zip list, 90210 still under the $100M exception we allowed."/>
    <m/>
    <m/>
    <s v="Patterson"/>
    <m/>
    <m/>
    <n v="0"/>
  </r>
  <r>
    <x v="639"/>
    <s v="Burns"/>
    <s v="MI"/>
    <s v="Danielle"/>
    <s v="Email"/>
    <s v="Ware"/>
    <s v="Britt"/>
    <x v="0"/>
    <s v="Murrells Inlet"/>
    <x v="20"/>
    <m/>
    <x v="4"/>
    <x v="972"/>
    <x v="110"/>
    <s v="PC 10"/>
    <s v="Home was built in1994 and updated in 2017 of frame construction.  PC10 with local alarm and no losses."/>
    <x v="4"/>
    <s v="Photos, PCQ OK."/>
    <m/>
    <m/>
    <s v="Burdine"/>
    <m/>
    <m/>
    <n v="0"/>
  </r>
  <r>
    <x v="810"/>
    <s v="Hull Irvine"/>
    <s v="CA"/>
    <s v="Alex"/>
    <s v="Email"/>
    <s v="Izmirian"/>
    <m/>
    <x v="16"/>
    <s v="Mammoth Lakes"/>
    <x v="1"/>
    <m/>
    <x v="0"/>
    <x v="972"/>
    <x v="23"/>
    <s v="TIV"/>
    <s v="New risk that does not presently have alarms and TIV is just over $2M. Getting within 30 days. Agent proposing to quote with and without alarm credit and possibly proceed with issuing with credit if it is coming close to inception. $2500 AOP"/>
    <x v="4"/>
    <m/>
    <m/>
    <m/>
    <s v="Patterson"/>
    <m/>
    <m/>
    <n v="0"/>
  </r>
  <r>
    <x v="180"/>
    <s v="Hull Charlotte"/>
    <s v="NC"/>
    <s v="Kim"/>
    <s v="Email"/>
    <s v="Harris"/>
    <s v="Jason &amp; Jennifer"/>
    <x v="16"/>
    <s v="Wrightsville Beach"/>
    <x v="11"/>
    <m/>
    <x v="9"/>
    <x v="972"/>
    <x v="1217"/>
    <s v="Rate relief"/>
    <s v="2008 home. Renewal $10,382. Ironshore coming in at $9,404. Can we match?"/>
    <x v="0"/>
    <s v="Reviewed w/Bethany and she felt we were getting adequate rate to allow the match."/>
    <m/>
    <m/>
    <s v="Patterson"/>
    <m/>
    <m/>
    <n v="0"/>
  </r>
  <r>
    <x v="93"/>
    <s v="Quaker"/>
    <s v="MA"/>
    <s v="Austin"/>
    <s v="Email"/>
    <s v="McKenzie, Charles L"/>
    <m/>
    <x v="149"/>
    <s v="Cotuit"/>
    <x v="21"/>
    <m/>
    <x v="0"/>
    <x v="972"/>
    <x v="1218"/>
    <s v="TIV"/>
    <s v="Approved 5th renewal which is now slightly over their $2M TIV authority level."/>
    <x v="4"/>
    <m/>
    <m/>
    <m/>
    <s v="Patterson"/>
    <m/>
    <m/>
    <n v="0"/>
  </r>
  <r>
    <x v="790"/>
    <s v="Burns"/>
    <s v="MI"/>
    <s v="Jill"/>
    <s v="Email"/>
    <s v="ABACHERLI"/>
    <s v="Ronald &amp; Carolyn"/>
    <x v="0"/>
    <m/>
    <x v="1"/>
    <m/>
    <x v="4"/>
    <x v="972"/>
    <x v="1366"/>
    <s v="TIV/PC"/>
    <s v="Brush zone, no losses, primary home, frame construction, located in CA"/>
    <x v="4"/>
    <s v="RM, response time, inspection, OK"/>
    <m/>
    <m/>
    <s v="Burdine"/>
    <m/>
    <m/>
    <n v="0"/>
  </r>
  <r>
    <x v="814"/>
    <s v="Hull Horsham"/>
    <s v="PA"/>
    <s v="Nichole"/>
    <s v="Email"/>
    <s v="Glassberg"/>
    <s v="David"/>
    <x v="3"/>
    <s v="Nantucket"/>
    <x v="21"/>
    <m/>
    <x v="6"/>
    <x v="972"/>
    <x v="24"/>
    <s v="PC"/>
    <s v="HV Nantucket risk, central station alarms"/>
    <x v="3"/>
    <s v="review acceptable, subject to acceptable PCQ"/>
    <m/>
    <m/>
    <s v="Burdine"/>
    <m/>
    <m/>
    <n v="0"/>
  </r>
  <r>
    <x v="168"/>
    <s v="Hull Stockton"/>
    <s v="CA"/>
    <s v="Kirk"/>
    <s v="Email"/>
    <s v="Friedrich"/>
    <s v="Steven &amp; Carmon"/>
    <x v="0"/>
    <s v="Greenwood"/>
    <x v="1"/>
    <m/>
    <x v="6"/>
    <x v="972"/>
    <x v="24"/>
    <s v="TIV"/>
    <s v="2013 dwelling in brush, no alarms $5K ded. No online photos. Insured sued Marvel Comics for a character he says he created. No other adverse news."/>
    <x v="3"/>
    <s v="Alarm criteria - need alarms or incr ded."/>
    <m/>
    <m/>
    <s v="Patterson"/>
    <m/>
    <m/>
    <n v="0"/>
  </r>
  <r>
    <x v="127"/>
    <s v="Hull Irvine"/>
    <m/>
    <s v="Bobbi"/>
    <s v="Email"/>
    <s v="Nervo, Miriam"/>
    <m/>
    <x v="15"/>
    <s v="Los Angeles"/>
    <x v="1"/>
    <m/>
    <x v="0"/>
    <x v="972"/>
    <x v="1091"/>
    <s v="Nonrenewal"/>
    <s v="Lloyds is nonrenewing for losses.  Any questions? 1925 home updated owned by high profile EDM DJ pair. Leaking pipe loss and suit by prior tenant for them not fixing known electrical issue."/>
    <x v="1"/>
    <s v="Decline to  liability, physical damage, and morale hazards."/>
    <m/>
    <m/>
    <s v="Patterson"/>
    <m/>
    <m/>
    <n v="1"/>
  </r>
  <r>
    <x v="572"/>
    <s v="XS Brokers"/>
    <s v="MA"/>
    <s v="Barbara"/>
    <m/>
    <s v="Malik"/>
    <s v="Rahul"/>
    <x v="0"/>
    <s v="Sharon"/>
    <x v="21"/>
    <s v="02067"/>
    <x v="5"/>
    <x v="972"/>
    <x v="1043"/>
    <s v="Other UW Reason"/>
    <s v="Referred to us due to the flat roof. 2017 year built, very nice home. Two sections of the roof are flat, where it is finished almost like a deck where people can walk on it. There are doors that open up to these areas, so it appears to be built for the purpose of being able to walk on there. Appears to be sufficient water drainage. Remainder of risk looks very nice. "/>
    <x v="4"/>
    <s v="Approved with no further restrictions in place. Flat roofs can sometimes require further subjectivities, but since this was built 2017 and has no other visual concerns, no further requirements needed."/>
    <m/>
    <m/>
    <s v="Busse"/>
    <m/>
    <m/>
    <n v="0"/>
  </r>
  <r>
    <x v="406"/>
    <s v="Hull Irvine"/>
    <s v="CA"/>
    <s v="Gina"/>
    <s v="Email"/>
    <s v="Farrelle"/>
    <s v="Paul   "/>
    <x v="3"/>
    <s v="Santa Ynez"/>
    <x v="1"/>
    <m/>
    <x v="9"/>
    <x v="972"/>
    <x v="1248"/>
    <s v="Business on Premises"/>
    <s v="1969 dwelling not in brush, no update info. Nice online pics. Extensive horse buildings and fencing. Boarding up to 8 horses with 2 addl horses owned by the insured. AirBnb of 2 units, and 1 full time rental in addn to seasonal use."/>
    <x v="3"/>
    <s v="Numerous questions and subjectivities.  We can do this but there will be no liab and no covg for horse buildings. Feel this is not too much exposure.  Unless the PT therapy business I found via google pans out. BL: No business - prior owner. Homeowner cannot confirm updates, asked for roof exclusion, increased water deductible and AOP for lack of updates and age of home"/>
    <m/>
    <m/>
    <s v="Patterson"/>
    <m/>
    <m/>
    <n v="0"/>
  </r>
  <r>
    <x v="651"/>
    <s v="Burns"/>
    <s v="MI"/>
    <s v="Delta"/>
    <s v="Email"/>
    <s v="Hockin, John"/>
    <m/>
    <x v="0"/>
    <m/>
    <x v="1"/>
    <m/>
    <x v="4"/>
    <x v="972"/>
    <x v="1248"/>
    <s v="PC10/TIV"/>
    <s v="2008 frame home in brush, alarms, 10 min response. 11 min 6.1 mi confirmed via internet search. Per form, visible to neighbors, paid FD"/>
    <x v="3"/>
    <s v="Subj to brush clearance confirmation"/>
    <m/>
    <m/>
    <s v="Patterson"/>
    <m/>
    <m/>
    <n v="0"/>
  </r>
  <r>
    <x v="682"/>
    <s v="Hull Irvine"/>
    <s v="CA"/>
    <s v="Alison"/>
    <s v="Email"/>
    <s v="Shaprio"/>
    <s v="Adam"/>
    <x v="0"/>
    <m/>
    <x v="1"/>
    <m/>
    <x v="0"/>
    <x v="972"/>
    <x v="1267"/>
    <s v="TIV"/>
    <s v="Malibu rush, no brush"/>
    <x v="4"/>
    <s v="No brush, photos, online review OK"/>
    <m/>
    <m/>
    <s v="Burdine"/>
    <m/>
    <m/>
    <n v="0"/>
  </r>
  <r>
    <x v="285"/>
    <s v="Burns"/>
    <s v="MI"/>
    <s v="Danielle"/>
    <s v="Email"/>
    <s v="Troesh, Dennis"/>
    <m/>
    <x v="21"/>
    <s v="Deer Lodge"/>
    <x v="50"/>
    <m/>
    <x v="4"/>
    <x v="972"/>
    <x v="1267"/>
    <s v="TIV"/>
    <s v="2007 home fully alarmed. PC10 but only 5-10 min response, accessible. Online indicates farm/ranch property but app says no animals. "/>
    <x v="3"/>
    <s v="Approved, mentioned to verify no animals."/>
    <m/>
    <m/>
    <s v="Patterson"/>
    <m/>
    <m/>
    <n v="0"/>
  </r>
  <r>
    <x v="634"/>
    <s v="Burns"/>
    <s v="MI"/>
    <s v="Rachel"/>
    <m/>
    <s v="Valner"/>
    <s v="Alberto"/>
    <x v="4"/>
    <s v="Whitefish"/>
    <x v="50"/>
    <s v="59937"/>
    <x v="4"/>
    <x v="972"/>
    <x v="1367"/>
    <s v="PC"/>
    <s v="Home has 20 minute response time.  Frame home built in 1995. Central smoke and burglar alarm. "/>
    <x v="4"/>
    <s v="Within site of multiple neighbors and on the water.  Responding fire department had 3 pumpers and ample access to water.  Caretaker  lived in town and checked on property regularly.  Approved with 20% surcharge."/>
    <m/>
    <m/>
    <s v="Jeff"/>
    <m/>
    <m/>
    <n v="0"/>
  </r>
  <r>
    <x v="161"/>
    <s v="Hull Stockton"/>
    <s v="CA"/>
    <s v="Lisa"/>
    <s v="Email"/>
    <s v="Theurer"/>
    <s v="Gerd &amp; Laurie"/>
    <x v="25"/>
    <s v="Big Bear"/>
    <x v="1"/>
    <m/>
    <x v="4"/>
    <x v="972"/>
    <x v="1316"/>
    <s v="TIV"/>
    <s v="2007 ranch with multiple buildings rented out for weddings, etc per website. VRBO says guests can bring their own horses and use the stable. Risk presented as a secondary vacation rental with 2 structures and a barn for storage. Google search shows 20 min response time. Not in brush."/>
    <x v="1"/>
    <s v="Needs a ranch or commercial policy. Response time not eligible."/>
    <m/>
    <n v="47"/>
    <s v="Patterson"/>
    <m/>
    <m/>
    <n v="1"/>
  </r>
  <r>
    <x v="517"/>
    <s v="SCU"/>
    <s v="CO"/>
    <s v="Allison"/>
    <s v="Email"/>
    <s v="Laura Tomasvewski"/>
    <s v="Rodney Dunlap"/>
    <x v="4"/>
    <s v="Fairplay"/>
    <x v="19"/>
    <m/>
    <x v="6"/>
    <x v="972"/>
    <x v="25"/>
    <s v="PC"/>
    <s v="secondary, CSFB alarm, PC 9, log, secondary, low temp alarm, $50K water backup"/>
    <x v="4"/>
    <s v="premium, review acceptable"/>
    <m/>
    <m/>
    <s v="Burdine"/>
    <m/>
    <m/>
    <n v="0"/>
  </r>
  <r>
    <x v="414"/>
    <s v="Burns"/>
    <s v="MI"/>
    <s v="Benjamin"/>
    <s v="Email"/>
    <s v="Malakan, Nader"/>
    <m/>
    <x v="133"/>
    <s v="Clovis, CA PC 10"/>
    <x v="3"/>
    <m/>
    <x v="0"/>
    <x v="972"/>
    <x v="1368"/>
    <s v="PC 10"/>
    <s v="PC 10, 2016 build, 10 min response time (5.1 miles from FD), tanker trucks, water tank on site, easily accessible and visible, no brush, central alarms"/>
    <x v="4"/>
    <s v="Approved based on risk details, premium is appropriate for risk"/>
    <m/>
    <m/>
    <s v="K.Burdine"/>
    <m/>
    <m/>
    <n v="0"/>
  </r>
  <r>
    <x v="65"/>
    <s v="SCU"/>
    <s v="CO"/>
    <s v="Ashley"/>
    <s v="Email"/>
    <s v="Garland, Chris"/>
    <m/>
    <x v="0"/>
    <s v="Elizabeth"/>
    <x v="19"/>
    <m/>
    <x v="19"/>
    <x v="972"/>
    <x v="1369"/>
    <s v="Bankruptcy in 2014"/>
    <s v="2002 frame home w/corrug metal roof. Insd had bankruptcy in 2014 (says due to divorce) Ins score is on the lower side. 1.10 surcharge. FD 5.6 miles away. 1 mi of dirt road, 26 acres. 15 min response time noted. It is all of that."/>
    <x v="1"/>
    <s v="Decline due to recent bankruptcy and high value. "/>
    <m/>
    <m/>
    <s v="Patterson"/>
    <m/>
    <m/>
    <n v="1"/>
  </r>
  <r>
    <x v="766"/>
    <s v="Burns"/>
    <s v="MI"/>
    <s v="Jeff"/>
    <s v="Email"/>
    <s v="Poppert"/>
    <s v="Tyler"/>
    <x v="6"/>
    <s v="Guatay"/>
    <x v="1"/>
    <m/>
    <x v="0"/>
    <x v="972"/>
    <x v="1369"/>
    <s v="TIV"/>
    <s v="2017 new build in brush with 3 months of renovation left - mostly cosmetic interior. $10K ded. $4589 for 3 mo pol ($18K+ annually). N side is only 135' cleared. App indicates lapse. "/>
    <x v="2"/>
    <s v="How long has coverage been lapsed?  Has this been insured as a builders risk or uninsured?  Why did coverage lapse?  Any reason a previous builders risk carrier did not continue coverage?  Subj to possible surcharge based on answers and 150' brush clearance."/>
    <s v="9/6 purposely uninsured (??) Running insurance score.//Score okay. Some small med liens and tax liens that go back a few years. Apply 15% surcharge and brush clearance."/>
    <n v="39"/>
    <s v="Patterson"/>
    <m/>
    <m/>
    <n v="0"/>
  </r>
  <r>
    <x v="298"/>
    <s v="Burns"/>
    <s v="MI"/>
    <s v="Delta"/>
    <s v="Email"/>
    <s v="Thames, Byron; Fisher, Trish"/>
    <m/>
    <x v="0"/>
    <s v="Los Angeles"/>
    <x v="1"/>
    <m/>
    <x v="8"/>
    <x v="972"/>
    <x v="1369"/>
    <s v="High profile"/>
    <s v="1991 home in brush with full alarms. Mr. is actor/film editor. Mrs. Is actress. She has been in some recent TV. Mother is actress Connie Stevens, father is singer Eddie Fisher, sister is Carrie Fisher (Star Wars). "/>
    <x v="3"/>
    <s v="Approved property only, X-Liability. Bordering &quot;too famous&quot; esp due to family connections.//12/19/16 agent asked for reconsideration - reviewed w/Jeff and we agreed we could write liability. "/>
    <m/>
    <m/>
    <s v="Patterson"/>
    <m/>
    <m/>
    <n v="0"/>
  </r>
  <r>
    <x v="627"/>
    <s v="Hull Stockton"/>
    <s v="CA"/>
    <s v="Kirk"/>
    <s v="Email"/>
    <s v="Hayes"/>
    <s v="Mike"/>
    <x v="0"/>
    <s v="Nevada City"/>
    <x v="1"/>
    <m/>
    <x v="13"/>
    <x v="972"/>
    <x v="1270"/>
    <s v="PC"/>
    <s v="Split Pc, 1981 build, no losses"/>
    <x v="4"/>
    <s v="RM,photos, etc, OK"/>
    <m/>
    <m/>
    <s v="Burdine"/>
    <m/>
    <m/>
    <n v="0"/>
  </r>
  <r>
    <x v="558"/>
    <s v="Burns"/>
    <s v="MI"/>
    <s v="Delta"/>
    <s v="Email"/>
    <s v="Orabi, Ahmad"/>
    <m/>
    <x v="0"/>
    <s v="Lake Forest"/>
    <x v="1"/>
    <m/>
    <x v="9"/>
    <x v="972"/>
    <x v="1270"/>
    <s v="No Risk Meter"/>
    <s v="Address too new to get RiskMeter. Ran neighboring address which shows a dwelling online and still couldn't get. 2017 frame home w/ alarms. "/>
    <x v="4"/>
    <s v="I ran FireLine which produced a zip result showing low brush hazard."/>
    <m/>
    <m/>
    <s v="Patterson"/>
    <m/>
    <m/>
    <n v="0"/>
  </r>
  <r>
    <x v="195"/>
    <s v="Hull CA"/>
    <s v="Irvine"/>
    <s v="Alison"/>
    <s v="Email/Call"/>
    <s v="Chopra, Uday"/>
    <m/>
    <x v="0"/>
    <s v="Los Angeles CA PC 5"/>
    <x v="3"/>
    <m/>
    <x v="0"/>
    <x v="972"/>
    <x v="1270"/>
    <s v="High profile"/>
    <s v="Insd is a Bollywood actor and producer. Home titled in Inc. Pol will be in insured name w/Inc as AI. Stable insd per internet search. Very nice home. "/>
    <x v="4"/>
    <s v="Inc formed for property ownership only. Reviewed w/Jeff via phone 5pm. He isn't concerned as much w/occ. One of Hull's good agents."/>
    <s v="Per Alison 1/12/16, we wrote this one!"/>
    <m/>
    <s v="Patterson"/>
    <m/>
    <m/>
    <n v="0"/>
  </r>
  <r>
    <x v="267"/>
    <s v="Hull CA"/>
    <s v="Irvine"/>
    <s v="Alison"/>
    <s v="Email"/>
    <s v="Wood, Jimmie"/>
    <m/>
    <x v="0"/>
    <s v="Beverly Hills"/>
    <x v="1"/>
    <m/>
    <x v="5"/>
    <x v="972"/>
    <x v="1270"/>
    <s v="High profile"/>
    <s v="1987 home, nice online photos. In Renie fire zone. Alarms, sprinklers. Insured is musician, most famous a number of years ago per online imdb."/>
    <x v="4"/>
    <m/>
    <m/>
    <m/>
    <s v="Patterson"/>
    <m/>
    <m/>
    <n v="0"/>
  </r>
  <r>
    <x v="575"/>
    <s v="Burns"/>
    <s v="MI"/>
    <s v="Alexa"/>
    <m/>
    <s v="Aldrich"/>
    <s v="Roger &amp; Judy"/>
    <x v="4"/>
    <s v="Sitka"/>
    <x v="63"/>
    <s v="99515"/>
    <x v="4"/>
    <x v="972"/>
    <x v="1370"/>
    <s v="PC"/>
    <s v="2017 secondary used by 2 families. (No prior coverage listed. No indication of new purchase.)  Home is on an island. Response time by paid &amp; volunteer FD varies based on tide and weather conditions. Serviced by 1 boat w/pumper. Agt quoted with .38 rate."/>
    <x v="1"/>
    <s v="Due to having to take a boat and response time affected by tide/weather, assume this may be inaccessible at times. Higher value is a concern. We have used .60-.90 rate for some PC10, but don't feel comfortable with this at any price."/>
    <m/>
    <m/>
    <s v="Patterson"/>
    <m/>
    <m/>
    <n v="1"/>
  </r>
  <r>
    <x v="815"/>
    <s v="Burns"/>
    <s v="MI"/>
    <s v="Jeffrey"/>
    <s v="Email"/>
    <s v="Bowman, William"/>
    <m/>
    <x v="0"/>
    <s v="New Orleans LA PC1"/>
    <x v="3"/>
    <m/>
    <x v="0"/>
    <x v="972"/>
    <x v="1370"/>
    <s v="Age 1870"/>
    <s v="Updated in 06; roof 12. 3% wind/hail $10k aop"/>
    <x v="4"/>
    <s v="What is the extent of remodeling? Per Jeff, total gut and remodel"/>
    <m/>
    <m/>
    <s v="Patterson"/>
    <m/>
    <m/>
    <n v="0"/>
  </r>
  <r>
    <x v="422"/>
    <s v="Burns"/>
    <s v="MI"/>
    <s v="Sarah"/>
    <m/>
    <s v="Hale"/>
    <s v="Karen"/>
    <x v="0"/>
    <s v="Studio City"/>
    <x v="1"/>
    <s v="91604"/>
    <x v="11"/>
    <x v="972"/>
    <x v="1299"/>
    <s v="High Profile"/>
    <s v="1948 home with all updates done in 2015. Applicant is an actress, most known for role on Pretty Little Liars. CS alarms, gated and fenced property. WRS 31"/>
    <x v="4"/>
    <s v="Looks to be a really nice home. No adverse information found about applicant. Asked for 50% ERC, approved subject to lowering ERC to 25%. "/>
    <m/>
    <m/>
    <s v="Busse"/>
    <m/>
    <m/>
    <n v="0"/>
  </r>
  <r>
    <x v="275"/>
    <s v="SCU"/>
    <s v="CO"/>
    <s v="Allison"/>
    <s v="Email"/>
    <s v="Yolles, Richard"/>
    <m/>
    <x v="0"/>
    <s v="Denver "/>
    <x v="19"/>
    <m/>
    <x v="8"/>
    <x v="972"/>
    <x v="1299"/>
    <s v="Prior losses"/>
    <s v="1990 home updated and repaired after 2 hail losses. Also had scheduled jewelry loss. Mys dis."/>
    <x v="3"/>
    <s v="Approved subject to $15K ded per discussion with Jeff. No schedule."/>
    <m/>
    <m/>
    <s v="Patterson"/>
    <m/>
    <m/>
    <n v="0"/>
  </r>
  <r>
    <x v="538"/>
    <s v="SCU"/>
    <s v="CA"/>
    <s v="Allison"/>
    <s v="Email"/>
    <s v="Liang"/>
    <s v="John"/>
    <x v="0"/>
    <m/>
    <x v="1"/>
    <m/>
    <x v="9"/>
    <x v="972"/>
    <x v="1371"/>
    <s v="TIV"/>
    <s v="close to a brush zone, but is still in the city neighborhoods, and over 300 feet clearance.  The agent hasn’t advised of CSFB alarms.  "/>
    <x v="3"/>
    <s v="Approved with $10K AOP"/>
    <m/>
    <m/>
    <s v="Burdine"/>
    <m/>
    <m/>
    <n v="0"/>
  </r>
  <r>
    <x v="246"/>
    <s v="Burns"/>
    <s v="MI"/>
    <s v="Leslie"/>
    <s v="Email"/>
    <s v="Wong, Gary"/>
    <m/>
    <x v="0"/>
    <s v="Westlake Village CA PC 9"/>
    <x v="3"/>
    <m/>
    <x v="0"/>
    <x v="972"/>
    <x v="1372"/>
    <s v="TIV&gt;$3M"/>
    <s v="2016 new home in high brush. CS alarms. No online photos. Aerial shows under construction. App not complete. PC Quest says &quot;yes&quot; subject to washout."/>
    <x v="3"/>
    <s v="Approved subject to completed and acceptable app, if washout &quot;yes&quot; is a mistake, okay. If it is subject to washout, need more information."/>
    <m/>
    <m/>
    <s v="Patterson"/>
    <m/>
    <m/>
    <n v="0"/>
  </r>
  <r>
    <x v="391"/>
    <s v="SCU"/>
    <s v="CO"/>
    <s v="Allison"/>
    <s v="Email"/>
    <s v="Kopun"/>
    <s v="Lynne"/>
    <x v="0"/>
    <s v="Pasadena"/>
    <x v="1"/>
    <m/>
    <x v="9"/>
    <x v="972"/>
    <x v="1373"/>
    <s v="TIV"/>
    <s v="1949 home, very nice per online pics. Updates in 1988, but agent thinks metal roof was updated more recently. Has alarms. "/>
    <x v="3"/>
    <s v="Asked for cosmetic roof and ACV roof until condition/age could be confirmed, then could remove ACV roof. Gave info on brush clearance."/>
    <m/>
    <m/>
    <s v="Patterson"/>
    <m/>
    <m/>
    <n v="0"/>
  </r>
  <r>
    <x v="8"/>
    <s v="Burns"/>
    <s v="MI"/>
    <s v="Nicole"/>
    <m/>
    <s v="Blaha"/>
    <s v="Robert"/>
    <x v="0"/>
    <s v="Colorado Springs"/>
    <x v="19"/>
    <s v="80921"/>
    <x v="6"/>
    <x v="972"/>
    <x v="1374"/>
    <s v="PC"/>
    <s v="Stucco home built in 1994 with partial plumbing updates in 2016 and a full roof in 2014. There are CS fire and burglar alarms. Two water losses ($10k in 2016 and $1641 in 2018). Insured ran for office in 2016 and did not win. Not a hugely popular name. Ran Trump campaign for state in 2016."/>
    <x v="1"/>
    <s v="The home is very high value with a PC 9. After reviewing the satellite image it appears the home is set back and dirt roads lead to the home. I am not concerned about the public nature of his political aspirations."/>
    <s v="Insurance score is A"/>
    <m/>
    <s v="Lazovik"/>
    <m/>
    <m/>
    <n v="1"/>
  </r>
  <r>
    <x v="224"/>
    <s v="Hull CA"/>
    <s v="Stockton"/>
    <s v="Lisa"/>
    <s v="Call"/>
    <s v="Severn, Brian"/>
    <m/>
    <x v="0"/>
    <s v="Danville VA PC2"/>
    <x v="3"/>
    <m/>
    <x v="0"/>
    <x v="973"/>
    <x v="1329"/>
    <s v="Rate reduction"/>
    <s v="2016 home with alarm. Lloyds $4360. We are at $6059 (30% difference). Agent wants to know if we can reduce our rate."/>
    <x v="3"/>
    <s v="Referred to Jeff who had me run insurance scores - Very good scores. We agreed to match Lloyds premium, considering that we have mold and they don't."/>
    <m/>
    <m/>
    <m/>
    <m/>
    <m/>
    <n v="0"/>
  </r>
  <r>
    <x v="73"/>
    <s v="Burns"/>
    <s v="MI"/>
    <s v="Leslie"/>
    <s v="Email"/>
    <s v="Wesselink, Stephen"/>
    <m/>
    <x v="2"/>
    <s v="Murrieta"/>
    <x v="1"/>
    <m/>
    <x v="5"/>
    <x v="974"/>
    <x v="1375"/>
    <s v="TIV"/>
    <s v="2007 rental on 10 acres. Mobile home and storage facility w/separate address."/>
    <x v="4"/>
    <m/>
    <m/>
    <m/>
    <s v="Patterson"/>
    <m/>
    <m/>
    <n v="0"/>
  </r>
  <r>
    <x v="319"/>
    <s v="Hull Horsham"/>
    <s v="PA"/>
    <s v="Nichole"/>
    <s v="Email"/>
    <s v="Ronald J. &amp; Alyce K. Ostrow Trust"/>
    <s v="Ronald J. &amp; Alyce K. Ostrow Trust"/>
    <x v="4"/>
    <s v="Vineyard Haven"/>
    <x v="21"/>
    <m/>
    <x v="6"/>
    <x v="975"/>
    <x v="1376"/>
    <s v="PC"/>
    <s v="Secondary home, no losses, PC 9, rater attached"/>
    <x v="3"/>
    <s v="acceptable PCQ, subject to: Properties greater than $2M TIV are required to have a central station fire and central station burglar alarm.  A full house sprinkler is acceptable in lieu of a fire alarm.  If no central station fire alarm or sprinkler, increase AOP deductible to a minimum of $10,000.  If no central station burglar alarm, increase theft deductible to a minimum of $10,000."/>
    <m/>
    <m/>
    <s v="Burdine"/>
    <m/>
    <m/>
    <n v="0"/>
  </r>
  <r>
    <x v="678"/>
    <s v="Hull Irvine"/>
    <s v="CA"/>
    <s v="Alison"/>
    <s v="Email"/>
    <s v="Scott"/>
    <s v="James Lennox"/>
    <x v="0"/>
    <s v="Malibu"/>
    <x v="1"/>
    <m/>
    <x v="0"/>
    <x v="976"/>
    <x v="1377"/>
    <s v="TIV"/>
    <s v="Malibu home-low brush"/>
    <x v="4"/>
    <s v="Discussed with MP. Agreed this property is worthy of TIV cap exception"/>
    <m/>
    <m/>
    <s v="Burdine"/>
    <m/>
    <m/>
    <n v="0"/>
  </r>
  <r>
    <x v="630"/>
    <s v="Burns"/>
    <s v="MI"/>
    <s v="Benjamin"/>
    <s v="Email"/>
    <s v="Rusch, Thomas"/>
    <m/>
    <x v="16"/>
    <s v="Osh Kosh"/>
    <x v="12"/>
    <m/>
    <x v="2"/>
    <x v="977"/>
    <x v="1378"/>
    <s v="TIV"/>
    <s v="built in 2000 of frame construction.  HO-3 / PC5 with alarms and no losses within last three years. Had a large claim 4 years ago."/>
    <x v="3"/>
    <s v="approved subj to Cov A confirmation (per provided inspection, Cov A $3.1 million); loss was a $195K hail loss (Copper roof)-agt surcharged 211%. UW suggested cosmestic endorsement if agt can sell, but won't require since surcharged. Requested re-refer if cov a in fact $3.1 mil to review TIV again"/>
    <s v="Ben confirmed that original provided Cov A was incorrect, and TIV should be $4.7. Approval granted"/>
    <m/>
    <s v="Burdine"/>
    <m/>
    <m/>
    <n v="0"/>
  </r>
  <r>
    <x v="334"/>
    <s v="Hull Irvine"/>
    <s v="CA"/>
    <s v="Alison"/>
    <s v="Email"/>
    <s v="Magnacca"/>
    <s v="Joseph"/>
    <x v="0"/>
    <s v="Malibu"/>
    <x v="1"/>
    <m/>
    <x v="5"/>
    <x v="978"/>
    <x v="1379"/>
    <s v="TIV"/>
    <s v="Coastal home, https://www.redfin.com/CA/Malibu/19214-Pacific-Coast-Hwy-90265/home/6852225"/>
    <x v="1"/>
    <s v="Right next to very high brush zone"/>
    <m/>
    <m/>
    <s v="Burdine"/>
    <m/>
    <m/>
    <n v="1"/>
  </r>
  <r>
    <x v="484"/>
    <s v="Hull CO"/>
    <s v="NJ"/>
    <s v="Lisa"/>
    <s v="Email"/>
    <s v="Willow Pond Farm"/>
    <m/>
    <x v="0"/>
    <s v="Gillette NJ PC3"/>
    <x v="3"/>
    <m/>
    <x v="0"/>
    <x v="979"/>
    <x v="1380"/>
    <s v="Coml Exposure"/>
    <s v="1985 home; roof updated in 2014. 1.5 acres FD 2 miles away. Equestrian camp and school on property w/multiple outbuildings &amp; horses. Coml writing everything but dwelling and pool. Business, animal, farm exclusions."/>
    <x v="4"/>
    <s v="Reviewed online business. Asked agt to confirm it is owner Brigid who is occupying home. Only exposure is damage to home/contents."/>
    <m/>
    <m/>
    <s v="Patterson"/>
    <m/>
    <m/>
    <n v="0"/>
  </r>
  <r>
    <x v="311"/>
    <s v="Burns"/>
    <m/>
    <s v="Leslie"/>
    <s v="Email"/>
    <s v="Mushtaq, Ahmed"/>
    <m/>
    <x v="8"/>
    <m/>
    <x v="3"/>
    <m/>
    <x v="0"/>
    <x v="980"/>
    <x v="1381"/>
    <s v="TIV, water loss"/>
    <s v="PC2, nothing out of the ordinary besides loss and TIV. "/>
    <x v="3"/>
    <s v="Requiring $10k water ded in year one, if no losses they can decrease to AOP."/>
    <m/>
    <m/>
    <s v="Trott"/>
    <m/>
    <m/>
    <n v="0"/>
  </r>
  <r>
    <x v="401"/>
    <s v="Hull Stockton"/>
    <s v="CA"/>
    <s v="Lisa"/>
    <s v="Email"/>
    <s v="Topham"/>
    <s v="Steven &amp; Teresa"/>
    <x v="0"/>
    <s v="Santa Cruz"/>
    <x v="1"/>
    <m/>
    <x v="8"/>
    <x v="981"/>
    <x v="1382"/>
    <s v="TIV"/>
    <s v="No brush, $10K ded, 2002 build, no losses, no alarms"/>
    <x v="4"/>
    <s v="Confirmed can lower ded if alarms present"/>
    <m/>
    <m/>
    <s v="Burdine"/>
    <m/>
    <m/>
    <n v="0"/>
  </r>
  <r>
    <x v="634"/>
    <s v="Hull Horsham"/>
    <s v="PA"/>
    <s v="Andrea"/>
    <m/>
    <s v="Adams"/>
    <s v="Helen"/>
    <x v="3"/>
    <s v="Kennebunkport"/>
    <x v="6"/>
    <s v="04046"/>
    <x v="11"/>
    <x v="982"/>
    <x v="1383"/>
    <s v="TIV"/>
    <s v="Home built in 1890. Frame home. Wiring updated in 1980's. Plumbing updated. Roof updated in 2011. Heat is done with a monitor heater fueled by oil. There is no thermostat."/>
    <x v="1"/>
    <s v="Home is not centrally heated and does not have a thermostat. As the home is in Kennebunkport ME, freezing is a concern. Also, the inspection looks more like the home is currently vacant and not rented."/>
    <m/>
    <m/>
    <s v="Lazovik"/>
    <m/>
    <m/>
    <n v="1"/>
  </r>
  <r>
    <x v="473"/>
    <s v="Hull Irvine"/>
    <s v="CA"/>
    <s v="Luke"/>
    <s v="Email"/>
    <s v="Hughes"/>
    <s v="Jeremy"/>
    <x v="7"/>
    <s v="Beverly Hills "/>
    <x v="1"/>
    <m/>
    <x v="8"/>
    <x v="983"/>
    <x v="1161"/>
    <s v="TIV"/>
    <s v="1961 dwellingw/updates. App notes primary and also rental. Online photos look good. Notes composition roof, but possible flat roof per photos. Was with AIG, they nonrenewed.  Not in brush, under $3M TIV."/>
    <x v="4"/>
    <s v="This is within Hull's authority to approve - advised Luke."/>
    <m/>
    <m/>
    <s v="Patterson"/>
    <m/>
    <m/>
    <n v="0"/>
  </r>
  <r>
    <x v="580"/>
    <s v="Burns"/>
    <s v="MI"/>
    <s v="Jill"/>
    <m/>
    <s v="Meinhardt"/>
    <s v="Rebecca &amp; Mark"/>
    <x v="0"/>
    <s v="Hartford"/>
    <x v="12"/>
    <s v="53027"/>
    <x v="4"/>
    <x v="984"/>
    <x v="1384"/>
    <s v="TIV"/>
    <s v="1999 home w/original wood shake roof. Partner excluding the roof. PC10=5.3 mi to responding FD part paid."/>
    <x v="4"/>
    <s v="Confirmed 11 min drive time-part paid FD=response time &lt;15."/>
    <s v="Ins score I"/>
    <m/>
    <s v="Patterson"/>
    <m/>
    <m/>
    <n v="0"/>
  </r>
  <r>
    <x v="192"/>
    <s v="Burns"/>
    <s v="MI"/>
    <s v="Ben"/>
    <s v="Email"/>
    <s v="Huntley, Douglas"/>
    <m/>
    <x v="0"/>
    <s v="Greenwood IN PC9"/>
    <x v="3"/>
    <m/>
    <x v="0"/>
    <x v="985"/>
    <x v="1385"/>
    <s v="TIV&gt;1.5M/prior claims"/>
    <s v="2004 home out in the flat, open farmlands of Indiana. Insd has history of wind losses - 3 larges ones, although 1 is rolled off. Also a lightning loss."/>
    <x v="1"/>
    <s v="Declined due to history of wind loss. We can't do X-wind.  Not a ded large enough for these claims. S/C won't cut it. Can't exclude roof - don't know if that was the issue; nor will it help with large wind events."/>
    <m/>
    <m/>
    <s v="Patterson"/>
    <m/>
    <m/>
    <n v="1"/>
  </r>
  <r>
    <x v="294"/>
    <s v="Burns"/>
    <s v="MI"/>
    <s v="Ben"/>
    <s v="Email"/>
    <s v="Gavin, Martin"/>
    <m/>
    <x v="112"/>
    <s v="North Fork"/>
    <x v="1"/>
    <m/>
    <x v="6"/>
    <x v="986"/>
    <x v="1386"/>
    <s v="TIV"/>
    <s v="1995 home w/partial updates. In brush. FD is 4.1 miles away. 15 min response. (9 min drive time per google). Accessible &amp; visible. Online photos show nearby brush and woodburning stove."/>
    <x v="3"/>
    <s v="Approved subj to completed and acceptable WBS quest and 150' brush clearance."/>
    <s v="Granted renewal approval 11/14/2017"/>
    <m/>
    <s v="Patterson"/>
    <m/>
    <m/>
    <n v="0"/>
  </r>
  <r>
    <x v="701"/>
    <s v="Burns"/>
    <s v="MI"/>
    <s v="Danielle"/>
    <s v="Email"/>
    <s v="Hsu, Dolores"/>
    <m/>
    <x v="2"/>
    <s v="Santa Barbara"/>
    <x v="1"/>
    <m/>
    <x v="35"/>
    <x v="987"/>
    <x v="1387"/>
    <s v="TIV"/>
    <s v="1926 home fully gutted in 2017. No PC info or brush info. Googled FD. There are several nearby, appx. 1 mi away. PC should be okay."/>
    <x v="3"/>
    <s v="If in brush, rate for it and verify 150' clearance."/>
    <m/>
    <m/>
    <s v="Patterson"/>
    <m/>
    <m/>
    <n v="0"/>
  </r>
  <r>
    <x v="520"/>
    <s v="Burns"/>
    <s v="MI"/>
    <s v="Jill"/>
    <s v="Email"/>
    <s v="Ellsworth"/>
    <s v="Tony"/>
    <x v="150"/>
    <s v="Ramona"/>
    <x v="1"/>
    <m/>
    <x v="4"/>
    <x v="988"/>
    <x v="1388"/>
    <s v="TIV"/>
    <s v="2000 dwelling not in brush. 13 min drive time. FD is 6.9 miles away. Inspection and photos provided."/>
    <x v="3"/>
    <s v="Found a couple of issues w/the inspection that inspector didn't address - open breaker slots. Chicken coup. Inspector noted bridge needs railing - confirming it is repaired. App is mostly blank."/>
    <m/>
    <m/>
    <s v="Patterson"/>
    <m/>
    <m/>
    <n v="0"/>
  </r>
  <r>
    <x v="496"/>
    <s v="Burns"/>
    <s v="MI"/>
    <s v="Rachel"/>
    <m/>
    <s v="Sellers"/>
    <s v="Mark &amp; Mary"/>
    <x v="1"/>
    <s v="Nashotah"/>
    <x v="33"/>
    <s v="53058"/>
    <x v="18"/>
    <x v="989"/>
    <x v="987"/>
    <s v="Builders Risk"/>
    <s v="2001 year built. Applicant is co-contractor, agent wants to provide liability. Provided prior carrier inspection, builders risk supp, and app. Inspection doesn’t show much of what is being done. Supp doesn’t mention what qualifications insured has to be co-contractor. "/>
    <x v="0"/>
    <s v="Advised we would need to know what qualifications applicant has to be co-contractor. Also asked what is being done since photos in inspection didn’t show anything. Also advised that if we do move forward with an approval it would be with excluding liability due to insured being co-contractor. UPDATE 3/26/2019: Agent came back advising applicant used to do this as a business with Cresthaven homes, has done about 150 homes. Stated they were able to extend liability through homeowners. New flooring, cabinets, paint, railings, and a kitchen and master bath remodel. Approved terms subject to excluding liability. "/>
    <m/>
    <m/>
    <s v="Busse"/>
    <m/>
    <m/>
    <n v="0"/>
  </r>
  <r>
    <x v="286"/>
    <s v="Hull CA"/>
    <s v="Irvine"/>
    <s v="Ariel"/>
    <s v="Email"/>
    <s v="Maynard, Jason"/>
    <m/>
    <x v="0"/>
    <s v="San Mateo "/>
    <x v="1"/>
    <m/>
    <x v="0"/>
    <x v="989"/>
    <x v="1299"/>
    <s v="$100K Animal Liab"/>
    <s v="Agent asking for exception to include $100K animal liab to meet umbrella requirements. Has 2 non-aggressive dogs w/no bite history. Reviewed breeds online. Good agent."/>
    <x v="4"/>
    <s v="Asked Jeff for AP."/>
    <m/>
    <m/>
    <s v="Patterson"/>
    <m/>
    <m/>
    <n v="0"/>
  </r>
  <r>
    <x v="123"/>
    <s v="Burns"/>
    <s v="MI"/>
    <s v="Leslie"/>
    <s v="Email"/>
    <s v="Wagner, Eric"/>
    <m/>
    <x v="0"/>
    <s v="Grass Valley"/>
    <x v="1"/>
    <m/>
    <x v="6"/>
    <x v="989"/>
    <x v="290"/>
    <s v="15% credit"/>
    <s v="1994 home w/roof updated in 2010. On 8 acres. PC9. FD 2.5 miles away. Volunteer and paid both. 8 min response time. In brush zone. Has woodburning stove. Agent wants to apply 15% credit to meet competitor."/>
    <x v="3"/>
    <s v="Risk is acceptable with WBS quest. However since PC9 and in brush, we cannot approve any credit."/>
    <s v="Sent cc to Danielle."/>
    <m/>
    <s v="Patterson"/>
    <m/>
    <m/>
    <n v="0"/>
  </r>
  <r>
    <x v="94"/>
    <s v="Burns"/>
    <s v="MI"/>
    <s v="Leslie"/>
    <s v="Email"/>
    <s v="Dill, Brent"/>
    <m/>
    <x v="98"/>
    <s v="La Quinta"/>
    <x v="1"/>
    <m/>
    <x v="0"/>
    <x v="989"/>
    <x v="1389"/>
    <s v="TIV"/>
    <s v="2006 home rented 9-20 weeks. Nice online photos. "/>
    <x v="3"/>
    <s v="• You rated seasonal w/9-20 weeks rental, correct?_x000a_• Online photos show some pretty elaborate horse barn, fencing, and dressage areas on this property. _x000a_http://www.realtor.com/realestateandhomes-detail/55075-Monroe-St_La-Quinta_CA_92253_M21838-31879#photo41_x000a_• Is Cov B adequate?_x000a_• Does the insured have horses?_x000a_• Any breeding, boarding, training, riding lessons?_x000a_• Are renters allowed to bring their horses?_x000a_• (There are Polo Clubs and Polo Grounds in this area. It looks like Desert VIP services caters to renters who are coming to polo events.  http://desertvipservices.com/la-quinta/)_x000a_• There was a very large loss in 2012.  We won't rate for it, but can you tell us what happened?  _x000a_Answers back are acceptable. Approved subj to excluding any structures they don't want to insure."/>
    <m/>
    <m/>
    <s v="Patterson"/>
    <m/>
    <m/>
    <n v="0"/>
  </r>
  <r>
    <x v="246"/>
    <s v="Burns"/>
    <s v="MI"/>
    <s v="Ben"/>
    <s v="Email"/>
    <s v="Bayme, Ari"/>
    <m/>
    <x v="0"/>
    <s v="Los Angeles CA PC2"/>
    <x v="3"/>
    <m/>
    <x v="0"/>
    <x v="989"/>
    <x v="1390"/>
    <s v="TIV&gt;$3M"/>
    <s v="Verified PPC thru ISO, it is a 2. FireLine is Extreme 17, heavy fuels, steep slope, very limited access. RM says High. Full CS alarms. Online photos are beautiful. Close trees. 1966 updated in 2000."/>
    <x v="3"/>
    <s v="Approved subject to 150' brush clearance confirmation."/>
    <m/>
    <m/>
    <s v="Patterson"/>
    <m/>
    <m/>
    <n v="0"/>
  </r>
  <r>
    <x v="326"/>
    <s v="SCU"/>
    <s v="CO"/>
    <s v="Allison"/>
    <m/>
    <s v="Moran"/>
    <s v="Joseph &amp; Shani"/>
    <x v="0"/>
    <s v="Beverly Hills"/>
    <x v="1"/>
    <s v="90210"/>
    <x v="11"/>
    <x v="989"/>
    <x v="1391"/>
    <s v="TIV"/>
    <s v="$3.7 TIV in brush (71 score) 218 ft from high brush per RM.  "/>
    <x v="1"/>
    <s v="Ineligible per guidelines."/>
    <m/>
    <m/>
    <s v="Patterson"/>
    <m/>
    <m/>
    <n v="1"/>
  </r>
  <r>
    <x v="110"/>
    <s v="SCU"/>
    <s v="CO"/>
    <s v="Allison"/>
    <s v="Email"/>
    <s v="Dallin, Ronald"/>
    <m/>
    <x v="151"/>
    <s v="Provo"/>
    <x v="22"/>
    <m/>
    <x v="5"/>
    <x v="990"/>
    <x v="1392"/>
    <s v="TIV"/>
    <s v="1986 home w/alarms. Short term rental w/5 night min. Was w/Travelers who nonrenewed end of April due to the rental. Had lapse of 3 weeks. 5% surcharge added."/>
    <x v="4"/>
    <s v="Multiple online sources describe rental and show previous sale of home. All look good.  Wood roof exclusion applies (not updated-31 years)"/>
    <m/>
    <m/>
    <s v="Patterson"/>
    <m/>
    <m/>
    <n v="0"/>
  </r>
  <r>
    <x v="667"/>
    <s v="SCU"/>
    <s v="CO"/>
    <s v="Ashley"/>
    <m/>
    <s v="Tomasvewski"/>
    <s v="Laura &amp; Todney Dunlap"/>
    <x v="4"/>
    <s v="Fairplay"/>
    <x v="19"/>
    <s v="80440"/>
    <x v="6"/>
    <x v="991"/>
    <x v="1393"/>
    <s v="TIV"/>
    <s v="2001 year built, log home. Was submitted last year to us but went with Chubb, who is non non-renewing due to no installed CFSB alarms. Rated with $10,000 AOP due to this. Rated as secondary but applicant's son lives there full time. Full roof update in 2017."/>
    <x v="4"/>
    <s v="Everything was rated property, and did not see any other concerns. As such, approved terms as quoted. "/>
    <m/>
    <m/>
    <s v="Busse"/>
    <m/>
    <m/>
    <n v="0"/>
  </r>
  <r>
    <x v="736"/>
    <s v="Hull CA"/>
    <s v="CA"/>
    <s v="Lisa"/>
    <s v="Email"/>
    <s v="Alldrin, Kenfield"/>
    <m/>
    <x v="133"/>
    <s v="La Porte, CA PC 10"/>
    <x v="3"/>
    <m/>
    <x v="0"/>
    <x v="992"/>
    <x v="1394"/>
    <s v="PC 10"/>
    <s v="PC 10, secondary, no losses, brush surcharged, central alarm in home, visible to neighbors, response time 5-7 minutes, reservoir behind home"/>
    <x v="3"/>
    <s v="Approved subject to trees cleared from next to home (per inspection report). "/>
    <m/>
    <m/>
    <s v="K. Burdine"/>
    <m/>
    <m/>
    <n v="0"/>
  </r>
  <r>
    <x v="90"/>
    <s v="Burns"/>
    <s v="MI"/>
    <s v="Alexa"/>
    <s v="Email"/>
    <s v="Shisler, Karra"/>
    <m/>
    <x v="0"/>
    <s v="Oakhurst"/>
    <x v="1"/>
    <m/>
    <x v="4"/>
    <x v="993"/>
    <x v="1395"/>
    <s v="TIV"/>
    <s v="2014 home in brush w/alarms. 15-17 min response time per inspection and Bing. Sprinkler in home per inspection. FD 6 miles away."/>
    <x v="3"/>
    <s v="Confirm 150' brush clearance w/inspection. Add 5% s/c due to response time &amp; PC10. High 8 per FireLine. Low fuels at property, med at surrounding, no access prob, moderate slope. 11 min response per google. Sprinklers in home per online search. Nice risk, low brush immediately around home, trees trimmed up."/>
    <m/>
    <m/>
    <s v="Patterson"/>
    <m/>
    <m/>
    <n v="0"/>
  </r>
  <r>
    <x v="413"/>
    <s v="Hull Irvine"/>
    <s v="CA"/>
    <s v="Kelly"/>
    <s v="Email"/>
    <s v="Goetz"/>
    <s v="Robert"/>
    <x v="2"/>
    <s v="Escondido"/>
    <x v="1"/>
    <m/>
    <x v="9"/>
    <x v="994"/>
    <x v="24"/>
    <s v="Business on Premises"/>
    <s v="horse riding on ranch; GL liability in place for exposure, quoted with TBE and animal exclusion"/>
    <x v="3"/>
    <s v="approval to offer as quoted with the exclusions in place. If there are any farming structures for the ranch, be sure to exclude those as well."/>
    <m/>
    <m/>
    <s v="Burdine"/>
    <m/>
    <m/>
    <n v="0"/>
  </r>
  <r>
    <x v="816"/>
    <s v="Hull Irvine"/>
    <s v="CA"/>
    <s v="Alison"/>
    <s v="Email"/>
    <s v="Leigh"/>
    <s v="Todd"/>
    <x v="0"/>
    <s v="New Port"/>
    <x v="1"/>
    <m/>
    <x v="8"/>
    <x v="995"/>
    <x v="1396"/>
    <s v="Losses"/>
    <s v="2 water losses; have since installed flow alarm and shut off"/>
    <x v="4"/>
    <s v="mitigators in place, AOP is $5K"/>
    <m/>
    <m/>
    <s v="Burdine"/>
    <m/>
    <m/>
    <n v="0"/>
  </r>
  <r>
    <x v="348"/>
    <s v="JM Wilson"/>
    <s v="MI"/>
    <s v="Cheryl"/>
    <s v="Email"/>
    <s v="Squitieri"/>
    <s v="Bernard"/>
    <x v="0"/>
    <s v="Chesterfield"/>
    <x v="36"/>
    <m/>
    <x v="0"/>
    <x v="996"/>
    <x v="290"/>
    <s v="TIV"/>
    <s v="2000 home. Insd is transportation customer and wanted personal lines quote. $700K schedule referred and approved by Jamie Gregory."/>
    <x v="3"/>
    <s v="Agt can't quote in VMGA - referred issue to Bethany. Advised JMW that the risk is acceptable and also provided the SPP quote."/>
    <m/>
    <m/>
    <s v="Patterson"/>
    <m/>
    <m/>
    <n v="0"/>
  </r>
  <r>
    <x v="407"/>
    <s v="SCU"/>
    <m/>
    <s v="Allison"/>
    <s v="Email"/>
    <s v="Voneschen, Amy"/>
    <m/>
    <x v="0"/>
    <s v="Boulder CO PC5"/>
    <x v="3"/>
    <m/>
    <x v="0"/>
    <x v="997"/>
    <x v="1397"/>
    <s v="TIV&gt;$3M"/>
    <s v="1989 frame home w/wood shake roof. 2nd structure on premises-rental dwelling. She may add as 2nd dwelling or add HO0440. $20k jewelry; $3500 fur."/>
    <x v="4"/>
    <s v="Exception for 2% ($30K) wind/hail ded vs. excluding roof to beat Lex. Allison confirming prior covg, no losses, no use of 12 acres. "/>
    <m/>
    <m/>
    <s v="Patterson"/>
    <m/>
    <m/>
    <n v="0"/>
  </r>
  <r>
    <x v="234"/>
    <s v="Hull CA"/>
    <s v="Irvine"/>
    <s v="Alex"/>
    <s v="Email"/>
    <s v="Tallarico"/>
    <m/>
    <x v="0"/>
    <s v="Los Angeles CA PC3"/>
    <x v="3"/>
    <m/>
    <x v="0"/>
    <x v="998"/>
    <x v="1398"/>
    <s v="TIV&gt;$3M"/>
    <s v="1970 home updated. Roof fully updated in 1995. Covering is rock and it appears flat in photos. Aspen is offering renewal but subject to 200' brush clearance. Insured has an area that is 75' away that neighbor won't clear but per our guidelines this is acceptable. In Renie brush. Ran Fireline - it is High-8. "/>
    <x v="4"/>
    <s v="Approved subject to:  1. Verification of 150' brush clearance or to property line. 2. $15,000 water damage deductible (with no credit) if the roof is flat. (Covering is rock and online photo looks like it is flat.) 3. Premium is fine as quoted at $7,579. "/>
    <m/>
    <m/>
    <s v="Patterson"/>
    <m/>
    <m/>
    <n v="0"/>
  </r>
  <r>
    <x v="144"/>
    <s v="Burns"/>
    <s v="MI"/>
    <s v="Leslie"/>
    <s v="Email"/>
    <s v="Niedzielski"/>
    <s v="Vince"/>
    <x v="0"/>
    <s v="San Diego"/>
    <x v="1"/>
    <m/>
    <x v="4"/>
    <x v="999"/>
    <x v="1299"/>
    <s v="PC10"/>
    <s v="2015 home in high brush. Online confirmation that response time is 14 minutes. UPQ attached and acceptable. Photos show well cleared of brush."/>
    <x v="3"/>
    <s v="Need an app before binding. None was attached. Agent adding $500 to quote. Brings closer to Lex premium (around 10% less)"/>
    <m/>
    <n v="15"/>
    <s v="Patterson"/>
    <m/>
    <m/>
    <n v="0"/>
  </r>
  <r>
    <x v="452"/>
    <s v="Burns"/>
    <s v="MI"/>
    <s v="Lindsay"/>
    <m/>
    <s v="Pohl"/>
    <s v="Sharon R North"/>
    <x v="3"/>
    <s v="Soquel"/>
    <x v="1"/>
    <s v="95073"/>
    <x v="5"/>
    <x v="1000"/>
    <x v="1399"/>
    <s v="Occupancy/Use"/>
    <s v="1978 home w/ full roof updt. Partial other updates. Insd at premises 4 nights/week. Boarding ranch horse operation w/American Reliable. Renters not allowed near stable/ranch. WRS 17."/>
    <x v="1"/>
    <s v="Subj to TBE, exclude liab, exclude Cov B, require Coml policies. Asked John's opinion if this is enough and it is not. Possible excessive defense costs.   "/>
    <s v="No hit ins score per partner.  If this were primary home, we could probably consider per discussion w/John."/>
    <m/>
    <s v="Patterson"/>
    <m/>
    <m/>
    <n v="1"/>
  </r>
  <r>
    <x v="179"/>
    <s v="Burns"/>
    <s v="MI"/>
    <s v="Matt"/>
    <s v="Email"/>
    <s v="Evans"/>
    <s v="David"/>
    <x v="0"/>
    <s v="Ramona"/>
    <x v="1"/>
    <m/>
    <x v="4"/>
    <x v="1001"/>
    <x v="1270"/>
    <s v="PC10"/>
    <s v="2008 in PC10 w/5-6 min response time. (12-15 min per google - still ok).  No hydrant. High brush. 10,000 gallon tank 500' from home."/>
    <x v="4"/>
    <s v="Quoted in March. Agent added 10% surcharge for lapse.   Will verify not near brush."/>
    <m/>
    <m/>
    <s v="Patterson"/>
    <m/>
    <m/>
    <n v="0"/>
  </r>
  <r>
    <x v="15"/>
    <s v="JM Wilson"/>
    <s v="MI"/>
    <s v="Cheryl"/>
    <s v="Email"/>
    <s v="May"/>
    <s v="Tom &amp; Jessica"/>
    <x v="0"/>
    <s v="Dixon"/>
    <x v="4"/>
    <m/>
    <x v="4"/>
    <x v="1002"/>
    <x v="1400"/>
    <s v="TIV"/>
    <s v="Coverage A 1.5 million, Protection Class 10. FD 10 minutes away, No Hydrant. No central alarm system . "/>
    <x v="2"/>
    <s v="Requested PCQ; advised at this TIV(greater than $2M), we also require that the home have central alarms. Since they do not, the AOP deductible and theft deductible must be $10K (unless they have a full house sprinkler system)."/>
    <m/>
    <m/>
    <s v="Burdine"/>
    <m/>
    <m/>
    <n v="0"/>
  </r>
  <r>
    <x v="69"/>
    <s v="Hull Irvine"/>
    <m/>
    <s v="Alex"/>
    <s v="Email"/>
    <s v="Mazzei, Raymond &amp; Irina"/>
    <m/>
    <x v="0"/>
    <s v="Temecula"/>
    <x v="1"/>
    <m/>
    <x v="4"/>
    <x v="1003"/>
    <x v="1401"/>
    <s v="TIV"/>
    <s v="2001 home in brush. Alarmed accessible, 12 min response time. Electric gate. "/>
    <x v="3"/>
    <s v="150' brush clearance. Quote as PC 10 on revised rater."/>
    <m/>
    <m/>
    <s v="Patterson"/>
    <m/>
    <m/>
    <n v="0"/>
  </r>
  <r>
    <x v="811"/>
    <s v="Burns"/>
    <s v="MI"/>
    <s v="Jeffrey"/>
    <s v="Email"/>
    <s v="Dolifka"/>
    <s v="Don"/>
    <x v="5"/>
    <m/>
    <x v="19"/>
    <m/>
    <x v="0"/>
    <x v="1004"/>
    <x v="1076"/>
    <s v="Occupancy/Use"/>
    <s v="app vacant/ future renovation located in CO.  Home is a 1995 frame dwelling, that will be used as a guest house once renovations are complete.  PC5 with no alarms and no losses, it is right next to their primary. Prior to purchasing, there was a plumbing issue and the water was turned off. Repairs/renovations of about $100K starting in the summer"/>
    <x v="1"/>
    <s v="due to existing damage, amount of time before repairs to begin, home sitting w/o utilities (not part of a winterization plan)"/>
    <m/>
    <m/>
    <s v="Burdine"/>
    <m/>
    <m/>
    <n v="1"/>
  </r>
  <r>
    <x v="773"/>
    <s v="Hull Irvine"/>
    <s v="CA"/>
    <s v="Gina"/>
    <s v="Email"/>
    <s v="Purisano"/>
    <s v="David &amp; Laurel"/>
    <x v="1"/>
    <s v="Solana Beach"/>
    <x v="1"/>
    <m/>
    <x v="10"/>
    <x v="1004"/>
    <x v="1076"/>
    <s v="Builders Risk"/>
    <s v="Tail end construction. Insured wants a 3 month policy and Lex won't provide. Construction almost complete."/>
    <x v="1"/>
    <s v="Risk was not insured with Lex in 2017 until it was 75% complete. Still not complete and now they want a 3 month policy with us. Not comfortable taking the tail end construction, and likely we won't retain it."/>
    <m/>
    <m/>
    <s v="Patterson"/>
    <m/>
    <m/>
    <n v="1"/>
  </r>
  <r>
    <x v="439"/>
    <s v="Hull Irvine"/>
    <m/>
    <s v="Alison"/>
    <s v="Email"/>
    <s v="Warmington, William"/>
    <m/>
    <x v="10"/>
    <s v="Newport Beach"/>
    <x v="1"/>
    <m/>
    <x v="0"/>
    <x v="1004"/>
    <x v="1076"/>
    <s v="TIV"/>
    <s v="Home was total fire loss due to elec. After demo, would write this policy. Wants $100K building materials. Trust."/>
    <x v="1"/>
    <s v="Need fire marshall report. Can do $25K theft of bldg matl."/>
    <m/>
    <m/>
    <s v="Patterson"/>
    <m/>
    <m/>
    <n v="1"/>
  </r>
  <r>
    <x v="219"/>
    <s v="Hull CO"/>
    <s v="Horsham"/>
    <s v="Nichole"/>
    <s v="Email"/>
    <s v="Braunfeld, Joel"/>
    <m/>
    <x v="0"/>
    <s v="Oakton VA"/>
    <x v="3"/>
    <m/>
    <x v="0"/>
    <x v="1004"/>
    <x v="1402"/>
    <s v="Ded options"/>
    <s v="2002 home within agents authority, looking for $25K and $50K ded options. Insured is dentist. 10,400 SF home."/>
    <x v="4"/>
    <s v="Worked with Jeff on ded options"/>
    <s v="5/27/16- insured now wants a $100k ded, worked with Jeff and determined that was ok. Max credit is -35% ($3,500) lkt"/>
    <m/>
    <s v="Patterson"/>
    <m/>
    <m/>
    <n v="0"/>
  </r>
  <r>
    <x v="403"/>
    <s v="Burns"/>
    <s v="MI"/>
    <s v="Leslie"/>
    <s v="Email"/>
    <s v="Harrison, Matthew"/>
    <m/>
    <x v="6"/>
    <s v="Creedmore"/>
    <x v="11"/>
    <m/>
    <x v="3"/>
    <x v="1004"/>
    <x v="1257"/>
    <s v="High profile"/>
    <s v="2017 new build ground up. Matt Harrison is major league free agent. Agent quoting X-liab as Insd has CGL. Asked for $10K AOP."/>
    <x v="4"/>
    <s v="1% wind/hail per guidelines = $16,000. Risk is over 100 miles from coast. Verified not a coastal county or a county restricted in recent Hurr Matthew. Asked to be notified if Cov A increases so we can re-evaluate if $10K is adequate."/>
    <m/>
    <m/>
    <s v="Patterson"/>
    <m/>
    <m/>
    <n v="0"/>
  </r>
  <r>
    <x v="38"/>
    <s v="Hull Irvine"/>
    <s v="CA"/>
    <s v="Bobbi"/>
    <s v="Email"/>
    <s v="Huifeng International USA Inc."/>
    <m/>
    <x v="2"/>
    <s v="Arcadia"/>
    <x v="1"/>
    <m/>
    <x v="9"/>
    <x v="1004"/>
    <x v="1215"/>
    <s v="Losses"/>
    <s v="2012 dwelling.  Tenant hired a babysitter who had a slip/fall and sued the insured. Insured is a for profit corporation. Premises liability is requested, but agt offered to quote excluding. No online adverse info about the corporation."/>
    <x v="2"/>
    <s v="Googled named insured and it is clearly an agrichemical corporation. Need full detail on ownership/use of this dwelling. If it checks out for investment only, then no liab. If different tenants came in could have premises liability."/>
    <m/>
    <m/>
    <s v="Patterson"/>
    <m/>
    <m/>
    <n v="0"/>
  </r>
  <r>
    <x v="783"/>
    <s v="Burns"/>
    <s v="MI"/>
    <s v="Ben"/>
    <s v="Email"/>
    <s v="Gersh, Linda"/>
    <m/>
    <x v="2"/>
    <s v="Beverly Hills"/>
    <x v="1"/>
    <m/>
    <x v="11"/>
    <x v="1004"/>
    <x v="1403"/>
    <s v="TIV"/>
    <s v="1959 home updated in 2015. Online photos look good. No concerns found w/name search. Father was famous director/producer."/>
    <x v="4"/>
    <m/>
    <m/>
    <m/>
    <s v="Patterson"/>
    <m/>
    <m/>
    <n v="0"/>
  </r>
  <r>
    <x v="474"/>
    <s v="Burns"/>
    <s v="MI"/>
    <s v="Jill"/>
    <s v="Email"/>
    <s v="Decker, John &amp; Sharon"/>
    <m/>
    <x v="7"/>
    <s v="San Francisco"/>
    <x v="1"/>
    <m/>
    <x v="11"/>
    <x v="1004"/>
    <x v="1218"/>
    <s v="Age of home"/>
    <s v="1890 4 family. Owner occupied upper floor. 3 lower units are rented. 1988 updates to all; roof in 2002. Online photos ok. 2004 building permit online for updating dwelling for condos."/>
    <x v="4"/>
    <m/>
    <m/>
    <m/>
    <s v="Patterson"/>
    <m/>
    <m/>
    <n v="0"/>
  </r>
  <r>
    <x v="497"/>
    <s v="Hull Irvine"/>
    <s v="CA"/>
    <s v="Alison"/>
    <s v="Email"/>
    <s v="Laidlow"/>
    <s v="Brent &amp; Rebecca"/>
    <x v="0"/>
    <s v="Glendora"/>
    <x v="1"/>
    <m/>
    <x v="0"/>
    <x v="1004"/>
    <x v="1404"/>
    <s v="Losses"/>
    <s v="NR by State Farm for claims/brush-3 claims: wildfire 2014-$102K, mudflow 2014-$109K, 01/2017=2 water claims from flooding from rains-$17K total"/>
    <x v="3"/>
    <s v="While the losses were technically beyond their control, this home has not been having much luck over the last few years with claims. It may be worth considering with some deductible adjustments and premium adjustments. Questioned what premium/terms agt quoted//agt quoted at $14K, but lex at $9K. Advised can offer terms at that rate, but can't match Lex"/>
    <m/>
    <m/>
    <s v="Burdine"/>
    <m/>
    <m/>
    <n v="0"/>
  </r>
  <r>
    <x v="532"/>
    <s v="Hull CA"/>
    <s v="Irvine"/>
    <s v="Alison"/>
    <s v="Email"/>
    <s v="Puopolo, Mark"/>
    <m/>
    <x v="23"/>
    <s v="Palm Springs "/>
    <x v="1"/>
    <m/>
    <x v="9"/>
    <x v="1004"/>
    <x v="1404"/>
    <s v="Usage"/>
    <s v="1942 home updated in 2006. Used a residence w/rental up to 20 weeks. Also used by corporations for photo shoots, etc."/>
    <x v="3"/>
    <s v="X-Liability; rate as sec w/20+weeks rental; RC ok vs MFRC due to level of update. NI okay w/trust as AI. Reviewed w/Louisa."/>
    <m/>
    <m/>
    <s v="Patterson"/>
    <m/>
    <m/>
    <n v="0"/>
  </r>
  <r>
    <x v="38"/>
    <s v="Burns"/>
    <s v="MI"/>
    <s v="Alexa"/>
    <s v="Email"/>
    <s v="Balkind"/>
    <s v="Aubrey"/>
    <x v="4"/>
    <s v="Ojai"/>
    <x v="1"/>
    <m/>
    <x v="0"/>
    <x v="1004"/>
    <x v="1368"/>
    <s v="Business on Premises"/>
    <s v="1990 dwelling used as sec and airbnb. 23 acres of fruit trees and veg given to neighbors and used by insd in his restaurant. Burns coml dept writing Farm policy for liab."/>
    <x v="3"/>
    <s v="Apply total business exclusion. Online shows 2 dwellings on prop. Rate as 2 family.//Addl info is that the farm exposure is titled to another entity name&quot;Sane Farming Inc&quot;. Whether this is affiliated w/insured or not, feel the exposure is okay with separate policy and TBE."/>
    <m/>
    <m/>
    <s v="Patterson"/>
    <m/>
    <m/>
    <n v="0"/>
  </r>
  <r>
    <x v="413"/>
    <s v="SCU"/>
    <s v="CO"/>
    <s v="Allison"/>
    <s v="Email"/>
    <s v="Grynberg"/>
    <s v="Miriam"/>
    <x v="5"/>
    <s v="Denver"/>
    <x v="19"/>
    <m/>
    <x v="8"/>
    <x v="1004"/>
    <x v="1405"/>
    <s v="TIV"/>
    <s v="Vacant property, not currently for sale but will likely do so. $800K in contents. Prior losses: water and fire (cooking)0. Quoted with $25K AOP ded. , $13,900 premium"/>
    <x v="3"/>
    <s v="Approval with acceptable fire report and burglar alarm installation. Also requested fire alarm to be suggested"/>
    <m/>
    <m/>
    <s v="Burdine"/>
    <m/>
    <m/>
    <n v="0"/>
  </r>
  <r>
    <x v="528"/>
    <s v="Burns"/>
    <s v="MI"/>
    <s v="Jill"/>
    <m/>
    <s v="Mikolas"/>
    <s v="Miles"/>
    <x v="4"/>
    <s v="Creve Coeur"/>
    <x v="36"/>
    <s v="63141"/>
    <x v="9"/>
    <x v="1004"/>
    <x v="1406"/>
    <s v="High Profile"/>
    <s v="2018 year built. Applicant is a pitcher in the MLB for ST Louis Cardinals. This is their secondary home. "/>
    <x v="4"/>
    <s v="Approved terms as quoted. No concern with profile of applicant. "/>
    <m/>
    <m/>
    <s v="Busse"/>
    <m/>
    <m/>
    <n v="0"/>
  </r>
  <r>
    <x v="595"/>
    <s v="Hull Irvine"/>
    <m/>
    <s v="Bobbi"/>
    <s v="Email"/>
    <s v="Georgiades, George"/>
    <m/>
    <x v="0"/>
    <s v="Laguna Niguel"/>
    <x v="1"/>
    <m/>
    <x v="9"/>
    <x v="1004"/>
    <x v="1406"/>
    <s v="Prior loss"/>
    <s v="1990 home w/complete plumbing replacement after slab leak loss 4/16 $113K paid. Within 100' of brush zone"/>
    <x v="3"/>
    <s v="Confirm 150' brush clearance; add 5% surcharge for large loss"/>
    <m/>
    <m/>
    <s v="Patterson"/>
    <m/>
    <m/>
    <n v="0"/>
  </r>
  <r>
    <x v="294"/>
    <s v="Hull CA"/>
    <s v="Irvine"/>
    <s v="Alison"/>
    <s v="Email"/>
    <s v="Pfister, Matt"/>
    <m/>
    <x v="0"/>
    <s v="Yucaipa"/>
    <x v="1"/>
    <m/>
    <x v="4"/>
    <x v="1004"/>
    <x v="1406"/>
    <s v="PC10/TIV"/>
    <s v="1993 full log home. Response time is appx 5 minutes. FD confirmed to be 2.6 miles away. Very nice online photos. Central alarms."/>
    <x v="4"/>
    <m/>
    <m/>
    <m/>
    <s v="Patterson"/>
    <m/>
    <m/>
    <n v="0"/>
  </r>
  <r>
    <x v="406"/>
    <s v="Hull Irvine"/>
    <s v="CA"/>
    <s v="Kelly"/>
    <s v="Email"/>
    <s v="Kelner"/>
    <s v="Joel"/>
    <x v="0"/>
    <s v="Coto De Caza "/>
    <x v="1"/>
    <m/>
    <x v="9"/>
    <x v="1004"/>
    <x v="1407"/>
    <s v="Losses"/>
    <s v="Same risk submitted from a second retailer.  1990 dwelling, new purchase for this insd. Prior owner had a $100,000 slab leak loss in 2017. Pipe was fixed, damage fixed. Insured to replace all plumbing and remove pipes from slab, moving them into the walls. Also will install water shutoff."/>
    <x v="4"/>
    <s v="One loss, prior owner. New owner taking strong action to mitigate any chance of future. Approved subj to contracting for work within 30 days of binding. Contemplated higher water damage ded, and decided against it. Not this insd loss. He is being pro-active."/>
    <m/>
    <m/>
    <s v="Patterson"/>
    <m/>
    <m/>
    <n v="0"/>
  </r>
  <r>
    <x v="358"/>
    <s v="Hull Irvine"/>
    <s v="CA"/>
    <s v="Alison"/>
    <s v="Email"/>
    <s v="Shupe, Kathryn "/>
    <m/>
    <x v="0"/>
    <s v="Whittier"/>
    <x v="1"/>
    <m/>
    <x v="8"/>
    <x v="1004"/>
    <x v="1408"/>
    <s v="Prior Losses"/>
    <s v="This has had 3 water losses in the last 5 years, and 2 in the last 3 years. The losses were all related to the PVC plumbing, which has been totally updated to copper after the last loss. I still applied a $10K water deductible due to the loss history, but didn’t think a water damage exclusion was necessary or really large deductible since the pipes were totally replaced. "/>
    <x v="3"/>
    <s v="Approved w/o water damage exclusion, but given frequency gave approval to release terms with $20K water deductible, ran lexis nexis-- above average insurance score"/>
    <m/>
    <m/>
    <s v="Burdine"/>
    <m/>
    <m/>
    <n v="0"/>
  </r>
  <r>
    <x v="334"/>
    <s v="Burns"/>
    <s v="MI"/>
    <s v="Jill"/>
    <s v="Email"/>
    <s v="Brichler"/>
    <s v="Ron"/>
    <x v="4"/>
    <s v="Angola"/>
    <x v="17"/>
    <m/>
    <x v="6"/>
    <x v="1004"/>
    <x v="1409"/>
    <s v="TIV"/>
    <s v="PC9, frame, built in 2002, secondary, no losses, located in IN"/>
    <x v="4"/>
    <s v="ISO, pics OK"/>
    <m/>
    <m/>
    <s v="Burdine"/>
    <m/>
    <m/>
    <n v="0"/>
  </r>
  <r>
    <x v="185"/>
    <s v="Burns"/>
    <s v="MI"/>
    <s v="Jill"/>
    <s v="Email"/>
    <s v="Yorkshire"/>
    <s v="Adam"/>
    <x v="0"/>
    <s v="Santa Cuarita"/>
    <x v="1"/>
    <m/>
    <x v="5"/>
    <x v="1004"/>
    <x v="1410"/>
    <s v="TIV"/>
    <s v="PC4, built in 1979, frame, primary, c/s alarm, in brush, located in CA"/>
    <x v="4"/>
    <s v="Advised if no updates be sure appropriate settlement used"/>
    <m/>
    <m/>
    <s v="Burdine"/>
    <m/>
    <m/>
    <n v="0"/>
  </r>
  <r>
    <x v="497"/>
    <s v="Burns"/>
    <s v="MI"/>
    <s v="Delta"/>
    <s v="Email"/>
    <s v="Watson"/>
    <s v="Deshaun"/>
    <x v="0"/>
    <m/>
    <x v="23"/>
    <m/>
    <x v="11"/>
    <x v="1004"/>
    <x v="1411"/>
    <s v="High Profile"/>
    <s v="NFL player (Texans 2017 first round pick)., frame, built in 2005, no losses, full c/s alarms"/>
    <x v="3"/>
    <s v=" x-liability due to his high-profile."/>
    <m/>
    <m/>
    <s v="Burdine"/>
    <m/>
    <m/>
    <n v="0"/>
  </r>
  <r>
    <x v="440"/>
    <s v="Hull Irvine"/>
    <s v="CA"/>
    <s v="Alison"/>
    <s v="Email"/>
    <s v="Kitselman"/>
    <s v="Kent"/>
    <x v="0"/>
    <s v="Templeton"/>
    <x v="1"/>
    <m/>
    <x v="4"/>
    <x v="1004"/>
    <x v="205"/>
    <s v="TIV"/>
    <s v="2000 home w/alarms in high RM brush zone. High6 FireLine. 19 min drive time from 2 FD's. 20 acre lot w/chickens and olives which are harvested by insd or caretaker. GL will be in place. Guest house w/WBS."/>
    <x v="1"/>
    <s v="Decline due to response time over 15 min. Reviewed emergency response requirements for CA emergency vehicles. Ran Fireline."/>
    <m/>
    <n v="25"/>
    <s v="Patterson"/>
    <m/>
    <m/>
    <n v="1"/>
  </r>
  <r>
    <x v="817"/>
    <s v="Burns"/>
    <s v="MI"/>
    <s v="Danielle"/>
    <s v="Email"/>
    <s v="Wallace, Trago"/>
    <m/>
    <x v="0"/>
    <s v="Templeton CA PC6"/>
    <x v="3"/>
    <m/>
    <x v="0"/>
    <x v="1004"/>
    <x v="1412"/>
    <s v="TIV&gt;$3M"/>
    <s v="2005 frame home. Parents live in guest house on property. Insd has medical supply business but not on this prop."/>
    <x v="4"/>
    <m/>
    <m/>
    <m/>
    <s v="Patterson"/>
    <m/>
    <m/>
    <n v="0"/>
  </r>
  <r>
    <x v="119"/>
    <s v="Burns"/>
    <s v="MI"/>
    <s v="Danielle"/>
    <s v="Email"/>
    <s v="Huff, Gary &amp; Ava"/>
    <m/>
    <x v="0"/>
    <s v="Modesto"/>
    <x v="1"/>
    <m/>
    <x v="5"/>
    <x v="1004"/>
    <x v="29"/>
    <s v="Prior loss"/>
    <s v="2017 home with alarms. 4/26/16 insd son had 3 passengers on golf cart. Female fell off and fractured skull. Open loss. Insured still has the golf cart per app. Assume son still in hh-nothing to contrary stated."/>
    <x v="3"/>
    <s v="Approved excluding liability.  Insured business Huff Construction at a different location per internet search."/>
    <s v="Discussed w/Kirsten at length. Even if golf cart was gone, son is still there."/>
    <m/>
    <s v="Patterson"/>
    <m/>
    <m/>
    <n v="0"/>
  </r>
  <r>
    <x v="145"/>
    <s v="Burns"/>
    <s v="MI"/>
    <s v="Delta"/>
    <s v="Email"/>
    <s v="Sullivan"/>
    <s v="James &amp; Kelly"/>
    <x v="0"/>
    <s v="S. Yarmouth"/>
    <x v="21"/>
    <m/>
    <x v="9"/>
    <x v="1004"/>
    <x v="1413"/>
    <s v="TIV/COV B"/>
    <s v="primary home MA. Home was built in 2017, frame construction, PC3, with full c/s alarms and no losses. Cov B limit high ($400,000)due to newly built barn. App states no animals, but agt will confirm"/>
    <x v="3"/>
    <s v="Google search OK, new build, OK with Coverage B w/ description-agt to confirm that no farm animals/personal use only."/>
    <m/>
    <m/>
    <s v="Burdine"/>
    <m/>
    <m/>
    <n v="0"/>
  </r>
  <r>
    <x v="264"/>
    <s v="Burns"/>
    <s v="MI"/>
    <s v="Matt"/>
    <s v="Email"/>
    <s v="Saundra Bennett Trust"/>
    <m/>
    <x v="0"/>
    <s v="Glenville"/>
    <x v="11"/>
    <m/>
    <x v="4"/>
    <x v="1004"/>
    <x v="1414"/>
    <s v="Island"/>
    <s v="2006 frame home w/alarms and sprinkler on Buck Knob Island NC. Unclear of how FD services property."/>
    <x v="1"/>
    <s v="FD is exempt from responding. Declined due to that reason. Sprinkler is not a replacement for the FD and not foolproof."/>
    <m/>
    <m/>
    <s v="Patterson"/>
    <m/>
    <m/>
    <n v="1"/>
  </r>
  <r>
    <x v="116"/>
    <s v="Hull Irvine"/>
    <m/>
    <s v="Alison"/>
    <s v="Email"/>
    <s v="Medley, Penot &amp; Jennifer"/>
    <m/>
    <x v="0"/>
    <s v="Ojai"/>
    <x v="1"/>
    <m/>
    <x v="5"/>
    <x v="1004"/>
    <x v="1415"/>
    <s v="TIV"/>
    <s v="1898 home gutted remodeled in 2013. 3 cottages. No alarms. Not in brush. PC4. Gated."/>
    <x v="3"/>
    <s v="Need alarms or 10K ded. If burglar only, $5K ded since it is gated, primary, not in brush. Confirm no rental."/>
    <m/>
    <m/>
    <s v="Patterson"/>
    <m/>
    <m/>
    <n v="0"/>
  </r>
  <r>
    <x v="455"/>
    <s v="Quaker"/>
    <s v="MA"/>
    <s v="Austin"/>
    <s v="Email"/>
    <s v="Fuller"/>
    <s v="Carol &amp; Mead, Carol"/>
    <x v="0"/>
    <s v="Harwich"/>
    <x v="21"/>
    <m/>
    <x v="5"/>
    <x v="1005"/>
    <x v="25"/>
    <s v="Rate"/>
    <s v="2013 home. Lloyds quoting at $3077 plus tax and fee for total $3,275. Agent wants to come in $100 lower. Also referred for TIV."/>
    <x v="2"/>
    <s v="Advised TIV is in their authority. Asked for a rater so we can refer to Bethany. Additionally, address doesn't match between Austin's email and the Lloyds quote. Coverages don't match between the app and the Lloyds quote. Make sure we are comparing apples/apples."/>
    <s v="Agt came back with wanting a 12.5 cent rate. Asked addl questions and will ck w/Bethany."/>
    <m/>
    <s v="Patterson"/>
    <m/>
    <m/>
    <n v="0"/>
  </r>
  <r>
    <x v="20"/>
    <s v="Burns"/>
    <s v="MI"/>
    <s v="Rachel"/>
    <s v="Email"/>
    <s v="Bianes"/>
    <s v="Vicente"/>
    <x v="0"/>
    <m/>
    <x v="1"/>
    <m/>
    <x v="9"/>
    <x v="1006"/>
    <x v="1416"/>
    <s v="TIV"/>
    <s v="Home was built in 1990, with a full plumbing update in 2016. It is frame construction, no alarms. PC3. 2 losses., 2 prior losses. Water loss-led to reroute and water shut off"/>
    <x v="3"/>
    <s v="Alarm requirements being met"/>
    <m/>
    <m/>
    <s v="Burdine"/>
    <m/>
    <m/>
    <n v="0"/>
  </r>
  <r>
    <x v="67"/>
    <s v="Burns"/>
    <s v="MI"/>
    <s v="Jill"/>
    <s v="Email"/>
    <s v="Ochipinti, John"/>
    <m/>
    <x v="0"/>
    <s v="Yuba City"/>
    <x v="1"/>
    <m/>
    <x v="17"/>
    <x v="1007"/>
    <x v="1417"/>
    <s v="TIV"/>
    <s v="1984 home updated in 2010 per realtor info. Roof is tile. Not in brush. Alarms. NRN due to losses by Travelers. 5/16 theft $42,155-insd forgot to set alarm on way to church. Home burglarized - jewelry and watches. 3/14 phys dmg - bats in attic caused damage+cost of removal."/>
    <x v="4"/>
    <m/>
    <m/>
    <m/>
    <s v="Patterson"/>
    <m/>
    <m/>
    <n v="0"/>
  </r>
  <r>
    <x v="689"/>
    <s v="Hull Irvine"/>
    <s v="CA"/>
    <s v="Alison"/>
    <s v="Email"/>
    <s v="Andresen"/>
    <s v="Andrew"/>
    <x v="0"/>
    <s v="Malibu"/>
    <x v="1"/>
    <m/>
    <x v="5"/>
    <x v="1008"/>
    <x v="1418"/>
    <s v="TIV"/>
    <s v="Malibu home-ln brush"/>
    <x v="4"/>
    <s v="Approved to quote--RM and photos OK"/>
    <m/>
    <m/>
    <s v="Burdine"/>
    <m/>
    <m/>
    <n v="0"/>
  </r>
  <r>
    <x v="358"/>
    <s v="Hull Irvine"/>
    <s v="CA"/>
    <s v="Lisa"/>
    <s v="Email"/>
    <s v="Waggoner, Lyle &amp; Sharon "/>
    <m/>
    <x v="146"/>
    <s v="Oxnard"/>
    <x v="1"/>
    <m/>
    <x v="9"/>
    <x v="1009"/>
    <x v="1419"/>
    <s v="High-profile"/>
    <s v="The insured is an actor who used to be on the Carol Burnett Show. No brush, no claims"/>
    <x v="4"/>
    <s v="insured is no longer actively acting, but owns a customized trailer company; wife is retired. "/>
    <m/>
    <m/>
    <s v="Burdine"/>
    <m/>
    <m/>
    <n v="0"/>
  </r>
  <r>
    <x v="90"/>
    <s v="Burns"/>
    <s v="MI"/>
    <s v="Jill"/>
    <s v="Email"/>
    <s v="Mozer, Peter &amp; Angela"/>
    <m/>
    <x v="5"/>
    <s v="Davisburg"/>
    <x v="8"/>
    <m/>
    <x v="6"/>
    <x v="1009"/>
    <x v="1420"/>
    <s v="TIV"/>
    <s v="2002 vacant risk w/sprinklers and central station alarms. "/>
    <x v="4"/>
    <m/>
    <m/>
    <m/>
    <s v="Patterson"/>
    <m/>
    <m/>
    <n v="0"/>
  </r>
  <r>
    <x v="268"/>
    <s v="Hull CA"/>
    <s v="Irvine"/>
    <s v="Alison"/>
    <s v="Email"/>
    <s v="Bencivengo, Richard"/>
    <m/>
    <x v="0"/>
    <s v="Santa Monica"/>
    <x v="1"/>
    <m/>
    <x v="8"/>
    <x v="1009"/>
    <x v="1421"/>
    <s v="Business on premises; Rent to companies"/>
    <s v="Guest house rented on short term leases to companies (like google). In search, found business on premises. Insured has a part time landscaping consulting business-no employees, no clients. Goes to clients homes."/>
    <x v="4"/>
    <m/>
    <m/>
    <m/>
    <s v="Patterson"/>
    <m/>
    <m/>
    <n v="0"/>
  </r>
  <r>
    <x v="402"/>
    <s v="Hull CA"/>
    <s v="Irvine"/>
    <s v="Alison"/>
    <s v="Email"/>
    <s v="Bencivengo, Richard"/>
    <m/>
    <x v="44"/>
    <s v="Santa Monica"/>
    <x v="1"/>
    <m/>
    <x v="11"/>
    <x v="1009"/>
    <x v="1422"/>
    <s v="Guest house rental"/>
    <s v="1941 home updated in 2006. Mailing address is husband's company address. Guest house over detached garage used by family and leased using management co to companies for their employees to stay in (e.g. google). All meets city code. 31 day rental minimum. During address search, found business at this property. (Paintworks &amp; Lace - lists the named insured too). "/>
    <x v="3"/>
    <s v="Approve subj to clarification of yes answer to &quot;farming or other business&quot; question on app. Also resolve Paintworks and Lace showing at this address-sent business question list."/>
    <m/>
    <m/>
    <s v="Patterson"/>
    <m/>
    <m/>
    <n v="0"/>
  </r>
  <r>
    <x v="306"/>
    <s v="Burns"/>
    <s v="MI"/>
    <s v="Delta"/>
    <s v="Email"/>
    <s v="Barkin-Oxley, Lisa"/>
    <m/>
    <x v="0"/>
    <s v="Los Angeles"/>
    <x v="1"/>
    <m/>
    <x v="11"/>
    <x v="1010"/>
    <x v="1423"/>
    <s v="TIV"/>
    <s v="1991 frame home. Not all UW ? Answered. App says RC is $912,900. In brush, full alarms."/>
    <x v="3"/>
    <s v="Confirm Cov A; all UW ? Answered."/>
    <m/>
    <m/>
    <s v="Patterson"/>
    <m/>
    <m/>
    <n v="0"/>
  </r>
  <r>
    <x v="280"/>
    <s v="Hull CA"/>
    <s v="Stockton"/>
    <s v="Lisa"/>
    <s v="Email"/>
    <s v="Novom Holdings"/>
    <m/>
    <x v="2"/>
    <s v="Tarzana"/>
    <x v="1"/>
    <m/>
    <x v="8"/>
    <x v="1011"/>
    <x v="1424"/>
    <s v="TIV/Backdating"/>
    <s v="2016 home bind req received 4 pm yesterday, agent had just left. Agreed to allow binding. Online photos okay. Good ins score-app says insured is unemployed."/>
    <x v="3"/>
    <s v="Approved subj to completed uw questions on app and confirmation in 30 days of tenant occupancy (per Corp Quest)"/>
    <m/>
    <m/>
    <s v="Patterson"/>
    <s v="X"/>
    <m/>
    <n v="0"/>
  </r>
  <r>
    <x v="804"/>
    <s v="Burns"/>
    <s v="MI"/>
    <s v="Leslie"/>
    <m/>
    <s v="Goldfarb"/>
    <s v="Bonnie"/>
    <x v="0"/>
    <s v="Calabasas"/>
    <x v="1"/>
    <s v="91302"/>
    <x v="5"/>
    <x v="1012"/>
    <x v="1425"/>
    <s v="High Profile"/>
    <s v="Insured is executive producer/co-founder of Harvest Films. IS is an A. No losses. Home built in 1953. All systems replace in 2013. Roof in 2012. Frame home. No CSA."/>
    <x v="0"/>
    <s v="Waiting on whether insured is too high profile. Do not see any negative news items. Property looks good: no brush and updated systems."/>
    <m/>
    <m/>
    <s v="Lazovik"/>
    <m/>
    <m/>
    <n v="0"/>
  </r>
  <r>
    <x v="267"/>
    <s v="Burns"/>
    <s v="MI"/>
    <s v="Ben"/>
    <s v="Email"/>
    <s v="Khermandalian, Istifan"/>
    <m/>
    <x v="0"/>
    <s v="Bell Valley"/>
    <x v="1"/>
    <m/>
    <x v="4"/>
    <x v="1013"/>
    <x v="1426"/>
    <s v="PC10/TIV"/>
    <s v="2009 home in PC10. 13 min response time per google (LAFD #106). In brush. Confirmed High 9 FireLine. Good insurance scores. Markel Prem $8470; Lex $6973. Agent wants to beat Lex. (18% credit)"/>
    <x v="1"/>
    <s v="In high brush per RM and FL. PC10. High value. Not comfortable applying 16% credit to match rate."/>
    <m/>
    <m/>
    <s v="Patterson"/>
    <m/>
    <m/>
    <n v="1"/>
  </r>
  <r>
    <x v="589"/>
    <s v="Burns"/>
    <s v="MI"/>
    <s v="Delta"/>
    <s v="Email"/>
    <s v="Stilson"/>
    <s v="Earl"/>
    <x v="0"/>
    <s v="Clay"/>
    <x v="8"/>
    <m/>
    <x v="3"/>
    <x v="1014"/>
    <x v="1427"/>
    <s v="Occupancy/Use"/>
    <s v="1925 updated large dwelling which was an inn, then adult daycare, now insured's primary. Still zoned commercial. "/>
    <x v="3"/>
    <s v="Check insurance score. Found online articles saying insured is going to push for rezoning to make this a drug rehab facility. Advised we need to cancel this policy if that happens and r/w to commercial. Suggested Total Business Excl be added."/>
    <m/>
    <m/>
    <s v="Patterson"/>
    <m/>
    <m/>
    <n v="0"/>
  </r>
  <r>
    <x v="599"/>
    <s v="Hull Irvine"/>
    <s v="CA"/>
    <s v="Alison"/>
    <m/>
    <s v="Sherman"/>
    <s v="Jody"/>
    <x v="0"/>
    <s v="Encino"/>
    <x v="1"/>
    <s v="91316"/>
    <x v="5"/>
    <x v="1015"/>
    <x v="1428"/>
    <s v="Losses"/>
    <s v="1959 home w/full updates in 2010, roof full update in 2002. 5/12/18 $680K water damage claim - pipe burst caused extensive damage. Still open. 3 German Shepherds. "/>
    <x v="1"/>
    <s v="How much repair left? We will decline if there is work left. 3 Shepherds ok. Not excluded. How did 2010 plumbing break? If we go forward, no water backup, no mold, water dmg exclusion. // 2.13.09 MP Repairs in progress.  There was mold. Declined."/>
    <m/>
    <m/>
    <s v="Patterson"/>
    <m/>
    <m/>
    <n v="1"/>
  </r>
  <r>
    <x v="177"/>
    <s v="Burns"/>
    <s v="MI"/>
    <s v="Jill"/>
    <s v="Email"/>
    <s v="Dunham"/>
    <s v="Nathan  "/>
    <x v="0"/>
    <s v="Grass Valley"/>
    <x v="1"/>
    <m/>
    <x v="5"/>
    <x v="1016"/>
    <x v="1429"/>
    <s v="Increased other structures"/>
    <s v="Increased other structures due to 2 detached structures on the property; detached garage with living space, storage shed w/ rental living space, 42 solar panels"/>
    <x v="3"/>
    <s v="add rental endorsement: MPLH0179; per photos there is a large pond insured owns on prop, advised to be sure doesn't rent shown boats to anyone else"/>
    <m/>
    <m/>
    <s v="Burdine"/>
    <m/>
    <m/>
    <n v="0"/>
  </r>
  <r>
    <x v="472"/>
    <s v="Burns"/>
    <s v="MI"/>
    <s v="Alexa"/>
    <m/>
    <s v="Britton"/>
    <s v="Dan  "/>
    <x v="0"/>
    <s v="Kirbyville"/>
    <x v="36"/>
    <s v="65679"/>
    <x v="2"/>
    <x v="1017"/>
    <x v="1091"/>
    <s v="Other UW Reason"/>
    <s v="1999 home w/basement gutted. Lex NRN because they thought it was under construction. Insd selling w/unfinished basement. No farming but has 7 horses personal use. 2 German Shepherds. Possibly $500K other structures. Unfenced pool with slide.  Quoting X-liab/pool liab excluded. "/>
    <x v="0"/>
    <s v="Pool may be too much liability with other issues. Asked for photos of pool &amp; slide. Verify horse exposure. Verify use/storage of man cave. Condition of other str. Hay? Verify PC. Has 3 mortgages, need info. // 4/25 Agt came back with full details and I approved. Liab is excluded. Pool is ineligible. Cov B structures are in good condition. No interior hay storage. Advised 100% ITV. Appears to only be 2 mortgages. Home is up for sale."/>
    <s v="H insurance score"/>
    <m/>
    <s v="Patterson"/>
    <m/>
    <m/>
    <n v="0"/>
  </r>
  <r>
    <x v="818"/>
    <s v="Hull Irvine"/>
    <s v="CA"/>
    <s v="Melissa"/>
    <s v="Email"/>
    <s v="Morra"/>
    <s v="Paul &amp; Danielle"/>
    <x v="0"/>
    <s v="Malibu"/>
    <x v="1"/>
    <m/>
    <x v="5"/>
    <x v="1018"/>
    <x v="1373"/>
    <s v="TIV"/>
    <s v="Malibu is restricted - good quality risks only. 1007 dwelling with a prior $76K 2016 water damage loss."/>
    <x v="1"/>
    <s v="Clean risks only."/>
    <m/>
    <m/>
    <s v="Patterson"/>
    <m/>
    <m/>
    <n v="1"/>
  </r>
  <r>
    <x v="457"/>
    <s v="Burns"/>
    <s v="MI"/>
    <s v="Jill"/>
    <s v="Email"/>
    <s v="Phillips, Jacqueline"/>
    <m/>
    <x v="0"/>
    <s v="Robertsville"/>
    <x v="36"/>
    <m/>
    <x v="0"/>
    <x v="1019"/>
    <x v="1430"/>
    <s v="Business on premises"/>
    <s v="Originally agent excluded liability due to animals on the property. Then they were told there was a B&amp;B. Approval sought. My google search revealed this is a full blown event venue with events open to the public and tickets on Eventbrite for some events. It is a B&amp;B also. Online show possibility for a runway on the property. On and off for sale since 2012. (Moral hazard)"/>
    <x v="1"/>
    <s v="Relayed all URL's showing these various events.  This is too much for a homeowners policy."/>
    <m/>
    <m/>
    <s v="Patterson"/>
    <m/>
    <m/>
    <n v="1"/>
  </r>
  <r>
    <x v="116"/>
    <s v="Hull Irvine"/>
    <m/>
    <s v="Bobbi"/>
    <s v="Email"/>
    <s v="Gianelli, Robert &amp; Helene"/>
    <m/>
    <x v="0"/>
    <s v="Los Angeles"/>
    <x v="1"/>
    <m/>
    <x v="0"/>
    <x v="1020"/>
    <x v="290"/>
    <s v="TIV"/>
    <s v="1993 home w/ alarms. Lex renewal. We are competitive."/>
    <x v="3"/>
    <s v="Debit the rate."/>
    <m/>
    <m/>
    <s v="Patterson"/>
    <m/>
    <m/>
    <n v="0"/>
  </r>
  <r>
    <x v="790"/>
    <s v="Burns"/>
    <s v="MI"/>
    <s v="Jill"/>
    <s v="Email"/>
    <s v="Peterhans"/>
    <s v="Andre &amp; Donna Gallagher"/>
    <x v="0"/>
    <s v="San Luis Obispo"/>
    <x v="1"/>
    <m/>
    <x v="4"/>
    <x v="1021"/>
    <x v="1431"/>
    <s v="TIV"/>
    <s v="2017 home in brush full alarms. PCQ says 9 minute response time 6.1 miles. Confirmed 11 minute drive time on Google.  Online photos ok. "/>
    <x v="3"/>
    <s v="Adequate brush clearance (PCQ says not cleared to 200')"/>
    <m/>
    <m/>
    <s v="Patterson"/>
    <m/>
    <m/>
    <n v="0"/>
  </r>
  <r>
    <x v="50"/>
    <s v="Hull Irvine"/>
    <s v="CA"/>
    <s v="Gina"/>
    <s v="Email"/>
    <s v="Hernandez"/>
    <s v="Enrique"/>
    <x v="2"/>
    <s v="Pasadena"/>
    <x v="1"/>
    <m/>
    <x v="0"/>
    <x v="1022"/>
    <x v="1432"/>
    <s v="Other UW Reason"/>
    <s v="Home located in Pasadena. Referral "/>
    <x v="3"/>
    <m/>
    <m/>
    <m/>
    <s v="Lazovik"/>
    <m/>
    <m/>
    <n v="0"/>
  </r>
  <r>
    <x v="281"/>
    <s v="Hull CA"/>
    <s v="Irvine"/>
    <s v="Lisa"/>
    <s v="Email"/>
    <s v="Struck, Karen"/>
    <m/>
    <x v="0"/>
    <s v="Los Gatos "/>
    <x v="1"/>
    <m/>
    <x v="8"/>
    <x v="1023"/>
    <x v="1433"/>
    <s v="TIV"/>
    <s v="1990 home w/alarms not in brush. Insd is writer of TV movies."/>
    <x v="4"/>
    <m/>
    <m/>
    <m/>
    <s v="Patterson"/>
    <m/>
    <m/>
    <n v="0"/>
  </r>
  <r>
    <x v="659"/>
    <s v="Hull Irvine"/>
    <s v="CA"/>
    <s v="Alison"/>
    <s v="Email"/>
    <s v="Colby"/>
    <s v="Trevor &amp; Linda"/>
    <x v="4"/>
    <s v="Malibu"/>
    <x v="1"/>
    <m/>
    <x v="0"/>
    <x v="1024"/>
    <x v="1434"/>
    <s v="TIV"/>
    <s v="secondary home in malin"/>
    <x v="3"/>
    <s v="Subject to no brush, RM not attached"/>
    <m/>
    <m/>
    <s v="Burdine"/>
    <m/>
    <m/>
    <n v="0"/>
  </r>
  <r>
    <x v="413"/>
    <s v="SCU"/>
    <s v="CO"/>
    <s v="Allison"/>
    <s v="Email"/>
    <s v="Thorsen"/>
    <s v="Sharron &amp; Robert"/>
    <x v="6"/>
    <s v="Castle Rock"/>
    <x v="19"/>
    <m/>
    <x v="2"/>
    <x v="1025"/>
    <x v="1435"/>
    <s v="TIV"/>
    <s v="Vacant property, for sale so home still staged with property; CSFB alarms, gated community"/>
    <x v="4"/>
    <s v="Approved as quoted"/>
    <m/>
    <m/>
    <s v="Burdine"/>
    <m/>
    <m/>
    <n v="0"/>
  </r>
  <r>
    <x v="722"/>
    <s v="Burns"/>
    <s v="MI"/>
    <s v="Alexa"/>
    <m/>
    <s v="McNeilly"/>
    <s v="Michael"/>
    <x v="0"/>
    <s v="Los Angeles"/>
    <x v="1"/>
    <s v="90068"/>
    <x v="11"/>
    <x v="1026"/>
    <x v="1436"/>
    <s v="High Profile"/>
    <s v="1933 year built with full updates in 2017 to all systems and roof. WRS 78. Applicant is an artist who had some legal battles with the city of LA about 7 years ago. He had done larger mural wall art displays on buildings and the city tried making a law to ban those and go after those who had already put them up. Nothing further found after 2013."/>
    <x v="4"/>
    <s v="Approved as there wasn’t anything lasting from the disputes. No other liability concern was posed. "/>
    <s v="Some chaos this week with a RUSH Stockton audit that backed up referrals.  Turnaround may have been impacted."/>
    <m/>
    <s v="Busse"/>
    <m/>
    <m/>
    <n v="0"/>
  </r>
  <r>
    <x v="366"/>
    <s v="Burns"/>
    <s v="MI"/>
    <s v="Leslie"/>
    <s v="Email"/>
    <s v="Riggs, Conrad"/>
    <m/>
    <x v="0"/>
    <s v="Malibu"/>
    <x v="1"/>
    <m/>
    <x v="5"/>
    <x v="1027"/>
    <x v="1437"/>
    <s v="TIV"/>
    <s v="1984 home new purchase. Does not have 150' brush clearance per agent."/>
    <x v="3"/>
    <s v="Approved subj to 150' clearance. Advised Leslie to review mitigation form. We are not calling for total clearing of all vegetation."/>
    <m/>
    <m/>
    <s v="Patterson"/>
    <m/>
    <m/>
    <n v="0"/>
  </r>
  <r>
    <x v="251"/>
    <s v="Burns"/>
    <s v="MI"/>
    <s v="Leslie"/>
    <s v="Email"/>
    <s v="Faria, Lewis"/>
    <m/>
    <x v="0"/>
    <s v="Rancho Mirage CA PC6"/>
    <x v="1"/>
    <m/>
    <x v="3"/>
    <x v="1028"/>
    <x v="1438"/>
    <s v="Unfenced pool"/>
    <s v="2001 home on golf course with unfenced pool. Gated community. Golf course wants to be added as AI. Very nice online pics."/>
    <x v="3"/>
    <s v="Could not write liability, but approved with pool exclusion. Cannot add AI."/>
    <m/>
    <m/>
    <s v="Patterson"/>
    <m/>
    <m/>
    <n v="0"/>
  </r>
  <r>
    <x v="451"/>
    <s v="Hull Irvine"/>
    <s v="CA"/>
    <s v="Alison"/>
    <m/>
    <s v="Kaplan"/>
    <m/>
    <x v="3"/>
    <s v="Squaw Valley"/>
    <x v="1"/>
    <s v="96146"/>
    <x v="8"/>
    <x v="1029"/>
    <x v="1439"/>
    <s v="Condition"/>
    <s v="1977 home w/updates. However roof is 2002 woodshake. WRS is 82."/>
    <x v="1"/>
    <s v="Woodshake in higher brush zone."/>
    <m/>
    <m/>
    <s v="Patterson"/>
    <m/>
    <m/>
    <n v="1"/>
  </r>
  <r>
    <x v="482"/>
    <s v="Hull CA"/>
    <s v="Irvine"/>
    <s v="Alison"/>
    <s v="Email"/>
    <s v="Alice 1 LLC"/>
    <m/>
    <x v="21"/>
    <s v="Los Angeles CA PC4"/>
    <x v="3"/>
    <m/>
    <x v="0"/>
    <x v="1030"/>
    <x v="1031"/>
    <s v="Insd won't disclose their name."/>
    <s v="1924 home updated, not in brush. Insured is a princess and has home in name of LLC to protect anonymity.  No CPL, PI or ID Fraud. She has a home out of the country. Agent rated this secondary. Internet notes an original log cabin on the grounds, but no Oth Str covg. Photo online looks nice!"/>
    <x v="3"/>
    <s v="Approved subject to • Confirm she is the only member of the LLC._x000a_• Confirm she is princess of a “neutral” or “friendly” country with the U.S.  (To alleviate any concern of intentional damage to the home by an adversary.)  _x000a_• The princess should be the one to sign the application.  We must contract with the person who has the insurable interest.  (If she has someone appointed as a POA, and the state authorizes them to buy insurance policies on a client’s behalf, this would be acceptable.)_x000a_"/>
    <m/>
    <m/>
    <s v="Patterson"/>
    <m/>
    <m/>
    <n v="0"/>
  </r>
  <r>
    <x v="442"/>
    <s v="Burns"/>
    <s v="MI"/>
    <s v="Ben"/>
    <s v="Email"/>
    <s v="Austin, Michael"/>
    <m/>
    <x v="0"/>
    <s v="Big Bear City"/>
    <x v="1"/>
    <m/>
    <x v="5"/>
    <x v="1030"/>
    <x v="1440"/>
    <s v="TIV"/>
    <s v="1995 frame home (looks like log online). Not in brush. Very nice looking home."/>
    <x v="3"/>
    <s v="Confirm whether this is log and if so, ensure rating is correct. Can't read uw question answers - subj to acceptable answers."/>
    <m/>
    <m/>
    <s v="Patterson"/>
    <m/>
    <m/>
    <n v="0"/>
  </r>
  <r>
    <x v="561"/>
    <s v="Burns"/>
    <s v="MI"/>
    <s v="Leslie"/>
    <s v="Email"/>
    <s v="Siddiqui, Ghazala"/>
    <m/>
    <x v="0"/>
    <s v="Portola Valley CA PC3"/>
    <x v="3"/>
    <m/>
    <x v="0"/>
    <x v="1030"/>
    <x v="1414"/>
    <s v="TIV&gt;$3M"/>
    <s v="1995 primary residence - beautiful per online photos. In med brush per RM, High 6 per Fireline, med-heavy fuels, mod slope, no access probs. Has burglar alarm only. Burns has no criteria for alarms in higher valued homes. Feeling okay since primary home and FireLine rating."/>
    <x v="4"/>
    <m/>
    <m/>
    <m/>
    <s v="Patterson"/>
    <m/>
    <m/>
    <n v="0"/>
  </r>
  <r>
    <x v="615"/>
    <s v="Hull CA"/>
    <s v="CA"/>
    <s v="Alex"/>
    <s v="Email"/>
    <s v="Fuchs, Michael"/>
    <m/>
    <x v="36"/>
    <s v="Mill Valley"/>
    <x v="1"/>
    <m/>
    <x v="9"/>
    <x v="1030"/>
    <x v="1414"/>
    <s v="TIV over $3Mil"/>
    <s v="theft loss in 2014 for $85K, has installed central alarm. Theft ded quoted same as AOP ($2500)"/>
    <x v="2"/>
    <s v="ran fire line (high); advised consideration with $25K ded, questioned business on premise. Customer self-employed, company info links to home address"/>
    <s v="per Alex, agt didn't want higher ded so not pursuing"/>
    <m/>
    <s v="Burdine"/>
    <m/>
    <m/>
    <n v="0"/>
  </r>
  <r>
    <x v="202"/>
    <s v="Hull CA"/>
    <s v="Stockton"/>
    <s v="Alison"/>
    <s v="Email"/>
    <s v="Long, Robert"/>
    <m/>
    <x v="5"/>
    <s v="Dana Point CA"/>
    <x v="3"/>
    <m/>
    <x v="0"/>
    <x v="1031"/>
    <x v="1441"/>
    <s v="Waive loss"/>
    <s v="1989 home vacant and for sale. 3 month policy. Agent overlooked disclosing $0 water damage/roof leak loss. Insured withdrew as it was under deductible. Appear there is a flat roof and agent didn't apply $10K water ded. Use that as a compromise on the loss."/>
    <x v="4"/>
    <m/>
    <m/>
    <m/>
    <s v="Patterson"/>
    <m/>
    <m/>
    <n v="0"/>
  </r>
  <r>
    <x v="121"/>
    <s v="Hull Irvine"/>
    <m/>
    <s v="Melissa"/>
    <s v="Email"/>
    <s v="Kurkian, Margaret"/>
    <m/>
    <x v="0"/>
    <s v="Sherman Oaks "/>
    <x v="1"/>
    <m/>
    <x v="8"/>
    <x v="1032"/>
    <x v="1442"/>
    <s v="TIV"/>
    <s v="1996 home prev w/Lex, agt wants to move. Small amount of jewelry and silver will be scheduled."/>
    <x v="3"/>
    <s v="Confirm if pp is scheduled of they are insuring under Incr Special Limits form."/>
    <m/>
    <m/>
    <s v="Patterson"/>
    <m/>
    <m/>
    <n v="0"/>
  </r>
  <r>
    <x v="264"/>
    <s v="Burns"/>
    <s v="MI"/>
    <s v="Ben"/>
    <s v="Email"/>
    <s v="Cooper, Matthew"/>
    <m/>
    <x v="0"/>
    <s v="Santa Barbara"/>
    <x v="1"/>
    <m/>
    <x v="2"/>
    <x v="1033"/>
    <x v="1443"/>
    <s v="Renewal TIV"/>
    <s v="2005 home insured last year. Renewal TIV is over agents binding authority. "/>
    <x v="4"/>
    <m/>
    <m/>
    <m/>
    <s v="Patterson"/>
    <m/>
    <m/>
    <n v="0"/>
  </r>
  <r>
    <x v="161"/>
    <s v="Burns"/>
    <s v="MI"/>
    <s v="Delta"/>
    <s v="Email"/>
    <s v="Cooper"/>
    <s v="Matthew  BWH100194"/>
    <x v="0"/>
    <s v="Santa Barbara"/>
    <x v="1"/>
    <m/>
    <x v="2"/>
    <x v="1033"/>
    <x v="1444"/>
    <s v="Renewal with new loss"/>
    <s v="2005 home in brush. Approved last year. Has new water loss since - 12/16 fridge line leaked. $14K paid. Agt quoting with $10K water damage ded. $5K AOP"/>
    <x v="4"/>
    <m/>
    <m/>
    <n v="25"/>
    <s v="Patterson"/>
    <m/>
    <m/>
    <n v="0"/>
  </r>
  <r>
    <x v="128"/>
    <s v="SCU"/>
    <s v="CO"/>
    <s v="Allison"/>
    <s v="Email"/>
    <s v="Brown, Edward J &amp; Deborah Ann"/>
    <m/>
    <x v="16"/>
    <s v="Coto De Caza"/>
    <x v="1"/>
    <m/>
    <x v="2"/>
    <x v="1034"/>
    <x v="1445"/>
    <s v="TIV"/>
    <s v="1990 home w/updates purchased for daughter to live in full time, insureds visit seasonally. Chubb NRN due to brush. In brush zone. Rater says &lt;150 clearance. Online Zillow shows horses and vineyard."/>
    <x v="3"/>
    <s v="subject to _x000a_• 150’ brush clearance.  Rater says &lt;150’, maybe that is just for rating purposes.  In CA, we are strict about the 150’ clearance._x000a_• Please ask about horses and horse exposure, riding lessons, breeding, boarding:  https://www.zillow.com/homedetails/30861-Via-Colinas-Coto-De-Caza-CA-92679/25617343_zpid/.  Depending on number of horses and activity, we may have to revise terms._x000a_• Please also ask about a vineyard – Zillow states 1600 vines.  Do they still have them?  Any sales, tasting, hiring someone to maintain, leasing to someone to maintain?  We may need to do some additional underwriting or add a total business exclusion._x000a_"/>
    <m/>
    <m/>
    <s v="Patterson"/>
    <m/>
    <m/>
    <n v="0"/>
  </r>
  <r>
    <x v="175"/>
    <s v="Hull Irvine"/>
    <s v="CA"/>
    <s v="Alison"/>
    <s v="Call"/>
    <s v="Ronda Cashman Evans Trust"/>
    <m/>
    <x v="1"/>
    <s v="Malibu"/>
    <x v="1"/>
    <m/>
    <x v="0"/>
    <x v="1035"/>
    <x v="0"/>
    <s v="Roof update"/>
    <s v="1978 dwelling with unknown roof updates.  Should roof be excluded? It is being replaced during reno."/>
    <x v="3"/>
    <s v="Exclude roof. Remove exclusion when proof of replacement is received."/>
    <m/>
    <m/>
    <s v="Patterson"/>
    <m/>
    <m/>
    <n v="0"/>
  </r>
  <r>
    <x v="272"/>
    <s v="Hull CA"/>
    <s v="Stockton"/>
    <s v="Kirk"/>
    <s v="Call"/>
    <s v="Crescent Court LLC"/>
    <m/>
    <x v="152"/>
    <m/>
    <x v="3"/>
    <m/>
    <x v="0"/>
    <x v="1035"/>
    <x v="0"/>
    <s v="Builders Risk 2 townhomes"/>
    <s v="2 townhomes (37 - 39 Crescent Court). 2 sep units ground up construction. Will be rented out. Advised to rate as 2 separate units."/>
    <x v="4"/>
    <m/>
    <m/>
    <m/>
    <s v="Patterson"/>
    <m/>
    <m/>
    <n v="0"/>
  </r>
  <r>
    <x v="232"/>
    <s v="Hull CO"/>
    <s v="Charlotte"/>
    <s v="Karen"/>
    <s v="Email"/>
    <s v="Donnelly, Patrick"/>
    <m/>
    <x v="1"/>
    <s v="Charleston SC"/>
    <x v="3"/>
    <m/>
    <x v="0"/>
    <x v="1035"/>
    <x v="1085"/>
    <s v="Rate reduction"/>
    <s v="1898 home being completely remodeled. Agent wants approval for rate with MFRC."/>
    <x v="4"/>
    <s v="Reviewed AAL. Premium came in at $1,492 vs. our rater $6,413. "/>
    <m/>
    <m/>
    <s v="Patterson"/>
    <m/>
    <m/>
    <n v="0"/>
  </r>
  <r>
    <x v="187"/>
    <s v="Hull Irvine"/>
    <s v="CA"/>
    <s v="Alison"/>
    <s v="Email"/>
    <s v="McLean"/>
    <s v="Kirk &amp; Jennifer"/>
    <x v="6"/>
    <s v="Newport Beach"/>
    <x v="1"/>
    <m/>
    <x v="8"/>
    <x v="1035"/>
    <x v="124"/>
    <s v="Mid term builders risk"/>
    <s v="This insured has had a rental policy in place, however, the home is under construction. The agent just found out today; fully enclosed but working on interior"/>
    <x v="3"/>
    <s v="Approved, advised need a 20% surcharge; RM and photos OK"/>
    <m/>
    <m/>
    <s v="Burdine"/>
    <m/>
    <m/>
    <n v="0"/>
  </r>
  <r>
    <x v="120"/>
    <s v="Hull Irvine"/>
    <m/>
    <s v="Alex"/>
    <s v="Call"/>
    <s v="Nishiuchi, Meri"/>
    <m/>
    <x v="5"/>
    <s v="Santa Ana"/>
    <x v="1"/>
    <m/>
    <x v="0"/>
    <x v="1035"/>
    <x v="1365"/>
    <s v="Occupancy"/>
    <s v="Insured is in the process of evicting her sister after a Trust lawsuit settlement gave her this home that her sister had been occupying. Sister was hiding assets from family trust. Insd lives in Japan. Attorney is handling checking on the home and selling it.  They will get their payment from the proceeds of the sale. Expect a 6 month policy. 1968 home w/updates. Alarms. Good agent. Sister to be out 6/20; insured taking ownership 6/27. Was primary residence of sister insured w/Chubb 6/2/17-6/2/18. Lawsuit actually settled in 2013 for $10M. It has taken this time to sort things out. Property will go up for sale on 6/27."/>
    <x v="0"/>
    <s v="Discussed security required - need camera and water flow sensors added to central station. Need info on sister's state of mind and how the eviction will play out. Require inspection prior to effective date to confirm no damage. Surcharge 20%. Add existing damage exclusion. Require attorney to inspect bi-weekly for 1 month, then weekly. Consider requiring insured realtor to be present at all house showings. (to ensure sister doesn't come in, and house is secured after showings.)  Main concern is whether sister will damage the house. How can we protect as much as possible.  //  6/19/17 Mother lives in Taiwan. Niece currently occupies home but has found place to live and is leaving voluntarily. Sounds like little/no worry about anyone damaging the home. Struck out requirements above that we will no longer ask for based on new info. // Attorneys can't get into home until after 6/27. Agreed they can inspect and take photos then (post tenant move out)."/>
    <m/>
    <m/>
    <s v="Patterson"/>
    <m/>
    <m/>
    <n v="0"/>
  </r>
  <r>
    <x v="148"/>
    <s v="Burns"/>
    <s v="MI"/>
    <s v="Jill"/>
    <s v="Email"/>
    <s v="Goddard"/>
    <s v="Douglas H"/>
    <x v="0"/>
    <s v="San Bernardino"/>
    <x v="1"/>
    <m/>
    <x v="9"/>
    <x v="1035"/>
    <x v="1446"/>
    <s v="Cannabis operation"/>
    <s v="1990 home w/ 19 Arabian horses (personal use). Land leased to cannabis grow operation. 46 acres."/>
    <x v="1"/>
    <s v="Currently not entertaining risks w/cannabis operations. "/>
    <m/>
    <n v="10"/>
    <s v="Patterson"/>
    <m/>
    <m/>
    <n v="1"/>
  </r>
  <r>
    <x v="399"/>
    <s v="Burns"/>
    <s v="MI"/>
    <s v="Delta"/>
    <s v="Email"/>
    <s v="Hawk LLC"/>
    <m/>
    <x v="5"/>
    <s v="Mill Valley"/>
    <x v="1"/>
    <m/>
    <x v="2"/>
    <x v="1035"/>
    <x v="1295"/>
    <s v="TIV"/>
    <s v="2017 new build vacant and for sale. Nice online pics. Not in brush, no alarms, $5K ded. Has 50% ERC. $500/SF seems adequate."/>
    <x v="3"/>
    <s v="LLC form"/>
    <m/>
    <n v="15"/>
    <s v="Patterson"/>
    <m/>
    <m/>
    <n v="0"/>
  </r>
  <r>
    <x v="339"/>
    <s v="Burns"/>
    <s v="MI"/>
    <s v="Jill"/>
    <s v="Email"/>
    <s v="Odland"/>
    <s v="Derrick"/>
    <x v="117"/>
    <s v="South Lake Tahoe"/>
    <x v="1"/>
    <m/>
    <x v="5"/>
    <x v="1035"/>
    <x v="1295"/>
    <s v="TIV"/>
    <s v="BWD105548-renewal w/ no prior approval,_x000a_Frame, tenant, built in 2012, no losses, PC4, in brush, located in CA, inspection attached_x000a_"/>
    <x v="3"/>
    <s v="Per online review, home now has indoor pool in spa. Advised OK to renew, but needs to be sure properly secured. "/>
    <s v=" requested reason why was not originally sent before binding"/>
    <m/>
    <s v="Burdine"/>
    <m/>
    <m/>
    <n v="0"/>
  </r>
  <r>
    <x v="461"/>
    <s v="Burns"/>
    <s v="MI"/>
    <s v="Alexa"/>
    <m/>
    <s v="Lewis"/>
    <s v="Reed"/>
    <x v="4"/>
    <s v="Soudan"/>
    <x v="31"/>
    <s v="55781"/>
    <x v="6"/>
    <x v="1035"/>
    <x v="1447"/>
    <s v="PC"/>
    <s v="2016 year built. Risk is on its own island about 500 ft from the shore of the mainland at its closest point. UP quest says that response time is 10 min, during summer FD has fire boat, winter a truck with 750 gallons can drive on ice, and time where ice isn't thick enough the backup FD has airboat that can access and break through ice to get water. Responding FD is volunteer. No alarms in property. Insurance score N. rated at about .23 per 100. "/>
    <x v="1"/>
    <s v="Declined risk due to the combination of the location and value. Unsure about the response time accuracy, and no alarms. "/>
    <s v="Similar island risks like this we have approved at a rate around .60 per 100. Those risks, however, had actual FD on the island as well. "/>
    <m/>
    <s v="Busse"/>
    <m/>
    <m/>
    <n v="1"/>
  </r>
  <r>
    <x v="327"/>
    <s v="Burns"/>
    <s v="MI"/>
    <s v="Alexa"/>
    <s v="Email"/>
    <s v="Emmer"/>
    <s v="Paul &amp; Beau Franklin"/>
    <x v="2"/>
    <m/>
    <x v="1"/>
    <m/>
    <x v="8"/>
    <x v="1035"/>
    <x v="1448"/>
    <s v="Losses"/>
    <s v="1995 frame dwelling with 2010 roof update. Insd is VP of Edible Arrangements. 1/18/18 loss $411,616 Leak from master bedroom toilet down into the kitchen. Good ins score. Quoted with $25,000 Water Damage Deductible. Also quoted with Animal Liability."/>
    <x v="3"/>
    <s v="S/C addl 10% due to size of loss. Verify PC2 - RiskMeter shows no station within 5 miles. Why Animal Liab for a tenant risk?"/>
    <m/>
    <m/>
    <s v="Patterson"/>
    <m/>
    <m/>
    <n v="0"/>
  </r>
  <r>
    <x v="482"/>
    <s v="Hull CA"/>
    <s v="Stockton"/>
    <s v="Lisa"/>
    <s v="Email"/>
    <s v="Thomas, Jeffrey"/>
    <m/>
    <x v="0"/>
    <s v="Los Altos CA PC10"/>
    <x v="3"/>
    <m/>
    <x v="0"/>
    <x v="1035"/>
    <x v="1449"/>
    <s v="PC10"/>
    <s v="2006 home, low brush. Online photos show beautiful home. Alarms. 5.9 miles to FD, 12 min response, accessible"/>
    <x v="4"/>
    <m/>
    <m/>
    <m/>
    <s v="Patterson"/>
    <m/>
    <m/>
    <n v="0"/>
  </r>
  <r>
    <x v="572"/>
    <s v="Burns"/>
    <s v="MI"/>
    <s v="Jill"/>
    <m/>
    <s v="Browne"/>
    <s v="Jill &amp; James"/>
    <x v="4"/>
    <s v="Hellertown"/>
    <x v="2"/>
    <s v="18055"/>
    <x v="6"/>
    <x v="1035"/>
    <x v="1450"/>
    <s v="PC"/>
    <s v="1994 year built. C/S alarm, no losses. There is an indoor pool and hot tub. Entire home is very nice, so no concern with installation/construction of the indoor pool. Home is on 22 acres. "/>
    <x v="4"/>
    <s v="Other than the fact that this is a PC 9, this looks to be a great risk. As mentioned about the pool, no concerns that would require any pool/liability exclusions or water damage exclusions. As such, approved terms"/>
    <m/>
    <m/>
    <s v="Busse"/>
    <m/>
    <m/>
    <n v="0"/>
  </r>
  <r>
    <x v="62"/>
    <s v="Hull Irvine"/>
    <m/>
    <s v="Alison"/>
    <s v="Email/Call"/>
    <s v="Dahlberg, John"/>
    <m/>
    <x v="1"/>
    <m/>
    <x v="3"/>
    <m/>
    <x v="12"/>
    <x v="1035"/>
    <x v="1451"/>
    <s v="TIV"/>
    <s v="Agent wanted approval in case TIV increases after retailer discusses w/insured. Risk looks good. COC. 2003 home."/>
    <x v="4"/>
    <m/>
    <m/>
    <m/>
    <s v="Patterson"/>
    <m/>
    <m/>
    <n v="0"/>
  </r>
  <r>
    <x v="284"/>
    <s v="Hull CA"/>
    <s v="Irvine"/>
    <s v="Alison"/>
    <s v="Email"/>
    <s v="Loshitzer"/>
    <m/>
    <x v="0"/>
    <s v="Beverly Hills "/>
    <x v="3"/>
    <m/>
    <x v="0"/>
    <x v="1035"/>
    <x v="1371"/>
    <s v="TIV"/>
    <s v="Beautiful Beverly Hills home. Cov A verified per agents. In brush, but &quot;good brush&quot; Beverly Hills. Closing today."/>
    <x v="4"/>
    <m/>
    <m/>
    <m/>
    <s v="Patterson"/>
    <m/>
    <m/>
    <n v="0"/>
  </r>
  <r>
    <x v="370"/>
    <s v="Burns"/>
    <s v="MI"/>
    <s v="David"/>
    <s v="Email"/>
    <s v="Howard"/>
    <s v="Marylou"/>
    <x v="0"/>
    <s v="Burbank "/>
    <x v="1"/>
    <m/>
    <x v="11"/>
    <x v="1035"/>
    <x v="1452"/>
    <s v="TIV"/>
    <s v="1978 risk in brush. Full CS alarms. Online google photo looks good."/>
    <x v="4"/>
    <m/>
    <s v="There was one online negative article about someone with this name. But the article refers to someone who is a council woman. The insured's occupation is listed as homemaker.  It could fit, since she is listed as widowed, and the person in the article's husband is deceased (suicide).  The article referred to some questionable zoning actions from 2010 regarding vacant property. Couldn't find any other info to corroborate a concern with this insured. "/>
    <m/>
    <s v="Patterson"/>
    <m/>
    <m/>
    <n v="0"/>
  </r>
  <r>
    <x v="435"/>
    <s v="Burns"/>
    <s v="MI"/>
    <s v="Danielle"/>
    <s v="Email"/>
    <s v="Nasta, Mauricio"/>
    <m/>
    <x v="0"/>
    <s v="Pacific Palisades"/>
    <x v="1"/>
    <m/>
    <x v="11"/>
    <x v="1035"/>
    <x v="1452"/>
    <s v="TIV"/>
    <s v="1998 home, alarms. Online photo looks good. No adverse info."/>
    <x v="4"/>
    <s v="4/25/17 update. Agent found lapse since 2010. Applying 15% s/c. Credit score in high 900's."/>
    <m/>
    <m/>
    <s v="Patterson"/>
    <m/>
    <m/>
    <n v="0"/>
  </r>
  <r>
    <x v="164"/>
    <s v="Burns"/>
    <s v="CA"/>
    <s v="Jill"/>
    <s v="Email"/>
    <s v="Wheeler"/>
    <s v="James"/>
    <x v="0"/>
    <s v="Tiburon"/>
    <x v="1"/>
    <m/>
    <x v="9"/>
    <x v="1035"/>
    <x v="1452"/>
    <s v="TIV"/>
    <s v="1974 home w/some updates. Wood shake roof updated in 2005-agent applying ACV roof. Not in brush, so roof okay. Online photos okay."/>
    <x v="4"/>
    <m/>
    <m/>
    <n v="21"/>
    <s v="Patterson"/>
    <m/>
    <m/>
    <n v="0"/>
  </r>
  <r>
    <x v="347"/>
    <s v="AmWINS"/>
    <s v="IL"/>
    <s v="Tasha"/>
    <m/>
    <s v="Wu"/>
    <s v="Kelvin"/>
    <x v="0"/>
    <s v="Wilson"/>
    <x v="51"/>
    <s v="83014"/>
    <x v="4"/>
    <x v="1035"/>
    <x v="1453"/>
    <s v="PC"/>
    <s v="Tasha sent this over thinking that we wouldn’t be able to accept but just wanted to check. Was also declined by Lex and Lloyds. Responding FD is volunteer with a response time of 20 minutes. There then is a paid FD that has a response time of 25 minutes. No dry hydrant at property either. "/>
    <x v="1"/>
    <s v="Declined risk due to response times. Tasha figured that would be the response but just wanted to check. She knew response time had to be under 15 minutes but didn’t know if a paid FD would help, even though it is further than the volunteer."/>
    <m/>
    <m/>
    <s v="Busse"/>
    <m/>
    <m/>
    <n v="1"/>
  </r>
  <r>
    <x v="611"/>
    <s v="SCU"/>
    <s v="CO"/>
    <s v="Alison"/>
    <m/>
    <s v="Case"/>
    <s v="Richard &amp; Christine"/>
    <x v="0"/>
    <s v="Boulder"/>
    <x v="19"/>
    <s v="80302"/>
    <x v="9"/>
    <x v="1035"/>
    <x v="1454"/>
    <s v="Losses"/>
    <s v="1972 home updated. Very nice online pictures. Insd has own business, confirmed off premises. Loss 11/7/17 son's hover board caught fire. $203,437. No detail, no C&amp;O provided. Agent did not surcharge for the loss."/>
    <x v="2"/>
    <s v="Advised a rate indication can be provided with surcharge for 1 loss. Need C&amp;O report. Asked where the hover board was and what brand it was. Online articles note fires as far back as 2015, but majority of recalls were late 2017. Will review C&amp;O for any indication of negligence. "/>
    <m/>
    <m/>
    <s v="Patterson"/>
    <m/>
    <m/>
    <n v="0"/>
  </r>
  <r>
    <x v="741"/>
    <s v="Hull Irvine"/>
    <s v="CA"/>
    <s v="Alison"/>
    <s v="Email"/>
    <s v="Safarian"/>
    <s v="Artine"/>
    <x v="0"/>
    <s v="Glendale"/>
    <x v="1"/>
    <m/>
    <x v="0"/>
    <x v="1035"/>
    <x v="1455"/>
    <s v="Lapse"/>
    <s v="Lapsed 10/11 w/ Travelers, quoted with surcharge"/>
    <x v="2"/>
    <s v="While reviewing this address, it appears to be within 20 miles of a fire that isn’t quite 100% contained (Creek Fire and another unnamed fire).  Advised to check back after 100% contained for further consideration, with a no loss statement"/>
    <s v="Agreed ok to offer terms, with contingency in place prior to binding: no damage to home, no loss statement signed, fire 100% contained"/>
    <m/>
    <s v="Burdine"/>
    <m/>
    <m/>
    <n v="0"/>
  </r>
  <r>
    <x v="119"/>
    <s v="Burns"/>
    <s v="MI"/>
    <s v="Danielle"/>
    <s v="Email"/>
    <s v="Jeffery, Kirstin"/>
    <m/>
    <x v="0"/>
    <s v="La Jolla"/>
    <x v="1"/>
    <m/>
    <x v="8"/>
    <x v="1036"/>
    <x v="1456"/>
    <s v="Prior losses"/>
    <s v="1928 home: fully updated in 1996; 2006 (partial elec, plumbing, heating). Roof updated in 2016 with wood shingle.  1/16 water loss-roof leak $20K. 5/16 broken pipe $5K.  Not in a brush zone per RM. $5K water ded applied."/>
    <x v="4"/>
    <m/>
    <m/>
    <m/>
    <s v="Patterson"/>
    <m/>
    <m/>
    <n v="0"/>
  </r>
  <r>
    <x v="344"/>
    <s v="Hull Irvine"/>
    <s v="CA"/>
    <s v="Bobbi"/>
    <m/>
    <s v="Deitch"/>
    <s v="Joshua &amp; Amy"/>
    <x v="0"/>
    <s v="Mill Valley"/>
    <x v="1"/>
    <s v="94941"/>
    <x v="2"/>
    <x v="1037"/>
    <x v="1407"/>
    <s v="Condition"/>
    <s v="1954 home and guest house updated.  New purchase. Guest house has a wood shake roof which will be replaced asap w/comp roof when sale closes."/>
    <x v="1"/>
    <s v="No exceptions at this time in CA. Guest house looks like a fire hazard anyway."/>
    <m/>
    <m/>
    <s v="Patterson"/>
    <m/>
    <m/>
    <n v="1"/>
  </r>
  <r>
    <x v="288"/>
    <s v="Hull CO"/>
    <s v="Horsham"/>
    <s v="Nichole"/>
    <s v="Email"/>
    <s v="Garcia, Jose"/>
    <m/>
    <x v="1"/>
    <s v="Sudbury"/>
    <x v="21"/>
    <m/>
    <x v="0"/>
    <x v="1038"/>
    <x v="1457"/>
    <s v="Prior losses"/>
    <s v="Insured has large water damage claim and prior hail loss.  Info submitted does not match app. Sent back numerous questions. May consider if details make sense. Need rater correct, add 10% addl prem and large water ded."/>
    <x v="2"/>
    <s v="_x000a_• The app says a pipe broke, your message says ice dam claim.  Please clarify?_x000a_• When did the loss occur?_x000a_• If it is a pipe, please provide full details of what happened, where the pipe was, why it amounted to so much, what plumbing repairs have been done throughout the rest of the house._x000a_• Could we please have more information on the plumbing leak detector that was installed. Brand name? How does it work?_x000a_• What is the current status of demolition and/or repair of the interior?  _x000a_• Are there any areas remaining in the interior that were damaged by water or has everything been torn out?_x000a_• Has any mold testing been done?_x000a_• There is no surcharge for losses on the rater?  Per the app, there are 2._x000a_• Due to the size of the loss, we may need to add an additional surcharge to the premium – probably around 10%._x000a_• Due to the size of the loss, we may need to go with max $10,000 water damage deductible._x000a__x000a_"/>
    <m/>
    <m/>
    <s v="Patterson"/>
    <m/>
    <m/>
    <n v="0"/>
  </r>
  <r>
    <x v="126"/>
    <s v="Burns"/>
    <s v="MI"/>
    <s v="Jill"/>
    <s v="Email"/>
    <s v="KNCT Castle Rock Lake Properties"/>
    <m/>
    <x v="25"/>
    <s v="Mauston"/>
    <x v="12"/>
    <m/>
    <x v="4"/>
    <x v="1039"/>
    <x v="1458"/>
    <s v="PC10 Not accessible year round"/>
    <s v="2008 log home.  Nice online photos. FD is volunteer. 10.5 miles away. 16-20 min drive time. Not accessible year round. Alarms. VMGA rate .35."/>
    <x v="3"/>
    <s v="Approved with 110% s/c (2.10 factor) .73 rate. Per Danielle recently, competitors charge .60-.80 for high response time/inaccessible"/>
    <s v="Reviewed w/Jeff, he's okay with doing it."/>
    <m/>
    <s v="Patterson"/>
    <m/>
    <m/>
    <n v="0"/>
  </r>
  <r>
    <x v="450"/>
    <s v="Hull CA"/>
    <s v="Irvine"/>
    <s v="Alex"/>
    <s v="Email"/>
    <s v="Rihan, Husam"/>
    <m/>
    <x v="1"/>
    <s v="Poway"/>
    <x v="1"/>
    <m/>
    <x v="5"/>
    <x v="1040"/>
    <x v="1459"/>
    <s v="TIV"/>
    <s v="2016 new build ground up. Lot currently is open with an in ground pool per online photos."/>
    <x v="3"/>
    <s v="Suggested pool exclusion and provided online photo."/>
    <m/>
    <m/>
    <s v="Patterson"/>
    <m/>
    <m/>
    <n v="0"/>
  </r>
  <r>
    <x v="333"/>
    <s v="Hull Stockton"/>
    <s v="CA"/>
    <s v="Kirk"/>
    <s v="Email"/>
    <s v="Cavanaugh, Donald"/>
    <m/>
    <x v="0"/>
    <s v="Palm Springs"/>
    <x v="1"/>
    <m/>
    <x v="9"/>
    <x v="1041"/>
    <x v="1460"/>
    <s v="TIV/Prior  Non-renewal"/>
    <s v="2 prior theft claims, out of brush, alarms in home, 2001 build; Travelers NR due to 2 theft losses-provided info-1 in 2013-power was out, someone came in home and insured scared off-$3,075 paid. 1 in 2016-insured left door open for a guest, has since installed electronic locks that he can change codes on if a guest uses-paid $1400"/>
    <x v="3"/>
    <s v="subject to confirmation no business on premise, all uw app questions answered, and prefer higher theft ded, but OK keeping with lower ded since mitigation was put in place"/>
    <s v="Melissa's notes from original referral:2001 home not in brush, full c/s alarms. Online info looks fine. 2 prior theft losses - break in to home per app. 7/13 $3K computer, watches; 5/16 $1,400 computer and satchel. Checked Trulia, not a high crime area (although many have occurred). Wouldn't figure a $3.5M TIV risk to be a smash and grab target. No online concerns with name or prop addr. mLooking for any evidence or morale hazard. Should have done something to keep this from happening.  • The app says these were both home break ins.  Could you please get some details about what happened.  It was this house, correct?  How did the losses occur, what time of day, anyone home, did they have alarms at the time?_x000a_• What has been done to prevent future similar losses?_x000a_• If we move forward it will be subject to:_x000a_Confirmation of no business taking place on the premises (app says self employed, agent has CL policies, just wanted to make sure)_x000a_• All UW questions on app must be answered (some are blank)_x000a_Considered running an A+ and insurance score, but loss amounts are small. May do this when the answers come back."/>
    <m/>
    <s v="K.Burdine"/>
    <m/>
    <m/>
    <n v="0"/>
  </r>
  <r>
    <x v="296"/>
    <s v="Hull CO"/>
    <s v="NJ"/>
    <s v="Lisa"/>
    <s v="Email"/>
    <s v="Ogden, Henry"/>
    <m/>
    <x v="16"/>
    <s v="Hanahan"/>
    <x v="20"/>
    <m/>
    <x v="0"/>
    <x v="1042"/>
    <x v="0"/>
    <s v="Age of Unit"/>
    <s v="Updates were done in the 1980’s except for the roof which is a Spanish tile roof which was partially updated in 2016"/>
    <x v="2"/>
    <s v="Google search revealed golf course &quot;Yeamans Yacht Club&quot; at same address. Per agent is open to public some months, private club remainder of year. Requesting info on # of structures at address (appears golf club has dining/bar/weddings etc.), commercial cov, and also home shows on plantation listing in SC so questioning if historic home. May consider with x-liab/ total business exclusion "/>
    <m/>
    <m/>
    <s v="Burdine"/>
    <m/>
    <m/>
    <n v="0"/>
  </r>
  <r>
    <x v="331"/>
    <s v="Burns"/>
    <s v="MI"/>
    <s v="Jill"/>
    <s v="Email"/>
    <s v="Malibu Realty Trust"/>
    <m/>
    <x v="2"/>
    <s v="Studio City CA PC2"/>
    <x v="3"/>
    <m/>
    <x v="0"/>
    <x v="1043"/>
    <x v="1461"/>
    <s v="TIV&gt;$1.5M"/>
    <s v="1989 home not in brush. "/>
    <x v="3"/>
    <s v="• App says no trampoline - inspection shows one.  Trampoline exclusion is mandatory.  Please make sure agent/insured is aware._x000a_• App says pool is not fenced.  Pool exclusion would apply._x000a_• App says home is not rented, email says it is.  Either way is acceptable, just ensure we have it rated correctly._x000a_• I didn’t get an LLC/Trust form.  As long as the members of the trust are the insured only, and they formed it to purchase this property, this is okay.  If anything else, let me know._x000a_"/>
    <m/>
    <m/>
    <s v="Patterson"/>
    <m/>
    <m/>
    <n v="0"/>
  </r>
  <r>
    <x v="763"/>
    <s v="Hull Irvine"/>
    <s v="CA"/>
    <s v="Bobbi"/>
    <s v="Email"/>
    <s v="Pearson"/>
    <s v="Dennis &amp; Christine"/>
    <x v="0"/>
    <s v="Silverado"/>
    <x v="1"/>
    <m/>
    <x v="9"/>
    <x v="1044"/>
    <x v="1462"/>
    <s v="TIV"/>
    <s v="in brush"/>
    <x v="3"/>
    <s v="approved subject to appropriate brush guidelines"/>
    <m/>
    <m/>
    <s v="Burdine"/>
    <m/>
    <m/>
    <n v="0"/>
  </r>
  <r>
    <x v="699"/>
    <s v="Burns"/>
    <s v="MI"/>
    <s v="Lindsey"/>
    <m/>
    <s v="Walker"/>
    <s v="James    "/>
    <x v="3"/>
    <s v="Kamas"/>
    <x v="22"/>
    <s v="84036"/>
    <x v="4"/>
    <x v="1045"/>
    <x v="1463"/>
    <s v="High Profile"/>
    <s v="2017 veneer home on golf course in UT owned by pro PGA golfer. Quoted at .27 rate. 15 miles from fire dept. 17 min drive time. Some blank UW questions on app."/>
    <x v="3"/>
    <s v="Since home is rented, concerned with high profile so offered x-liab. Also, due to higher response time, requested .45 rate = $12,916. Need UW ? Answered."/>
    <m/>
    <m/>
    <s v="Patterson"/>
    <m/>
    <m/>
    <n v="0"/>
  </r>
  <r>
    <x v="612"/>
    <s v="Burns"/>
    <s v="MI"/>
    <s v="Rachel"/>
    <m/>
    <s v="Walker"/>
    <s v="James    "/>
    <x v="3"/>
    <s v="Kamas"/>
    <x v="22"/>
    <s v="84036"/>
    <x v="4"/>
    <x v="1045"/>
    <x v="1464"/>
    <s v="High Profile"/>
    <s v="SECOND SUBMISSION FROM BURNS FOR THIS INSURED.  SEE 11/20 FROM LINDSEY.  2017 veneer home on golf course in UT owned by pro PGA golfer. 15 miles from fire dept. 17 min drive time. Agt asking for 5% credit to VMGA rate"/>
    <x v="3"/>
    <s v="Since home is rented, concerned with high profile so offered x-liab. Also, due to higher response time, requested .45 rate = $14,854. Need UW ? Answered."/>
    <m/>
    <m/>
    <s v="Patterson"/>
    <m/>
    <m/>
    <n v="0"/>
  </r>
  <r>
    <x v="819"/>
    <s v="Burns"/>
    <s v="MI"/>
    <s v="Alexa"/>
    <m/>
    <s v="Giefer"/>
    <s v="Steve"/>
    <x v="0"/>
    <s v="Franktown"/>
    <x v="19"/>
    <s v="80116"/>
    <x v="6"/>
    <x v="1046"/>
    <x v="1465"/>
    <s v="TIV"/>
    <s v="Builders risk where the main home has been completed but guest house is still being worked on. All exterior is completed they are finishing up inside, paint, fixtures, flooring, bathrooms, etc. 4 horses, chickens, and goats for personal use. Work is to be completed by fall and is being done by a contractor. "/>
    <x v="3"/>
    <s v="Approved terms subject to rating as builders risk, which they had done but wanted to confirm. Subject to additional 5% surcharge due to mid-term COC on guest home, 5% surcharge due to number of animals and will only allow lowest limit of animal liability at $10,000"/>
    <s v="This same risk was referred to us by SCU last week. Approved these terms the same that were approved for SCU. "/>
    <m/>
    <s v="Busse"/>
    <m/>
    <m/>
    <n v="0"/>
  </r>
  <r>
    <x v="756"/>
    <s v="Burns"/>
    <s v="MI"/>
    <s v="Ben"/>
    <s v="Email"/>
    <s v="Haspel, John"/>
    <m/>
    <x v="0"/>
    <s v="New Orleans"/>
    <x v="0"/>
    <m/>
    <x v="8"/>
    <x v="1047"/>
    <x v="1466"/>
    <s v="TIV/Open Claim"/>
    <s v="1910 frame/log home with updates. Alarms. Open loss due to leaking shower pan in master. $50K. Should be closed by end of month. NRN due to claim."/>
    <x v="3"/>
    <s v="Approved/Subj to all of the work being completed and just pending for subro or final payout. If any work left to be done, please advise details of what is left (concern with finding other damage)."/>
    <m/>
    <m/>
    <s v="Patterson"/>
    <m/>
    <m/>
    <n v="0"/>
  </r>
  <r>
    <x v="444"/>
    <s v="Hull Irvine"/>
    <m/>
    <s v="Alex"/>
    <s v="Email"/>
    <s v="Fuchs, Michael"/>
    <m/>
    <x v="0"/>
    <s v="Mill Valley"/>
    <x v="1"/>
    <m/>
    <x v="12"/>
    <x v="1048"/>
    <x v="1467"/>
    <s v="TIV"/>
    <s v="1999 home w/alarms, not in brush. Agent needs full 10% credit to compete. Working w/a big retailer to move an entire book. This is a straggler. Looks okay overall.  Had 1/15 burglary - has installed CS alarms since."/>
    <x v="3"/>
    <s v="Alarm certificate; confirm NRN reason - believe it is due to the loss."/>
    <m/>
    <m/>
    <s v="Patterson"/>
    <m/>
    <m/>
    <n v="0"/>
  </r>
  <r>
    <x v="114"/>
    <s v="Hull Irvine"/>
    <m/>
    <s v="Alison"/>
    <s v="Call"/>
    <m/>
    <m/>
    <x v="2"/>
    <s v="Beverly Hills"/>
    <x v="1"/>
    <m/>
    <x v="0"/>
    <x v="1049"/>
    <x v="0"/>
    <s v="Prior losses"/>
    <s v="3 large water losses in 5 years $116K heavy rain/water damage; $402K Kitchen water damage; $587K unknown.  "/>
    <x v="2"/>
    <s v="Lots of loss, but always open to review. Agent getting details on losses, what mitigation have they done, same tenants? If all losses could have been excluded w/water damage exclusion, consider offering with that. Alison will send when she has the info."/>
    <m/>
    <m/>
    <s v="Patterson"/>
    <m/>
    <m/>
    <n v="0"/>
  </r>
  <r>
    <x v="633"/>
    <s v="Hull CO"/>
    <s v="Charlotte"/>
    <s v="Karen"/>
    <s v="Email"/>
    <s v="Evans, Theresa"/>
    <m/>
    <x v="1"/>
    <s v="Charleston"/>
    <x v="20"/>
    <m/>
    <x v="11"/>
    <x v="1049"/>
    <x v="1091"/>
    <s v="Rate reduction?"/>
    <s v="1800 home undergoing renovation. Agent looking for $0.75/rate. Came in at $24,587 total, more than Markel quote."/>
    <x v="1"/>
    <s v="Can't reduce rate below quote of $18,922"/>
    <m/>
    <m/>
    <s v="Patterson"/>
    <m/>
    <m/>
    <n v="1"/>
  </r>
  <r>
    <x v="231"/>
    <s v="Burns"/>
    <s v="MI"/>
    <s v="Ben"/>
    <s v="Email"/>
    <s v="Sayad, Nabil"/>
    <m/>
    <x v="2"/>
    <s v="Long Beach CA PC2"/>
    <x v="3"/>
    <m/>
    <x v="0"/>
    <x v="1049"/>
    <x v="1468"/>
    <s v="TIV&gt;$2M"/>
    <s v="1956 w/roof update in 2014; full heat/plumb in 2009; full wire in 2008. Not in brush. Travelers NRN due to proximity to water. 300' from coast. "/>
    <x v="3"/>
    <s v="Approved subject to confirmation of adequate/correct Cov A. Inspection show $1,133,084."/>
    <m/>
    <m/>
    <s v="Patterson"/>
    <m/>
    <m/>
    <n v="0"/>
  </r>
  <r>
    <x v="49"/>
    <s v="Burns"/>
    <s v="MI"/>
    <s v="David"/>
    <s v="Email"/>
    <s v="Erdmann"/>
    <s v="Paul"/>
    <x v="4"/>
    <s v="Watersmeet"/>
    <x v="8"/>
    <m/>
    <x v="15"/>
    <x v="1049"/>
    <x v="1469"/>
    <s v="PC"/>
    <s v="New home to be completed in October. In northern WI woods 5.7 miles from risk. FD says the estimated drive time is 10 minutes (also a volunteer department). Home is accessible year round. FD says 25-30 minutes volunteer and 20 min mutual aid with Land O Lakes. Referral came in as Land O Lakes, WI but the risk address is actually in Watersmeet MI."/>
    <x v="3"/>
    <s v="New home has central burglar and fire alarms. "/>
    <m/>
    <m/>
    <s v="Lazovik"/>
    <m/>
    <m/>
    <n v="0"/>
  </r>
  <r>
    <x v="652"/>
    <s v="Burns"/>
    <s v="MI"/>
    <s v="Leslie"/>
    <m/>
    <s v="Coplan"/>
    <s v="Carole"/>
    <x v="3"/>
    <s v="Sonoma"/>
    <x v="1"/>
    <s v="95476"/>
    <x v="3"/>
    <x v="1049"/>
    <x v="1470"/>
    <s v="Business on Premises"/>
    <s v="1979 year built with complete updates in 2013. Farm on premises, 5 acres, applicant has farm policy. They harvest grapes for wine. No employees or foot traffic. Outside contractor takes grapes and does all other processes at separate location. They have a commercial policy. Quoted with liability and TBE. WRS is 10"/>
    <x v="4"/>
    <s v="Given that the only &quot;work&quot; that is done at the location is the growing of the grapes, and that all other handling/procedures are done at a separate location, I am comfortable with offering terms with liability and a TBE. Approved risk. "/>
    <m/>
    <m/>
    <s v="Busse"/>
    <m/>
    <m/>
    <n v="0"/>
  </r>
  <r>
    <x v="521"/>
    <s v="Hull Irvine"/>
    <s v="CA"/>
    <s v="Alison"/>
    <s v="Email"/>
    <s v="Perryman"/>
    <m/>
    <x v="0"/>
    <s v="Beverly Hills "/>
    <x v="1"/>
    <m/>
    <x v="0"/>
    <x v="1049"/>
    <x v="1471"/>
    <s v="TIV"/>
    <s v="2018 dwelling in brush. Agent verifying our guidelines for this zip. "/>
    <x v="1"/>
    <s v="No brush exposed risks in 90210 at any TIV"/>
    <m/>
    <m/>
    <s v="Patterson"/>
    <m/>
    <m/>
    <n v="1"/>
  </r>
  <r>
    <x v="800"/>
    <s v="Burns"/>
    <s v="MI"/>
    <s v="Ben"/>
    <s v="Email"/>
    <s v="McCaskill, Robert"/>
    <m/>
    <x v="38"/>
    <s v="Belvedere"/>
    <x v="1"/>
    <m/>
    <x v="5"/>
    <x v="1049"/>
    <x v="1472"/>
    <s v="TIV"/>
    <s v="Home was built in 1989 of frame construction. Primary PC 4 NOT in brush and no losses."/>
    <x v="4"/>
    <s v="google search of address and client OK, pics of home OK, premium and ded acceptable"/>
    <m/>
    <m/>
    <s v="Burdine"/>
    <m/>
    <m/>
    <n v="0"/>
  </r>
  <r>
    <x v="74"/>
    <s v="Burns"/>
    <s v="MI"/>
    <s v="Leslie"/>
    <s v="Email"/>
    <s v="Slater, Debra &amp; Carl"/>
    <m/>
    <x v="0"/>
    <s v="Encino"/>
    <x v="1"/>
    <m/>
    <x v="11"/>
    <x v="1049"/>
    <x v="1454"/>
    <s v="TIV"/>
    <s v="1976 home updated in 2004 w/alarms in brush. Agt noted subj to 150' brush clearance."/>
    <x v="3"/>
    <s v="subj to brush clearance and complete app."/>
    <m/>
    <m/>
    <s v="Patterson"/>
    <m/>
    <m/>
    <n v="0"/>
  </r>
  <r>
    <x v="120"/>
    <s v="Burns"/>
    <s v="MI"/>
    <s v="Delta"/>
    <s v="Email"/>
    <s v=" Anderholt Trust LLC"/>
    <m/>
    <x v="0"/>
    <s v="Mountain Center"/>
    <x v="1"/>
    <m/>
    <x v="5"/>
    <x v="1049"/>
    <x v="1454"/>
    <s v="TIV"/>
    <s v="2005 home in brush, CS burglar only. Stable on prop per insp. "/>
    <x v="0"/>
    <s v="6/20 Now has CS fire too. LLC form ok. 2 horses-personal only. Signed statement of no loss in file."/>
    <m/>
    <m/>
    <s v="Patterson"/>
    <m/>
    <m/>
    <n v="0"/>
  </r>
  <r>
    <x v="556"/>
    <s v="Burns"/>
    <s v="MI"/>
    <s v="Ben"/>
    <s v="Email"/>
    <s v="Anderson, Martin"/>
    <m/>
    <x v="0"/>
    <s v="Santa Cruz"/>
    <x v="1"/>
    <m/>
    <x v="5"/>
    <x v="1049"/>
    <x v="1454"/>
    <s v="TIV"/>
    <s v="2008 frame home not in brush. Alarms. Online photo look good. "/>
    <x v="4"/>
    <m/>
    <m/>
    <m/>
    <s v="Patterson"/>
    <m/>
    <m/>
    <n v="0"/>
  </r>
  <r>
    <x v="734"/>
    <s v="Burns"/>
    <s v="MI"/>
    <s v="Lindsay"/>
    <m/>
    <s v="The Shell Family Trust"/>
    <m/>
    <x v="4"/>
    <s v="Ojai"/>
    <x v="1"/>
    <s v="93023"/>
    <x v="5"/>
    <x v="1049"/>
    <x v="33"/>
    <s v="High Profile"/>
    <s v="1992 risk not in brush (RMS 46). Insd is Chairman of NBC Universal. Prior damage from the Thomas Fire. Repairs completed."/>
    <x v="3"/>
    <s v="Okay excluding liability due to high profile. Prior loss okay. Risk is not in brush."/>
    <m/>
    <m/>
    <s v="Patterson"/>
    <m/>
    <m/>
    <n v="0"/>
  </r>
  <r>
    <x v="103"/>
    <s v="Burns"/>
    <s v="MI"/>
    <s v="Leslie"/>
    <s v="Email"/>
    <s v="Bilano, Carmen"/>
    <m/>
    <x v="0"/>
    <s v="Portola Valley"/>
    <x v="1"/>
    <m/>
    <x v="8"/>
    <x v="1050"/>
    <x v="1473"/>
    <s v="TIV"/>
    <s v="1998 primary. No online photos or info."/>
    <x v="3"/>
    <m/>
    <m/>
    <m/>
    <s v="Patterson"/>
    <m/>
    <m/>
    <n v="0"/>
  </r>
  <r>
    <x v="414"/>
    <s v="Burns"/>
    <s v="MI"/>
    <s v="Benjamin"/>
    <s v="Email"/>
    <s v="Spann, William"/>
    <m/>
    <x v="38"/>
    <s v="Fairview TN, PC 10"/>
    <x v="3"/>
    <m/>
    <x v="0"/>
    <x v="1051"/>
    <x v="1474"/>
    <s v="PC 10/Lapse"/>
    <s v="PC 10, primary, monitored alarms, response time 8 minutes, tanker truck and pond on premises; lapse about 45 days as miscommunication between insured and prior carrier. "/>
    <x v="3"/>
    <s v="approved subject to pool properly secured and diving board non-skid; approval to be bound on/before 07/18 as quoted"/>
    <s v="Sent F/U email to Benjamin. Advised pool exclusion should actually have been included on quote, and to add if still in a position to do so."/>
    <m/>
    <s v="K.Burdine"/>
    <m/>
    <m/>
    <n v="0"/>
  </r>
  <r>
    <x v="495"/>
    <s v="Burns"/>
    <s v="MI"/>
    <s v="Jill"/>
    <s v="Email"/>
    <s v="Brewer, Robert"/>
    <m/>
    <x v="75"/>
    <s v="Nevada City"/>
    <x v="1"/>
    <m/>
    <x v="14"/>
    <x v="1052"/>
    <x v="1475"/>
    <s v="TIV"/>
    <s v="In brush, PC 8, Primary, frame, c/s alarms, built in 1996, no losses;"/>
    <x v="3"/>
    <s v="Confirmed from google that insured didn't build home, but did pull permits for detached structures; premium OK; Nationwide NR-advised to be sure no property/applicant concerns"/>
    <s v="Advised Jill same applicant as one sent by Danielle in May/June"/>
    <m/>
    <s v="K.Burdine"/>
    <m/>
    <m/>
    <n v="0"/>
  </r>
  <r>
    <x v="500"/>
    <s v="Hull CA"/>
    <s v="Irvine"/>
    <s v="Vanessa"/>
    <s v="Email"/>
    <s v="Milovich, Steven"/>
    <m/>
    <x v="0"/>
    <s v="Santa Barbara CA PC2"/>
    <x v="3"/>
    <m/>
    <x v="0"/>
    <x v="1053"/>
    <x v="1467"/>
    <s v="TIV"/>
    <s v="Built in 2015. Nice home curr w/Lex. Agt incr prem 15% to be closer to expiring. Prior 2009 $1.1M fire loss. $21k solar panels. Sprinkler, all central station alarms. Rubber roof. In brush-will get 150' clearance."/>
    <x v="4"/>
    <s v="Cause of prior loss?  Wildfire in 2009. Flat roof? Approved subject to verifying; add $10K ded if there is."/>
    <s v="Vanessa came back on 3/8 and advised use is seasonal. Reviewed and it is still acceptable."/>
    <m/>
    <s v="Patterson"/>
    <m/>
    <m/>
    <n v="0"/>
  </r>
  <r>
    <x v="229"/>
    <s v="Burns"/>
    <s v="MI"/>
    <s v="Ben"/>
    <s v="Email"/>
    <s v="Hoech, John"/>
    <m/>
    <x v="0"/>
    <s v="Salinas CA PC3"/>
    <x v="3"/>
    <m/>
    <x v="0"/>
    <x v="1054"/>
    <x v="1476"/>
    <s v="TIV&gt;$3M"/>
    <s v="1977 frame home with full roof update in 2015 and partial updates to other systems. In brush. Beautiful online photos. Protection quest confirms 200' brush clearance."/>
    <x v="4"/>
    <m/>
    <m/>
    <m/>
    <s v="Patterson"/>
    <m/>
    <m/>
    <n v="0"/>
  </r>
  <r>
    <x v="322"/>
    <s v="Hull Irvine"/>
    <m/>
    <s v="Alison"/>
    <s v="Email"/>
    <s v="Stoltze, Sharon"/>
    <m/>
    <x v="0"/>
    <s v="Santa Barbara"/>
    <x v="1"/>
    <m/>
    <x v="0"/>
    <x v="1055"/>
    <x v="0"/>
    <s v="Home in trust name"/>
    <s v="Home in name of 3 trusts. Applicant is daughter of mother who passed, and the trustee. Home for sale, but daughter is occupying. "/>
    <x v="4"/>
    <s v="Sounds owner occupied to me"/>
    <m/>
    <m/>
    <s v="Patterson"/>
    <m/>
    <m/>
    <n v="0"/>
  </r>
  <r>
    <x v="341"/>
    <s v="Hull Irvine"/>
    <s v="CA"/>
    <s v="Lisa"/>
    <s v="Email"/>
    <s v="Lee"/>
    <s v="Bob"/>
    <x v="0"/>
    <s v="Mill Valley"/>
    <x v="1"/>
    <m/>
    <x v="11"/>
    <x v="1055"/>
    <x v="1477"/>
    <s v="TIV"/>
    <s v="No brush home. No central fire &amp; burglar. New home closing on 9/28. Asking for $10k deductible pending alarm confirmation. Built in 1983, partial updates on wiring and plumbing. Cedar/Wood shingle siding covers entire house."/>
    <x v="3"/>
    <s v="Need to exclude roof as it hasn't been replaced since home was built. "/>
    <m/>
    <m/>
    <s v="Lazovik"/>
    <m/>
    <m/>
    <n v="0"/>
  </r>
  <r>
    <x v="126"/>
    <s v="SCU"/>
    <s v="CO"/>
    <s v="Allison"/>
    <s v="Email"/>
    <s v="Walper, Tom"/>
    <m/>
    <x v="1"/>
    <s v="Rancho Santa Fe"/>
    <x v="1"/>
    <m/>
    <x v="0"/>
    <x v="1056"/>
    <x v="1478"/>
    <s v="Insured as GC"/>
    <s v="1974 risk w/updates. Roof exclusion applies until replaced. 6 month reno expected. Insured is GC hiring licensed subs."/>
    <x v="3"/>
    <s v="Current guidelines allow insured as GC if liability is excluded. Approved this and advised new guidelines will be sent.  2nd request to consider and I stuck to the answer. No liability."/>
    <m/>
    <m/>
    <s v="Patterson"/>
    <m/>
    <m/>
    <n v="0"/>
  </r>
  <r>
    <x v="203"/>
    <s v="Hull CA"/>
    <s v="Irvine"/>
    <s v="Alex"/>
    <s v="Email/Call"/>
    <s v="Hudson, Thomas"/>
    <m/>
    <x v="0"/>
    <s v="Santa Rosa Valley CA PC10W"/>
    <x v="3"/>
    <m/>
    <x v="0"/>
    <x v="1057"/>
    <x v="1479"/>
    <s v="PC 10W/4"/>
    <s v="1976 home w/updates. Aspen has this rated as PC4. PPC is 10W/4/9. Alex wants us to beat $9K prem. Our PC4 is 6676. PC10 is 12,270.  RM shows high. FireLine shows extreme. Copy of report in Temporary file. Due to FireLine report, I felt comfortable declining a request for an exception."/>
    <x v="1"/>
    <s v="Can't make exception to PC and reduce rate in an extreme brush area."/>
    <m/>
    <m/>
    <s v="Patterson"/>
    <m/>
    <m/>
    <n v="1"/>
  </r>
  <r>
    <x v="473"/>
    <s v="Hull Irvine"/>
    <s v="CA"/>
    <s v="Luke"/>
    <s v="Email"/>
    <s v="Muhlheim"/>
    <s v="Eric &amp; Lauren"/>
    <x v="0"/>
    <s v="Los Angeles"/>
    <x v="1"/>
    <m/>
    <x v="8"/>
    <x v="1058"/>
    <x v="29"/>
    <s v="TIV"/>
    <s v="1925 dwelling not in brush with full plumbing replacement and updates to wiring and roof.  3 prior losses - 1 sewer backup and 2 pipe losses.  .  "/>
    <x v="3"/>
    <s v="Full plumbing replacement and agt applied addl 20% debit. Advised NO sewer backup covg."/>
    <m/>
    <m/>
    <s v="Patterson"/>
    <s v="X"/>
    <s v="Make sure sewer backup was not added."/>
    <n v="0"/>
  </r>
  <r>
    <x v="224"/>
    <s v="Burns"/>
    <s v="MI"/>
    <s v="Jill"/>
    <s v="Email"/>
    <s v="Radsen Silver Fox LLC"/>
    <m/>
    <x v="98"/>
    <s v="Truckee CA  PC4"/>
    <x v="3"/>
    <m/>
    <x v="0"/>
    <x v="1059"/>
    <x v="1480"/>
    <s v="TIV&gt;$3M"/>
    <s v="2001 seasonal rental. In med brush, extreme per FireLine. Alarmed. Online photos look nice."/>
    <x v="3"/>
    <s v="Approved w/a reminder of 2 night minimum."/>
    <m/>
    <m/>
    <s v="Patterson"/>
    <m/>
    <m/>
    <n v="0"/>
  </r>
  <r>
    <x v="504"/>
    <s v="Burns"/>
    <s v="MI"/>
    <s v="Nicole"/>
    <m/>
    <s v="Pratt"/>
    <s v="Allison"/>
    <x v="0"/>
    <s v="Crozet"/>
    <x v="10"/>
    <s v="22932"/>
    <x v="4"/>
    <x v="1060"/>
    <x v="1481"/>
    <s v="PC"/>
    <s v="1988 year built with full roof updated in 2015. CS fire and burglar alarms. PC 10. Business hours responding FD is paid, after hours responding FD is volunteer. Mailing address showed a WY address, but Burns confirm this is new purchase and they are moving to VA."/>
    <x v="4"/>
    <s v="Approved terms as quoted"/>
    <m/>
    <m/>
    <s v="Busse"/>
    <m/>
    <m/>
    <n v="0"/>
  </r>
  <r>
    <x v="777"/>
    <s v="Hull CA"/>
    <s v="Stockton"/>
    <s v="Lisa"/>
    <s v="Email"/>
    <s v="Maneveith, Joshua"/>
    <m/>
    <x v="0"/>
    <s v="Malibu CA PC9"/>
    <x v="3"/>
    <m/>
    <x v="0"/>
    <x v="1061"/>
    <x v="1482"/>
    <s v="PC9 TIV"/>
    <s v="2013 home in medium brush w/ metal roof. Very nice home per zillow photos provided. Suggested to agent to get or run RCE to verify Cov A as it seems a bit low. Inspection will verify the coverage."/>
    <x v="3"/>
    <s v="Approved subject to verification of Cov A when the inspection comes back, or sooner with RCE."/>
    <m/>
    <m/>
    <s v="Patterson"/>
    <m/>
    <m/>
    <n v="0"/>
  </r>
  <r>
    <x v="787"/>
    <s v="Hull Stockton"/>
    <s v="CA"/>
    <s v="Lisa"/>
    <s v="Email"/>
    <s v="Barnes"/>
    <s v="Harrison"/>
    <x v="142"/>
    <s v="Malibu"/>
    <x v="1"/>
    <m/>
    <x v="5"/>
    <x v="1062"/>
    <x v="1483"/>
    <s v="TIV"/>
    <s v="1991 build, no brush, no losses, fulltime rental, PC 4"/>
    <x v="4"/>
    <s v="all info acceptable"/>
    <m/>
    <m/>
    <s v="K.Burdine"/>
    <m/>
    <m/>
    <n v="0"/>
  </r>
  <r>
    <x v="306"/>
    <s v="Hull CA"/>
    <s v="Stockton"/>
    <s v="Lisa"/>
    <s v="Email"/>
    <s v="Galstanyan, Shagen"/>
    <m/>
    <x v="0"/>
    <s v="Glendale "/>
    <x v="1"/>
    <m/>
    <x v="11"/>
    <x v="1063"/>
    <x v="1484"/>
    <s v="TIV"/>
    <s v="1988 home in brush, no alarm. Online search http://www.insurancejournal.com/news/west/2006/05/16/68405.htm along with other references to lawsuits against insured and by insured."/>
    <x v="1"/>
    <s v="Official - This value in brush.  Unofficial - Moral hazard."/>
    <m/>
    <m/>
    <s v="Patterson"/>
    <m/>
    <m/>
    <n v="1"/>
  </r>
  <r>
    <x v="812"/>
    <s v="Hull Irvine"/>
    <s v="CA"/>
    <s v="Gina"/>
    <s v="Email"/>
    <s v="Michael S. Agron Living Trust"/>
    <m/>
    <x v="0"/>
    <s v="Bradbury"/>
    <x v="1"/>
    <m/>
    <x v="9"/>
    <x v="1064"/>
    <x v="1485"/>
    <s v="Business on Premises"/>
    <s v="1986 home. Insured has horse boarding business as well as insured takes in rescue animals. Currently has camel, llama, peacocks, dogs, and more. There is a farm policy. Online shows full blown horse boarding. Agent asked for $300K liability."/>
    <x v="1"/>
    <s v="Concerned about what exposure could become with the rescue animals. "/>
    <m/>
    <m/>
    <s v="Patterson"/>
    <m/>
    <m/>
    <n v="1"/>
  </r>
  <r>
    <x v="68"/>
    <s v="Burns"/>
    <s v="MI"/>
    <s v="Leslie"/>
    <s v="Email"/>
    <s v="Stolper, Stella"/>
    <m/>
    <x v="0"/>
    <s v="Calabasas"/>
    <x v="1"/>
    <m/>
    <x v="12"/>
    <x v="1065"/>
    <x v="1486"/>
    <s v="TIV"/>
    <s v="2006 home in brush, backs up to a ridge. Alarms. Updated in 2016. "/>
    <x v="3"/>
    <s v="150' brush clearance"/>
    <m/>
    <m/>
    <s v="Patterson"/>
    <m/>
    <m/>
    <n v="0"/>
  </r>
  <r>
    <x v="114"/>
    <s v="Burns"/>
    <s v="MI"/>
    <s v="Danielle"/>
    <s v="Email"/>
    <s v="Brewer, Robert"/>
    <m/>
    <x v="0"/>
    <s v="Nevada City"/>
    <x v="1"/>
    <m/>
    <x v="6"/>
    <x v="1066"/>
    <x v="1487"/>
    <s v="TIV"/>
    <s v="1998 frame home with alarms, no losses. No online photos. Confirmed response time of 13 minutes."/>
    <x v="4"/>
    <s v="6/20-branch asked for 10% credit - declined as this is CA brush zone, PC9, 13 min response."/>
    <s v="Approved increase of coverage B to $674,190 for: detached garage, rv storage garage, tool garage; subject to all being personal usage"/>
    <m/>
    <s v="Patterson"/>
    <m/>
    <m/>
    <n v="0"/>
  </r>
  <r>
    <x v="799"/>
    <s v="JM Wilson"/>
    <s v="MI"/>
    <s v="Cheryl"/>
    <m/>
    <s v="Concessi"/>
    <s v="Vincent"/>
    <x v="4"/>
    <s v="Oscada"/>
    <x v="8"/>
    <s v="48728"/>
    <x v="4"/>
    <x v="1067"/>
    <x v="1488"/>
    <s v="PC"/>
    <s v="Insured will install a dry hydrant generator and pump. Frame/log home built in 2018. Want to offer 10% discount due to no losses and score (but IS is an 'N'). "/>
    <x v="2"/>
    <s v="Pending whether generator, pump and dry hydrant will be complete by binding. NO DISCOUNT should be applied.  We will not schedule tractors or watercraft (on application) Mitchell, this is probably just the entire account so not necessarily looking for coverage. Homes over $2M TIV are required to have a CSA burglar and fire. If none exists then they must have $10k AOP and $10k theft deductibles per the guidelines."/>
    <s v="CSA requirement must be highlighted if we approve this one (in subject to wording). No discounts should be applied. Subject to NO discounts. Actually, log homes get a 10% surcharge. Make sure they have input it as log. We could probably compromise at 5% if pressed. My guess is Cheryl said it was frame. See E&amp;S U/W document for log home discussion."/>
    <m/>
    <s v="Lazovik"/>
    <m/>
    <m/>
    <n v="0"/>
  </r>
  <r>
    <x v="531"/>
    <s v="Hull CA"/>
    <s v="Irvine"/>
    <s v="Alison"/>
    <s v="Email"/>
    <s v="Lipkin, Gal"/>
    <m/>
    <x v="153"/>
    <s v="Beverly Hills, CA"/>
    <x v="3"/>
    <m/>
    <x v="0"/>
    <x v="1068"/>
    <x v="0"/>
    <s v="Rented during summer months"/>
    <s v="cov a is $1.8m, $5k ded, renie brush (surcharge included.) Home is occupied year round with the exception of the summer months when they move out and rent it. "/>
    <x v="4"/>
    <s v="Advised as long as the brush zone requirements are met, we are good to go. Also advised this would qualify as a seasonal home on an HO3, not sure why they wanted DP3. Fireline came back as High (6) with heavy fuels."/>
    <m/>
    <m/>
    <s v="Trott"/>
    <m/>
    <m/>
    <n v="0"/>
  </r>
  <r>
    <x v="31"/>
    <s v="Burns"/>
    <s v="CA"/>
    <s v="Rachel"/>
    <s v="Email"/>
    <s v=" Khashoggi"/>
    <s v="Layla &amp; Essam"/>
    <x v="62"/>
    <s v="Santa Barbara"/>
    <x v="1"/>
    <m/>
    <x v="0"/>
    <x v="1068"/>
    <x v="1145"/>
    <s v="Occupancy/Use"/>
    <s v="Vacant since purchased in 2014. No prior coverage at all; no losses. 1962 home w/no updates. Online photos look nice and show 85 renovation, but this is not stated.  Getting insurance not in anticipation of pre-construction activity and inspection."/>
    <x v="0"/>
    <s v="Not comfortable approving w/subjectivities until we find out if it will be demolition, or gut/reno.  If demolition, we will decline. If gut/reno, we can approve subj to confirmation of at least average condition-proof by photo, no knob&amp;tube or aluminum wiring (as this would be a hazard while they wait to reno in 6 months.) // 5/14/18 This will be a gut/reno. No knob&amp;tube."/>
    <m/>
    <m/>
    <s v="Patterson"/>
    <m/>
    <m/>
    <n v="0"/>
  </r>
  <r>
    <x v="118"/>
    <s v="Burns"/>
    <s v="MI"/>
    <s v="Leslie"/>
    <s v="Email"/>
    <s v="Cacdac, Ricardo"/>
    <m/>
    <x v="2"/>
    <s v="Rancho Mirage"/>
    <x v="1"/>
    <m/>
    <x v="9"/>
    <x v="1068"/>
    <x v="1489"/>
    <s v="TIV"/>
    <s v="2002 home, insured just moved out to new home, this will be rented. Nice online photos."/>
    <x v="4"/>
    <m/>
    <m/>
    <m/>
    <s v="Patterson"/>
    <m/>
    <m/>
    <n v="0"/>
  </r>
  <r>
    <x v="79"/>
    <s v="Burns"/>
    <s v="MI"/>
    <s v="Alexa"/>
    <s v="Email"/>
    <s v="Stucker, Carol"/>
    <m/>
    <x v="5"/>
    <m/>
    <x v="7"/>
    <m/>
    <x v="9"/>
    <x v="1068"/>
    <x v="1217"/>
    <s v="TIV"/>
    <s v="1976 home roof updt 2010, util updt partial 1998. Full alarms. $2500 AOP. Vacant &amp; for sale."/>
    <x v="4"/>
    <m/>
    <m/>
    <m/>
    <s v="Patterson"/>
    <m/>
    <m/>
    <n v="0"/>
  </r>
  <r>
    <x v="39"/>
    <s v="Hull Irvine"/>
    <s v="CA"/>
    <s v="Lucas"/>
    <s v="Email"/>
    <s v="Tse"/>
    <s v="Michael"/>
    <x v="0"/>
    <s v="San Marino"/>
    <x v="1"/>
    <m/>
    <x v="14"/>
    <x v="1068"/>
    <x v="1263"/>
    <s v="Builders Risk"/>
    <s v="3 weeks into interior reno, GC performing work"/>
    <x v="4"/>
    <s v="quote appropriate"/>
    <m/>
    <m/>
    <s v="Burdine"/>
    <m/>
    <m/>
    <n v="0"/>
  </r>
  <r>
    <x v="546"/>
    <s v="Hull Charlotte"/>
    <s v="NC"/>
    <s v="Tammi"/>
    <s v="Email"/>
    <s v="Minkhorst"/>
    <m/>
    <x v="0"/>
    <m/>
    <x v="3"/>
    <m/>
    <x v="0"/>
    <x v="1068"/>
    <x v="24"/>
    <s v="Rate"/>
    <s v="Coastal risk coming in with $9116 wind and total $14533. Agt wants to match competitor $11500. "/>
    <x v="1"/>
    <s v="Reviewed w/Bethany. Only .11 cent ROL. Need .20-.24"/>
    <m/>
    <m/>
    <s v="Patterson"/>
    <m/>
    <m/>
    <n v="1"/>
  </r>
  <r>
    <x v="54"/>
    <s v="SCU"/>
    <s v="CO"/>
    <s v="Allison"/>
    <m/>
    <s v="Repenning"/>
    <s v="James"/>
    <x v="1"/>
    <s v="Evergreen"/>
    <x v="19"/>
    <s v="80439"/>
    <x v="2"/>
    <x v="1068"/>
    <x v="24"/>
    <s v="Builders Risk"/>
    <s v="Mid-term COC with lapse in coverage. Per agent, there was confusion between general contractor and insured. GC thought insured had property coverage, while insured thought GC was providing property coverage. PC5, no losses. GC has GL with $2M limits. "/>
    <x v="3"/>
    <s v="Overall, risk looks to be good. 60% completion on construction. Agent already adding 10% lapse surcharge and no loss prior to bind. Advised to add additional 10% surcharge for mid-term construction. "/>
    <m/>
    <m/>
    <s v="Busse"/>
    <m/>
    <m/>
    <n v="0"/>
  </r>
  <r>
    <x v="79"/>
    <s v="Hull Irvine"/>
    <m/>
    <s v="Alison"/>
    <s v="Call"/>
    <s v="Djougourian, Arsen"/>
    <m/>
    <x v="0"/>
    <s v="Glendale"/>
    <x v="1"/>
    <m/>
    <x v="9"/>
    <x v="1068"/>
    <x v="1490"/>
    <s v="Pricing "/>
    <s v="Alison added 7% brush surcharge because it is near brush, but not a brush area.  She is looking for some give due to us being $200 higher than competition. They have sprinklers. Decided a 2% s/c was fine. Nice online risk. Rear yard is brush and then homes. Doesn't appear dense."/>
    <x v="4"/>
    <s v="She is sending confirmation."/>
    <m/>
    <m/>
    <s v="Patterson"/>
    <m/>
    <m/>
    <n v="0"/>
  </r>
  <r>
    <x v="598"/>
    <s v="Hull Stockton"/>
    <s v="CA"/>
    <s v="Lisa"/>
    <s v="Email"/>
    <s v="Healy"/>
    <s v="Jill"/>
    <x v="0"/>
    <s v="Valley Springs"/>
    <x v="1"/>
    <m/>
    <x v="36"/>
    <x v="1068"/>
    <x v="1491"/>
    <s v="Losses"/>
    <s v="1995 home in brush no alarms, tile roof. Open claim with $53k remaining. Neighbor mowing on dry day caused fire and subro is occurring. $183K damage to landscape and exterior smoke damage. (Seems high) Remaining: replace gazebo (from smoke damage??) 31 roadway lights, paint back of home. $53K reserve still open. Insured putting off work until rain season passes."/>
    <x v="2"/>
    <s v="Info not checking out. Need app copy, fire marshal report, detail from prior carrier. 2/12- PC8B confirmed. Agt can't get fire marshal report. Asked for first responder report."/>
    <s v="797 Insurance score"/>
    <m/>
    <s v="Patterson"/>
    <m/>
    <m/>
    <n v="0"/>
  </r>
  <r>
    <x v="696"/>
    <s v="Hull Irvine"/>
    <s v="CA"/>
    <s v="Alison"/>
    <m/>
    <s v="Choumas"/>
    <s v="Patricia"/>
    <x v="0"/>
    <s v="Newport Beach"/>
    <x v="1"/>
    <s v="92660"/>
    <x v="9"/>
    <x v="1068"/>
    <x v="1492"/>
    <s v="Losses"/>
    <s v="1965 home with updates to systems in 2015, roof 2011. No brush exposure. Large water loss in 2016 - $196k paid. Only details given were &quot;water damage due to appliance.&quot;"/>
    <x v="3"/>
    <s v="Approved subject to a $25,000 Special Water deductible. AOP is already at $10,000"/>
    <m/>
    <m/>
    <s v="Busse"/>
    <m/>
    <m/>
    <n v="0"/>
  </r>
  <r>
    <x v="521"/>
    <s v="Burns"/>
    <s v="MI"/>
    <s v="Jill"/>
    <s v="Email"/>
    <s v="Gregga"/>
    <s v="Bruce"/>
    <x v="0"/>
    <s v="Montecito"/>
    <x v="1"/>
    <m/>
    <x v="9"/>
    <x v="1068"/>
    <x v="1369"/>
    <s v="Losses"/>
    <s v="1968 home not in brush. Primary, but app shows vacant and online shows up for sale. Nice home. 3 prior losses in 5 years. 8/13 pipe burst $34K. 10/16 clogged toilet damage $1,336. 7/17 Thomas Fire LOU $120K. "/>
    <x v="3"/>
    <s v="Confirm occupancy. Addl 5% s/c due to size of 7/17 loss."/>
    <m/>
    <m/>
    <s v="Patterson"/>
    <m/>
    <m/>
    <n v="0"/>
  </r>
  <r>
    <x v="99"/>
    <s v="Hull Irvine"/>
    <m/>
    <s v="Alison"/>
    <s v="Email"/>
    <s v="Ebrahimian, Lida"/>
    <m/>
    <x v="0"/>
    <s v="Los Angeles"/>
    <x v="1"/>
    <m/>
    <x v="0"/>
    <x v="1068"/>
    <x v="1369"/>
    <s v="Prior losses"/>
    <s v="1929 home w/plumbing completely updated in 2017. Other systems and roof updated. 6/16 Leak under jacuzzi $175K; 7/16 When repairing 6/16 damage, breaking into wall caused hot/cold water pipe damage $336K. No online photos of home."/>
    <x v="3"/>
    <s v="Asking to confirm all plumbing replaced. Considering 1 loss but charging for both. $10K water damage deductible. If questionable update, add water damage exclusion. Moot point on the 6/12 $0 paid loss if all is updated/replaced. Add addl loss surcharge."/>
    <m/>
    <m/>
    <s v="Patterson"/>
    <m/>
    <m/>
    <n v="0"/>
  </r>
  <r>
    <x v="30"/>
    <s v="Burns"/>
    <s v="MI"/>
    <s v="Jill"/>
    <s v="Email"/>
    <s v="Minilak LLC"/>
    <s v="Minilak LLC"/>
    <x v="2"/>
    <m/>
    <x v="4"/>
    <m/>
    <x v="3"/>
    <x v="1068"/>
    <x v="1321"/>
    <s v="Business on Premises"/>
    <s v="Insured runs a training program for dogs to locate explosive odor. It's not explosive material, just a smell. Program regulated by ATF and property inspected and cleared for safety. Quoted with Total Business Exclusion"/>
    <x v="2"/>
    <s v="Questioned use of property: Tenant occupied; but referral says insured runs a training program from the location"/>
    <m/>
    <m/>
    <s v="Burdine"/>
    <m/>
    <m/>
    <n v="0"/>
  </r>
  <r>
    <x v="670"/>
    <s v="Hull Irvine"/>
    <s v="CA"/>
    <s v="Alison"/>
    <s v="Email"/>
    <s v="Zdenek"/>
    <s v="Tamara &amp; Marilee"/>
    <x v="1"/>
    <s v="Santa Barbara"/>
    <x v="1"/>
    <m/>
    <x v="8"/>
    <x v="1068"/>
    <x v="1299"/>
    <s v="Occupancy/Use"/>
    <s v="COC, insured living in home, so will need to include additional endorsements (including mold and water back-up), included In VMA premium"/>
    <x v="4"/>
    <s v="OK with exposure as quoted"/>
    <m/>
    <m/>
    <s v="Burdine"/>
    <m/>
    <m/>
    <n v="0"/>
  </r>
  <r>
    <x v="820"/>
    <s v="Burns"/>
    <s v="MI"/>
    <s v="Jill"/>
    <s v="Email"/>
    <s v="Dent"/>
    <s v="Alasdair"/>
    <x v="0"/>
    <m/>
    <x v="1"/>
    <m/>
    <x v="2"/>
    <x v="1068"/>
    <x v="1406"/>
    <s v="TIV"/>
    <s v="Brush zone, PC5, frame, built in 1977/updated, primary, no losses, located in CA"/>
    <x v="3"/>
    <s v="the pictures online do show a woodstove in the home. Please be sure a questionnaire is completed to evaluate that exposure"/>
    <m/>
    <m/>
    <s v="Burdine"/>
    <m/>
    <m/>
    <n v="0"/>
  </r>
  <r>
    <x v="142"/>
    <s v="Burns"/>
    <s v="MI"/>
    <s v="Delta"/>
    <s v="Email"/>
    <s v="Bleriot"/>
    <s v="Nichole"/>
    <x v="0"/>
    <s v="Breckenridge"/>
    <x v="19"/>
    <m/>
    <x v="6"/>
    <x v="1068"/>
    <x v="1406"/>
    <s v="TIV"/>
    <s v="2017 frame dwelling w/full alarms. 10 min response time, accessible. "/>
    <x v="4"/>
    <m/>
    <s v="No CO research yet from Bethany to confirm how we are handling w/Burns. Online photos show ok brush clearance, trees are trimmed up."/>
    <n v="15"/>
    <s v="Patterson"/>
    <m/>
    <m/>
    <n v="0"/>
  </r>
  <r>
    <x v="353"/>
    <s v="XS Brokers"/>
    <s v="CO"/>
    <s v="Allison"/>
    <s v="Email"/>
    <s v="Stees"/>
    <s v="Chris"/>
    <x v="1"/>
    <s v="Greenwood Village"/>
    <x v="19"/>
    <m/>
    <x v="11"/>
    <x v="1068"/>
    <x v="1410"/>
    <s v="Losses"/>
    <s v="Large masonry veneer home built in 1996. Had large water loss in January 2018 while out of town causing &gt;$800k in damage. Home has a few more items (painting and trim work) before taking the home back in November. Have installed water turn off sensors in addition to the CS alarms."/>
    <x v="3"/>
    <s v="Have mitigated what they can with new water sensors. Home is has copper piping throughout with both fire and burglar central alarm systems. 10/3/18 UPDATE: ALLISON SENT NOTE THAT A PRIOR LOSE WAS NOT REPORTED FOR HAIL IN 7/16 FOR $164K. ASKED FOR PERMISSION TO STAY ON. JEFF RESPONDED THAT NEED CLARIFICATION ON &quot;FORGOT&quot; THE LOSS DUE TO SIZE. GIVEN CONDITION OF HOME AND NON-DISCLOSED LOSS, AT LEAST 2% WIND/HAIL AND SURCHARGE FOR 2ND LOSS. ALLISON HEARD BACK FROM AGENT AND THEY SAID THEY DIDN'T HANDLE ORIGINAL TRAVELERS POLICY AND TOOK IT OVER WHEN IT NEEDED TO BE REWRITTEN. DISCUSSED WITH INSURED AND THE HAIL OCCURED WHILE REMODELING THE HOUSE THE FIRST TIME. CONFIRMATION FOR ROOF REPAIR WILL BE MADE."/>
    <m/>
    <m/>
    <s v="Lazovik"/>
    <m/>
    <m/>
    <n v="0"/>
  </r>
  <r>
    <x v="762"/>
    <s v="Hull Irvine"/>
    <s v="CA"/>
    <s v="Alison"/>
    <m/>
    <s v="Weidenweber"/>
    <s v="Anne"/>
    <x v="0"/>
    <s v="Santa Rosa Valley"/>
    <x v="1"/>
    <n v="93012"/>
    <x v="4"/>
    <x v="1068"/>
    <x v="1452"/>
    <s v="TIV"/>
    <s v="Home built in 1997. frame with stucco and stone siding. Clay tile roof. Fire hydrant within 100 ft. CSA for burglary. In Brush."/>
    <x v="1"/>
    <s v="PC10 with high TIV and in brush."/>
    <m/>
    <m/>
    <s v="Lazovik"/>
    <m/>
    <m/>
    <n v="1"/>
  </r>
  <r>
    <x v="61"/>
    <s v="Hull Irvine"/>
    <m/>
    <s v="Alison"/>
    <s v="Email"/>
    <s v="Youdai, Jack"/>
    <m/>
    <x v="21"/>
    <s v="Malibu"/>
    <x v="1"/>
    <m/>
    <x v="12"/>
    <x v="1068"/>
    <x v="1452"/>
    <s v="TIV"/>
    <s v="1997 home updated in 2015. In Renie fire zone. Beautiful online photos. UW? Not completely answered."/>
    <x v="3"/>
    <s v="Answer uw questions."/>
    <m/>
    <m/>
    <s v="Patterson"/>
    <m/>
    <m/>
    <n v="0"/>
  </r>
  <r>
    <x v="333"/>
    <s v="Burns"/>
    <s v="MI"/>
    <s v="Jill"/>
    <s v="Email"/>
    <s v="Hill, Richard"/>
    <m/>
    <x v="2"/>
    <s v="Kapaa"/>
    <x v="57"/>
    <m/>
    <x v="4"/>
    <x v="1068"/>
    <x v="1452"/>
    <s v="TIV/PC 10"/>
    <s v="Frame, built in 2008, tenant occupied, no losses, wood shake roof, located in HI PC 10-response time 15 minutes, hydrant w/in 100 0 feet, $19,184 premium"/>
    <x v="3"/>
    <m/>
    <s v="Making sure not in Brush Zone (can't find notes if HI is in brush, but per Google some current wildfires); if in brush, need to be sure roof is fire resistant shakes"/>
    <m/>
    <s v="K.Burdine"/>
    <m/>
    <m/>
    <n v="0"/>
  </r>
  <r>
    <x v="135"/>
    <s v="Burns"/>
    <s v="MI"/>
    <s v="Jill"/>
    <s v="Email"/>
    <s v="Vintage Properties LLC"/>
    <m/>
    <x v="16"/>
    <s v="Santa Fe"/>
    <x v="15"/>
    <m/>
    <x v="4"/>
    <x v="1068"/>
    <x v="1452"/>
    <s v="TIV/PC"/>
    <s v="Renewal policy BWH104178-5982201 (no prior referral done).Frame, built in 2004, no losses, located in NM"/>
    <x v="3"/>
    <s v="Reviewed inspection-flat roof, but AOP $5K and no flat roof ded guidelines for burns, OK w/secondary rating for home occupied by adult daughter all year; PCQ questionnaire notes response time as 19-21 minutes, but notes at the bottom that another station within 2 miles. Approved with 50% surcharge 2017 renewal, 50% at 2018, as premium too low. IF response time within 15 minutes no surcharge needed"/>
    <s v="used .60/100, and need about $10K more than current premium"/>
    <m/>
    <s v="K.Burdine"/>
    <m/>
    <m/>
    <n v="0"/>
  </r>
  <r>
    <x v="140"/>
    <s v="Burns"/>
    <s v="MI"/>
    <s v="Rachel"/>
    <s v="Email"/>
    <s v="Milam"/>
    <s v="Gilbert"/>
    <x v="0"/>
    <s v="San Rafael"/>
    <x v="1"/>
    <m/>
    <x v="9"/>
    <x v="1068"/>
    <x v="1452"/>
    <s v="TIV"/>
    <s v="1947 home w/complete updates. No alarms. $2500 ded. Nice online photos._x000a__x000a_"/>
    <x v="0"/>
    <s v="1. Please forward a copy of the RiskMeter._x000a_2. Usually with risks over $2,000,000 TIV, we like to see a higher deductible (like $10,000).  Bill &amp; Danielle asked that we leave the underwriting in your hands and not stipulate this in the guidelines.  We still like to understand your thoughts.  Could you tell me what aspects of this risk give you a comfort level with the $2,500 deductible.    Got RM and discussed ded w/Danielle. Approved $5K if no alarms. $2500 if it turns out they have them._x000a__x000a_"/>
    <m/>
    <n v="40"/>
    <s v="Patterson"/>
    <m/>
    <m/>
    <n v="0"/>
  </r>
  <r>
    <x v="744"/>
    <s v="Burns"/>
    <s v="MI"/>
    <s v="Jill"/>
    <s v="Email"/>
    <s v="Milam"/>
    <s v="Gilbert"/>
    <x v="0"/>
    <s v="San Rafael"/>
    <x v="1"/>
    <m/>
    <x v="5"/>
    <x v="1068"/>
    <x v="1452"/>
    <s v="High profile"/>
    <s v="1940 updated home. Not in brush.  "/>
    <x v="1"/>
    <s v="Online review shows this insured is a high profile rapper in addition to ownership of a clothing and cannabis store.  Too high profile."/>
    <m/>
    <n v="36"/>
    <s v="Patterson"/>
    <m/>
    <m/>
    <n v="1"/>
  </r>
  <r>
    <x v="329"/>
    <s v="JM Wilson"/>
    <s v="MI"/>
    <s v="Cheryl"/>
    <s v="Email"/>
    <s v="Adams"/>
    <s v="Charles"/>
    <x v="125"/>
    <s v="Reidsville"/>
    <x v="11"/>
    <m/>
    <x v="0"/>
    <x v="1068"/>
    <x v="1493"/>
    <s v="Business on Premises"/>
    <s v="weddings in pavilion"/>
    <x v="3"/>
    <s v="subject to TBE, GL in place, other structures exclusion for pavilion, and confirmation no bed and breakfast as advertise; also 5% surcharge"/>
    <m/>
    <m/>
    <s v="Trott/Burdine"/>
    <m/>
    <m/>
    <n v="0"/>
  </r>
  <r>
    <x v="61"/>
    <s v="Burns"/>
    <s v="MI"/>
    <s v="Delta"/>
    <s v="Email"/>
    <s v="Bengard, Thomas"/>
    <m/>
    <x v="16"/>
    <s v="Big Bear Lake"/>
    <x v="1"/>
    <m/>
    <x v="25"/>
    <x v="1068"/>
    <x v="1494"/>
    <s v="TIV"/>
    <s v="1999 frame home not in brush. Alarmed. 2 bath tub leak losses for prior owner. Tub replaced, all damages repaired. 2 losses on claims report were prior owners. Confirmed by running A+ report. This is listed as a new purchase."/>
    <x v="4"/>
    <m/>
    <m/>
    <m/>
    <s v="Patterson"/>
    <m/>
    <m/>
    <n v="0"/>
  </r>
  <r>
    <x v="107"/>
    <s v="Hull Irvine"/>
    <m/>
    <s v="Alison"/>
    <s v="Email"/>
    <s v="List, Don"/>
    <m/>
    <x v="0"/>
    <s v="Topanga"/>
    <x v="1"/>
    <m/>
    <x v="6"/>
    <x v="1068"/>
    <x v="29"/>
    <s v="TIV"/>
    <s v="2007 home, alarms, brush, 10 min response time."/>
    <x v="4"/>
    <m/>
    <m/>
    <m/>
    <s v="Patterson"/>
    <m/>
    <m/>
    <n v="0"/>
  </r>
  <r>
    <x v="334"/>
    <s v="Hull Irvine"/>
    <s v="CA"/>
    <s v="Alison"/>
    <s v="Email"/>
    <s v="Ersoff"/>
    <s v="Sean"/>
    <x v="0"/>
    <s v="Los Angeles"/>
    <x v="1"/>
    <m/>
    <x v="5"/>
    <x v="1068"/>
    <x v="1495"/>
    <s v="TIV"/>
    <s v="CA, no brush, central alarms in home"/>
    <x v="4"/>
    <s v="RM, ISO, pics OK"/>
    <m/>
    <m/>
    <s v="Burdine"/>
    <m/>
    <m/>
    <n v="0"/>
  </r>
  <r>
    <x v="37"/>
    <s v="Hull Irvine"/>
    <s v="CA"/>
    <s v="Alison"/>
    <s v="Email"/>
    <s v="Monkarsh"/>
    <s v="Joshua"/>
    <x v="0"/>
    <s v="Beverly Hills "/>
    <x v="1"/>
    <m/>
    <x v="8"/>
    <x v="1068"/>
    <x v="1495"/>
    <s v="TIV"/>
    <s v="1967 dwelling not in brush. Updates in 2000. Alarms unknown. Occupancy listed as primary, and noted as vacant. (?)"/>
    <x v="3"/>
    <s v="Confirm occupancy, updates, alarms."/>
    <m/>
    <m/>
    <s v="Patterson"/>
    <m/>
    <m/>
    <n v="0"/>
  </r>
  <r>
    <x v="538"/>
    <s v="Hull Irvine"/>
    <s v="CA"/>
    <s v="Kelly"/>
    <s v="Email"/>
    <s v="Haas"/>
    <s v="Jeffrey &amp; Griselda"/>
    <x v="0"/>
    <s v="Ventura"/>
    <x v="1"/>
    <m/>
    <x v="0"/>
    <x v="1068"/>
    <x v="1495"/>
    <s v="TIV"/>
    <s v="Thomas fire loss, 2017-$410,000-smoke damage"/>
    <x v="4"/>
    <s v="Approved w/ appropriate claim surcharge"/>
    <m/>
    <m/>
    <s v="Burdine"/>
    <m/>
    <m/>
    <n v="0"/>
  </r>
  <r>
    <x v="663"/>
    <s v="Hull Irvine"/>
    <s v="CA"/>
    <s v="Kelly"/>
    <s v="Email"/>
    <s v="Newman"/>
    <s v="Bryan"/>
    <x v="0"/>
    <s v="Topanga"/>
    <x v="1"/>
    <m/>
    <x v="8"/>
    <x v="1068"/>
    <x v="1495"/>
    <s v="TIV"/>
    <s v="Home built in 2001. Frame home, CSA, with stucco siding. . Cinematographer and French closing retail store owner. Came in as primary but internet search shows numerous homes throughout the US.  Photos show pool with fencing around the perimeter."/>
    <x v="3"/>
    <s v="Home seems to be in excellent shape (new purchase and available on zillow). Confirm occupancy is primary as it appears it could be secondary/seasonal. Change the premium if that is the case."/>
    <m/>
    <m/>
    <s v="Lazovik"/>
    <m/>
    <m/>
    <n v="0"/>
  </r>
  <r>
    <x v="727"/>
    <s v="Burns"/>
    <s v="MI"/>
    <s v="Delta"/>
    <s v="Email"/>
    <s v="Kleine, Robert"/>
    <m/>
    <x v="0"/>
    <s v="Dana Pointe"/>
    <x v="1"/>
    <m/>
    <x v="9"/>
    <x v="1068"/>
    <x v="1495"/>
    <s v="TIV"/>
    <s v="2004 home not in brush, alarms, 2 prior water losses in 2016 $2620 and $42,401. Home replumbed after loss."/>
    <x v="4"/>
    <s v="Since home is newer and has been replumbed, advised agent they could use some discretionary credit if needed."/>
    <m/>
    <m/>
    <s v="Patterson"/>
    <m/>
    <m/>
    <n v="0"/>
  </r>
  <r>
    <x v="143"/>
    <s v="SCU"/>
    <s v="CO"/>
    <s v="Allison"/>
    <s v="Email"/>
    <s v="Ryan"/>
    <s v="Barry &amp; Candice"/>
    <x v="0"/>
    <s v="Newport Beach"/>
    <x v="1"/>
    <m/>
    <x v="8"/>
    <x v="1068"/>
    <x v="1495"/>
    <s v="Prior loss"/>
    <s v="1988 home w/2008 roof. Alarms. Prior $163K loss 2/17 due to heavy rain storm. No note on cause. All tearout done. Just deciding on finish contractor. Should be done in next few months."/>
    <x v="2"/>
    <s v="What caused the rain damage to get inside?"/>
    <m/>
    <n v="10"/>
    <s v="Patterson"/>
    <m/>
    <m/>
    <n v="0"/>
  </r>
  <r>
    <x v="254"/>
    <s v="Burns"/>
    <s v="MI"/>
    <s v="Ben"/>
    <s v="Email"/>
    <s v="Cravens, Brenda"/>
    <m/>
    <x v="98"/>
    <s v="Palm Springs CA PC3"/>
    <x v="1"/>
    <m/>
    <x v="9"/>
    <x v="1068"/>
    <x v="1495"/>
    <s v="TIV&gt;$3M"/>
    <s v="1983 home, no updates. App says 1989 home. Burglar alarm and temperature alarm per app. Online google of address shows a resort at this location. Not sure what we are insuring. Resort includes B&amp;B, 375 acres, used for groups/weddings, etc!"/>
    <x v="2"/>
    <s v="Would need 10K ded due to no CS fire alarm per app. Confirm age of home. Confirm what we are insuring-may not be able to do it."/>
    <m/>
    <m/>
    <s v="Patterson"/>
    <m/>
    <m/>
    <n v="0"/>
  </r>
  <r>
    <x v="564"/>
    <s v="Hull Irvine"/>
    <s v="CA"/>
    <s v="Michelle"/>
    <s v="Email"/>
    <s v="De Silva"/>
    <s v="Sunil"/>
    <x v="0"/>
    <s v="Pasadena"/>
    <x v="1"/>
    <m/>
    <x v="8"/>
    <x v="1068"/>
    <x v="30"/>
    <s v="TIV"/>
    <s v="Home located in PC2 brush. Stucco frame built in 1917 with all new updates in 2018."/>
    <x v="3"/>
    <s v="Home looks lovely but brush is right up against the home which isn't allowable with brush. Must confirm through inspection that the 150' defensible barrier is present or we cannot bind."/>
    <m/>
    <m/>
    <s v="Lazovik"/>
    <m/>
    <m/>
    <n v="0"/>
  </r>
  <r>
    <x v="78"/>
    <s v="Burns"/>
    <s v="MI"/>
    <s v="Danielle"/>
    <s v="Email"/>
    <s v="Richmond, Mitchell "/>
    <m/>
    <x v="0"/>
    <s v="Bell Canyon"/>
    <x v="1"/>
    <m/>
    <x v="9"/>
    <x v="1068"/>
    <x v="1496"/>
    <s v="TIV"/>
    <s v="1987 frame home, no alarms, high brush zone. $5K AOP.  Nice online photos."/>
    <x v="0"/>
    <s v="approved subj to 150' clearance and central fire/burglar alarms."/>
    <m/>
    <m/>
    <s v="Patterson"/>
    <m/>
    <m/>
    <n v="0"/>
  </r>
  <r>
    <x v="678"/>
    <s v="Burns"/>
    <s v="MI"/>
    <s v="Leslie"/>
    <s v="Email"/>
    <s v="De La Torre"/>
    <s v="James"/>
    <x v="0"/>
    <s v="Altadena"/>
    <x v="1"/>
    <m/>
    <x v="9"/>
    <x v="1068"/>
    <x v="32"/>
    <s v="TIV"/>
    <s v="Primary, built in 2002. CS burglar alarm (will obtain cert.) No losses. PC 3"/>
    <x v="4"/>
    <s v="photos, rm, OK"/>
    <m/>
    <m/>
    <s v="Burdine"/>
    <m/>
    <m/>
    <n v="0"/>
  </r>
  <r>
    <x v="5"/>
    <s v="SCU"/>
    <s v="CO"/>
    <s v="Allison"/>
    <m/>
    <s v="Giefer"/>
    <s v="Steven &amp; Autumn"/>
    <x v="1"/>
    <s v="Franktown"/>
    <x v="19"/>
    <s v="80116"/>
    <x v="0"/>
    <x v="1068"/>
    <x v="1497"/>
    <s v="TIV"/>
    <s v="This was  a builders risk since 2017, main home just got finished. Detached guest home is being built now and should be done in a couple months. No change in exposure, will endorse off COC once done and will be primary. 3 dogs, all acceptable breeds, and 13 goats and a mule - all personal use and to keep grass low. Excluded animal liability but asked if they request to remove the exclusion would it be OK. Hail loss from 2016, caused full replacement of roof on the main home. UPDATE 4/3/2019: Allison came back asking if we can just insure the guest house, as applicant is able to insure main house through Chubb but they wont write the guest home. She applied 10% surcharge for tail end COC of guest home. "/>
    <x v="3"/>
    <s v="Advised that the animal exclusion should apply, but if they ask to remove then it would be ok with an additional 5% surcharge due to # of animals and only allow lowest limit of $10,000. COC seems fine since main home is complete. Applied another 5% surcharge for being mid-term with the guest house. UPDATE 4/3/2019: Advised we will allow to just insure the guest home. She has it rated as HO3 builders risk still, and is including &quot;guest home&quot; in the location address. Asked if Chubb would extend liability for the guests home, and if so we would exclude liability. If not, we would want to apply a building exclusion for the main house and any other structures that would be covered under the policy for the main house. Asdvised that the animal liability subjectivities would still apply if they wanted to remove exclusion. UPDATE 4/8/2019: Chubb will offer laibility for entire premises, which would include gust home and barn. As such, approving terms to cover guest home on Cov A and barn on Cov B while excluding liability. "/>
    <m/>
    <m/>
    <s v="Busse"/>
    <m/>
    <m/>
    <n v="0"/>
  </r>
  <r>
    <x v="110"/>
    <s v="Burns"/>
    <s v="MI"/>
    <s v="Jill"/>
    <s v="Email"/>
    <s v="Hillen, Keith &amp; Mary"/>
    <m/>
    <x v="16"/>
    <s v="Nevada City"/>
    <x v="1"/>
    <m/>
    <x v="0"/>
    <x v="1068"/>
    <x v="1498"/>
    <s v="TIV"/>
    <s v="1981 home, excellent condition, nice per online photos. No URQ, unknown if PC9 or 10. 2 losses at other locations, reviewed, okay. Alarms. Per online photos, 5 stall horse barn and riding arena on property. Insd self employed. WBS per app. In Brush per RM, but one of those unacceptable ISO reports is also attached showing no brush."/>
    <x v="3"/>
    <s v="You are approved to release terms subject to:_x000a_• If URQ and information shows this is a PC9, okay to proceed if 15 minutes response time or less.  If PC10, please send to me so I can review information and approve final terms._x000a_• Confirmation no business at the residence premises (insured is self employed)_x000a_• Acceptable woodburning stove questionnaire_x000a_• Confirmation we are rating this in brush per RiskMeter (we don't use the ISO California Brush Fire report)_x000a_• Confirmation of brush clearance per our requirements to 150’_x000a_• Check on any horse or animal exposure.  There is a 5 stall horse barn and riding arena on the property._x000a_5/25/17 -- Adjusted Cov A to $1,800,000 from $2,125,000 and TIV to $3,753,750 from $4,143,750."/>
    <m/>
    <m/>
    <s v="Patterson"/>
    <m/>
    <m/>
    <n v="0"/>
  </r>
  <r>
    <x v="606"/>
    <s v="Hull Irvine"/>
    <s v="CA"/>
    <s v="Michelle"/>
    <m/>
    <s v="Gertner"/>
    <s v="Michael"/>
    <x v="0"/>
    <s v="Silverado"/>
    <x v="1"/>
    <s v="92676"/>
    <x v="5"/>
    <x v="1069"/>
    <x v="0"/>
    <s v="Losses"/>
    <s v="1983 home w/$10K AOP. Prior water loss 8/14/17 $115K water damage in basement, painting damaged. Nonrenew w/Lex due to no dual access."/>
    <x v="1"/>
    <s v="Recently added &quot;no dual access&quot; declines or nrn's to our list of ineligible."/>
    <m/>
    <m/>
    <s v="Patterson"/>
    <m/>
    <m/>
    <n v="1"/>
  </r>
  <r>
    <x v="805"/>
    <s v="SCU"/>
    <s v="CO"/>
    <s v="Allison"/>
    <s v="Email"/>
    <s v="Grage"/>
    <s v="Ralph"/>
    <x v="0"/>
    <s v="Colorado Springs "/>
    <x v="19"/>
    <m/>
    <x v="0"/>
    <x v="1070"/>
    <x v="1499"/>
    <s v="Loss surcharge"/>
    <s v="Insured had a roof hail loss, replaced $17K roof out of pocket. Prior carrier had a $35 expense payment, that's it. Claim is closed. Agreed to allow 15% credit to offset claim surcharge. Did not want to remove it for tracking purposes."/>
    <x v="3"/>
    <s v="Up to 15% credit. Call if more is needed to offset."/>
    <m/>
    <m/>
    <s v="Patterson"/>
    <m/>
    <m/>
    <n v="0"/>
  </r>
  <r>
    <x v="634"/>
    <s v="Hull Irvine"/>
    <s v="CA"/>
    <s v="Michelle"/>
    <m/>
    <s v="Weintraub"/>
    <s v="Brian"/>
    <x v="0"/>
    <s v="Pacific Palisades"/>
    <x v="1"/>
    <s v="90272"/>
    <x v="11"/>
    <x v="1070"/>
    <x v="1500"/>
    <s v="TIV"/>
    <s v="Frame with stucco home built in 1946. Wiring, plumbing and roofing replaced in 2018. No losses. Just completed their remodeling (Zurich COC). CS burglar and smoke alarms. Everything has just been remodeled."/>
    <x v="3"/>
    <s v="Due to recent remodeling and everything is updated coupled with the CS alarms, the risk looks good. Confirm gut remodel or consider ACV or FRC."/>
    <m/>
    <m/>
    <s v="Lazovik"/>
    <m/>
    <m/>
    <n v="0"/>
  </r>
  <r>
    <x v="197"/>
    <s v="Burns"/>
    <s v="MI"/>
    <s v="Sarah"/>
    <s v="Email"/>
    <s v="SAV Investments"/>
    <m/>
    <x v="32"/>
    <s v="Weatherford TX PC 3"/>
    <x v="3"/>
    <m/>
    <x v="0"/>
    <x v="1071"/>
    <x v="0"/>
    <s v="12 duplexes"/>
    <s v="12 unit duplex complex. $152,000 per unit. 2009 veneer."/>
    <x v="4"/>
    <s v="Ran by Jeff for review. We don't have all the things they are looking for, but offered terms w/those changes."/>
    <m/>
    <m/>
    <s v="Patterson"/>
    <m/>
    <m/>
    <n v="0"/>
  </r>
  <r>
    <x v="260"/>
    <s v="Burns"/>
    <s v="MI"/>
    <s v="Ben"/>
    <s v="Email"/>
    <s v="Cosocri Corp"/>
    <m/>
    <x v="0"/>
    <s v="Coral Gables"/>
    <x v="32"/>
    <m/>
    <x v="5"/>
    <x v="1072"/>
    <x v="1501"/>
    <s v="TIV"/>
    <s v="1989 home updated.  Roof only partially in 2011 so agt is adding roof exclusion. "/>
    <x v="3"/>
    <s v="Approved subj to acceptable Corporate/LLC form due to business name."/>
    <m/>
    <m/>
    <s v="Patterson"/>
    <m/>
    <m/>
    <n v="0"/>
  </r>
  <r>
    <x v="25"/>
    <s v="Hull Irvine"/>
    <s v="CA"/>
    <s v="Bobbi"/>
    <s v="Email"/>
    <s v="Tour"/>
    <s v="Touraj"/>
    <x v="0"/>
    <s v="Beverly Hills"/>
    <x v="1"/>
    <m/>
    <x v="0"/>
    <x v="1073"/>
    <x v="290"/>
    <s v="Prior Lapse/NRN"/>
    <s v="1960 home updated. Nice online pic, possible flat roof. Insured nonrenewed for not having alarms. Agent quoting with $10,000 ded."/>
    <x v="3"/>
    <s v="Ok, $10K is our criteria. Asked agt to make a note in file of flat roof in case they decide to install alarms. Flat roof form could be added."/>
    <m/>
    <m/>
    <s v="Patterson"/>
    <m/>
    <m/>
    <n v="0"/>
  </r>
  <r>
    <x v="821"/>
    <s v="Hull CA"/>
    <s v="CA"/>
    <s v="Alison"/>
    <s v="Email"/>
    <s v="Townsend, Joan"/>
    <m/>
    <x v="89"/>
    <s v="Los Angeles, CA PC2"/>
    <x v="3"/>
    <m/>
    <x v="0"/>
    <x v="1074"/>
    <x v="290"/>
    <s v="TIV"/>
    <s v="Owner occupied,  brush zone (surcharged), central fire, no central burglar"/>
    <x v="3"/>
    <s v="approved as long as brush clearance met (concerns with online photos), and either install central burg or higher AOP and/or special theft"/>
    <m/>
    <m/>
    <m/>
    <m/>
    <m/>
    <n v="0"/>
  </r>
  <r>
    <x v="750"/>
    <s v="SCU"/>
    <s v="CO"/>
    <s v="Ashley"/>
    <s v="Email"/>
    <s v="Jahromi, Babak"/>
    <m/>
    <x v="21"/>
    <s v="Dillon"/>
    <x v="19"/>
    <m/>
    <x v="8"/>
    <x v="1075"/>
    <x v="1502"/>
    <s v="90 day lapse"/>
    <s v="2008 frame home w/ metal roof. Insd is Microsoft Architect from Stamford CT. Risk was w/Chubb. They increased dwelling amount and mortgage co didn't pay, pol canc for non-pay. 5% lapse s/c added"/>
    <x v="3"/>
    <s v="Approved subj to obtaining a signed statement of no loss."/>
    <m/>
    <m/>
    <s v="Patterson"/>
    <m/>
    <m/>
    <n v="0"/>
  </r>
  <r>
    <x v="16"/>
    <s v="Hull Irvine"/>
    <s v="CA"/>
    <s v="Alex"/>
    <s v="Call/Email"/>
    <s v="Haefele"/>
    <s v="Mark"/>
    <x v="5"/>
    <s v="Villa Park"/>
    <x v="1"/>
    <m/>
    <x v="0"/>
    <x v="1076"/>
    <x v="23"/>
    <s v="Condition"/>
    <s v="1990 stucco dwelling w/ original tile roof. Insd father lived there and insd recently inherited after father passed. Little maintenance. Existing wood rot, settling cracks, liability hazards. Insd planning to fix and move in within 60-90 days. "/>
    <x v="3"/>
    <s v="Apply exclusions: existing damage, water damage, mold damage, liability exclusion. Outlined terms of repair required to adjust. Rate as vacant. Addl prem due to increased adjusting expenses."/>
    <m/>
    <m/>
    <s v="Patterson"/>
    <s v="X"/>
    <s v="Make sure all the repairs were proved before exclusions were lifted."/>
    <n v="0"/>
  </r>
  <r>
    <x v="493"/>
    <s v="Hull CO"/>
    <s v="NJ"/>
    <s v="Lisa"/>
    <s v="Email"/>
    <s v="1138 Bushwick LLC"/>
    <m/>
    <x v="2"/>
    <s v="Brooklyn NY PC2"/>
    <x v="3"/>
    <m/>
    <x v="0"/>
    <x v="1077"/>
    <x v="1262"/>
    <s v="Prior loss"/>
    <s v="2015 home (gutted/remodeled in 2015 due to prior total fire loss). 3 fam rental in Brooklyn NY. "/>
    <x v="4"/>
    <s v="Discussed location with Jeff. Ok, but don't fight for rate. Lloyds is about same premium. Agt will get fire marshall report. "/>
    <m/>
    <m/>
    <s v="Patterson"/>
    <m/>
    <m/>
    <n v="0"/>
  </r>
  <r>
    <x v="487"/>
    <s v="Hull Irvine"/>
    <s v="CA"/>
    <s v="Kelly"/>
    <m/>
    <s v="Ker"/>
    <s v="Jonathon &amp; Cynthia"/>
    <x v="0"/>
    <s v="Studio City"/>
    <x v="1"/>
    <s v="91604"/>
    <x v="5"/>
    <x v="1077"/>
    <x v="1503"/>
    <s v="High Profile"/>
    <s v="2007 year built. Insured is a film producer, not too high profile. Was within agent's authority but due to high profile it was referred to us. "/>
    <x v="4"/>
    <s v="Approved as quoted"/>
    <m/>
    <m/>
    <s v="Busse"/>
    <m/>
    <m/>
    <n v="0"/>
  </r>
  <r>
    <x v="43"/>
    <s v="Burns"/>
    <s v="MI"/>
    <s v="Rachel"/>
    <s v="Email"/>
    <s v="El Moussa"/>
    <s v="Christina"/>
    <x v="0"/>
    <s v="Newport Beach"/>
    <x v="1"/>
    <m/>
    <x v="8"/>
    <x v="1077"/>
    <x v="1504"/>
    <s v="High Profile"/>
    <s v="Built in 1999, full updates to everything in 2015. Frame,PC2, no losses, not in brush, applicant high profile current co-host of house flipping show on HGTV"/>
    <x v="3"/>
    <s v="approved x-liability"/>
    <m/>
    <m/>
    <s v="Burdine"/>
    <m/>
    <m/>
    <n v="0"/>
  </r>
  <r>
    <x v="663"/>
    <s v="Hull Irvine"/>
    <s v="CA"/>
    <s v="Alison"/>
    <s v="Email"/>
    <s v="Schneider"/>
    <s v="Andrew"/>
    <x v="0"/>
    <s v="Coto De Caza "/>
    <x v="1"/>
    <m/>
    <x v="2"/>
    <x v="1077"/>
    <x v="1505"/>
    <s v="TIV"/>
    <s v="Close to brush zone (agent suggested brush s/c regardless. Built in 200 with a comp roof, CS alarms and interior sprinklers. "/>
    <x v="4"/>
    <s v="Everything is in order. Sprinkler system is reassuring with the 3.3M TIV."/>
    <m/>
    <m/>
    <s v="Lazovik"/>
    <m/>
    <m/>
    <n v="0"/>
  </r>
  <r>
    <x v="140"/>
    <s v="Hull Irvine"/>
    <m/>
    <s v="Bobbi"/>
    <s v="Email"/>
    <s v="Hall"/>
    <s v="Stephanie"/>
    <x v="0"/>
    <s v="Altadena"/>
    <x v="1"/>
    <m/>
    <x v="9"/>
    <x v="1077"/>
    <x v="1454"/>
    <s v="TIV"/>
    <s v="2002 home. $90K water loss w/prior owner. Professionally repaired, dried, broken pipe replaced w/ stainless steel braided hose; also replaced other supply hoses in the home w/this hose. Insd is MD. Agt added $10K ded. Agt added 5% s/c due to proximity to brush."/>
    <x v="3"/>
    <s v="Verify alarms. Okay with prior water loss - steps taken, newer home. Suggested 10% s/c."/>
    <m/>
    <n v="18"/>
    <s v="Patterson"/>
    <m/>
    <m/>
    <n v="0"/>
  </r>
  <r>
    <x v="341"/>
    <s v="Hull Stockton"/>
    <s v="CA"/>
    <s v="Bobbi"/>
    <s v="Email/Phone"/>
    <s v="Pace"/>
    <s v="Nicole"/>
    <x v="0"/>
    <s v="Mill Valley"/>
    <x v="1"/>
    <m/>
    <x v="9"/>
    <x v="1078"/>
    <x v="1506"/>
    <s v="TIV"/>
    <s v="Frame home built in 1999. No updates listed for wiring, plumbing, heaing or roof. Over the phone, Bobbi said they were dropped by admitted market for non-payment. UPDATE: Follow up from Bobbi indicating insured is filing claim with prior carrier for water damage in amount of $200,00. 2ND UPDATE: claim has not even been filed with prior carrier, appears damage is just sitting unrepaired"/>
    <x v="3"/>
    <s v="Home looks good with burglar and fire CS alarms. Apply surcharge of 10% and signed statement of no loss.  ACV roof if not updated. Rush interior inspection. UPDATE: asked for details on the loss, added water exclusion and additional 10% surcharge. 2ND UPDATE: Declined risk, with $200,000 of water damage sitting unrepaired, not comfortable even with water exclusion."/>
    <m/>
    <m/>
    <s v="Lazovik/Busse"/>
    <m/>
    <m/>
    <n v="0"/>
  </r>
  <r>
    <x v="602"/>
    <s v="Hull CA"/>
    <s v="Irvine"/>
    <s v="Alison"/>
    <s v="Email"/>
    <s v="Perley, Michael"/>
    <m/>
    <x v="0"/>
    <s v="Huntington Beach CA PC4"/>
    <x v="3"/>
    <m/>
    <x v="0"/>
    <x v="1079"/>
    <x v="1507"/>
    <s v="2 water losses"/>
    <s v="1979 home, all updated. 2012 $106K toilet overflow; 2013 $31K pipe broke.  Nice home per online. Insd is doctor. Tile roof"/>
    <x v="4"/>
    <s v="Currently with Scottsdale. Agreed to offer terms w/no water backup, $25K water ded. 10% surcharge."/>
    <s v="Alison emailed on 3/11/16. Insured has had another loss - wind with damage to roof, stained glass window, and some water damage. Requoted for prem of $10,317. (3 losses + 10% s/c)"/>
    <m/>
    <s v="Patterson"/>
    <m/>
    <m/>
    <n v="0"/>
  </r>
  <r>
    <x v="483"/>
    <s v="Burns"/>
    <s v="MI"/>
    <s v="Ben"/>
    <s v="Email"/>
    <s v="Frankel, Barbara"/>
    <m/>
    <x v="0"/>
    <s v="Los Angeles CA PC2"/>
    <x v="1"/>
    <m/>
    <x v="8"/>
    <x v="1080"/>
    <x v="1508"/>
    <s v="TIV&gt;$3M"/>
    <s v="1964 home w/updates and alarmed. Online photo looks good. In brush."/>
    <x v="4"/>
    <m/>
    <m/>
    <m/>
    <s v="Patterson"/>
    <m/>
    <m/>
    <n v="0"/>
  </r>
  <r>
    <x v="379"/>
    <s v="Burns"/>
    <s v="MI"/>
    <s v="Delta"/>
    <s v="Email"/>
    <s v="Tognetti"/>
    <s v="Brian &amp; Paula"/>
    <x v="3"/>
    <m/>
    <x v="8"/>
    <m/>
    <x v="4"/>
    <x v="1081"/>
    <x v="826"/>
    <s v="PC"/>
    <s v="rented 10-12 weeks, on lake Michigan, no losses, 22 acres, will be installing alarms, IS D, response time 16 minutes"/>
    <x v="3"/>
    <s v="PCQ, photos, OK. Approved subject to extra 5% surcharge"/>
    <m/>
    <m/>
    <s v="Burdine"/>
    <m/>
    <m/>
    <n v="0"/>
  </r>
  <r>
    <x v="124"/>
    <s v="Hull Stockton"/>
    <m/>
    <s v="Lisa"/>
    <s v="Email"/>
    <s v="Tibuk, Kerem &amp; Duygu"/>
    <m/>
    <x v="0"/>
    <s v="Malibu"/>
    <x v="1"/>
    <m/>
    <x v="5"/>
    <x v="1082"/>
    <x v="1509"/>
    <s v="TIV"/>
    <s v="1980 home w/updates. No alarms - agt quoted $10K ded. Not in brush. PPC says 4 with alternatives. App says 9; 5 miles to FD. Hydrant. Agt quoted 4."/>
    <x v="3"/>
    <s v="I want to verify PC to approve final terms. Asked for name &amp; addr of responding FD. If after hours (which is in 30 min), Lisa can review and approve."/>
    <m/>
    <m/>
    <s v="Patterson"/>
    <m/>
    <m/>
    <n v="0"/>
  </r>
  <r>
    <x v="519"/>
    <s v="Hull Irvine"/>
    <s v="CA"/>
    <s v="Alex"/>
    <s v="Email"/>
    <s v="Burnett"/>
    <s v="Ernest"/>
    <x v="0"/>
    <s v="SAN JUAN CAPISTRANO"/>
    <x v="1"/>
    <m/>
    <x v="0"/>
    <x v="1083"/>
    <x v="29"/>
    <s v="TIV"/>
    <s v=" two Water Damage losses: The water filter was replaced and the AC was repaired.  $25K WD Deductible and did not offer Mold due to the prior claim. Reached out to the agent to see if the mold was localized to the rug or if it was extensive.  If extensive I requested a mold remediation cert prior to binding."/>
    <x v="4"/>
    <s v="photos acceptable, proper mitigation in place based on prior losses"/>
    <m/>
    <m/>
    <s v="Burdine"/>
    <m/>
    <m/>
    <n v="0"/>
  </r>
  <r>
    <x v="752"/>
    <s v="Burns"/>
    <s v="MI"/>
    <s v="Delta"/>
    <s v="Email"/>
    <s v="Hall, Harvey &amp; Lavonne"/>
    <m/>
    <x v="0"/>
    <s v="Bakersfield"/>
    <x v="1"/>
    <m/>
    <x v="8"/>
    <x v="1084"/>
    <x v="1510"/>
    <s v="Prior losses"/>
    <s v="primary; Built in 2000, frame construction, PC2, not in brush, full c/s alarms and 2 losses . They are planning on installing video cameras for added security."/>
    <x v="3"/>
    <s v="not scheduling jewelry, theft ded  at $25K; adding cameras; in gated community; subject to adding the cameras and "/>
    <m/>
    <m/>
    <s v="Burdine"/>
    <m/>
    <m/>
    <n v="0"/>
  </r>
  <r>
    <x v="501"/>
    <s v="Burns"/>
    <s v="MI"/>
    <s v="Leslie"/>
    <m/>
    <s v="Marcus"/>
    <s v="Aubrey"/>
    <x v="4"/>
    <s v="Sedona"/>
    <x v="7"/>
    <s v="83663"/>
    <x v="4"/>
    <x v="1085"/>
    <x v="1511"/>
    <s v="TIV"/>
    <s v="1990 home. PC10-response time 25 minutes. Insd is CEO of Onnit-holistic healing-high profile. Home on 20 acres."/>
    <x v="1"/>
    <s v="High TIV with high response time - not comfortable.  (Would not have offered liability for this high profile individual.) // 5/22/19 MP Partner checked back for reconsideration - any s/c or excl? Advised no, the decline stands."/>
    <s v="Ins score J"/>
    <m/>
    <s v="Patterson"/>
    <m/>
    <m/>
    <n v="1"/>
  </r>
  <r>
    <x v="688"/>
    <s v="Hull CA"/>
    <s v="Irvine"/>
    <s v="Vanessa"/>
    <s v="Email"/>
    <s v="Davis, Dennis"/>
    <m/>
    <x v="16"/>
    <s v="Shaver Lake CA  PC6"/>
    <x v="3"/>
    <m/>
    <x v="0"/>
    <x v="1086"/>
    <x v="1512"/>
    <s v="Loss/No alarm"/>
    <s v="2003 Secondary. Pipes updated to PEX after 2013 $70K freezing loss. Not in brush zone. No alarms."/>
    <x v="1"/>
    <s v="Secondary home, high value with no alarms.  Would offer terms is they would install a central station alarm."/>
    <m/>
    <m/>
    <s v="Patterson"/>
    <m/>
    <m/>
    <n v="1"/>
  </r>
  <r>
    <x v="308"/>
    <s v="Hull CA"/>
    <s v="CA"/>
    <s v="Melissa"/>
    <s v="Email"/>
    <s v="Chlavin, Jo-Ann"/>
    <m/>
    <x v="37"/>
    <s v="Mirage"/>
    <x v="1"/>
    <m/>
    <x v="9"/>
    <x v="1087"/>
    <x v="0"/>
    <s v="Golf Cart/Horses"/>
    <s v="No brush, Lexington renewal, 2 horses for personal use, 2 golf carts"/>
    <x v="4"/>
    <s v="Approved terms w/liab w/understanding that horses are personal use only. Also, rater doesn't update premium for 2 golf carts. Advised Melissa on 1/3/17 that rate is $50 per cart, so $100, after response from Jeff"/>
    <m/>
    <m/>
    <s v="Burdine"/>
    <m/>
    <m/>
    <n v="0"/>
  </r>
  <r>
    <x v="350"/>
    <s v="Hull Charlotte"/>
    <s v="NC"/>
    <s v="Alia"/>
    <s v="Email"/>
    <s v="Moore"/>
    <s v="Edward &amp; Virginia"/>
    <x v="1"/>
    <s v="Charlotte"/>
    <x v="11"/>
    <m/>
    <x v="0"/>
    <x v="1088"/>
    <x v="1513"/>
    <s v="Rate"/>
    <s v="Nice home with minor reno. 1860 home was completely renovated in 2016. Agent looking for .60 rate. Currently at about .73"/>
    <x v="3"/>
    <s v="Reviewed w/Louisa. We agreed to go to a .68 rate premium of $12,715. That's $1,000 credit. 15% on the non-CQ rate. // Agt re-rated without EQ and offered rate per the rater with no credit."/>
    <m/>
    <m/>
    <s v="Patterson"/>
    <m/>
    <m/>
    <n v="0"/>
  </r>
  <r>
    <x v="451"/>
    <s v="Hull Irvine"/>
    <s v="CA"/>
    <s v="Tina"/>
    <m/>
    <s v="Hooper Family Trust"/>
    <m/>
    <x v="4"/>
    <s v="Inverness"/>
    <x v="1"/>
    <s v="94937"/>
    <x v="0"/>
    <x v="1089"/>
    <x v="1514"/>
    <s v="Prior Lapse/NRN"/>
    <s v="2000 year built, secondary home. WRS is "/>
    <x v="1"/>
    <s v="Declined due to updated guidelines around WRS. "/>
    <m/>
    <m/>
    <s v="Busse"/>
    <m/>
    <m/>
    <n v="1"/>
  </r>
  <r>
    <x v="473"/>
    <s v="Burns"/>
    <s v="MI"/>
    <s v="Danielle"/>
    <s v="Email"/>
    <s v="Dumoulin"/>
    <s v="Daniel"/>
    <x v="0"/>
    <s v="Kokomo "/>
    <x v="17"/>
    <m/>
    <x v="0"/>
    <x v="1090"/>
    <x v="1515"/>
    <s v="Prior Lapse/NRN"/>
    <s v="We previously approved risk in 12/2017. Agent asking for review and approval to refresh terms.  Per prior app, covg lapsed in 1/2018. Agt to get no loss statement"/>
    <x v="1"/>
    <s v="Ran insurance score.  Tax liens, score in surcharge tier, some delinquent accounts. Not an account to write with &gt;$3M TIV."/>
    <s v="score under 600"/>
    <m/>
    <s v="Patterson"/>
    <m/>
    <m/>
    <n v="1"/>
  </r>
  <r>
    <x v="460"/>
    <s v="Burns"/>
    <s v="MI"/>
    <s v="Danielle"/>
    <s v="Email"/>
    <s v="Dumoulin"/>
    <s v="Daniel"/>
    <x v="0"/>
    <s v="Kokomo"/>
    <x v="17"/>
    <m/>
    <x v="6"/>
    <x v="1090"/>
    <x v="1515"/>
    <s v="TIV"/>
    <s v="primary home for the above named insured located in IN.  Home was built in 2000 of brick veneer construction.  PC9 with alarms and no losses"/>
    <x v="3"/>
    <s v="no loss statement needed. Per app, cancelled in November (over 30 days)"/>
    <m/>
    <m/>
    <s v="Burdine"/>
    <m/>
    <m/>
    <n v="0"/>
  </r>
  <r>
    <x v="792"/>
    <s v="SCU"/>
    <s v="CO"/>
    <s v="Allison"/>
    <s v="Email"/>
    <s v="Eaton"/>
    <s v="Kim Arthur and Elizabeth Torrey"/>
    <x v="0"/>
    <s v="Mill Valley"/>
    <x v="1"/>
    <m/>
    <x v="9"/>
    <x v="1091"/>
    <x v="1516"/>
    <s v="Losses"/>
    <s v="losses over $100K-10/2015-animal died on top of home and damaged duct system. All repaired; 12/2016-water dripping, all repaired. Quoted wit water ded, and desire $25K med pay"/>
    <x v="4"/>
    <s v="photos, premium acceptable"/>
    <m/>
    <m/>
    <s v="Burdine"/>
    <m/>
    <m/>
    <n v="0"/>
  </r>
  <r>
    <x v="475"/>
    <s v="Burns"/>
    <s v="MI"/>
    <s v="Matt"/>
    <s v="Email"/>
    <s v="Wilson, Louise"/>
    <m/>
    <x v="0"/>
    <s v="Lake Forest IL PC 5"/>
    <x v="3"/>
    <m/>
    <x v="0"/>
    <x v="1092"/>
    <x v="1517"/>
    <s v="2 losses"/>
    <s v="2 losses in 2015. Not a trend, not over the top. Great risk per sub-pristine. Nice loc on Lake MI."/>
    <x v="4"/>
    <s v="Order E&amp;H rider, $5k aop ($2500 min), s/c for claim."/>
    <m/>
    <m/>
    <s v="Patterson"/>
    <m/>
    <m/>
    <n v="0"/>
  </r>
  <r>
    <x v="451"/>
    <s v="Hull Irvine"/>
    <s v="CA"/>
    <s v="Alison"/>
    <m/>
    <s v="Trujillo"/>
    <s v="Robert &amp; Chloe"/>
    <x v="0"/>
    <s v="Topanga"/>
    <x v="1"/>
    <s v="90290"/>
    <x v="0"/>
    <x v="1093"/>
    <x v="1518"/>
    <s v="High Profile"/>
    <s v="1960 home with no initial mention of updates. Referred due to high profile. Robert is bassist for heavy metal band Metallica. 2 previous work comp claims in 2012 from when the home was under construction. There was also a complaint made against the applicant and his wife back in 2012 between them and a possible new assistant, it was a business dispute. Liability is insured elsewhere. WRS is 82"/>
    <x v="1"/>
    <s v="WRS is not in the range of an automatic decline (85+) but is pretty close. Very popular band that tends to more of a &quot;rowdy&quot; scene. Possible concerns with previous complaints. All of that in combination of the high WRS caused reason for decline. Also a declined zip code."/>
    <m/>
    <m/>
    <s v="Busse"/>
    <m/>
    <m/>
    <n v="1"/>
  </r>
  <r>
    <x v="520"/>
    <s v="Burns"/>
    <s v="MI"/>
    <s v="Jill"/>
    <s v="Email"/>
    <s v="Campbell"/>
    <s v="Jack"/>
    <x v="16"/>
    <s v="Malibu"/>
    <x v="1"/>
    <m/>
    <x v="5"/>
    <x v="1094"/>
    <x v="1519"/>
    <s v="Prior loss"/>
    <s v="1970 home not in brush. Scottsdale nonrenewing due to 2/8/17 loss - storm caused roof to cave. Risk is in Malibu. Repairs not completed. Agt proposing to add roof exclusion and existing dmg exclusion. Inspection provided - flat roof."/>
    <x v="1"/>
    <s v="Asked numerous questions about maintenance, what happened, why so long to repair, who is doing the repair. This is an attached townhouse w/flat roof. Provided weather history showing .38&quot; rain (4/10&quot;) and 10 mph winds on 2/7-2/8.//received answers. Feel there is a maintenance issue and an HOA issue. Declined."/>
    <m/>
    <m/>
    <s v="Patterson"/>
    <m/>
    <m/>
    <n v="1"/>
  </r>
  <r>
    <x v="715"/>
    <s v="Hull CA"/>
    <s v="CA"/>
    <s v="Bobbi"/>
    <s v="Email"/>
    <s v="Jovanovic, Alexander"/>
    <m/>
    <x v="0"/>
    <s v="Los Angeles"/>
    <x v="1"/>
    <m/>
    <x v="8"/>
    <x v="1095"/>
    <x v="290"/>
    <s v="TIV"/>
    <s v="Lexington renewal, acceptable inspection attached; 2008 build year, PC 2 with alarm. "/>
    <x v="4"/>
    <s v="Good inspection (great condition of home), google search OK, appropriate FD response time."/>
    <m/>
    <m/>
    <s v="Burdine"/>
    <m/>
    <m/>
    <n v="0"/>
  </r>
  <r>
    <x v="401"/>
    <s v="Hull Irvine"/>
    <s v="CA"/>
    <s v="Kelly"/>
    <s v="Email"/>
    <s v="Cui"/>
    <s v="Xia Heo and Sun"/>
    <x v="0"/>
    <s v="Sherman Oaks"/>
    <x v="1"/>
    <m/>
    <x v="8"/>
    <x v="1096"/>
    <x v="1520"/>
    <s v="TIV"/>
    <s v="Not in brush, but close so applying surcharge. Inspection confirms home acceptable"/>
    <x v="4"/>
    <s v="guidelines met"/>
    <m/>
    <m/>
    <s v="Burdine"/>
    <m/>
    <m/>
    <n v="0"/>
  </r>
  <r>
    <x v="120"/>
    <s v="Hull Irvine"/>
    <m/>
    <s v="Melissa"/>
    <s v="Email"/>
    <m/>
    <m/>
    <x v="0"/>
    <s v="Sherman Oaks "/>
    <x v="1"/>
    <m/>
    <x v="8"/>
    <x v="1096"/>
    <x v="1520"/>
    <s v="TIV"/>
    <s v="2007 home not in brush. Older inspection in file - all looks good."/>
    <x v="4"/>
    <m/>
    <m/>
    <m/>
    <s v="Patterson"/>
    <m/>
    <m/>
    <n v="0"/>
  </r>
  <r>
    <x v="557"/>
    <s v="Hull Stockton"/>
    <s v="CA"/>
    <s v="Lisa"/>
    <m/>
    <s v="Schneider"/>
    <s v="Gia &amp; Joan Chase"/>
    <x v="5"/>
    <s v="San Francisco"/>
    <x v="1"/>
    <s v="94114"/>
    <x v="11"/>
    <x v="1097"/>
    <x v="1521"/>
    <s v="Builders Risk"/>
    <s v="1904 dwelling with no info on updates. 3 listed owners/applicants, will be full time-rental units when completed (triplex). Quoted as HO3, but will need to be changed to DP3 Vacant rates. Builders Risk quest indicates electrical services will be updated from knob &amp; tube to circuits, but no mention of other systems. COC started 11/29/2018, planning to end 2/15/2019"/>
    <x v="0"/>
    <s v="Need confirmation as to why insured is changing carriers after construction has started. Quoted incorrectly, so that will need to be updated, as HO3 builders risk is only if dwelling will be owner occupied upon completion. Confirmation of insurable interest and connection between the three individuals will be needed. Also want to know current status of dwelling - systems and condition and last updates? anything ineligible? Interior and exterior condition of structure? and existing damage or hazards? MFRC most likely to be added and roof exclusion if it hasn't been updated. UPDATE: Owners are fiances and mother of one of the individual, all owners of the location. 1904 dwelling they advised is in good condition, but has knob and tube wiring, will be updated at some point during COC, but still presence is concerning and reason for decline. There are other concerns with little plumbing and heating updates, which would warrant water exclusion if we were to re-evaluate in the future. Also would apply surcharge for mid-term COC.  UPDATE MP 1/7/19 Confirmed no knob &amp; tube. City of San Fran inspected plumbing &amp; elec before Christmas and all was approved. Knob &amp; tube prev removed and replaced. Panel upgraded to 200 amps. Asking agent for rate so we can apply a surcharge for midterm."/>
    <m/>
    <m/>
    <s v="Busse"/>
    <m/>
    <m/>
    <n v="0"/>
  </r>
  <r>
    <x v="330"/>
    <s v="JM Wilson"/>
    <s v="MI"/>
    <s v="Cheryl"/>
    <s v="Email"/>
    <s v="Douglas"/>
    <s v="Clifford &amp; Jean"/>
    <x v="0"/>
    <m/>
    <x v="8"/>
    <m/>
    <x v="9"/>
    <x v="1098"/>
    <x v="1522"/>
    <s v="Losses"/>
    <s v="NR for claims (08/0160wind, 01/2018-frozen pipes still open)"/>
    <x v="1"/>
    <s v="Advised need to wait until claim is closed. If repairs already completed, advised to provide status and can further consider// update: repairs not done. Advised unable to offer terms at this time"/>
    <m/>
    <m/>
    <s v="Burdine"/>
    <m/>
    <m/>
    <n v="1"/>
  </r>
  <r>
    <x v="615"/>
    <s v="Hull CO"/>
    <s v="CA"/>
    <s v="Alison"/>
    <s v="Email"/>
    <s v="Blank, Christopher"/>
    <m/>
    <x v="154"/>
    <s v="Laguna Beach"/>
    <x v="1"/>
    <m/>
    <x v="0"/>
    <x v="1099"/>
    <x v="0"/>
    <s v="Deed not in applicant name"/>
    <s v="insured is attorney, appointed receiver of property; closing in December"/>
    <x v="1"/>
    <s v="requested background info that led to appointment, and what appointment entails"/>
    <s v="applicant not deeded owner, was appointed by court to deal w/sale of the home; but not the HO (HO has lien on home). Not enough insurable interest of applicant"/>
    <m/>
    <s v="Burdine"/>
    <m/>
    <m/>
    <n v="1"/>
  </r>
  <r>
    <x v="592"/>
    <s v="Burns"/>
    <s v="MI"/>
    <s v="Jill"/>
    <s v="Email"/>
    <s v="Luarde"/>
    <s v="Michael"/>
    <x v="5"/>
    <m/>
    <x v="17"/>
    <m/>
    <x v="4"/>
    <x v="1099"/>
    <x v="1161"/>
    <s v="TIV"/>
    <s v="response time 7-10 minutes,3 month term, no losses, 1994 build, premium $3,570"/>
    <x v="4"/>
    <s v="PCQ, drive time, photos OK"/>
    <m/>
    <m/>
    <s v="Burdine"/>
    <m/>
    <m/>
    <n v="0"/>
  </r>
  <r>
    <x v="0"/>
    <s v="SCU"/>
    <s v="CO"/>
    <s v="Alison"/>
    <m/>
    <s v="Canales"/>
    <s v="Susana"/>
    <x v="42"/>
    <s v="Vail"/>
    <x v="19"/>
    <s v="81657"/>
    <x v="8"/>
    <x v="1099"/>
    <x v="1248"/>
    <s v="TIV"/>
    <s v="2007 condo in vail with alarms. Used as secondary w/2 night or more short term rental. Prem liab. Agt confirmed PC w/online mapping check."/>
    <x v="4"/>
    <s v="Clean risk. Common to have these high values in Vail."/>
    <m/>
    <m/>
    <s v="Patterson"/>
    <m/>
    <m/>
    <n v="0"/>
  </r>
  <r>
    <x v="127"/>
    <s v="Burns"/>
    <s v="MI"/>
    <s v="Danielle"/>
    <s v="Email"/>
    <s v="Crevoiserat, Jeffrey"/>
    <m/>
    <x v="25"/>
    <s v="Encino "/>
    <x v="1"/>
    <m/>
    <x v="11"/>
    <x v="1099"/>
    <x v="1523"/>
    <s v="TIV"/>
    <s v="2016 home not in brush no alarms. Approved same risk for another retailer of Burns on 6/14/17. "/>
    <x v="0"/>
    <s v="Sent duplicate submission info to Danielle. Approved subj to conf of year built. Noticed some online sources show this as 1926. Did not see that before.  6/30/17 asked to put in name of LLC. Form ok, approved."/>
    <m/>
    <m/>
    <s v="Patterson"/>
    <m/>
    <m/>
    <n v="0"/>
  </r>
  <r>
    <x v="61"/>
    <s v="Hull Irvine"/>
    <m/>
    <s v="Alison"/>
    <s v="Email/Call"/>
    <s v="Rockrose Investments LLC"/>
    <m/>
    <x v="2"/>
    <s v="Pacific Palisades"/>
    <x v="1"/>
    <m/>
    <x v="0"/>
    <x v="1099"/>
    <x v="1524"/>
    <s v="Named insured "/>
    <s v="NI is 2 LLC's and a Trust. 1955 home updated in 2005. Nice online pix. Agt getting info on members of LLC/Trust. Also checking is this a flip? Agt mentioned 1031 Exchange which made us ask about that."/>
    <x v="0"/>
    <s v="Reviewed file. Agent quoting contingent on supplemental for all 3 parties."/>
    <m/>
    <m/>
    <s v="Patterson"/>
    <m/>
    <m/>
    <n v="0"/>
  </r>
  <r>
    <x v="391"/>
    <s v="Hull Irvine"/>
    <s v="CA"/>
    <s v="Michelle"/>
    <s v="Email"/>
    <s v="Javaherian"/>
    <s v="Niloofar"/>
    <x v="0"/>
    <s v="Encino"/>
    <x v="1"/>
    <m/>
    <x v="11"/>
    <x v="1099"/>
    <x v="1525"/>
    <s v="TIV"/>
    <s v="The app has alarms marked. The limits we are quoting are below. This is in Encino no brush &amp; PC1."/>
    <x v="4"/>
    <s v="Alarms, no brush"/>
    <m/>
    <m/>
    <s v="Burdine"/>
    <m/>
    <m/>
    <n v="0"/>
  </r>
  <r>
    <x v="822"/>
    <s v="Burns"/>
    <s v="MI"/>
    <s v="Alexa"/>
    <s v="Email"/>
    <s v="Suess, Greg"/>
    <m/>
    <x v="0"/>
    <s v="Los Angeles"/>
    <x v="1"/>
    <m/>
    <x v="8"/>
    <x v="1099"/>
    <x v="30"/>
    <s v="TIV"/>
    <s v="2013 frame home w/ alarms.  Per online, insured is a partner in a law firm and a founding member of a talent management company (curr manages Zak Brown Band).Not in brush zone."/>
    <x v="0"/>
    <s v="8/3/17 addl info for revised quote. Installing pool-apply pool excl and other stru excl."/>
    <s v="Agt requested to release with other structure coverage for pool; advised need to proceed w/ pool exclusion/other structure exclusion as agreed at this point. KB 08/16/17"/>
    <m/>
    <s v="Patterson"/>
    <m/>
    <m/>
    <n v="0"/>
  </r>
  <r>
    <x v="86"/>
    <s v="Hull Stockton"/>
    <m/>
    <s v="Lisa"/>
    <s v="Email"/>
    <s v="Melili, Niv &amp; Tally"/>
    <m/>
    <x v="0"/>
    <s v="Bell Canyon"/>
    <x v="1"/>
    <m/>
    <x v="11"/>
    <x v="1099"/>
    <x v="1526"/>
    <s v="TIV"/>
    <s v="1977 home updated per app but not per agt submission. Roof is flat. Online photos nice. There is a dressage, riding, jumping, stable/barn.  In Renie zone. No alarm per agt submission"/>
    <x v="3"/>
    <s v="Verify updates - need roof update. No breed/board/ride, etc. Add animal excl if possible. Add alarm if poss. If not $10K AOP ok. Flat roof $10K aop."/>
    <s v="Agent verified all subjectivities. Gave approval to release terms. K.Burdine"/>
    <m/>
    <s v="Patterson"/>
    <m/>
    <m/>
    <n v="0"/>
  </r>
  <r>
    <x v="132"/>
    <s v="Hull Irvine"/>
    <m/>
    <s v="Alison"/>
    <s v="Email"/>
    <s v="Manavi, Farshad"/>
    <m/>
    <x v="7"/>
    <s v="Beverly Hills"/>
    <x v="1"/>
    <m/>
    <x v="11"/>
    <x v="1099"/>
    <x v="1527"/>
    <s v="TIV"/>
    <s v="1925 home w/MFRC. No info yet on updates. Agt quoted w/$5K ded. Roof updated in 91. Found a &quot;unit B&quot; online. "/>
    <x v="3"/>
    <s v="Verify what this unit B is and if it changes application detail."/>
    <m/>
    <m/>
    <s v="Patterson"/>
    <m/>
    <m/>
    <n v="0"/>
  </r>
  <r>
    <x v="602"/>
    <s v="Burns"/>
    <s v="MI"/>
    <s v="Danielle"/>
    <s v="Email"/>
    <s v="Winton, Wendy"/>
    <m/>
    <x v="0"/>
    <s v="Milpitas CA PC10"/>
    <x v="3"/>
    <m/>
    <x v="0"/>
    <x v="1099"/>
    <x v="1528"/>
    <s v="TIV&gt;$3M/ PC"/>
    <s v="1987 frame home with tile roof. PC10 ok-paid FD 3.7 mi away; 11 min resp; 200' brush clearance-low brush; visible, paved, accessible."/>
    <x v="4"/>
    <s v="Possible business on premises per app and web search. Asked Danielle to investigate. Turned out to be mail order vitamin/supplment business No foot traffic."/>
    <m/>
    <m/>
    <s v="Patterson"/>
    <m/>
    <m/>
    <n v="0"/>
  </r>
  <r>
    <x v="204"/>
    <s v="Hull CA"/>
    <s v="Stockton"/>
    <s v="Lisa"/>
    <s v="Email"/>
    <s v="Bisgaard, Peter"/>
    <m/>
    <x v="0"/>
    <s v="Woodside CA PC3"/>
    <x v="3"/>
    <m/>
    <x v="0"/>
    <x v="1099"/>
    <x v="1529"/>
    <s v="TIV&gt;$3M"/>
    <s v="1964 home w/ partial updates. Prior water loss to home. New purchase for insured. Still a concern. Per RM, low brush; per FireLine Score 9 High brush. Ran hail - Score 1 - no exposure.  No alarms or sprinklers. $2500 ded."/>
    <x v="4"/>
    <s v="Approved but need $10,000 deductible or alarms. No credits. Provided copy of FireLine. Lisa applied brush, but I didn't realize it since it was a low rating.  Agreed to give her 5% credit. We are stil high and I don't expect to get this."/>
    <m/>
    <m/>
    <s v="Patterson"/>
    <m/>
    <m/>
    <n v="0"/>
  </r>
  <r>
    <x v="119"/>
    <s v="Burns"/>
    <s v="MI"/>
    <s v="Danielle"/>
    <s v="Email"/>
    <s v="Crevoiserat, Jeffrey"/>
    <m/>
    <x v="2"/>
    <s v="Encino "/>
    <x v="1"/>
    <m/>
    <x v="9"/>
    <x v="1099"/>
    <x v="0"/>
    <s v="TIV"/>
    <s v="2016 frame home tenant occupied. $5K AOP; $10K VMM ded."/>
    <x v="0"/>
    <s v="6/26/17 terms revised from $2,940,000 TIV to $2,390,000. Approve."/>
    <m/>
    <m/>
    <s v="Patterson"/>
    <m/>
    <m/>
    <n v="0"/>
  </r>
  <r>
    <x v="233"/>
    <s v="Burns"/>
    <s v="MI"/>
    <s v="Ben"/>
    <s v="Email"/>
    <s v="Davidson, Todd"/>
    <m/>
    <x v="21"/>
    <s v="Santa Barbara CA "/>
    <x v="3"/>
    <m/>
    <x v="0"/>
    <x v="1100"/>
    <x v="1530"/>
    <s v="TIV&gt;$3M"/>
    <s v="1976 frame home. Not in brush. No roof or system update info on app. 40 year old home"/>
    <x v="3"/>
    <s v="Approved subject to acceptable update information (left blank on the app). Also return with Unprotected Quest if home is PC9 or 10. Blank on app.  (Thinking this is a PC2)."/>
    <m/>
    <m/>
    <s v="Patterson"/>
    <m/>
    <m/>
    <n v="0"/>
  </r>
  <r>
    <x v="585"/>
    <s v="Burns"/>
    <s v="MI"/>
    <s v="Jill"/>
    <m/>
    <s v="Williams"/>
    <s v="Porsha"/>
    <x v="0"/>
    <s v="Duluth"/>
    <x v="18"/>
    <s v="30097"/>
    <x v="8"/>
    <x v="1101"/>
    <x v="1454"/>
    <s v="High Profile"/>
    <s v="Insured is TV personality - Real Housewives. Also a model. "/>
    <x v="1"/>
    <s v="Adverse news articles about financial situation among others."/>
    <s v="Ins score R  "/>
    <m/>
    <s v="Patterson"/>
    <m/>
    <m/>
    <n v="1"/>
  </r>
  <r>
    <x v="145"/>
    <s v="Burns"/>
    <s v="MI"/>
    <s v="Jill"/>
    <s v="Email"/>
    <s v="B &amp; B INN LLC OF MILL CREEK GA"/>
    <s v="B &amp; B INN LLC OF MILL CREEK GA"/>
    <x v="0"/>
    <s v="Winamac"/>
    <x v="17"/>
    <m/>
    <x v="18"/>
    <x v="1102"/>
    <x v="1531"/>
    <s v="TIV/Bed &amp; Breakfast"/>
    <s v="Built in 1996, frame, no losses, PC7, primary, located in IN; Bed in breakfast with pool"/>
    <x v="2"/>
    <s v="pool makes ineligible; questioned if comm pol in place, if willing to exclude liab, if used for event planning (as suggest on provided comm app), how many room rented (appears more than 4), and if partially owner occupied for further consideration"/>
    <m/>
    <m/>
    <s v="K.Burdine"/>
    <m/>
    <m/>
    <n v="0"/>
  </r>
  <r>
    <x v="139"/>
    <s v="Hull Irvine"/>
    <m/>
    <s v="Alison"/>
    <s v="Email"/>
    <s v="CICI #4 Real Estate HUCAH15000279"/>
    <m/>
    <x v="2"/>
    <s v="Malibu"/>
    <x v="1"/>
    <m/>
    <x v="0"/>
    <x v="1103"/>
    <x v="1055"/>
    <s v="Inspection delay"/>
    <s v="Tenant is high profile and has asked for delay in inspecting until 9/18/17. Risk eff 7/24/17. May not have within 60 days. 2015 insp received. Looks fine."/>
    <x v="3"/>
    <s v="Send DNOC if insp completion gets delayed past 60. Take action post-60 if needed."/>
    <m/>
    <n v="12"/>
    <s v="Patterson"/>
    <m/>
    <m/>
    <n v="0"/>
  </r>
  <r>
    <x v="780"/>
    <s v="Hull CA"/>
    <s v="Irvine"/>
    <s v="Melissa"/>
    <s v="Email"/>
    <s v="ERDG Trust"/>
    <m/>
    <x v="5"/>
    <s v="Beverly Hills"/>
    <x v="1"/>
    <m/>
    <x v="8"/>
    <x v="1104"/>
    <x v="1532"/>
    <s v="Prior loss"/>
    <s v="1990 builders risk. Prior plumbing loss $378,150 due to plumbing issue. Interior work complete. Exterior updates being done."/>
    <x v="0"/>
    <s v="Not sure this is really builders risk. Sounds like vacant with some exterior updates being done. Would need more detail on the claim itself. Need full submission to approve."/>
    <s v="Per agent, risk is vacant. Some exterior work being done. Plumbing repairs made. Flow meter installed. 1990 home. ; Approved-rater submitted, and agreed to $50K water ded based on water flow alarm"/>
    <m/>
    <s v="Patterson/Burdine"/>
    <m/>
    <m/>
    <n v="0"/>
  </r>
  <r>
    <x v="470"/>
    <s v="Burns"/>
    <s v="MI"/>
    <s v="Nicole"/>
    <m/>
    <s v="Kass  "/>
    <s v="Robert"/>
    <x v="0"/>
    <s v="Jackson"/>
    <x v="51"/>
    <s v="83002"/>
    <x v="6"/>
    <x v="1105"/>
    <x v="1533"/>
    <s v="TIV"/>
    <s v="1994 home with CSFB. URQ says not accessible year round. Says 2.7 mile FD w/10 min response. "/>
    <x v="1"/>
    <s v="Not accessible year round, high value. Probably 17 min response time. Not comfortable with exposure.  Also, this is PC10 per address check online. Horse property per pics."/>
    <s v="A ins score"/>
    <m/>
    <s v="Patterson"/>
    <m/>
    <m/>
    <n v="1"/>
  </r>
  <r>
    <x v="329"/>
    <s v="Burns"/>
    <s v="MI"/>
    <s v="Rachel"/>
    <s v="Email"/>
    <s v="Nicolas"/>
    <s v="Paul"/>
    <x v="0"/>
    <m/>
    <x v="1"/>
    <m/>
    <x v="8"/>
    <x v="1106"/>
    <x v="1534"/>
    <s v="TIV"/>
    <s v="primary home in CA. Built in 1994 of frame construction with full updates to heating, roofing, plumbing, and wiring in 2004. PC2, with no losses"/>
    <x v="4"/>
    <s v="RM, photos, PC, acceptable"/>
    <m/>
    <m/>
    <s v="Burdine"/>
    <m/>
    <m/>
    <n v="0"/>
  </r>
  <r>
    <x v="517"/>
    <s v="Burns"/>
    <s v="MI"/>
    <s v="Jill"/>
    <s v="Email"/>
    <s v="Rosenlieb"/>
    <s v="Scott &amp; Jay"/>
    <x v="4"/>
    <s v="Tehachapi"/>
    <x v="1"/>
    <m/>
    <x v="5"/>
    <x v="1106"/>
    <x v="1535"/>
    <s v="TIV"/>
    <s v="PC4, built in 1994, frame, in brush, secondary, no losses, located in CA, ins score A, premium $6,890"/>
    <x v="3"/>
    <s v="Alarm requirements being met"/>
    <m/>
    <m/>
    <s v="Burdine"/>
    <m/>
    <m/>
    <n v="0"/>
  </r>
  <r>
    <x v="188"/>
    <s v="Burns"/>
    <s v="MI"/>
    <s v="Danielle"/>
    <s v="Email"/>
    <s v="VanBeurden"/>
    <s v="William &amp; Lise"/>
    <x v="16"/>
    <s v="Clovis"/>
    <x v="1"/>
    <m/>
    <x v="6"/>
    <x v="1107"/>
    <x v="1536"/>
    <s v="PC/TIV"/>
    <s v="Home was built in 1988 and updated in 2008 and wiring in 2000.  Frame construction, PC9 and alarms."/>
    <x v="4"/>
    <s v="Photos, PCQ OK."/>
    <m/>
    <m/>
    <s v="Burdine"/>
    <m/>
    <m/>
    <n v="0"/>
  </r>
  <r>
    <x v="154"/>
    <s v="Hull Irvine"/>
    <s v="CA"/>
    <s v="Melissa"/>
    <s v="Email"/>
    <s v="Habibi"/>
    <s v="Mehdi  HUCAH1500001013"/>
    <x v="0"/>
    <s v="Los Angeles"/>
    <x v="1"/>
    <m/>
    <x v="8"/>
    <x v="1108"/>
    <x v="290"/>
    <s v="TIV"/>
    <s v="1988 home being rewritten from Lex. Full inspection in file. Old app will be replaced. No riskmeter. HWT appears gas powered."/>
    <x v="3"/>
    <s v="Current app, risk meter and rate, clear 3' to gas appliances."/>
    <m/>
    <n v="24"/>
    <s v="Patterson"/>
    <m/>
    <m/>
    <n v="0"/>
  </r>
  <r>
    <x v="5"/>
    <s v="AmWINS"/>
    <s v="IN"/>
    <s v="Tasha"/>
    <m/>
    <s v="Oak 120 Estate LLC"/>
    <m/>
    <x v="99"/>
    <s v="Michigan City"/>
    <x v="17"/>
    <s v="46360"/>
    <x v="0"/>
    <x v="1109"/>
    <x v="0"/>
    <s v="Business on Premises"/>
    <s v="1920 year built with complete gut rehab in 2010. Vacation rental that sleeps up to 25 people and is marketed as a venue for reunions, large family vacations, retreats and weddings. There is a tree house that sleeps up to 10. Large pool with diving board, tennis courts, basketball courts. "/>
    <x v="1"/>
    <s v="Usually we can consider risks that have wedding/retreat venue space as long as there is proper separation. With this situation, the home, along with the rest of the property, is used for these purposes along with the regular type vacation rental. As such, we are going to decline this this. This sounds more like a commercial exposure."/>
    <s v="Previously submitted by Burns and declined for them.  AmWINS submitted and I didn’t realize until I logged this (before I replied) that this was the same risk! AmWINS did not have the level of info that Burns had."/>
    <m/>
    <s v="Patterson"/>
    <m/>
    <m/>
    <n v="1"/>
  </r>
  <r>
    <x v="528"/>
    <s v="Burns"/>
    <s v="MI"/>
    <s v="Jeffrey"/>
    <m/>
    <s v="Oak 120 Estate LLC"/>
    <m/>
    <x v="2"/>
    <s v="Michigan City"/>
    <x v="17"/>
    <s v="46360"/>
    <x v="9"/>
    <x v="1109"/>
    <x v="1537"/>
    <s v="Other UW Reason"/>
    <s v="1920 year built with complete gut rehab in 2010. Vacation rental that sleeps up to 25 people and is marketed as a venue for reunions, large family vacations, retreats and weddings. There is a tree house that sleeps up to 10. Large pool with diving board, tennis courts, basketball courts. "/>
    <x v="1"/>
    <s v="Usually we can consider risks that have wedding/retreat venue space as long as there is proper separation. With this situation, the home, along with the rest of the property, is used for these purposes along with the regular type vacation rental. As such, we are going to decline this this. This sounds more like a commercial exposure."/>
    <m/>
    <m/>
    <s v="Busse"/>
    <m/>
    <m/>
    <n v="1"/>
  </r>
  <r>
    <x v="440"/>
    <s v="Burns"/>
    <s v="MI"/>
    <s v="Jill"/>
    <s v="Email"/>
    <s v="Scott"/>
    <s v="Rhea"/>
    <x v="0"/>
    <s v="Los Angeles"/>
    <x v="1"/>
    <m/>
    <x v="0"/>
    <x v="1110"/>
    <x v="1477"/>
    <s v="TIV"/>
    <s v="1975 risk updated. In brush. Burglar alarm; no fire alarm. $10K ded applied. Clearance to 200' per app. Treehouse and guesthouse per online source. $1M liability."/>
    <x v="0"/>
    <s v="APPROVED 8/28/171.  No rentals, just a guest house_x000a_2.  There no more tree house._x000a_3.  Insured with CA Fair Plan due to brush only._x000a_1. Increase Loss of Use to $300,000_x000a_2.  Decrease liability to $100,000_x000a_3.  Increase Ord Law 5%_x000a__x000a_11/14/17 Agent asked to add $50 limited animal liab. No concerns"/>
    <m/>
    <n v="21"/>
    <s v="Patterson"/>
    <m/>
    <m/>
    <n v="0"/>
  </r>
  <r>
    <x v="683"/>
    <s v="SCU"/>
    <s v="CO"/>
    <s v="Allison"/>
    <s v="Email"/>
    <s v="House Buyers Inc"/>
    <m/>
    <x v="2"/>
    <s v="Pueblo "/>
    <x v="19"/>
    <m/>
    <x v="0"/>
    <x v="1111"/>
    <x v="1538"/>
    <s v="23 unit schedule"/>
    <s v="23 units in Pueblo. Mostly older. Higher hail area. MFRC. 2 roof excluded. Online pics show decent condition. We tried A+-Verisk says invalid due to business name."/>
    <x v="3"/>
    <s v="ACV roof. $0.41. CLUE on all. Liab $500 K ok."/>
    <m/>
    <m/>
    <s v="Patterson"/>
    <m/>
    <m/>
    <n v="0"/>
  </r>
  <r>
    <x v="561"/>
    <s v="Burns"/>
    <s v="MI"/>
    <s v="Ben"/>
    <s v="Email"/>
    <s v="Lembeck, Michael"/>
    <m/>
    <x v="0"/>
    <s v="Malibu CA PC4"/>
    <x v="3"/>
    <m/>
    <x v="0"/>
    <x v="1112"/>
    <x v="1539"/>
    <s v="TIV&gt;$3M"/>
    <s v="1993 frame home with 2013 inspection. Inspection ok. Signed statement says issues from insp have been corrected. Not in brush, no losses. Actor/director, but it's been a while.  Not &quot;too&quot; famous. 2011 water leak loss. Low RiskMeter."/>
    <x v="4"/>
    <m/>
    <m/>
    <m/>
    <s v="Patterson"/>
    <m/>
    <m/>
    <n v="0"/>
  </r>
  <r>
    <x v="399"/>
    <s v="Burns"/>
    <s v="MI"/>
    <s v="Jeff"/>
    <s v="Email"/>
    <s v="Schrobsdorff"/>
    <s v="Phyllis"/>
    <x v="2"/>
    <s v="San Francisco"/>
    <x v="1"/>
    <m/>
    <x v="11"/>
    <x v="1113"/>
    <x v="1540"/>
    <s v="TIV"/>
    <s v="1900 home w/updates. Nice online photos. Lapse since 5/2/17. No explanation. Not in brush. "/>
    <x v="3"/>
    <s v="EHP and confirm RC ok w/inspection. Get reason for lapse and signed no loss."/>
    <m/>
    <n v="21"/>
    <s v="Patterson"/>
    <m/>
    <m/>
    <n v="0"/>
  </r>
  <r>
    <x v="711"/>
    <s v="Burns"/>
    <s v="MI"/>
    <s v="Delta"/>
    <s v="Email"/>
    <s v="Kaspari, Christopher"/>
    <m/>
    <x v="0"/>
    <s v="Rochester Hills"/>
    <x v="8"/>
    <m/>
    <x v="0"/>
    <x v="1114"/>
    <x v="1541"/>
    <s v="TIV"/>
    <s v="1999 home full alarms, gated with 3 prior losses. 6/14 water $8K, 4/14 Hail $0, 4/16 water-sump $35K. Jewelry schedule $107K $82,000 ladies ring."/>
    <x v="3"/>
    <s v="(X-jewelry, X-backup, $10K water, completed app) Offer Jamie Gregory_x000a__x000a_"/>
    <m/>
    <m/>
    <s v="Patterson"/>
    <m/>
    <m/>
    <n v="0"/>
  </r>
  <r>
    <x v="382"/>
    <s v="Hull Irvine"/>
    <m/>
    <s v="Alison"/>
    <s v="Email"/>
    <s v="Peus, Joseph"/>
    <m/>
    <x v="0"/>
    <s v="Santa Barbara"/>
    <x v="1"/>
    <m/>
    <x v="5"/>
    <x v="1115"/>
    <x v="32"/>
    <s v="Plumbing"/>
    <s v="1933 home not gutted. Roof/wire updated. Plumb never updated in 40 years insd lived there. Had a $10K loss in 2016, pipe leak."/>
    <x v="3"/>
    <s v="$10K water damage deductible. Could consider lowering after EHP inspect. Copper pipes in good condition may warrant $5K ded."/>
    <m/>
    <m/>
    <s v="Patterson"/>
    <m/>
    <m/>
    <n v="0"/>
  </r>
  <r>
    <x v="553"/>
    <s v="SCU"/>
    <s v="CO"/>
    <s v="Allison"/>
    <s v="Email"/>
    <s v="Ivanisov"/>
    <s v="Alexender &amp; Oxana"/>
    <x v="91"/>
    <s v="Sunol"/>
    <x v="1"/>
    <m/>
    <x v="5"/>
    <x v="1116"/>
    <x v="1542"/>
    <s v="TIV"/>
    <s v="Home 50 miles from wildfire, lot of land/water in between home and nearest fire, 1979, remodeled 2014, quoted with alarm and wildfire mit warranties, hydrant in front of home, FD 1.7 miles"/>
    <x v="4"/>
    <s v="reviewed google crisis map, appears agt correct w/ attachment showing distance from nearest fires. Discussed w/ LT and confirmed distance acceptable. Acceptable photos online."/>
    <m/>
    <m/>
    <s v="Burdine"/>
    <m/>
    <m/>
    <n v="0"/>
  </r>
  <r>
    <x v="430"/>
    <s v="Hull Stockton"/>
    <s v="CA"/>
    <s v="Lisa"/>
    <m/>
    <s v="Monsef"/>
    <s v="Kiyash"/>
    <x v="0"/>
    <s v="Mill Valley"/>
    <x v="1"/>
    <s v="94941"/>
    <x v="11"/>
    <x v="1116"/>
    <x v="1543"/>
    <s v="TIV"/>
    <s v="1999 home not in brush. Criteria for TIV changed Monday. "/>
    <x v="1"/>
    <s v="We are no longer writing over $3M. Shared copy of email with Lisa."/>
    <m/>
    <m/>
    <s v="Patterson"/>
    <m/>
    <m/>
    <n v="1"/>
  </r>
  <r>
    <x v="260"/>
    <s v="Hull CA"/>
    <s v="Irvine"/>
    <s v="Alex"/>
    <s v="Email"/>
    <s v="Raviv, Barak"/>
    <m/>
    <x v="0"/>
    <s v="Beverly Hills"/>
    <x v="1"/>
    <m/>
    <x v="9"/>
    <x v="1116"/>
    <x v="1543"/>
    <s v="Flat Roof"/>
    <s v="1983 roof redone in 2002 w/tar and gravel roof. Reviewed photos - impeccable home!  "/>
    <x v="3"/>
    <s v="Approved subject to close review of roof in the inspection."/>
    <m/>
    <m/>
    <s v="Patterson"/>
    <m/>
    <m/>
    <n v="0"/>
  </r>
  <r>
    <x v="598"/>
    <s v="Burns"/>
    <s v="MI"/>
    <s v="Matthew"/>
    <s v="Email"/>
    <s v="Ryan"/>
    <s v="John"/>
    <x v="0"/>
    <m/>
    <x v="1"/>
    <m/>
    <x v="5"/>
    <x v="1116"/>
    <x v="1544"/>
    <s v="TIV"/>
    <s v="Home was built in 1959 of frame construction.  PC4 with alarms, and no losses, low b rush, insured a songwriter"/>
    <x v="4"/>
    <s v="Photos, updates, RM, profile OK"/>
    <m/>
    <m/>
    <s v="Burdine"/>
    <m/>
    <m/>
    <n v="0"/>
  </r>
  <r>
    <x v="204"/>
    <s v="Burns"/>
    <s v="MI"/>
    <s v="Jill"/>
    <s v="Email"/>
    <s v="Moran, Jean"/>
    <m/>
    <x v="21"/>
    <s v="South Haven MI PC4"/>
    <x v="3"/>
    <m/>
    <x v="0"/>
    <x v="1117"/>
    <x v="1545"/>
    <s v="TIV&gt;$3M"/>
    <s v="1973 home updated, reported to be seasonal use.  Online search shows website offering it as a rental. Current calendar is quite full. Description says home is for sale."/>
    <x v="2"/>
    <s v="Asked Jill to investigate use. No mention in referral of rental."/>
    <m/>
    <m/>
    <s v="Patterson"/>
    <m/>
    <m/>
    <n v="0"/>
  </r>
  <r>
    <x v="456"/>
    <s v="Burns"/>
    <s v="MI"/>
    <s v="Danielle"/>
    <s v="Email"/>
    <s v="Sterling"/>
    <s v="Donald"/>
    <x v="0"/>
    <s v="Beverly Hills"/>
    <x v="1"/>
    <m/>
    <x v="0"/>
    <x v="1118"/>
    <x v="1546"/>
    <s v="High profile"/>
    <s v="1923 risk updated. Insd has negative record including sexual harassment and discrimination suits. Consider with and without liab."/>
    <x v="1"/>
    <s v="Not comfortable with the history and feel this is a physical damage exposure as well as a liab exposure."/>
    <s v="Discussing w/Louisa&gt;&gt;Jeff - Declined"/>
    <n v="40"/>
    <s v="Patterson"/>
    <m/>
    <m/>
    <n v="1"/>
  </r>
  <r>
    <x v="138"/>
    <s v="Hull Irvine"/>
    <m/>
    <s v="Melissa"/>
    <s v="Call/Email"/>
    <s v="Gaynon    HUCAH150002500 "/>
    <s v="Paul &amp; Sandra"/>
    <x v="0"/>
    <s v="LaCanada-Flintridge"/>
    <x v="1"/>
    <m/>
    <x v="0"/>
    <x v="1119"/>
    <x v="0"/>
    <s v="Existing damage"/>
    <s v="1951 home w/updates. Nice home, shows pride of ownership. There are a few maintenance items. The agency would like to give the insured the opportunity to fix. Copy of inspection in file."/>
    <x v="3"/>
    <s v="Good agent. They are applying water damage excl and mold excl until all repairs are made. Existing damage excl always goes on. 30 days to fix. Will get photos and proof of prof contractor repair."/>
    <m/>
    <n v="27"/>
    <s v="Patterson"/>
    <m/>
    <m/>
    <n v="0"/>
  </r>
  <r>
    <x v="620"/>
    <s v="Hull Stockton"/>
    <s v="CA"/>
    <s v="Lisa"/>
    <s v="Email"/>
    <s v="Barajas"/>
    <s v="Alfredo"/>
    <x v="1"/>
    <s v="San Jose"/>
    <x v="1"/>
    <m/>
    <x v="0"/>
    <x v="1120"/>
    <x v="1547"/>
    <s v="Builders Risk"/>
    <s v="Offered quote in December, didn't accept, now 20% complete and want to move to Markel"/>
    <x v="3"/>
    <s v="Since we are now coming in at a later stage in the process, we would need to take an extra 20% surcharge in order to consider."/>
    <m/>
    <m/>
    <s v="Burdine"/>
    <m/>
    <m/>
    <n v="0"/>
  </r>
  <r>
    <x v="779"/>
    <s v="Hull Irvine"/>
    <s v="CA"/>
    <s v="Michelle"/>
    <m/>
    <s v="Kalioundji"/>
    <s v="Antoun"/>
    <x v="0"/>
    <s v="Chatsworth"/>
    <x v="1"/>
    <s v="91311"/>
    <x v="8"/>
    <x v="1121"/>
    <x v="29"/>
    <s v="TIV"/>
    <s v="Very nice house being non-renewed by Chubb for water loss.  CDS zone was low but was very close to high brush zone and fireline was an 8 which is borderline.  It was in a renie zone as well.  Approved risk but only with a brush surcharge"/>
    <x v="4"/>
    <m/>
    <m/>
    <m/>
    <s v="Jeff"/>
    <m/>
    <m/>
    <n v="0"/>
  </r>
  <r>
    <x v="442"/>
    <s v="Burns"/>
    <s v="MI"/>
    <s v="Delta"/>
    <s v="Email"/>
    <s v="Revo, Bharpur"/>
    <m/>
    <x v="145"/>
    <s v="Temecula "/>
    <x v="1"/>
    <m/>
    <x v="5"/>
    <x v="1122"/>
    <x v="1548"/>
    <s v="Renting to management co"/>
    <s v="2008 &quot;seasonal rental&quot;. Insured rents to management co who then re-rents to renters. Home is booked for 52 weeks as a seasonal rental. 3 might minimum. Travelers nonrenewed as they rated it as an apartment."/>
    <x v="2"/>
    <s v="Call to Delta w/numerous questions about the situation."/>
    <m/>
    <m/>
    <s v="Patterson"/>
    <m/>
    <m/>
    <n v="0"/>
  </r>
  <r>
    <x v="299"/>
    <s v="SCU"/>
    <s v="CO"/>
    <s v="Allison"/>
    <s v="Email"/>
    <s v="Geiser, Ryan"/>
    <m/>
    <x v="2"/>
    <s v="Arapahoe "/>
    <x v="1"/>
    <m/>
    <x v="8"/>
    <x v="1123"/>
    <x v="1549"/>
    <s v="TIV"/>
    <s v="1993 home that is a new purchase. Insd is letting sells live there as tenants for a few months. "/>
    <x v="4"/>
    <m/>
    <m/>
    <m/>
    <s v="Patterson"/>
    <m/>
    <m/>
    <n v="0"/>
  </r>
  <r>
    <x v="360"/>
    <s v="Hull CA"/>
    <s v="Irvine"/>
    <s v="Alison"/>
    <s v="Email"/>
    <s v="Troy, Susan"/>
    <m/>
    <x v="0"/>
    <s v="Los Angeles CA PC2"/>
    <x v="3"/>
    <m/>
    <x v="0"/>
    <x v="1124"/>
    <x v="1550"/>
    <s v="TIV&gt;$3M"/>
    <s v="2007 home in high brush with $25K deductible and 30% surcharge. 150' brush clearance. Scottsdale renewal. Alarmed and sprinklered."/>
    <x v="3"/>
    <s v="Approved subject to not being within 20 miles of active wildfire."/>
    <m/>
    <m/>
    <s v="Patterson"/>
    <m/>
    <m/>
    <n v="0"/>
  </r>
  <r>
    <x v="6"/>
    <s v="Burns"/>
    <s v="MI"/>
    <s v="Jill"/>
    <m/>
    <s v="Lojka"/>
    <s v="Brian"/>
    <x v="4"/>
    <s v="Placerville"/>
    <x v="19"/>
    <s v="81438"/>
    <x v="4"/>
    <x v="1125"/>
    <x v="1551"/>
    <s v="PC"/>
    <s v="1996 log home w/metal roof on 59 acres. FD 11 miles away. Paid/Vol. 25-27 response time. Part dirt road. Accessible year round. Quoted at $.33"/>
    <x v="1"/>
    <s v="High value w/longer response time. "/>
    <s v="Considered that log has better chance to survive than frame. PC app says sprinklers. App does not mention. Photos online do not show any sign. Brush area per RiskMeter, even though we don't use RM. Considered higher rate. Still don't feel comfortable.  This is also CO, response time longer in winter."/>
    <m/>
    <s v="Patterson"/>
    <m/>
    <m/>
    <n v="1"/>
  </r>
  <r>
    <x v="635"/>
    <s v="Hull CA"/>
    <s v="Irvine"/>
    <s v="Alex"/>
    <s v="Email"/>
    <s v="Stein, Robert"/>
    <m/>
    <x v="0"/>
    <s v="Pacific Palisades CA PC4"/>
    <x v="3"/>
    <m/>
    <x v="0"/>
    <x v="1126"/>
    <x v="1552"/>
    <s v="TIV&gt;$3M"/>
    <s v="1987 home in Renie zone w/ full alarms. We have insured's secondary home as a COC. Alex bound before getting approval. Alex applied 5% credit ($300) due to Renie zone vs. Brush zone, alarms, &lt;30 yrs, and because we have seasonal. Sent email to Alex &amp; Alison regarding brush - our charge is 20%. I don't want to deviate on individual risks. They can submit a pricing proposal if they wish."/>
    <x v="4"/>
    <m/>
    <m/>
    <m/>
    <s v="Patterson"/>
    <m/>
    <m/>
    <n v="0"/>
  </r>
  <r>
    <x v="281"/>
    <s v="Burns"/>
    <s v="MI"/>
    <s v="Ben"/>
    <s v="Email"/>
    <s v="Garvey, Michael"/>
    <m/>
    <x v="0"/>
    <s v="Metairie"/>
    <x v="0"/>
    <m/>
    <x v="8"/>
    <x v="1127"/>
    <x v="1553"/>
    <s v="Rate reduction?"/>
    <s v="2005 home in LA. Looking to match $13,520."/>
    <x v="4"/>
    <s v="Ran against AAL: $13,806. Ok'd with credit to compete with $13,520. CC to Bill &amp; Donna."/>
    <m/>
    <m/>
    <s v="Patterson"/>
    <m/>
    <m/>
    <n v="0"/>
  </r>
  <r>
    <x v="600"/>
    <s v="Hull Irvine"/>
    <s v="CA"/>
    <s v="Alison"/>
    <s v="Email"/>
    <s v="Palmer"/>
    <s v="Michael"/>
    <x v="0"/>
    <s v="Santa Barbara"/>
    <x v="1"/>
    <m/>
    <x v="0"/>
    <x v="1128"/>
    <x v="1554"/>
    <s v="TIV"/>
    <s v="purchasing home, but demolishing a 200 sq foot workshop. "/>
    <x v="3"/>
    <s v="risk acceptable with other structure exclusion"/>
    <m/>
    <m/>
    <s v="Burdine"/>
    <m/>
    <m/>
    <n v="0"/>
  </r>
  <r>
    <x v="105"/>
    <s v="Hull Irvine"/>
    <m/>
    <s v="Alison"/>
    <s v="Call"/>
    <m/>
    <m/>
    <x v="2"/>
    <s v="Malibu"/>
    <x v="1"/>
    <m/>
    <x v="0"/>
    <x v="1129"/>
    <x v="0"/>
    <s v="No CS alarms"/>
    <s v="2006 home w/interior sprinklers, no CS alarm. No contents. Agent does not want to add special deductible for no alarms."/>
    <x v="4"/>
    <s v="No theft alarm technically needed as there are no contents. Per guidelines, sprinklers takes the place of CS Fire alarm."/>
    <m/>
    <m/>
    <s v="Patterson"/>
    <m/>
    <m/>
    <n v="0"/>
  </r>
  <r>
    <x v="240"/>
    <s v="Hull CA"/>
    <s v="Irvine"/>
    <s v="Alison"/>
    <s v="Call"/>
    <m/>
    <m/>
    <x v="8"/>
    <s v="Newport Beach CA"/>
    <x v="3"/>
    <m/>
    <x v="0"/>
    <x v="1129"/>
    <x v="0"/>
    <s v="Open Loss"/>
    <s v="New purchase, titled in LLC name, rented out. There is an open liab loss listed on the app - &quot;Son involved in a physical confrontation&quot;"/>
    <x v="2"/>
    <s v="Alison will get details about the son, what and where the incident occurred, and why still open.  Has it completely not been settled, or are there still some pending med bills?  If there is still animosity with this claim, we could get pulled into new issues."/>
    <m/>
    <m/>
    <s v="Patterson"/>
    <m/>
    <m/>
    <n v="0"/>
  </r>
  <r>
    <x v="743"/>
    <s v="Hull CA"/>
    <s v="Irvine"/>
    <s v="Alex"/>
    <s v="Call"/>
    <m/>
    <m/>
    <x v="0"/>
    <m/>
    <x v="3"/>
    <m/>
    <x v="0"/>
    <x v="1129"/>
    <x v="0"/>
    <s v="Prior losses"/>
    <s v="Home had $300K water loss almost 3 years ago, and a slab leak loss."/>
    <x v="1"/>
    <s v="Alex decided not to officially submit.  He couldn't get any info from the retail agt about what the insured did to mitigate loss."/>
    <m/>
    <m/>
    <s v="Patterson"/>
    <m/>
    <m/>
    <n v="1"/>
  </r>
  <r>
    <x v="615"/>
    <s v="Burns"/>
    <s v="CA"/>
    <s v="Benjamin"/>
    <s v="Email"/>
    <s v="Laura Adhikari"/>
    <m/>
    <x v="36"/>
    <s v="New Orleans"/>
    <x v="0"/>
    <m/>
    <x v="8"/>
    <x v="1129"/>
    <x v="0"/>
    <s v="TIV over $3Mil"/>
    <s v="1997 owner occ. Insrd is a Dr. No brush, no losses. 25% credit was applied to beat competing terms. Ran AAL and we are looking good premium wise. No other concerns."/>
    <x v="4"/>
    <s v="Approved. Even with the 25% credit we are collecting more than enough prem."/>
    <m/>
    <m/>
    <s v="Trott"/>
    <s v="X"/>
    <s v="Check value. Online shows PP of $635K. Insured for $200K"/>
    <n v="0"/>
  </r>
  <r>
    <x v="515"/>
    <s v="Burns"/>
    <s v="MI"/>
    <s v="Ben"/>
    <s v="Email"/>
    <s v="Vivian Leifield"/>
    <m/>
    <x v="2"/>
    <s v="Los Angeles CA PC2"/>
    <x v="3"/>
    <m/>
    <x v="0"/>
    <x v="1129"/>
    <x v="273"/>
    <s v="High profile"/>
    <s v="Details in file about actor name. Insured wishes to be discreet. Reviewed w/Jeff and we are comfortable with her level of fame. 1957 updt in 2010. Not in brush."/>
    <x v="4"/>
    <m/>
    <m/>
    <m/>
    <s v="Patterson"/>
    <m/>
    <m/>
    <n v="0"/>
  </r>
  <r>
    <x v="772"/>
    <s v="Burns"/>
    <s v="MI"/>
    <s v="Alexa"/>
    <s v="Email"/>
    <s v="Walter, Ronald"/>
    <m/>
    <x v="5"/>
    <s v="Riverview"/>
    <x v="32"/>
    <m/>
    <x v="2"/>
    <x v="1129"/>
    <x v="1555"/>
    <s v="TIV"/>
    <s v="2008 home, no alarms, vacant and up for sale. Very nice pics online, waterfront. 3/6/12 mo terms. Home checked on several times/week. $10K theft ded; $5K VMM ded."/>
    <x v="4"/>
    <m/>
    <m/>
    <m/>
    <s v="Patterson"/>
    <m/>
    <m/>
    <n v="0"/>
  </r>
  <r>
    <x v="793"/>
    <s v="SCU"/>
    <s v="CO"/>
    <s v="Allison"/>
    <s v="Email"/>
    <s v="Cummings"/>
    <s v="Greg   "/>
    <x v="5"/>
    <s v="Vail"/>
    <x v="19"/>
    <m/>
    <x v="2"/>
    <x v="1129"/>
    <x v="1556"/>
    <s v="TIV"/>
    <s v="New build up for sale, alarms, checked on regularly by insd or realtor. Added VMM and WBU since it is alarmed and new."/>
    <x v="4"/>
    <m/>
    <m/>
    <n v="12"/>
    <s v="Patterson"/>
    <m/>
    <m/>
    <n v="0"/>
  </r>
  <r>
    <x v="56"/>
    <s v="Burns"/>
    <s v="MI"/>
    <s v="Delta"/>
    <s v="Email"/>
    <s v="Guma, Linda"/>
    <m/>
    <x v="9"/>
    <s v="Livermore "/>
    <x v="1"/>
    <m/>
    <x v="0"/>
    <x v="1129"/>
    <x v="1557"/>
    <s v="Lapse. "/>
    <s v="2016 home. COC. Insured didn't realize there was no coverage on the house. Getting a loan and now realized."/>
    <x v="3"/>
    <s v="15% lapse and tail end constr surcharge on $5761 premium."/>
    <m/>
    <m/>
    <s v="Patterson"/>
    <m/>
    <m/>
    <n v="0"/>
  </r>
  <r>
    <x v="295"/>
    <s v="SCU"/>
    <s v="CO"/>
    <s v="Allison"/>
    <s v="Email"/>
    <s v="Lilley, Timothy"/>
    <m/>
    <x v="2"/>
    <s v="Parker"/>
    <x v="19"/>
    <m/>
    <x v="5"/>
    <x v="1129"/>
    <x v="1558"/>
    <s v="Reduce wind/hail ded"/>
    <s v="2010 frame home with tile roof. Rates require 1% wind/hail ded. Agent asking for it to be reduced to $10,000 due to tile roof."/>
    <x v="3"/>
    <s v="Hailscore is 5-Moderate. Hail loss expected every other year. Ran A+ - $2000 wind loss. Jeff is okay with 1%; or .5% if agent needs it but increase premium 5-10%.  Approved subj to a 1% ded, or .5% with a 10% surcharge. Also advised alarms are preferred but not required."/>
    <s v="Agt updated that offered with the $10,000 wind/hail deductible and 10% surcharge.  Also, that insured will install alarm in 6 months. KB"/>
    <m/>
    <s v="Patterson"/>
    <m/>
    <m/>
    <n v="0"/>
  </r>
  <r>
    <x v="47"/>
    <s v="Hull Irvine"/>
    <s v="CA"/>
    <s v="Michelle"/>
    <s v="Email"/>
    <s v="Sandberg"/>
    <s v="Curtis"/>
    <x v="1"/>
    <s v="Encinitas"/>
    <x v="1"/>
    <m/>
    <x v="0"/>
    <x v="1129"/>
    <x v="1559"/>
    <s v="Builders Risk"/>
    <s v="Home had large fire loss. Contractor stopped working and needed a new one. Getting dropped due to length of repairs taking &gt; 2 years. 6600+ Sq feet home. "/>
    <x v="0"/>
    <s v="Asking for more information regarding contractor dispute and any other info (such as photos) to determine whether we will take this on. Lawsuit against original contractor filed in July. Photos of home show high quality, large home with finishing work needed."/>
    <m/>
    <m/>
    <s v="Lazovik"/>
    <m/>
    <m/>
    <n v="0"/>
  </r>
  <r>
    <x v="189"/>
    <s v="Hull Irvine"/>
    <s v="CA"/>
    <s v="Alison"/>
    <s v="Email/Call"/>
    <s v="Behr"/>
    <s v="Wolfgang"/>
    <x v="155"/>
    <s v="Malibu"/>
    <x v="1"/>
    <m/>
    <x v="5"/>
    <x v="1129"/>
    <x v="24"/>
    <s v="TIV"/>
    <s v="This is the 4th 3 mo renewal. Insured is renovating and Cov A needs to be increased. Agency already over their cap."/>
    <x v="3"/>
    <s v="In the future, make sure room is left for these situations."/>
    <m/>
    <m/>
    <s v="Patterson"/>
    <m/>
    <m/>
    <n v="0"/>
  </r>
  <r>
    <x v="163"/>
    <s v="SCU"/>
    <s v="CO"/>
    <s v="Allison"/>
    <s v="Email"/>
    <s v="Fugger"/>
    <s v="Ed"/>
    <x v="5"/>
    <s v="Denver"/>
    <x v="19"/>
    <m/>
    <x v="8"/>
    <x v="1129"/>
    <x v="1248"/>
    <s v="TIV"/>
    <s v="1930 dwelling w/updates.  Remodeling will start in the spring. Needs vacant policy until then. Closing 10/4/17 per agent. App says 10/14."/>
    <x v="3"/>
    <s v="Online photos show possible flat roof. Requested $10K water damage ded."/>
    <s v="approved w/alarms; inspection revealed no alarms. Advised OK to retain w/no alarms but must increase AOP and theft deductible to a minimum of $10,000 "/>
    <n v="23"/>
    <s v="Patterson"/>
    <m/>
    <m/>
    <n v="0"/>
  </r>
  <r>
    <x v="628"/>
    <s v="AmWINS"/>
    <s v="NH"/>
    <s v="Kyle"/>
    <m/>
    <s v="Cummings"/>
    <s v="Bruce &amp; Myrna"/>
    <x v="4"/>
    <s v="Edgartown"/>
    <x v="21"/>
    <s v="02539"/>
    <x v="6"/>
    <x v="1129"/>
    <x v="1560"/>
    <s v="TIV"/>
    <s v="2007 home w/ 6/1/18 water damage claim $300K. Mice chewed through the central line to the dishwasher. Home is now winterized and there is a water sensor. Caretaker also. "/>
    <x v="3"/>
    <s v="Water sensor (not shutoff). They winterize home. Need PC App. Has CSFB per Kyle. Confirmed in subj that it is both CSF and CSB. Newer home, sensor, and caretaker, good situation. Not a pipe break - rodent issue."/>
    <m/>
    <m/>
    <s v="Patterson"/>
    <m/>
    <m/>
    <n v="0"/>
  </r>
  <r>
    <x v="95"/>
    <s v="Burns"/>
    <s v="MI"/>
    <s v="Leslie"/>
    <s v="Email"/>
    <s v="Coyote Developers LLC"/>
    <m/>
    <x v="2"/>
    <s v="Santa Barbara "/>
    <x v="1"/>
    <m/>
    <x v="4"/>
    <x v="1129"/>
    <x v="1267"/>
    <s v="TIV"/>
    <s v="Brand new build in brush. Contradictory info on PPC. Could be PC 3 based on info. Response time confirmed."/>
    <x v="3"/>
    <s v="Need LLC quest. Verify PPC - provided detail for Leslie to review for possible PC3 vs. PC10"/>
    <m/>
    <m/>
    <s v="Patterson"/>
    <m/>
    <m/>
    <n v="0"/>
  </r>
  <r>
    <x v="259"/>
    <s v="Hull CA"/>
    <s v="Irvine"/>
    <s v="Alison"/>
    <s v="Email"/>
    <m/>
    <m/>
    <x v="39"/>
    <s v="Pacific Palisades    "/>
    <x v="1"/>
    <m/>
    <x v="5"/>
    <x v="1129"/>
    <x v="1267"/>
    <s v="No alarms"/>
    <s v="Discussed higher deductible or rate for this risk. Nice rental. Alison is verifying it is a rental due to discussion w/ realtor who says home is also up for sale. "/>
    <x v="3"/>
    <s v="Agreed on $10,000 ded w/ a higher rate if we can sell it. Alison will get copy of lease agreement and tell agent we will inspect to confirm occupancy."/>
    <m/>
    <m/>
    <s v="Patterson"/>
    <m/>
    <m/>
    <n v="0"/>
  </r>
  <r>
    <x v="212"/>
    <s v="Hull CA"/>
    <s v="Stockton"/>
    <s v="Lisa"/>
    <s v="Email"/>
    <s v="Anki LLC"/>
    <m/>
    <x v="0"/>
    <s v="El Dorado Hills CA  PC3"/>
    <x v="3"/>
    <m/>
    <x v="0"/>
    <x v="1129"/>
    <x v="1561"/>
    <s v="31 day lapse"/>
    <s v="2007 home in brush. Lloyds expired 3/17/16 - prior MGA failed to offer renewal. Insured now shopping."/>
    <x v="4"/>
    <m/>
    <m/>
    <m/>
    <s v="Patterson"/>
    <m/>
    <m/>
    <n v="0"/>
  </r>
  <r>
    <x v="586"/>
    <s v="RPS Covington"/>
    <m/>
    <s v="Hilary"/>
    <m/>
    <s v="Adams"/>
    <s v="Ben"/>
    <x v="4"/>
    <s v="Patterson"/>
    <x v="0"/>
    <m/>
    <x v="5"/>
    <x v="1129"/>
    <x v="25"/>
    <s v="TIV"/>
    <s v="Home built in 1990, 4478 square feet. Partial wiring and plumbing updated in 1997. Roof updated in 2018. Confirm no coverage B as garage is mentioned in the application. CSA for burglary and smoke."/>
    <x v="4"/>
    <s v="New roof in coastal area where we haven't had a lot of success selling. This risk is clean, looks "/>
    <m/>
    <m/>
    <s v="Lazovik"/>
    <m/>
    <m/>
    <n v="0"/>
  </r>
  <r>
    <x v="823"/>
    <s v="Hull CA"/>
    <s v="Stockton"/>
    <s v="Kirk"/>
    <s v="Email"/>
    <s v="Garcia, Clemente"/>
    <m/>
    <x v="2"/>
    <s v="San Francisco CA PC1"/>
    <x v="3"/>
    <m/>
    <x v="0"/>
    <x v="1129"/>
    <x v="25"/>
    <s v="Rental use"/>
    <s v="2013 home new purchase. 4 units - 2 rented full time; 2 rented short term.  Sprinklers; no fire alarm. Burglar alarm."/>
    <x v="4"/>
    <s v="Require 3 day minimum rental. Sprinklers ok in lieu of fire alarm. Verify no commercial units in building."/>
    <m/>
    <m/>
    <s v="Patterson"/>
    <m/>
    <m/>
    <n v="0"/>
  </r>
  <r>
    <x v="133"/>
    <s v="SCU"/>
    <s v="CO"/>
    <s v="Allison"/>
    <s v="Email"/>
    <s v="Ainslie, Bradford &amp; Erika"/>
    <m/>
    <x v="25"/>
    <s v="Denver"/>
    <x v="19"/>
    <m/>
    <x v="9"/>
    <x v="1129"/>
    <x v="1370"/>
    <s v="Alarm"/>
    <s v="2000 home w/ no alarm, required for this TIV. Appears to have $5K ded."/>
    <x v="3"/>
    <s v="Asked for 7500 or 10000 ded."/>
    <m/>
    <m/>
    <s v="Patterson"/>
    <m/>
    <m/>
    <n v="0"/>
  </r>
  <r>
    <x v="722"/>
    <s v="AmWINS"/>
    <s v="MA"/>
    <s v="Austin"/>
    <m/>
    <s v="Miller"/>
    <s v="Garold"/>
    <x v="2"/>
    <s v="Wilmington"/>
    <x v="64"/>
    <s v="05363"/>
    <x v="4"/>
    <x v="1129"/>
    <x v="1562"/>
    <s v="Losses"/>
    <s v="2016 year built. Looks as if it is quoted as HO3, but agent said it’s a rental, which would need to be DP3. Also, they list as PC 9, but fire station is 5.7 miles, making it PC 10. The applicant had a $500k+ water loss that they have applied mitigation steps towards to not happen again."/>
    <x v="1"/>
    <s v="With combination of unprotected, high value, and prior loss I declined the risk. "/>
    <s v="Some chaos this week with a RUSH Stockton audit that backed up referrals.  Turnaround may have been impacted."/>
    <m/>
    <s v="Busse"/>
    <m/>
    <m/>
    <n v="1"/>
  </r>
  <r>
    <x v="231"/>
    <s v="Hull CO"/>
    <s v="Charlotte"/>
    <s v="Aria"/>
    <s v="Email/Call"/>
    <s v="26 Meeting St"/>
    <m/>
    <x v="1"/>
    <s v="Charleston SC"/>
    <x v="3"/>
    <m/>
    <x v="0"/>
    <x v="1129"/>
    <x v="1563"/>
    <s v="Rate reduction"/>
    <s v="1822 home being completely renovated.  Agent got rater of $18,136. Looking for 75 cent rate. AAL came in at $7,044, so no problem."/>
    <x v="3"/>
    <s v="Approved with 75 cent rate and MFRC."/>
    <m/>
    <m/>
    <s v="Patterson"/>
    <m/>
    <m/>
    <n v="0"/>
  </r>
  <r>
    <x v="100"/>
    <s v="Hull Horsham"/>
    <s v="PA"/>
    <s v="Nichole"/>
    <s v="Email"/>
    <s v="Balch Chocorua Trust"/>
    <m/>
    <x v="21"/>
    <s v="Tamworth"/>
    <x v="52"/>
    <m/>
    <x v="6"/>
    <x v="1129"/>
    <x v="290"/>
    <s v="TIV"/>
    <s v="1912 home updated in last 25 years. PC 9. Secondary. There is also a 2nd home $650K TIV that is also a secondary. Homes a less than 1 mile apart. "/>
    <x v="3"/>
    <s v="Are they both secondary? Approved subj to confirmation of occupancy."/>
    <m/>
    <m/>
    <s v="Patterson"/>
    <m/>
    <m/>
    <n v="0"/>
  </r>
  <r>
    <x v="798"/>
    <s v="Burns"/>
    <s v="MI"/>
    <s v="Delta"/>
    <s v="Email"/>
    <s v="Fleishman"/>
    <s v="Robert &amp; Tamara"/>
    <x v="16"/>
    <s v="Laguna Beach "/>
    <x v="1"/>
    <m/>
    <x v="9"/>
    <x v="1129"/>
    <x v="290"/>
    <s v="TIV"/>
    <s v="2017 home not in brush, full alarms. $5K ded. Roof appears flat. Nice online photos."/>
    <x v="4"/>
    <m/>
    <m/>
    <m/>
    <s v="Patterson"/>
    <m/>
    <m/>
    <n v="0"/>
  </r>
  <r>
    <x v="767"/>
    <s v="Hull Irvine"/>
    <s v="CA"/>
    <s v="Alison"/>
    <s v="Call/Email"/>
    <s v="Freedland"/>
    <s v="Stephen &amp; Alexis"/>
    <x v="0"/>
    <s v="Los Angeles"/>
    <x v="1"/>
    <m/>
    <x v="8"/>
    <x v="1129"/>
    <x v="1371"/>
    <s v="TIV"/>
    <s v="In extremely low brush and on 3 sides, but one side 100' away is high brush. Agt applying brush surcharge. This is $50K over their TIV limit for our max TIV limit."/>
    <x v="3"/>
    <s v="Referred to Louisa 4:10 pm 3/20/18. Agreed to approve, I will pitch recommendation to Jeff about low brush bordering high brush. Also this risk ok'd w/brush s/c &amp; wildfire mit form. Advised agt if Cov A comes back higher, may  need to reevaluate approval."/>
    <m/>
    <m/>
    <s v="Patterson"/>
    <m/>
    <m/>
    <n v="0"/>
  </r>
  <r>
    <x v="470"/>
    <s v="Burns"/>
    <s v="MI"/>
    <s v="Alexa"/>
    <m/>
    <s v="Dorsett"/>
    <s v="Phillip"/>
    <x v="0"/>
    <s v="Davie"/>
    <x v="32"/>
    <s v="33330"/>
    <x v="9"/>
    <x v="1129"/>
    <x v="1373"/>
    <s v="High Profile"/>
    <s v="2000 year built with full plumbing update in 2017. C/S alarms. Applicant plays in the NFL for the New England Patriots. Was quoted with liability and personal injury coverage. "/>
    <x v="3"/>
    <s v="Approved subject to a liability exclusion, which would also include personal injury. There were no concerns found with profile of applicant, however, since they are still a fairly high profile we want to exclude liability. "/>
    <m/>
    <m/>
    <s v="Busse"/>
    <m/>
    <m/>
    <n v="0"/>
  </r>
  <r>
    <x v="824"/>
    <s v="Burns"/>
    <s v="MI"/>
    <s v="Leslie"/>
    <s v="Email"/>
    <s v="Follett, Kelly"/>
    <m/>
    <x v="16"/>
    <s v="Olympic Valley"/>
    <x v="1"/>
    <m/>
    <x v="8"/>
    <x v="1129"/>
    <x v="1373"/>
    <s v="TIV"/>
    <s v="Secondary home, 2017  build, in brush, PC 2, hydrant w/1000 feet, no losses"/>
    <x v="3"/>
    <s v="acceptable brush clearance, no losses, and confirmation of occupancy (app says occupied daily)"/>
    <m/>
    <m/>
    <s v="Burdine"/>
    <m/>
    <m/>
    <n v="0"/>
  </r>
  <r>
    <x v="261"/>
    <s v="Hull CA"/>
    <s v="Stockton"/>
    <s v="Kirk"/>
    <s v="Email"/>
    <s v="Ando, Steve"/>
    <m/>
    <x v="0"/>
    <s v="Calabasas"/>
    <x v="1"/>
    <m/>
    <x v="5"/>
    <x v="1129"/>
    <x v="291"/>
    <s v="TIV"/>
    <s v="1995 home updates unknown. Dog breed unknown. Alarms unknown. In brush."/>
    <x v="3"/>
    <s v="Approved subj to breed, alarms.  There is no brush fire within 20 miles."/>
    <m/>
    <m/>
    <s v="Patterson"/>
    <m/>
    <m/>
    <n v="0"/>
  </r>
  <r>
    <x v="15"/>
    <s v="Burns"/>
    <s v="MI"/>
    <s v="Delta"/>
    <s v="Email"/>
    <s v="Solei"/>
    <s v="Siyavoush &amp; Sandra"/>
    <x v="0"/>
    <s v="Beverly Hills"/>
    <x v="1"/>
    <m/>
    <x v="11"/>
    <x v="1129"/>
    <x v="1564"/>
    <s v="TIV"/>
    <s v="Frame construction, built in 1961, full updates in 2014 except to roof (roof exclusion added), not in brush, PC1, no losses."/>
    <x v="4"/>
    <s v="Photos, RM, settlement costs OK"/>
    <m/>
    <m/>
    <s v="Burdine"/>
    <m/>
    <m/>
    <n v="0"/>
  </r>
  <r>
    <x v="326"/>
    <s v="Burns"/>
    <s v="MI"/>
    <s v="Nicole"/>
    <m/>
    <s v="Aaron"/>
    <s v="Jonathan"/>
    <x v="4"/>
    <s v="Boyne City"/>
    <x v="8"/>
    <s v="49712"/>
    <x v="4"/>
    <x v="1129"/>
    <x v="29"/>
    <s v="TIV"/>
    <s v="1997 dwelling. 5.5 miles 10-15 min per PC quest. Google shows 9.9 miles and 15 minutes drive time."/>
    <x v="0"/>
    <s v="Ok with additional pricing for higher response time. $.50 total $16,000 vs quoted $10,880 // Addl info from branch and SRD proving fire department is appx 5 miles away. Approved with original premium quote"/>
    <m/>
    <m/>
    <s v="Patterson"/>
    <m/>
    <m/>
    <n v="0"/>
  </r>
  <r>
    <x v="706"/>
    <s v="Burns"/>
    <s v="MI"/>
    <s v="Danielle"/>
    <s v="Email"/>
    <s v="Hirsch, Alisha"/>
    <m/>
    <x v="0"/>
    <s v="Beverly Hills"/>
    <x v="1"/>
    <m/>
    <x v="11"/>
    <x v="1129"/>
    <x v="29"/>
    <s v="TIV"/>
    <s v="1960 home updated in 2010. Nice online photos, no concerns."/>
    <x v="4"/>
    <m/>
    <m/>
    <m/>
    <s v="Patterson"/>
    <m/>
    <m/>
    <n v="0"/>
  </r>
  <r>
    <x v="808"/>
    <s v="Hull Irvine"/>
    <m/>
    <s v="Alex"/>
    <s v="Email"/>
    <s v="Ma, Baojun"/>
    <m/>
    <x v="0"/>
    <s v="Laguna"/>
    <x v="1"/>
    <m/>
    <x v="0"/>
    <x v="1129"/>
    <x v="1495"/>
    <s v="Prior losses"/>
    <s v="New purchase. Prior owner had a 1/15 $0 water loss and a 5/15 $36K water loss. New owner/insured has no info on what these were. Very nice online pics."/>
    <x v="3"/>
    <s v="1991 home, copper, $2M Cov A. Not the insured's losses. Offered option of terms as quoted w/$2500 AOP or offer with $10K water damage and drop after a year to $5K, then to AOP.  5/19-agt asked for ok to quote $10K and $50K AOP options. Approved."/>
    <m/>
    <m/>
    <s v="Patterson"/>
    <m/>
    <m/>
    <n v="0"/>
  </r>
  <r>
    <x v="252"/>
    <s v="Burns"/>
    <s v="MI"/>
    <s v="Ben "/>
    <s v="Email"/>
    <s v="Reza, Ali"/>
    <m/>
    <x v="0"/>
    <s v="New Orleans LA PC2"/>
    <x v="0"/>
    <m/>
    <x v="8"/>
    <x v="1129"/>
    <x v="1565"/>
    <s v="TIV&gt;$3M"/>
    <s v="1910 frame home w/full updates.  7 mi from coast, allowed w/3% wind/hail ded. Yes answer on app to Has anyone with a financial interest in the property been convicted of fraud, arson or other crime related to any loss or any other property during the past five years? Found numerous online articles with serious charges related to rape, etc. It is not 100% clear it is this insured as the name of the doc involved is Alireza Sadeghi, and the app is for Ali Reza who is a physician.  "/>
    <x v="0"/>
    <s v="Agent confirmed by occupation and DOB the articles are not the same person as the insured. Rest of risk is fine. Approved."/>
    <m/>
    <m/>
    <s v="Patterson"/>
    <m/>
    <m/>
    <n v="0"/>
  </r>
  <r>
    <x v="789"/>
    <s v="Hull Stockton"/>
    <s v="CA"/>
    <s v="Melissa"/>
    <s v="Email"/>
    <s v="Ardalan"/>
    <s v="Pezhman &amp; Maryam"/>
    <x v="0"/>
    <s v="Murietta"/>
    <x v="1"/>
    <m/>
    <x v="4"/>
    <x v="1129"/>
    <x v="1566"/>
    <s v="TIV"/>
    <s v="2003 dwelling in brush, PC10, over $3M TIV. "/>
    <x v="1"/>
    <s v="Agent must have forgot TIV MAX is $3M. Sent copy/paste of guidelines."/>
    <m/>
    <m/>
    <s v="Patterson"/>
    <m/>
    <m/>
    <n v="1"/>
  </r>
  <r>
    <x v="518"/>
    <s v="Burns"/>
    <s v="MI"/>
    <s v="Jill"/>
    <s v="Email"/>
    <s v="Holt"/>
    <s v="Craig"/>
    <x v="16"/>
    <s v="Lake Almanor"/>
    <x v="1"/>
    <m/>
    <x v="9"/>
    <x v="1129"/>
    <x v="1566"/>
    <s v="TIV"/>
    <s v="Beautiful 2006 home on the lake. $5K AOP, no alarms noted. In brush, trees are trimmed up. Some kind of stove in living room per online photo."/>
    <x v="3"/>
    <s v="WBS questionnaire if applicable. Confirm brush clearance. Forested area.  "/>
    <m/>
    <n v="28"/>
    <s v="Patterson"/>
    <m/>
    <m/>
    <n v="0"/>
  </r>
  <r>
    <x v="8"/>
    <s v="Burns"/>
    <s v="MI"/>
    <s v="Nicole"/>
    <m/>
    <s v="Hollinger"/>
    <s v="Jared"/>
    <x v="0"/>
    <s v="Springfield"/>
    <x v="38"/>
    <s v="68059"/>
    <x v="6"/>
    <x v="1129"/>
    <x v="1567"/>
    <s v="Losses"/>
    <s v="Home built in 2001 with full roof update in 2016. CS alarms and 2 rated prior losses. Hail (14K 2016), Hail ($124k 2016) and Lightening ($40k) in 2016. We will not extend liability to another location. "/>
    <x v="1"/>
    <s v="Insured has significant loss history.  Both frequency and severity.  1% W/H ded was not enough on $2,000,000 RCE home."/>
    <m/>
    <m/>
    <s v="Lazovik/Bach"/>
    <m/>
    <m/>
    <n v="1"/>
  </r>
  <r>
    <x v="44"/>
    <s v="Hull Irvine"/>
    <s v="CA"/>
    <s v="Michelle"/>
    <s v="Email"/>
    <s v="Eckerman"/>
    <s v="Rodney"/>
    <x v="0"/>
    <s v="Malibu"/>
    <x v="1"/>
    <m/>
    <x v="2"/>
    <x v="1129"/>
    <x v="1567"/>
    <s v="Other UW Reason"/>
    <s v="2018 newly built frame home in Malibu. Primary home near brush. Agent has 15% surcharge for the location. "/>
    <x v="4"/>
    <s v="Great risk, all new. There are central alarms. Close to the fire department (PPC not given)"/>
    <m/>
    <m/>
    <s v="Lazovik"/>
    <m/>
    <m/>
    <n v="0"/>
  </r>
  <r>
    <x v="120"/>
    <s v="Burns"/>
    <s v="MI"/>
    <s v="Delta"/>
    <s v="Email"/>
    <s v="Cordano, James"/>
    <m/>
    <x v="16"/>
    <s v="Carmel by the Sea"/>
    <x v="1"/>
    <m/>
    <x v="8"/>
    <x v="1129"/>
    <x v="1567"/>
    <s v="TIV"/>
    <s v="1932 home fully updated. Recently renovated. Not in brush. Has c/s fire alarm only. "/>
    <x v="0"/>
    <s v="Add c/s theft, Trust/LLC form, confirm no rental (insured is real est developer per online search)//Lowered Coverages. No rental, added cs theft alarm"/>
    <m/>
    <m/>
    <s v="Patterson"/>
    <m/>
    <m/>
    <n v="0"/>
  </r>
  <r>
    <x v="153"/>
    <s v="Burns"/>
    <s v="MI"/>
    <s v="Delta/Leslie"/>
    <s v="Email"/>
    <s v="Kaleka"/>
    <s v="Virender &amp; Kuljeet"/>
    <x v="0"/>
    <s v="Madera"/>
    <x v="1"/>
    <m/>
    <x v="4"/>
    <x v="1129"/>
    <x v="1567"/>
    <s v="TIV"/>
    <s v="2006 home not in brush with full alarms. App says PC 8/9. 5 mi; 750'.  Email cover says 8. Flat roof. $5000 deductible. PPC I ran shows PC10."/>
    <x v="3"/>
    <s v="PCQ, requote at PC10, 15 minute response time//9/11 Got PCQ-can't read name of primary responding FD. Agent noted PC9 on the PCQ - verifying with Leslie as we show it should be PC10. // 9/14/17 Info provided confirms this should be PC10, not PC8 or 9 as noted in the submission and PCQ.  11 minute response time, 6.9 miles."/>
    <m/>
    <n v="26"/>
    <s v="Patterson"/>
    <m/>
    <m/>
    <n v="0"/>
  </r>
  <r>
    <x v="173"/>
    <s v="Burns"/>
    <s v="CA"/>
    <s v="Jill"/>
    <s v="Email"/>
    <s v="Faridnia "/>
    <s v="FARSHID &amp; ELHAM "/>
    <x v="0"/>
    <s v="Los Angeles"/>
    <x v="1"/>
    <m/>
    <x v="11"/>
    <x v="1129"/>
    <x v="1567"/>
    <s v="TIV"/>
    <s v="In brush, frame, PC1, primary, c/s alarm, no losses, COC was just completed"/>
    <x v="3"/>
    <s v="Approved subject to brush surcharge/guidelines"/>
    <m/>
    <m/>
    <s v="Burdine"/>
    <m/>
    <m/>
    <n v="0"/>
  </r>
  <r>
    <x v="484"/>
    <s v="Burns"/>
    <s v="MI"/>
    <s v="Danielle"/>
    <s v="Email"/>
    <s v="Krishock, David"/>
    <m/>
    <x v="0"/>
    <s v="Calabasas CA PC2"/>
    <x v="3"/>
    <m/>
    <x v="0"/>
    <x v="1129"/>
    <x v="1567"/>
    <s v="TIV&gt;$3M"/>
    <s v="2001 home w/alarms. Nice pics online. 3.8 acres. High brush.  "/>
    <x v="4"/>
    <s v="App notes &quot;no prior coverage&quot;. Turned out this is new purchase.  Approved subj to 150' brush clearance and conf no losses (not addressed on app)"/>
    <m/>
    <m/>
    <s v="Patterson"/>
    <m/>
    <m/>
    <n v="0"/>
  </r>
  <r>
    <x v="231"/>
    <s v="Burns"/>
    <s v="MI"/>
    <s v="Ben"/>
    <s v="Email"/>
    <s v="Britt, Marvin"/>
    <m/>
    <x v="21"/>
    <s v="Henderson NV  PC2"/>
    <x v="3"/>
    <m/>
    <x v="0"/>
    <x v="1129"/>
    <x v="1567"/>
    <s v="TIV&gt;$3M"/>
    <s v="2006 frame home, seasonal no rental. No losses. Insd's occupation is daycare, but this is the seasonal. The daycare is in IL. Beautiful online photos of home."/>
    <x v="4"/>
    <m/>
    <m/>
    <m/>
    <s v="Patterson"/>
    <m/>
    <m/>
    <n v="0"/>
  </r>
  <r>
    <x v="715"/>
    <s v="Burns"/>
    <s v="MI"/>
    <s v="Delta"/>
    <s v="Email"/>
    <s v="Dimitri, Elizabeth"/>
    <m/>
    <x v="38"/>
    <s v="Metairie"/>
    <x v="0"/>
    <m/>
    <x v="8"/>
    <x v="1129"/>
    <x v="1567"/>
    <s v="TIV"/>
    <s v="Home was built in 1950; fully updated in 2014; frame construction, PC2, no losses; full C/S alarms."/>
    <x v="4"/>
    <s v="Within coastal guidelines for agency, agency used AAL rating to ensure appropriate premium, google search shows good photos/insured"/>
    <m/>
    <m/>
    <s v="Burdine"/>
    <m/>
    <m/>
    <n v="0"/>
  </r>
  <r>
    <x v="495"/>
    <s v="Hull Irvine"/>
    <s v="CA"/>
    <s v="Alison"/>
    <s v="Email"/>
    <s v="Greenberg, Randy and Sarah"/>
    <m/>
    <x v="142"/>
    <s v="Los Angeles"/>
    <x v="1"/>
    <m/>
    <x v="8"/>
    <x v="1129"/>
    <x v="1568"/>
    <s v="TIV"/>
    <s v="1991 build, in brush, no losses"/>
    <x v="4"/>
    <s v="approved w/ brush surcharge"/>
    <m/>
    <m/>
    <s v="K.Burdine"/>
    <m/>
    <m/>
    <n v="0"/>
  </r>
  <r>
    <x v="762"/>
    <s v="Hull Irvine"/>
    <s v="CA"/>
    <s v="Lucas"/>
    <m/>
    <s v="Batra"/>
    <s v="Vikrant"/>
    <x v="0"/>
    <s v="Los Gatos"/>
    <x v="1"/>
    <n v="95032"/>
    <x v="8"/>
    <x v="1129"/>
    <x v="32"/>
    <s v="TIV"/>
    <s v="Full central station fire/burglar alarms. Out of brush. Frame home built in 2002. Tile roof. No prior losses."/>
    <x v="4"/>
    <m/>
    <m/>
    <m/>
    <s v="Lazovik"/>
    <m/>
    <m/>
    <n v="0"/>
  </r>
  <r>
    <x v="321"/>
    <s v="Hull Irvine"/>
    <s v="CA"/>
    <s v="Alison"/>
    <m/>
    <s v="Wallace"/>
    <s v="Russell"/>
    <x v="0"/>
    <s v="Laguna Beach"/>
    <x v="1"/>
    <s v="92651"/>
    <x v="0"/>
    <x v="1129"/>
    <x v="32"/>
    <s v="TIV"/>
    <s v="Unknown YOC and unknown updates. Unknown PC. Not in brush, but high brush is 500-600' away. Mold claim at prior residence. Home office - no info. "/>
    <x v="1"/>
    <s v="Conservative approach right now until we nail down our direction."/>
    <m/>
    <m/>
    <s v="Patterson"/>
    <m/>
    <m/>
    <n v="1"/>
  </r>
  <r>
    <x v="173"/>
    <s v="Burns"/>
    <s v="CA"/>
    <s v="Jill"/>
    <s v="Email"/>
    <s v="ROBERT LUFKIN &amp; ZHENG LI"/>
    <s v="ROBERT LUFKIN &amp; ZHENG LI"/>
    <x v="16"/>
    <s v="Santa Monica"/>
    <x v="1"/>
    <m/>
    <x v="8"/>
    <x v="1129"/>
    <x v="32"/>
    <s v="Prior nonrenewal"/>
    <s v="PC2, not in brush, built in 1995, frame, secondary, c/s alarms, no losses, located in CA. 1000 feet from coast. Mercury NR for coastal exposure"/>
    <x v="4"/>
    <s v="reviewed coastal guidelines. All met."/>
    <m/>
    <m/>
    <s v="Burdine"/>
    <m/>
    <m/>
    <n v="0"/>
  </r>
  <r>
    <x v="190"/>
    <s v="Burns"/>
    <s v="MI"/>
    <s v="Jill"/>
    <s v="Email"/>
    <s v="Park"/>
    <s v="Jonathan"/>
    <x v="0"/>
    <m/>
    <x v="44"/>
    <m/>
    <x v="9"/>
    <x v="1129"/>
    <x v="32"/>
    <s v="TIV"/>
    <s v="PC3, frame, primary, no losses, built in 1998/updated, updated in NY"/>
    <x v="3"/>
    <s v=" approval to release as quoted. Please be sure no art-dealings are taking place inside the premise (based on the co-applicants job title)."/>
    <m/>
    <m/>
    <s v="Burdine"/>
    <m/>
    <m/>
    <n v="0"/>
  </r>
  <r>
    <x v="823"/>
    <s v="Hull CA"/>
    <s v="Irvine"/>
    <s v="Alison"/>
    <s v="Email"/>
    <s v="Soleimani, David"/>
    <m/>
    <x v="0"/>
    <s v="Encino CA PC2"/>
    <x v="3"/>
    <m/>
    <x v="0"/>
    <x v="1129"/>
    <x v="32"/>
    <s v="Named Insured"/>
    <s v="1976 home updated in 2010. Home is in father's name.  Pool exclusion will be applied.  Insured is VP for family business JH Minassian &amp; co."/>
    <x v="4"/>
    <s v="Policy in titled owners name but HO3 owner occupied okay. "/>
    <m/>
    <m/>
    <s v="Patterson"/>
    <m/>
    <m/>
    <n v="0"/>
  </r>
  <r>
    <x v="223"/>
    <s v="Hull CA"/>
    <s v="Irvine"/>
    <s v="Alison"/>
    <s v="Call/Email"/>
    <s v="Laing"/>
    <m/>
    <x v="0"/>
    <s v="Los Angeles"/>
    <x v="3"/>
    <m/>
    <x v="0"/>
    <x v="1129"/>
    <x v="32"/>
    <s v="Film crews on property"/>
    <s v="High valued property where insured allows film crews to shoot commercial. We discussed Total Business Exclusion. Alison to get more detail."/>
    <x v="2"/>
    <s v="# of people on the crew, frequency, will they be in the whole house or just the property, what coverage does the film crew provide?  If we apply Total Business Excl, this applies to Cov A &amp; B as well.  If film crew burns down house, no coverage.  "/>
    <s v="Alison emailed on 5/17/16. Still don't have all the info we need, so replied back."/>
    <m/>
    <s v="Patterson"/>
    <m/>
    <m/>
    <n v="0"/>
  </r>
  <r>
    <x v="276"/>
    <s v="Hull CA"/>
    <s v="Irvine"/>
    <s v="Alex"/>
    <s v="Email"/>
    <s v="Countis, Tom"/>
    <m/>
    <x v="0"/>
    <s v="Nevada City"/>
    <x v="1"/>
    <m/>
    <x v="5"/>
    <x v="1129"/>
    <x v="32"/>
    <s v="TIV"/>
    <s v="1982 home, no updates listed. Slate roof. Nice online photos. Expires w/Lloyds 10/5. In brush. Alarms. No answer to biz on prem app uw question."/>
    <x v="3"/>
    <s v="Approved - need answer to app question."/>
    <m/>
    <m/>
    <s v="Patterson"/>
    <m/>
    <m/>
    <n v="0"/>
  </r>
  <r>
    <x v="288"/>
    <s v="Hull CA"/>
    <s v="Irvine"/>
    <s v="Alison"/>
    <s v="Email"/>
    <s v="Trakji, Elias"/>
    <m/>
    <x v="0"/>
    <s v="Glendora"/>
    <x v="1"/>
    <m/>
    <x v="5"/>
    <x v="1129"/>
    <x v="32"/>
    <m/>
    <s v="2006 home, concrete roof in brush. Alarms. $10K deductible. Quoting with and without All Risk Cov A. Need completed app."/>
    <x v="3"/>
    <s v="Approved subj to completed uw questions on app asap after binding (rush closing today)."/>
    <m/>
    <m/>
    <s v="Patterson"/>
    <m/>
    <m/>
    <n v="0"/>
  </r>
  <r>
    <x v="334"/>
    <s v="Burns"/>
    <s v="MI"/>
    <s v="Jill"/>
    <s v="Email"/>
    <s v="Nazari"/>
    <s v="Joseph"/>
    <x v="0"/>
    <s v="Glendale"/>
    <x v="1"/>
    <m/>
    <x v="11"/>
    <x v="1129"/>
    <x v="33"/>
    <s v="TIV"/>
    <s v="PC1, built in 1992, frame, primary, no losses, not in brush, located in CA"/>
    <x v="4"/>
    <s v="ISO, RM, pics OK"/>
    <m/>
    <m/>
    <s v="Burdine"/>
    <m/>
    <m/>
    <n v="0"/>
  </r>
  <r>
    <x v="782"/>
    <s v="Burns"/>
    <s v="MI"/>
    <s v="Nicole"/>
    <m/>
    <s v="Wang"/>
    <s v="Daniel"/>
    <x v="0"/>
    <s v="Pikesville"/>
    <x v="29"/>
    <s v="21208"/>
    <x v="9"/>
    <x v="1129"/>
    <x v="1528"/>
    <s v="Other UW Reason"/>
    <s v="1989 year built with complete updates in 2002. Two losses, 5/2018 septic system inundated with torrential rains and failed $42,570 (CAT?), and 12/2018 pipe on second floor burst and leaked $16,272. Agent already applied $10,000 water deductible. Wood roof and agent would like replacement cost subject to a favorable inspection showing roof in good condition. "/>
    <x v="3"/>
    <s v="Approving subject to ACV for the roof. It is a wood roof that is 17 years old. Guidelines indicate roofs 15-25 years should consider ACV, and that wood/shake roofs should have ACV. As such, only allowing ACV. "/>
    <m/>
    <m/>
    <s v="Busse"/>
    <m/>
    <m/>
    <n v="0"/>
  </r>
  <r>
    <x v="679"/>
    <s v="SCU"/>
    <s v="CO"/>
    <s v="Allison"/>
    <m/>
    <s v="Majerus"/>
    <s v="Robert &amp; Susan"/>
    <x v="4"/>
    <s v="Phoenix"/>
    <x v="7"/>
    <s v="85085"/>
    <x v="4"/>
    <x v="1129"/>
    <x v="1528"/>
    <s v="TIV"/>
    <s v="2015 home w/CSFB. Most homes in area are primary, visible to neighbors. FD is just over 5 miles. Subdiv may have hydrants, but partner quoted as PC10 to be conservative. Quoting $5K and $10K ded. Some flat roof sections."/>
    <x v="3"/>
    <s v="I confirmed 10 min drive time.  Website shows paid and volunteer. Roof only 4 years old-flat roof okay.  Very nice photos of home."/>
    <m/>
    <m/>
    <s v="Patterson"/>
    <m/>
    <m/>
    <n v="0"/>
  </r>
  <r>
    <x v="765"/>
    <s v="Hull Stockton"/>
    <s v="CA"/>
    <s v="Melissa"/>
    <s v="Email"/>
    <s v="Fishman"/>
    <s v="Steve"/>
    <x v="0"/>
    <s v="Montecito"/>
    <x v="1"/>
    <m/>
    <x v="9"/>
    <x v="1129"/>
    <x v="1528"/>
    <s v="TIV"/>
    <s v="Home built in 2007, appears to be a pretty good risk. Located on a golf course, no brush, good PC. "/>
    <x v="4"/>
    <s v="Didn’t seem to be any concerns with this risk, overall seemed pretty good to approve without being subject to any terms. "/>
    <m/>
    <m/>
    <s v="Busse"/>
    <m/>
    <m/>
    <n v="0"/>
  </r>
  <r>
    <x v="785"/>
    <s v="Burns"/>
    <s v="MI"/>
    <s v="Alexa"/>
    <s v="Email"/>
    <s v="Merrill"/>
    <s v="Douglas  "/>
    <x v="0"/>
    <s v="Denver "/>
    <x v="19"/>
    <m/>
    <x v="8"/>
    <x v="1129"/>
    <x v="1528"/>
    <s v="Prior loss"/>
    <s v="1935 home updated in 2001. Roof fully replaced in 1995 (wood shake). Alarms. 6/24/15 CAT wind/hail loss. $142,458 paid by Chubb to replace roof. It has not been done as insured is waiting for Tesla solar shingles to come to market in his area. Lapse for non pay since 11/16."/>
    <x v="1"/>
    <s v="3 year FireLine score is 10 (100% likelihood of hail damage every 3 years).  2 years since loss-damage not repaired. Negligible FireLine score."/>
    <m/>
    <n v="32"/>
    <s v="Patterson"/>
    <m/>
    <m/>
    <n v="1"/>
  </r>
  <r>
    <x v="285"/>
    <s v="SCU"/>
    <s v="CO"/>
    <s v="Allison"/>
    <s v="Email"/>
    <s v="Hunt, David"/>
    <m/>
    <x v="156"/>
    <s v="Crested Butte"/>
    <x v="19"/>
    <m/>
    <x v="5"/>
    <x v="1129"/>
    <x v="1528"/>
    <s v="TIV"/>
    <s v="1950 home remodeled in 2015 w/alarms. Used seasonally and 3 night min rental thru VRBO (10 weeks per year). Unsure on roof-exclusion added. 7% discount to compete w/Seacoast rate. Nice online photos."/>
    <x v="4"/>
    <m/>
    <m/>
    <m/>
    <s v="Patterson"/>
    <m/>
    <m/>
    <n v="0"/>
  </r>
  <r>
    <x v="389"/>
    <s v="Burns"/>
    <s v="MI"/>
    <s v="Matt"/>
    <s v="Email"/>
    <s v="Olagaray, Joe"/>
    <m/>
    <x v="33"/>
    <s v="Tahoe City CA PC8"/>
    <x v="3"/>
    <m/>
    <x v="0"/>
    <x v="1129"/>
    <x v="1517"/>
    <s v="TIV; Bridge"/>
    <s v="2005 home. Access is across a bridge owned by insd and neighbors. Brush is not 150'; in brush area."/>
    <x v="4"/>
    <s v="Declined liability for bridge. Require central station alarm"/>
    <m/>
    <m/>
    <s v="Patterson"/>
    <m/>
    <m/>
    <n v="0"/>
  </r>
  <r>
    <x v="675"/>
    <s v="SCU"/>
    <s v="CO"/>
    <s v="Allison"/>
    <m/>
    <s v="Chong"/>
    <s v="Won Sook"/>
    <x v="0"/>
    <s v="Marina Del Rey"/>
    <x v="1"/>
    <s v="90292"/>
    <x v="8"/>
    <x v="1129"/>
    <x v="1569"/>
    <s v="TIV"/>
    <s v="This is a $3.9M TIV risk located in CA that has a WRS of 6."/>
    <x v="1"/>
    <s v="Since our guidelines have been updated since last fall, we do not allow risks with over $3M TIV regardless of WRS. That guideline still applies and as such is ineligible. "/>
    <m/>
    <m/>
    <s v="Busse"/>
    <m/>
    <m/>
    <n v="1"/>
  </r>
  <r>
    <x v="592"/>
    <s v="XS Brokers"/>
    <s v="MA"/>
    <s v="Therese"/>
    <s v="Email"/>
    <s v="Logrippo"/>
    <s v="Heather"/>
    <x v="0"/>
    <s v="Shrewsbury"/>
    <x v="21"/>
    <m/>
    <x v="5"/>
    <x v="1129"/>
    <x v="1570"/>
    <s v="Age of Home"/>
    <s v="1822 build, updates in 2007, 2 losses (Inland marine and water), RC quoted"/>
    <x v="3"/>
    <s v="FRC only (not completely gut/rebuild), need to update rater to reflect 1822 build year, not 2007 updates"/>
    <m/>
    <m/>
    <s v="Burdine"/>
    <m/>
    <m/>
    <n v="0"/>
  </r>
  <r>
    <x v="693"/>
    <s v="Burns"/>
    <s v="MI"/>
    <s v="Delta"/>
    <s v="Email"/>
    <s v="Wheeler, Brian"/>
    <m/>
    <x v="0"/>
    <s v="W Jefferson"/>
    <x v="40"/>
    <m/>
    <x v="12"/>
    <x v="1129"/>
    <x v="1570"/>
    <s v="TIV"/>
    <s v="2008 home with 1 prior water loss - sump pump failed $9737 9/17/14. No alarms - $4M TIV? Online photos look like a rural location."/>
    <x v="2"/>
    <s v="Need info on no alarms. Advised no water back-up coverage."/>
    <m/>
    <m/>
    <s v="Patterson"/>
    <m/>
    <m/>
    <n v="0"/>
  </r>
  <r>
    <x v="252"/>
    <s v="Burns"/>
    <s v="MI"/>
    <s v="Ben"/>
    <s v="Email"/>
    <s v="Neece, Rush"/>
    <m/>
    <x v="21"/>
    <s v="Truckee CA PC4"/>
    <x v="1"/>
    <m/>
    <x v="5"/>
    <x v="1129"/>
    <x v="1570"/>
    <s v="TIV&gt;$3M"/>
    <s v="2003 frame home in high brush. No losses. Alarmed. Online photos look nice."/>
    <x v="4"/>
    <m/>
    <m/>
    <m/>
    <s v="Patterson"/>
    <m/>
    <m/>
    <n v="0"/>
  </r>
  <r>
    <x v="252"/>
    <s v="Burns"/>
    <s v="MI"/>
    <s v="Ben"/>
    <s v="Email"/>
    <s v="Nesbitt, Thomas"/>
    <m/>
    <x v="21"/>
    <s v="Truckee CA PC4"/>
    <x v="1"/>
    <m/>
    <x v="5"/>
    <x v="1129"/>
    <x v="1570"/>
    <s v="TIV&gt;$3M"/>
    <s v="2012 frame home in high brush. No losses. Alarmed. No online photos."/>
    <x v="4"/>
    <m/>
    <m/>
    <m/>
    <s v="Patterson"/>
    <m/>
    <m/>
    <n v="0"/>
  </r>
  <r>
    <x v="719"/>
    <s v="Hull CA"/>
    <s v="CA"/>
    <s v="Alex"/>
    <s v="Harrill"/>
    <s v="Tarson, Keith"/>
    <m/>
    <x v="0"/>
    <s v="Poway CA PC1 alternate 9/10"/>
    <x v="3"/>
    <m/>
    <x v="0"/>
    <x v="1129"/>
    <x v="1571"/>
    <m/>
    <s v="2014 home. Risk meter unable to find address, so an address close by was used. Is in a low brush zone, but we are charging for brush as it is on the cusp of a high zone. Insured is hoping to purchase home at auction this week. Offered terms with $5k deductible, pure prem is at $7,400."/>
    <x v="4"/>
    <s v="This will be insured's primary home. If aqcuired, he will be paying cash at auction. Photos on zillow look good. "/>
    <m/>
    <m/>
    <s v="Trott"/>
    <m/>
    <m/>
    <n v="0"/>
  </r>
  <r>
    <x v="756"/>
    <s v="SCU"/>
    <s v="CO"/>
    <s v="Allison"/>
    <s v="Email"/>
    <s v="Wiggins, John"/>
    <m/>
    <x v="21"/>
    <s v="Norwood"/>
    <x v="19"/>
    <m/>
    <x v="4"/>
    <x v="1129"/>
    <x v="513"/>
    <s v="400 acres hunted/TIV"/>
    <s v="2003 home remodeled. 400 acres fenced. Insd/fam/friends hunt and fish. PC10 high brush-6 per RM Confirmed 3.7 mi to FD per PPC I ran. Wants $150K in mounts"/>
    <x v="0"/>
    <s v="Asked slew of questions about use of property. Advised can't do SPP. Will need $10K AOP or add fire alarm.  Got all answers back and all are acceptable.  Approved w/$10K AOP ded or fire alarm."/>
    <m/>
    <m/>
    <s v="Patterson"/>
    <m/>
    <m/>
    <n v="0"/>
  </r>
  <r>
    <x v="233"/>
    <s v="Burns"/>
    <s v="MI"/>
    <s v="Ben"/>
    <s v="Email"/>
    <s v="Gamliel, Maziach"/>
    <m/>
    <x v="0"/>
    <s v="Beverly Hills CA PC2"/>
    <x v="3"/>
    <m/>
    <x v="0"/>
    <x v="1130"/>
    <x v="1572"/>
    <s v="2 prior water losses"/>
    <s v="1987 home with updates. 2 prior water losses: 3/4/13 pipe burst under water heater $344,427.  1/13/14 Line outside brok $13,785. Agent included $25,000 deductible.  Per retail agent, pipes were replaced. Not in brush. Expiring premium is $9,141."/>
    <x v="3"/>
    <s v="Approved suggeting a premium closer to the $9,141. (although the 3/2013 loss is probably dropping off.)"/>
    <m/>
    <m/>
    <s v="Patterson"/>
    <m/>
    <m/>
    <n v="0"/>
  </r>
  <r>
    <x v="481"/>
    <s v="Hull CA"/>
    <s v="Irvine"/>
    <s v="Alex"/>
    <s v="Email"/>
    <s v="Bosshard, Nate"/>
    <m/>
    <x v="0"/>
    <s v="Mill Valley  "/>
    <x v="1"/>
    <m/>
    <x v="9"/>
    <x v="1131"/>
    <x v="1573"/>
    <s v="TIV"/>
    <s v="2016 home (was a total gut/remodel/addition) recently finished, alarms, not in brush. Good agent. Lexington quote. To be competitive agent applied 9% credit."/>
    <x v="4"/>
    <m/>
    <m/>
    <m/>
    <s v="Patterson"/>
    <m/>
    <m/>
    <n v="0"/>
  </r>
  <r>
    <x v="696"/>
    <s v="Burns"/>
    <s v="MI"/>
    <s v="Lindsay"/>
    <m/>
    <s v="Hawkins Marital Trust"/>
    <m/>
    <x v="5"/>
    <s v="Goddard"/>
    <x v="28"/>
    <s v="67052"/>
    <x v="8"/>
    <x v="1132"/>
    <x v="1574"/>
    <s v="Business on Premises"/>
    <s v="2007 dwelling that is connected by a breezeway to an office building, which has separate parcel. The office is an insurance company with about 20 employees that services policies in other states, so little to no outside foot traffic. The office and its employees do not have access to the home, as it is separated via a locked door. Trust beneficiaries stop in at home almost daily, and occasionally let a guest stay there. Agent advised they would already have TBE, and also exclude liability and med pay. "/>
    <x v="3"/>
    <s v="Approval subject to a TBE and liability/med pay exclusion as noted by the agent. Advised this also needs to be rated as a DP3 vacant, as it was currently listed as HO3 secondary. Agent pushed back saying the beneficiaries stay at the dwelling at least 6 nights out of the year, confirmed with Jeff that is not enough time to consider secondary and we will still need it rated as DP3 vacant. "/>
    <m/>
    <m/>
    <s v="Busse"/>
    <m/>
    <m/>
    <n v="0"/>
  </r>
  <r>
    <x v="444"/>
    <s v="Hull Irvine"/>
    <m/>
    <s v="Alison"/>
    <s v="Email"/>
    <s v="Sakmar, Bernard"/>
    <m/>
    <x v="0"/>
    <s v="Los Angeles"/>
    <x v="1"/>
    <m/>
    <x v="17"/>
    <x v="1133"/>
    <x v="1575"/>
    <s v="TIV/Open Claim"/>
    <s v="1927 home updated. Not in brush. Insds dog bit neighbors maid in 2015. Nothing paid yet, loss is still open. 5 year lab/great dane mix. Agent is applying animal exclusion. Home has a gravity furnace. Also is a historic preservation - has MFRC"/>
    <x v="3"/>
    <s v="Confirm not on registry. Explained our stance on covg under the limited animal liab form."/>
    <m/>
    <m/>
    <s v="Patterson"/>
    <m/>
    <m/>
    <n v="0"/>
  </r>
  <r>
    <x v="747"/>
    <s v="Burns"/>
    <s v="MI"/>
    <s v="Ben"/>
    <s v="Email"/>
    <s v="Nieman, Thomas"/>
    <m/>
    <x v="0"/>
    <s v="Pacific Palisades"/>
    <x v="1"/>
    <m/>
    <x v="5"/>
    <x v="1134"/>
    <x v="1576"/>
    <s v="TIV"/>
    <s v="1978 home w/updates in 2008. In brush w/ alarms. Nice online photos. Fenced pool."/>
    <x v="3"/>
    <s v="Confirm rating as in brush, per RiskMeter."/>
    <m/>
    <m/>
    <s v="Patterson"/>
    <m/>
    <m/>
    <n v="0"/>
  </r>
  <r>
    <x v="46"/>
    <s v="Hull Irvine"/>
    <s v="CA"/>
    <s v="Lucas"/>
    <s v="Email"/>
    <s v="Fields"/>
    <s v="Terrea"/>
    <x v="0"/>
    <s v="South Lake Tahoe"/>
    <x v="1"/>
    <m/>
    <x v="0"/>
    <x v="1135"/>
    <x v="1577"/>
    <s v="TIV"/>
    <s v="1981 home in PC4 non-brush zone with central station fire and burglar alarms."/>
    <x v="3"/>
    <s v="The home is an open foundation built on wooden piers. Waiting for confirmation of prior policy expiration of 10/2014. Confirmed there has not been a lapse. Approved subject to occupancy. They are stating primary but it appears they are there seasonally."/>
    <m/>
    <m/>
    <s v="Lazovik"/>
    <m/>
    <m/>
    <n v="0"/>
  </r>
  <r>
    <x v="439"/>
    <s v="Hull Irvine"/>
    <m/>
    <s v="Alison"/>
    <s v="Email"/>
    <s v="McFarlane, Dijon (DJ Mustard)"/>
    <m/>
    <x v="0"/>
    <s v="Chatsworth "/>
    <x v="1"/>
    <m/>
    <x v="8"/>
    <x v="1135"/>
    <x v="1578"/>
    <s v="High profile"/>
    <s v="Insured is rapper/songwriter/producer DJ Mustard 26 years old. Agent requesting without liability. No adverse online info."/>
    <x v="1"/>
    <s v="Decline property and liability due to nature of the risk. Pretty consistent w/other decisions."/>
    <m/>
    <m/>
    <s v="Patterson"/>
    <m/>
    <m/>
    <n v="1"/>
  </r>
  <r>
    <x v="441"/>
    <s v="Burns"/>
    <s v="MI"/>
    <s v="Matt"/>
    <s v="Email"/>
    <s v="Wilson, Darryl"/>
    <m/>
    <x v="2"/>
    <s v="Los Angeles CA PC2"/>
    <x v="3"/>
    <m/>
    <x v="0"/>
    <x v="1136"/>
    <x v="1579"/>
    <s v="TIV&gt;$2M"/>
    <s v="1953 fully updated home. Inspection drove it above authority. Inspection looks good-there are cones and string along exterior edge of insured home. "/>
    <x v="4"/>
    <s v="Approved subject to making sure there is nothing of concern with the cones. Turns out there was not. Road was being repaved."/>
    <m/>
    <m/>
    <s v="Patterson"/>
    <m/>
    <m/>
    <n v="0"/>
  </r>
  <r>
    <x v="479"/>
    <s v="Burns"/>
    <s v="MI"/>
    <s v="Jill"/>
    <s v="Email"/>
    <s v="Bilbrey"/>
    <s v="Michael"/>
    <x v="0"/>
    <s v="Edwardsville"/>
    <x v="4"/>
    <m/>
    <x v="4"/>
    <x v="1137"/>
    <x v="1580"/>
    <s v="TIV"/>
    <s v="1999 home with brand new wood shake roof. Central alarm per app. No alarm per PCQ. Online photos show animals and barn. Online check of insd name shows insured who is atty using home address and another attorney. Response time close to 15 min on 64 acres. Volunteer FD. 7.9 mi. 12 min drive time."/>
    <x v="0"/>
    <s v="Confirm 64 acres doesn't affect response. Alarms? Photos of animals? Business? Coml kitchen in barn?  If we proceed - not all uw questions are answered/All questions appropriately answered. Gave approval to release as long as all UW questions correctly answered. Kburdine"/>
    <s v="I'm okay with the losses - you have surcharged as well as applied a $25,000 AOP.  They have a new woodshake roof.  Even with a prior hail loss, a new roof should be somewhat resistant.  I checked the hail score and it is acceptable (2 in 3 years; 4 in 4 years)_x000a__x000a_"/>
    <n v="45"/>
    <s v="Patterson"/>
    <m/>
    <m/>
    <n v="0"/>
  </r>
  <r>
    <x v="160"/>
    <s v="Burns"/>
    <s v="MI"/>
    <s v="Jill"/>
    <s v="Email"/>
    <s v="The Estate of Richard Fagher"/>
    <m/>
    <x v="0"/>
    <s v="Akron"/>
    <x v="40"/>
    <m/>
    <x v="5"/>
    <x v="1138"/>
    <x v="1581"/>
    <s v="TIV"/>
    <s v="1990 dwelling w/some updates.  Home for sale, son living there. Father passed away) Alarms. Online photo shows diving board."/>
    <x v="3"/>
    <s v="Apply pool exclusion or remove diving board.  Sent photo."/>
    <m/>
    <n v="25"/>
    <s v="Patterson"/>
    <m/>
    <m/>
    <n v="0"/>
  </r>
  <r>
    <x v="136"/>
    <s v="Hull Irvine"/>
    <m/>
    <s v="Alison"/>
    <s v="Email"/>
    <s v="Zethraeus"/>
    <s v="Gary"/>
    <x v="7"/>
    <s v="Malibu"/>
    <x v="1"/>
    <m/>
    <x v="5"/>
    <x v="1139"/>
    <x v="1582"/>
    <s v="TIV"/>
    <s v="1982 home where main house and/or guest house may be rented, although this is considered the insured's primary. He has a seasonal as well. Agent restricting coverages, rating as a 3 family and adding 10% surcharge."/>
    <x v="3"/>
    <s v="Found a business at this location. Approve/subj to confirming no business. (May be old info - new purchase)"/>
    <m/>
    <m/>
    <s v="Patterson"/>
    <m/>
    <m/>
    <n v="0"/>
  </r>
  <r>
    <x v="161"/>
    <s v="Burns"/>
    <s v="MI"/>
    <s v="Leslie"/>
    <s v="Email"/>
    <s v="Becovic"/>
    <s v="Husein &amp; Ese"/>
    <x v="5"/>
    <s v="Phoenix"/>
    <x v="7"/>
    <m/>
    <x v="9"/>
    <x v="1140"/>
    <x v="24"/>
    <s v="TIV/Loss"/>
    <s v="1984 dwelling currently vacant. Had 2013 water loss (pool pipe leaked flooding basement) over $100K. Added $25K water ded. Nice inspection and online info. Roof updated in 2012. $10K AOP."/>
    <x v="0"/>
    <s v="Addl req to add PI, ID Fraud, ERC."/>
    <m/>
    <n v="23"/>
    <s v="Patterson"/>
    <m/>
    <m/>
    <n v="0"/>
  </r>
  <r>
    <x v="825"/>
    <s v="Hull Irvine"/>
    <s v="CA"/>
    <s v="Lisa"/>
    <m/>
    <s v="Johnson "/>
    <s v="Gary"/>
    <x v="0"/>
    <s v="Alamo"/>
    <x v="1"/>
    <s v="94507"/>
    <x v="8"/>
    <x v="1141"/>
    <x v="1583"/>
    <s v="TIV"/>
    <s v="Frame home with stucco built in 1990. No alarms or sprinklers. Concrete tile roof (1990)"/>
    <x v="4"/>
    <m/>
    <m/>
    <m/>
    <s v="Lazovik"/>
    <m/>
    <m/>
    <n v="0"/>
  </r>
  <r>
    <x v="481"/>
    <s v="Burns"/>
    <s v="MI"/>
    <s v="Delta"/>
    <s v="Email"/>
    <s v="Walton, Nathan"/>
    <m/>
    <x v="0"/>
    <s v="Malibu"/>
    <x v="1"/>
    <m/>
    <x v="5"/>
    <x v="1142"/>
    <x v="1576"/>
    <s v="TIV"/>
    <s v="1978 home updated in 2008. Alarm, no losses.  Not in brush. Retailer asked for $3M. Home sold for $6.9M. Requested Cov A = $414/SF. Okay."/>
    <x v="3"/>
    <s v="Approved subj to confirmation of no horses, and no future plans for &gt;4 (per guidelines)"/>
    <m/>
    <m/>
    <s v="Patterson"/>
    <m/>
    <m/>
    <n v="0"/>
  </r>
  <r>
    <x v="248"/>
    <s v="Burns"/>
    <s v="MI"/>
    <s v="Leslie"/>
    <s v="Email"/>
    <s v="Newcomer, Bette"/>
    <m/>
    <x v="21"/>
    <s v="Tahoe Vista CA PC4"/>
    <x v="3"/>
    <m/>
    <x v="0"/>
    <x v="1143"/>
    <x v="1584"/>
    <s v="TIV&gt;$3M"/>
    <s v="1980 home w/no updates. Has metal roof. In brush. SD alarms. No online info."/>
    <x v="3"/>
    <s v="Approved subject to not being within 20 miles of active wildfire. Also add cosmetic roof endorsement."/>
    <s v="Per Jeff, cosmetic roof is waived for CA."/>
    <m/>
    <s v="Patterson"/>
    <m/>
    <m/>
    <n v="0"/>
  </r>
  <r>
    <x v="815"/>
    <s v="Hull CA"/>
    <s v="Irvine"/>
    <s v="Alex"/>
    <s v="Email"/>
    <s v="Bonin, Andrew"/>
    <m/>
    <x v="0"/>
    <s v="Lake Elsinore CA PC4"/>
    <x v="3"/>
    <m/>
    <x v="0"/>
    <x v="1144"/>
    <x v="1585"/>
    <s v="TIV&gt;$3M"/>
    <s v="Build in 1990, in brush."/>
    <x v="4"/>
    <s v="Value in line."/>
    <m/>
    <m/>
    <s v="May"/>
    <m/>
    <m/>
    <n v="0"/>
  </r>
  <r>
    <x v="265"/>
    <s v="Hull CA"/>
    <s v="Irvine"/>
    <s v="Alison"/>
    <s v="Email"/>
    <s v="Zarnegin, Bo"/>
    <m/>
    <x v="5"/>
    <s v="Beverly Hills"/>
    <x v="1"/>
    <m/>
    <x v="9"/>
    <x v="1145"/>
    <x v="1586"/>
    <s v="$25K ded?"/>
    <s v="Agent wants to apply a $25K AOP ded. Due to high value, approved w/ a .78 factor - addl credit of 8%."/>
    <x v="4"/>
    <m/>
    <m/>
    <m/>
    <s v="Patterson"/>
    <m/>
    <m/>
    <n v="0"/>
  </r>
  <r>
    <x v="684"/>
    <s v="Hull Irvine"/>
    <s v="CA"/>
    <s v="Alison"/>
    <s v="Email"/>
    <s v="Zarnegin"/>
    <s v="Bo "/>
    <x v="2"/>
    <s v="Beverly Hills"/>
    <x v="1"/>
    <m/>
    <x v="9"/>
    <x v="1145"/>
    <x v="0"/>
    <s v="$25K ded?"/>
    <s v="1939 home w/updates, approved in 2016 when it was vacant. Now rented.  "/>
    <x v="4"/>
    <m/>
    <s v=" "/>
    <m/>
    <s v="Patterson"/>
    <m/>
    <m/>
    <n v="0"/>
  </r>
  <r>
    <x v="120"/>
    <s v="Hull Irvine"/>
    <m/>
    <s v="Melissa"/>
    <s v="Email"/>
    <s v="Matheny, Zachary"/>
    <m/>
    <x v="0"/>
    <s v="Los Angeles"/>
    <x v="1"/>
    <m/>
    <x v="8"/>
    <x v="1146"/>
    <x v="1296"/>
    <s v="Additional Insured"/>
    <s v="Agent wants ok to add AI which is family trust formed to purchase this property. Noticed online that risk has a flat roof. "/>
    <x v="3"/>
    <s v="Flat roof surcharge"/>
    <m/>
    <m/>
    <s v="Patterson"/>
    <m/>
    <m/>
    <n v="0"/>
  </r>
  <r>
    <x v="743"/>
    <s v="Hull CA"/>
    <s v="Irvine"/>
    <s v="Alison"/>
    <s v="Email"/>
    <s v="Hoyt"/>
    <m/>
    <x v="0"/>
    <m/>
    <x v="3"/>
    <m/>
    <x v="0"/>
    <x v="1146"/>
    <x v="1587"/>
    <s v="No alarms"/>
    <s v="Agent applied a 15K theft ded until insured got their alarms installed. Retail agent is asking if they can stay with that if insured doesn't want to install alarms."/>
    <x v="3"/>
    <s v="Advised they need to increase the AOP deductible also.  If they have both increased, we could continue. (Ok per guidelines.)"/>
    <m/>
    <m/>
    <s v="Patterson"/>
    <m/>
    <m/>
    <n v="0"/>
  </r>
  <r>
    <x v="724"/>
    <s v="Hull CA"/>
    <s v="Irvine"/>
    <s v="Alison"/>
    <s v="Email"/>
    <s v="Parsa, Atoussa"/>
    <m/>
    <x v="0"/>
    <s v="Los Angeles"/>
    <x v="1"/>
    <m/>
    <x v="5"/>
    <x v="1146"/>
    <x v="1588"/>
    <s v="TIV"/>
    <s v="In Renie brush.  2007 home, tile roof. Alarms."/>
    <x v="4"/>
    <m/>
    <m/>
    <m/>
    <s v="Patterson"/>
    <m/>
    <m/>
    <n v="0"/>
  </r>
  <r>
    <x v="86"/>
    <s v="Hull Irvine"/>
    <s v="CA"/>
    <s v="Alison"/>
    <s v="Email"/>
    <s v="Smith, Elizabeth"/>
    <m/>
    <x v="0"/>
    <s v="Malibu"/>
    <x v="1"/>
    <m/>
    <x v="4"/>
    <x v="1147"/>
    <x v="1589"/>
    <s v="PC10"/>
    <s v="1980 home w/alarms in low brush. Agt added 10% s/c for PC10. Found online reference to Kelly Blue Terrier Foundation at this address but couldn't find any detail."/>
    <x v="3"/>
    <s v="Investigate KBTF info found and verify no business use."/>
    <m/>
    <m/>
    <s v="Patterson"/>
    <m/>
    <m/>
    <n v="0"/>
  </r>
  <r>
    <x v="781"/>
    <s v="Burns"/>
    <s v="MI"/>
    <s v="Jeffrey"/>
    <m/>
    <s v="Carney"/>
    <s v="Patrick"/>
    <x v="4"/>
    <s v="Waterville Valley"/>
    <x v="52"/>
    <s v="03215"/>
    <x v="5"/>
    <x v="1148"/>
    <x v="1590"/>
    <s v="Losses"/>
    <s v="IS is B. Water loss (roof) due to ice dams ($53k) 2/17. No paid liability for contractor who fell 10/15, settled under WC. Liability for $167 bicycle accident (3/15). CSA for heat and burglar. Frame secondary home built in 1999. Do not see update to systems."/>
    <x v="3"/>
    <s v="Surcharge for 3 claims. Roof needs to be ACV due to age."/>
    <m/>
    <m/>
    <s v="Lazovik"/>
    <m/>
    <m/>
    <n v="0"/>
  </r>
  <r>
    <x v="800"/>
    <s v="Hull CA"/>
    <s v="CA"/>
    <s v="Alison"/>
    <s v="Email"/>
    <s v="Patsouras, Larry"/>
    <m/>
    <x v="133"/>
    <s v="Murietta"/>
    <x v="1"/>
    <m/>
    <x v="4"/>
    <x v="1149"/>
    <x v="1591"/>
    <s v="PC 10/Response time"/>
    <s v="The dwelling is currently insured with State Farm, but they are getting off the risk on12/7 due to the change in occupancy."/>
    <x v="1"/>
    <s v="Driving distance is 15 minutes, ran fireline as in brush-shows high. Since higher value TIV, not comfortable with high fireline at response time threshold"/>
    <m/>
    <m/>
    <s v="Burdine"/>
    <m/>
    <m/>
    <n v="1"/>
  </r>
  <r>
    <x v="613"/>
    <s v="JM Wilson"/>
    <s v="MI"/>
    <s v="Cheryl"/>
    <m/>
    <s v="Gaubert"/>
    <s v="Elizabeth &amp; Steve"/>
    <x v="0"/>
    <s v="New Albany"/>
    <x v="40"/>
    <s v="43054"/>
    <x v="2"/>
    <x v="1150"/>
    <x v="25"/>
    <s v="Prior Lapse/NRN"/>
    <s v="1998 home w/updates. Insd paid cash for home on 4/17/2019 and they didn't think about getting insurance. They realized they needed it an now have a lapse while checking around. No alarms "/>
    <x v="3"/>
    <s v="Need $10K ded for no alarms. Need signed statement. Existing damage excl. Complete uw questions on app. Just a few day lapse. Have seen this happen for cash purchases."/>
    <s v="I ran reports - very good ins scores "/>
    <m/>
    <s v="Patterson"/>
    <m/>
    <m/>
    <n v="0"/>
  </r>
  <r>
    <x v="143"/>
    <s v="Burns"/>
    <s v="MI"/>
    <s v="Jill &amp; Jeff"/>
    <s v="Email"/>
    <s v="Ohman"/>
    <s v="Laura &amp; Trudy"/>
    <x v="2"/>
    <s v="Big Bear"/>
    <x v="1"/>
    <m/>
    <x v="9"/>
    <x v="1151"/>
    <x v="1592"/>
    <s v="TIV"/>
    <s v="1980 home updated in 2013. Not in brush, $5K AOP. Nice online photos. STR quest confirms no seasonal use. Insd owns 3 properties total in the area."/>
    <x v="0"/>
    <s v="DP3. Online shows up for sale 5/27/17. Did insd buy or are they selling (may be an indication of financial concern)"/>
    <s v="Run ins score if home is for sale.  Jeff Leone sent duplicate submission.//8/9 ins score is very good. Approved."/>
    <n v="25"/>
    <s v="Patterson"/>
    <m/>
    <m/>
    <n v="0"/>
  </r>
  <r>
    <x v="214"/>
    <s v="Hull CA"/>
    <s v="Irvine"/>
    <s v="Alex"/>
    <s v="Call/Email"/>
    <s v="Ahmed, Naseem"/>
    <m/>
    <x v="0"/>
    <s v="Calabasas CA PC5"/>
    <x v="3"/>
    <m/>
    <x v="0"/>
    <x v="1152"/>
    <x v="1593"/>
    <s v="$1.2M Water Claim"/>
    <s v="Home completely updated in 2013. In 2012 had fire sprinkler pipe burst causing $1.2M in damages. Sprinkler has been completely replaced. Agent has expiring premium."/>
    <x v="0"/>
    <s v="Expiring premium $8k, this loss officially falls off. Proposed our prem of $6889 (20% s/c on the prem + charge for 1 claim.)"/>
    <m/>
    <m/>
    <s v="Patterson"/>
    <m/>
    <m/>
    <n v="0"/>
  </r>
  <r>
    <x v="322"/>
    <s v="Hull Irvine"/>
    <m/>
    <s v="Alex"/>
    <s v="Email"/>
    <s v="Martindale, Kenneth &amp; Evalina"/>
    <m/>
    <x v="0"/>
    <s v="Yorba Linda"/>
    <x v="1"/>
    <m/>
    <x v="37"/>
    <x v="1152"/>
    <x v="1570"/>
    <s v="TIV"/>
    <s v="2004 home in brush w/clearance. Has CS alarms. One UW ? Not answered.  Found &quot;Integris Financial&quot; online at this address.  New purchase 5/9/17, so this may not be the insured."/>
    <x v="3"/>
    <s v="Subj to uw? Answer; confirmation no business at this address"/>
    <m/>
    <m/>
    <s v="Patterson"/>
    <m/>
    <m/>
    <n v="0"/>
  </r>
  <r>
    <x v="764"/>
    <s v="Burns"/>
    <s v="MI"/>
    <s v="Jill"/>
    <s v="Email"/>
    <s v="Smith"/>
    <s v="W Sidney"/>
    <x v="0"/>
    <m/>
    <x v="8"/>
    <m/>
    <x v="5"/>
    <x v="1153"/>
    <x v="1594"/>
    <s v="Losses"/>
    <s v="open liab loss-involving their PUL-2016-Son DUI on ATV, caused death. Son no longer in house."/>
    <x v="3"/>
    <s v="Primary home only, no PUL"/>
    <m/>
    <m/>
    <s v="Burdine"/>
    <m/>
    <m/>
    <n v="0"/>
  </r>
  <r>
    <x v="443"/>
    <s v="Burns"/>
    <s v="MI"/>
    <s v="Delta"/>
    <s v="Email"/>
    <s v="Ennis Fam Realty LLC"/>
    <m/>
    <x v="2"/>
    <s v="Alpine"/>
    <x v="1"/>
    <m/>
    <x v="9"/>
    <x v="1154"/>
    <x v="1595"/>
    <s v="TIV"/>
    <s v="1964 home updated in 2007. Not in brush, no losses. Homeowners app, but email and details indicate this is a rental. No LLC form"/>
    <x v="3"/>
    <s v="Approved subject to acceptable LLC form (gave parameters) on a Dwelling Fire form."/>
    <m/>
    <m/>
    <s v="Patterson"/>
    <m/>
    <m/>
    <n v="0"/>
  </r>
  <r>
    <x v="826"/>
    <s v="Hull CA"/>
    <s v="Irvine"/>
    <s v="Alex"/>
    <s v="Email"/>
    <s v="Sobh, Mike"/>
    <m/>
    <x v="0"/>
    <s v="Escondido CA "/>
    <x v="3"/>
    <m/>
    <x v="0"/>
    <x v="1155"/>
    <x v="513"/>
    <s v="TIV"/>
    <s v="Built in 2004. Beautiful high end home. Declined by Chubb due to brush."/>
    <x v="4"/>
    <s v="Asked for PC, response time, RiskMeter.  App notes 52 weeks rented, asked Alex if this is an error. All checked out-low brush."/>
    <m/>
    <m/>
    <s v="Patterson"/>
    <m/>
    <m/>
    <n v="0"/>
  </r>
  <r>
    <x v="634"/>
    <s v="SCU"/>
    <s v="CO"/>
    <s v="Allison"/>
    <m/>
    <s v="Olesen"/>
    <s v="Mark"/>
    <x v="0"/>
    <s v="Agoura Hills"/>
    <x v="1"/>
    <s v="91301"/>
    <x v="11"/>
    <x v="1156"/>
    <x v="1596"/>
    <s v="Losses"/>
    <s v="Home has 3 losses in 2 years. 2017 hail (roof replaced). Open water from July. Water supply line burst. Expect items back in November. Water leak detection system and shut off valve installed. Ring over $39k with loss when diamond had a big chip and stone replaced. Frame home built in 1992, roof in 2017. CSFB alarm."/>
    <x v="1"/>
    <s v="Need to know where in the process repairs are. Decline if actual repairs not wrapped up due to concerns of other potential damage. UW document explains. We will insure as soon as confirmation of complete repairs. If they say they are painting, etc. then that will be fine. Everything needs to be cleaned up. Make sure existing damage and mold exclusion apply. Otherwise let them know that ring cannot be placed with us. Charge for losses. Have 1% wind/hail percentage. Increase to 2-3% due to frequency of losses."/>
    <m/>
    <m/>
    <s v="Lazovik"/>
    <m/>
    <m/>
    <n v="1"/>
  </r>
  <r>
    <x v="634"/>
    <s v="SCU"/>
    <s v="CO"/>
    <s v="Allison"/>
    <m/>
    <s v="Welker"/>
    <s v="Franklin"/>
    <x v="0"/>
    <s v="Agoura Hills"/>
    <x v="1"/>
    <s v="91301"/>
    <x v="11"/>
    <x v="1156"/>
    <x v="1597"/>
    <s v="TIV"/>
    <s v="Insured was the voice of scooby doo. Were NOC from Lloyd's as they are not monitored alarms. Live in property manager and a gated property. Looking at increased theft deductible, theft exclusion, higher AOP or additional surcharge. Built in 1942. In a brush zone."/>
    <x v="1"/>
    <s v="We do not accept homes in brush with TIV over $3M."/>
    <m/>
    <m/>
    <s v="Lazovik"/>
    <m/>
    <m/>
    <n v="1"/>
  </r>
  <r>
    <x v="778"/>
    <s v="Hull Horsham"/>
    <s v="PA"/>
    <s v="Tamika"/>
    <s v="Call/Email"/>
    <s v="Thompson"/>
    <s v="Michael &amp; Aldora"/>
    <x v="1"/>
    <s v="Piscataway"/>
    <x v="9"/>
    <m/>
    <x v="0"/>
    <x v="1157"/>
    <x v="0"/>
    <s v="Mid term builders risk"/>
    <s v="Renovation project started in 2015 stalled 6 months ago because insured's mother became ill. They used house funds to loan her $500K. She didn't understand they wanted repayment. They sued her. Litigation nearing the end. Unknown outcome. Unknown if funds are needed to restart construction. Dwelling is roughed in w/tarpaper and most windows boarded. Mrs is homemaker; Mr is trucker for Costco. They currently live in neighborhood. 2 mortgages Wells Fargo and Bayview Loan Servicing. Agents says constr is slated to pick up in September whether they get money or not. Curr carrier Franklin Mutual is nonrenewing eff 9/26. Tamika did not quote yet.  "/>
    <x v="1"/>
    <s v="What if litigation is not successful and they don't get the money back? How are they resuming construction?  Concern w/Cov A vs Mkt Val, google earth shows it in same condition for 10 months. Financial concern w/situation._x000a_"/>
    <s v="Ins score: 684/687 Michael’s occupation reported on app does not match credit report._x000a_Michael has 6 med bills in collection recently._x000a_Wells Fargo opened 8/05 $288K, pays late, past due now._x000a_Bayview opened 6/07 $125K, current//9/8/17 explained general information to Tamika and that we are not interested in writing this. // 10/10/17 Called back for reconsideration. Had more facts. Went through facts and photos. Then agt Tamika realized insured was acting as their own GC, so that kicked it out for us."/>
    <n v="95"/>
    <s v="Patterson"/>
    <m/>
    <m/>
    <n v="1"/>
  </r>
  <r>
    <x v="262"/>
    <s v="Hull CA"/>
    <s v="Irvine"/>
    <s v="Alex"/>
    <s v="Email"/>
    <s v="Hopeck"/>
    <m/>
    <x v="1"/>
    <m/>
    <x v="3"/>
    <m/>
    <x v="0"/>
    <x v="1157"/>
    <x v="0"/>
    <s v="Personal Prop"/>
    <s v="COC Renovation - remodeling kitchen and bath, adding 1700 SF. Insd staying next door in guest house of neighbor.  $80K pp kept in master bedroom. $5K ded. Fenced, CS fire and burglar. "/>
    <x v="4"/>
    <m/>
    <m/>
    <m/>
    <s v="Patterson"/>
    <m/>
    <m/>
    <n v="0"/>
  </r>
  <r>
    <x v="715"/>
    <s v="Burns"/>
    <s v="MI"/>
    <s v="Delta"/>
    <s v="Email"/>
    <s v="Yang, Guang"/>
    <m/>
    <x v="2"/>
    <s v="Monterey"/>
    <x v="1"/>
    <m/>
    <x v="9"/>
    <x v="1157"/>
    <x v="1560"/>
    <s v="TIV"/>
    <s v="2002 home full time rental by acctg manager at golf club. Insured is club owner; lives in China; this is his home. Was on coml policy-needs to move since it is now a rental."/>
    <x v="3"/>
    <s v="Prem liab only. Confirm there is a property manager to handle maintenance."/>
    <m/>
    <m/>
    <s v="Patterson"/>
    <m/>
    <m/>
    <n v="0"/>
  </r>
  <r>
    <x v="464"/>
    <s v="Burns"/>
    <s v="MI"/>
    <s v="Jill"/>
    <s v="Email"/>
    <s v="Barbara Fasken 1995 Trust"/>
    <m/>
    <x v="2"/>
    <s v="St Helena"/>
    <x v="1"/>
    <m/>
    <x v="9"/>
    <x v="1157"/>
    <x v="1598"/>
    <s v="TIV"/>
    <s v="1992 frame home not in brush. 52 week rental. No trust form. App not complete."/>
    <x v="3"/>
    <s v="Trust form, complete app"/>
    <m/>
    <m/>
    <s v="Patterson"/>
    <m/>
    <m/>
    <n v="0"/>
  </r>
  <r>
    <x v="179"/>
    <s v="Burns"/>
    <s v="MI"/>
    <s v="Jeff"/>
    <s v="Email"/>
    <s v="Ip"/>
    <s v="Tze Hung &amp; Melissa Locke"/>
    <x v="0"/>
    <s v="Los Angeles"/>
    <x v="1"/>
    <m/>
    <x v="11"/>
    <x v="1157"/>
    <x v="1525"/>
    <s v="TIV"/>
    <s v="2001 home, nice online photos. No losses. $5K AOP flat roof."/>
    <x v="4"/>
    <m/>
    <m/>
    <m/>
    <s v="Patterson"/>
    <m/>
    <m/>
    <n v="0"/>
  </r>
  <r>
    <x v="827"/>
    <s v="Hull CA"/>
    <s v="CA"/>
    <s v="Alison"/>
    <s v="Email"/>
    <s v="Shomof, Izek"/>
    <m/>
    <x v="0"/>
    <s v="Beverly Hills CA PC4"/>
    <x v="3"/>
    <m/>
    <x v="0"/>
    <x v="1157"/>
    <x v="1599"/>
    <s v="TIV&gt;$3M PC10"/>
    <s v="2011 home high brush zone. "/>
    <x v="4"/>
    <m/>
    <m/>
    <m/>
    <s v="Trott"/>
    <m/>
    <m/>
    <n v="0"/>
  </r>
  <r>
    <x v="6"/>
    <s v="SCU"/>
    <s v="CO"/>
    <s v="Allison"/>
    <m/>
    <s v="Echo Arch, LLC"/>
    <m/>
    <x v="0"/>
    <s v="Aspen"/>
    <x v="19"/>
    <s v="81611"/>
    <x v="2"/>
    <x v="1157"/>
    <x v="33"/>
    <s v="TIV"/>
    <s v="2019 new build with 2 week lapse since construction completed. 10% surcharge applied by agt. Prem liab. In name of insd business LLC. Architectural firm in Steamboat. No business on premises, but applied TBE. Prem liab and no pers injury will be provided. $10K ded ok in lieu of alarms - has CSB, checking on CSF. 2 small prior losses at other locations. "/>
    <x v="3"/>
    <s v="Short lapse. 10% surcharge. Need Corp/LLC/Trust app. New build. One prior loss involves insd dog damaging friends purse. Animal liability will be excluded.  Approved rate indication and asked for reason for lapse to approve formal terms. // 5/2/19 MP Per Alison, lapse due to:  insd advised prior agt constr was done and they wouldn't respond - insd switched agts."/>
    <s v="738 ins score - lessens concern about small prior losses. "/>
    <m/>
    <s v="Patterson"/>
    <m/>
    <m/>
    <n v="0"/>
  </r>
  <r>
    <x v="683"/>
    <s v="Burns"/>
    <s v="MI"/>
    <s v="Jill"/>
    <s v="Email"/>
    <s v="Rohani, Roya"/>
    <m/>
    <x v="98"/>
    <s v="Irvine "/>
    <x v="1"/>
    <m/>
    <x v="2"/>
    <x v="1157"/>
    <x v="1600"/>
    <s v="TIV/Lapse"/>
    <s v="2005 home, not in brush w/alarms. Seasonal w/3-6 mo rental. 30 day lapse in coverage."/>
    <x v="3"/>
    <s v="Acceptable reason for lapse and signed no loss letter."/>
    <m/>
    <m/>
    <s v="Patterson"/>
    <m/>
    <m/>
    <n v="0"/>
  </r>
  <r>
    <x v="250"/>
    <s v="Hull CA"/>
    <s v="Irvine"/>
    <s v="Alison"/>
    <s v="Email"/>
    <s v="Bassage, James"/>
    <m/>
    <x v="0"/>
    <s v="Santa Barbara CA PC10"/>
    <x v="1"/>
    <m/>
    <x v="4"/>
    <x v="1157"/>
    <x v="1601"/>
    <s v="PC10"/>
    <s v="2008 home alarmed in high brush zone per RM and FL. (FL is High 12 w/med-heavy fuels, steep, no access problems). Metal roof.  12 minute response time."/>
    <x v="3"/>
    <s v="Need PC Questionnaire.  Confirm central station alarms as app does not address.  Newer home, alarmed, 12 min response."/>
    <m/>
    <m/>
    <s v="Patterson"/>
    <m/>
    <m/>
    <n v="0"/>
  </r>
  <r>
    <x v="71"/>
    <s v="Hull Irvine"/>
    <m/>
    <s v="Alex"/>
    <s v="Email"/>
    <s v="Cunningham, Sean &amp; Marla"/>
    <m/>
    <x v="0"/>
    <s v="Coronado"/>
    <x v="1"/>
    <m/>
    <x v="8"/>
    <x v="1157"/>
    <x v="1602"/>
    <s v="TIV"/>
    <s v="1915 home updated several times, full system in 2008. Unknown if alarms - if not $10K ded applies. Agent asking if we would drop to $6,000 if there are alarms (Lloyds). Q#8 (fraud, bribery, arson) and Q#4 (animals) not answered. App states historical - no info."/>
    <x v="3"/>
    <s v="Subj to completed app with UW ? Answered. Not on historical registry and no tours."/>
    <m/>
    <m/>
    <s v="Patterson"/>
    <m/>
    <m/>
    <n v="0"/>
  </r>
  <r>
    <x v="333"/>
    <s v="Burns"/>
    <s v="MI"/>
    <s v="Jill"/>
    <s v="Email"/>
    <s v="THE DANA R STONE REVOCABLE TRU"/>
    <m/>
    <x v="2"/>
    <s v="Tahoma"/>
    <x v="1"/>
    <m/>
    <x v="5"/>
    <x v="1157"/>
    <x v="1602"/>
    <s v="TIV"/>
    <s v="Frame, PC4, built in 1999, marked as tenant (appears to be only used as str), no brush, no losses, located in CA; log home, held in two trusts"/>
    <x v="4"/>
    <s v="RM OK, log home and trust questionnaires OK. "/>
    <m/>
    <m/>
    <s v="K.Burdine"/>
    <m/>
    <m/>
    <n v="0"/>
  </r>
  <r>
    <x v="127"/>
    <s v="Burns"/>
    <s v="MI"/>
    <s v="Alexa"/>
    <s v="Email"/>
    <s v="White, Scott"/>
    <m/>
    <x v="0"/>
    <s v="Fishers"/>
    <x v="17"/>
    <m/>
    <x v="5"/>
    <x v="1157"/>
    <x v="1603"/>
    <s v="TIV"/>
    <s v="2002 home w/ alarms. New purchase. Good online photos. Insd is property management co owner."/>
    <x v="4"/>
    <m/>
    <m/>
    <m/>
    <s v="Patterson"/>
    <m/>
    <m/>
    <n v="0"/>
  </r>
  <r>
    <x v="484"/>
    <s v="Hull CA"/>
    <s v="Stockton"/>
    <s v="Kirk"/>
    <s v="Email"/>
    <s v="Martin, Noreen"/>
    <m/>
    <x v="21"/>
    <s v="Truckee CA PC5"/>
    <x v="3"/>
    <m/>
    <x v="0"/>
    <x v="1157"/>
    <x v="1604"/>
    <s v="TIV&gt;$3M"/>
    <s v="2016 new purchase. Med brush. Fully alarmed and sprinklered. Insured is owner of Elite Hotel Stay company."/>
    <x v="4"/>
    <s v="Asked Kirk how we are looking against competition. He took 5% credit. Might even consider a bit more to get this risk."/>
    <m/>
    <m/>
    <s v="Patterson"/>
    <m/>
    <m/>
    <n v="0"/>
  </r>
  <r>
    <x v="828"/>
    <s v="Burns"/>
    <s v="MI"/>
    <s v="Danielle"/>
    <s v="Email"/>
    <s v="Martin, Noreen"/>
    <m/>
    <x v="21"/>
    <s v="Truckee CA PC 5"/>
    <x v="3"/>
    <m/>
    <x v="0"/>
    <x v="1157"/>
    <x v="1605"/>
    <s v="TIV&gt;$3M"/>
    <s v="2016 new purchase/build. Med brush. Fully alarmed and sprinklered. Insured is owner of Martin Resorts."/>
    <x v="4"/>
    <s v=" "/>
    <m/>
    <m/>
    <s v="Patterson"/>
    <m/>
    <m/>
    <n v="0"/>
  </r>
  <r>
    <x v="122"/>
    <s v="Burns"/>
    <s v="MI"/>
    <s v="Jill"/>
    <s v="Email"/>
    <s v="Willis, Nelson"/>
    <m/>
    <x v="7"/>
    <s v="Santa Barbara"/>
    <x v="1"/>
    <m/>
    <x v="2"/>
    <x v="1157"/>
    <x v="1333"/>
    <s v="TIV"/>
    <s v="1949 home updated. No alarms. Guest house rented out to long term tenant. App says WBS. In brush."/>
    <x v="3"/>
    <s v="• Confirmation of whether there is a woodburning stove, and if so, complete and acceptable questionnaire is required_x000a_• EHP supplement - we will review RC on back end (per procedures)_x000a_• Addition of central station fire and burglar alarms, or information explaining protection and why they would not be necessary.  This looks somewhat rural.  We typically like to see alarms for $2M TIV and above, or explanation why they are not needed._x000a_"/>
    <m/>
    <m/>
    <s v="Patterson"/>
    <m/>
    <m/>
    <n v="0"/>
  </r>
  <r>
    <x v="541"/>
    <s v="Burns"/>
    <s v="MI"/>
    <s v="Ben"/>
    <s v="Email"/>
    <s v="Hossepian, Anita"/>
    <m/>
    <x v="0"/>
    <s v="Rancho Santa Fe PC3"/>
    <x v="3"/>
    <m/>
    <x v="0"/>
    <x v="1157"/>
    <x v="1333"/>
    <s v="TIV&gt;$3M"/>
    <s v="2001 frame home in brush. Googled address and 2 business names come up at this address."/>
    <x v="0"/>
    <s v="Asked questions about business on property. Also, this will be subj to 150' brush clearance."/>
    <s v="No business on property.  Approved."/>
    <m/>
    <s v="Patterson"/>
    <m/>
    <m/>
    <n v="0"/>
  </r>
  <r>
    <x v="663"/>
    <s v="Burns"/>
    <s v="MI"/>
    <s v="Alison"/>
    <s v="Email"/>
    <s v="Taback"/>
    <s v="Michael"/>
    <x v="0"/>
    <s v="Leona Valley"/>
    <x v="1"/>
    <m/>
    <x v="13"/>
    <x v="1157"/>
    <x v="1606"/>
    <s v="TIV"/>
    <s v="Built in 1992, the home has csa for fire, temperature and burglary. Roof does not appear to have been updated since it was built. Frame home. 80361 sq feet."/>
    <x v="3"/>
    <s v="Review inspection thoroughly. Confirm address (looks like last two numbers transposed. Roof may need ACV"/>
    <m/>
    <m/>
    <s v="Lazovik"/>
    <m/>
    <m/>
    <n v="0"/>
  </r>
  <r>
    <x v="41"/>
    <s v="Hull Stockton"/>
    <s v="CA"/>
    <s v="Lisa"/>
    <s v="Email"/>
    <s v="Walton"/>
    <s v="Teresa"/>
    <x v="0"/>
    <s v="Whittier"/>
    <x v="1"/>
    <m/>
    <x v="8"/>
    <x v="1158"/>
    <x v="1607"/>
    <s v="TIV"/>
    <s v="Primary home, $10K ded, no losses, in brush"/>
    <x v="1"/>
    <s v="over $3M in brush"/>
    <m/>
    <m/>
    <s v="Burdine"/>
    <m/>
    <m/>
    <n v="1"/>
  </r>
  <r>
    <x v="42"/>
    <s v="Hull Charlotte"/>
    <s v="NC"/>
    <s v="Lawanda"/>
    <s v="Email"/>
    <s v="Brown"/>
    <s v="Tony"/>
    <x v="0"/>
    <s v="Davidson"/>
    <x v="11"/>
    <m/>
    <x v="6"/>
    <x v="1159"/>
    <x v="1608"/>
    <s v="TIV"/>
    <s v="2005 dwelling nonrenewed by AIG due to 2 water losses. 11/17 $22K  7/18 $22K both were icemaker lines in 2 separate areas of house. Rated as masonry, but app states veneer. Rated as PC3, apps indicate 9."/>
    <x v="2"/>
    <s v="Adjust rating to wood, PC9 and resubmit.  $25,000 water damage deductible - high valued home and 2 similar losses."/>
    <m/>
    <m/>
    <s v="Patterson"/>
    <m/>
    <m/>
    <n v="0"/>
  </r>
  <r>
    <x v="129"/>
    <s v="Burns"/>
    <s v="MI"/>
    <s v="Danielle"/>
    <s v="Email"/>
    <s v="Brown, Charles BWH104677"/>
    <m/>
    <x v="0"/>
    <s v="Carbondale"/>
    <x v="19"/>
    <m/>
    <x v="2"/>
    <x v="1160"/>
    <x v="1609"/>
    <s v="TIV/Prior loss"/>
    <s v="This is a Markel renewal that did not get referred at NB.  2003 home with alarms. Caretaker home appears to be insured but app says separate property address. Insp shows water damage in basement. No note if this is repaired. Prior loss was to caretaker home $140K water damage. (Utilities not turned on in error - insd didn't realize it was a separate addr.)"/>
    <x v="0"/>
    <s v="Asked Danielle about caretaker home. Separate address should be separate property?  Asked if water damage in main home basement is repaired?// 7/19/17 caretaker home on same property. Approved pending confirmation of water damage repair."/>
    <m/>
    <m/>
    <s v="Patterson"/>
    <m/>
    <m/>
    <n v="0"/>
  </r>
  <r>
    <x v="567"/>
    <s v="Hull CA"/>
    <s v="Stockton"/>
    <s v="Lisa"/>
    <s v="Email"/>
    <s v="Vlasyuk, Elena"/>
    <m/>
    <x v="2"/>
    <s v="Los Angeles CA PC2"/>
    <x v="3"/>
    <m/>
    <x v="0"/>
    <x v="1161"/>
    <x v="1610"/>
    <s v="TIV&gt;$3M"/>
    <s v="2006 full time rental. In brush. Alarms. Insured is a Real Estate Broker. No signs of this currently being for sale online. Nice photo on google."/>
    <x v="4"/>
    <m/>
    <m/>
    <m/>
    <s v="Patterson"/>
    <m/>
    <m/>
    <n v="0"/>
  </r>
  <r>
    <x v="293"/>
    <s v="Hull CA"/>
    <s v="Stockton"/>
    <s v="Lisa"/>
    <s v="Email"/>
    <s v="Friedlinghaus, Ryan"/>
    <m/>
    <x v="0"/>
    <s v="Bell Canyon"/>
    <x v="1"/>
    <m/>
    <x v="2"/>
    <x v="1162"/>
    <x v="1611"/>
    <s v="TIV"/>
    <s v="2006 home. Per online search, insured is owner of West Coast Customs - 5 years ago had MTV show &quot;Pimp My Ride&quot;. In brush, 2013 app okay. No losses."/>
    <x v="3"/>
    <s v="Subj to new app. Advised agent who insured is. Reviewed briefly w/Louisa and no concern with liab coverage. Insured not too famous."/>
    <m/>
    <m/>
    <s v="Patterson"/>
    <m/>
    <m/>
    <n v="0"/>
  </r>
  <r>
    <x v="76"/>
    <s v="Burns"/>
    <s v="MI"/>
    <s v="Leslie"/>
    <s v="Email"/>
    <s v="Begley, Robert"/>
    <m/>
    <x v="2"/>
    <s v="Napa"/>
    <x v="1"/>
    <m/>
    <x v="3"/>
    <x v="1163"/>
    <x v="1612"/>
    <s v="TIV"/>
    <s v="2005 home no losses. Agent wants &quot;deluxe&quot; coverages."/>
    <x v="4"/>
    <m/>
    <m/>
    <m/>
    <s v="Patterson"/>
    <m/>
    <m/>
    <n v="0"/>
  </r>
  <r>
    <x v="728"/>
    <s v="SCU"/>
    <s v="CO"/>
    <s v="Ashley"/>
    <m/>
    <s v="Gerhardt"/>
    <s v="David"/>
    <x v="0"/>
    <s v="Breckenridge"/>
    <x v="19"/>
    <s v="80242"/>
    <x v="5"/>
    <x v="1164"/>
    <x v="1613"/>
    <s v="TIV"/>
    <s v="2004 log home. Nice online pics, no hazards. Home will be titled in name of LLC. Agt added prem liab and will get corp quest."/>
    <x v="3"/>
    <s v="Offered option of writing in individual name with LLC as AI, then could give personal liab vs. prem.  Verify Cov A-seems low for log."/>
    <m/>
    <m/>
    <s v="Patterson"/>
    <m/>
    <m/>
    <n v="0"/>
  </r>
  <r>
    <x v="739"/>
    <s v="Burns"/>
    <s v="MI"/>
    <s v="Alexa"/>
    <s v="Email"/>
    <s v="Hu, Wei; Ge, Zhe Yong"/>
    <m/>
    <x v="14"/>
    <s v="New Castle"/>
    <x v="13"/>
    <m/>
    <x v="8"/>
    <x v="1165"/>
    <x v="1614"/>
    <s v="TIV"/>
    <s v="Seasonal, WA, 2006 built, frame, no alarms, no losses. New US home purchase by applicant, will be returning to China for a couple of months then use this home as primary"/>
    <x v="4"/>
    <s v="Approve, suggest alarm installation (central alarms noted on app)"/>
    <s v="Agt f/u that alarms are in home"/>
    <m/>
    <s v="K.Burdine"/>
    <m/>
    <m/>
    <n v="0"/>
  </r>
  <r>
    <x v="224"/>
    <s v="Hull CA"/>
    <s v="Stockton"/>
    <s v="Lisa"/>
    <s v="Email"/>
    <s v="Cohanghadosk, Sharokh"/>
    <m/>
    <x v="0"/>
    <s v="Calabasas CA PC4"/>
    <x v="3"/>
    <m/>
    <x v="0"/>
    <x v="1166"/>
    <x v="1615"/>
    <s v="TIV&gt;$3M"/>
    <s v="1991 home not in brush, gated, 24 hour security, primary residence. Chubb NRN due to no alarm. We require higher ded if no alarm. Agent quoted with $10K ded."/>
    <x v="4"/>
    <m/>
    <m/>
    <m/>
    <s v="Patterson"/>
    <m/>
    <m/>
    <n v="0"/>
  </r>
  <r>
    <x v="488"/>
    <s v="SCU"/>
    <s v="CO"/>
    <s v="Ashley"/>
    <m/>
    <s v="Rodell"/>
    <s v="Timothy C &amp; Marjorie "/>
    <x v="3"/>
    <s v="Aspen"/>
    <x v="19"/>
    <s v="81611"/>
    <x v="5"/>
    <x v="1167"/>
    <x v="1616"/>
    <s v="TIV"/>
    <s v="1965 home w/ updates. Rented short term for 1 month increments when insd goes to their GA seasonal. Metal roof-cosmetic roof applied."/>
    <x v="3"/>
    <s v="Advised to correct rate to s/c for the STR (will add appx 12%). Need OHQ. 1 month rentals w/prop mgt co indicates stable situation. Beautiful A-frame property per pics online."/>
    <m/>
    <m/>
    <s v="Patterson"/>
    <m/>
    <m/>
    <n v="0"/>
  </r>
  <r>
    <x v="787"/>
    <s v="Burns"/>
    <s v="MI"/>
    <s v="Danielle"/>
    <s v="Email"/>
    <s v="Miller"/>
    <s v="Carolyn"/>
    <x v="143"/>
    <s v="Wilson"/>
    <x v="51"/>
    <m/>
    <x v="2"/>
    <x v="1168"/>
    <x v="1617"/>
    <s v="TIV"/>
    <s v="Vacant home, no losses, PC OK"/>
    <x v="4"/>
    <s v="all info acceptable"/>
    <m/>
    <m/>
    <s v="K.Burdine"/>
    <m/>
    <m/>
    <n v="0"/>
  </r>
  <r>
    <x v="51"/>
    <s v="Burns"/>
    <s v="MI"/>
    <s v="David"/>
    <s v="Email"/>
    <s v="Stodder"/>
    <s v="Eric"/>
    <x v="0"/>
    <s v="Laguna Beach"/>
    <x v="1"/>
    <m/>
    <x v="5"/>
    <x v="1169"/>
    <x v="1618"/>
    <s v="Other UW Reason"/>
    <s v="Home referred because it was built using RASTRA. Rated as masonry. Built in 2002. IS is A."/>
    <x v="3"/>
    <s v="Looks like a good risk online. RASTRA is insulated concrete forms. Rating as masonry makes sense. Ask to confirm the risk is not in brush. Surcharge if it is."/>
    <m/>
    <m/>
    <s v="Lazovik"/>
    <m/>
    <m/>
    <n v="0"/>
  </r>
  <r>
    <x v="649"/>
    <s v="Burns"/>
    <s v="MI"/>
    <s v="Alexa"/>
    <m/>
    <s v="Gessner Property Investment"/>
    <m/>
    <x v="4"/>
    <s v="Walker"/>
    <x v="31"/>
    <s v="56484"/>
    <x v="4"/>
    <x v="1170"/>
    <x v="1619"/>
    <s v="Occupancy/Use"/>
    <s v="2004 home 10.9 mi from FD. Agt interviewed FD contact who confirms 15 min response. Did not adjust rate. Insd wants corp as named insd. $10K ded. Use by 4 members of corp as seasonal only, no rental."/>
    <x v="3"/>
    <s v="Per guidelines, corp name ok w/ prem liab only. Resp time confirmed by FD. Subj to confirming 4 members only (all are family), no rental, no reward/incentive."/>
    <m/>
    <m/>
    <s v="Patterson"/>
    <m/>
    <m/>
    <n v="0"/>
  </r>
  <r>
    <x v="138"/>
    <s v="ASL"/>
    <s v="VA"/>
    <s v="Charity"/>
    <s v="Email"/>
    <s v="Olsen"/>
    <s v="Nels &amp; Kristen"/>
    <x v="16"/>
    <m/>
    <x v="29"/>
    <m/>
    <x v="5"/>
    <x v="1171"/>
    <x v="1620"/>
    <s v="TIV"/>
    <s v="online submission, Built in 1948, updates in 2004, AOP $10K, central alarms/sprinklers in home, no losses"/>
    <x v="3"/>
    <s v="Approved subject to confirmation of Cov A amount w/ RCE if not already completed. Market value around $4.5 mil for this home per online review, so want to be sure not an applicant generated Cov A amount."/>
    <m/>
    <m/>
    <s v="K.Burdine"/>
    <m/>
    <m/>
    <n v="0"/>
  </r>
  <r>
    <x v="626"/>
    <s v="Hull CA"/>
    <s v="Irvine"/>
    <s v="Alex"/>
    <s v="Email"/>
    <s v="Larson, Thomas"/>
    <m/>
    <x v="0"/>
    <s v="Mill Valley  "/>
    <x v="1"/>
    <m/>
    <x v="9"/>
    <x v="1172"/>
    <x v="1621"/>
    <s v="TIV"/>
    <s v="1904 home gutted in 2014-revised constr year. Alarms. Clean. No online info."/>
    <x v="4"/>
    <m/>
    <m/>
    <m/>
    <s v="Patterson"/>
    <m/>
    <m/>
    <n v="0"/>
  </r>
  <r>
    <x v="469"/>
    <s v="SCU"/>
    <s v="CO"/>
    <s v="Allison"/>
    <s v="Email"/>
    <s v="Remmert"/>
    <s v="Stephen &amp; Sarah"/>
    <x v="0"/>
    <s v="Boulder"/>
    <x v="19"/>
    <m/>
    <x v="2"/>
    <x v="1172"/>
    <x v="1622"/>
    <s v="TIV"/>
    <s v="2013 asphalt/rubber roof; 1995 build, desired $5K ded ; has a fire suppression system.  They have 2 dogs, no bite history, and no dangerous breeds.  "/>
    <x v="3"/>
    <s v="No activating CSFB alarm, so advised need but need to add a $10,000 theft deductible along with the surcharge (agt suggest 5%) and $10,000 AOP deductible."/>
    <m/>
    <m/>
    <s v="Burdine"/>
    <m/>
    <m/>
    <n v="0"/>
  </r>
  <r>
    <x v="565"/>
    <s v="Hull Horsham"/>
    <s v="CA"/>
    <s v="Lisa"/>
    <s v="Email"/>
    <s v="Friedlinghaus"/>
    <s v="Ryan &amp; Megan"/>
    <x v="0"/>
    <s v="Bell Canyon"/>
    <x v="1"/>
    <m/>
    <x v="2"/>
    <x v="1173"/>
    <x v="1623"/>
    <s v="Renewal-TIV"/>
    <s v="HUCAH150001490-renewal"/>
    <x v="4"/>
    <s v="renewal OK-ISO, RM, Inspection acceptable"/>
    <m/>
    <m/>
    <s v="Burdine"/>
    <m/>
    <m/>
    <n v="0"/>
  </r>
  <r>
    <x v="360"/>
    <s v="Hull CO"/>
    <s v="Horsham"/>
    <s v="Nichole"/>
    <s v="Email"/>
    <s v="Monks, David"/>
    <m/>
    <x v="2"/>
    <s v="Cape Neddick ME  PC4"/>
    <x v="3"/>
    <m/>
    <x v="0"/>
    <x v="1174"/>
    <x v="1624"/>
    <s v="TIV &gt;$3M"/>
    <s v="1995 home weekly rental and for sale. Agent applied 5% debit.  No alarms. Roof exclusion will apply."/>
    <x v="2"/>
    <s v="Want to either require alarms or up ded due to no alarms.  "/>
    <m/>
    <m/>
    <s v="Patterson"/>
    <m/>
    <m/>
    <n v="0"/>
  </r>
  <r>
    <x v="762"/>
    <s v="Hull Irvine"/>
    <s v="CA"/>
    <s v="Gina"/>
    <m/>
    <s v="Bayless"/>
    <s v="Teresa"/>
    <x v="0"/>
    <s v="San Juan Capistrano"/>
    <x v="1"/>
    <n v="92675"/>
    <x v="9"/>
    <x v="1175"/>
    <x v="1625"/>
    <s v="TIV"/>
    <s v="Frame home with stucco siding and brick built in 1989. Copper plumbing throughout.CSA for smoke, burglar and sprinklers."/>
    <x v="4"/>
    <s v="Full sprinkler protection with full CSA. Was not given brush information."/>
    <m/>
    <m/>
    <s v="Lazovik"/>
    <m/>
    <m/>
    <n v="0"/>
  </r>
  <r>
    <x v="282"/>
    <s v="Hull CA"/>
    <s v="CA"/>
    <s v="Bobbi"/>
    <s v="Email"/>
    <s v="Gholian, Navid &amp; Otila"/>
    <m/>
    <x v="0"/>
    <s v="Los Angeles"/>
    <x v="1"/>
    <m/>
    <x v="8"/>
    <x v="1176"/>
    <x v="0"/>
    <s v="TIV &gt;3 MIL"/>
    <s v="Lexington renewal, acceptable inspection attached; 2005 build year, PC 2 in brush with alarm. "/>
    <x v="4"/>
    <s v="RM, PC OK. Fireline high, but based on monitored alarm, FD 2 miles and overall risk approving as quoted"/>
    <m/>
    <m/>
    <s v="Burdine"/>
    <m/>
    <m/>
    <n v="0"/>
  </r>
  <r>
    <x v="658"/>
    <s v="Burns"/>
    <s v="MI"/>
    <s v="Danielle"/>
    <s v="Email"/>
    <s v="Potter"/>
    <s v="Kristen"/>
    <x v="21"/>
    <s v="Lake Arrowhead"/>
    <x v="1"/>
    <m/>
    <x v="5"/>
    <x v="1177"/>
    <x v="1626"/>
    <s v="TIV"/>
    <s v="1980 home w/updated roof. Alarms, in brush. Online shows this individual as possible actress, but not a concern, not that high profile. "/>
    <x v="3"/>
    <s v="Confirm year of construction - online and app shows 1938. Email shows 1980. Possibly gut/remodel?"/>
    <m/>
    <m/>
    <s v="Patterson"/>
    <m/>
    <m/>
    <n v="0"/>
  </r>
  <r>
    <x v="323"/>
    <s v="Hull Irvine"/>
    <s v="CA"/>
    <s v="Alison"/>
    <s v="Email"/>
    <s v="John Stiegler Trust"/>
    <m/>
    <x v="7"/>
    <s v="Malibu"/>
    <x v="1"/>
    <m/>
    <x v="0"/>
    <x v="1177"/>
    <x v="1570"/>
    <s v="TIV"/>
    <s v="Not in brush. Very nice Malibu risk. Found online reference to a surfing business at this address with pics of customers on the home deck w/their boards. "/>
    <x v="0"/>
    <s v="Asked numerous business questions.  If all clears could offer terms x-liability, Total Business Exclusion, require GL.// Turns out this is the father's property and the son USED TO hold surfing training there. That is no longer the case - he teaches at Trancas per retailer/insured.  I approved subj to the TBE since there is/was a website with the insured's address."/>
    <s v="Very nice risk.  We have in writing that the lessons are not at this property.  TBE is a precaution."/>
    <m/>
    <s v="Patterson"/>
    <m/>
    <m/>
    <n v="0"/>
  </r>
  <r>
    <x v="400"/>
    <s v="SCU"/>
    <s v="CO"/>
    <s v="Allison"/>
    <m/>
    <s v="Hansen"/>
    <s v="Nick"/>
    <x v="0"/>
    <s v="Castle Rock"/>
    <x v="19"/>
    <s v="80108"/>
    <x v="9"/>
    <x v="1178"/>
    <x v="1627"/>
    <s v="TIV"/>
    <s v="2002 year built with a 2012 hail claim that was $24k and a 2017 hail claim for $5,000. Home is for sale but is still primary. Have not had to replace roof due to it being resistant tile. Agent applied 1% w/h deductible, added ACV roof. Prefers not to exclude roof, but rather surcharge and apply ACV. "/>
    <x v="3"/>
    <s v="Approving subject to an additional surcharge. I think ACV roof is fine given 2002 age, unless roof is in very poor condition. SCU stated they have room to go up about $600 on the premium, which would be about an 8% surcharge. UPDATE 3/19/2019: Allison came back with an updated CLUE and there is a water loss from 10/2018 for $125,000 water line leak in upstairs bathroom. Claim is technically still open, waiting for final payouts, but all damages have been 100% repaired. Allison also asked if she could remove the ACV roof since it is tile. Approved with $25k water deductible and removing the ACV roof.  UPDATE 3/21/2019: revised info from agent advising that there are actually two water losses 10/2018 and 1/2019. Damage was found in other areas during repair of the 10/2018 claim. Looked to be poor installation of shower pans. Moving forward with water exclusion, mold and water backup. "/>
    <m/>
    <m/>
    <s v="Busse"/>
    <m/>
    <m/>
    <n v="0"/>
  </r>
  <r>
    <x v="620"/>
    <s v="Hull Irvine"/>
    <s v="CA"/>
    <s v="Bobbi"/>
    <s v="Email"/>
    <s v="Mahserejian"/>
    <s v="Kevork"/>
    <x v="0"/>
    <s v="Calabassas"/>
    <x v="1"/>
    <m/>
    <x v="5"/>
    <x v="1179"/>
    <x v="1628"/>
    <s v="TIV"/>
    <s v="It’s currently with Aspen (not through our office) and the renewal date is 3/14/18. The agent advised Aspen took a 20% rate increase this year and he’s really looking to move."/>
    <x v="4"/>
    <s v="RM, photos,PC OK"/>
    <m/>
    <m/>
    <s v="Burdine"/>
    <m/>
    <m/>
    <n v="0"/>
  </r>
  <r>
    <x v="793"/>
    <s v="Burns"/>
    <s v="MI"/>
    <s v="Delta"/>
    <s v="Email"/>
    <s v="Mitzner"/>
    <s v="Dianna"/>
    <x v="0"/>
    <s v="Markleeville"/>
    <x v="1"/>
    <m/>
    <x v="5"/>
    <x v="1180"/>
    <x v="1629"/>
    <s v="TIV"/>
    <s v="2005 home with alarms. Nice online photos. No adverse insured info. Trees around home appear trimmed up in online photos. Risk is in brush zone."/>
    <x v="4"/>
    <m/>
    <m/>
    <n v="23"/>
    <s v="Patterson"/>
    <m/>
    <m/>
    <n v="0"/>
  </r>
  <r>
    <x v="653"/>
    <s v="Appalachian"/>
    <s v="TN"/>
    <s v="John"/>
    <m/>
    <s v="Subramanian"/>
    <s v="Sanjay"/>
    <x v="0"/>
    <s v="St Louis"/>
    <x v="36"/>
    <s v="63124"/>
    <x v="5"/>
    <x v="1181"/>
    <x v="1630"/>
    <s v="TIV"/>
    <s v="1936 year built. App does not indicate updates anywhere, however, inspection provided by agent mentions updates to all of the systems in recent years, also the roof. App says no swimming pool, but inspection shows pool with diving board. Home looks nice in the inspection. "/>
    <x v="3"/>
    <s v="Approved subject to a completed application, completed and acceptable OHQ and pool exclusion. "/>
    <m/>
    <m/>
    <s v="Busse"/>
    <m/>
    <m/>
    <n v="0"/>
  </r>
  <r>
    <x v="829"/>
    <s v="Hull Irvine"/>
    <s v="CA"/>
    <s v="Lucas"/>
    <s v="Email"/>
    <s v="Navarrete"/>
    <s v="Pedro &amp; Mirella"/>
    <x v="0"/>
    <s v="San Diego"/>
    <x v="1"/>
    <m/>
    <x v="8"/>
    <x v="1182"/>
    <x v="1631"/>
    <s v="TIV"/>
    <s v="San Diego risk, in high brush, being NR by current carrier due to brush score"/>
    <x v="1"/>
    <s v="TIV too high for CA brush"/>
    <m/>
    <m/>
    <s v="Burdine"/>
    <m/>
    <m/>
    <n v="1"/>
  </r>
  <r>
    <x v="505"/>
    <s v="Burns"/>
    <s v="MI"/>
    <s v="Alexa"/>
    <s v="Email/Call"/>
    <s v="Grabler"/>
    <s v="Peter &amp; Wendy"/>
    <x v="1"/>
    <s v="Palm Beach Gardens"/>
    <x v="32"/>
    <m/>
    <x v="0"/>
    <x v="1183"/>
    <x v="24"/>
    <s v="Wind ded"/>
    <s v="1990 home masonry w/alarms 2 miles from the coast. Agent would like to quote 10% wind ded."/>
    <x v="3"/>
    <s v="Completed app (none attached)"/>
    <s v="reviewed w/ Jeff. If not frame, not old, and ok ded, ok to quote. Jeff ok'd 10% ded."/>
    <n v="28"/>
    <s v="Patterson"/>
    <m/>
    <m/>
    <n v="0"/>
  </r>
  <r>
    <x v="279"/>
    <s v="Hull CA"/>
    <s v="Irvine"/>
    <s v="Alison"/>
    <s v="Email"/>
    <s v="Guarna, Nicola"/>
    <m/>
    <x v="157"/>
    <s v="Beverly Hills"/>
    <x v="1"/>
    <m/>
    <x v="11"/>
    <x v="1183"/>
    <x v="1632"/>
    <s v="High profile"/>
    <s v="Insured is domestic partner of Robert Rodriguez, fashion designer. No concerning info online. Not too famous. Home will be rented back to sellers for 2 months and then renovated. Probably a 1 year policy and then it will move to admitted. $10K ded will be applied if no alarms. $10K water ded applied as we don't know about plumbing updates."/>
    <x v="4"/>
    <m/>
    <m/>
    <m/>
    <s v="Patterson"/>
    <m/>
    <m/>
    <n v="0"/>
  </r>
  <r>
    <x v="506"/>
    <s v="Hull CO"/>
    <s v="PA"/>
    <s v="Nichole"/>
    <s v="Email"/>
    <s v="Bahmani, Carole"/>
    <m/>
    <x v="5"/>
    <s v="Spotsylvania VA PC10"/>
    <x v="3"/>
    <m/>
    <x v="0"/>
    <x v="1183"/>
    <x v="1633"/>
    <s v="Vacant PC10"/>
    <s v="2005 home w/central station alarms. Insured moving from CA to VA. Will be primary occupancy when they move. 16 acres. 11 min response from paid FD, visible, accessible."/>
    <x v="4"/>
    <s v="Good response, visible, accessible. Alarmed"/>
    <m/>
    <m/>
    <s v="Patterson"/>
    <m/>
    <m/>
    <n v="0"/>
  </r>
  <r>
    <x v="443"/>
    <s v="Burns"/>
    <s v="MI"/>
    <s v="Delta"/>
    <s v="Email"/>
    <s v="Calcara, Jaspar"/>
    <m/>
    <x v="0"/>
    <s v="Rancho Santa Fe "/>
    <x v="1"/>
    <m/>
    <x v="9"/>
    <x v="1183"/>
    <x v="1634"/>
    <s v="TIV"/>
    <s v="1995 home with full c/s alarms. Nice photos online. Per photos, diving board, horse corral, orchard."/>
    <x v="3"/>
    <s v="Approved subj to pool excl if diving board; no animals per app, if this changes, please advise; orchard? If more than personal use, advise."/>
    <s v="The insured sees approximately 5 clients per week and they do have GL in place. We would need to add the Sect. I &amp; II business exclusion. I applied a 10% s/c as well for the additional exposure, The home is a duplex and the insured’s son resides in the other unit. I did apply the animal exclusion to tenants and rate as 2 family. Requesting f/u on where on location and if full time/part time employement to be more comfortable on foot traffic"/>
    <m/>
    <s v="Patterson"/>
    <m/>
    <m/>
    <n v="0"/>
  </r>
  <r>
    <x v="153"/>
    <s v="Hull Irvine"/>
    <s v="CA"/>
    <s v="Alex"/>
    <s v="Email"/>
    <s v="Snyder"/>
    <s v="Tom &amp; Shelly"/>
    <x v="0"/>
    <s v="Westlake Village"/>
    <x v="1"/>
    <m/>
    <x v="5"/>
    <x v="1183"/>
    <x v="29"/>
    <s v="TIV"/>
    <s v="2006 risk in gated community w/alarms. Nice online photos. Low brush."/>
    <x v="4"/>
    <s v="No online concerns"/>
    <m/>
    <n v="18"/>
    <s v="Patterson"/>
    <m/>
    <m/>
    <n v="0"/>
  </r>
  <r>
    <x v="435"/>
    <s v="Burns"/>
    <s v="MI"/>
    <s v="Delta"/>
    <s v="Email"/>
    <s v="Gaedtke, Jason"/>
    <m/>
    <x v="16"/>
    <s v="Severance"/>
    <x v="19"/>
    <m/>
    <x v="4"/>
    <x v="1183"/>
    <x v="1635"/>
    <s v="TIV"/>
    <s v="2014 home w/full alarms and interior sprinklers per app. PC10. Drive time per google is 14-17 min. Paid &amp; volunteer. Accessible. 2 water losses at primary. No risk meter attached-ran FireLine-low fire risk."/>
    <x v="4"/>
    <m/>
    <m/>
    <m/>
    <s v="Patterson"/>
    <m/>
    <m/>
    <n v="0"/>
  </r>
  <r>
    <x v="168"/>
    <s v="Hull Irvine"/>
    <s v="CA"/>
    <s v="Alex"/>
    <s v="Call/Email"/>
    <s v="Jhin"/>
    <s v="Hyo &amp; Kyo"/>
    <x v="0"/>
    <s v="Malibu"/>
    <x v="1"/>
    <m/>
    <x v="5"/>
    <x v="1183"/>
    <x v="1496"/>
    <s v="Liability claim"/>
    <s v="Insured's neighbor disputed the placement of our insured's fence. There was a claim filed, but no lawsuit, 0 paid, now closed. The dispute is settled. Neighbors are in good standing. 2 week lapse. Carrier no longer writing and insured forgot about the renewal. 1982 home with updates. New flat roof in 2010."/>
    <x v="3"/>
    <s v="Agent sending over due to &gt;$3M TIV. Will confirm there is no concern of neighbor vandalizing property or causing issues.//10/20 info received. Okay. Agent applying lapse surcharge and 5% surcharge as we are pricing well."/>
    <m/>
    <m/>
    <s v="Patterson"/>
    <m/>
    <m/>
    <n v="0"/>
  </r>
  <r>
    <x v="297"/>
    <s v="Burns"/>
    <s v="MI"/>
    <s v="Delta"/>
    <s v="Email"/>
    <s v="Guerrero, Jason"/>
    <m/>
    <x v="23"/>
    <s v="Winter Park"/>
    <x v="19"/>
    <m/>
    <x v="4"/>
    <x v="1183"/>
    <x v="1496"/>
    <s v="TIV/PC10"/>
    <s v="2007 home with alarms. 20 min response time from combination department. Partially visible to neighbors. Nice online photos."/>
    <x v="1"/>
    <s v="Not comfortable w/this value with 20 min response. Rented. Combination FD. Could only get FireLine Zip match."/>
    <m/>
    <m/>
    <s v="Patterson"/>
    <m/>
    <m/>
    <n v="1"/>
  </r>
  <r>
    <x v="379"/>
    <s v="Burns"/>
    <s v="MI"/>
    <s v="Delta"/>
    <s v="Email"/>
    <s v="Anderson"/>
    <s v="John &amp; Lisa"/>
    <x v="0"/>
    <m/>
    <x v="1"/>
    <m/>
    <x v="11"/>
    <x v="1183"/>
    <x v="1636"/>
    <s v="Losses"/>
    <s v="Attached is a primary home located in CA. Frame construction, built in 1985, PC2, Full C/ S alarms, not in brush, 2 water losses, both closed (pipes burst/leak in 09/2017). Quoted as HO8 with 10% surcharge, NR due to losses"/>
    <x v="3"/>
    <s v="approved at quoted premium, but must add roof exclusion based on age of roof"/>
    <m/>
    <m/>
    <s v="Burdine"/>
    <m/>
    <m/>
    <n v="0"/>
  </r>
  <r>
    <x v="614"/>
    <s v="Hull Irvine"/>
    <s v="CA"/>
    <s v="Alison"/>
    <s v="Email"/>
    <s v="Holt"/>
    <s v="Jens"/>
    <x v="0"/>
    <s v="Malibu"/>
    <x v="1"/>
    <m/>
    <x v="0"/>
    <x v="1183"/>
    <x v="1636"/>
    <s v="TIV"/>
    <s v="Malibu risk; The insured operates an office out of a guest house on premises – the agent has a GL policy and artisan policy in place. The name of the business is Holst Brothers Inc (developers). "/>
    <x v="1"/>
    <s v="in brush, doesn't qualify for exception"/>
    <m/>
    <m/>
    <s v="Burdine"/>
    <m/>
    <m/>
    <n v="1"/>
  </r>
  <r>
    <x v="406"/>
    <s v="Hull Irvine"/>
    <s v="CA"/>
    <s v="Kelly"/>
    <s v="Email"/>
    <s v="Travis"/>
    <s v="Timothy"/>
    <x v="0"/>
    <s v="Coto De Caza "/>
    <x v="1"/>
    <m/>
    <x v="9"/>
    <x v="1183"/>
    <x v="1636"/>
    <s v="TIV"/>
    <s v="1990 dwelling not in brush, but close to brush. Photos good, but some brush shows nearby. Nice online pics."/>
    <x v="3"/>
    <s v="This meets our criteria for approval. Apply 20% surcharge for proximity to brush. Ran FireLine - it is a 6, so I don't feel we have to decline the risk (since over $3M). "/>
    <m/>
    <m/>
    <s v="Burdine"/>
    <m/>
    <m/>
    <n v="0"/>
  </r>
  <r>
    <x v="247"/>
    <s v="Burns"/>
    <s v="MI"/>
    <s v="Matt"/>
    <s v="Email"/>
    <s v="Steinhardt, Alan"/>
    <m/>
    <x v="0"/>
    <s v="Chicago IL PC2"/>
    <x v="3"/>
    <m/>
    <x v="0"/>
    <x v="1183"/>
    <x v="1622"/>
    <s v="TIV&gt;$3M"/>
    <s v="1952 home updated in 2016. 2 prior losses. 11/14 mys dis. 1/14 roofer didn't tarp roof right. 2011-hail. Ran Ins Score High 900, low 800. "/>
    <x v="3"/>
    <s v="Approved subject to addl 6-10% surcharge for the lapse. Confirmation that the open claim is just awaiting settlement - no existing or unrepaired damages."/>
    <m/>
    <m/>
    <s v="Patterson"/>
    <m/>
    <m/>
    <n v="0"/>
  </r>
  <r>
    <x v="744"/>
    <s v="Burns"/>
    <s v="MI"/>
    <s v="Jill"/>
    <s v="Email"/>
    <s v="Lupatkin"/>
    <s v="Bruce"/>
    <x v="16"/>
    <s v="Arroyo Grande"/>
    <x v="1"/>
    <m/>
    <x v="4"/>
    <x v="1183"/>
    <x v="513"/>
    <s v="TIV"/>
    <s v="1996 risk with local alarm only in brush. Quoted as PC9, no PPC, this looks like PC10. FD is 8 miles away. 15-20 min response. Quest says there is a hydrant."/>
    <x v="1"/>
    <s v="Response time &gt;15, high value, in brush."/>
    <m/>
    <n v="23"/>
    <s v="Patterson"/>
    <m/>
    <m/>
    <n v="1"/>
  </r>
  <r>
    <x v="38"/>
    <s v="Hull Irvine"/>
    <s v="CA"/>
    <s v="Kelly"/>
    <s v="Email"/>
    <s v="Handelsman"/>
    <s v="Yehuda"/>
    <x v="0"/>
    <s v="Tarzana"/>
    <x v="1"/>
    <m/>
    <x v="11"/>
    <x v="1183"/>
    <x v="37"/>
    <s v="TIV"/>
    <s v="1995 dwelling. $10K ded due to no alarm. No online photos. Not in brush."/>
    <x v="4"/>
    <s v="Clean risk  "/>
    <m/>
    <m/>
    <s v="Patterson"/>
    <m/>
    <m/>
    <n v="0"/>
  </r>
  <r>
    <x v="483"/>
    <s v="SCU"/>
    <s v="CO"/>
    <s v="Allison"/>
    <s v="Email"/>
    <s v="McGeehan, Chip"/>
    <m/>
    <x v="21"/>
    <s v="Canon City CO PC10"/>
    <x v="19"/>
    <m/>
    <x v="4"/>
    <x v="1183"/>
    <x v="1637"/>
    <s v="Response time/TIV"/>
    <s v="2010 seasonal log home fully alarmed with live in caretaker. Beautiful online photos and info. On 220 acres w/640 leased state land. Unprot quest included. 20 min response time. Not in a brush zone. "/>
    <x v="4"/>
    <s v="Live in caretaker and alarms. 2 responding FD's."/>
    <m/>
    <m/>
    <s v="Patterson"/>
    <m/>
    <m/>
    <n v="0"/>
  </r>
  <r>
    <x v="696"/>
    <s v="Burns"/>
    <s v="MI"/>
    <s v="Jill"/>
    <m/>
    <s v="Jackson"/>
    <s v="Anthony"/>
    <x v="0"/>
    <s v="Collierville"/>
    <x v="5"/>
    <s v="38017"/>
    <x v="4"/>
    <x v="1183"/>
    <x v="1638"/>
    <s v="TIV"/>
    <s v="1998 home no losses. High TIV and is PC 10. The insurance score is also O. Fire department is a little over 5 miles away. "/>
    <x v="1"/>
    <s v="Declined due to the combination of the high TIV and being PC 10. Insurance score helped confirm reason for decline. Being a PC 10, the rest of the risk has to be close to perfect, and especially being close to our own TIV max, we will not move forward. "/>
    <m/>
    <m/>
    <s v="Busse"/>
    <m/>
    <m/>
    <n v="1"/>
  </r>
  <r>
    <x v="815"/>
    <s v="Burns"/>
    <s v="MI"/>
    <s v="Matt"/>
    <s v="Email"/>
    <s v="Jacobs, David"/>
    <m/>
    <x v="0"/>
    <s v="Los Angeles CA PC2"/>
    <x v="3"/>
    <m/>
    <x v="0"/>
    <x v="1183"/>
    <x v="1639"/>
    <s v="TIV&gt;$3M"/>
    <s v="1938 updated in 2002-2007. Insd is employment attorney.  Alarmed, no brush."/>
    <x v="4"/>
    <s v="Advised agt of $5M max TIV"/>
    <m/>
    <m/>
    <s v="Patterson"/>
    <m/>
    <m/>
    <n v="0"/>
  </r>
  <r>
    <x v="323"/>
    <s v="Hull Irvine"/>
    <s v="CA"/>
    <s v="Alison"/>
    <s v="Email"/>
    <s v="Loubet"/>
    <s v="Margaret"/>
    <x v="7"/>
    <s v="Malibu"/>
    <x v="1"/>
    <m/>
    <x v="0"/>
    <x v="1184"/>
    <x v="29"/>
    <s v="TIV"/>
    <s v="Not in brush.  1991 home being rented back to sellers for one month and then undergoing renovation for primary occupancy.  Nice online photos."/>
    <x v="0"/>
    <s v="Originally approved.  Then got info on 5/15/ that there are roof leaks. The insd boyfriend is the GC.  However, applying roof exclusion and that will be one of the first things fixed."/>
    <s v="Kirsten and I discussed.  Ultimately a good risk."/>
    <m/>
    <s v="Patterson"/>
    <m/>
    <m/>
    <n v="0"/>
  </r>
  <r>
    <x v="23"/>
    <s v="Burns"/>
    <s v="MI"/>
    <s v="Jill"/>
    <s v="Email"/>
    <s v="Mills"/>
    <s v="David"/>
    <x v="4"/>
    <s v="Big Sky"/>
    <x v="50"/>
    <m/>
    <x v="4"/>
    <x v="1185"/>
    <x v="1640"/>
    <s v="PC"/>
    <s v="26 minutes response, log home, no losses, c/s alarm"/>
    <x v="3"/>
    <s v="approved a premium of $24K (.75:100) due to acceptable log home ?, photos, but higher response time."/>
    <m/>
    <m/>
    <s v="Burdine"/>
    <m/>
    <m/>
    <n v="0"/>
  </r>
  <r>
    <x v="728"/>
    <s v="Burns"/>
    <s v="MI"/>
    <s v="Jeff"/>
    <m/>
    <s v="Bearcat, LLC"/>
    <m/>
    <x v="4"/>
    <s v="Bailey"/>
    <x v="19"/>
    <s v="80421"/>
    <x v="4"/>
    <x v="1186"/>
    <x v="1641"/>
    <s v="TIV"/>
    <s v="1875 log home. No info on gut/rehab. Okay condition. 14 min drive time, volunteer FD. WBS. Utility shed w/roof in poor condition per insp photos. Rated as PC9 - over 7 miles to FD."/>
    <x v="2"/>
    <s v="Need gut/rehab info. Confirm PC. I get 7.4 miles which is PC10. Submission says PC9. Exclude shed roof. WBS app needed. Reminded premises only liab with LLC. // 2.13.19 confirmed age of home and updates. Requoted and rate is acceptable with 14 min response. Exclude shed due to roof condition. WBS coming. MP"/>
    <m/>
    <m/>
    <s v="Patterson"/>
    <m/>
    <m/>
    <n v="0"/>
  </r>
  <r>
    <x v="422"/>
    <s v="Burns"/>
    <s v="MI"/>
    <s v="Jill"/>
    <m/>
    <s v="Kumbier"/>
    <s v="Timothy &amp; Margaret"/>
    <x v="0"/>
    <s v="Burlington"/>
    <x v="33"/>
    <s v="53105"/>
    <x v="4"/>
    <x v="1187"/>
    <x v="1642"/>
    <s v="Business on Premises"/>
    <s v="2004 year built. FD is 3.6 miles away, but responding FD is volunteer so rated as a 10. Property is on 190 acres, where 130 of that is leased to farming crops. Two prior losses, 5/2016 theft loss of jewelry $2986 and 3/2017 wind $2282"/>
    <x v="3"/>
    <s v="They were honest about the PC, which is always nice to see. Looks like a really nice home. Approval subject to TBE, GL is obtained (agent noted this), confirmation of what the remaining land (60 acres) is used for, and moreso an FYI but no scheduled jewelry due to prior theft loss. "/>
    <m/>
    <m/>
    <s v="Busse"/>
    <m/>
    <m/>
    <n v="0"/>
  </r>
  <r>
    <x v="52"/>
    <s v="Hull Irvine"/>
    <s v="CA"/>
    <s v="Lisa"/>
    <m/>
    <s v="Rauch"/>
    <s v="Michael"/>
    <x v="0"/>
    <s v="Tiburon"/>
    <x v="1"/>
    <s v="94920"/>
    <x v="11"/>
    <x v="1188"/>
    <x v="1643"/>
    <s v="TIV"/>
    <s v="Not in brush. Central fire and burglar, along with full sprinklers. Composite shingle roof completed in 2000 along with wiring and plumbing. Home built in 1976. "/>
    <x v="3"/>
    <s v="Confirm condition of roof and use ACV if warranted."/>
    <m/>
    <m/>
    <s v="Lazovik"/>
    <m/>
    <m/>
    <n v="0"/>
  </r>
  <r>
    <x v="637"/>
    <s v="Burns"/>
    <s v="MI"/>
    <s v="Delta"/>
    <s v="Email"/>
    <s v="Levitt, Daniel"/>
    <m/>
    <x v="0"/>
    <s v="Los Altos Hils"/>
    <x v="1"/>
    <m/>
    <x v="9"/>
    <x v="1189"/>
    <x v="1644"/>
    <s v="TIV"/>
    <s v="1988 home, no update info. Roof okay - tile. Full alarms. Not in brush. Online photos ok."/>
    <x v="4"/>
    <m/>
    <m/>
    <m/>
    <s v="Patterson"/>
    <m/>
    <m/>
    <n v="0"/>
  </r>
  <r>
    <x v="267"/>
    <s v="Burns"/>
    <s v="MI"/>
    <s v="Danielle"/>
    <s v="Email"/>
    <s v="Ray, James"/>
    <m/>
    <x v="0"/>
    <s v="Bloomington"/>
    <x v="17"/>
    <m/>
    <x v="4"/>
    <x v="1189"/>
    <x v="1645"/>
    <s v="PC10/TIV"/>
    <s v="2003 home, nice online photos. FD is 12 min away, fully paved and accessible. Insured is a surgeon. Had 4 losses. 5/16 wind $1373; 3/16 hail $33,769; 2/15 water $10,087 (frozen pipe); 1/14 water $0 (frozen pipe). Agent added $10K ded. Price within 5% of Cincinnati."/>
    <x v="4"/>
    <m/>
    <m/>
    <m/>
    <s v="Patterson"/>
    <m/>
    <m/>
    <n v="0"/>
  </r>
  <r>
    <x v="343"/>
    <s v="Burns"/>
    <s v="MI"/>
    <s v="Ben"/>
    <s v="Email"/>
    <s v="Ray, James"/>
    <m/>
    <x v="2"/>
    <s v="Bloomington"/>
    <x v="17"/>
    <m/>
    <x v="4"/>
    <x v="1189"/>
    <x v="1645"/>
    <s v="PC10/TIV"/>
    <s v="2003 home, nice online photos. FD is 12 min away, fully paved and accessible. Insured is a surgeon. Had 4 losses. 5/16 wind $1373; 3/16 hail $33,769; 2/15 water $10,087 (frozen pipe); 1/14 water $0 (frozen pipe). Agent added $10K ded.  (Submitted in September as a HO3)"/>
    <x v="3"/>
    <s v="Approved subj to 10% addl prem charge ($1459) due to increased exposure."/>
    <m/>
    <m/>
    <s v="Patterson"/>
    <m/>
    <m/>
    <n v="0"/>
  </r>
  <r>
    <x v="388"/>
    <s v="Hull Stockton"/>
    <s v="CA"/>
    <s v="Lisa"/>
    <m/>
    <s v="Makuta"/>
    <s v="Peter"/>
    <x v="0"/>
    <s v="Santa Barbara"/>
    <x v="1"/>
    <n v="93105"/>
    <x v="8"/>
    <x v="1189"/>
    <x v="1646"/>
    <s v="TIV"/>
    <s v="Large frame home with stucco siding. Local smoke and burglar alarm. Solar panels for pool on property. All wiring, plumbing, heating and roofing were updated completely in 1985. Fire hydrant on the property."/>
    <x v="1"/>
    <s v="Asking for 70% of value. Will only consider if full value."/>
    <m/>
    <m/>
    <s v="Lazovik"/>
    <m/>
    <m/>
    <n v="1"/>
  </r>
  <r>
    <x v="66"/>
    <s v="Burns"/>
    <s v="MI"/>
    <s v="Delta"/>
    <s v="Email"/>
    <s v="McCormick, Tom"/>
    <m/>
    <x v="0"/>
    <s v="Westlake Village"/>
    <x v="1"/>
    <m/>
    <x v="12"/>
    <x v="1190"/>
    <x v="1647"/>
    <s v="TIV"/>
    <s v="1991 home updated in 2015. Full alarms. No losses. RM shows near high brush, but is rated extremely low. Agt considering rating in brush due to brush 100' away. Ran FireLine - it shows 11 High brush. Justifies rating in brush. "/>
    <x v="3"/>
    <s v="I support rating for brush if agent wishes.  If so, subj to 150' clearance based on criteria of Wildfire Mitigation Form which would be attached. Rating for bush appears optional in this case."/>
    <m/>
    <m/>
    <s v="Patterson"/>
    <m/>
    <m/>
    <n v="0"/>
  </r>
  <r>
    <x v="288"/>
    <s v="Hull CA"/>
    <s v="Stockton"/>
    <s v="Lisa"/>
    <s v="Email"/>
    <s v="Hoag, Annette"/>
    <m/>
    <x v="21"/>
    <s v="Stockton"/>
    <x v="1"/>
    <m/>
    <x v="9"/>
    <x v="1191"/>
    <x v="1648"/>
    <s v="TIV/City Registry"/>
    <s v="1906 home on city registry. Used seasonally, but insd is biz owner with mailing address 4 miles from here. Prev tenant moved to new location. Online photos do not show ornate structure, but can't tell if interior was gutted."/>
    <x v="2"/>
    <s v="• The insured is a business owner.  (In fact, mailing address is her business.)  Are we sure this is a seasonal use residence, and not a vacant commercial building waiting for a new tenant?  The previous tenant, Maxine’s Bridal, moved to a new location.  This location is only 4 miles from the insured’s mailing address, so I’m curious how this is a seasonal?  Do they come and stay here?  How often?  Is there furniture, beds, personal effects in the home?_x000a_• What renovations have been done to the interior of the home?  Has it ever been gutted and remodeled?  Partial gut?  Has all wiring and plumbing been replaced, or just updated?_x000a_• I see you applied Functional Replacement cost.  Thank you._x000a_"/>
    <m/>
    <m/>
    <s v="Patterson"/>
    <m/>
    <m/>
    <n v="0"/>
  </r>
  <r>
    <x v="558"/>
    <s v="Burns"/>
    <s v="MI"/>
    <s v="Alexa"/>
    <s v="Email"/>
    <s v="Woods, Dennis &amp; Cheryl"/>
    <m/>
    <x v="21"/>
    <s v="Monterey"/>
    <x v="1"/>
    <m/>
    <x v="5"/>
    <x v="1192"/>
    <x v="1649"/>
    <s v="TIV"/>
    <s v="2007 home, nice online photos. In brush. Alarms. UW questions blank on app."/>
    <x v="3"/>
    <s v="Completed app"/>
    <m/>
    <m/>
    <s v="Patterson"/>
    <m/>
    <m/>
    <n v="0"/>
  </r>
  <r>
    <x v="55"/>
    <s v="Hull Irvine"/>
    <s v="CA"/>
    <s v="Lucas"/>
    <m/>
    <s v="Heyes"/>
    <s v="Philip &amp; Fiona"/>
    <x v="5"/>
    <s v="Los Angeles"/>
    <x v="1"/>
    <s v="90046"/>
    <x v="0"/>
    <x v="1193"/>
    <x v="1650"/>
    <s v="High Profile"/>
    <s v="1939 dwelling, with updates to systems and roof in 2004 (not confirmed if partial or complete). Applicant is a film director who worked with shows such as American Idol. Purchasing home with intent to rent it out next year after some minor renovation. Confirmed no filming, employees, etc. at the dwelling. Insured leases home within 500 yards of dwelling. "/>
    <x v="3"/>
    <s v="No concerns with profile of applicant. Renovations are minor. If leased home is not on the same premises as dwelling, therefore not extending liability coverage, approval subject to old home questionnaire and confirmation of roof update (partial/complete). Need to add roof exclusion of only partial roof update. "/>
    <m/>
    <m/>
    <s v="Busse"/>
    <m/>
    <m/>
    <n v="0"/>
  </r>
  <r>
    <x v="316"/>
    <s v="Burns"/>
    <s v="MI"/>
    <s v="Nicole"/>
    <m/>
    <s v="Lojka"/>
    <s v="Tonya"/>
    <x v="4"/>
    <m/>
    <x v="19"/>
    <m/>
    <x v="4"/>
    <x v="1193"/>
    <x v="1651"/>
    <s v="PC"/>
    <s v="1996 log home w/ CSFB, no losses. $10K AOP. 25-30 min response from volunteer fire department."/>
    <x v="1"/>
    <s v="Due to higher TIV and higher response time. "/>
    <s v="Proposed TIV guidelines to John so Burns doesn't continue referring these."/>
    <m/>
    <s v="Patterson"/>
    <m/>
    <m/>
    <n v="1"/>
  </r>
  <r>
    <x v="603"/>
    <s v="Hull Stockton"/>
    <s v="CA"/>
    <s v="Melissa"/>
    <m/>
    <s v="Higgins"/>
    <s v="William &amp; Vanessa"/>
    <x v="0"/>
    <s v="Mill Valley"/>
    <x v="1"/>
    <s v="94941"/>
    <x v="11"/>
    <x v="1194"/>
    <x v="1652"/>
    <s v="TIV"/>
    <s v="Hull Stockton offered terms on new risk prior to our rule change.  TIV $4,419,951; was not in brush at the time.  In a zip with about $21M.  They should have referred for approval - they did not refer.  Now agent is requesting a bind.  Over their authority, also now in brush.  "/>
    <x v="1"/>
    <s v="Conferred w/Jeff. Since over their authority, we are going with rules currently in place.  Risk is not eligible under current guidelines."/>
    <m/>
    <m/>
    <s v="Patterson"/>
    <m/>
    <m/>
    <n v="1"/>
  </r>
  <r>
    <x v="427"/>
    <s v="SCU"/>
    <s v="CO"/>
    <s v="Allison"/>
    <s v="Email"/>
    <s v="Aaron"/>
    <s v="Edward &amp; Mindy"/>
    <x v="0"/>
    <s v="Cherry Hills Village"/>
    <x v="19"/>
    <m/>
    <x v="9"/>
    <x v="1195"/>
    <x v="1653"/>
    <s v="TIV"/>
    <s v="and 2 losses, water leak detection, central alarms, loss 1: pool house Pipes replaced-12/2016; loss 2: basement sump pump back up-05/17 (water back up not included). Jewelry schedule over $100,000"/>
    <x v="3"/>
    <s v="No water backup, confirmed unable to do schedule"/>
    <m/>
    <m/>
    <s v="Burdine"/>
    <m/>
    <m/>
    <n v="0"/>
  </r>
  <r>
    <x v="157"/>
    <s v="SCU"/>
    <s v="CO"/>
    <s v="Allison"/>
    <s v="Email"/>
    <s v="Myers"/>
    <s v="Christopher &amp; Patricia"/>
    <x v="0"/>
    <s v="Denver"/>
    <x v="19"/>
    <m/>
    <x v="8"/>
    <x v="1196"/>
    <x v="1654"/>
    <s v="TIV"/>
    <s v="2000 home w/roof replaced after $44K CAT hail claim 6/21/15. Also 11/16 $72K water backup in toilet. No backup quoted. All damages repaired. Insd is owner of Lodo's Bar &amp; Grill chain in CO. Also has SPP which I will refer to Jamie Gregory. NRN due to losses."/>
    <x v="3"/>
    <s v="No scheduled jewelry.  Ran hail score. 3 year is a 10.  However, this is a newer roof, we are generously surcharging, and we have a 1% wind/hail deductible (per guidelines).  "/>
    <m/>
    <n v="40"/>
    <s v="Patterson"/>
    <m/>
    <m/>
    <n v="0"/>
  </r>
  <r>
    <x v="779"/>
    <s v="SCU"/>
    <s v="CO"/>
    <s v="Allison"/>
    <m/>
    <s v="Welker"/>
    <s v="Franklin"/>
    <x v="0"/>
    <s v="Agoura Hills"/>
    <x v="1"/>
    <s v="91301"/>
    <x v="8"/>
    <x v="1197"/>
    <x v="1528"/>
    <s v="TIV"/>
    <s v="Decent home in need of some updates - within brush zone"/>
    <x v="1"/>
    <s v="No approvals over TIV authority limits in brush or PC9/10 in CA at the moment.  Communicated this to Allison."/>
    <m/>
    <m/>
    <s v="Jeff"/>
    <m/>
    <m/>
    <n v="1"/>
  </r>
  <r>
    <x v="85"/>
    <s v="Burns"/>
    <s v="MI"/>
    <s v="Delta"/>
    <s v="Email"/>
    <s v="Freedland, Stephen"/>
    <m/>
    <x v="0"/>
    <s v="Los Angeles"/>
    <x v="1"/>
    <m/>
    <x v="11"/>
    <x v="1198"/>
    <x v="1655"/>
    <s v="TIV"/>
    <s v="2000 home alarms, in brush per referral, but only in Renie per RM."/>
    <x v="3"/>
    <s v="not in brush"/>
    <m/>
    <m/>
    <s v="Patterson"/>
    <m/>
    <m/>
    <n v="0"/>
  </r>
  <r>
    <x v="830"/>
    <s v="Burns"/>
    <s v="MI"/>
    <s v="Rachel"/>
    <s v="Email"/>
    <s v="Holland  "/>
    <s v="Judah"/>
    <x v="16"/>
    <s v="Tiburon"/>
    <x v="1"/>
    <m/>
    <x v="9"/>
    <x v="1199"/>
    <x v="1656"/>
    <s v="TIV"/>
    <s v="2007 risk not in brush w/alarms. Online photos and info okay. No indication of rental use."/>
    <x v="4"/>
    <m/>
    <m/>
    <n v="18"/>
    <s v="Patterson"/>
    <m/>
    <m/>
    <n v="0"/>
  </r>
  <r>
    <x v="699"/>
    <s v="Hull Irvine"/>
    <s v="CA"/>
    <s v="Kelly"/>
    <m/>
    <s v="Blumberg"/>
    <s v="Isaac"/>
    <x v="0"/>
    <s v="Pacific Palisades"/>
    <x v="1"/>
    <s v="90272"/>
    <x v="8"/>
    <x v="1200"/>
    <x v="1454"/>
    <s v="TIV"/>
    <s v="2003 home not in brush but 500' from wall of high brush. FireLine=6. Lex quote $9,000. Markel quote $6,000."/>
    <x v="1"/>
    <s v="Discussed w/Bethany. Feel this is too close to the wall of high brush for this value."/>
    <m/>
    <m/>
    <s v="Patterson"/>
    <m/>
    <m/>
    <n v="1"/>
  </r>
  <r>
    <x v="245"/>
    <s v="Burns"/>
    <s v="MI"/>
    <s v="Leslie"/>
    <s v="Email"/>
    <s v="Ruggieri LLC"/>
    <m/>
    <x v="109"/>
    <s v="Orlando FL  PC4"/>
    <x v="3"/>
    <m/>
    <x v="0"/>
    <x v="1201"/>
    <x v="1248"/>
    <s v="TIV&gt;$2M"/>
    <s v="2001 beautiful home per photos attached from online source.  Vacant and for sale.  Online info about LLC okay."/>
    <x v="3"/>
    <s v="Approved subject to adding pool exclusion. Not comfortable with a vacant up for sale home with a pool."/>
    <m/>
    <m/>
    <s v="Patterson"/>
    <m/>
    <m/>
    <n v="0"/>
  </r>
  <r>
    <x v="429"/>
    <s v="Hull CO"/>
    <s v="PA"/>
    <s v="Nichole"/>
    <s v="Email"/>
    <s v="Diegidio, Anthony"/>
    <m/>
    <x v="2"/>
    <s v="Wilmington DE PC3"/>
    <x v="3"/>
    <m/>
    <x v="0"/>
    <x v="1201"/>
    <x v="1657"/>
    <s v="Did not need to submit. Within authority."/>
    <s v="Built in 1920 w/2002 updates. Photos on Zillow-beautiful. Full time rental."/>
    <x v="4"/>
    <s v="I did ask for more premium as Scottsdale is at $7995. We came in at $6723."/>
    <m/>
    <m/>
    <s v="Patterson"/>
    <m/>
    <m/>
    <n v="0"/>
  </r>
  <r>
    <x v="362"/>
    <s v="SCU"/>
    <s v="CO"/>
    <s v="Allison"/>
    <m/>
    <s v="Amendt"/>
    <s v="Travis"/>
    <x v="0"/>
    <s v="Sedgwick"/>
    <x v="19"/>
    <s v="80749"/>
    <x v="4"/>
    <x v="1201"/>
    <x v="1567"/>
    <s v="TIV"/>
    <s v="2013 home in PC10 with 10-15 min response per agt. Volunteer FD per UPQ. Drive time is 12 minutes/7.9 miles, fairly straight shot.  CSFB. Insd is contractor."/>
    <x v="0"/>
    <s v="Need to resolve possible business on premises.  If it is acceptable, we are okay with the risk. Within 15 min, primary residence, has alarms, off major highway, should be open and clear response path for FD. Newer home. Online pics look good. No adverse online info for insd name. // MP 1/28/19 One employee, material/equip stored on site. Coml policies in place. Ok subj to coml policies maintained and add Total Business Exclusion."/>
    <m/>
    <m/>
    <s v="Patterson"/>
    <m/>
    <m/>
    <n v="0"/>
  </r>
  <r>
    <x v="696"/>
    <s v="Burns"/>
    <s v="MI"/>
    <s v="Danielle"/>
    <m/>
    <s v="Cantu"/>
    <s v="Sara"/>
    <x v="0"/>
    <s v="Rio Grande"/>
    <x v="23"/>
    <s v="78582"/>
    <x v="4"/>
    <x v="1201"/>
    <x v="32"/>
    <s v="Prior Lapse/NRN"/>
    <s v="2013 home, no losses, lapsed for non pay 9/16/18. Client lost track of it during a very busy period. Insured's are professionals. J score. "/>
    <x v="3"/>
    <s v="Apply 5% surcharge for lapse. Ok to add ERC and PI."/>
    <s v="Handle 12/28, but I already closed the 2018 log."/>
    <m/>
    <s v="Patterson"/>
    <m/>
    <m/>
    <n v="0"/>
  </r>
  <r>
    <x v="651"/>
    <s v="Hull Irvine"/>
    <m/>
    <s v="Bobbi"/>
    <s v="Email"/>
    <s v="Hanley, Quincey (Schoolboy Q)"/>
    <m/>
    <x v="0"/>
    <s v="Calabasas"/>
    <x v="1"/>
    <m/>
    <x v="5"/>
    <x v="1201"/>
    <x v="1658"/>
    <s v="High profile"/>
    <s v="Insured is famous and current rapper Schoolboy Q. Online info and nature of occupation indicates some red flags."/>
    <x v="1"/>
    <s v="Decline property and liability.  "/>
    <m/>
    <m/>
    <s v="Patterson"/>
    <m/>
    <m/>
    <n v="1"/>
  </r>
  <r>
    <x v="129"/>
    <s v="Hull Irvine"/>
    <m/>
    <s v="Alison"/>
    <s v="Email"/>
    <s v="Gerson"/>
    <m/>
    <x v="21"/>
    <s v="Malibu"/>
    <x v="1"/>
    <m/>
    <x v="0"/>
    <x v="1201"/>
    <x v="1658"/>
    <s v="TIV/Flat roof"/>
    <s v="1994 home. Roof is flat and original. Beautiful Malibu beach home. $5K AOP deductible."/>
    <x v="0"/>
    <s v="If roof truly is original, need ACV roof and 10% s/c (keeping in line w/guidelines we are developing) Could work on the s/c if this makes us uncompetitive.  //7/6 reviewed terms regarding roof. Approved option of $10K water ded and not ACV."/>
    <m/>
    <m/>
    <s v="Patterson"/>
    <m/>
    <m/>
    <n v="0"/>
  </r>
  <r>
    <x v="395"/>
    <s v="Burns"/>
    <s v="MI"/>
    <s v="Delta"/>
    <s v="Email"/>
    <s v="Ali, Syeda &amp; Uddin, Khaja"/>
    <m/>
    <x v="0"/>
    <s v="Bradbury"/>
    <x v="1"/>
    <m/>
    <x v="9"/>
    <x v="1201"/>
    <x v="1658"/>
    <s v="TIV"/>
    <s v="2001 home in brush w/alarms. App UW questions not completed.  Online photos and description look good. "/>
    <x v="3"/>
    <s v="completed app"/>
    <m/>
    <m/>
    <s v="Patterson"/>
    <m/>
    <m/>
    <n v="0"/>
  </r>
  <r>
    <x v="778"/>
    <s v="Burns"/>
    <s v="MI"/>
    <s v="Jill"/>
    <s v="Email"/>
    <s v="Freeman"/>
    <s v="Brenda"/>
    <x v="0"/>
    <s v="Lake Arrowhead"/>
    <x v="1"/>
    <m/>
    <x v="5"/>
    <x v="1201"/>
    <x v="1659"/>
    <s v="TIV"/>
    <s v="1979 home updated no alarms, no brush. Quoted with $2500 ded. "/>
    <x v="3"/>
    <s v="Please apply $5000 ded due to no alarms."/>
    <m/>
    <n v="18"/>
    <s v="Patterson"/>
    <m/>
    <m/>
    <n v="0"/>
  </r>
  <r>
    <x v="677"/>
    <s v="Hull Irvine"/>
    <s v="CA"/>
    <s v="Bobbi"/>
    <s v="Email"/>
    <s v="Ungar"/>
    <s v="Ken &amp; Avan"/>
    <x v="0"/>
    <m/>
    <x v="1"/>
    <m/>
    <x v="5"/>
    <x v="1201"/>
    <x v="37"/>
    <s v="TIV"/>
    <s v="No brush"/>
    <x v="4"/>
    <m/>
    <m/>
    <m/>
    <s v="Burdine"/>
    <m/>
    <m/>
    <n v="0"/>
  </r>
  <r>
    <x v="783"/>
    <s v="Hull CA"/>
    <s v="Irvine"/>
    <s v="Ariel"/>
    <s v="Email"/>
    <s v="California Ventures LLC"/>
    <m/>
    <x v="21"/>
    <s v="Los Angeles"/>
    <x v="1"/>
    <m/>
    <x v="0"/>
    <x v="1202"/>
    <x v="1660"/>
    <s v="TIV"/>
    <s v="1989 seasonal home currently w/Lex. Agent looking to us for renewal. Inspection and rater provided."/>
    <x v="3"/>
    <s v="Approve subj to app, risk meter, LLC form, premises liab if LLC"/>
    <m/>
    <m/>
    <s v="Patterson"/>
    <m/>
    <m/>
    <n v="0"/>
  </r>
  <r>
    <x v="476"/>
    <s v="Hull Irvine"/>
    <s v="CA"/>
    <s v="Alison"/>
    <s v="Email"/>
    <s v="Maralian"/>
    <s v="Vahe"/>
    <x v="0"/>
    <s v="Malibu"/>
    <x v="1"/>
    <m/>
    <x v="0"/>
    <x v="1203"/>
    <x v="1661"/>
    <s v="TIV"/>
    <s v="No brush, Malibu risk"/>
    <x v="4"/>
    <s v="acceptable for approval"/>
    <m/>
    <m/>
    <s v="Burdine"/>
    <m/>
    <m/>
    <n v="0"/>
  </r>
  <r>
    <x v="712"/>
    <s v="Hull CA"/>
    <s v="Irvine"/>
    <s v="Alex"/>
    <s v="Email"/>
    <s v="Ross, Gary"/>
    <m/>
    <x v="0"/>
    <s v="Laguna Niguel CA PC3"/>
    <x v="3"/>
    <m/>
    <x v="0"/>
    <x v="1203"/>
    <x v="1662"/>
    <s v="2 prior slab losses"/>
    <s v="1998 home with 2 prior slab losses in 2015.  Both were under $10,000.  $10K water damage deductible applied.  Insured handles estate planning law."/>
    <x v="2"/>
    <s v="What kind of pipes? What repairs and prevention measures were made to prevent more of these type of losses. What is competition doing with this and what is their pricing."/>
    <s v="No measures taken other than repair. Pipes are copper.  We finally agreed on releasing terms with a $25,000 deductible. Based on online loss information about these type of losses, we should be well covered with this deductible.  "/>
    <m/>
    <s v="Patterson"/>
    <m/>
    <m/>
    <n v="0"/>
  </r>
  <r>
    <x v="8"/>
    <s v="AmWINS"/>
    <s v="IL"/>
    <s v="Tasha"/>
    <m/>
    <s v="Acbercrombie"/>
    <s v="John"/>
    <x v="0"/>
    <s v="Orland Park"/>
    <x v="4"/>
    <s v="60473"/>
    <x v="8"/>
    <x v="1204"/>
    <x v="1663"/>
    <s v="Prior Lapse/NRN"/>
    <s v="Masonry home built in 2001. Square footage of the two story home is 8763. Pastor had home on the church policy. When the carrier discovered it was on the commercial policy it was removed without pastor knowing. When the insurer asked for proof of insurance, the lapse was discovered. Lapse started 3/13/19."/>
    <x v="0"/>
    <s v="Application mentions an adverse possession or cloud on the title of the home. We need clarification before moving forward."/>
    <m/>
    <m/>
    <s v="Lazovik"/>
    <m/>
    <m/>
    <n v="0"/>
  </r>
  <r>
    <x v="102"/>
    <s v="Burns"/>
    <s v="CA"/>
    <s v="Leslie"/>
    <s v="Email"/>
    <s v="LINDA MONTGOMERY &amp; ROY HAHN"/>
    <m/>
    <x v="158"/>
    <s v="San Francisco"/>
    <x v="1"/>
    <m/>
    <x v="8"/>
    <x v="1205"/>
    <x v="1312"/>
    <s v="NR prior carrier"/>
    <s v="NR for no alarm. In very high-security condo with a 24 hour guard, high security entry and key operated elevator.  Full sprinkler system in each unit."/>
    <x v="4"/>
    <s v="Very secure property, and sprinkler systems in place"/>
    <m/>
    <m/>
    <s v="Burdine"/>
    <m/>
    <m/>
    <n v="0"/>
  </r>
  <r>
    <x v="754"/>
    <s v="Hull Irvine"/>
    <s v="CA"/>
    <s v="Alison"/>
    <s v="Email"/>
    <s v="Mirzaie"/>
    <s v="Reza"/>
    <x v="0"/>
    <s v="Palisades"/>
    <x v="1"/>
    <m/>
    <x v="0"/>
    <x v="1206"/>
    <x v="1664"/>
    <s v="TIV"/>
    <s v="We are quoting C at 50% and D at 20%. It has CS fire &amp; burglar alarms. Not technically in a brush zone. "/>
    <x v="4"/>
    <s v="RCE provided, photos, ISO OK"/>
    <m/>
    <m/>
    <s v="Burdine"/>
    <m/>
    <m/>
    <n v="0"/>
  </r>
  <r>
    <x v="116"/>
    <s v="Hull Irvine"/>
    <m/>
    <s v="Alex"/>
    <s v="Email"/>
    <s v="Ullrich, Jeffrey &amp; Darlene"/>
    <m/>
    <x v="0"/>
    <s v="Studio City"/>
    <x v="1"/>
    <m/>
    <x v="11"/>
    <x v="1207"/>
    <x v="1665"/>
    <s v="Prior loss"/>
    <s v="Home completely gutted and redone in 2015. Prior owner had a $300K+ water loss.  All systems replaced. No charge for prior loss.  Amazing online photos. Looks like a great home. Alarms will be activated when purchase is complete."/>
    <x v="4"/>
    <m/>
    <m/>
    <m/>
    <s v="Patterson"/>
    <m/>
    <m/>
    <n v="0"/>
  </r>
  <r>
    <x v="683"/>
    <s v="Burns"/>
    <s v="MI"/>
    <s v="Jill"/>
    <s v="Email"/>
    <s v="Bowen, Brian"/>
    <m/>
    <x v="0"/>
    <m/>
    <x v="1"/>
    <m/>
    <x v="0"/>
    <x v="1208"/>
    <x v="1666"/>
    <s v="TIV"/>
    <s v="1988 home updated. In brush. App notes prior cancel/nrn - no explanation.  No info on alarms - usually require at this level. Online notes security guard and station at gated entrance."/>
    <x v="3"/>
    <s v="Advised what we found. Prior cancel - why? If brush, okay. Other, refer back."/>
    <m/>
    <m/>
    <s v="Patterson"/>
    <m/>
    <m/>
    <n v="0"/>
  </r>
  <r>
    <x v="133"/>
    <s v="Hull Irvine"/>
    <m/>
    <s v="Alex"/>
    <s v="Call"/>
    <s v="Morady"/>
    <m/>
    <x v="0"/>
    <s v="Malibu"/>
    <x v="1"/>
    <m/>
    <x v="0"/>
    <x v="1209"/>
    <x v="0"/>
    <s v="Valuation"/>
    <s v="Inspection shows $2.9M. Agent produced MSB 360 showing $2.336M. Should value be changed?"/>
    <x v="3"/>
    <s v="Review details. If similar, no gaps, okay to go with $2.336. Can ask vendor to re-run using different valuation vendor."/>
    <m/>
    <m/>
    <s v="Patterson"/>
    <m/>
    <m/>
    <n v="0"/>
  </r>
  <r>
    <x v="287"/>
    <s v="Hull CA"/>
    <s v="Irvine"/>
    <s v="Alex"/>
    <s v="Email"/>
    <s v="Montmorency, Sara"/>
    <m/>
    <x v="0"/>
    <s v="San Diego "/>
    <x v="1"/>
    <m/>
    <x v="5"/>
    <x v="1210"/>
    <x v="1667"/>
    <s v="TIV"/>
    <s v="2005 risk in low brush area. On golf course in new community. Alarms. Very nice online photos."/>
    <x v="4"/>
    <s v="Advised if a small credit is needed to compete, okay to apply."/>
    <m/>
    <m/>
    <s v="Patterson"/>
    <m/>
    <m/>
    <n v="0"/>
  </r>
  <r>
    <x v="176"/>
    <s v="Burns"/>
    <s v="MI"/>
    <s v="Danielle"/>
    <s v="Email"/>
    <s v="Martin"/>
    <s v="David"/>
    <x v="0"/>
    <m/>
    <x v="1"/>
    <m/>
    <x v="9"/>
    <x v="1211"/>
    <x v="1668"/>
    <s v="TIV"/>
    <s v="primary home submission for the above named insured located in CA(HO3 in a brush zone).  Home was built in 2005 of frame construction.  PC3 with alarms and no losses. Adding - $10,000 animal liability, "/>
    <x v="3"/>
    <s v="Approved subject to acceptable responses on animal question on app as currently blank."/>
    <m/>
    <m/>
    <s v="Burdine"/>
    <m/>
    <m/>
    <n v="0"/>
  </r>
  <r>
    <x v="831"/>
    <s v="Burns"/>
    <s v="MI"/>
    <s v="Alexa"/>
    <s v="Email"/>
    <s v="Mahanian"/>
    <s v="Robert"/>
    <x v="2"/>
    <s v="Los Angeles"/>
    <x v="1"/>
    <m/>
    <x v="11"/>
    <x v="1212"/>
    <x v="109"/>
    <s v="TIV"/>
    <s v="full time tenant occupied dwelling located in CA, home was built in 1936, frame construction, fully updated in 2006,  PC1, no c/s alarms, and no losses., wood roof (ACV roof endorsement)"/>
    <x v="3"/>
    <s v="ERC OK since full updates in 2006; subject to no home business being conducted on premises. From google search, he is a owner of a robocall company that has been sued in the past. Doesn't have any personal issues though"/>
    <m/>
    <m/>
    <s v="K.Burdine"/>
    <m/>
    <m/>
    <n v="0"/>
  </r>
  <r>
    <x v="404"/>
    <s v="Burns"/>
    <s v="MI"/>
    <s v="David"/>
    <s v="Email"/>
    <s v="Tender hearts enterprises"/>
    <s v=" "/>
    <x v="0"/>
    <s v="Silverado"/>
    <x v="1"/>
    <m/>
    <x v="9"/>
    <x v="1213"/>
    <x v="1669"/>
    <s v="TIV"/>
    <s v="In brush, want to rewrite from CRC to Burns"/>
    <x v="3"/>
    <s v="Originally declined due to TIV, but per agent requoted less than $3mil. Approved sub to rush inspection"/>
    <m/>
    <m/>
    <s v="Burdine"/>
    <m/>
    <m/>
    <n v="0"/>
  </r>
  <r>
    <x v="380"/>
    <s v="Hull Irvine"/>
    <m/>
    <s v="Alison"/>
    <s v="Email"/>
    <s v="NAG Investments Limited Partnership"/>
    <m/>
    <x v="16"/>
    <s v="Malibu"/>
    <x v="1"/>
    <m/>
    <x v="8"/>
    <x v="1214"/>
    <x v="1454"/>
    <s v="TIV"/>
    <s v="1959 home updated in 2009. No online photos. In brush. FD 1 mile away, hydrant 50' away per app. Appears to be some flat roof so agent applied $10,000 water damage ded."/>
    <x v="4"/>
    <s v="$10K roof ded, LLC form."/>
    <m/>
    <m/>
    <s v="Patterson"/>
    <m/>
    <m/>
    <n v="0"/>
  </r>
  <r>
    <x v="421"/>
    <s v="Hull CA"/>
    <s v="Stockton"/>
    <s v="Melissa"/>
    <s v="Email"/>
    <s v="Tsai"/>
    <m/>
    <x v="0"/>
    <s v="Anguin CA PC9"/>
    <x v="3"/>
    <m/>
    <x v="0"/>
    <x v="1214"/>
    <x v="1670"/>
    <s v="TIV"/>
    <s v="Med. Brush, 100-200' clearance, 5 acres, 1994 "/>
    <x v="2"/>
    <s v="Need 150' clearance, Do we have to give 5% credit?, Advised TIV is close to $5m."/>
    <s v="Emailed 1/4/16-asked Melissa to let me know."/>
    <m/>
    <s v="Patterson"/>
    <m/>
    <m/>
    <n v="0"/>
  </r>
  <r>
    <x v="805"/>
    <s v="Burns"/>
    <s v="MI"/>
    <s v="Alexa"/>
    <s v="Email"/>
    <s v="Christiane   BWH106779"/>
    <s v="Niels &amp; Marie"/>
    <x v="0"/>
    <s v="Pasadena"/>
    <x v="1"/>
    <m/>
    <x v="11"/>
    <x v="1215"/>
    <x v="1671"/>
    <s v="TIV"/>
    <s v="2000 primary home w/ c/s burglar alarm. Approved last year. Agent requesting renewal terms."/>
    <x v="3"/>
    <s v="Reviewed submission, don't see anything different. Advised agent no need to refer renewals if no change to risk or guidelines. Asked if something changed to let me know."/>
    <m/>
    <m/>
    <s v="Patterson"/>
    <m/>
    <m/>
    <n v="0"/>
  </r>
  <r>
    <x v="708"/>
    <s v="Burns"/>
    <s v="MI"/>
    <s v="Ben"/>
    <s v="Email"/>
    <s v="Christiane, Niels &amp; Marie"/>
    <m/>
    <x v="36"/>
    <s v="Pasadena "/>
    <x v="1"/>
    <m/>
    <x v="11"/>
    <x v="1215"/>
    <x v="1671"/>
    <s v="TIV"/>
    <s v="Home was built in 2000 of frame construction. Roof updated in 2016. Primary PC 1 in brush and no losses. Customer also wants lower coverage B/C/D"/>
    <x v="3"/>
    <s v="Castle Inspection OK (just noted brush), approving with understanding that if customer wants to signifcantly increase limits need to be mindful of TIV. 11/30 Follow up indicated no alarms, but has sprinkler, visibile to neighbors. $5K ded. Ok'd same rate."/>
    <m/>
    <m/>
    <s v="Burdine"/>
    <m/>
    <m/>
    <n v="0"/>
  </r>
  <r>
    <x v="214"/>
    <s v="SCU"/>
    <s v="CO"/>
    <s v="Allison"/>
    <s v="Email"/>
    <s v="O'Connor, Victoria"/>
    <m/>
    <x v="21"/>
    <s v="Edwards CO PC5"/>
    <x v="3"/>
    <m/>
    <x v="0"/>
    <x v="1216"/>
    <x v="1672"/>
    <s v="TIV&gt;$3M"/>
    <s v="1997 home that will be primary in 5 months. Currently it is &quot;secondary&quot;.  This would normally be suspicious, possibly vacant. However, there is a property manager, there are full alarms and it is in a gated community.  Asked for more info on secondary use."/>
    <x v="0"/>
    <s v="Allison provided information about the seasonal use of the home. Sounds acceptable. They use it on weekends and breaks."/>
    <m/>
    <m/>
    <s v="Patterson"/>
    <m/>
    <m/>
    <n v="0"/>
  </r>
  <r>
    <x v="366"/>
    <s v="Hull CA"/>
    <s v="Stockton"/>
    <s v="Kirk"/>
    <s v="Email"/>
    <s v="Farah, Michael"/>
    <m/>
    <x v="0"/>
    <s v="Hemet"/>
    <x v="1"/>
    <m/>
    <x v="6"/>
    <x v="1217"/>
    <x v="1673"/>
    <s v="TIV"/>
    <s v="Endorsement of Cov A from inspection drove this over $3M binding authority. 2005 home w/alarms in brush. PC9. FD 5 miles away. "/>
    <x v="3"/>
    <s v="Approved subj to acceptable LLC form."/>
    <m/>
    <m/>
    <s v="Patterson"/>
    <m/>
    <m/>
    <n v="0"/>
  </r>
  <r>
    <x v="248"/>
    <s v="Hull CA"/>
    <s v="Irvine"/>
    <s v="Alison"/>
    <s v="Email"/>
    <s v="Boerma, Anthony"/>
    <m/>
    <x v="0"/>
    <s v="Beverly Hills CA  PC2"/>
    <x v="3"/>
    <m/>
    <x v="0"/>
    <x v="1218"/>
    <x v="1674"/>
    <s v="TIV&gt;$3M"/>
    <s v="1988 home updated in 1998. Few online photos. In renie brush zone. Surcharged and 10% addl s/c added by agent. Full alarms"/>
    <x v="4"/>
    <m/>
    <m/>
    <m/>
    <s v="Patterson"/>
    <m/>
    <m/>
    <n v="0"/>
  </r>
  <r>
    <x v="269"/>
    <s v="Hull CO"/>
    <s v="Horsham"/>
    <s v="Nichole"/>
    <s v="Email"/>
    <s v="Karman, Robin"/>
    <m/>
    <x v="16"/>
    <s v="Philadelphia"/>
    <x v="2"/>
    <m/>
    <x v="2"/>
    <x v="1219"/>
    <x v="1675"/>
    <s v="TIV/Losses"/>
    <s v="1990 3 story townhome used seasonally. Fully alarmed. Indoor pool. Very nice looking home per online pix. Has 3 unrelated water damage losses. 3/14 Sewer $43K; 3/15 AC Failure $16K; 3/15 Ice dam $21K. Agent offering $75K ded. All repairs made. "/>
    <x v="3"/>
    <s v="Approed w/ $75K water damage deductible. No water/sewer backup (was req on app)."/>
    <m/>
    <m/>
    <s v="Patterson"/>
    <m/>
    <m/>
    <n v="0"/>
  </r>
  <r>
    <x v="367"/>
    <s v="Hull CA"/>
    <s v="Irvine"/>
    <s v="Vanessa"/>
    <s v="Email"/>
    <s v="Richard Living Trust"/>
    <m/>
    <x v="112"/>
    <s v="Rancho Mirage CA PC6"/>
    <x v="3"/>
    <m/>
    <x v="0"/>
    <x v="1220"/>
    <x v="1676"/>
    <s v="Vacay Rental"/>
    <s v="2995 Vacation Rental w/ guest house. Has no central station, local alarms. Wants water backup."/>
    <x v="4"/>
    <s v="1 week minimum. High end home, high rent. Feel water backup will be okay, home will be respected. This is in a community w/unmanned gate. Asked for 2% s/c for lack of alarm. Advised agt to add work comp, not on quote."/>
    <m/>
    <m/>
    <s v="Patterson"/>
    <m/>
    <m/>
    <n v="0"/>
  </r>
  <r>
    <x v="123"/>
    <s v="SCU"/>
    <s v="CO"/>
    <s v="Allison"/>
    <s v="Email"/>
    <s v="Bolin Spruce Way LLC"/>
    <m/>
    <x v="6"/>
    <s v="Vail"/>
    <x v="19"/>
    <m/>
    <x v="8"/>
    <x v="1221"/>
    <x v="25"/>
    <s v="Occupancy"/>
    <s v="Duplex where one side is finished and up for sale, other still under construction and will be up for sale.  LLC for asset protection."/>
    <x v="0"/>
    <s v="LLC form.  .21 pricing - asked her to take a look at it.  Usually like to add 10% for tail end.  //  6/22 contractor has carried no insurance! Suggested 12% surcharge which brings prem in just below $6K."/>
    <m/>
    <m/>
    <s v="Patterson"/>
    <m/>
    <m/>
    <n v="0"/>
  </r>
  <r>
    <x v="449"/>
    <s v="SCU"/>
    <s v="CO"/>
    <s v="Allison"/>
    <m/>
    <s v="Yomtobian"/>
    <s v="Daniel"/>
    <x v="2"/>
    <s v="Beverly Hills"/>
    <x v="1"/>
    <n v="90210"/>
    <x v="8"/>
    <x v="1221"/>
    <x v="1389"/>
    <s v="TIV"/>
    <s v="Frame home built in 1963. Full remodel in 2006 with an addition. No CSFB alarm so $10k theft deductible. ACV Contents."/>
    <x v="4"/>
    <s v="No CSA so agree with theft deductible. "/>
    <m/>
    <m/>
    <s v="Lazovik"/>
    <m/>
    <m/>
    <n v="0"/>
  </r>
  <r>
    <x v="80"/>
    <s v="Burns"/>
    <s v="MI"/>
    <s v="Delta"/>
    <s v="Email"/>
    <s v=" 118 Scrub Oak LLC"/>
    <m/>
    <x v="15"/>
    <s v="Santa Rosa Beach"/>
    <x v="32"/>
    <m/>
    <x v="9"/>
    <x v="1221"/>
    <x v="1677"/>
    <s v="High profile"/>
    <s v="2014 home owned by Drew Brees, pro football player of New Orleans Saints. Investment for seasonal use and STR. No alarms. .5 mi from coast, wind/hail excluded. Agent quoting subj to alarms and LLC quest."/>
    <x v="3"/>
    <s v="Approved property coverage, but exclude liability and exclude personal injury. Insd is pretty high profile."/>
    <m/>
    <m/>
    <s v="Patterson"/>
    <m/>
    <m/>
    <n v="0"/>
  </r>
  <r>
    <x v="364"/>
    <s v="Burns"/>
    <s v="MI"/>
    <s v=" Delta"/>
    <s v="Email"/>
    <s v="Armstrong, William"/>
    <m/>
    <x v="0"/>
    <s v="Weston "/>
    <x v="21"/>
    <m/>
    <x v="5"/>
    <x v="1221"/>
    <x v="1678"/>
    <s v="TIV"/>
    <s v="2002 home w/full alarms. 1 loss storm dmg to roof 2016 $45K. Closed. Also wants $140K PAF. Beautiful online pics."/>
    <x v="3"/>
    <s v="Can't do the schedule-referred to Markel Specialty."/>
    <m/>
    <m/>
    <s v="Patterson"/>
    <m/>
    <m/>
    <n v="0"/>
  </r>
  <r>
    <x v="367"/>
    <s v="Hull CA"/>
    <s v="Stockton"/>
    <s v="Kirk"/>
    <s v="Email"/>
    <s v="Kelly, Michael"/>
    <m/>
    <x v="21"/>
    <s v="Sonoma CA PC6"/>
    <x v="3"/>
    <m/>
    <x v="0"/>
    <x v="1221"/>
    <x v="1571"/>
    <s v="TIV"/>
    <s v="New construction. Med/high brush. Includes animal liab buyback but no animals per app. Online source lists as farm/ranch property. Also lots of woods. "/>
    <x v="4"/>
    <s v="Subject to confirmation of no farm/ranch, no current concerning animals, conf of 150' clearance post inspection ok."/>
    <m/>
    <m/>
    <s v="Patterson"/>
    <m/>
    <m/>
    <n v="0"/>
  </r>
  <r>
    <x v="112"/>
    <s v="Burns"/>
    <m/>
    <s v="Danielle"/>
    <s v="Email"/>
    <s v="Boyacigiller, Nakiye"/>
    <m/>
    <x v="2"/>
    <s v="Atherton"/>
    <x v="1"/>
    <m/>
    <x v="8"/>
    <x v="1221"/>
    <x v="1679"/>
    <s v="TIV"/>
    <s v="1997 home w/ alarms, no losses, not in brush. "/>
    <x v="3"/>
    <s v="• Confirm square footage and Cov A.  The home is 640 square feet per several online sources._x000a_• Confirmation the dwelling is not rented to a business.  Online sources show Economic Recovery Systems - Credit counseling service at this address (online review references &quot;going in&quot; to the business)  _x000a_https://www.google.com/#q=economic+recovery+systems+atherton+ca&amp;spf=1495808581354_x000a_"/>
    <m/>
    <m/>
    <s v="Patterson"/>
    <m/>
    <m/>
    <n v="0"/>
  </r>
  <r>
    <x v="187"/>
    <s v="Burns"/>
    <s v="MI"/>
    <s v="Jill"/>
    <s v="Email"/>
    <s v="PACS COLORADO LLC"/>
    <s v="PACS COLORADO LLC"/>
    <x v="16"/>
    <s v="Keystone"/>
    <x v="19"/>
    <m/>
    <x v="8"/>
    <x v="1221"/>
    <x v="1680"/>
    <s v="TIV"/>
    <s v="Built in 1995, PC2, frame, secondary, c/s alarms, no losses, located in CO"/>
    <x v="4"/>
    <s v="photos, ISO OK"/>
    <m/>
    <m/>
    <s v="Burdine"/>
    <m/>
    <m/>
    <n v="0"/>
  </r>
  <r>
    <x v="815"/>
    <s v="Hull CA"/>
    <s v="Stockton"/>
    <s v="Melissa"/>
    <s v="Email"/>
    <s v="Schaumburg, Brian"/>
    <m/>
    <x v="0"/>
    <s v="Canyon Country CA PC4"/>
    <x v="3"/>
    <m/>
    <x v="0"/>
    <x v="1221"/>
    <x v="1681"/>
    <s v="TIV &gt;$3M"/>
    <s v="1987, tile roof, no brush, alarmed, beautiful pix online. Insd is large restoration contractor. Boardwalk Contr is in Palmdale"/>
    <x v="4"/>
    <m/>
    <m/>
    <m/>
    <s v="Patterson"/>
    <m/>
    <m/>
    <n v="0"/>
  </r>
  <r>
    <x v="574"/>
    <s v="SCU"/>
    <s v="MI"/>
    <s v="Ashley"/>
    <m/>
    <s v="Martinet"/>
    <s v="Mark &amp; Amy"/>
    <x v="0"/>
    <s v="Denver"/>
    <x v="19"/>
    <s v="80218"/>
    <x v="8"/>
    <x v="1222"/>
    <x v="1682"/>
    <s v="TIV"/>
    <s v="1906 home w/full updates. Quoted with FRC. Roof replaced in 2016. Part flat roof. $10K AOP quoted. Insp shows vey nice condition. Prior losses - 4/12 wind $0. 1/15 hot water boiler exploded - replaced with furnace. 6/15 CAT hail dmg to roof - roof fully replaced.  Yes answer to office/business on premises - no info."/>
    <x v="3"/>
    <s v="Okay with new app and insp. 10% discretionary credit within authority. Losses 4+ years old - replacements completed. $10K AOP covers flat roof. No adverse info on insd per Google. Good ins scores. Subj to business info - if more than home office for insd only, refer back."/>
    <s v="Mark 818 ins score. Amy 722 ins score."/>
    <m/>
    <s v="Patterson"/>
    <m/>
    <m/>
    <n v="0"/>
  </r>
  <r>
    <x v="629"/>
    <s v="Hull Irvine"/>
    <s v="CA"/>
    <s v="Michelle"/>
    <s v="Email"/>
    <s v="Haywood"/>
    <s v="Michael"/>
    <x v="0"/>
    <s v="Carlsbad"/>
    <x v="1"/>
    <m/>
    <x v="9"/>
    <x v="1223"/>
    <x v="1683"/>
    <s v="TIV"/>
    <s v="Frame home built in 2007. Tile roof looks like it has multiple broken tiles. Rest of the home looks very nice and well cared for - just the roof is an issue."/>
    <x v="3"/>
    <s v="Requiring ACV Roof or exclusion. Michelle sent the quote out without approval after realizing the ACV was incorrect on her end. Risk looked fine (except the roof). I did request she let us know if we are on it."/>
    <m/>
    <m/>
    <s v="Lazovik"/>
    <m/>
    <m/>
    <n v="0"/>
  </r>
  <r>
    <x v="470"/>
    <s v="Hull Irvine"/>
    <s v="CA"/>
    <s v="Michelle"/>
    <m/>
    <s v="Holder"/>
    <s v="Don C &amp; Jana D"/>
    <x v="0"/>
    <s v="Santa Fe"/>
    <x v="1"/>
    <s v="92067"/>
    <x v="9"/>
    <x v="1224"/>
    <x v="1684"/>
    <s v="TIV"/>
    <s v="WRS 6. Not eligible due to TIV guidelines. TIV over $3M in CA is not eligible. "/>
    <x v="1"/>
    <s v="Risk not eligible per TIV guidelines"/>
    <m/>
    <m/>
    <s v="Busse"/>
    <m/>
    <m/>
    <n v="1"/>
  </r>
  <r>
    <x v="567"/>
    <s v="Burns"/>
    <s v="MI"/>
    <s v="Ben"/>
    <s v="Email"/>
    <s v="Lucido, Kevin"/>
    <m/>
    <x v="98"/>
    <m/>
    <x v="3"/>
    <m/>
    <x v="0"/>
    <x v="1225"/>
    <x v="1685"/>
    <s v="TIV&gt;$3M"/>
    <s v="1989 frame home .25 miles from coast. 4th row home. Seasonal and rented 5-8 weeks. Mostly weekly rental. Roof not updated. Alarms. Public record shows RD GENERALLY MISD. This is a Reckless Driving violation. Not good, but don't see this as an issue with a home.  Verified insurance score is good."/>
    <x v="2"/>
    <s v="App says rented 52 weeks?  No UW questions answered? Why leaving Chubb. House accomodates up to 14 renters and per reviews there have been groups of that size. Was considering adding s/c but rate is adequate. Rate 23437/AAL 8445."/>
    <m/>
    <m/>
    <s v="Patterson"/>
    <m/>
    <m/>
    <n v="0"/>
  </r>
  <r>
    <x v="622"/>
    <s v="Hull Irvine"/>
    <s v="CA"/>
    <s v="Alison"/>
    <s v="Email"/>
    <s v="Wallenchinsky"/>
    <s v="David &amp; Flora"/>
    <x v="0"/>
    <s v="Santa Monica"/>
    <x v="1"/>
    <m/>
    <x v="0"/>
    <x v="1226"/>
    <x v="1686"/>
    <s v="High Profile"/>
    <s v="Author, home has alarms but not active so quoting with minimum deductible requirements for TIV"/>
    <x v="4"/>
    <s v="reviewed, and discussed with LT. Applicant founded website for under reported government news. OK including Sect II"/>
    <m/>
    <m/>
    <s v="Burdine"/>
    <m/>
    <m/>
    <n v="0"/>
  </r>
  <r>
    <x v="388"/>
    <s v="Hull Irvine"/>
    <s v="CA"/>
    <s v="Melissa"/>
    <m/>
    <s v="Rooney"/>
    <s v="Kevin"/>
    <x v="0"/>
    <s v="Hillsborough"/>
    <x v="1"/>
    <n v="94010"/>
    <x v="5"/>
    <x v="1227"/>
    <x v="1687"/>
    <s v="TIV"/>
    <s v="1971 home with wood frame and brick veneer and stucco siding. Centra station fire and burglar alarm monitored by Hillsborough Police department. Sprinkler system is installed. Exclude solar panels. One tree loss of just over $4k. Trying to move this from Lexington to us due to high renewal amount. "/>
    <x v="3"/>
    <s v="Confirm the CSA for burglary and fire station and sprinkler system. Confirm solar panels were installed by professional contractor. Recommending an extra 15% on top of the quote we supplied. Also asking if we are under on a lot of quotes right now."/>
    <m/>
    <m/>
    <s v="Lazovik"/>
    <m/>
    <m/>
    <n v="0"/>
  </r>
  <r>
    <x v="625"/>
    <s v="Hull Irvine"/>
    <s v="CA"/>
    <s v="Alison"/>
    <s v="Email"/>
    <s v="Shoumer"/>
    <s v="Hersel &amp; Neda"/>
    <x v="1"/>
    <s v="Beverly Hills"/>
    <x v="1"/>
    <m/>
    <x v="0"/>
    <x v="1228"/>
    <x v="1688"/>
    <s v="Builders Risk"/>
    <s v="Builder's risk, insured living in home. Licensed GC, quote with endorsements for coverage while they are in home. "/>
    <x v="4"/>
    <s v="approved as quoted"/>
    <m/>
    <m/>
    <s v="Burdine"/>
    <m/>
    <m/>
    <n v="0"/>
  </r>
  <r>
    <x v="542"/>
    <s v="Hull Irvine"/>
    <m/>
    <s v="Alison"/>
    <s v="Email"/>
    <s v="Jackson"/>
    <s v="Robert &amp; Tara"/>
    <x v="0"/>
    <s v="Santa Ynez"/>
    <x v="1"/>
    <m/>
    <x v="4"/>
    <x v="1229"/>
    <x v="40"/>
    <s v="TIV"/>
    <s v="1985 home w/ alarms &amp; updates in 1998. Low brush. 20 acres, no farming, no horses. Prior wind loss and water $175K in 8/16. Sink overflow. Chubb NRN. Can't open all attachments"/>
    <x v="2"/>
    <s v="• What was the cause of loss?  (App says sink overflow…any more detail?)_x000a_• What has been done to mitigate future loss?_x000a_• Where is the house situated on the 20 acres?  Near the front?  Fully accessible driveway?  (Trying to evaluate if the 20 acres would affect response time.)_x000a_• Please feel free to send me a copy of your quote with proposed water damage deductible and rate._x000a_• I can’t open any of the ATT 1-5 documents.  Could you please reattach in maybe a different format so I can open and review.  _x000a_Low brush. Looking for mitigation and no incr in response time."/>
    <m/>
    <n v="19"/>
    <s v="Patterson"/>
    <m/>
    <m/>
    <n v="0"/>
  </r>
  <r>
    <x v="72"/>
    <s v="Hull Stockton"/>
    <m/>
    <s v="Lisa"/>
    <s v="Email"/>
    <s v="Breya, Edward"/>
    <m/>
    <x v="0"/>
    <s v="Woodside   "/>
    <x v="1"/>
    <m/>
    <x v="4"/>
    <x v="1230"/>
    <x v="1689"/>
    <s v="TIV"/>
    <s v="Renewal policy. Inspection concerns addressed."/>
    <x v="4"/>
    <m/>
    <m/>
    <m/>
    <s v="Patterson"/>
    <m/>
    <m/>
    <n v="0"/>
  </r>
  <r>
    <x v="368"/>
    <s v="Appalachian"/>
    <s v="TN"/>
    <s v="John"/>
    <m/>
    <s v="Perez"/>
    <s v="Leticia &amp; Raul"/>
    <x v="0"/>
    <s v="Naples"/>
    <x v="32"/>
    <m/>
    <x v="4"/>
    <x v="1231"/>
    <x v="1690"/>
    <s v="PC"/>
    <s v="This is PC10 and TIV is $2,573,390.  Ins scores are in the mid 600's (5-10% surcharge).  2010 masonry risk with tile roof located in Naples FL (surprised it is PC10).  Primary home, CSFB alarms.  Both insured's work.  Responding paid FD is 8.2 miles away with a 13 minute drive time.  Response time is probably just at 15 minutes.  There is another FD 2.5 miles away (5 min) but this is not the primary FD._x000a_"/>
    <x v="2"/>
    <s v="Pending for current rate from VMGA. Emailed Partner. //  Referred to John for review of my rec to approve.  Appalachian is writing a lot with us, it's just at 15 min response time, roads are clear to the home, newer home, masonry with tile roof, csfb alarms.  I would ask the agent to give me the quoted premium and make sure we are getting at least .40 rate since this is pushing the limit of our response time. John approved. We should try to get .50. // I emailed agent 3/21 at 4:31 for the rate and confirmation of PC10. Haven't heard back// 3/22/19 advised agt of approval at .36 (agreed to by John).  // 3/27/19 John is out of the office this pm and tomorrow am. Agt advises they must get under $9,000 prem to sell.  Overall we are okay with this risk. I made an executive decision w/John out and agreed to go with .348 rate for total of $8,955. Only .012 less than we agreed on.  I emailed John to advise."/>
    <m/>
    <m/>
    <s v="Patterson"/>
    <m/>
    <m/>
    <n v="0"/>
  </r>
  <r>
    <x v="62"/>
    <s v="Hull Irvine"/>
    <m/>
    <s v="Alex"/>
    <s v="Email/Call"/>
    <s v="Blum, Deborah"/>
    <m/>
    <x v="7"/>
    <s v="Beverly Hills"/>
    <x v="1"/>
    <m/>
    <x v="25"/>
    <x v="1232"/>
    <x v="1691"/>
    <s v="Pricing "/>
    <s v="1913 home updated, nice photos per inspection. Insured occasionally rents out guest house and a room in their house.  We are competitive w/ Lloyds w/a 5% credit. Good agent risk looks nice. Insured would be home during any rental"/>
    <x v="3"/>
    <s v="Allowed 5% credit to compete w/Lloyds policy."/>
    <m/>
    <m/>
    <s v="Patterson"/>
    <m/>
    <m/>
    <n v="0"/>
  </r>
  <r>
    <x v="321"/>
    <s v="Burns"/>
    <s v="MI"/>
    <s v="Nicole"/>
    <m/>
    <s v="Sykes"/>
    <s v="James &amp; Mariann"/>
    <x v="0"/>
    <s v="Hortonville"/>
    <x v="12"/>
    <s v="54944"/>
    <x v="6"/>
    <x v="1233"/>
    <x v="1692"/>
    <s v="Business on Premises"/>
    <s v="2009 home on 80 acres. Per agent, grape vines personal use,  cattle boarded for a vet, hosts weddings/showers on property - GL in place. 1 loss - collapse of greenhouse from weight of snow. $27K 4/18. Excluding liab."/>
    <x v="1"/>
    <s v="Online shows lots of cows, &quot;pick your own grapes&quot;, cooking classes, beehives and people in beekeeper gear. Seems there is more going on. Evaluate full exposure to determine if we have a defense cost concern. If ok, add TBE and greenhouse exclusion. // Very little info provided about these exposures so I declined the risk. "/>
    <m/>
    <m/>
    <s v="Patterson"/>
    <m/>
    <m/>
    <n v="1"/>
  </r>
  <r>
    <x v="505"/>
    <s v="Hull Irvine"/>
    <m/>
    <s v="Melissa"/>
    <s v="Email"/>
    <s v="Akpulat"/>
    <s v="Karabet"/>
    <x v="0"/>
    <s v="Encino "/>
    <x v="1"/>
    <m/>
    <x v="0"/>
    <x v="1234"/>
    <x v="36"/>
    <s v="Inspection"/>
    <s v="Would we waive inspection since they got one in 2016? 1976 home w/updates. Good inspection, photos look good. Not in brush. Alarms and sprinkler."/>
    <x v="0"/>
    <s v="Need to confirm cov A and submit for full review. We didn't get all the required info.///8/10 all info received and looks good."/>
    <m/>
    <n v="28"/>
    <s v="Patterson"/>
    <m/>
    <m/>
    <n v="0"/>
  </r>
  <r>
    <x v="337"/>
    <s v="Hull Irvine"/>
    <s v="CA"/>
    <s v="Alex"/>
    <s v="Email"/>
    <s v="Polacheck"/>
    <s v="Brent &amp; Jody"/>
    <x v="0"/>
    <s v="Calabasas"/>
    <x v="1"/>
    <m/>
    <x v="0"/>
    <x v="1235"/>
    <x v="1693"/>
    <s v="Prior Losses/Non-renewal"/>
    <s v="water damage claims.  I have quoted with the normal loss s/c and with a $50K WD deductible as that is the program’s max.  The insured has mitigated against future plumbing issues with installing a water shutoff valve.  It looks like the claim in regards to the balcony was a freak accident.  "/>
    <x v="3"/>
    <s v="Subject to water dmg exclusion; shutoff didn't address freak accident (water on outside of home caused collapse of balcony)."/>
    <m/>
    <m/>
    <s v="Burdine"/>
    <m/>
    <m/>
    <n v="0"/>
  </r>
  <r>
    <x v="190"/>
    <s v="Hull Irvine"/>
    <s v="CA"/>
    <s v="Melissa"/>
    <s v="Email"/>
    <s v="Ross   HUCAH150003568"/>
    <s v="Douglas  "/>
    <x v="0"/>
    <s v="La Canada-Flintridge"/>
    <x v="1"/>
    <m/>
    <x v="0"/>
    <x v="1236"/>
    <x v="30"/>
    <s v="TIV"/>
    <s v="Risk is not in brush zone. Quoted value was under $3M. Policy was issued. Inspection value is over $3M which requires approval.  (This is not the $3M TIV cap)."/>
    <x v="4"/>
    <s v="Very nice home, not in brush."/>
    <m/>
    <m/>
    <s v="Patterson"/>
    <m/>
    <m/>
    <n v="0"/>
  </r>
  <r>
    <x v="271"/>
    <s v="Hull CA"/>
    <s v="Irvine"/>
    <s v="Alex"/>
    <s v="Email"/>
    <s v="Jassim"/>
    <m/>
    <x v="0"/>
    <s v="Beverly Hills"/>
    <x v="1"/>
    <m/>
    <x v="5"/>
    <x v="1237"/>
    <x v="1694"/>
    <s v="TIV "/>
    <s v="Clean risk. 2010 renewal Alex is quoting. Doesn't have a new app now.  Reviewed rater and Risk Meter. In brush."/>
    <x v="0"/>
    <s v="Approved subj to a complete submission and brush clearance. "/>
    <m/>
    <m/>
    <s v="Patterson"/>
    <m/>
    <m/>
    <n v="0"/>
  </r>
  <r>
    <x v="276"/>
    <s v="Hull CA"/>
    <s v="Stockton"/>
    <s v="Kirk"/>
    <s v="Email"/>
    <s v="Tribull, Cristoph"/>
    <m/>
    <x v="0"/>
    <s v="Beverly Hills"/>
    <x v="1"/>
    <m/>
    <x v="8"/>
    <x v="1238"/>
    <x v="1695"/>
    <s v="TIV"/>
    <s v="1938 home complete update in 2013. Alarms, in brush. Previously sold for $18M, but it is quite a property w/pool, tennis court.  $328/SF on the home should be adequate.  Yes to business on app-says he manages own investments. There was a questionable online article w/this insured's name, but no way to confirm it was him and it was from 1986 http://articles.latimes.com/1986-05-06/business/fi-4256_1_allegations"/>
    <x v="3"/>
    <s v="Approved - verify Cov A. Verify no public traffic."/>
    <m/>
    <m/>
    <s v="Patterson"/>
    <m/>
    <m/>
    <n v="0"/>
  </r>
  <r>
    <x v="342"/>
    <s v="Burns"/>
    <s v="MI"/>
    <s v="Jill"/>
    <s v="Email"/>
    <s v="Vallabhaneni"/>
    <s v="Rao"/>
    <x v="0"/>
    <s v="St Louis"/>
    <x v="36"/>
    <m/>
    <x v="0"/>
    <x v="1239"/>
    <x v="1696"/>
    <s v="TIV"/>
    <s v="2008 home w/2 prior losses $50K hail in 2016 and $10K water damage loss. Agent applies $10K AOP ded and there is a 2% wind/hail ($50K-ish). Nice online pictures."/>
    <x v="3"/>
    <s v="3 year Hail score is 9. Due to high ded and newer roof, we should be okay."/>
    <m/>
    <m/>
    <s v="Patterson"/>
    <m/>
    <m/>
    <n v="0"/>
  </r>
  <r>
    <x v="118"/>
    <s v="Burns"/>
    <s v="MI"/>
    <s v="Delta"/>
    <s v="Email"/>
    <s v="DelRosario, Eleano"/>
    <m/>
    <x v="0"/>
    <s v="Laguna Hills"/>
    <x v="1"/>
    <m/>
    <x v="9"/>
    <x v="1240"/>
    <x v="1697"/>
    <s v="TIV"/>
    <s v="1981 home w/ no updates, tile roof. Full alarms. No losses. App says canc/decl/nrn in last 3 years. Agents says not non-renewed."/>
    <x v="3"/>
    <s v="Verify no prior decline/cancel/nrn"/>
    <m/>
    <m/>
    <s v="Patterson"/>
    <m/>
    <m/>
    <n v="0"/>
  </r>
  <r>
    <x v="832"/>
    <s v="SCU"/>
    <s v="CO"/>
    <s v="Allison"/>
    <s v="Email"/>
    <s v="Gamel, Leslie"/>
    <m/>
    <x v="32"/>
    <s v="Steamboat Springs CO PC5"/>
    <x v="3"/>
    <m/>
    <x v="0"/>
    <x v="1241"/>
    <x v="1698"/>
    <s v="TIV"/>
    <s v="2001 PC5. Loss history=2 jewelry claims and one suit for libel/slander. News shows a dispute w/rotary club over being removed as a member."/>
    <x v="4"/>
    <s v="1st submission. Losses won't affect this property. No Personal Injury. Some concern over the nature of the insured. &quot;Rich client&quot;, per agent. Newer Home, PC5. Annual rental."/>
    <m/>
    <m/>
    <s v="Patterson"/>
    <m/>
    <m/>
    <n v="0"/>
  </r>
  <r>
    <x v="710"/>
    <s v="Hull Irvine"/>
    <m/>
    <s v="Alison"/>
    <s v="Email"/>
    <s v="Kumar, Kain"/>
    <m/>
    <x v="2"/>
    <s v="Canyon Country"/>
    <x v="1"/>
    <m/>
    <x v="0"/>
    <x v="1242"/>
    <x v="0"/>
    <s v="TIV"/>
    <s v="Name search shows several online articles about this applicant charged with health care fraud along w/many other doctors."/>
    <x v="1"/>
    <s v="Moral hazard."/>
    <m/>
    <m/>
    <s v="Patterson"/>
    <m/>
    <m/>
    <n v="1"/>
  </r>
  <r>
    <x v="68"/>
    <s v="Burns"/>
    <s v="MI"/>
    <s v="Danielle"/>
    <s v="Email/Call"/>
    <s v="Padnos Family"/>
    <m/>
    <x v="21"/>
    <s v="Saugatuck"/>
    <x v="8"/>
    <m/>
    <x v="0"/>
    <x v="1242"/>
    <x v="0"/>
    <s v="ACV Settlement"/>
    <s v="Two HO3 policies with ACV settlement. Insd buying large properties with $2.5M home and $629K caretaker home. Separate addresses. Is there an ACV option?"/>
    <x v="4"/>
    <s v="Karen created a MI for for Burns use."/>
    <m/>
    <m/>
    <s v="Patterson"/>
    <m/>
    <m/>
    <n v="0"/>
  </r>
  <r>
    <x v="532"/>
    <s v="Burns"/>
    <s v="MI"/>
    <s v="Delta"/>
    <s v="Email"/>
    <s v="662 Saddle Ridge LLC"/>
    <m/>
    <x v="109"/>
    <s v="Edwards"/>
    <x v="19"/>
    <m/>
    <x v="2"/>
    <x v="1242"/>
    <x v="25"/>
    <s v="TIV"/>
    <s v="1996 home, gutted/remodeled in 2016. No alarm. Prior owner had fire loss. Insured bought, renovated, now up for sale."/>
    <x v="3"/>
    <s v="Need an alarm. Gave them 30 days to install CSFB.  Online description shows private location. Also need to be winterized and heat left on."/>
    <m/>
    <m/>
    <s v="Patterson"/>
    <m/>
    <m/>
    <n v="0"/>
  </r>
  <r>
    <x v="621"/>
    <s v="XS Brokers"/>
    <s v="MA"/>
    <s v="Barbara"/>
    <m/>
    <s v="Fortuna Nominee Trust"/>
    <m/>
    <x v="6"/>
    <s v="Osterville"/>
    <x v="21"/>
    <s v="02655"/>
    <x v="9"/>
    <x v="1242"/>
    <x v="1369"/>
    <s v="Builders Risk"/>
    <s v="1884 home going thru gut/reno. Water loss at different location - pipe burst. Agt wants 2% named storm but it isn't available. Wants RC and 10% credit. Dwelling will be sold upon completion."/>
    <x v="2"/>
    <s v="First, confirm if &quot;Ms. Sullivan&quot; is &quot;Regina Sullivan&quot; and is affiliated w/trust. If so, risk is ineligible as proj mgr/gc has to be licensed/insured general contractor. If we get past this, need BR app, Trust app. 2% named storm ok, rc ok since this will be a gut/reno. BR forms apply ACV to area under construction until completed. No credit. No surcharge for loss. Agt correctly used vacant rates and insured for 100% ITV."/>
    <s v="Follow up email to Bethany to create named storm for DP for XSB and all partners."/>
    <m/>
    <s v="Patterson"/>
    <m/>
    <m/>
    <n v="0"/>
  </r>
  <r>
    <x v="25"/>
    <s v="Hull Stockton"/>
    <s v="CA"/>
    <s v="Lisa"/>
    <s v="Email"/>
    <s v="Kiepen"/>
    <s v="Scott &amp; Stephanie"/>
    <x v="1"/>
    <s v="Alamo"/>
    <x v="1"/>
    <m/>
    <x v="9"/>
    <x v="1242"/>
    <x v="1369"/>
    <s v="Builders Risk"/>
    <s v="insured w/ Zurich 3 years. Several contractor delays, 75% complete, expect September completion (mostly interior, some exterior); Zurich NR due to 3rd renewal"/>
    <x v="1"/>
    <s v="Reasons don't justify length of delay, concerns for future delays with so much work left"/>
    <m/>
    <m/>
    <s v="Burdine"/>
    <m/>
    <m/>
    <n v="1"/>
  </r>
  <r>
    <x v="286"/>
    <s v="Hull CA"/>
    <s v="Irvine"/>
    <s v="Alison"/>
    <s v="Email"/>
    <s v="Hasson"/>
    <m/>
    <x v="1"/>
    <s v="Beverly Hills"/>
    <x v="1"/>
    <m/>
    <x v="11"/>
    <x v="1242"/>
    <x v="1369"/>
    <s v="COC Questions"/>
    <s v="1930 home not fully gutted. Not sure of extent of renovation at this time. Discussed MFRC not really applicable on COC's - don't add both forms. Alarms can be flexible. Okay to apply some credit. Online photos look good."/>
    <x v="4"/>
    <m/>
    <m/>
    <m/>
    <s v="Patterson"/>
    <m/>
    <m/>
    <n v="0"/>
  </r>
  <r>
    <x v="128"/>
    <s v="Burns"/>
    <s v="MI"/>
    <s v="Jill"/>
    <s v="Email"/>
    <s v="Solaris Property Group LLC  BWD104421"/>
    <m/>
    <x v="2"/>
    <s v="Greenwood"/>
    <x v="17"/>
    <m/>
    <x v="2"/>
    <x v="1242"/>
    <x v="1699"/>
    <s v="TIV"/>
    <s v="This is a Markel renewal that did not get referred at NB.  2004 masonry home. 4/1/15 wind/hail $30K. Roof replace. Inspection in file.  2 electrical hazards identified in photos that were not listed as recs. Tape over breakers in one panel, no panel cover on another.  There are 3 panels."/>
    <x v="3"/>
    <s v="LLC form in file. Get electrical hazards corrected."/>
    <m/>
    <m/>
    <s v="Patterson"/>
    <m/>
    <m/>
    <n v="0"/>
  </r>
  <r>
    <x v="672"/>
    <s v="Hull Irvine"/>
    <s v="CA"/>
    <s v="Bobbi"/>
    <s v="Email"/>
    <s v="SBW Capital Partners LLC"/>
    <s v="SBW Capital Partners LLC"/>
    <x v="6"/>
    <s v="Beverly Hills "/>
    <x v="1"/>
    <m/>
    <x v="0"/>
    <x v="1242"/>
    <x v="1370"/>
    <s v="TIV"/>
    <s v="Not in CDS brush zone, excluding roof"/>
    <x v="4"/>
    <s v="no brush, photos/online review, scope OK"/>
    <m/>
    <m/>
    <s v="Burdine"/>
    <m/>
    <m/>
    <n v="0"/>
  </r>
  <r>
    <x v="284"/>
    <s v="Hull CA"/>
    <s v="Irvine"/>
    <s v="Bobbi"/>
    <s v="Email"/>
    <s v="Hakakian, Eskandar"/>
    <m/>
    <x v="6"/>
    <s v="Malibu"/>
    <x v="1"/>
    <m/>
    <x v="5"/>
    <x v="1242"/>
    <x v="1370"/>
    <s v="Unique home/100' to brush"/>
    <s v="1993 home being renovated. Daughter will reside. Brush=red per RM; High 9 per FL. Home has interior sprinklers and is concrete. Brush cleared to 100' in some areas (property line), over 150' in others. Leaking Bedroom Ceiling. Increased foundation and engineering costs per inspection. $3,767,000 Cov A per inspection. Space heater in photos? Woodburning stove?"/>
    <x v="2"/>
    <s v="If we do, it would be as DP3 Builders Risk with addl surcharges. Insp says &quot;Home is located in designated brush fire zone that is subject to high velocity wind driven fires&quot;. Verify closest brush clearance.  Roof exclusion due to leaking. Verify Cov A. No space heaters allowed, Woodburning Stove questionnaire."/>
    <m/>
    <m/>
    <s v="Patterson"/>
    <m/>
    <m/>
    <n v="0"/>
  </r>
  <r>
    <x v="652"/>
    <s v="AmWINS"/>
    <s v="MA"/>
    <s v="Patty"/>
    <m/>
    <s v="Neal W O'Connor FLP"/>
    <m/>
    <x v="2"/>
    <s v="Osterville"/>
    <x v="21"/>
    <s v="02655"/>
    <x v="8"/>
    <x v="1242"/>
    <x v="1700"/>
    <s v="TIV"/>
    <s v="2006 year built. No mention of alarms. PC info wasn’t provided so I ran the PC report. App has a few things missing. Pool answered as yes, and when looking online appears there is no fence. Also, no LLC quest was provided. Risk appears to be OK minus the missing info. "/>
    <x v="3"/>
    <s v="Approved subject to completed and acceptable app, pool liab excl, confirmation of alarms and following appropriate guidelines, 3 star or better IS, and completed and acceptable LLC quest."/>
    <m/>
    <m/>
    <s v="Busse"/>
    <m/>
    <m/>
    <n v="0"/>
  </r>
  <r>
    <x v="474"/>
    <s v="Burns"/>
    <s v="MI"/>
    <s v="Jill"/>
    <s v="Email"/>
    <s v="Vickers, Jack A"/>
    <m/>
    <x v="5"/>
    <s v="Castle Rock"/>
    <x v="19"/>
    <m/>
    <x v="9"/>
    <x v="1242"/>
    <x v="26"/>
    <s v="TIV"/>
    <s v="1995 home w/roof updated in 2014. Insd is high profile businessman in CO. Purchased dwelling to renovate and sell. Covg lapsed w/Cinci 1 month ago. "/>
    <x v="3"/>
    <s v="DP-3, 5% surcharge for lapse. Signed no loss statement. $20K contents ok. Prem liab only. Alarms required."/>
    <m/>
    <m/>
    <s v="Patterson"/>
    <m/>
    <m/>
    <n v="0"/>
  </r>
  <r>
    <x v="474"/>
    <s v="Burns"/>
    <s v="MI"/>
    <s v="Jill"/>
    <s v="Email"/>
    <s v="Vickers, Jack A"/>
    <m/>
    <x v="5"/>
    <s v="Castle Rock"/>
    <x v="19"/>
    <m/>
    <x v="9"/>
    <x v="1242"/>
    <x v="26"/>
    <s v="TIV"/>
    <s v="1993 home w/roof updated in 2014. 2nd dwelling for Insd is high profile businessman in CO. Purchased dwelling to renovate and sell. Covg lapsed w/Cinci 1 month ago. "/>
    <x v="3"/>
    <s v="DP-3, 5% surcharge for lapse. Signed no loss statement. $20K contents ok. Prem liab only."/>
    <m/>
    <m/>
    <s v="Patterson"/>
    <m/>
    <m/>
    <n v="0"/>
  </r>
  <r>
    <x v="728"/>
    <s v="Burns"/>
    <s v="MI"/>
    <s v="Nicole"/>
    <m/>
    <s v="Wright"/>
    <s v="Korey &amp; Emily"/>
    <x v="0"/>
    <s v="Helper"/>
    <x v="22"/>
    <s v="84526"/>
    <x v="4"/>
    <x v="1242"/>
    <x v="1299"/>
    <s v="PC"/>
    <s v="2018 log home $265/SF. 25 min straight drive time by volunteer FD. Insd is installing water canons to protect property. They sit next to a large lake. CSFB. 150,000 acre cattle ranch. K score"/>
    <x v="3"/>
    <s v="Agent quoting home and contents only. No other str, no liab. Prem $9617 w/20% s/c = $.38.  Good attributes to risk, but high value and response time will be at least 30-35 minutes + longer if it sits back on acreage.  Need that info to determine final price. // 2/8 approved subj to $22,400 premium.  Insd sits 4 miles off the road, fully accessible to emergency veh. Also advised to make sure there is a 911 verifiable address.  Drive time map is within a mile or less of the property."/>
    <s v=".75 = $21,000 premium // .80=$22,400 prem."/>
    <m/>
    <s v="Patterson"/>
    <m/>
    <m/>
    <n v="0"/>
  </r>
  <r>
    <x v="51"/>
    <s v="Hull Stockton"/>
    <s v="CA"/>
    <s v="Lisa"/>
    <s v="Email"/>
    <s v="Mirrashidi"/>
    <s v="Payam"/>
    <x v="4"/>
    <s v="Strawberry"/>
    <x v="1"/>
    <m/>
    <x v="5"/>
    <x v="1242"/>
    <x v="1701"/>
    <s v="Prior Lapse/NRN"/>
    <s v="Home with lapse. Risk is in brush. Home built in 2017. CSA for fire and burglary. Stucco frame house."/>
    <x v="3"/>
    <s v="Lapse occurred when owner was out of the country for five months. "/>
    <m/>
    <m/>
    <s v="Lazovik"/>
    <m/>
    <m/>
    <n v="0"/>
  </r>
  <r>
    <x v="606"/>
    <s v="AmWINS"/>
    <s v="PA"/>
    <s v="John"/>
    <m/>
    <s v="Saligman"/>
    <s v="Brian"/>
    <x v="1"/>
    <s v="Washington"/>
    <x v="56"/>
    <s v="20007"/>
    <x v="0"/>
    <x v="1242"/>
    <x v="1702"/>
    <s v="TIV"/>
    <s v="1900 home undergoing renovation to 2nd and 3rd floors to update bathrooms, replace plumbing, replace heating. Paint, insulation. GC in place. Expect 6 month renovation. Insd living in basement apartment during the renovation. Has $50K scheduled item/total $78,686. Rated as primary."/>
    <x v="3"/>
    <s v="Rate as builders risk. Online photos look good. Vintage home. Updated in 2008 per online.  $50K individual item is ineligible."/>
    <m/>
    <m/>
    <s v="Patterson"/>
    <m/>
    <m/>
    <n v="0"/>
  </r>
  <r>
    <x v="255"/>
    <s v="Hull CA"/>
    <s v="Stockton"/>
    <s v="Lisa"/>
    <s v="Email"/>
    <s v="Haaland, John"/>
    <m/>
    <x v="2"/>
    <s v="Carmel CA PC4"/>
    <x v="1"/>
    <m/>
    <x v="5"/>
    <x v="1242"/>
    <x v="1410"/>
    <s v="TIV&gt;$3M"/>
    <s v="2009 full time rental. No alarms. In brush. Maybe near the Monterey County fires."/>
    <x v="3"/>
    <s v="Approved subject to confirmation of being 20 miles away from the fire. Also required $10K deductibles due to no alarms."/>
    <m/>
    <m/>
    <s v="Patterson"/>
    <m/>
    <m/>
    <n v="0"/>
  </r>
  <r>
    <x v="720"/>
    <s v="Burns"/>
    <s v="MI"/>
    <s v="Delta"/>
    <s v="Email"/>
    <s v="Williams "/>
    <s v="Barry &amp; Candice"/>
    <x v="16"/>
    <s v="Malibu"/>
    <x v="1"/>
    <m/>
    <x v="0"/>
    <x v="1242"/>
    <x v="291"/>
    <s v="High profile"/>
    <s v="1974 home, very nice per online pics. One loss - boat collision $7K. Unknown alarms. Insured is actor who played Greg Brady."/>
    <x v="3"/>
    <s v="You are approved to release terms subject to:_x000a_• Please exclude liability.  We are comfortable with the property, but uncomfortable offering liability due to insured being high profile._x000a_• Please advise what the $16,175 APPL loss was on 8/5/14.  If anything of concern or indication of negligence or fault, we want to revisit terms_x000a_• Home is up for sale per app and online sources - please confirm there is seasonal use, being regularly checked on, and is not vacant_x000a_• Central station burglar alarms are required_x000a_• Please ensure all underwriting questions are answered - several are blank.  Please resubmit if there are any yes answers of concern_x000a_"/>
    <s v="Discussed w/Louisa.  Insd doesn't appear to be a concern, but due to high profile, we are excluding liab. Ran IS because house has been for lease and sale for many years. It's &gt;900. "/>
    <n v="47"/>
    <s v="Patterson"/>
    <m/>
    <m/>
    <n v="0"/>
  </r>
  <r>
    <x v="382"/>
    <s v="SCU"/>
    <s v="CO"/>
    <s v="Allison"/>
    <s v="Email"/>
    <s v="Rocky Mountain Legacy, LLC"/>
    <m/>
    <x v="21"/>
    <s v="Kremmling"/>
    <x v="19"/>
    <m/>
    <x v="4"/>
    <x v="1242"/>
    <x v="29"/>
    <s v="TIV"/>
    <s v="2004 log home on 740 acres. No commercial on property - that is neighboring property (not Gould Ranch)."/>
    <x v="0"/>
    <s v="Need responding FD address to verify. Online looks like 15 miles. If we proceed, need LLC form and info on 740 acres.  4/19 addl info FD is 20 min away, but HOA has a fire truck and water truck on property for HOA members use. Asked for 5% s/c for response over 15 min.  4/20/17-Cov A increased. Jeff ok'd as long as verified. 10% s/c"/>
    <m/>
    <m/>
    <s v="Patterson"/>
    <m/>
    <m/>
    <n v="0"/>
  </r>
  <r>
    <x v="136"/>
    <s v="Burns"/>
    <s v="MI"/>
    <s v="Rachel"/>
    <s v="Email"/>
    <s v="Zalyan"/>
    <s v="Edgar"/>
    <x v="2"/>
    <s v="Encino "/>
    <x v="1"/>
    <m/>
    <x v="9"/>
    <x v="1242"/>
    <x v="1374"/>
    <s v="TIV"/>
    <s v="2001 dwelling. Insd is realtor. $275/SF Cov A. Online photos and info okay. Not in brush, has alarms."/>
    <x v="3"/>
    <s v="RCE at inspection to confirm. Cov A seems low."/>
    <m/>
    <m/>
    <s v="Patterson"/>
    <m/>
    <m/>
    <n v="0"/>
  </r>
  <r>
    <x v="822"/>
    <s v="Hull Irvine"/>
    <m/>
    <s v="Alison"/>
    <s v="Email"/>
    <s v="RG Children's Trust &amp; Jenny Shalomi"/>
    <m/>
    <x v="2"/>
    <s v="Beverly Hills"/>
    <x v="1"/>
    <m/>
    <x v="8"/>
    <x v="1242"/>
    <x v="1703"/>
    <s v="TIV"/>
    <s v="2016 home w/flat concrete roof. $10K water dmg ded applied."/>
    <x v="0"/>
    <s v="Pg 4 of app says dwelling may be used for photo/film shoots. (If we continue, subj to completed app-missing answer to uw quest #1). App says home is for sale. Asked for verification."/>
    <m/>
    <m/>
    <s v="Patterson"/>
    <m/>
    <m/>
    <n v="0"/>
  </r>
  <r>
    <x v="689"/>
    <s v="Hull Irvine"/>
    <s v="CA"/>
    <s v="Alison"/>
    <s v="Email"/>
    <s v="Yehzkel"/>
    <s v="Alison"/>
    <x v="2"/>
    <s v="Los Angeles"/>
    <x v="1"/>
    <m/>
    <x v="0"/>
    <x v="1242"/>
    <x v="1566"/>
    <s v="TIV"/>
    <s v="1930 dwelling updated in 2016. Online photos show ivy/vines growing on walls. Not in brush. "/>
    <x v="3"/>
    <s v="Approved an indication subj to confirmation of the ivy/vines. If they keep them, just add water damage excl and mold excl. If removed, must be professional."/>
    <m/>
    <m/>
    <s v="Patterson"/>
    <m/>
    <m/>
    <n v="0"/>
  </r>
  <r>
    <x v="773"/>
    <s v="Hull Irvine"/>
    <s v="CA"/>
    <s v="Luke"/>
    <s v="Email"/>
    <s v="Dameris"/>
    <s v="Peter"/>
    <x v="4"/>
    <s v="Malibu"/>
    <x v="1"/>
    <m/>
    <x v="2"/>
    <x v="1242"/>
    <x v="1566"/>
    <s v="TIV"/>
    <s v="2014 dwelling with alarms, not in brush. On beach with concrete pilings. Online photos look very good.  Capped zip."/>
    <x v="4"/>
    <s v="Not in brush, lower PC, good home."/>
    <m/>
    <m/>
    <s v="Patterson"/>
    <m/>
    <m/>
    <n v="0"/>
  </r>
  <r>
    <x v="454"/>
    <s v="Hull Irvine"/>
    <s v="CA"/>
    <s v="Alison"/>
    <s v="Email"/>
    <s v="Arthur"/>
    <s v="Eric"/>
    <x v="0"/>
    <s v="Los Angeles"/>
    <x v="1"/>
    <m/>
    <x v="0"/>
    <x v="1242"/>
    <x v="1454"/>
    <s v="TIV"/>
    <s v="no brush, 1948 but complete update/remodel, alarm in home"/>
    <x v="4"/>
    <s v="photos, rate appropriate"/>
    <m/>
    <m/>
    <s v="Burdine"/>
    <m/>
    <m/>
    <n v="0"/>
  </r>
  <r>
    <x v="256"/>
    <s v="Hull CA"/>
    <s v="Irvine"/>
    <s v="Alison"/>
    <s v="Email"/>
    <s v="Shaheri, Joseph"/>
    <m/>
    <x v="2"/>
    <s v="Beverly Hills"/>
    <x v="1"/>
    <m/>
    <x v="9"/>
    <x v="1242"/>
    <x v="1454"/>
    <s v="TIV"/>
    <s v="1924 home updated 08-16. No brush. MFRC added. No ERC. CS Alarms."/>
    <x v="3"/>
    <s v="Approved/subject to acceptable resp to unanswered uw questions on app."/>
    <m/>
    <m/>
    <s v="Patterson"/>
    <m/>
    <m/>
    <n v="0"/>
  </r>
  <r>
    <x v="130"/>
    <s v="Hull Stockton"/>
    <m/>
    <s v="Kirk"/>
    <s v="Email"/>
    <s v="Ardron, Gerard &amp; Marigold"/>
    <m/>
    <x v="25"/>
    <s v="Salinas"/>
    <x v="1"/>
    <m/>
    <x v="9"/>
    <x v="1242"/>
    <x v="1483"/>
    <s v="TIV"/>
    <s v="1999 home not in brush. Tile roof per app, but online photo shows mostly flat. No updates to roof per app. $2500 AOP on app. No alarms yet."/>
    <x v="3"/>
    <s v="$10K water damage ded. Need c/s fire and burglar alarms."/>
    <m/>
    <m/>
    <s v="Patterson"/>
    <m/>
    <m/>
    <n v="0"/>
  </r>
  <r>
    <x v="233"/>
    <s v="Hull CA"/>
    <s v="Stockton"/>
    <s v="Kirk"/>
    <s v="Email"/>
    <s v="Schrey, Thomas"/>
    <m/>
    <x v="0"/>
    <s v="Malibu CA PC4"/>
    <x v="3"/>
    <m/>
    <x v="0"/>
    <x v="1242"/>
    <x v="33"/>
    <s v="TIV&gt;$3M"/>
    <s v="1989 home with flat roof not updated. Found websites showing rental and for sale?"/>
    <x v="2"/>
    <s v="Have to exclude 26 year old not updated roof. If they replace, consider $25K deductible. Need info on occupancy."/>
    <m/>
    <m/>
    <s v="Patterson"/>
    <m/>
    <m/>
    <n v="0"/>
  </r>
  <r>
    <x v="720"/>
    <s v="Burns"/>
    <s v="MI"/>
    <s v="Delta"/>
    <s v="Email"/>
    <s v="Ramsey"/>
    <s v="Stephen"/>
    <x v="16"/>
    <s v="Edwards"/>
    <x v="19"/>
    <m/>
    <x v="4"/>
    <x v="1242"/>
    <x v="512"/>
    <s v="TIV"/>
    <s v="2016 risk with full alarms and sprinkler. PC quest says 8 minute response."/>
    <x v="3"/>
    <s v="My Google search shows FD is 12.7 miles away with 16 min drive time. Paid dept. Approved terms w/25% surcharge bringing rate to about .30. Advised if I have info wrong, to advise correct FD address."/>
    <m/>
    <n v="38"/>
    <s v="Patterson"/>
    <m/>
    <m/>
    <n v="0"/>
  </r>
  <r>
    <x v="268"/>
    <s v="Hull CA"/>
    <s v="Irvine"/>
    <s v="Alex"/>
    <s v="Email/Call"/>
    <s v="Deffenbaugh, Lauri"/>
    <m/>
    <x v="44"/>
    <s v="Los Gatos"/>
    <x v="1"/>
    <m/>
    <x v="5"/>
    <x v="1242"/>
    <x v="1528"/>
    <s v="National Historic Registry"/>
    <s v="Agent submitted for review, but then retracted submission since insured is going to do tours."/>
    <x v="1"/>
    <m/>
    <m/>
    <m/>
    <s v="Patterson"/>
    <m/>
    <m/>
    <n v="1"/>
  </r>
  <r>
    <x v="833"/>
    <s v="Hull Irvine"/>
    <s v="CA"/>
    <s v="Alison"/>
    <s v="Email"/>
    <s v="Efraim"/>
    <s v="Benjamin"/>
    <x v="0"/>
    <s v="Los Angeles"/>
    <x v="1"/>
    <m/>
    <x v="8"/>
    <x v="1242"/>
    <x v="1570"/>
    <s v="Losses"/>
    <s v="Fire loss to prior home (CAT loss), "/>
    <x v="4"/>
    <s v="premium, review acceptable"/>
    <m/>
    <m/>
    <s v="Burdine"/>
    <m/>
    <m/>
    <n v="0"/>
  </r>
  <r>
    <x v="609"/>
    <s v="Hull Irvine"/>
    <s v="CA"/>
    <s v="Bobbi"/>
    <s v="Email"/>
    <s v="Croutch"/>
    <s v="Don &amp; Marcie"/>
    <x v="0"/>
    <s v="Encino"/>
    <x v="1"/>
    <m/>
    <x v="9"/>
    <x v="1242"/>
    <x v="1570"/>
    <s v="TIV"/>
    <s v="No brush"/>
    <x v="4"/>
    <s v="all conditions met"/>
    <m/>
    <m/>
    <s v="Burdine"/>
    <m/>
    <m/>
    <n v="0"/>
  </r>
  <r>
    <x v="692"/>
    <s v="Hull Irvine"/>
    <s v="CA"/>
    <s v="Kelly"/>
    <s v="Email"/>
    <s v="Boren"/>
    <s v="Brian"/>
    <x v="0"/>
    <s v="Los Angeles"/>
    <x v="1"/>
    <m/>
    <x v="11"/>
    <x v="1242"/>
    <x v="1570"/>
    <s v="TIV"/>
    <s v="zip code 90049"/>
    <x v="4"/>
    <s v="Since this is not in brush, and the deductible is $10K to account for the lack of alarms, you have approval to offer terms on this risk."/>
    <m/>
    <m/>
    <s v="Burdine"/>
    <m/>
    <m/>
    <n v="0"/>
  </r>
  <r>
    <x v="141"/>
    <s v="Hull Irvine"/>
    <m/>
    <s v="Bobbi"/>
    <s v="Email"/>
    <s v="Reifman  HUCAH150000874"/>
    <s v="Irving"/>
    <x v="0"/>
    <s v="Los Angeles"/>
    <x v="1"/>
    <m/>
    <x v="5"/>
    <x v="1242"/>
    <x v="1570"/>
    <s v="TIV"/>
    <s v="1961 home updated/rebuilt in 2011. Flat roof. $5K AOP. Surcharging for large contractor error loss. Approved renewal to match expiring $10,634."/>
    <x v="4"/>
    <s v="Subj to match expiring prem"/>
    <m/>
    <n v="18"/>
    <s v="Patterson"/>
    <m/>
    <m/>
    <n v="0"/>
  </r>
  <r>
    <x v="624"/>
    <s v="Hull CA"/>
    <s v="Irvine"/>
    <s v="Alison"/>
    <s v="Email"/>
    <s v="Wilson, Derek"/>
    <m/>
    <x v="80"/>
    <s v="Orinda CA PC3"/>
    <x v="3"/>
    <m/>
    <x v="0"/>
    <x v="1242"/>
    <x v="1570"/>
    <s v="TIV&gt;$3M"/>
    <s v="1987 home updated in 2014.  In brush. No RM attached, but brush surcharged.  FL shows high brush."/>
    <x v="4"/>
    <m/>
    <m/>
    <m/>
    <s v="Patterson"/>
    <m/>
    <m/>
    <n v="0"/>
  </r>
  <r>
    <x v="266"/>
    <s v="Burns"/>
    <s v="MI"/>
    <s v="Ben"/>
    <s v="Email"/>
    <s v="Deffenbaugh, Ted"/>
    <m/>
    <x v="81"/>
    <s v="Los Gatos    "/>
    <x v="1"/>
    <m/>
    <x v="8"/>
    <x v="1242"/>
    <x v="1570"/>
    <s v="TIV"/>
    <s v="1917 home updated in 2000 on national historic register. Home has handcarved woodwork and other ornate features. Alarms. App not complete - pg 3 uw quiestions. Per Coldwell Banker site, one of the oth structures is a rental. (May be old info.)"/>
    <x v="1"/>
    <s v="Declined due to issues w/home being on national historic register."/>
    <m/>
    <m/>
    <s v="Patterson"/>
    <m/>
    <m/>
    <n v="1"/>
  </r>
  <r>
    <x v="272"/>
    <s v="Hull CA"/>
    <s v="Irvine"/>
    <s v="Alison"/>
    <s v="Email"/>
    <s v="Ash, James"/>
    <m/>
    <x v="0"/>
    <s v="Los Angeles"/>
    <x v="1"/>
    <m/>
    <x v="9"/>
    <x v="1242"/>
    <x v="1704"/>
    <s v="Prior carrier Fair Plan"/>
    <s v="1986 home previously w/Fair Plan. No longer there as home was too underinsured. Insured is a doctor."/>
    <x v="3"/>
    <s v="Approved subj to reason the home was w/Fair Plan. If brush, okay. Other reason, let me know."/>
    <m/>
    <m/>
    <s v="Patterson"/>
    <m/>
    <m/>
    <n v="0"/>
  </r>
  <r>
    <x v="746"/>
    <s v="Burns"/>
    <m/>
    <s v="Jill"/>
    <s v="Email"/>
    <s v="VANDANA AGRAWAL"/>
    <m/>
    <x v="75"/>
    <s v="Los Angeles"/>
    <x v="1"/>
    <m/>
    <x v="8"/>
    <x v="1242"/>
    <x v="1705"/>
    <s v="TIV"/>
    <s v="Built in 2002, frame construction, PC2, primary, no brush, c/s alarms, 3 losses-10/2012 - THEFT - housekeeper fired, central alarm installed, pd $1500;06/2013 WATER - pipe leak, fully repaired, pd $6,000;04/2014 THEFT - housekeeper fired, new cameras installed, pd $115,000. $25K Theft ded quoted"/>
    <x v="4"/>
    <s v="Theft ded OK and concerns now mitigated with cameras/new staff; RM OK"/>
    <m/>
    <m/>
    <s v="Burdine"/>
    <m/>
    <m/>
    <n v="0"/>
  </r>
  <r>
    <x v="530"/>
    <s v="Hull Irvine"/>
    <m/>
    <s v="Alex"/>
    <s v="Email"/>
    <s v="Kharbouch, Karim "/>
    <m/>
    <x v="0"/>
    <s v="Calabasas"/>
    <x v="1"/>
    <m/>
    <x v="8"/>
    <x v="1242"/>
    <x v="1705"/>
    <s v="High profile"/>
    <s v="Insured is recording artist French Montana.  Gated/guarded community w/ alarms. Agent suggesting okay with no liability."/>
    <x v="3"/>
    <s v="No liability; verify insur interest of AI noted on app."/>
    <m/>
    <m/>
    <s v="Patterson"/>
    <m/>
    <m/>
    <n v="0"/>
  </r>
  <r>
    <x v="331"/>
    <s v="Burns"/>
    <s v="MI"/>
    <s v="Matt"/>
    <s v="Email"/>
    <s v="Hayes, Carla"/>
    <m/>
    <x v="0"/>
    <s v="Rancho Santa Fe PC3"/>
    <x v="3"/>
    <m/>
    <x v="0"/>
    <x v="1242"/>
    <x v="1705"/>
    <s v="TIV&gt;$3M"/>
    <s v="1998 home w/full alarms, no brush. 2 losses - VMM from a tenant who caused damage. $0 paid 3/31/15; Water damage pipe leak-all repaired $25,967 paid 11/13/15. Agent applying $10K ded and charging for losses."/>
    <x v="4"/>
    <m/>
    <m/>
    <m/>
    <s v="Patterson"/>
    <m/>
    <m/>
    <n v="0"/>
  </r>
  <r>
    <x v="352"/>
    <s v="Hull CA"/>
    <s v="Irvine"/>
    <s v="Alex"/>
    <s v="Email/Call"/>
    <s v="Ruth, Deborah"/>
    <m/>
    <x v="159"/>
    <s v="Malibu CA PC2"/>
    <x v="3"/>
    <m/>
    <x v="0"/>
    <x v="1242"/>
    <x v="1706"/>
    <s v="Occupancy?"/>
    <s v="1978 home updates unknown at this time.  Alex said full updates when he called. Insd inherited from parents. Immediately across street from home. She is a homemaker. She parks cars there and uses it for visiting family overflow sleeping. There are central station alarms. We felt the vacant rate was harsh, but it's not owner occupied. Extremely low brush per RM. High per Fireline."/>
    <x v="4"/>
    <s v="Approved pending update info. Used 20 weeks rented rate $7520. 4% s/c if no system updates.  Roof ACV or excl may apply if roof is not updated."/>
    <m/>
    <m/>
    <s v="Patterson"/>
    <m/>
    <m/>
    <n v="0"/>
  </r>
  <r>
    <x v="47"/>
    <s v="Hull Irvine"/>
    <s v="CA"/>
    <s v="Michelle"/>
    <s v="Email"/>
    <s v="Kambur"/>
    <s v="Paul"/>
    <x v="0"/>
    <s v="Encino"/>
    <x v="1"/>
    <m/>
    <x v="11"/>
    <x v="1242"/>
    <x v="513"/>
    <s v="Losses"/>
    <s v="Two very high water losses 7/2017 (1.2M) and 8/2017 ($235k). Roll roofing has been installed, so Roof exclusion needed. Looking for high water deductible. Frame home built in 2011 with central smoke and burglar alarms. "/>
    <x v="3"/>
    <s v="Water exclusion applied, roof exclusion applied as rolled roof life expectancy is 7-8 years,  no water backup and additional 25% surcharge for the water losses."/>
    <m/>
    <m/>
    <s v="Lazovik"/>
    <m/>
    <m/>
    <n v="0"/>
  </r>
  <r>
    <x v="568"/>
    <s v="Hull Irvine"/>
    <s v="CA"/>
    <s v="Alison"/>
    <s v="Email"/>
    <s v="Carter"/>
    <s v="Michael &amp; Megan"/>
    <x v="0"/>
    <s v="Cota De Caza"/>
    <x v="1"/>
    <m/>
    <x v="0"/>
    <x v="1242"/>
    <x v="36"/>
    <s v="TIV"/>
    <s v="Risk is in a brush zone and over our $3M TIV limit, but it is a small area of brush a not the edge of the community per the agent."/>
    <x v="1"/>
    <s v="Still in a brush zone and surrounded by high brush per the RiskMeter"/>
    <m/>
    <m/>
    <s v="Patterson"/>
    <m/>
    <m/>
    <n v="1"/>
  </r>
  <r>
    <x v="466"/>
    <s v="Hull Irvine"/>
    <s v="CA"/>
    <s v="Kelly"/>
    <s v="Email"/>
    <s v="Johnson "/>
    <s v="Craig"/>
    <x v="0"/>
    <s v="Venice"/>
    <x v="1"/>
    <m/>
    <x v="11"/>
    <x v="1242"/>
    <x v="36"/>
    <s v="High Profile"/>
    <s v="Insured exec w/ Golden State, 1938 build, complete renovation 2000.  "/>
    <x v="4"/>
    <s v="property, applicant, premium ok"/>
    <m/>
    <m/>
    <s v="Burdine"/>
    <m/>
    <m/>
    <n v="0"/>
  </r>
  <r>
    <x v="503"/>
    <s v="Hull CA"/>
    <s v="Stockton"/>
    <s v="Melissa"/>
    <s v="Email"/>
    <s v="Jamshidi"/>
    <m/>
    <x v="0"/>
    <s v="San Diego CA PC3"/>
    <x v="3"/>
    <m/>
    <x v="0"/>
    <x v="1242"/>
    <x v="36"/>
    <s v="Cvg A&gt;$2m"/>
    <s v="New 2015 Low brush,  losses at rental"/>
    <x v="4"/>
    <s v="Pipe breaks (7/11, 8/12, 2/15 and small fire 8/12 loss at rental"/>
    <m/>
    <m/>
    <s v="Patterson"/>
    <m/>
    <m/>
    <n v="0"/>
  </r>
  <r>
    <x v="366"/>
    <s v="Hull CA"/>
    <s v="Irvine"/>
    <s v="Alison"/>
    <s v="Email"/>
    <s v="Reifman, Irving"/>
    <m/>
    <x v="0"/>
    <s v="Los Angeles"/>
    <x v="1"/>
    <m/>
    <x v="8"/>
    <x v="1242"/>
    <x v="36"/>
    <s v="TIV"/>
    <s v="1961 home updated in 2011 after large water loss. There had been roof damage. During repair, large storm came through and caused extensive water damage. Brushy area, but 250' clearance per agt. Prev w/Fair Plan due to brush. Could be listed as 2011, but agt wants addl prem."/>
    <x v="3"/>
    <s v="Approved subject to: Completed app (some uw questions are blank); 150' brush clearance; addl prem 5-10% - asked Alison to apply."/>
    <m/>
    <m/>
    <s v="Patterson"/>
    <m/>
    <m/>
    <n v="0"/>
  </r>
  <r>
    <x v="713"/>
    <s v="Burns"/>
    <s v="MI"/>
    <s v="Ben"/>
    <s v="Email"/>
    <s v="Cappuccio, Joseph"/>
    <m/>
    <x v="0"/>
    <s v="Thousand Oaks"/>
    <x v="1"/>
    <m/>
    <x v="5"/>
    <x v="1242"/>
    <x v="36"/>
    <s v="TIV"/>
    <s v="2016 frame home in brush. Beautiful online photos. Some UW questions are blank."/>
    <x v="3"/>
    <s v="Reminded of $5M TIV max due to reinsurance. Subj to uw questions answered acceptably."/>
    <s v="$8300 premium per email"/>
    <m/>
    <s v="Patterson"/>
    <m/>
    <m/>
    <n v="0"/>
  </r>
  <r>
    <x v="713"/>
    <s v="Hull CA"/>
    <s v="Irvine"/>
    <s v="Melissa"/>
    <s v="Email"/>
    <s v="Cappuccio, Joseph"/>
    <m/>
    <x v="0"/>
    <s v="Thousand Oaks"/>
    <x v="1"/>
    <m/>
    <x v="5"/>
    <x v="1242"/>
    <x v="36"/>
    <s v="TIV"/>
    <s v="Yes, this was the same risk Burns just submitted.  2016 frame home in brush. Beautiful online photos. Some UW questions are blank."/>
    <x v="3"/>
    <s v="Reminded of $5M TIV max due to reinsurance. Subj to uw questions answered acceptably."/>
    <s v="$7856 premium w/no credit.  This is only the 2nd time we've received a request for approval from 2 agents."/>
    <m/>
    <s v="Patterson"/>
    <m/>
    <m/>
    <n v="0"/>
  </r>
  <r>
    <x v="834"/>
    <s v="Hull Irvine"/>
    <m/>
    <s v="Melissa"/>
    <s v="Email"/>
    <s v="Jolene S. Cherry Living Trust"/>
    <m/>
    <x v="16"/>
    <s v="Orange County"/>
    <x v="1"/>
    <m/>
    <x v="5"/>
    <x v="1242"/>
    <x v="1707"/>
    <s v="TIV &gt;$3M"/>
    <s v="Prior COC, home now ready for secondary usage of client. No brush"/>
    <x v="4"/>
    <s v="Certificate of Occupancy should be received in next few weeks. All updates completed"/>
    <m/>
    <m/>
    <s v="Burdine"/>
    <m/>
    <m/>
    <n v="0"/>
  </r>
  <r>
    <x v="415"/>
    <s v="Burns"/>
    <s v="MI"/>
    <s v="Leslie/Ben"/>
    <s v="Email"/>
    <s v="Lynn, Jeffrey"/>
    <m/>
    <x v="21"/>
    <s v="Lake Tahoe"/>
    <x v="1"/>
    <m/>
    <x v="5"/>
    <x v="1242"/>
    <x v="1708"/>
    <s v="TIV"/>
    <s v="1996 home builders risk. Med brush exposure. "/>
    <x v="1"/>
    <s v="Additional info from Ben on 8/16/16. COC is due to water claim. Home is gutted. Advised we don't want to get in the middle in the event other damage or mold is found."/>
    <m/>
    <m/>
    <s v="Patterson"/>
    <m/>
    <m/>
    <n v="1"/>
  </r>
  <r>
    <x v="835"/>
    <s v="Hull CA"/>
    <s v="Stockton"/>
    <s v="Melissa"/>
    <s v="Email"/>
    <s v="Balini, Maria"/>
    <m/>
    <x v="0"/>
    <s v="Bev Hills CA  PC1"/>
    <x v="3"/>
    <m/>
    <x v="0"/>
    <x v="1242"/>
    <x v="40"/>
    <s v="$5M TIV"/>
    <s v="1967 rebuilt in 95. 4860 SF. Not many online photos but confirms remodel. Reviewed named insureds online - Mr. owns Merrymax Investments."/>
    <x v="4"/>
    <s v="Advised Melissa we have the $5m TIV limit with our reinsurer."/>
    <m/>
    <m/>
    <s v="Patterson"/>
    <m/>
    <m/>
    <n v="0"/>
  </r>
  <r>
    <x v="750"/>
    <s v="Burns"/>
    <s v="MI"/>
    <s v="Leslie"/>
    <s v="Email"/>
    <s v="Jensen, Jean"/>
    <m/>
    <x v="36"/>
    <s v="Borego Springs"/>
    <x v="1"/>
    <m/>
    <x v="4"/>
    <x v="1242"/>
    <x v="40"/>
    <s v="TIV"/>
    <s v="Tiv at$5mil, per online link-very nice home and other structures. Also, an airplane hangar on premise. FD 10 miles away."/>
    <x v="1"/>
    <s v="per online link, very nice home with nice other structures and airplane hangar associated w/ prop. Concerned tiv will go over $5 mil. Also, that response time not acceptable (note: fireline ran and is OK). discussed with mgr based on these factors at TIV level unable to offer terms"/>
    <m/>
    <m/>
    <s v="Burdine"/>
    <m/>
    <m/>
    <n v="1"/>
  </r>
  <r>
    <x v="489"/>
    <s v="Hull Irvine"/>
    <s v="CA"/>
    <s v="Alison"/>
    <m/>
    <s v="Sheha"/>
    <s v="Michael"/>
    <x v="0"/>
    <s v="Coto De Caza "/>
    <x v="1"/>
    <n v="92679"/>
    <x v="9"/>
    <x v="1243"/>
    <x v="1709"/>
    <s v="TIV"/>
    <s v="CSA for smoke, temperature and burglary, Frame home, tile roof built in 1997. "/>
    <x v="4"/>
    <s v="Confirm CSA."/>
    <m/>
    <m/>
    <s v="Lazovik"/>
    <m/>
    <m/>
    <n v="0"/>
  </r>
  <r>
    <x v="836"/>
    <s v="Burns"/>
    <s v="CA"/>
    <s v="Jill"/>
    <s v="Email"/>
    <s v="Nasri"/>
    <s v="Sira"/>
    <x v="0"/>
    <s v="Las Vegas "/>
    <x v="39"/>
    <m/>
    <x v="8"/>
    <x v="1244"/>
    <x v="1710"/>
    <s v="Prior losses"/>
    <s v="12/16 $50K and 6/17 $32K pipe break losses.  Home is 1994. Extensive repairs/tearout completed. Pipes repaired/replaced. Agt quoting $25K water damage ded."/>
    <x v="4"/>
    <s v="No concerning online info. Full claim detail in file. Good deductible."/>
    <m/>
    <n v="24"/>
    <s v="Patterson"/>
    <m/>
    <m/>
    <n v="0"/>
  </r>
  <r>
    <x v="580"/>
    <s v="Burns"/>
    <s v="MI"/>
    <s v="Jill"/>
    <m/>
    <s v="Smith"/>
    <s v="Aaron &amp; Jaimie"/>
    <x v="5"/>
    <s v="Bardfordwoods"/>
    <x v="2"/>
    <s v="15015"/>
    <x v="3"/>
    <x v="1245"/>
    <x v="1711"/>
    <s v="High Profile"/>
    <s v="2007 dwelling for sale and vacant. Applicant is retired Pittsburgh Steelers player. On the market 10 months. Fenced covered pool."/>
    <x v="3"/>
    <s v="Excluding liability due to high profile."/>
    <s v="Asked JB opinion on liab"/>
    <m/>
    <s v="Patterson"/>
    <m/>
    <m/>
    <n v="0"/>
  </r>
  <r>
    <x v="786"/>
    <s v="Hull Irvine"/>
    <m/>
    <s v="Bobbi"/>
    <s v="Email"/>
    <s v="Garcia, John"/>
    <m/>
    <x v="2"/>
    <s v="Malibu"/>
    <x v="1"/>
    <m/>
    <x v="8"/>
    <x v="1246"/>
    <x v="1712"/>
    <s v="TIV"/>
    <s v="1991 home updated in 2001. Insured rents short term via Airbnb and VRBO.  Agent wants 50% ERS. Nice online photos. &quot;Disruptive LLC&quot; business comes up at this address."/>
    <x v="3"/>
    <s v="verify ITV! Confirm no business on prem."/>
    <m/>
    <m/>
    <s v="Patterson"/>
    <m/>
    <m/>
    <n v="0"/>
  </r>
  <r>
    <x v="397"/>
    <s v="Hull Irvine"/>
    <s v="CA"/>
    <s v="Lucas"/>
    <s v="Email"/>
    <s v="JG Family Trust"/>
    <s v="JG Family Trust"/>
    <x v="4"/>
    <s v="Malibu"/>
    <x v="1"/>
    <m/>
    <x v="14"/>
    <x v="1247"/>
    <x v="1713"/>
    <s v="TIV"/>
    <s v="secondary home in Malibu being non-renewed due to brush. It is up on the top of the hill but is within a mile of the fire station and within 500 feet of the fire hydrant. Built in 2008 with a full central station alarm system covering heat, smoke and burglary, tile roof."/>
    <x v="1"/>
    <s v="For California, our current maximum TIV is $3M in brush. Additionally, for Malibu, we are not binding any risks in brush. "/>
    <m/>
    <m/>
    <s v="Burdine"/>
    <m/>
    <m/>
    <n v="1"/>
  </r>
  <r>
    <x v="709"/>
    <s v="Appalachian"/>
    <s v="TN"/>
    <s v="John"/>
    <m/>
    <s v="Gialil"/>
    <s v="Josef &amp; Janet"/>
    <x v="0"/>
    <s v="Greenfield Center"/>
    <x v="44"/>
    <s v="12833"/>
    <x v="2"/>
    <x v="1248"/>
    <x v="1714"/>
    <s v="Losses"/>
    <s v="2005 year built. Two losses listed on app, both water from 2017 and 2016, each $10,000. One was also a water backup loss. The clue report provided form agent showed a few more water losses, but no mentioning of those if they are the insured's or the locations. "/>
    <x v="0"/>
    <s v="Asked for more information regarding the other water losses. Advised at least water backup will not be able to be offered due to the water backup loss, however, more subjectivities may be needed depending on details and facts of the other water losses. UPDATED 3/11/19: Received follow up that 2013 water loss was hot water heater leak, water heater was replaced. The two losses listed were actually one in the same, confirmed by agent. It was lightning damage that caused sewer backup. Approved terms as quoted, as AOP was already at $10,000 and water heater was replaced and mitigation systems installed for water back up. "/>
    <m/>
    <m/>
    <s v="Busse"/>
    <m/>
    <m/>
    <n v="0"/>
  </r>
  <r>
    <x v="481"/>
    <s v="Burns"/>
    <s v="MI"/>
    <s v="Delta"/>
    <s v="Email"/>
    <s v="Heers, Brett"/>
    <m/>
    <x v="21"/>
    <s v="Encinatas "/>
    <x v="1"/>
    <m/>
    <x v="11"/>
    <x v="1249"/>
    <x v="1715"/>
    <s v="TIV"/>
    <s v="2003 home w/burglar alarm, not in brush. 2 horses per app, and Mrs. Insured is responsible for &quot;managing daughter's equine career&quot;.  Sold in 2001 for $1.2M. Current value is $398/SF-okay."/>
    <x v="3"/>
    <s v="Approved subj to: 1. Info on horses and daughter's equine career. 2. Consider $10K AOP due to no fire alarm."/>
    <m/>
    <m/>
    <s v="Patterson"/>
    <m/>
    <m/>
    <n v="0"/>
  </r>
  <r>
    <x v="361"/>
    <s v="Hull CA"/>
    <s v="Irvine"/>
    <s v="Alison"/>
    <s v="Email"/>
    <s v="Nandine, Savin"/>
    <m/>
    <x v="0"/>
    <s v="Beverly Hills PC1"/>
    <x v="3"/>
    <m/>
    <x v="0"/>
    <x v="1250"/>
    <x v="1716"/>
    <s v="TIV&gt;$3M"/>
    <s v="1948 home fully updated per HV inspection in file. Home looks good. Per insp, brush clearance is not adequate."/>
    <x v="3"/>
    <s v="Approved subject to acceptable application and adequate brush clearance."/>
    <m/>
    <m/>
    <s v="Patterson"/>
    <m/>
    <m/>
    <n v="0"/>
  </r>
  <r>
    <x v="800"/>
    <s v="Burns"/>
    <s v="MI"/>
    <s v="Ben"/>
    <s v="Email"/>
    <s v="Zack, Dominic"/>
    <m/>
    <x v="5"/>
    <s v="Rochester"/>
    <x v="8"/>
    <m/>
    <x v="2"/>
    <x v="1251"/>
    <x v="1717"/>
    <s v="TIV"/>
    <s v="Home was built in 1991 of frame construction. Roof updated in 2016. Has pool with diving board but back yard is fenced in. Will be adding pool exclusion. Vacant PC 5 NOT in brush and no losses."/>
    <x v="4"/>
    <s v="Home photos excellent, PP limit justified, pool will be excluded, no liab being requested"/>
    <m/>
    <m/>
    <s v="Burdine"/>
    <m/>
    <m/>
    <n v="0"/>
  </r>
  <r>
    <x v="451"/>
    <s v="XS Brokers"/>
    <s v="MA"/>
    <s v="Brendan"/>
    <m/>
    <s v="Bauta"/>
    <s v="Pilar"/>
    <x v="0"/>
    <s v="Lyme"/>
    <x v="52"/>
    <s v="03768"/>
    <x v="6"/>
    <x v="1252"/>
    <x v="1718"/>
    <s v="TIV"/>
    <s v="1820 year built with updates to all systems and roof in 2008. Protection class 9 listed on app. Over our max TIV"/>
    <x v="1"/>
    <s v="Declined due to TIV being over our maximum"/>
    <m/>
    <m/>
    <s v="Busse"/>
    <m/>
    <m/>
    <n v="1"/>
  </r>
  <r>
    <x v="108"/>
    <s v="Burns"/>
    <s v="MI"/>
    <s v="Leslie"/>
    <s v="Email"/>
    <s v="Hinshaw, John &amp; Julia"/>
    <m/>
    <x v="0"/>
    <s v="Woodside   "/>
    <x v="1"/>
    <m/>
    <x v="8"/>
    <x v="1253"/>
    <x v="1719"/>
    <s v="TIV/Wood roof"/>
    <s v="1977 home w/roof fully updated in 1998. Agent asking about roof. This is in a low brush zone so wood roof is okay.  Scheduled jewelry is listed on app but not on email. Animals or exotic animals is marked yes with no explanation.  Online photos and info show large vineyard and large horse corrals."/>
    <x v="3"/>
    <s v="Wood roof okay. TIV okay. Be aware of $5M limit. No sched jewelry info so my approval does not include that. Need answer to animals. Look into vineyard and horse corral. Verify no business. No breeding, riding, boarding of others horses. Personal only."/>
    <m/>
    <m/>
    <s v="Patterson"/>
    <m/>
    <m/>
    <n v="0"/>
  </r>
  <r>
    <x v="395"/>
    <s v="Burns"/>
    <s v="MI"/>
    <s v="Danielle"/>
    <s v="Email"/>
    <s v="Sitkovetsky, Aleksander"/>
    <m/>
    <x v="0"/>
    <s v="Malibu"/>
    <x v="1"/>
    <m/>
    <x v="5"/>
    <x v="1254"/>
    <x v="1720"/>
    <s v="TIV"/>
    <s v="1993 home w/ alarms. Not in brush per RM. Close to it, but online Zillow photos look okay. No concern w/insd name or business. "/>
    <x v="4"/>
    <m/>
    <m/>
    <m/>
    <s v="Patterson"/>
    <m/>
    <m/>
    <n v="0"/>
  </r>
  <r>
    <x v="386"/>
    <s v="Appalachian"/>
    <s v="TN"/>
    <s v="John"/>
    <m/>
    <s v="Trube"/>
    <s v="Harry"/>
    <x v="4"/>
    <s v="Comfort"/>
    <x v="23"/>
    <s v="78013"/>
    <x v="13"/>
    <x v="1255"/>
    <x v="1721"/>
    <s v="TIV"/>
    <s v="2014 home, appears to be a good risk. Referred due to TIV. On app, PPC was listed as 4/8B. From the information provided (hydrant distance) it looks to be 8B. There is a pool that is not fenced, however, an inspection was provided and it mentions that the entire property was fenced and gated. "/>
    <x v="3"/>
    <s v="Overall it looks to be a very nice home. Advised that 8B should be used as the PPC. Approved subject to verification that the property is fully fenced and gated. If it is not, a swimming pool exclusion should be applied."/>
    <m/>
    <m/>
    <s v="Busse"/>
    <m/>
    <m/>
    <n v="0"/>
  </r>
  <r>
    <x v="85"/>
    <s v="Hull Irvine"/>
    <m/>
    <s v="Alison"/>
    <s v="Email"/>
    <s v="Anan, Shant"/>
    <m/>
    <x v="2"/>
    <s v="Los Angeles"/>
    <x v="1"/>
    <m/>
    <x v="9"/>
    <x v="1256"/>
    <x v="29"/>
    <s v="TIV"/>
    <s v="1989 home updated. Prior carrier got off due to too high value. Only one online photo. Incomplete app."/>
    <x v="3"/>
    <s v="Completed app"/>
    <m/>
    <m/>
    <s v="Patterson"/>
    <m/>
    <m/>
    <n v="0"/>
  </r>
  <r>
    <x v="396"/>
    <s v="Hull CA"/>
    <s v="Stockton"/>
    <s v="Melissa"/>
    <s v="Email"/>
    <s v="Anton Baker LLC"/>
    <m/>
    <x v="0"/>
    <s v="San Rafael CA PC3"/>
    <x v="3"/>
    <m/>
    <x v="0"/>
    <x v="1256"/>
    <x v="1569"/>
    <s v="TIV&gt;$3M"/>
    <s v="1912 Home fully gutted in 2012. Validated this in online Zillow description.  In LLC name. Esther Torres is only member and occupant."/>
    <x v="4"/>
    <s v="In LLC for tax purposed."/>
    <m/>
    <m/>
    <s v="Patterson"/>
    <m/>
    <m/>
    <n v="0"/>
  </r>
  <r>
    <x v="391"/>
    <s v="Hull Irvine"/>
    <s v="CA"/>
    <s v="Kelly/Lucas"/>
    <s v="Email"/>
    <s v="Lee"/>
    <s v="Boywe"/>
    <x v="0"/>
    <s v="La Canada"/>
    <x v="1"/>
    <m/>
    <x v="8"/>
    <x v="1256"/>
    <x v="1722"/>
    <s v="TIV"/>
    <s v="No brush, want to list their lighting company as Additional Interest, alarms in home, will be primary occupied"/>
    <x v="4"/>
    <s v="Use, interest request, acceptable, no brush"/>
    <m/>
    <m/>
    <s v="Burdine"/>
    <m/>
    <m/>
    <n v="0"/>
  </r>
  <r>
    <x v="328"/>
    <s v="Hull Irvine"/>
    <s v="CA"/>
    <s v="Lucas"/>
    <s v="Email"/>
    <s v="Lee"/>
    <s v="Boywe"/>
    <x v="0"/>
    <s v="La Canada"/>
    <x v="1"/>
    <m/>
    <x v="8"/>
    <x v="1256"/>
    <x v="1722"/>
    <s v="Occupancy/Use"/>
    <s v="Company setting up LLC in USA, only managing members (2) will be in home, and their adult daughter. Want company listed as AI"/>
    <x v="4"/>
    <s v="Approved since primary occupied, ok to listed company as additional interest"/>
    <m/>
    <m/>
    <s v="Burdine"/>
    <m/>
    <m/>
    <n v="0"/>
  </r>
  <r>
    <x v="412"/>
    <s v="Burns"/>
    <s v="MI"/>
    <s v="Leslie"/>
    <s v="Email"/>
    <s v="Shah, Hiren"/>
    <m/>
    <x v="0"/>
    <s v="Kenner LA  PC2"/>
    <x v="0"/>
    <m/>
    <x v="8"/>
    <x v="1256"/>
    <x v="1722"/>
    <s v="TIV&gt;$3M"/>
    <s v="2013 home w/alarms, gated, no losses. Good online photos. Agent looking to be competitive with $0.30 rate ($14,700). Page 2 of app states Vacant Reno=Y."/>
    <x v="2"/>
    <s v="Need to verify what Markel prem is currently and if that includes discretionary credit. Also, clarify pg 2 of app. Agreed to go with $0.28 or $0.30 rate. Pg 2 was an error."/>
    <s v="Ran AAL = $7433. We can do a $0.28 or $0.30 rate based on this. Advised Leslie"/>
    <m/>
    <s v="Patterson"/>
    <m/>
    <m/>
    <n v="0"/>
  </r>
  <r>
    <x v="92"/>
    <s v="Hull Irvine"/>
    <s v="CA"/>
    <s v="Alison"/>
    <s v="Email"/>
    <s v="Shawn &amp; Odel Nazarian Family Trust"/>
    <m/>
    <x v="0"/>
    <s v="Beverly Hills"/>
    <x v="1"/>
    <m/>
    <x v="8"/>
    <x v="1256"/>
    <x v="1723"/>
    <s v="Prior claims"/>
    <s v="New construction just off COC.  3 prior claims at prior residence. Fire $60K in garage5/14; liab $0 11/14-no details; Theft 2/15 $55K personal property-no other details."/>
    <x v="2"/>
    <s v="Advised a rate indication could be released w/s/c for 3 losses. Need full details on losses and fire marshall report to bind. Cov needed Sunday 4/9. Not sure how they can pull it off. Ins score =750"/>
    <m/>
    <m/>
    <s v="Patterson"/>
    <m/>
    <m/>
    <n v="0"/>
  </r>
  <r>
    <x v="438"/>
    <s v="Hull Stockton"/>
    <s v="CA"/>
    <s v="Melissa"/>
    <s v="Email"/>
    <s v="Sutro"/>
    <s v="Elizabeth &amp; Stephen"/>
    <x v="0"/>
    <s v="Ross"/>
    <x v="1"/>
    <m/>
    <x v="9"/>
    <x v="1256"/>
    <x v="38"/>
    <s v="TIV"/>
    <s v="CA risk, primary home, 1915,completely rebuilt, CFSB alarms"/>
    <x v="4"/>
    <s v="RM, photos, PC acceptable"/>
    <m/>
    <m/>
    <s v="Burdine"/>
    <m/>
    <m/>
    <n v="0"/>
  </r>
  <r>
    <x v="759"/>
    <s v="Hull Irvine"/>
    <s v="CA"/>
    <s v="Alison"/>
    <m/>
    <s v="Gutierrez"/>
    <s v="Alejandro"/>
    <x v="0"/>
    <s v="Ventura"/>
    <x v="1"/>
    <s v="93001"/>
    <x v="2"/>
    <x v="1256"/>
    <x v="38"/>
    <s v="TIV"/>
    <s v="2002 home w/ $16K smoke damage loss from Thomas fire."/>
    <x v="1"/>
    <s v="Changed referral criteria today for Markel max to match agent's authority."/>
    <m/>
    <m/>
    <s v="Patterson"/>
    <m/>
    <m/>
    <n v="1"/>
  </r>
  <r>
    <x v="450"/>
    <s v="Hull CA"/>
    <s v="Irvine"/>
    <s v="Bobbi"/>
    <s v="Email"/>
    <s v="Finfer, Stephen"/>
    <m/>
    <x v="0"/>
    <s v="Los Angeles"/>
    <x v="1"/>
    <m/>
    <x v="8"/>
    <x v="1257"/>
    <x v="1724"/>
    <s v="TIV"/>
    <s v="Renewal currently w/Lloyds, we are competitive. 1980 home in brush."/>
    <x v="4"/>
    <m/>
    <m/>
    <m/>
    <s v="Patterson"/>
    <m/>
    <m/>
    <n v="0"/>
  </r>
  <r>
    <x v="340"/>
    <s v="Hull Irvine"/>
    <s v="MI"/>
    <s v="Michelle"/>
    <s v="Email"/>
    <s v="The Miller Family Trust"/>
    <m/>
    <x v="1"/>
    <s v="Los Angeles"/>
    <x v="1"/>
    <m/>
    <x v="0"/>
    <x v="1258"/>
    <x v="1725"/>
    <s v="Builders Risk"/>
    <s v="New 2018 construction. Current carrier won't renew-reached their renewal max. Expect 3 months more $500K of work. Flooring countertops, updating electrical.Licensed/insured contractor but no name listed on the form."/>
    <x v="2"/>
    <s v="Asked numerous question to determine if we're willing to take on tail end construction that is 80% completed.  If we do it will be with a large premium surcharge."/>
    <m/>
    <m/>
    <s v="Patterson"/>
    <m/>
    <m/>
    <n v="0"/>
  </r>
  <r>
    <x v="243"/>
    <s v="SCU"/>
    <s v="CO"/>
    <s v="Allison"/>
    <s v="Email"/>
    <s v="Wenninger, Richard"/>
    <m/>
    <x v="160"/>
    <s v="Gypsum CO PC10"/>
    <x v="3"/>
    <m/>
    <x v="0"/>
    <x v="1259"/>
    <x v="1726"/>
    <s v="TIV&gt;$1.5M"/>
    <s v="2003 home with alarms and sprinklers. In medium brush. Sounds really remote from description and online sources. FireLine is High-9, med fuels, steep slope, no access probs."/>
    <x v="1"/>
    <s v="• Need Unprotected Questionnaire?  _x000a_•Address of the primary responding fire department?  I checked some of the stations online and I’m getting a 1 hour response time._x000a_• Where does home sit on the 65 acres?  Are driveways accessible by fire trucks? Please make sure response time takes into account the 65 acres._x000a_• Does the insured use public utilities?  This website sounds like they may not.  http://www.vailrealestate.com/property/51792361/14000-gypsum-creek-road-gypsum-co-81637_x000a_References - “…commercial grade hydroelectric plant backed up with solar and a generator…” _x000a_• That website also states that the home is 15 miles from airport county maintained road.  Could you provide more info on what that means?_x000a_• One of the online photos show a Yurt.  We would not be covering that as part of the other structures.  Please make sure it is insured under the farm policy, or it should be excluded._x000a_•If we proceed, okay to use new brush form"/>
    <s v="2 sources of drive time show 43 min and 1 hr 14 min. Not comfortable.  They have a well, solar, and generator.  All other structures would be excluded."/>
    <m/>
    <s v="Patterson"/>
    <m/>
    <m/>
    <n v="1"/>
  </r>
  <r>
    <x v="814"/>
    <s v="Burns"/>
    <s v="CA"/>
    <s v="Rachel"/>
    <s v="Email"/>
    <s v="Marx"/>
    <s v="Paul &amp; Sandra"/>
    <x v="0"/>
    <s v="Laguna"/>
    <x v="1"/>
    <m/>
    <x v="9"/>
    <x v="1260"/>
    <x v="1727"/>
    <s v="TIV"/>
    <s v=". Built in 1981 with full updates in 2005. Frame, PC3, two losses, one mysterious disappearance loss closed out at $133,875."/>
    <x v="4"/>
    <s v="Insured didn't replace ring, no other HV items"/>
    <m/>
    <m/>
    <s v="Burdine"/>
    <m/>
    <m/>
    <n v="0"/>
  </r>
  <r>
    <x v="187"/>
    <s v="Hull Irvine"/>
    <s v="CA"/>
    <s v="Alison"/>
    <s v="Email"/>
    <s v="Whitman"/>
    <s v="Pam"/>
    <x v="0"/>
    <s v="Malibu"/>
    <x v="1"/>
    <m/>
    <x v="0"/>
    <x v="1261"/>
    <x v="1728"/>
    <s v="TIV"/>
    <s v="agt exceeded max TIV for county, wants consideration. Not in brush, but very close to high brush zones"/>
    <x v="1"/>
    <s v="Declined due to high TIV, very close to brush, fires in general area, not comfortable w/exception"/>
    <m/>
    <m/>
    <s v="Burdine"/>
    <m/>
    <m/>
    <n v="1"/>
  </r>
  <r>
    <x v="769"/>
    <s v="Burns"/>
    <s v="MI"/>
    <s v="Delta"/>
    <s v="Email"/>
    <s v="Keshen, Mary Ann"/>
    <m/>
    <x v="142"/>
    <s v="Malibu"/>
    <x v="1"/>
    <m/>
    <x v="5"/>
    <x v="1262"/>
    <x v="1729"/>
    <s v="TIV"/>
    <s v="Home was built in 1994 of frame construction. PC4, not in brush, No C/S Alarms, No losses."/>
    <x v="0"/>
    <s v="Corp LLC Form Acceptable, PC Ok, premium OK. Per agt &quot;We would of course watch and check for the Wildfires if this were to bind.&quot;//8/1/17 agt wanted to reduce deductible - declined due to no alarms."/>
    <m/>
    <m/>
    <s v="K.Burdine"/>
    <m/>
    <m/>
    <n v="0"/>
  </r>
  <r>
    <x v="710"/>
    <s v="Hull Irvine"/>
    <m/>
    <s v="Alex"/>
    <s v="Email/Call"/>
    <s v="Schaffer, Jeanne"/>
    <m/>
    <x v="0"/>
    <s v="Toluca Lake"/>
    <x v="1"/>
    <m/>
    <x v="38"/>
    <x v="1263"/>
    <x v="1730"/>
    <s v="Prior losses"/>
    <s v="1939 home with major plumbing loss in 2014; roof leak loss immediately after. Agt says pipe burst. A+ I ran says toilet flush; app says backup. Partial updates to plumb, roof, elec. Arch. Shingles. "/>
    <x v="1"/>
    <s v="Information not matching up on the loss details. Older home, partial updates, big losses - not comfortable."/>
    <m/>
    <m/>
    <s v="Patterson"/>
    <m/>
    <m/>
    <n v="1"/>
  </r>
  <r>
    <x v="546"/>
    <s v="Burns"/>
    <s v="MI"/>
    <s v="David"/>
    <s v="Email"/>
    <s v="ESTATE OF MANDELL L &amp; MADELINE"/>
    <s v="ESTATE OF MANDELL L &amp; MADELINE"/>
    <x v="5"/>
    <s v="Franklin"/>
    <x v="8"/>
    <m/>
    <x v="5"/>
    <x v="1264"/>
    <x v="1731"/>
    <s v="Occupancy/Use"/>
    <s v="Built in 1949; Full Updates to Heating, Wiring, Roofing, Plumbing; Vacant but requesting $500K in contents. "/>
    <x v="4"/>
    <s v="Per online info , home not for sale. Requested reason for vacancy and if home periodically checked on. //agt confirmed parents passed away, children preparing to sell and regularly check home and also has alarms in home."/>
    <m/>
    <m/>
    <s v="Burdine"/>
    <m/>
    <m/>
    <n v="0"/>
  </r>
  <r>
    <x v="138"/>
    <s v="Burns"/>
    <s v="MI"/>
    <s v="Leslie"/>
    <s v="Email"/>
    <s v="Smith"/>
    <s v="Stephen"/>
    <x v="16"/>
    <m/>
    <x v="19"/>
    <m/>
    <x v="5"/>
    <x v="1265"/>
    <x v="1732"/>
    <s v="TIV"/>
    <s v="Submitting this secondary home located in Colorado. Built in 1975, PC 4,  updated in 2017 and roof updated in 2012. No losses, RC, AOP $10K, brush OK"/>
    <x v="4"/>
    <s v="Approved, online photos OK, google search OK."/>
    <m/>
    <m/>
    <s v="K.Burdine"/>
    <m/>
    <m/>
    <n v="0"/>
  </r>
  <r>
    <x v="223"/>
    <s v="Hull CA"/>
    <s v="Irvine"/>
    <s v="Alison"/>
    <s v="Email"/>
    <s v="Cigliano, Gerald"/>
    <m/>
    <x v="2"/>
    <s v="Summerland CA PC4"/>
    <x v="3"/>
    <m/>
    <x v="0"/>
    <x v="1266"/>
    <x v="1733"/>
    <s v="TIV&gt;$1.5M"/>
    <s v="1982 home updated in 2001. Insured is retired attorney. Wife is a surgeon. Chubb NRN due to not having primary home.  Insureds are only members of the LLC which will be an additional insured (370 Asegra LLC)"/>
    <x v="4"/>
    <m/>
    <m/>
    <m/>
    <s v="Patterson"/>
    <m/>
    <m/>
    <n v="0"/>
  </r>
  <r>
    <x v="78"/>
    <s v="Burns"/>
    <s v="MI"/>
    <s v="Danielle"/>
    <s v="Email"/>
    <s v="Estate of Randy Phillips"/>
    <m/>
    <x v="21"/>
    <s v="Goodlettesville"/>
    <x v="5"/>
    <m/>
    <x v="0"/>
    <x v="1267"/>
    <x v="1734"/>
    <s v="TIV"/>
    <s v="1989 home updated. Alarms. Parents passed away, son stays there  a couple of times a month throughout the year. Yes answers on app to knob &amp; tube, etc and lapse."/>
    <x v="0"/>
    <s v="Per Danielle, questions answered wrong. No issues."/>
    <m/>
    <m/>
    <s v="Patterson"/>
    <m/>
    <m/>
    <n v="0"/>
  </r>
  <r>
    <x v="191"/>
    <s v="Burns"/>
    <s v="MI"/>
    <s v="Jill"/>
    <s v="Email"/>
    <s v="Walt "/>
    <s v="Robert"/>
    <x v="0"/>
    <s v="Saratoga"/>
    <x v="1"/>
    <m/>
    <x v="8"/>
    <x v="1268"/>
    <x v="1735"/>
    <s v="TIV/Losses"/>
    <s v="2000 home with 2 large plumbing losses. Quoted $5K AOP. Not in brush. 2016 fitting burst in 2nd floor master bath. $226,410. 2015 toilet valve had slow leak in 2nd floor guest bathroom $68,018."/>
    <x v="0"/>
    <s v="Apply 10% additional s/c for large loss.  $25K water damage ded. // 12/28/17 agt asked for increased limits - re-approval from TIV $3,884,500"/>
    <m/>
    <m/>
    <s v="Patterson"/>
    <m/>
    <m/>
    <n v="0"/>
  </r>
  <r>
    <x v="681"/>
    <s v="Burns"/>
    <s v="MI"/>
    <s v="Rachel"/>
    <m/>
    <s v="Neitzel"/>
    <s v="Lori"/>
    <x v="3"/>
    <s v="Holland"/>
    <x v="8"/>
    <s v="49423"/>
    <x v="4"/>
    <x v="1269"/>
    <x v="1736"/>
    <s v="TIV"/>
    <s v="2008 home owned by 3 siblings used seasonally w/rental.  Rental quest and LLC okay.  Alarm info left blank."/>
    <x v="3"/>
    <s v="Confirmed drive time is 11 minutes. Paid FD, some on call.  Response will be under 15 minutes. Adequate tankers.  Newer structure. Popular Lake MI location. Alarms required to bind. Verified rental URL's.  No concerns found."/>
    <s v="Ins score F"/>
    <m/>
    <s v="Patterson"/>
    <m/>
    <m/>
    <n v="0"/>
  </r>
  <r>
    <x v="410"/>
    <s v="Burns"/>
    <m/>
    <s v="Leslie"/>
    <s v="Email"/>
    <s v="Neumann, Beverly"/>
    <m/>
    <x v="8"/>
    <s v="Franklin, MI"/>
    <x v="3"/>
    <m/>
    <x v="0"/>
    <x v="1270"/>
    <x v="0"/>
    <s v="builders risk/high profile"/>
    <s v="insured is local artist, not really high profile. "/>
    <x v="4"/>
    <m/>
    <m/>
    <m/>
    <s v="Trott"/>
    <m/>
    <m/>
    <n v="0"/>
  </r>
  <r>
    <x v="489"/>
    <s v="Hull Irvine"/>
    <s v="CA"/>
    <s v="Michelle"/>
    <m/>
    <s v="Enz"/>
    <s v="Gunter"/>
    <x v="6"/>
    <s v="Encinitas"/>
    <x v="1"/>
    <n v="92024"/>
    <x v="2"/>
    <x v="1270"/>
    <x v="1270"/>
    <s v="Builders Risk"/>
    <s v="Home is already under renovation. Insured paid cash for home and expect 6 monts to complete $100k in renovations. Licensed and insured contractor is handling all of the work. So far the foundation, framing, electrical wiring, rough plumbing, insulation, drywall and roof have been completed. The home will be for sale afterwards. Want $10 k deductible and 20% surcharge. Not in brush. Frame home. All systems updated already."/>
    <x v="3"/>
    <s v="As this BR is already mostly complete, thorough  review at inspection. Exposure is lower."/>
    <m/>
    <m/>
    <s v="Lazovik"/>
    <m/>
    <m/>
    <n v="0"/>
  </r>
  <r>
    <x v="68"/>
    <s v="Hull Irvine"/>
    <m/>
    <s v="Alison"/>
    <s v="Email"/>
    <s v="Guarna, Nicola"/>
    <m/>
    <x v="5"/>
    <s v="Beverly Hills"/>
    <x v="1"/>
    <m/>
    <x v="11"/>
    <x v="1270"/>
    <x v="1598"/>
    <s v="High profile"/>
    <s v="Insured is domestic partner of Robert Rodriguez, fashion designer. No concerning info online. Not too famous. Home will be vacant for an unknown time and then possibly renovated. $10K AOP ded"/>
    <x v="4"/>
    <m/>
    <m/>
    <m/>
    <s v="Patterson"/>
    <m/>
    <m/>
    <n v="0"/>
  </r>
  <r>
    <x v="528"/>
    <s v="Burns"/>
    <s v="MI"/>
    <s v="Nicole"/>
    <m/>
    <s v="Milligan"/>
    <s v="Gregory"/>
    <x v="5"/>
    <s v="Stevenson"/>
    <x v="29"/>
    <s v="34102"/>
    <x v="2"/>
    <x v="1270"/>
    <x v="1451"/>
    <s v="Other UW Reason"/>
    <s v="Dwelling is in receivership. Used to be owned by Kevin Merrill, who was indicted for a $364 million Ponzi scheme. Gregory Milligan is the court appointed person to serve as the receiver managing the dwelling. Milligan will take care of utilities, landscaping, and helping to sell. Wanting to write in Gregory Milligan's name since Kevin Merrill no longer has ownership/insurable interest. "/>
    <x v="1"/>
    <s v="While there is no moral hazard concern of Gregory Milligan, concern that the dwelling could be a target for those that were in the Ponzi scheme. "/>
    <m/>
    <m/>
    <s v="Busse"/>
    <m/>
    <m/>
    <n v="1"/>
  </r>
  <r>
    <x v="554"/>
    <s v="Burns"/>
    <s v="MI"/>
    <s v="Delta"/>
    <s v="Email"/>
    <s v="Hurd"/>
    <s v="Charles"/>
    <x v="5"/>
    <s v="Austin"/>
    <x v="23"/>
    <m/>
    <x v="8"/>
    <x v="1270"/>
    <x v="1329"/>
    <s v="TIV"/>
    <s v="vacant home located in TX. Brick Veneer construction, built in 2004, PC2, no losses and no C/S alarms. Premium: $15,349"/>
    <x v="4"/>
    <s v="Home for sale, photos very nice, premium OK"/>
    <m/>
    <m/>
    <s v="Burdine"/>
    <m/>
    <m/>
    <n v="0"/>
  </r>
  <r>
    <x v="68"/>
    <s v="Hull Irvine"/>
    <m/>
    <s v="Alex"/>
    <s v="Email/Call"/>
    <s v="Luke, Chris"/>
    <m/>
    <x v="5"/>
    <s v="Newport Coast"/>
    <x v="1"/>
    <m/>
    <x v="0"/>
    <x v="1270"/>
    <x v="205"/>
    <s v="Home is subdivision model"/>
    <s v="2016 new build. Insured purchased but is leasing back to the builder to be used as a model until Oct then insured will move in. Gated comm, alarms, patrol service. Individuals make an appointment w/the community rep - they stay with them for a house tour. Excluding liab - they are extending from primary."/>
    <x v="3"/>
    <s v="Write as DP3 rental due to level protection. Agt including vacant forms."/>
    <m/>
    <m/>
    <s v="Patterson"/>
    <m/>
    <m/>
    <n v="0"/>
  </r>
  <r>
    <x v="114"/>
    <s v="Hull Irvine"/>
    <m/>
    <s v="Alison"/>
    <s v="Email"/>
    <s v="Westgate Funding LLC"/>
    <m/>
    <x v="2"/>
    <s v="Los Angeles "/>
    <x v="1"/>
    <m/>
    <x v="2"/>
    <x v="1270"/>
    <x v="1483"/>
    <s v="TIV"/>
    <s v="New 2017 home rented 52 weeks. Not in brush. Alarms. "/>
    <x v="3"/>
    <s v="LLC form  "/>
    <m/>
    <m/>
    <s v="Patterson"/>
    <m/>
    <m/>
    <n v="0"/>
  </r>
  <r>
    <x v="357"/>
    <s v="Hull Stockton"/>
    <s v="CA"/>
    <s v="Lisa"/>
    <m/>
    <s v="Aguilar"/>
    <s v="Ana"/>
    <x v="0"/>
    <s v="Portola Valley"/>
    <x v="1"/>
    <n v="94028"/>
    <x v="8"/>
    <x v="1270"/>
    <x v="1571"/>
    <s v="TIV"/>
    <s v="Home built in 1958 with partial wiring and plumbing updates in 1995. Roof was replaced in 2007. No CSA. Not located in brush. "/>
    <x v="3"/>
    <s v="Home over $2M requires deductible minimum of $10k. Theft ded also a minimum of $10k."/>
    <m/>
    <m/>
    <s v="Lazovik"/>
    <m/>
    <m/>
    <n v="0"/>
  </r>
  <r>
    <x v="673"/>
    <s v="Burns"/>
    <s v="MI"/>
    <s v="Delta"/>
    <s v="Email"/>
    <s v="Shapiro, James"/>
    <m/>
    <x v="16"/>
    <s v="Healdsburg"/>
    <x v="1"/>
    <m/>
    <x v="4"/>
    <x v="1270"/>
    <x v="1571"/>
    <s v="TIV/PC"/>
    <s v="TIV $4.3. PC 9, no prior claims, 2017 build year, C/S alarms, water tank on premise, RM, acceptable PC questionnaire provided; response time 10 minutes"/>
    <x v="4"/>
    <s v="RM low, ded $25K, Water tank on premise, 2 fire depts w/in 5.5 miles; central alarms"/>
    <m/>
    <m/>
    <s v="Burdine"/>
    <m/>
    <m/>
    <n v="0"/>
  </r>
  <r>
    <x v="434"/>
    <s v="Burns"/>
    <s v="MI"/>
    <s v="Jeffrey"/>
    <s v="Email"/>
    <s v="Dibenedetto"/>
    <s v="Diego"/>
    <x v="0"/>
    <s v="Glendora"/>
    <x v="1"/>
    <m/>
    <x v="9"/>
    <x v="1270"/>
    <x v="1737"/>
    <s v="TIV"/>
    <s v="PC 3, 1987, no updates - roof is tile. Looking to approve S/T no losses, inspection. This is a K. CS alarms present."/>
    <x v="1"/>
    <s v="In brush, reminded agt of TIV limit in brush."/>
    <m/>
    <m/>
    <s v="Burdine"/>
    <m/>
    <m/>
    <n v="1"/>
  </r>
  <r>
    <x v="831"/>
    <s v="Burns"/>
    <s v="MI"/>
    <s v="Alexa"/>
    <s v="Email"/>
    <s v="The Adami-Robertson Family Trust"/>
    <m/>
    <x v="0"/>
    <s v="Los Angeles"/>
    <x v="1"/>
    <m/>
    <x v="11"/>
    <x v="1270"/>
    <x v="1737"/>
    <s v="TIV"/>
    <s v="2017  build, frame construction, alarms, no losses; coming off COC policy. PVC roof. $5K AOP ded"/>
    <x v="3"/>
    <s v="PC good, reviewed PVC roof for residents-likely flat roof, but very strong surface. AOP Ok , premium appropriate. Approval to release terms with appropriate brush guidelines"/>
    <m/>
    <m/>
    <s v="K.Burdine"/>
    <m/>
    <m/>
    <n v="0"/>
  </r>
  <r>
    <x v="761"/>
    <s v="SCU"/>
    <s v="CO"/>
    <s v="Ashley"/>
    <m/>
    <s v="Stonehocker"/>
    <s v="Robin &amp; Michael"/>
    <x v="1"/>
    <s v="Golden"/>
    <x v="42"/>
    <s v="80403"/>
    <x v="6"/>
    <x v="1271"/>
    <x v="1738"/>
    <s v="TIV"/>
    <s v="New build which has been under constr for 10 months. Agt did inspection and Cov A increased greatly. PC9-Volunteer FD is .7 miles from home.Sprinklers being installed. 60% complete. Nice home."/>
    <x v="3"/>
    <s v="Cosmetic roof, completed app to be submitted (not included). Add rail, per inspection needs temp rail. 15% s/c to make up for not getting this day 1."/>
    <m/>
    <m/>
    <s v="Patterson"/>
    <m/>
    <m/>
    <n v="0"/>
  </r>
  <r>
    <x v="147"/>
    <s v="Hull Irvine"/>
    <m/>
    <s v="Alison"/>
    <s v="Email"/>
    <s v="Puopolo"/>
    <s v="Matthew"/>
    <x v="0"/>
    <s v="Pacific Palisades"/>
    <x v="1"/>
    <m/>
    <x v="8"/>
    <x v="1272"/>
    <x v="1739"/>
    <s v="TIV"/>
    <s v="1997 home w/alarms. Nice online photos. Home has a pool w/built in cement slide per photos."/>
    <x v="3"/>
    <s v="Reminded of $5M TIV."/>
    <m/>
    <n v="16"/>
    <s v="Patterson"/>
    <m/>
    <m/>
    <n v="0"/>
  </r>
  <r>
    <x v="192"/>
    <s v="Burns"/>
    <s v="MI"/>
    <s v="Ben"/>
    <s v="Email"/>
    <s v="Waid, John"/>
    <m/>
    <x v="161"/>
    <s v="Carnelian Bay CA  PC4"/>
    <x v="3"/>
    <m/>
    <x v="0"/>
    <x v="1273"/>
    <x v="1740"/>
    <s v="TIV&gt;$3M"/>
    <s v="2013 custom home not in brush. Alarms, water sensor alarm. Online photos show standpipe hookup at bottom of drive. Foundation and support is stone. Much custom, but Cov A value is at $700/SF. "/>
    <x v="3"/>
    <s v="Approved subj to acceptable app. Advised our max TIV is $5M. Reviewed w/Louisa. We don't feel too custom. Good alarms. Solid home. Not in brush."/>
    <m/>
    <m/>
    <s v="Patterson"/>
    <m/>
    <m/>
    <n v="0"/>
  </r>
  <r>
    <x v="666"/>
    <s v="Burns"/>
    <s v="MI"/>
    <s v="Jill/Danielle"/>
    <s v="Email"/>
    <s v="Estate of William G. Helis"/>
    <s v="Estate of William G. Helis"/>
    <x v="5"/>
    <s v="New Orleans"/>
    <x v="0"/>
    <m/>
    <x v="8"/>
    <x v="1274"/>
    <x v="1741"/>
    <s v="Extended Vacancy"/>
    <s v="PC2, built in 1934/some updates, masonry, no losses, located in LA. Vacant since owner passed away in 1988. Daughter wants to keep house as is. Lives in CA. Well maintained prop-confirmed that 24/7 security at the house itself, property is gated, caretaker checks on house 5 days a week, home has been updated as recently as 2010"/>
    <x v="3"/>
    <s v="Per agt, home will be vacant indefinitely. Discussed w./ Melissa. May be comfortable as long as they re-underwrite every year as required. Requesting current quoted premium//premium $28,928 premium in VMGA (CQ wind premium is $18,754 and original property premium is $9,976). Approval granted w/ annual reunderwriting"/>
    <m/>
    <m/>
    <s v="Burdine"/>
    <m/>
    <m/>
    <n v="0"/>
  </r>
  <r>
    <x v="450"/>
    <s v="Hull CA"/>
    <s v="Irvine"/>
    <s v="Bobbi"/>
    <s v="Email"/>
    <s v="Shaaya Living Trust"/>
    <m/>
    <x v="2"/>
    <s v="Beverly Hills"/>
    <x v="1"/>
    <m/>
    <x v="8"/>
    <x v="1275"/>
    <x v="1742"/>
    <s v="TIV"/>
    <s v="Renewal currently w/Lloyds, we are competitive. 1990 home w/2014 theft claim $5000 and 2015 water damage (no payout - fees only)."/>
    <x v="4"/>
    <m/>
    <m/>
    <m/>
    <s v="Patterson"/>
    <m/>
    <m/>
    <n v="0"/>
  </r>
  <r>
    <x v="187"/>
    <s v="Burns"/>
    <s v="MI"/>
    <s v="Jill"/>
    <s v="Email"/>
    <s v="Peterson"/>
    <s v="Samuel "/>
    <x v="0"/>
    <m/>
    <x v="1"/>
    <m/>
    <x v="8"/>
    <x v="1276"/>
    <x v="1693"/>
    <s v="TIV"/>
    <s v="PC2, no brush, frame, built in 2017, primary, no losses, located in CA"/>
    <x v="4"/>
    <s v="RM, ISO, pics OK"/>
    <m/>
    <m/>
    <s v="Burdine"/>
    <m/>
    <m/>
    <n v="0"/>
  </r>
  <r>
    <x v="252"/>
    <s v="Hull CA"/>
    <s v="Stockton"/>
    <s v="Kirk"/>
    <s v="Email"/>
    <s v="Boss Estates LLC"/>
    <m/>
    <x v="21"/>
    <s v="Castaic CA PC 4/10W"/>
    <x v="1"/>
    <m/>
    <x v="4"/>
    <x v="1277"/>
    <x v="1743"/>
    <s v="TIV&gt;$3M"/>
    <s v="2004 home alarmed In brush. Per Fireline, High 9, light fuels, moderate slope, limited access. Question on actual PC as RM says 5+ miles to FD. Asked for info. Also, 10 acres per online source. Has private gated road. Asked for info. Also need LLC form."/>
    <x v="0"/>
    <s v="Pend for additional information: PC confirmation, access, LLC form."/>
    <s v="Not 10 acres. It is PC10W not 4. LLC form okay. PC form okay. 5.1 miles. 13 min. Has hydrant. Accessible, visible."/>
    <m/>
    <s v="Patterson"/>
    <m/>
    <m/>
    <n v="0"/>
  </r>
  <r>
    <x v="37"/>
    <s v="Hull Irvine"/>
    <s v="Alison"/>
    <s v="Alison"/>
    <s v="Email"/>
    <s v=" Gregga"/>
    <s v="Bruce"/>
    <x v="0"/>
    <s v="Montecito"/>
    <x v="1"/>
    <m/>
    <x v="2"/>
    <x v="1278"/>
    <x v="1744"/>
    <s v="TIV"/>
    <s v="1968 dwelling updated. Prior 1/9/18 Thomas fire loss $138K. 8/2013 sewer backup $34K."/>
    <x v="3"/>
    <s v="No water backup coverage. Surcharge loss + extra 10%. FireLine shows score '0' Negligible hazard."/>
    <m/>
    <m/>
    <s v="Patterson"/>
    <m/>
    <m/>
    <n v="0"/>
  </r>
  <r>
    <x v="31"/>
    <s v="Burns"/>
    <s v="MI"/>
    <s v="Jeffrey"/>
    <s v="Email"/>
    <s v="Barr"/>
    <s v="Harry"/>
    <x v="2"/>
    <s v="Los Angeles"/>
    <x v="1"/>
    <m/>
    <x v="11"/>
    <x v="1278"/>
    <x v="1745"/>
    <s v="TIV"/>
    <s v="Not in brush, PC1. No concerns with the risk."/>
    <x v="4"/>
    <s v="No issues"/>
    <s v="Advised Jeff this is within their authority to bind based on new criteria we implemented.  Gave them a break on logging the error."/>
    <m/>
    <s v="Patterson"/>
    <m/>
    <m/>
    <n v="0"/>
  </r>
  <r>
    <x v="14"/>
    <s v="Burns"/>
    <s v="MI"/>
    <s v="David"/>
    <s v="Email"/>
    <s v="HPPW LLC"/>
    <s v="HPPW LLC"/>
    <x v="3"/>
    <s v="Koloa"/>
    <x v="57"/>
    <m/>
    <x v="2"/>
    <x v="1278"/>
    <x v="1746"/>
    <s v="TIV"/>
    <s v="1.4 Miles to the coast, (map attached)_x000a_PC 5_x000a_"/>
    <x v="3"/>
    <s v="subject to w/h guidelines being met"/>
    <m/>
    <m/>
    <s v="Burdine"/>
    <m/>
    <m/>
    <n v="0"/>
  </r>
  <r>
    <x v="481"/>
    <s v="Hull CA"/>
    <s v="Irvine"/>
    <s v="Alex"/>
    <s v="Email"/>
    <s v="Spradlin, Daniel"/>
    <m/>
    <x v="0"/>
    <s v="Trabuco Canyon"/>
    <x v="1"/>
    <m/>
    <x v="5"/>
    <x v="1278"/>
    <x v="1747"/>
    <s v="TIV"/>
    <s v="1978 home w/ concrete roof updated in 2007. Has roof sprinklers. In brush area. Per online, there are &quot;ranch and farm fixtures&quot;. "/>
    <x v="3"/>
    <s v="Approved subj to verif of what the other structures are. Agent may revise A&amp;B. Approved highest discussed amount."/>
    <m/>
    <m/>
    <s v="Patterson"/>
    <m/>
    <m/>
    <n v="0"/>
  </r>
  <r>
    <x v="492"/>
    <s v="Hull Irvine"/>
    <s v="CA"/>
    <s v="Bobbi"/>
    <s v="Email"/>
    <s v="Braun"/>
    <s v="Robert"/>
    <x v="0"/>
    <s v="Los Angeles"/>
    <x v="1"/>
    <m/>
    <x v="0"/>
    <x v="1278"/>
    <x v="1748"/>
    <s v="TIV"/>
    <s v="1990 home w/alarms in med brush zone. "/>
    <x v="1"/>
    <s v="Per guidelines, can't write over $3M in brush zones."/>
    <m/>
    <m/>
    <s v="Patterson"/>
    <m/>
    <m/>
    <n v="1"/>
  </r>
  <r>
    <x v="286"/>
    <s v="Burns"/>
    <s v="MI"/>
    <s v="Delta"/>
    <s v="Email"/>
    <s v="Dovich, Jesse"/>
    <m/>
    <x v="0"/>
    <s v="Rancho Cucamonga"/>
    <x v="1"/>
    <m/>
    <x v="8"/>
    <x v="1278"/>
    <x v="1749"/>
    <s v="TIV"/>
    <s v="2011 home w/no alarms, water shutoff, no losses, in brush. Online sources show $1M mkt value/older home. Must have been renovated after 2010 sale. The home is new purchase to insured in 2016."/>
    <x v="4"/>
    <s v="Approved as presented - CS alarms will be required. Either $5K or $10K ded ok."/>
    <m/>
    <m/>
    <s v="Patterson"/>
    <m/>
    <m/>
    <n v="0"/>
  </r>
  <r>
    <x v="397"/>
    <s v="Hull Irvine"/>
    <s v="CA"/>
    <s v="Kelly"/>
    <s v="Email"/>
    <s v="Weinstock"/>
    <s v="Elisabeth"/>
    <x v="0"/>
    <s v="Beverly Hills "/>
    <x v="1"/>
    <m/>
    <x v="0"/>
    <x v="1278"/>
    <x v="1750"/>
    <s v="TIV"/>
    <s v="prior COC, about to be owner occupied, in brush zone"/>
    <x v="1"/>
    <s v="TIV too high for CA brush"/>
    <m/>
    <m/>
    <s v="Burdine"/>
    <m/>
    <m/>
    <n v="1"/>
  </r>
  <r>
    <x v="138"/>
    <s v="Hull Stockton"/>
    <s v="CA"/>
    <s v="Kirk"/>
    <s v="Email"/>
    <s v="Draine"/>
    <s v="Kathryn &amp; Les"/>
    <x v="143"/>
    <m/>
    <x v="1"/>
    <m/>
    <x v="0"/>
    <x v="1279"/>
    <x v="1751"/>
    <s v="TIV"/>
    <s v="vacant, for sale. No brush, no losses, aop $5K."/>
    <x v="4"/>
    <s v="submission OK, online search OK"/>
    <m/>
    <m/>
    <s v="K.Burdine"/>
    <m/>
    <m/>
    <n v="0"/>
  </r>
  <r>
    <x v="775"/>
    <s v="Hull Irvine"/>
    <s v="CA"/>
    <s v="Gina"/>
    <m/>
    <s v="Alevizos"/>
    <s v="John &amp; Georgia"/>
    <x v="0"/>
    <s v="Anaheim Hills"/>
    <x v="1"/>
    <s v="92807"/>
    <x v="0"/>
    <x v="1280"/>
    <x v="1752"/>
    <s v="TIV"/>
    <s v="WRS 34, TIV almost $5M. Outside of guidelines."/>
    <x v="1"/>
    <s v="Declined. New guidelines were sent out 3/8, this risk is no longer within guidelines. "/>
    <m/>
    <m/>
    <s v="Busse"/>
    <m/>
    <m/>
    <n v="1"/>
  </r>
  <r>
    <x v="707"/>
    <s v="Hull Irvine"/>
    <s v="CA"/>
    <s v="Tina"/>
    <m/>
    <s v="Mackey"/>
    <s v="Martin Haig"/>
    <x v="0"/>
    <s v="Sonoma"/>
    <x v="1"/>
    <s v="95476"/>
    <x v="9"/>
    <x v="1281"/>
    <x v="1753"/>
    <s v="TIV"/>
    <s v="2006 dwelling not in brush, protected.  Max Markel TIV is $3M. "/>
    <x v="1"/>
    <s v="Reminded agt of max TIV"/>
    <m/>
    <m/>
    <s v="Patterson"/>
    <m/>
    <m/>
    <n v="1"/>
  </r>
  <r>
    <x v="454"/>
    <s v="SCU"/>
    <s v="CO"/>
    <s v="Allison"/>
    <s v="Email"/>
    <s v="Cold Springs Property Management LLC"/>
    <s v="Cold Springs Property Management LLC"/>
    <x v="2"/>
    <m/>
    <x v="13"/>
    <m/>
    <x v="6"/>
    <x v="1282"/>
    <x v="1754"/>
    <s v="TIV"/>
    <s v="20 properties in same county. The LLC is owned by all family members who also manage the properties, and have GL coverage for their management company. all properties have been updated over the years, single family, and roofs are within 10 years of age and composite material, Some of the houses are on the west side of town, and some the east side.  They are all within 2-3 miles of a fire department, on the edge of town, but do not have hydrants.  "/>
    <x v="2"/>
    <s v="Under review"/>
    <m/>
    <m/>
    <s v="Burdine"/>
    <m/>
    <m/>
    <n v="0"/>
  </r>
  <r>
    <x v="199"/>
    <s v="Hull CA"/>
    <s v="Irvine"/>
    <s v="Alison"/>
    <s v="Email"/>
    <s v="Beckwith, David"/>
    <m/>
    <x v="1"/>
    <s v="Topanga CA PC4"/>
    <x v="3"/>
    <m/>
    <x v="0"/>
    <x v="1283"/>
    <x v="1755"/>
    <s v="TIV"/>
    <s v="1999 bldrs risk, in brush."/>
    <x v="4"/>
    <s v="Value ok."/>
    <m/>
    <m/>
    <s v="Patterson"/>
    <m/>
    <m/>
    <n v="0"/>
  </r>
  <r>
    <x v="637"/>
    <s v="Burns"/>
    <s v="MI"/>
    <s v="Alexa"/>
    <s v="Email"/>
    <s v="Baskin, Roger"/>
    <m/>
    <x v="2"/>
    <s v="Nashville"/>
    <x v="5"/>
    <m/>
    <x v="5"/>
    <x v="1284"/>
    <x v="1756"/>
    <s v="TIV"/>
    <s v="2008 home with a hail loss in 2012 $89K roof replaced. Online and inspection look good."/>
    <x v="3"/>
    <s v="uw questions blank - need all completed."/>
    <m/>
    <m/>
    <s v="Patterson"/>
    <m/>
    <m/>
    <n v="0"/>
  </r>
  <r>
    <x v="363"/>
    <s v="Hull CA"/>
    <s v="Irvine"/>
    <s v="Alex"/>
    <s v="Email"/>
    <s v="Chen, Kuan-Cheng &amp; Le"/>
    <m/>
    <x v="20"/>
    <s v=" La Jolla, CA 92037"/>
    <x v="1"/>
    <m/>
    <x v="9"/>
    <x v="1285"/>
    <x v="1454"/>
    <s v="TIV"/>
    <s v="Rental, NR by prior carrier due to CA "/>
    <x v="4"/>
    <s v="RM and Fireline OK, C/S alarm, home photos online ok"/>
    <m/>
    <m/>
    <s v="Burdine"/>
    <m/>
    <m/>
    <n v="0"/>
  </r>
  <r>
    <x v="422"/>
    <s v="Hull Irvine"/>
    <s v="CA"/>
    <s v="Michelle"/>
    <m/>
    <s v="Smith"/>
    <s v="Jodi"/>
    <x v="1"/>
    <s v="Rancho Santa Fe"/>
    <x v="1"/>
    <s v="92067"/>
    <x v="5"/>
    <x v="1286"/>
    <x v="0"/>
    <s v="Builders Risk"/>
    <s v="Home under construction. Has been insured w/Zurich for 2 years as a builders risk. They pulled the plug. There was a 4 month delay in starting.  They expect 6 months more. Most of interior left to do. Final RC will be $2.8M."/>
    <x v="1"/>
    <s v="Too far into construction. High value. CA. "/>
    <m/>
    <m/>
    <s v="Patterson"/>
    <m/>
    <m/>
    <n v="1"/>
  </r>
  <r>
    <x v="310"/>
    <s v="Hull CO"/>
    <s v="CA"/>
    <s v="Bobbi"/>
    <s v="Email"/>
    <s v="1247 Hilldale Ave, LLC"/>
    <m/>
    <x v="48"/>
    <s v="West Hollywood"/>
    <x v="1"/>
    <m/>
    <x v="8"/>
    <x v="1286"/>
    <x v="0"/>
    <s v="Coverage A increase to $3,900,000"/>
    <s v="Was rental, became builders risk and agt forgot to get approval before accounting for $1mil of renovations. Renewing 09/25, all questionaires attached."/>
    <x v="3"/>
    <s v="Reviewed docs and fireline; Approved subject to reinspection. Castle inspection from 2015 was -42% less ($1,647,000) than coverage a value. Agt stated left at higher amount due to e2value completed by agt. Discussed castle inspection more accurate, so need to use coverage a amount of next inspection, regardless of e2value, as appears $2.8 may be all that is needed"/>
    <s v="Be sure home insured to value. Possibly overinsured more than $1MIL"/>
    <m/>
    <s v="Burdine"/>
    <s v="X"/>
    <m/>
    <n v="0"/>
  </r>
  <r>
    <x v="235"/>
    <s v="Hull CA"/>
    <s v="Irvine"/>
    <s v="Alison"/>
    <s v="Call/Email"/>
    <s v="Wang"/>
    <m/>
    <x v="5"/>
    <s v="San Marino CA  PC4"/>
    <x v="3"/>
    <m/>
    <x v="0"/>
    <x v="1286"/>
    <x v="1757"/>
    <s v="TIV&gt;$3M"/>
    <s v="1947 home completely gutted/remodeled in 2016. Insured is putting up for sale. Alarm and sprinkler system. No current online photos."/>
    <x v="4"/>
    <m/>
    <m/>
    <m/>
    <s v="Patterson"/>
    <m/>
    <m/>
    <n v="0"/>
  </r>
  <r>
    <x v="157"/>
    <s v="Hull Irvine"/>
    <s v="CA"/>
    <s v="Alex"/>
    <s v="Call/Email"/>
    <s v="Blandford"/>
    <s v="Jeff &amp; Lori"/>
    <x v="0"/>
    <s v="Coronado "/>
    <x v="1"/>
    <m/>
    <x v="5"/>
    <x v="1286"/>
    <x v="205"/>
    <s v="In process construction"/>
    <s v="New ground up that the insureds thought the contractor was insuring. He was not. 60% complete, started in Jan. Expect 6-8 months. Home is locked, secured, fenced. Licensed GC. Agent added 10% s/c for mid-term. Rate is appx $5858 + s/c."/>
    <x v="3"/>
    <m/>
    <m/>
    <n v="23"/>
    <s v="Patterson"/>
    <s v=" "/>
    <s v=" "/>
    <n v="0"/>
  </r>
  <r>
    <x v="479"/>
    <s v="Hull Irvine"/>
    <s v="CA"/>
    <s v="Alison"/>
    <s v="Email"/>
    <s v="Moss"/>
    <s v="Glen L &amp; Jeri C"/>
    <x v="1"/>
    <s v="Newport Beach "/>
    <x v="1"/>
    <m/>
    <x v="0"/>
    <x v="1286"/>
    <x v="205"/>
    <s v="TIV"/>
    <s v="New construction.  There were 2 structures at the location but they have already been demolished.  One year by licensed GC. Primary home is extending liab."/>
    <x v="4"/>
    <m/>
    <m/>
    <n v="17"/>
    <s v="Patterson"/>
    <m/>
    <m/>
    <n v="0"/>
  </r>
  <r>
    <x v="6"/>
    <s v="Burns"/>
    <s v="MI"/>
    <s v="Lindsay"/>
    <m/>
    <s v="Williams"/>
    <s v="Stanford"/>
    <x v="0"/>
    <s v="Hayward"/>
    <x v="33"/>
    <s v="54843"/>
    <x v="4"/>
    <x v="1286"/>
    <x v="1758"/>
    <s v="PC"/>
    <s v="1008 log home. FD 6.9 miles away. 16 min drive time in good weather by volunteer FD. Response time is at least 20 min. There are 12 mutual aid departments. Had a prior lightning loss $203K. Claim almost closed - just some contents to replace. Installed full home surge protecting system.  Quoted at $.30."/>
    <x v="1"/>
    <s v="High value w/longer response time. "/>
    <s v="Considered that this is log.  It is also WI and response time is longer in winter. This will be at least 20 minutes. Additional mutual aid departments don't help if they are  equally far away, which from map, it appears they are. Considered higher rate. Still don't feel comfortable."/>
    <m/>
    <s v="Patterson"/>
    <m/>
    <m/>
    <n v="1"/>
  </r>
  <r>
    <x v="12"/>
    <s v="Burns"/>
    <s v="MI"/>
    <s v="Alexa"/>
    <s v="Email"/>
    <s v="Mcbeath"/>
    <s v="John"/>
    <x v="4"/>
    <m/>
    <x v="39"/>
    <m/>
    <x v="8"/>
    <x v="1286"/>
    <x v="1495"/>
    <s v="TIV"/>
    <s v="2016 build, c/s alarm, ISO provided"/>
    <x v="3"/>
    <s v="applicants current address and this property are in the same city/state, which is unusual for a secondary home. You have approval to offer terms on this risk, however please confirm the usage of the property prior to binding."/>
    <m/>
    <m/>
    <s v="Burdine"/>
    <m/>
    <m/>
    <n v="0"/>
  </r>
  <r>
    <x v="28"/>
    <s v="Hull Irvine"/>
    <s v="CA"/>
    <s v="Alison"/>
    <s v="Email"/>
    <s v="Jinhong"/>
    <s v="Li"/>
    <x v="2"/>
    <s v="Newport Coast"/>
    <x v="1"/>
    <m/>
    <x v="0"/>
    <x v="1286"/>
    <x v="30"/>
    <s v="TIV"/>
    <s v="Rental, no brush"/>
    <x v="3"/>
    <s v="Reviewed online sources, no photos-per app and online home sold in 10/2017 for $7M. Approved subj to appropriate coverage A being quoted and alarm requirements being met"/>
    <m/>
    <m/>
    <s v="Burdine"/>
    <m/>
    <m/>
    <n v="0"/>
  </r>
  <r>
    <x v="771"/>
    <s v="Hull Irvine"/>
    <s v="CA"/>
    <s v="Alison"/>
    <s v="Email"/>
    <s v="Landri"/>
    <s v="Derek"/>
    <x v="2"/>
    <s v="Redlands"/>
    <x v="1"/>
    <m/>
    <x v="0"/>
    <x v="1286"/>
    <x v="1759"/>
    <s v="TIV"/>
    <s v="1925 year built, RM OK"/>
    <x v="4"/>
    <s v="RM ok, photos OK"/>
    <m/>
    <m/>
    <s v="Burdine"/>
    <m/>
    <m/>
    <n v="0"/>
  </r>
  <r>
    <x v="127"/>
    <s v="Hull Stockton"/>
    <m/>
    <s v="Lisa"/>
    <s v="Email"/>
    <s v="Brenlar LLC"/>
    <m/>
    <x v="16"/>
    <s v="The Sea Ranch"/>
    <x v="1"/>
    <m/>
    <x v="5"/>
    <x v="1286"/>
    <x v="1760"/>
    <s v="TIV"/>
    <s v="2005 w/$10K ded. Metal roof. Not in brush. Alarms. Looks clean."/>
    <x v="4"/>
    <m/>
    <m/>
    <m/>
    <s v="Patterson"/>
    <m/>
    <m/>
    <n v="0"/>
  </r>
  <r>
    <x v="412"/>
    <s v="Hull CA"/>
    <s v="Irvine"/>
    <s v="Alison"/>
    <s v="Email"/>
    <s v="Fein, Josh"/>
    <m/>
    <x v="2"/>
    <s v="Manhattan Beach CA PC2"/>
    <x v="1"/>
    <m/>
    <x v="8"/>
    <x v="1286"/>
    <x v="1496"/>
    <s v="TIV"/>
    <s v="1992 home. No updates. Online photos look very good. No brush. "/>
    <x v="4"/>
    <m/>
    <m/>
    <m/>
    <s v="Patterson"/>
    <m/>
    <m/>
    <n v="0"/>
  </r>
  <r>
    <x v="341"/>
    <s v="Hull Irvine"/>
    <s v="CA"/>
    <s v="Kelly"/>
    <s v="Email"/>
    <s v="Li"/>
    <s v="Mingjing"/>
    <x v="2"/>
    <s v="Laguna Niguel"/>
    <x v="1"/>
    <m/>
    <x v="0"/>
    <x v="1287"/>
    <x v="1761"/>
    <s v="TIV"/>
    <s v="No brush frame home built in 1995. 8030 square feet. In ground pool with complete updates for wiring, plumbing, heating and roofing in 2016. tile roof (2016 too). Central burglar alarm but no fire alarm. "/>
    <x v="3"/>
    <s v="Need to confirm not running as an event venue. Not in a brush area. Do we have a rental form for this? Not central fire alarm and &gt;$2M therefore minimum AOP of$10k"/>
    <m/>
    <m/>
    <s v="Lazovik"/>
    <m/>
    <m/>
    <n v="0"/>
  </r>
  <r>
    <x v="125"/>
    <s v="Hull Irvine"/>
    <m/>
    <s v="Alison"/>
    <s v="Call/Email"/>
    <s v="Spalding, William &amp; Stephanie"/>
    <m/>
    <x v="0"/>
    <s v="Malibu"/>
    <x v="1"/>
    <m/>
    <x v="5"/>
    <x v="1288"/>
    <x v="1762"/>
    <s v="Occupancy"/>
    <s v="Parents are buying home for their daughter (agt getting details of age and situation). Should this be DP3 rental or HO3 and include daughters name"/>
    <x v="3"/>
    <s v="Discussed situation is case by case. In this case, sounds like owner occupied situation. Agt to verify if college student, special needs, etc and add subjectivities accordingly.  Pol language supports &quot;family members&quot; as named insureds."/>
    <m/>
    <m/>
    <s v="Patterson"/>
    <m/>
    <m/>
    <n v="0"/>
  </r>
  <r>
    <x v="512"/>
    <s v="Burns"/>
    <s v="MI"/>
    <s v="Lindsay"/>
    <s v="Email"/>
    <s v="Soleymani"/>
    <s v="Ramin"/>
    <x v="0"/>
    <s v="Beverly Hills"/>
    <x v="1"/>
    <m/>
    <x v="11"/>
    <x v="1289"/>
    <x v="1763"/>
    <s v="TIV"/>
    <s v="Attached is a primary home located in CA not in brush. Home was built in 2003 of frame construction. PC1, with 1 loss- theft-$5k"/>
    <x v="3"/>
    <s v="photos, app, review OK. Advised to be sure alarm requirements are met."/>
    <m/>
    <m/>
    <s v="Burdine"/>
    <m/>
    <m/>
    <n v="0"/>
  </r>
  <r>
    <x v="203"/>
    <s v="Hull CA"/>
    <s v="Irvine"/>
    <s v="Alex"/>
    <s v="Email"/>
    <s v="Baker, Michael"/>
    <m/>
    <x v="0"/>
    <s v="Crowley Lake CA PC5"/>
    <x v="3"/>
    <m/>
    <x v="0"/>
    <x v="1290"/>
    <x v="1544"/>
    <s v="TIV&gt;$3M"/>
    <s v="1998 custom home frame w/log veneer. Insp is 3 years old but agt increased Covg A. Coming in just under Lloyds premium. Not in brush, but agent added brush s/c with 5% credit."/>
    <x v="4"/>
    <s v="Approved requesting new inspection."/>
    <m/>
    <m/>
    <s v="Patterson"/>
    <m/>
    <m/>
    <n v="0"/>
  </r>
  <r>
    <x v="654"/>
    <s v="Hull Stockton"/>
    <m/>
    <s v="Lisa"/>
    <s v="Call/Email"/>
    <s v="Tribolet, John &amp; Gina"/>
    <m/>
    <x v="1"/>
    <s v="Kentfield"/>
    <x v="1"/>
    <m/>
    <x v="11"/>
    <x v="1291"/>
    <x v="1407"/>
    <s v="Tail end construction"/>
    <s v="2016 home coming up for renewal, &quot;contract department&quot; not renewing. Insd needs 6 month pol to complete reno to interior plus the pool."/>
    <x v="0"/>
    <s v="Offered with /10% s/c and pool exclusion.  6/14 A+ found $246,452 water loss 1 1/2 years ago at another location. Terms are on hold.  6/15-discussed w/Jeff. We agreed to approve w/a surcharge for the loss."/>
    <s v="Gave approval for extension; issuing 3 month term. K.Burdine"/>
    <m/>
    <s v="Patterson"/>
    <m/>
    <m/>
    <n v="0"/>
  </r>
  <r>
    <x v="720"/>
    <s v="Burns"/>
    <s v="MI"/>
    <s v="Delta"/>
    <s v="Email"/>
    <s v="Nelson"/>
    <s v="Jeffrey"/>
    <x v="16"/>
    <s v="Granby"/>
    <x v="19"/>
    <m/>
    <x v="4"/>
    <x v="1291"/>
    <x v="1440"/>
    <s v="TIV"/>
    <s v="2017 home 8 miles from the FD. 13 min drive time per Google. Volunteer FD, response time will be longer. App/quest/email says PC9. 8 miles from FD is PC10. 35 acres. 34 acres leased to C Lazy U Ranch which is a Dude Ranch in this community. Owners of homes are giving &quot;membership&quot;. Separate road. House is 10,000 feef from ranch. App questions-many marked with &quot;x&quot;."/>
    <x v="0"/>
    <s v="Asked for PC10, rerated. Decided to allow 13 min drive time since FD is paid and there are alarms.  Aerial photos provided on 10/5.  Great separation, separate roads to get to both properties.  Insd not affiliated w/the ranch at all, they just lease land.  Agent will exclude structures: &quot;All structures owned by and used by C Lazy U ranch on the adjoining 34 acres&quot;._x000a__x000a_Subject to:_x000a_• App has several underwriting questions answered with an &quot;X&quot;.  Please have answers corrected to Y or N._x000a_• Apply Total Business Exclusion  _x000a_"/>
    <s v=".28 rate. Was going to increase to .30. Since FD is paid and they have alarms, felt we could leave it. Drive time is 13 min."/>
    <n v="62"/>
    <s v="Patterson"/>
    <m/>
    <m/>
    <n v="0"/>
  </r>
  <r>
    <x v="754"/>
    <s v="Burns"/>
    <s v="MI"/>
    <s v="Matthew"/>
    <s v="Email"/>
    <s v="Peninsula Masion Inc."/>
    <s v="Peninsula Masion Inc."/>
    <x v="2"/>
    <m/>
    <x v="1"/>
    <m/>
    <x v="8"/>
    <x v="1291"/>
    <x v="1764"/>
    <s v="TIV"/>
    <s v="PC2 with full c/s alarms, visible to neighbors and accessible all year, and no losses; no brush"/>
    <x v="4"/>
    <s v="RM, photo, ISO OK"/>
    <m/>
    <m/>
    <s v="Burdine"/>
    <m/>
    <m/>
    <n v="0"/>
  </r>
  <r>
    <x v="747"/>
    <s v="Hull CA"/>
    <s v="Irvine"/>
    <s v="Alex"/>
    <s v="Email"/>
    <s v="Jaisinghani, Gul"/>
    <m/>
    <x v="0"/>
    <s v="Malibu "/>
    <x v="1"/>
    <m/>
    <x v="0"/>
    <x v="1291"/>
    <x v="399"/>
    <s v="TIV"/>
    <s v="Found numerous online articles about lawsuits and alledged VFW fundraising group that kept 80-90% of solicited funds. "/>
    <x v="1"/>
    <s v="Potential moral and/or liability hazard"/>
    <m/>
    <m/>
    <s v="Patterson"/>
    <m/>
    <m/>
    <n v="1"/>
  </r>
  <r>
    <x v="291"/>
    <s v="Hull CA"/>
    <s v="Stockton"/>
    <s v="Lisa"/>
    <s v="Email"/>
    <s v="Jaisinghani, Gul"/>
    <m/>
    <x v="0"/>
    <s v="Malibu "/>
    <x v="1"/>
    <m/>
    <x v="0"/>
    <x v="1291"/>
    <x v="399"/>
    <s v="TIV"/>
    <s v="Found numerous online articles about lawsuits and alledged VFW fundraising group that kept 80-90% of solicited funds. "/>
    <x v="1"/>
    <s v="Potential moral and/or liability hazard.  **Received this same risk from the Irvine office on 10/14 and declined. Sent Lisa a copy of my declination email."/>
    <m/>
    <m/>
    <s v="Patterson"/>
    <m/>
    <m/>
    <n v="1"/>
  </r>
  <r>
    <x v="457"/>
    <s v="Hull Irvine"/>
    <s v=" "/>
    <s v="Alison"/>
    <s v="Email"/>
    <s v="Khandabi, Moussa"/>
    <m/>
    <x v="2"/>
    <s v="Beverly Hills"/>
    <x v="1"/>
    <m/>
    <x v="11"/>
    <x v="1291"/>
    <x v="1765"/>
    <s v="TIV"/>
    <s v="2001 rental home with alarms. Previously quoted - increase in Cov A over last year - insd thought underinsured.  May not use alarms. Agent quoting 2 ded."/>
    <x v="3"/>
    <s v="Online photos - possible flat roof. If updated in 15 years, allow $5K ded if they have c/s alarms. Otherwise $10K ded."/>
    <m/>
    <m/>
    <s v="Patterson"/>
    <m/>
    <m/>
    <n v="0"/>
  </r>
  <r>
    <x v="204"/>
    <s v="SCU"/>
    <s v="CO"/>
    <s v="Allison"/>
    <s v="Email"/>
    <s v="Keeter, Jack"/>
    <m/>
    <x v="0"/>
    <s v="Anaheim CA PC2"/>
    <x v="3"/>
    <m/>
    <x v="0"/>
    <x v="1291"/>
    <x v="1766"/>
    <s v="TIV&gt;$3M"/>
    <s v="1963 home updated in 2015 with gut/remodel. Not in brush, confirmed with FireLine which showed negligible. Trampoline w/exclusion. "/>
    <x v="4"/>
    <s v="Approved subject to Allison confirming the baseball field in backyard per 2010 photos online is either gone or ONLY used for personal use."/>
    <m/>
    <m/>
    <s v="Patterson"/>
    <m/>
    <m/>
    <n v="0"/>
  </r>
  <r>
    <x v="518"/>
    <s v="Hull Irvine"/>
    <s v="CA"/>
    <s v="Lisa"/>
    <s v="Email"/>
    <s v="Facter"/>
    <s v="Jeff"/>
    <x v="16"/>
    <s v="Laguna Beach "/>
    <x v="1"/>
    <m/>
    <x v="9"/>
    <x v="1291"/>
    <x v="35"/>
    <s v="TIV"/>
    <s v="1996 unique and custom Rock Home, new purchase. Concrete and metal structure. Pricing .19. Not in brush. On beach."/>
    <x v="1"/>
    <s v="Reviewed w/Louisa who reviewed w/Jeff. We feel too custom. It will quickly get over $5M."/>
    <m/>
    <n v="46"/>
    <s v="Patterson"/>
    <m/>
    <m/>
    <n v="1"/>
  </r>
  <r>
    <x v="422"/>
    <s v="Burns"/>
    <s v="MI"/>
    <s v="Jill"/>
    <m/>
    <s v="Jacobs"/>
    <s v="Thomas"/>
    <x v="1"/>
    <s v="San Rafael"/>
    <x v="1"/>
    <s v="94901"/>
    <x v="11"/>
    <x v="1291"/>
    <x v="1767"/>
    <s v="Builders Risk"/>
    <s v="Historic home built in 1891 (Robert Dollar House). There was a complete remodel of the home in 2013. Insured is living in home while work is being done, and acting as GC/ Putting about $100,000 into kitchen and bathroom reno. Hiring subcontractors to do work."/>
    <x v="1"/>
    <s v="Photos provided show a lot of work still needs to be done. BR questionnaire also says that time left is 1-2 years. Seems like quite some time. Also, in photos provided there appears to be further damage in some areas of the home, maybe water damage, unsure of which rooms it was in. Insured also acting as GC. With all of that in consideration, passing on the risk."/>
    <m/>
    <m/>
    <s v="Busse"/>
    <m/>
    <m/>
    <n v="1"/>
  </r>
  <r>
    <x v="322"/>
    <s v="Hull Irvine"/>
    <m/>
    <s v="Alex"/>
    <s v="Call/Email"/>
    <s v="Michaelson, Marc"/>
    <m/>
    <x v="0"/>
    <s v="Beverly Hills"/>
    <x v="1"/>
    <m/>
    <x v="0"/>
    <x v="1291"/>
    <x v="40"/>
    <s v="TIV/Business on premise"/>
    <s v="Insured has an Interior Design Studio on premises.  Has some consultant employees come on site. Rare to have customers. "/>
    <x v="2"/>
    <s v="Agent getting details. Suggested to check on delivery to determine overall exposure. Also on manufacturing and clearance frame home. Exclude other structure. Add Total Business Exclusion. All checks out, notes in file. 5/16/17"/>
    <m/>
    <m/>
    <s v="Patterson"/>
    <m/>
    <m/>
    <n v="0"/>
  </r>
  <r>
    <x v="732"/>
    <s v="Burns"/>
    <s v="MI"/>
    <s v="Alexa"/>
    <m/>
    <s v="Schiller"/>
    <s v="John"/>
    <x v="0"/>
    <s v="Houston"/>
    <x v="23"/>
    <s v="77019"/>
    <x v="11"/>
    <x v="1292"/>
    <x v="1768"/>
    <s v="Other UW Reason"/>
    <s v="1952 year built with complete updates in 2017. Insured was CEO of oil and gas company and fined for &quot;pay-for-play&quot;. Had to pay $180,000 fine and cant serve on any boards for 5 years. He is now retired. Agent advised they would exclude liability."/>
    <x v="3"/>
    <s v="Approving subject to completed app (PPC and updates missing), OHQ, and no liability as mentioned by Burns. I do not think there is a large enough concern that would cause to decline even with excluding liability. "/>
    <m/>
    <m/>
    <s v="Busse"/>
    <m/>
    <m/>
    <n v="0"/>
  </r>
  <r>
    <x v="334"/>
    <s v="Quaker"/>
    <s v="MA"/>
    <s v="Austin"/>
    <s v="Email"/>
    <s v="Conigliaro"/>
    <s v="Douglas &amp; Carla"/>
    <x v="0"/>
    <s v="Dedham"/>
    <x v="21"/>
    <m/>
    <x v="0"/>
    <x v="1293"/>
    <x v="1769"/>
    <s v="Prior Lapse/NRN"/>
    <s v="Insured is owner of a pharmacy that had a major suit issue. Insured found moving their personal funds and was fined (no jail). Chubb NRN'd"/>
    <x v="3"/>
    <s v="Reviewed w/ Jeff.  1/4/18 approval email in Quaker file from Jeff &quot;Financial fraud charges with minimal fines from what I read - if the insureds aren't in dire financial trouble because of the charges, then I wouldn't be completely opposed to it.&quot; Approved subject to 15% surcharge on total prem."/>
    <s v="I ran insurance score on as many applicants as possible.  713 and 710 scores - okay."/>
    <m/>
    <s v="Patterson"/>
    <m/>
    <m/>
    <n v="0"/>
  </r>
  <r>
    <x v="727"/>
    <s v="Burns"/>
    <s v="MI"/>
    <s v="Delta"/>
    <s v="Email"/>
    <s v="Shah, Bankim"/>
    <m/>
    <x v="0"/>
    <s v="Poway"/>
    <x v="1"/>
    <m/>
    <x v="9"/>
    <x v="1294"/>
    <x v="1606"/>
    <s v="TIV"/>
    <s v="2015 home, full alarms. (Noted in brush, but RM says no brush) Found numerous online articles with same name Bankim Shah. Slum lord, horrible dwellings, 90+ properties, lawsuits."/>
    <x v="1"/>
    <s v="Forwarded URL's to the underwriter to confirm if this is the same person. If so, we will pass due to increased moral and morale hazard. Also high profile and target risk."/>
    <m/>
    <m/>
    <s v="Patterson"/>
    <m/>
    <m/>
    <n v="1"/>
  </r>
  <r>
    <x v="80"/>
    <s v="Burns"/>
    <s v="MI"/>
    <s v="Delta"/>
    <s v="Email"/>
    <s v=" Vanacore, Derek"/>
    <m/>
    <x v="0"/>
    <m/>
    <x v="1"/>
    <m/>
    <x v="9"/>
    <x v="1295"/>
    <x v="1770"/>
    <s v="TIV"/>
    <s v="2003 home not in brush, full alarms. Aware of $5M TIV max. 3 prior losses: wind 2/14 $59,495; theft jetski (open) 10/15 $2350; water $9942 2/3/16. Lapse-10% s/c applied."/>
    <x v="3"/>
    <s v="I am approving terms for you as quoted subject to:_x000a_• If water claim of 2/3/16 was backup related, please do not add water backup coverage. _x000a_• Please obtain details about the stolen jetski and the water damage claim and if there is anything out of the ordinary or concerning, please check back with me to review terms.  Assuming no negligent action with the stolen jetski.  Assuming pipe break or leak.  (Didn’t want you to have to wait to bind…)_x000a_"/>
    <m/>
    <m/>
    <s v="Patterson"/>
    <m/>
    <m/>
    <n v="0"/>
  </r>
  <r>
    <x v="462"/>
    <s v="AmWINS"/>
    <s v="NH"/>
    <s v="Kyle"/>
    <m/>
    <s v="Ahearn"/>
    <s v="David"/>
    <x v="0"/>
    <s v="Hampton Falls "/>
    <x v="52"/>
    <s v="03844"/>
    <x v="6"/>
    <x v="1296"/>
    <x v="1723"/>
    <s v="Prior Lapse/NRN"/>
    <s v="1800 home full gut reno in 2009. PC8X per agt. No info on app. Cancelled 5/6. Can confirm no losses. CSFB. Indoor pool. Shed/barn completely used for storage only."/>
    <x v="2"/>
    <s v="Asked for ins score, explanation of lapse, and unprotected quest. No info at all on app about distance to FD and response time. // MP follow up from agent. Risk was with AIG, insured missed payment. AIG won't reinstate (preferred).  Unusual for $4.5M TIV to let coverage lapse, but we do see it in E&amp;S. Lapse is just over 2 weeks. Good insurance score shows this shouldn't be an ongoing issue. PC8X ok. 4 min drive time verified 2.1 miles. No hydrant. Ran ISO PPC confirmed 8X."/>
    <s v="Ins score = 4 star"/>
    <m/>
    <s v="Patterson"/>
    <m/>
    <m/>
    <n v="0"/>
  </r>
  <r>
    <x v="68"/>
    <s v="Hull Irvine"/>
    <m/>
    <s v="Alison"/>
    <s v="Email"/>
    <s v="Simantob, Shahriar"/>
    <m/>
    <x v="2"/>
    <s v="Beverly Hills"/>
    <x v="1"/>
    <m/>
    <x v="17"/>
    <x v="1297"/>
    <x v="1771"/>
    <s v="TIV"/>
    <s v="1960 home fully updated in 2001. In the name of 3 different LLC's. Not in brush. "/>
    <x v="3"/>
    <s v="LLC quest and confirmation that all parties have insurable interest."/>
    <m/>
    <m/>
    <s v="Patterson"/>
    <m/>
    <m/>
    <n v="0"/>
  </r>
  <r>
    <x v="610"/>
    <s v="Burns"/>
    <s v="MI"/>
    <s v="Jill"/>
    <s v="Email"/>
    <s v="Greenberg"/>
    <s v="Lorraine"/>
    <x v="2"/>
    <s v="Long Grove"/>
    <x v="4"/>
    <m/>
    <x v="9"/>
    <x v="1298"/>
    <x v="1772"/>
    <s v="TIV"/>
    <s v="1992 dwelling, no losses. Nice online photos. Wiring and heat updated in 07. "/>
    <x v="4"/>
    <m/>
    <s v=" "/>
    <n v="18"/>
    <s v="Patterson"/>
    <m/>
    <m/>
    <n v="0"/>
  </r>
  <r>
    <x v="529"/>
    <s v="SCU"/>
    <s v="CO"/>
    <s v="Allison"/>
    <m/>
    <s v="Hawkins   "/>
    <s v="Michael"/>
    <x v="3"/>
    <s v="Breckenridge"/>
    <x v="19"/>
    <m/>
    <x v="6"/>
    <x v="1299"/>
    <x v="0"/>
    <s v="Occupancy/Use"/>
    <s v="2003 seasonal home rented out to large groups for events. Dwelling sleeps 50. Insured has force placed policy now, only wants to insure for ACV."/>
    <x v="1"/>
    <s v="Too large an exposure."/>
    <m/>
    <m/>
    <s v="Patterson"/>
    <m/>
    <m/>
    <n v="1"/>
  </r>
  <r>
    <x v="654"/>
    <s v="Hull Irvine"/>
    <m/>
    <s v="Alex"/>
    <s v="Call"/>
    <s v="Hotchkiss"/>
    <m/>
    <x v="1"/>
    <m/>
    <x v="3"/>
    <m/>
    <x v="0"/>
    <x v="1299"/>
    <x v="0"/>
    <s v="3rd COC renewal"/>
    <s v="Insured has been w/Zurich for 2 years w/a builders risk.  There was an issue with excavating massive blocks of lava rock from the property.  No GC or funding issues. Just major excavation project.  The insured is just now getting underway with construction and Zurich is pulling the plug. Expect to be done in 9-12 months. Prem will be set competitively."/>
    <x v="4"/>
    <m/>
    <m/>
    <m/>
    <s v="Patterson"/>
    <m/>
    <m/>
    <n v="0"/>
  </r>
  <r>
    <x v="121"/>
    <s v="Hull Horsham"/>
    <m/>
    <s v="Lisa"/>
    <s v="Email"/>
    <s v="Steele, Evan &amp; Shari"/>
    <m/>
    <x v="1"/>
    <s v="Saddle River"/>
    <x v="9"/>
    <m/>
    <x v="6"/>
    <x v="1299"/>
    <x v="0"/>
    <s v="TIV"/>
    <s v="New builders risk, not coastal.  COI and  builders risk app in file ok."/>
    <x v="4"/>
    <m/>
    <m/>
    <m/>
    <s v="Patterson"/>
    <m/>
    <m/>
    <n v="0"/>
  </r>
  <r>
    <x v="339"/>
    <s v="Quaker"/>
    <s v="MA"/>
    <s v="Austin"/>
    <s v="Email"/>
    <s v="Kessler"/>
    <s v="Adam &amp; Debra"/>
    <x v="16"/>
    <s v="Nantucket"/>
    <x v="21"/>
    <m/>
    <x v="0"/>
    <x v="1299"/>
    <x v="0"/>
    <s v="Cov A"/>
    <s v="Existing policy written at $2M. Agent wants to increase to $3M midterm. "/>
    <x v="3"/>
    <s v="Valid RCE. Couple of inspection items noted - roof condition and tape across breaker. Asked agent to ensure they are addressed."/>
    <m/>
    <n v="15"/>
    <s v="Patterson"/>
    <m/>
    <m/>
    <n v="0"/>
  </r>
  <r>
    <x v="635"/>
    <s v="Hull CA"/>
    <s v="Irvine"/>
    <s v="Ariel"/>
    <s v="Email"/>
    <s v="Pettit, Michael"/>
    <m/>
    <x v="8"/>
    <m/>
    <x v="3"/>
    <m/>
    <x v="0"/>
    <x v="1299"/>
    <x v="0"/>
    <s v="PP Limit"/>
    <s v="Agent is requesting $150K PP to cover staging on a 6 month policy."/>
    <x v="3"/>
    <s v="Approved w/a 10,000 theft deductible, and asked addl info to confirm this was the risk we approved in December 2015."/>
    <s v="Same risk, insured was waiting on cert of occupancy to bind policy. They finally got it."/>
    <m/>
    <s v="Patterson"/>
    <m/>
    <m/>
    <n v="0"/>
  </r>
  <r>
    <x v="306"/>
    <s v="Hull CA"/>
    <s v="Irvine"/>
    <s v="Alison"/>
    <s v="Call"/>
    <m/>
    <m/>
    <x v="8"/>
    <m/>
    <x v="3"/>
    <m/>
    <x v="0"/>
    <x v="1299"/>
    <x v="0"/>
    <s v="COC &gt;2.5 years"/>
    <s v="Insured is an eccentric entrepreneur - someone who went into space and is into all kinds of ventures. Home has been COC for 2 years. Not going to be done until 8/2017. Has his builder work on home as he has money to do it. It is funded with cash."/>
    <x v="1"/>
    <s v="Concern with home being completed as money becomes available. Moral hazard potential as well as target with long term COC."/>
    <m/>
    <m/>
    <s v="Patterson"/>
    <m/>
    <m/>
    <n v="1"/>
  </r>
  <r>
    <x v="143"/>
    <s v="Burns"/>
    <s v="MI"/>
    <s v="Delta"/>
    <s v="Email"/>
    <s v="Deer Ridge Lodge LLC"/>
    <m/>
    <x v="5"/>
    <s v="Snowmass Village"/>
    <x v="19"/>
    <m/>
    <x v="2"/>
    <x v="1299"/>
    <x v="290"/>
    <s v="TIV"/>
    <s v="1990 home w/ alarms &amp; no losses. Agt will require alarm cert and LLC. Online photos good."/>
    <x v="4"/>
    <m/>
    <s v="Insured is a Snowmass realtor. "/>
    <n v="9"/>
    <s v="Patterson"/>
    <m/>
    <m/>
    <n v="0"/>
  </r>
  <r>
    <x v="234"/>
    <s v="Burns"/>
    <s v="MI"/>
    <s v="Leslie"/>
    <s v="Email"/>
    <s v="RK Partners LLC"/>
    <m/>
    <x v="162"/>
    <s v="Aspen CO PC5"/>
    <x v="3"/>
    <m/>
    <x v="0"/>
    <x v="1299"/>
    <x v="290"/>
    <s v="TIV&gt;$3M"/>
    <s v="1979 duplex being renovated. "/>
    <x v="0"/>
    <s v="There was some confusion on the app. It is not HO6. Both sides being renovated. $3M is value for entire structure."/>
    <m/>
    <m/>
    <s v="Patterson"/>
    <m/>
    <m/>
    <n v="0"/>
  </r>
  <r>
    <x v="338"/>
    <s v="Hull Irvine"/>
    <s v="CA"/>
    <s v="Michelle"/>
    <s v="Email"/>
    <s v="Weiss"/>
    <s v="Marty"/>
    <x v="5"/>
    <s v="Escondido"/>
    <x v="1"/>
    <m/>
    <x v="0"/>
    <x v="1299"/>
    <x v="1371"/>
    <s v="TIV"/>
    <s v="2002 vacant will be up for sale. No PC info. Online photos look okay.  There is &quot;Marty Weiss&quot; child star molester, but that individual is around age 55.  Our insured is 74.  "/>
    <x v="3"/>
    <s v="Subj to PC confirmation.  Does not appear to be the same Marty Weiss as in the news."/>
    <s v="Tried to run ins score to confirm occupation or info.  I could not get a result - said it was frozen per the consumer, and was under review.  DOB was confirmed."/>
    <m/>
    <s v="Patterson"/>
    <m/>
    <m/>
    <n v="0"/>
  </r>
  <r>
    <x v="114"/>
    <s v="Burns"/>
    <s v="MI"/>
    <s v="Alexa"/>
    <s v="Email"/>
    <s v="Rock Homes LLC"/>
    <m/>
    <x v="5"/>
    <s v="Franklin"/>
    <x v="8"/>
    <m/>
    <x v="3"/>
    <x v="1299"/>
    <x v="1371"/>
    <s v="TIV"/>
    <s v="2017 home new construction by builder. No alarms. 3/16/17 vandalism to security cameras while home was vacant/for sale. Current policy expires 6/1/17 - requesting 6 mo policy w/$1000 AOP."/>
    <x v="3"/>
    <s v="• Installation of monitored central station fire and burglar alarm system prior to binding_x000a_• Minimum $10,000 AOP deductible_x000a_• Surcharge premium additional 20% due to the circumstances of the risk – vacant high value home with recent vandalism claim_x000a_• Offer a 3 month policy with the option for one renewal if there are no claims or concerns during the initial 3 month term._x000a__x000a_"/>
    <m/>
    <m/>
    <s v="Patterson"/>
    <m/>
    <m/>
    <n v="0"/>
  </r>
  <r>
    <x v="253"/>
    <s v="Hull CO"/>
    <s v="Horsham"/>
    <s v="Nichole"/>
    <s v="Email"/>
    <s v="Albright, Lars"/>
    <m/>
    <x v="1"/>
    <s v="Chestnut Hill MA PC5"/>
    <x v="21"/>
    <m/>
    <x v="2"/>
    <x v="1299"/>
    <x v="1371"/>
    <s v="TIV/Year built"/>
    <s v="1890 home SE of Boston under renovation. Alarmed. $15K premium. "/>
    <x v="3"/>
    <s v="Approved subject to this being a total gut and remodel, per UW guide requirements."/>
    <m/>
    <m/>
    <s v="Patterson"/>
    <m/>
    <m/>
    <n v="0"/>
  </r>
  <r>
    <x v="669"/>
    <s v="Hull Irvine"/>
    <s v="CA"/>
    <s v="Alison"/>
    <s v="Email"/>
    <s v="Manboubi-Fardi"/>
    <s v="Jonathan"/>
    <x v="109"/>
    <s v="Beverly Hills"/>
    <x v="1"/>
    <m/>
    <x v="8"/>
    <x v="1299"/>
    <x v="1373"/>
    <s v="TIV"/>
    <s v="1928 dwelling updated in 2000. Not in brush zone. All UW questions answered 'no'."/>
    <x v="1"/>
    <s v="Googled insured and found a bankruptcy court doc from 2014. Ran ins score and found another bankruptcy in 2013."/>
    <s v="Score is 632 with adverse info, bankruptcy, collection. $3M of open debt."/>
    <m/>
    <s v="Patterson"/>
    <m/>
    <m/>
    <n v="1"/>
  </r>
  <r>
    <x v="108"/>
    <s v="Hull Irvine"/>
    <m/>
    <s v="Melissa"/>
    <s v="Email"/>
    <s v="Altshuler, David"/>
    <m/>
    <x v="0"/>
    <s v="Pacific Palisades"/>
    <x v="1"/>
    <m/>
    <x v="11"/>
    <x v="1299"/>
    <x v="291"/>
    <s v="Remove brush surcharge"/>
    <s v="Risk is not in a brush zone, but high brush zone is nearby. Agent originally added a brush s/c due to proximity to brush. Melissa asking to remove it."/>
    <x v="0"/>
    <s v="Since they added it, they can remove it.  I don't see a record of requiring it. I suggested a 1/2 surcharge. Risk is PC1, 5 min response time. Prem went up $610. This is a COC 2nd term and $3,150,000 TIV, approved."/>
    <m/>
    <m/>
    <s v="Patterson"/>
    <m/>
    <m/>
    <n v="0"/>
  </r>
  <r>
    <x v="184"/>
    <s v="Burns"/>
    <s v="MI"/>
    <s v="Matthew"/>
    <s v="Email"/>
    <s v="Israel Ben"/>
    <s v="Moyal"/>
    <x v="5"/>
    <s v="Houston"/>
    <x v="23"/>
    <m/>
    <x v="11"/>
    <x v="1299"/>
    <x v="1773"/>
    <s v="TIV"/>
    <s v="2017 build, PC 1 (ISO attached), full c/s alarms"/>
    <x v="4"/>
    <s v="online photos OK; advised agt to be sure to use appropriate exclusions and/or deductibles for Harris County; from Map appears to be over a mile from coast"/>
    <m/>
    <m/>
    <s v="Burdine "/>
    <m/>
    <m/>
    <n v="0"/>
  </r>
  <r>
    <x v="774"/>
    <s v="Hull Irvine"/>
    <s v="CA"/>
    <s v="Alison"/>
    <s v="Call/Email"/>
    <s v="5 Coral Cove Way LLC"/>
    <m/>
    <x v="5"/>
    <s v="Dana Point"/>
    <x v="1"/>
    <m/>
    <x v="0"/>
    <x v="1299"/>
    <x v="30"/>
    <s v="TIV"/>
    <s v="2018 new construction, now vacant and up for sale. Construction just completed. Online photos look good. No adverse information about insured."/>
    <x v="4"/>
    <s v="Clean risk. Roof looked flat in photos, but roof cover is tile."/>
    <m/>
    <m/>
    <s v="Patterson"/>
    <m/>
    <m/>
    <n v="0"/>
  </r>
  <r>
    <x v="126"/>
    <s v="Hull Irvine"/>
    <m/>
    <s v="Alison"/>
    <s v="Email"/>
    <s v="Yehoda, Yaron"/>
    <m/>
    <x v="5"/>
    <s v="Studio City"/>
    <x v="1"/>
    <m/>
    <x v="0"/>
    <x v="1299"/>
    <x v="30"/>
    <s v="Vacant  "/>
    <s v="2017 risk new purchase currently vacant. Beautiful online photos. 10% surcharge added by agent. 2nd home for the insured."/>
    <x v="4"/>
    <m/>
    <m/>
    <m/>
    <s v="Patterson"/>
    <m/>
    <m/>
    <n v="0"/>
  </r>
  <r>
    <x v="836"/>
    <s v="Hull Irvine"/>
    <s v="CA"/>
    <s v="Alison"/>
    <s v="Email"/>
    <s v="Hakim"/>
    <s v="Said &amp; Julia"/>
    <x v="1"/>
    <s v="Beverly Hills"/>
    <x v="1"/>
    <m/>
    <x v="11"/>
    <x v="1299"/>
    <x v="30"/>
    <s v="TIV"/>
    <s v="1926 builders risk. Julia is the daughter and will occupy the home upon completion. Rate is coming in around .31. Non brush. "/>
    <x v="3"/>
    <s v="Agt may apply some discretionary credit.  I would suggest only a small amount as this is a builders risk and currently an older home. Very nice online photos."/>
    <m/>
    <n v="22"/>
    <s v="Patterson"/>
    <m/>
    <m/>
    <n v="0"/>
  </r>
  <r>
    <x v="815"/>
    <s v="Hull CA"/>
    <s v="Stockton"/>
    <s v="Melissa"/>
    <s v="Email"/>
    <s v="Podolny Fam Trust"/>
    <m/>
    <x v="1"/>
    <s v="Sonoma CA PC6"/>
    <x v="3"/>
    <m/>
    <x v="0"/>
    <x v="1299"/>
    <x v="30"/>
    <s v="TIV &gt;$3M"/>
    <s v="1999 tile, no brush, large barn, 5 acres, grapes and olives w/vineyard management contract, conflict in responding fire dept"/>
    <x v="2"/>
    <s v="Several questions. Need business and plant exclusion."/>
    <m/>
    <m/>
    <s v="Patterson"/>
    <m/>
    <m/>
    <n v="0"/>
  </r>
  <r>
    <x v="660"/>
    <s v="Burns"/>
    <s v="MI"/>
    <s v="Delta"/>
    <s v="Email"/>
    <s v="Selter Family Trust"/>
    <m/>
    <x v="5"/>
    <s v="Studio City"/>
    <x v="1"/>
    <m/>
    <x v="8"/>
    <x v="1299"/>
    <x v="30"/>
    <s v="TIV"/>
    <s v="1992 home updated. Home for sale. App says prior canc/nrn - no reason listed. Online photos nice - could be a flat roof."/>
    <x v="3"/>
    <s v="If flat roof, $10K ded applies. If reason for canc/nrn due to home for sale, okay. If other, refer back."/>
    <m/>
    <m/>
    <s v="Patterson"/>
    <m/>
    <m/>
    <n v="0"/>
  </r>
  <r>
    <x v="707"/>
    <s v="Burns"/>
    <s v="MI"/>
    <s v="Alexa"/>
    <m/>
    <s v="Elwood"/>
    <s v="Michael"/>
    <x v="1"/>
    <s v="Culver"/>
    <x v="17"/>
    <s v="46511"/>
    <x v="6"/>
    <x v="1299"/>
    <x v="1774"/>
    <s v="Builders Risk"/>
    <s v="2018 home, will be secondary. Appears to be mid-term, as it was noted that the home was knocked down and re-built. PC9, no fencing/lighting around the property."/>
    <x v="1"/>
    <s v="Declining due to no fencing/lighting at this COC. It is a larger home, PC9, and open to others to access the property. We are mid-term, prefer to be first in line. "/>
    <m/>
    <m/>
    <s v="Busse"/>
    <m/>
    <m/>
    <n v="1"/>
  </r>
  <r>
    <x v="111"/>
    <s v="Burns"/>
    <s v="MI"/>
    <s v="Jill"/>
    <s v="Email"/>
    <s v="Jones, George &amp; Barnum, William DBA…"/>
    <m/>
    <x v="2"/>
    <s v="Venice "/>
    <x v="1"/>
    <m/>
    <x v="11"/>
    <x v="1299"/>
    <x v="1774"/>
    <s v="TIV"/>
    <s v="2017 home not in brush. Named insured is General Partnership. They want CPL and PI"/>
    <x v="3"/>
    <s v="Wondering why CPL and PI would come off a rental dwelling but if there is a good reason and they need it, it is okay."/>
    <s v="Discussed w/Louisa. 07/26/17-granted approval to increased Cov D to $365,000, and Cov C to $50K. Home has been changed to seasonal/partial tenant. K.Burdine"/>
    <m/>
    <s v="Patterson"/>
    <m/>
    <m/>
    <n v="0"/>
  </r>
  <r>
    <x v="375"/>
    <s v="Burns"/>
    <s v="MI"/>
    <s v="Alexa"/>
    <s v="Email"/>
    <s v="Thayer, Robert"/>
    <m/>
    <x v="6"/>
    <s v="Littleton"/>
    <x v="19"/>
    <m/>
    <x v="9"/>
    <x v="1299"/>
    <x v="1775"/>
    <s v="TIV"/>
    <s v="1995 home under renovation to be sold."/>
    <x v="3"/>
    <s v="Ensure that the insured is not the GC. Does not appear by the names on the app and cert, but insured does own a construction company."/>
    <m/>
    <m/>
    <s v="Patterson"/>
    <m/>
    <m/>
    <n v="0"/>
  </r>
  <r>
    <x v="509"/>
    <s v="Hull Irvine"/>
    <s v="CA"/>
    <s v="Bobbi"/>
    <s v="Email"/>
    <s v="Freeman"/>
    <s v="Trisha"/>
    <x v="0"/>
    <s v="Hidden Hills"/>
    <x v="1"/>
    <m/>
    <x v="8"/>
    <x v="1299"/>
    <x v="1776"/>
    <s v="TIV"/>
    <s v="Updated home in Hidden Hills, escrow closing tomorrow. Not in brush. Other carrier app. No OHQ. Roof is 10 years old. Barns, fencing, screened sports enclosure in photos. App says diving board and slide."/>
    <x v="3"/>
    <s v="Asked for addl info on animals, screened enclosure, pool, wiring. Need Acord and OHQ after binding."/>
    <m/>
    <m/>
    <s v="Patterson"/>
    <m/>
    <m/>
    <n v="0"/>
  </r>
  <r>
    <x v="277"/>
    <s v="Hull CA"/>
    <s v="Irvine"/>
    <s v="Alison"/>
    <s v="Email"/>
    <s v="Moossaian"/>
    <m/>
    <x v="2"/>
    <s v="La Canada "/>
    <x v="1"/>
    <m/>
    <x v="5"/>
    <x v="1299"/>
    <x v="399"/>
    <s v="TIV"/>
    <s v="2014 home alarms. Nice online photos. Insured is a realtor. This appears to be a new purchase."/>
    <x v="4"/>
    <m/>
    <m/>
    <m/>
    <s v="Patterson"/>
    <m/>
    <m/>
    <n v="0"/>
  </r>
  <r>
    <x v="163"/>
    <s v="Burns"/>
    <s v="MI"/>
    <s v="Delta"/>
    <s v="Email"/>
    <s v="Soussel"/>
    <s v="James"/>
    <x v="0"/>
    <s v="Tempe"/>
    <x v="7"/>
    <m/>
    <x v="0"/>
    <x v="1299"/>
    <x v="1454"/>
    <s v="Mid term builders risk"/>
    <s v="New build 50% complete. No losses, no alarms yet. Perimeter is locked chain, gated community. BR supplement does not note reason for moving risk mid-construction._x000a_"/>
    <x v="0"/>
    <s v="You are approved to offer a quote subject to:_x000a_• Explanation of why we are starting a policy when the construction is 50% complete_x000a_• Was the home previously insured?  With which carrier, and why is the insured changing carriers_x000a_• Answer to these questions may affect eligibility_x000a_• 10% additional surcharge applies to VMGA rate since we are coming in mid-construction_x000a_//10/5 Agent taking over business for insd. Curr w/Zurich in good standing. Looking for 10/7 renewal alternative terms. Approved w/10% s/c. Asked to make sure Cov A is accurate."/>
    <s v="Likely we will approve with a surcharge, so I originally offered this with subjectivities."/>
    <n v="34"/>
    <s v="Patterson"/>
    <m/>
    <m/>
    <n v="0"/>
  </r>
  <r>
    <x v="792"/>
    <s v="Hull Irvine"/>
    <s v="CA"/>
    <s v="Alison"/>
    <s v="Email"/>
    <s v="Wooten"/>
    <s v="Charles"/>
    <x v="2"/>
    <s v="Santa Monica"/>
    <x v="1"/>
    <m/>
    <x v="0"/>
    <x v="1299"/>
    <x v="32"/>
    <s v="TIV"/>
    <s v="Rental, no brush"/>
    <x v="4"/>
    <s v="Rating, online review OK"/>
    <m/>
    <m/>
    <s v="Burdine"/>
    <m/>
    <m/>
    <n v="0"/>
  </r>
  <r>
    <x v="436"/>
    <s v="Hull CA"/>
    <s v="Irvine"/>
    <s v="Alison"/>
    <s v="Email"/>
    <s v="Habibi Family Trust"/>
    <m/>
    <x v="163"/>
    <s v="Santa Monica"/>
    <x v="1"/>
    <m/>
    <x v="11"/>
    <x v="1299"/>
    <x v="1777"/>
    <s v="COC not complete"/>
    <s v="With Lex, renews 9/26. Final permits expected 10/8. Minor touch up and outside work left. Rent is $25K per month. Would we agree to write as a rental from inception since little work to be done."/>
    <x v="0"/>
    <s v="Approved - add some premium if we can. Apps and other info came in 9/21. Reviewed and acceptable. Offered a 9% credit for the $25,000 deductible."/>
    <m/>
    <m/>
    <s v="Patterson"/>
    <m/>
    <m/>
    <n v="0"/>
  </r>
  <r>
    <x v="161"/>
    <s v="SCU"/>
    <s v="CO"/>
    <s v="Allison"/>
    <s v="Email"/>
    <s v="O'Connor"/>
    <s v="Lawrence Richard"/>
    <x v="25"/>
    <s v="Mountain Village"/>
    <x v="19"/>
    <m/>
    <x v="2"/>
    <x v="1299"/>
    <x v="1578"/>
    <s v="TIV"/>
    <s v="1990 dwelling used seasonally with up to 12 weeks of STR. Brush clearance. Insured coming from Chubb due to addition of STR.  .20 rate. Would like a touch more, but current prem is $2665 with Chubb. Agent will increase if competition is higher. Believe roof to be asphalt. Will resubmit if woodshake (some online pics look like woodshake)"/>
    <x v="4"/>
    <m/>
    <m/>
    <n v="24"/>
    <s v="Patterson"/>
    <m/>
    <m/>
    <n v="0"/>
  </r>
  <r>
    <x v="193"/>
    <s v="Hull CA"/>
    <s v="Irvine"/>
    <s v="Alison"/>
    <s v="Email"/>
    <s v="Wilson Family Trust"/>
    <m/>
    <x v="32"/>
    <s v="Newport Beach CA PC3"/>
    <x v="3"/>
    <m/>
    <x v="0"/>
    <x v="1299"/>
    <x v="1778"/>
    <s v="TIV"/>
    <s v="No online photos, no brush, Prior carrier Firemans Fund no longer writing"/>
    <x v="4"/>
    <s v="Clean risk, prior inspection included"/>
    <s v="Per Alison 1/8/16, we wrote this one!"/>
    <m/>
    <s v="Patterson"/>
    <m/>
    <m/>
    <n v="0"/>
  </r>
  <r>
    <x v="228"/>
    <s v="Hull CA"/>
    <s v="Irvine"/>
    <s v="Alison"/>
    <s v="Email"/>
    <s v="Gilerman, Erina"/>
    <m/>
    <x v="164"/>
    <m/>
    <x v="3"/>
    <m/>
    <x v="0"/>
    <x v="1299"/>
    <x v="1601"/>
    <s v="TIV &gt; $3M"/>
    <s v="2013 Rental in LA. In Renie fire zone but agent applied 5% credit because aerial photo shows little brush and it's not in a CDS med or high zone. Central station alarms."/>
    <x v="3"/>
    <s v="Not feeling great about the 5% credit. FireLine shows a 6 (high) with heavy fuels at the property and light to medium in the surrounding area."/>
    <m/>
    <m/>
    <s v="Patterson"/>
    <m/>
    <m/>
    <n v="0"/>
  </r>
  <r>
    <x v="622"/>
    <s v="Burns"/>
    <s v="MI"/>
    <s v="Leslie"/>
    <s v="Email"/>
    <s v="Lang"/>
    <s v="Gary"/>
    <x v="1"/>
    <m/>
    <x v="12"/>
    <m/>
    <x v="6"/>
    <x v="1299"/>
    <x v="512"/>
    <s v="TIV"/>
    <s v="BR-contractor requirements met, attached confirmation of drive distance and PC"/>
    <x v="4"/>
    <s v="Alarm requirements being met"/>
    <m/>
    <m/>
    <s v="Burdine"/>
    <m/>
    <m/>
    <n v="0"/>
  </r>
  <r>
    <x v="263"/>
    <s v="Hull CA"/>
    <s v="Stockton"/>
    <s v="Kirk"/>
    <s v="Email"/>
    <s v="Killcommons, Peter"/>
    <m/>
    <x v="21"/>
    <s v="Truckee"/>
    <x v="1"/>
    <m/>
    <x v="2"/>
    <x v="1299"/>
    <x v="1528"/>
    <s v="TIV"/>
    <s v="2013 home at top of ski slope. Online photos okay. In brush. Full alarms. Seasonal/rental"/>
    <x v="3"/>
    <s v="Approved subj to acceptable short term rental quest."/>
    <m/>
    <m/>
    <s v="Patterson"/>
    <m/>
    <m/>
    <n v="0"/>
  </r>
  <r>
    <x v="471"/>
    <s v="Hull CA"/>
    <s v="Irvine"/>
    <s v="Alex"/>
    <s v="Email"/>
    <s v="Kagan, Roman"/>
    <m/>
    <x v="1"/>
    <s v="Los Angeles"/>
    <x v="1"/>
    <m/>
    <x v="5"/>
    <x v="1299"/>
    <x v="1779"/>
    <s v="TIV"/>
    <s v="1981 home in process of renovation. Curr carrier nonrenewed eff 12/14. Will be occupied during reno. Adding ho-3 type coverages."/>
    <x v="4"/>
    <m/>
    <m/>
    <m/>
    <s v="Patterson"/>
    <m/>
    <m/>
    <n v="0"/>
  </r>
  <r>
    <x v="254"/>
    <s v="Hull CA"/>
    <s v="Stockton"/>
    <s v="Kirk"/>
    <s v="Email"/>
    <s v="Blue, Lane"/>
    <m/>
    <x v="1"/>
    <s v="Shaver Lake CA PC6"/>
    <x v="1"/>
    <m/>
    <x v="3"/>
    <x v="1299"/>
    <x v="1517"/>
    <s v="TIV&gt;$3M"/>
    <s v="2016 new ground up construction, confirmed online  vacant lot was sold.  Volunteer FD. Agent wants us to hit $6K."/>
    <x v="1"/>
    <s v="Need PC quest and rater."/>
    <s v="Risk is actually a PC6. Agent has $4900 quote now.  We are coming in at $9596. Even owner occ is $6500. Not willing to dip to 12.5 cent rate."/>
    <m/>
    <s v="Patterson"/>
    <m/>
    <m/>
    <n v="1"/>
  </r>
  <r>
    <x v="164"/>
    <s v="Burns"/>
    <s v="MI"/>
    <s v="Jill"/>
    <s v="Email"/>
    <s v="DeMartini Inc."/>
    <m/>
    <x v="2"/>
    <s v="Incline Village"/>
    <x v="39"/>
    <m/>
    <x v="8"/>
    <x v="1299"/>
    <x v="1780"/>
    <s v="TIV"/>
    <s v="1994 dwelling. Nice online photos. In corporate name - needs to be premises liability. LLC form provided. "/>
    <x v="4"/>
    <s v="Since this is only husband and wife who incorporated for property ownership, we restrict to prem liab, we are okay.  "/>
    <s v="Guidelines state:  &quot;Occupant of the property must be the principal of the corporation when writing corporate owned property.  Premises liability limitation form is required if writing liability.&quot;  Since this is only husband and wife who incorporated for property ownership, we restrict to prem liab, we are okay.  Found some online articles about this insured's name for a City Supervisor - mild news. No indication this is the same person-not overly concerned w/the reports."/>
    <n v="34"/>
    <s v="Patterson"/>
    <m/>
    <m/>
    <n v="0"/>
  </r>
  <r>
    <x v="816"/>
    <s v="Hull Irvine"/>
    <s v="CA"/>
    <s v="Alison"/>
    <s v="Email"/>
    <s v="Moritz"/>
    <s v="Steve"/>
    <x v="0"/>
    <s v="Los Angeles"/>
    <x v="1"/>
    <m/>
    <x v="8"/>
    <x v="1299"/>
    <x v="1705"/>
    <s v="TIV"/>
    <s v="Primary home, within 100 feet of brush"/>
    <x v="1"/>
    <s v="Declined due to proximity to brush"/>
    <m/>
    <m/>
    <s v="Burdine"/>
    <m/>
    <m/>
    <n v="1"/>
  </r>
  <r>
    <x v="394"/>
    <s v="Hull Irvine"/>
    <s v="CA"/>
    <s v="Tina"/>
    <m/>
    <s v="Kornfeld"/>
    <s v="Alan &amp; Connie"/>
    <x v="0"/>
    <s v="Thousand Oaks"/>
    <x v="1"/>
    <s v="91360"/>
    <x v="0"/>
    <x v="1299"/>
    <x v="1623"/>
    <s v="Builders Risk"/>
    <s v="Was a COC that is no longer under construction. The Cov A limit seems to have increased a significant amount. There was a lot done to the home, but still seems high. "/>
    <x v="3"/>
    <s v="Approved subject to confirmation of Cov A with an updated RCE. "/>
    <s v="Some chaos this week with a RUSH Stockton audit that backed up referrals.  Turnaround may have been impacted."/>
    <m/>
    <s v="Busse"/>
    <m/>
    <m/>
    <n v="0"/>
  </r>
  <r>
    <x v="749"/>
    <s v="Hull CA"/>
    <s v="Stockton"/>
    <s v="Melissa"/>
    <s v="Email"/>
    <s v="Breya, Edward"/>
    <m/>
    <x v="0"/>
    <s v="Woodside CA PC10"/>
    <x v="3"/>
    <m/>
    <x v="0"/>
    <x v="1299"/>
    <x v="1781"/>
    <s v="PC10"/>
    <s v="2004 med/high brush, 10-15 min resp, access yr round, some gravel road, visible to neighbors"/>
    <x v="4"/>
    <s v="Realtor listing indicates some concerns-barn in poor condition, nursery business, 2-3 houses, etc. This is old info. No issue with road washout."/>
    <m/>
    <m/>
    <s v="Patterson"/>
    <m/>
    <m/>
    <n v="0"/>
  </r>
  <r>
    <x v="247"/>
    <s v="Hull CA"/>
    <s v="Irvine"/>
    <s v="Alison"/>
    <s v="Email"/>
    <s v="Malhotra, Rakesh"/>
    <m/>
    <x v="0"/>
    <s v="Los Angeles CA PC2"/>
    <x v="3"/>
    <m/>
    <x v="0"/>
    <x v="1299"/>
    <x v="513"/>
    <s v="TIV&gt;$3M"/>
    <s v="1956 home partially updated in 2000. Alison says copper pipes and circuit breakers."/>
    <x v="3"/>
    <s v="Approved subj to not near wildfires, roof exclusion (partial update in 2000) and confirm CS alarms since app says none."/>
    <s v="Made exception w/Jeff's okay - 17 miles from fire."/>
    <m/>
    <s v="Patterson"/>
    <m/>
    <m/>
    <n v="0"/>
  </r>
  <r>
    <x v="402"/>
    <s v="Hull CA"/>
    <s v="Stockton"/>
    <s v="Kirk"/>
    <s v="Email"/>
    <s v="Torrence, Jon"/>
    <m/>
    <x v="0"/>
    <s v="Murrieta"/>
    <x v="1"/>
    <m/>
    <x v="4"/>
    <x v="1299"/>
    <x v="513"/>
    <s v="PC10"/>
    <s v="2008 home. No alarms. Responding FD info conflicting between retailer, drive time map, PPC and RM.  In brush. Gated per online photos. Stunning home."/>
    <x v="0"/>
    <s v="Need resp FD name and contact. Do they have gate access? Since no alarms, need $10K theft and AOP ded."/>
    <s v="FD has gate key. FD is County station 75. 11 minute response. Higher ded okay per Kirk."/>
    <m/>
    <s v="Patterson"/>
    <m/>
    <m/>
    <n v="0"/>
  </r>
  <r>
    <x v="808"/>
    <s v="Burns"/>
    <s v="MI"/>
    <s v="Danielle"/>
    <s v="Email"/>
    <s v="Comolli, Kevin"/>
    <m/>
    <x v="21"/>
    <s v="Carmel"/>
    <x v="1"/>
    <m/>
    <x v="9"/>
    <x v="1299"/>
    <x v="1681"/>
    <s v="TIV"/>
    <s v="2009 frame home. In brush. PPC is 3 or 10. Responding FD was verified with the FD. Paid, 2.4 miles, 7 min. There is a private hydrant on the property and FD confirmed it's storage capacity and flow. Appears this is acceptable as a PC3. Part flat roof. Agent applied $25K ded."/>
    <x v="4"/>
    <m/>
    <s v="http://www.montereyherald.com/article/zz/20130607/NEWS/130608651"/>
    <m/>
    <s v="Patterson"/>
    <m/>
    <m/>
    <n v="0"/>
  </r>
  <r>
    <x v="460"/>
    <s v="Burns"/>
    <s v="MI"/>
    <s v="Rachel"/>
    <s v="Email"/>
    <s v="Lowe"/>
    <s v="Ryan &amp; Erin"/>
    <x v="16"/>
    <s v="Ladera Ranch"/>
    <x v="1"/>
    <m/>
    <x v="4"/>
    <x v="1299"/>
    <x v="1750"/>
    <s v="PC/TIV"/>
    <s v="secondary home for the above applicant located in CA. Home was built in 2010.100% frame construction. PC9. No losses, ISO, PCQ, APP attached"/>
    <x v="3"/>
    <s v="Rating as PC 10 (FD over 5 miles) and installing central alarms or increasing AOP ded"/>
    <m/>
    <m/>
    <s v="Burdine"/>
    <m/>
    <m/>
    <n v="0"/>
  </r>
  <r>
    <x v="274"/>
    <s v="Burns"/>
    <s v="MI"/>
    <s v="Ben"/>
    <s v="Email"/>
    <s v="Bettcher, Paul"/>
    <m/>
    <x v="0"/>
    <s v="Los Angeles"/>
    <x v="1"/>
    <m/>
    <x v="8"/>
    <x v="1299"/>
    <x v="1782"/>
    <s v="TIV"/>
    <s v="1926 frame home updated in 2002. Agent email says log. App and photo show stucco. Not in brush. 2 losses - 11/15 tree limb damaged neighbors property. 9/13 wind dmg to fence."/>
    <x v="4"/>
    <m/>
    <m/>
    <m/>
    <s v="Patterson"/>
    <m/>
    <m/>
    <n v="0"/>
  </r>
  <r>
    <x v="79"/>
    <s v="Burns"/>
    <s v="Mi"/>
    <s v="Delta"/>
    <s v="Email"/>
    <s v="Walton, Nathan &amp; Alexandra"/>
    <m/>
    <x v="0"/>
    <s v="Malibu"/>
    <x v="1"/>
    <m/>
    <x v="5"/>
    <x v="1299"/>
    <x v="1783"/>
    <s v="TIV"/>
    <s v="2015 home. In Renie zone but extremely low CDS and low exposure to a medium zone. State Farm NRN's due to not passing brush insp. We would not require since not brush by our defn. Beautiful online photos. Fully alarmed. No horses per submission."/>
    <x v="4"/>
    <s v="Agent noted $5M limit and that we would have to cancel if it goes over."/>
    <m/>
    <m/>
    <s v="Patterson"/>
    <m/>
    <m/>
    <n v="0"/>
  </r>
  <r>
    <x v="424"/>
    <s v="Burns"/>
    <s v="MI"/>
    <s v="Rachel"/>
    <m/>
    <s v="Clark"/>
    <s v="Collen"/>
    <x v="0"/>
    <s v="Troup"/>
    <x v="23"/>
    <s v="75789"/>
    <x v="5"/>
    <x v="1299"/>
    <x v="40"/>
    <s v="TIV"/>
    <s v="1972 home fully updated in 2018. CSFB. No concerns. No info on placement of home on 200 acres. Totally personal, no farm, business, etc."/>
    <x v="2"/>
    <s v="$5M TIV prevents future inflation increases.  Asked for confirmation of Cov A. Where situated on 200 acres, condition of drive."/>
    <s v="Some chaos this week with a RUSH Stockton audit that backed up referrals.  Turnaround may have been impacted."/>
    <m/>
    <s v="Patterson"/>
    <m/>
    <m/>
    <n v="0"/>
  </r>
  <r>
    <x v="762"/>
    <s v="Burns"/>
    <s v="MI"/>
    <s v="David"/>
    <m/>
    <s v="Welsh"/>
    <s v="Kelli"/>
    <x v="0"/>
    <s v="Olympic Valley"/>
    <x v="1"/>
    <n v="96146"/>
    <x v="9"/>
    <x v="1299"/>
    <x v="40"/>
    <s v="TIV"/>
    <s v="Frame home built in 1975. Wiring, plumbing and roof all replaced in 2010. Home is in brush."/>
    <x v="1"/>
    <s v="High TV in brush"/>
    <m/>
    <m/>
    <s v="Lazovik"/>
    <m/>
    <m/>
    <n v="1"/>
  </r>
  <r>
    <x v="156"/>
    <s v="Burns"/>
    <s v="MI"/>
    <s v="Jill"/>
    <s v="Email"/>
    <s v="Vincent "/>
    <s v="John"/>
    <x v="0"/>
    <s v="Santa Barbara"/>
    <x v="1"/>
    <m/>
    <x v="8"/>
    <x v="1299"/>
    <x v="40"/>
    <s v="TIV"/>
    <s v="2013 home in medium brush with alarms.  No adverse online info. Online photos looks good."/>
    <x v="3"/>
    <s v="Remind agent of $5M TIV limit."/>
    <m/>
    <n v="19"/>
    <s v="Patterson"/>
    <m/>
    <m/>
    <n v="0"/>
  </r>
  <r>
    <x v="837"/>
    <s v="Burns"/>
    <s v="MI"/>
    <s v="Jill"/>
    <s v="Email"/>
    <s v="Boutelle"/>
    <s v="Barbara"/>
    <x v="0"/>
    <s v="Del Mar"/>
    <x v="1"/>
    <m/>
    <x v="9"/>
    <x v="1299"/>
    <x v="40"/>
    <s v="TIV"/>
    <s v="Built in 1991, PC3, frame, primary, no brush, located in CA"/>
    <x v="4"/>
    <s v="Photos/info OK. Reminded that if any increases needed, prop no longer eligible since max TIV"/>
    <m/>
    <m/>
    <s v="Burdine"/>
    <m/>
    <m/>
    <n v="0"/>
  </r>
  <r>
    <x v="724"/>
    <s v="Hull CA"/>
    <s v="Irvine"/>
    <s v="Alison"/>
    <s v="Email"/>
    <s v="Taheri, Daniel"/>
    <m/>
    <x v="0"/>
    <s v="Beverly Hills"/>
    <x v="1"/>
    <m/>
    <x v="9"/>
    <x v="1300"/>
    <x v="1784"/>
    <s v="Smoke loss"/>
    <s v="1926 home updated in 2000 not sure if gut/remodel, agent checking. Smoke loss $36K at prior location w/no details. Not in brush area."/>
    <x v="2"/>
    <s v="Need smoke loss detail. Likely too low to need fire marshall report.  App questions not fully answered."/>
    <m/>
    <m/>
    <s v="Patterson"/>
    <m/>
    <m/>
    <n v="0"/>
  </r>
  <r>
    <x v="29"/>
    <s v="Hull Irvine"/>
    <s v="CA"/>
    <s v="Steven"/>
    <s v="Email"/>
    <s v="Colquhon"/>
    <s v="Steven"/>
    <x v="0"/>
    <s v="Los Angeles"/>
    <x v="1"/>
    <m/>
    <x v="8"/>
    <x v="1301"/>
    <x v="1785"/>
    <s v="TIV"/>
    <s v="AIG nonrenewal due to $218,000 liab claim (landscaping encroached onto neighbors property);  100-200 feet from brush per RM"/>
    <x v="1"/>
    <s v="100-200 feet from brush"/>
    <m/>
    <m/>
    <s v="Burdine"/>
    <m/>
    <m/>
    <n v="1"/>
  </r>
  <r>
    <x v="363"/>
    <s v="Hull CA"/>
    <s v="Irvine"/>
    <s v="Alex"/>
    <s v="Email"/>
    <s v="The Hason Family Trust"/>
    <m/>
    <x v="36"/>
    <s v="Los Angeles"/>
    <x v="1"/>
    <m/>
    <x v="8"/>
    <x v="1302"/>
    <x v="0"/>
    <s v="Trust ownership"/>
    <s v="Approval granted prior year, but went w/ another carried due to lack of endorsements with Markel. Now, we have endorsements and competitvely priced, trust "/>
    <x v="4"/>
    <s v="RM OK, C/S Alarm in home, photos OK, in brush, surcharge applied, trust OK"/>
    <m/>
    <m/>
    <s v="Burdine"/>
    <m/>
    <m/>
    <n v="0"/>
  </r>
  <r>
    <x v="403"/>
    <s v="Burns"/>
    <s v="MI"/>
    <s v="Danielle"/>
    <s v="Email"/>
    <s v="Goldhaber, Amos Nathanael"/>
    <m/>
    <x v="15"/>
    <s v="Kings Lake"/>
    <x v="1"/>
    <m/>
    <x v="5"/>
    <x v="1303"/>
    <x v="1786"/>
    <s v="TIV"/>
    <s v="1928 home w/some updates. Large brokerage - need to find way to help. Lloyds getting off due to outbuildings, shake roof, knob/tube in boathouse, 10% galv plumb. Agt proposing w/water and roof excl, and k&amp;t removed. Not in brush (per RM I ran)"/>
    <x v="4"/>
    <s v="In addition to subj noted, remove k&amp;t within 60 days. Need RCE to support $3M. Remove portable space heaters for tenant use. Confirm not primary. Acceptable WBS quests. Exclude guest house #1 roof"/>
    <m/>
    <m/>
    <s v="Patterson"/>
    <m/>
    <m/>
    <n v="0"/>
  </r>
  <r>
    <x v="567"/>
    <s v="Hull CA"/>
    <s v="Irvine"/>
    <s v="Alison"/>
    <s v="Email"/>
    <s v="Jean Francois Jomphe"/>
    <m/>
    <x v="5"/>
    <s v="San Diego CA PC3"/>
    <x v="3"/>
    <m/>
    <x v="0"/>
    <x v="1304"/>
    <x v="1610"/>
    <s v="TIV&gt;3M; High profie with arrest record"/>
    <s v="Newly built 2016 home currently vacant. Insured is unsure if he will sell or rent. Insured is a retired Mighty Ducks player.  In 2012 he had a aggressive altercation in a drive thru at 1:00 in the morning and was arrested. Online articles. Home is very nice.  Insurance score is acceptable."/>
    <x v="1"/>
    <s v="Strange situation - newly built but may sell? Concern with the arrest record. Even x-liability, do we have a concern? Maybe."/>
    <m/>
    <m/>
    <s v="Patterson"/>
    <m/>
    <m/>
    <n v="1"/>
  </r>
  <r>
    <x v="693"/>
    <s v="Hull Irvine"/>
    <m/>
    <s v="Bobbi"/>
    <s v="Email"/>
    <s v="Carley, John"/>
    <m/>
    <x v="21"/>
    <s v="Laguna Beach "/>
    <x v="1"/>
    <m/>
    <x v="25"/>
    <x v="1305"/>
    <x v="1787"/>
    <s v="TIV &gt;$3M"/>
    <s v="1988 tile roof, brush ok, rented 50 days year"/>
    <x v="4"/>
    <s v="Rental is for 30 days if they do it. Previously approved last year"/>
    <m/>
    <m/>
    <s v="Patterson"/>
    <m/>
    <m/>
    <n v="0"/>
  </r>
  <r>
    <x v="445"/>
    <s v="Hull CA"/>
    <s v="Irvine"/>
    <s v="Bobbi"/>
    <s v="Email"/>
    <s v="Carley, John"/>
    <m/>
    <x v="21"/>
    <s v="Laguna Beach CA PC3"/>
    <x v="3"/>
    <m/>
    <x v="0"/>
    <x v="1305"/>
    <x v="1787"/>
    <s v="TIV &gt;$3M"/>
    <s v="1988 tile roof, brush ok, rented 50 days year"/>
    <x v="4"/>
    <s v="Rental is for a 30 day period if they do it."/>
    <m/>
    <m/>
    <s v="Patterson"/>
    <m/>
    <m/>
    <n v="0"/>
  </r>
  <r>
    <x v="190"/>
    <s v="Hull Irvine"/>
    <s v="CA"/>
    <s v="Bobbi"/>
    <s v="Email"/>
    <s v="Wolf"/>
    <s v="Josh"/>
    <x v="1"/>
    <s v="Los Angeles"/>
    <x v="1"/>
    <m/>
    <x v="0"/>
    <x v="1306"/>
    <x v="1788"/>
    <s v="Extra Coverages on COC"/>
    <s v="Currently w/ Lex, want to move to Markel-renovations to include addition of living space and garage. Home occupied fully during renovations, wants personal liab instead of premise, GC has been hired"/>
    <x v="3"/>
    <s v="approval to offer terms with personal liability, mold, water backup, personal injury, ID fraud and Coverage C/D as long as the GC has a GL policy in place."/>
    <m/>
    <m/>
    <s v="Burdine"/>
    <m/>
    <m/>
    <n v="0"/>
  </r>
  <r>
    <x v="120"/>
    <s v="Hull Stockton"/>
    <m/>
    <s v="Kirk"/>
    <s v="Email"/>
    <s v="Guerin, Michael"/>
    <m/>
    <x v="0"/>
    <s v="Calabasas"/>
    <x v="1"/>
    <m/>
    <x v="5"/>
    <x v="1307"/>
    <x v="1789"/>
    <s v="TIV"/>
    <s v="2017 new build. CS Burglar, not fire per app. Not all uw questions answered. PPC is 4, but there are alternatives and app says 5 mi to FD."/>
    <x v="2"/>
    <s v="Subjectivities will be installation of a central station fire alarm (app says it is just local), and all uw questions on the app completed.  Advised agt of $5M max. Asked for FD name and address."/>
    <s v="FD is 2.6 miles away. Drive map in file."/>
    <m/>
    <s v="Patterson"/>
    <m/>
    <m/>
    <n v="0"/>
  </r>
  <r>
    <x v="280"/>
    <s v="Burns"/>
    <s v="MI"/>
    <s v="Delta"/>
    <s v="Email"/>
    <s v="Bartz, Howard"/>
    <m/>
    <x v="6"/>
    <s v="Newport Beach"/>
    <x v="1"/>
    <m/>
    <x v="8"/>
    <x v="1308"/>
    <x v="28"/>
    <s v="TIV"/>
    <s v="1973 home under const for 6 months. Per app, insured will be the GC. "/>
    <x v="0"/>
    <s v="We are not comfortable insuring risks where the insured is the contractor or acting as the GC.  If a loss occurs, our subrogation opportunity is limited. Delta found out shortly after that the insured is going to use a GC after all.  Approved."/>
    <m/>
    <m/>
    <s v="Patterson"/>
    <m/>
    <m/>
    <n v="0"/>
  </r>
  <r>
    <x v="621"/>
    <s v="SCU"/>
    <s v="CO"/>
    <s v="Allison"/>
    <m/>
    <s v="Bain"/>
    <s v="Kelly &amp; Gary"/>
    <x v="3"/>
    <s v="El Paso"/>
    <x v="19"/>
    <s v="80906"/>
    <x v="8"/>
    <x v="1309"/>
    <x v="1790"/>
    <s v="TIV"/>
    <s v="2000 primary home w/6 mo short term rental. 5% surcharge to primary rate. (Remarketing because Lloyds raised rates 40%).  Had one prior hail loss to railings, doors &amp; decks in 2015. "/>
    <x v="4"/>
    <s v="Acceptable location, newer home, CSFB. A/p for 20+ week rental is 12%-asked for this update to rates IF we have room to charge more.  This looks like a clean high valued risk, would be willing to apply some credit. Acceptable STR form and LLC. No adverse online info with address or name search. Insured is owns Loopnet which has a separate business address."/>
    <m/>
    <m/>
    <s v="Patterson"/>
    <m/>
    <m/>
    <n v="0"/>
  </r>
  <r>
    <x v="813"/>
    <s v="Burns"/>
    <s v="MI"/>
    <s v="Danielle"/>
    <s v="Email"/>
    <s v="Boething"/>
    <s v="Marjory"/>
    <x v="0"/>
    <s v="Calabasaa"/>
    <x v="1"/>
    <m/>
    <x v="5"/>
    <x v="1310"/>
    <x v="40"/>
    <s v="TIV"/>
    <s v="Home was built in 1971 and updated in 2006 and roof in 2010 of frame construction.  PC4 with alarms and one water loss, brush"/>
    <x v="4"/>
    <s v="checked, home not near any fires"/>
    <m/>
    <m/>
    <s v="Burdine"/>
    <m/>
    <m/>
    <n v="0"/>
  </r>
  <r>
    <x v="260"/>
    <s v="Burns"/>
    <s v="MI"/>
    <s v="Ben"/>
    <s v="Email"/>
    <s v="Pillman, Kathleen"/>
    <m/>
    <x v="5"/>
    <s v="Lake Geneva"/>
    <x v="12"/>
    <m/>
    <x v="14"/>
    <x v="1311"/>
    <x v="1791"/>
    <s v="TIV"/>
    <s v="1985 frame home no update (roof excl per agt). No losses. No alarms per app. Can't read 2012 loss on app."/>
    <x v="0"/>
    <s v="Loss is for water into basement-fully corrected.  Alarms - agent said &quot;ADT&quot;. Wrote back for more detail. Turns out they have CSBT alarms. "/>
    <m/>
    <m/>
    <s v="Patterson"/>
    <m/>
    <m/>
    <n v="0"/>
  </r>
  <r>
    <x v="480"/>
    <s v="AmWINS"/>
    <s v="SC"/>
    <s v="Jeffrey"/>
    <m/>
    <s v="Audet"/>
    <s v="Adele"/>
    <x v="0"/>
    <s v="Kiawah Island"/>
    <x v="20"/>
    <s v="29455"/>
    <x v="0"/>
    <x v="1312"/>
    <x v="1792"/>
    <s v="TIV"/>
    <s v="2015 home. Agt thinks we require sprinkler. Home has CSFB."/>
    <x v="0"/>
    <s v="Asked for app to get home info and clarified CSFB requirements. Cc'd Missy.//App received. All looks good. Googled address and name. All ok."/>
    <m/>
    <m/>
    <s v="Patterson"/>
    <m/>
    <m/>
    <n v="0"/>
  </r>
  <r>
    <x v="303"/>
    <s v="Hull CA"/>
    <s v="Irvine"/>
    <s v="Bobbi"/>
    <s v="Email"/>
    <s v="Whitney Jr., John Harvey"/>
    <m/>
    <x v="2"/>
    <s v="Los Angeles"/>
    <x v="1"/>
    <m/>
    <x v="8"/>
    <x v="1313"/>
    <x v="1793"/>
    <s v="TIV"/>
    <s v="2000 build yaer, CS combo and interior speaers, no losses, lexington renewal-was approved last year but kept lex pol last year, 50% ERC and 25,000 water backup_x000a_"/>
    <x v="4"/>
    <s v="extremely low brush, long term customer of hull, will approve again"/>
    <m/>
    <m/>
    <s v="K.Burdine"/>
    <m/>
    <m/>
    <n v="0"/>
  </r>
  <r>
    <x v="534"/>
    <s v="Burns"/>
    <s v="MI"/>
    <s v="Rachel"/>
    <s v="Email"/>
    <s v="Kressel"/>
    <s v="Lynn"/>
    <x v="1"/>
    <s v="Los Angeles"/>
    <x v="1"/>
    <m/>
    <x v="11"/>
    <x v="1314"/>
    <x v="1602"/>
    <s v="High Profile"/>
    <s v="1981 risk updated in 2018. Remodeling going on. Roof is tile, not updated original 1981. Other systems updated. Insured is a casting director of many programs. No adverse info found."/>
    <x v="4"/>
    <s v="No adverse info found. Roof is eligible within 40 years."/>
    <m/>
    <m/>
    <s v="Patterson"/>
    <m/>
    <m/>
    <n v="0"/>
  </r>
  <r>
    <x v="829"/>
    <s v="Hull Irvine"/>
    <s v="CA"/>
    <s v="Kelly"/>
    <s v="Email"/>
    <s v="Goosefish Invest LLC"/>
    <m/>
    <x v="0"/>
    <s v="Malibu"/>
    <x v="1"/>
    <m/>
    <x v="8"/>
    <x v="1315"/>
    <x v="1794"/>
    <s v="TIV"/>
    <s v="Quotes at $2500 and $5000 sent. Asking for only $50k for contents. 2007 home, PC 2 with central station fire and burglar alarms. State is primary residence, owned by an LLC. Listed for sale. Not sure if future purchase or currently vacant."/>
    <x v="2"/>
    <s v="Contents seem fairly low for home &gt; 4000 sq ft. Asked for LLC form, confirmation on occupancy and reason for low contents."/>
    <m/>
    <m/>
    <s v="Lazovik"/>
    <m/>
    <m/>
    <n v="0"/>
  </r>
  <r>
    <x v="599"/>
    <s v="XS Brokers"/>
    <s v="MA"/>
    <s v="Liz"/>
    <m/>
    <s v="Abboud"/>
    <s v="Carlos &amp; Golnaz Movafaghi-Abboud "/>
    <x v="0"/>
    <s v="Newton"/>
    <x v="21"/>
    <s v="02549"/>
    <x v="2"/>
    <x v="1316"/>
    <x v="1795"/>
    <s v="Losses"/>
    <s v="2000 home with no losses 15-17 with XSB. Had 2 larger losses. Copper gutters. High TIV, no alarm.  After detailed review of losses, found app which was over $5M TIV. 3/18 tree fell and water dmg in various places (?) $87,513. Also same date shower tile failure $16K. Other info in description sounds like they've had several gutter damage claims from ice and snow on their expensive copper gutters. Snow stops installed (?). "/>
    <x v="1"/>
    <s v="Over $5M TIV Not eligible.  Sent message to Barbara to remind the staff."/>
    <s v="If by some chance they come back, sounds like there are more losses than described. Water damage exclusion probably appropriate. Need alarms or $10K AOP deductible.  Ask for more description of losses and prior gutter damage."/>
    <m/>
    <s v="Patterson"/>
    <m/>
    <m/>
    <n v="1"/>
  </r>
  <r>
    <x v="124"/>
    <s v="SCU"/>
    <s v="CO"/>
    <s v="Allison"/>
    <s v="Email"/>
    <s v="Skibaum LLC"/>
    <m/>
    <x v="1"/>
    <s v="Edwards"/>
    <x v="19"/>
    <m/>
    <x v="2"/>
    <x v="1317"/>
    <x v="29"/>
    <s v="TIV"/>
    <s v="1995 home undergoing $650K renovations. IN LLC name. Few days of no coverage due to paying cash. Wants a $25K ded rate too."/>
    <x v="3"/>
    <s v="Get LLC form and signed no loss. Online pics look good. App has water backup, but agt did not quote during construction. Got $25K factor/credit from Bethany.  .82. Add 4% credit to the 10K rate"/>
    <m/>
    <m/>
    <s v="Patterson"/>
    <m/>
    <m/>
    <n v="0"/>
  </r>
  <r>
    <x v="732"/>
    <s v="JM Wilson"/>
    <s v="MI"/>
    <s v="Cheryl"/>
    <m/>
    <s v="Doshi"/>
    <s v="Shailesh &amp; Rekha"/>
    <x v="5"/>
    <s v="Bloomfield Hills"/>
    <x v="8"/>
    <s v="48302"/>
    <x v="5"/>
    <x v="1317"/>
    <x v="1374"/>
    <s v="Losses"/>
    <s v="1997 year built, high value dwelling. Will be vacant as insured is trying to sell property, they bought new home in the area. Two losses - 4/2017 mirror fell and shattered crystal chandelier $49k, and 1/2019 frozen pipe $100,000 that is still open but that is because they are just trying to finalize payment, per agent. "/>
    <x v="0"/>
    <s v="Approved subject to increasing AOP to $10,000 and confirmation that all repairs have been made 100% from the recent water loss. Agent already applied $10,000 water damage deductible. UPDATE: received email back from JM Wilson indicating that repairs are just starting. Advised due to size and type of loss, we are not willing to approve while claim is still open and repairs are not 100% complete. UPDATE MP 5/6/19 Repairs now complete. Approved w/10K ded. Pool excl if vacant. (Indoor pool) "/>
    <m/>
    <m/>
    <s v="Busse"/>
    <m/>
    <m/>
    <n v="0"/>
  </r>
  <r>
    <x v="144"/>
    <s v="Burns"/>
    <s v="MI"/>
    <s v="Danielle"/>
    <s v="Email"/>
    <s v="Su"/>
    <s v="Yur-Fang"/>
    <x v="6"/>
    <s v="Pacific Palisades"/>
    <x v="1"/>
    <m/>
    <x v="11"/>
    <x v="1317"/>
    <x v="1796"/>
    <s v="Rating"/>
    <s v="2003 dwelling undergoing cosmetic reno. Then will be vacant. Eventually will be occupied 9 months a year when kids are in school. Bal of time will be in Taiwan. Request to rate as reno and then en to vacant."/>
    <x v="3"/>
    <s v="• Acceptable answer (No) to question #8 on the app.  This is the fraud/arson question and it is currently blank._x000a_• Complete and acceptable LLC form._x000a_$400 psf."/>
    <s v="Lots of sale history online. This is a new purchase per app."/>
    <n v="18"/>
    <s v="Patterson"/>
    <m/>
    <m/>
    <n v="0"/>
  </r>
  <r>
    <x v="788"/>
    <s v="Hull Irvine"/>
    <s v="CA"/>
    <s v="Alison"/>
    <s v="Email"/>
    <s v="Simantob"/>
    <s v="Shahriar"/>
    <x v="2"/>
    <s v="Beverly Hills"/>
    <x v="1"/>
    <m/>
    <x v="8"/>
    <x v="1317"/>
    <x v="1797"/>
    <s v="TIV"/>
    <s v="prior approval, didn't accept at that time. No change in risk."/>
    <x v="4"/>
    <s v="photos, app, RM OK"/>
    <m/>
    <m/>
    <s v="Burdine"/>
    <m/>
    <m/>
    <n v="0"/>
  </r>
  <r>
    <x v="467"/>
    <s v="Hull CA"/>
    <s v="Irvine"/>
    <s v="Alex"/>
    <s v="Email"/>
    <s v="Farahi Family LLC"/>
    <m/>
    <x v="21"/>
    <s v="Los Angeles CA PC4"/>
    <x v="3"/>
    <m/>
    <x v="0"/>
    <x v="1317"/>
    <x v="513"/>
    <s v="TIV&gt;$3M"/>
    <s v="2002 seasonal home not in a brush area. Full alarms. Online photos look good."/>
    <x v="4"/>
    <m/>
    <m/>
    <m/>
    <s v="Patterson"/>
    <m/>
    <m/>
    <n v="0"/>
  </r>
  <r>
    <x v="329"/>
    <s v="Burns"/>
    <s v="MI"/>
    <s v="Jill"/>
    <s v="Email"/>
    <s v="Conway"/>
    <s v="Peterson"/>
    <x v="0"/>
    <s v="Carmel"/>
    <x v="1"/>
    <m/>
    <x v="8"/>
    <x v="1317"/>
    <x v="1798"/>
    <s v="TIV"/>
    <s v="Frame, primary, c/s alarms, brush, PC2, no losses, located in CA"/>
    <x v="1"/>
    <s v="wood roof in brush, high TIV"/>
    <m/>
    <m/>
    <s v="Burdine"/>
    <m/>
    <m/>
    <n v="1"/>
  </r>
  <r>
    <x v="94"/>
    <s v="Burns"/>
    <s v="CA"/>
    <s v="Leslie"/>
    <s v="Email"/>
    <s v="Sanati, Robert"/>
    <m/>
    <x v="0"/>
    <s v="Los Angeles "/>
    <x v="1"/>
    <m/>
    <x v="11"/>
    <x v="1317"/>
    <x v="1681"/>
    <s v="TIV"/>
    <s v="Nice online pix of 1962 home updated in 1992. Not in brush. UW? Not all completed. "/>
    <x v="3"/>
    <s v="UW? Complete. Advised of $5M TIV limit."/>
    <m/>
    <m/>
    <s v="Patterson"/>
    <m/>
    <m/>
    <n v="0"/>
  </r>
  <r>
    <x v="356"/>
    <s v="Hull CA"/>
    <s v="Irvine"/>
    <s v="Vanessa"/>
    <s v="Email"/>
    <s v="Oliver, Brian"/>
    <m/>
    <x v="0"/>
    <s v="Studio City CA PC2"/>
    <x v="3"/>
    <m/>
    <x v="0"/>
    <x v="1318"/>
    <x v="1799"/>
    <s v="&gt;$3M TIV"/>
    <s v="Inspection attached 1990, tile roof. 5kded"/>
    <x v="4"/>
    <s v="Clean risk, inspection looks good. Added 20% s/c for Renie fire zone left off by agent."/>
    <s v="Wrote with Lex for 6376 vs our 7885."/>
    <m/>
    <s v="Patterson"/>
    <m/>
    <m/>
    <n v="0"/>
  </r>
  <r>
    <x v="314"/>
    <s v="Hull Stockton"/>
    <s v="CA"/>
    <s v="Kirk"/>
    <s v="Email"/>
    <s v="Guarachi, Alejandro "/>
    <m/>
    <x v="0"/>
    <m/>
    <x v="1"/>
    <m/>
    <x v="5"/>
    <x v="1319"/>
    <x v="1800"/>
    <s v="TIV"/>
    <s v="Primary home, no brush, response time acceptable, planning to install alarm after escrow, We are currently at $6,133 with using the 10% credit"/>
    <x v="4"/>
    <s v="RM OK (out of brush), PC OK,  no losses. OK using 10% discretion, home photos very nice"/>
    <m/>
    <m/>
    <s v="Burdine"/>
    <m/>
    <m/>
    <n v="0"/>
  </r>
  <r>
    <x v="836"/>
    <s v="SCU"/>
    <s v="CO"/>
    <s v="Allison"/>
    <s v="Email"/>
    <s v="Vensel"/>
    <s v="Eric &amp; Theresa"/>
    <x v="25"/>
    <s v="Aspen"/>
    <x v="19"/>
    <m/>
    <x v="4"/>
    <x v="1320"/>
    <x v="1801"/>
    <s v="TIV"/>
    <s v="High brush per RiskMeter outside Aspen.  FireLine is Moderate 3. 16-20 min response time from paid FD.  Alarms.  PC10.  Lex is quoting $21,893.  Our rater comes in at $17,354 (.37).  "/>
    <x v="3"/>
    <s v="If we got up around $20K it would be .42.  It’s an amazing property  https://www.realtor.com/realestateandhomes-detail/79-Wind-River-Rd_Carbondale_CO_81623_M19974-24241#photo22.// 9/22 Agent asking if we can do .38 to  beat the AIG direct rate by 17%"/>
    <s v="Referred rate to Jeff for review. He agreed anything between technical rate of .37 and Lex is okay with him."/>
    <n v="44"/>
    <s v="Patterson"/>
    <m/>
    <m/>
    <n v="0"/>
  </r>
  <r>
    <x v="176"/>
    <s v="Burns"/>
    <s v="CA"/>
    <s v="Leslie"/>
    <s v="Email"/>
    <s v="Saca"/>
    <s v="Diana"/>
    <x v="16"/>
    <m/>
    <x v="1"/>
    <m/>
    <x v="4"/>
    <x v="1321"/>
    <x v="1802"/>
    <s v="TIV"/>
    <s v="Attached is a secondary risk located in CA. Frame construction, built in 2017, PC10,in brush, 14 min drive time, no c/s alarms, one loss in 10/10/17.  Please note that the loss was paid by the insured and was less than $1k, the heat damaged the mail box and the keypad for the gate."/>
    <x v="4"/>
    <s v="Reminded of $5M TIV. Checked and confirmed fire in fact 100% contained."/>
    <m/>
    <m/>
    <s v="Burdine"/>
    <m/>
    <m/>
    <n v="0"/>
  </r>
  <r>
    <x v="59"/>
    <s v="Hull Irvine"/>
    <m/>
    <s v="Alison"/>
    <s v="Email"/>
    <s v="Lai Le, Bong"/>
    <m/>
    <x v="2"/>
    <s v="Rancho Santa Fe"/>
    <x v="1"/>
    <m/>
    <x v="9"/>
    <x v="1322"/>
    <x v="1803"/>
    <s v="Primary now rental"/>
    <s v="1955 home, no update info, but online looks excellent. Not in brush. Was primary, now on short term lease to one person and insd has home up for sale."/>
    <x v="3"/>
    <s v="Subj to update info."/>
    <m/>
    <m/>
    <s v="Patterson"/>
    <m/>
    <m/>
    <n v="0"/>
  </r>
  <r>
    <x v="181"/>
    <s v="Burns"/>
    <s v="MI"/>
    <s v="Jeff"/>
    <s v="Email"/>
    <s v="Kim"/>
    <s v="Tae Eun"/>
    <x v="0"/>
    <s v="Long Grove"/>
    <x v="4"/>
    <m/>
    <x v="5"/>
    <x v="1323"/>
    <x v="1804"/>
    <s v="Prior Claims"/>
    <s v="Attached is a home built in 2000, PC4 of masonry construction with CS alarms. They are being non- renewed by State Farm due to the below losses. 4/12/14 - hail cat loss $1,400 paid out, closed. 4/25/14, home in neighborhood exploded causing damage to insured's home and about 50 other homes, 11,984 paid out, closed. 2/22/17, sewer backup loss, $33,621 paid out, claim closed, the insured has repaired all of the damages and installed a water detector in their basement."/>
    <x v="3"/>
    <s v="Subject to the backup exclusion and $10k water dmg ded as quoted; reviewed news articles, confirmed explosion was no fault of insured"/>
    <m/>
    <m/>
    <s v="Burdine"/>
    <m/>
    <m/>
    <n v="0"/>
  </r>
  <r>
    <x v="124"/>
    <s v="Burns"/>
    <s v="MI"/>
    <s v="Delta"/>
    <s v="Email"/>
    <s v="Gross, Jack"/>
    <m/>
    <x v="5"/>
    <s v="Englewood"/>
    <x v="9"/>
    <m/>
    <x v="5"/>
    <x v="1324"/>
    <x v="30"/>
    <s v="TIV"/>
    <s v="1992 home updated. Full alarms. $10K ded; 2% wind/hail ded. Online photos show a very unique/custom home built by renowned builder.  Don't see any flat roof. Home is vacant and for sale."/>
    <x v="3"/>
    <s v="10% surcharge for unique/custom. (Open to discuss if this kicks us out of being competitive. It is a nice home.)"/>
    <m/>
    <m/>
    <s v="Patterson"/>
    <m/>
    <m/>
    <n v="0"/>
  </r>
  <r>
    <x v="279"/>
    <s v="Burns"/>
    <s v="MI"/>
    <s v="Ben"/>
    <s v="Email"/>
    <s v="Browning Family Trust"/>
    <m/>
    <x v="0"/>
    <s v="Westfield "/>
    <x v="17"/>
    <m/>
    <x v="3"/>
    <x v="1324"/>
    <x v="30"/>
    <s v="Uninsured"/>
    <s v="Confusion on getting insurance for new COC, risk has been uninsured since work started in January. Risk will be completed in March 2017, 40% complete. In trust name - 5 families. Liab requested."/>
    <x v="3"/>
    <s v="Approved subject to 20% s/c (appx $200) due to coming in the middle of construction. Prem liab only okay due to 5 families in trust."/>
    <m/>
    <m/>
    <s v="Patterson"/>
    <m/>
    <m/>
    <n v="0"/>
  </r>
  <r>
    <x v="663"/>
    <s v="Hull Irvine"/>
    <s v="CA"/>
    <s v="Bobbi"/>
    <s v="Email"/>
    <s v="Tanzman"/>
    <s v="Ron"/>
    <x v="2"/>
    <s v="Calabasas"/>
    <x v="1"/>
    <m/>
    <x v="8"/>
    <x v="1324"/>
    <x v="512"/>
    <s v="TIV"/>
    <s v="Home built in 1991. Complete updates to wiring, plumbing and roofing in 2014. Heating was updated in 2016. Frame home that will be used as rental home"/>
    <x v="3"/>
    <s v="Must confirm the home will not be used as rental for/to commercial enterprises. Also confirm will not be used as event venue for weddings, corp events, etc."/>
    <m/>
    <m/>
    <s v="Lazovik"/>
    <m/>
    <m/>
    <n v="0"/>
  </r>
  <r>
    <x v="254"/>
    <s v="Hull CA"/>
    <s v="Irvine"/>
    <s v="Alison"/>
    <s v="Email"/>
    <s v="Shah, Seema"/>
    <m/>
    <x v="165"/>
    <s v="Santa Barbara CA PC2"/>
    <x v="1"/>
    <m/>
    <x v="8"/>
    <x v="1324"/>
    <x v="1636"/>
    <s v="TIV&gt;$3M"/>
    <s v="Elegant home owned by an insured who primarily lives in Hong Kong (Doctor) but this is her only US residence. 9 months, she will be renovating. Agent is quoting both vacant and rental as she may rent it out."/>
    <x v="3"/>
    <s v="Approved subject to confirmation the rental is for real if they go with that rate.  $3K difference."/>
    <s v="Gave OK to 2017 renew. Inspection, updated LLC in file. Home rented fulltime"/>
    <m/>
    <s v="Patterson"/>
    <m/>
    <m/>
    <n v="0"/>
  </r>
  <r>
    <x v="805"/>
    <s v="Burns"/>
    <s v="MI"/>
    <s v="Danielle"/>
    <s v="Email"/>
    <s v="Orosco"/>
    <s v="Chris R &amp; Lisa A"/>
    <x v="16"/>
    <s v="Tahoe City"/>
    <x v="1"/>
    <m/>
    <x v="5"/>
    <x v="1324"/>
    <x v="1805"/>
    <s v="TIV"/>
    <s v="1980 home updated. Central alarm only. $5K ded. No online photos."/>
    <x v="4"/>
    <m/>
    <s v="Handled file just over 6 hours. Had a doc appt mid-day and came back to a claim issue exploding with SCU. "/>
    <m/>
    <s v="Patterson"/>
    <m/>
    <m/>
    <n v="0"/>
  </r>
  <r>
    <x v="604"/>
    <s v="Burns"/>
    <s v="MI"/>
    <s v="Leslie"/>
    <s v="Email"/>
    <s v="Lawrence"/>
    <s v="Ferolie"/>
    <x v="5"/>
    <s v="Cresskill"/>
    <x v="9"/>
    <m/>
    <x v="9"/>
    <x v="1325"/>
    <x v="1806"/>
    <s v="TIV"/>
    <s v="vacant dwelling which is currently listed for sale.  Previously with Lexington.  I have attached the most recent inspection which reflects the dwelling is over insured.  PC3. AOP $5000, 6 month term, 50% MEP, $7,261, liab excluded"/>
    <x v="4"/>
    <s v="inspection OK, reason for vacancy OK"/>
    <m/>
    <m/>
    <s v="Burdine"/>
    <m/>
    <m/>
    <n v="0"/>
  </r>
  <r>
    <x v="193"/>
    <s v="Hull CA"/>
    <s v="Irvine"/>
    <s v="Bobbi"/>
    <s v="Email"/>
    <s v="Kohner, Alex"/>
    <m/>
    <x v="0"/>
    <s v="Malibu CA PC4"/>
    <x v="3"/>
    <m/>
    <x v="0"/>
    <x v="1326"/>
    <x v="512"/>
    <s v="TIV"/>
    <s v="No brush, 1 $0 claim NAF, 5054 SF, Solar Panels"/>
    <x v="2"/>
    <s v="$9351 Lex $7241 Us; no fire dept access at gate"/>
    <s v="Gave approval to renew, TIV now $5mil. K.burdine 12/7/17"/>
    <m/>
    <s v="Patterson"/>
    <m/>
    <m/>
    <n v="0"/>
  </r>
  <r>
    <x v="288"/>
    <s v="Hull CA"/>
    <s v="Irvine"/>
    <s v="Alison"/>
    <s v="Email"/>
    <s v="Moore, Gioia"/>
    <m/>
    <x v="21"/>
    <s v="Bevery Hills "/>
    <x v="1"/>
    <m/>
    <x v="11"/>
    <x v="1327"/>
    <x v="1802"/>
    <s v="TIV"/>
    <s v="2004 home in brush. Insured owns a film production company. Online photos look very nice. Pool appears to meet criteria."/>
    <x v="4"/>
    <m/>
    <m/>
    <m/>
    <s v="Patterson"/>
    <m/>
    <m/>
    <n v="0"/>
  </r>
  <r>
    <x v="519"/>
    <s v="Hull Irvine"/>
    <s v="CA"/>
    <s v="Bobbi"/>
    <s v="Email"/>
    <s v="Hairapetian"/>
    <s v="Leo"/>
    <x v="2"/>
    <s v="Los Angeles"/>
    <x v="1"/>
    <m/>
    <x v="8"/>
    <x v="1328"/>
    <x v="1454"/>
    <s v="TIV"/>
    <s v="1987 dwelling not in brush. CS alarms."/>
    <x v="4"/>
    <m/>
    <m/>
    <m/>
    <s v="Burdine"/>
    <m/>
    <m/>
    <n v="0"/>
  </r>
  <r>
    <x v="49"/>
    <s v="Hull Irvine"/>
    <s v="CA"/>
    <s v="Kelly"/>
    <s v="Email"/>
    <s v="Vogel"/>
    <s v="Jason"/>
    <x v="0"/>
    <s v="Los Angeles"/>
    <x v="1"/>
    <m/>
    <x v="5"/>
    <x v="1328"/>
    <x v="1707"/>
    <s v="TIV"/>
    <s v="Home built in 1969. 7 bedrooms. Composition shingles in 2016 inspection and now rolled roofing. On Airbnb, hotpads, etc. as a rental available for photoshoots. Now have a sound-proof nightclub available. Insured name also changed"/>
    <x v="1"/>
    <s v="This is a business rental as they are hosting photoshoots. Concerned regarding the nightclub +"/>
    <s v="Pretty sure that this is a venue. Know that they can't &quot;host&quot; which is why they put &quot;no parties&quot; on their website despite building a &quot;soundproof nightclub&quot;. "/>
    <m/>
    <s v="Lazovik"/>
    <s v="X"/>
    <m/>
    <n v="1"/>
  </r>
  <r>
    <x v="599"/>
    <s v="SCU"/>
    <s v="CO"/>
    <s v="Ashley"/>
    <m/>
    <s v="Coors"/>
    <s v="William F"/>
    <x v="5"/>
    <s v="Golden"/>
    <x v="19"/>
    <s v="80401"/>
    <x v="5"/>
    <x v="1328"/>
    <x v="1807"/>
    <s v="TIV"/>
    <s v="1985 home. Owner passed away a few months ago. Owned by son who will be selling the home. Furnished. Caretaker checks daily on the home. Alarms in place but no CSFB connected. "/>
    <x v="3"/>
    <s v="$50K ded until CSFB are activated. Reduce to $10K ded when confirmed. Flat roof excl if no service in past year. Rate of $.45 (rater quoted .33). No incr or decr when ded is changed."/>
    <m/>
    <m/>
    <s v="Patterson"/>
    <m/>
    <m/>
    <n v="0"/>
  </r>
  <r>
    <x v="445"/>
    <s v="Hull CA"/>
    <s v="Irvine"/>
    <s v="Alison"/>
    <s v="Email"/>
    <s v="Tehranchi, Kambiz"/>
    <m/>
    <x v="10"/>
    <s v="Los Angeles, CA PC2"/>
    <x v="3"/>
    <m/>
    <x v="0"/>
    <x v="1329"/>
    <x v="1797"/>
    <s v="COC"/>
    <s v="1990 home. 4000 SF addition. Will be residing there. Some En's included because of this. Brush. Co-insd is a doctor. "/>
    <x v="2"/>
    <s v="Found bankruptcy doc online for named insured. Agent is verifying."/>
    <m/>
    <m/>
    <s v="Patterson"/>
    <m/>
    <m/>
    <n v="0"/>
  </r>
  <r>
    <x v="254"/>
    <s v="Hull CA"/>
    <s v="Stockton"/>
    <s v="Kirk"/>
    <s v="Email "/>
    <s v="Redmen, Andres"/>
    <m/>
    <x v="0"/>
    <s v="Los Angeles CA PC2"/>
    <x v="1"/>
    <m/>
    <x v="8"/>
    <x v="1330"/>
    <x v="1808"/>
    <s v="TIV &gt;$3M"/>
    <s v="2001 very nice home per online photos. In brush. $10K ded in lieu of alarms. "/>
    <x v="4"/>
    <m/>
    <m/>
    <m/>
    <s v="Patterson"/>
    <m/>
    <m/>
    <n v="0"/>
  </r>
  <r>
    <x v="565"/>
    <s v="Burns"/>
    <s v="MI"/>
    <s v="Danielle"/>
    <s v="Email"/>
    <s v="Meixner"/>
    <s v="Ajay"/>
    <x v="0"/>
    <m/>
    <x v="1"/>
    <m/>
    <x v="6"/>
    <x v="1331"/>
    <x v="508"/>
    <s v="PC"/>
    <s v="primary home for the above named insured located in CA.  Home was built in 1993 and roof updated in 2013 of frame construction.  No alarms and no losses.  PC9 home on 41 acres and the responding fire station only having 1 pumper of 500 gallons. they have a mutual aid agreement with El Dorado Station 72 at 7200 Florian St Cool CA 95613 and they have 2 pumpers, 200 gallons, 1250 GPM and 1 tanker, 2500 gallons. The responding time for the El Dorado Station is 20 minutes._x000a_"/>
    <x v="3"/>
    <s v="Approved, online photos OK, google search OK. Response time of primary response acceptable; requested extra 10% surcharge (if competitive) to account for 1 tanker, possible need for mutual aid"/>
    <m/>
    <m/>
    <s v="Burdine"/>
    <m/>
    <m/>
    <n v="0"/>
  </r>
  <r>
    <x v="528"/>
    <s v="SCU"/>
    <s v="CO"/>
    <s v="Allison"/>
    <m/>
    <s v="Shaw"/>
    <s v="Stephen"/>
    <x v="5"/>
    <s v="Park City"/>
    <x v="22"/>
    <s v="84060"/>
    <x v="9"/>
    <x v="1331"/>
    <x v="579"/>
    <s v="TIV"/>
    <s v="2019 year built. Just got finished with COC. Property is vacant and for sale, offering 6 month term - agent added 10% surcharge and 100% min earned premium. Gated community with CSFB alarms"/>
    <x v="4"/>
    <s v="No concerns with risk, approved terms"/>
    <m/>
    <m/>
    <s v="Busse"/>
    <m/>
    <m/>
    <n v="0"/>
  </r>
  <r>
    <x v="681"/>
    <s v="AmWINS"/>
    <s v="TX"/>
    <s v="Georgina"/>
    <m/>
    <s v="Refined Custom Builders LLc"/>
    <m/>
    <x v="5"/>
    <s v="Houston "/>
    <x v="23"/>
    <s v="77056"/>
    <x v="11"/>
    <x v="1331"/>
    <x v="1454"/>
    <s v="TIV"/>
    <s v="2018 new build. Vacant and up for sale.  LLC app ok. Elevator and eligible pool. "/>
    <x v="3"/>
    <s v="Reviewed online sources as well as inspection. No liab hazards. Add 10% s/c for incr hazard of pool at a vacant/for sale dwelling."/>
    <s v="Vacant line of business is very profitable for Markel."/>
    <m/>
    <s v="Patterson"/>
    <m/>
    <m/>
    <n v="0"/>
  </r>
  <r>
    <x v="788"/>
    <s v="SCU"/>
    <s v="CO"/>
    <s v="Allison"/>
    <s v="Email"/>
    <s v="Peterson"/>
    <s v="Joel &amp; Diana"/>
    <x v="1"/>
    <s v="Park City"/>
    <x v="22"/>
    <m/>
    <x v="9"/>
    <x v="1331"/>
    <x v="1454"/>
    <s v="Builders Risk"/>
    <s v="This is a brand new build where the insured thought the contractor was carrying the builder’s risk policy, but found out they weren’t.  So they are now looking for coverage, and it’s 50% complete with home being walled and roofed; no losses"/>
    <x v="3"/>
    <s v="approval to offer terms with an additional 20% surcharge for late entry"/>
    <m/>
    <m/>
    <s v="Burdine"/>
    <m/>
    <m/>
    <n v="0"/>
  </r>
  <r>
    <x v="816"/>
    <s v="Hull Irvine"/>
    <s v="CA"/>
    <s v="Alison"/>
    <s v="Email"/>
    <s v="7 Oceanfront Lane"/>
    <s v="7 Oceanfront Lane"/>
    <x v="5"/>
    <s v="Tustin"/>
    <x v="1"/>
    <m/>
    <x v="8"/>
    <x v="1331"/>
    <x v="1454"/>
    <s v="TIV"/>
    <s v="HV, vacant, 2018 build, no brush"/>
    <x v="3"/>
    <s v="photos OK, approved subject to TIV Alarm requirements being met"/>
    <m/>
    <m/>
    <s v="Burdine"/>
    <m/>
    <m/>
    <n v="0"/>
  </r>
  <r>
    <x v="493"/>
    <s v="Burns"/>
    <s v="MI"/>
    <s v="Jeffrey"/>
    <s v="Email"/>
    <s v="Berkman, Peter"/>
    <m/>
    <x v="6"/>
    <m/>
    <x v="3"/>
    <m/>
    <x v="0"/>
    <x v="1331"/>
    <x v="1454"/>
    <s v="TIV&gt;$3M"/>
    <s v="Demolition and ground up construction starting 6/1/16. Declined - Advised Jeff we are not comfortable with a demolition situation.  He came back and asked if we could offer terms if demo was complete.  Risk is $3.5M expected completed value. "/>
    <x v="4"/>
    <m/>
    <m/>
    <m/>
    <s v="Patterson"/>
    <m/>
    <m/>
    <n v="0"/>
  </r>
  <r>
    <x v="467"/>
    <s v="Hull CA"/>
    <s v="Irvine"/>
    <s v="Alex"/>
    <s v="Email"/>
    <s v="Huennekens, R Scott"/>
    <m/>
    <x v="1"/>
    <s v="La Jolla CA  PC2"/>
    <x v="3"/>
    <m/>
    <x v="0"/>
    <x v="1331"/>
    <x v="1454"/>
    <s v="TIV&gt;$3M"/>
    <s v="2016 ground up COC. RM indicates extremely low brush. Agent applied 5% credit to beat Scottsdale."/>
    <x v="4"/>
    <m/>
    <m/>
    <m/>
    <s v="Patterson"/>
    <m/>
    <m/>
    <n v="0"/>
  </r>
  <r>
    <x v="781"/>
    <s v="SCU"/>
    <s v="CO"/>
    <s v="Allison"/>
    <m/>
    <s v="Cook"/>
    <s v="Vincent"/>
    <x v="5"/>
    <s v="Denver"/>
    <x v="19"/>
    <s v="80206"/>
    <x v="8"/>
    <x v="1331"/>
    <x v="1778"/>
    <s v="TIV"/>
    <s v="Home built in 2005 with tile roof. Burglar alarms. Masonry veneer. Inspection notices vegetation on the home that needs to be removed. No CSA smoke alarm. Caretaker checks on home daily."/>
    <x v="3"/>
    <s v="Confirm vegetation removed on exterior. Please make sure local smoke alarms are installed. Debris needs to be cleaned up in backyard (per inspection)."/>
    <m/>
    <m/>
    <s v="Lazovik"/>
    <m/>
    <m/>
    <n v="0"/>
  </r>
  <r>
    <x v="127"/>
    <s v="Burns"/>
    <s v="MI"/>
    <s v="Delta"/>
    <s v="Email"/>
    <s v="McCool, Adria"/>
    <m/>
    <x v="15"/>
    <s v="Venice "/>
    <x v="1"/>
    <m/>
    <x v="8"/>
    <x v="1331"/>
    <x v="33"/>
    <s v="TIV"/>
    <s v="2017 home (replaced bungalow showing in online photos). No alarms but $10K AOP quoted. App UW questions blank"/>
    <x v="3"/>
    <s v="completed app"/>
    <m/>
    <m/>
    <s v="Patterson"/>
    <m/>
    <m/>
    <n v="0"/>
  </r>
  <r>
    <x v="31"/>
    <s v="Hull Irvine"/>
    <s v="CA"/>
    <s v="Alison"/>
    <s v="Call"/>
    <s v="TBD"/>
    <m/>
    <x v="1"/>
    <s v="Beverly Hills"/>
    <x v="1"/>
    <m/>
    <x v="0"/>
    <x v="1331"/>
    <x v="512"/>
    <s v="TIV"/>
    <s v="Ground up builders risk. Demolition has been completed. Expected to be done 10/2018."/>
    <x v="4"/>
    <s v="No concerns. Ground up construction."/>
    <m/>
    <m/>
    <s v="Patterson"/>
    <m/>
    <m/>
    <n v="0"/>
  </r>
  <r>
    <x v="16"/>
    <s v="Burns"/>
    <s v="MI"/>
    <s v="Alexa"/>
    <s v="Email"/>
    <s v="GFLATS LLC"/>
    <s v="GFLATS LLC"/>
    <x v="2"/>
    <s v="San Francisco"/>
    <x v="1"/>
    <m/>
    <x v="11"/>
    <x v="1331"/>
    <x v="1779"/>
    <s v="TIV"/>
    <s v="Home was built in 1900 of frame construction, full roof update in 2004, full wiring and heating update in 2014, partial plumbing update in 2014 (rated as full update), PC 1 , no alarms.; prior water losses"/>
    <x v="4"/>
    <s v="Water ded included, photos, settlement OK"/>
    <m/>
    <m/>
    <s v="Burdine"/>
    <m/>
    <m/>
    <n v="0"/>
  </r>
  <r>
    <x v="751"/>
    <s v="Hull Irvine"/>
    <s v="CA"/>
    <s v="Alison"/>
    <s v="Email"/>
    <s v="Hakim"/>
    <s v="Steven"/>
    <x v="6"/>
    <s v="Beverly Hills"/>
    <x v="1"/>
    <m/>
    <x v="8"/>
    <x v="1331"/>
    <x v="1779"/>
    <s v="TIV"/>
    <s v="DP3, prior home demolished, rebuilding from ground up, no brush"/>
    <x v="3"/>
    <s v="Requested BR questionnaire//approved subject to BRQ"/>
    <m/>
    <m/>
    <s v="Burdine"/>
    <m/>
    <m/>
    <n v="0"/>
  </r>
  <r>
    <x v="167"/>
    <s v="Burns"/>
    <s v="MI"/>
    <s v="Danielle"/>
    <s v="Email"/>
    <s v="Winegardner"/>
    <s v="William"/>
    <x v="5"/>
    <s v="Lenoir City "/>
    <x v="5"/>
    <m/>
    <x v="4"/>
    <x v="1331"/>
    <x v="1779"/>
    <s v="TIV"/>
    <s v="1992 home w/updates. Nice online photos. PC 10. 7 min response time per quest. 6.1 miles. Google shows 11 min drive time. Volunteer FD. Online source shows for sale. Occupied by property managers per app."/>
    <x v="4"/>
    <s v="Advised of probable 15 min response time."/>
    <m/>
    <m/>
    <s v="Patterson"/>
    <m/>
    <m/>
    <n v="0"/>
  </r>
  <r>
    <x v="756"/>
    <s v="Hull CA"/>
    <s v="Irvine"/>
    <s v="Alison"/>
    <s v="Email/Call"/>
    <s v="Yehoda, Yaron"/>
    <m/>
    <x v="5"/>
    <s v="Pacific Palisades"/>
    <x v="1"/>
    <m/>
    <x v="9"/>
    <x v="1331"/>
    <x v="1779"/>
    <s v="TIV/Vacant"/>
    <s v="2016 vacant home alarms. 6 month short term. Agent surcharged 10%. Wanted 25K AOP option. Online photos - amazing!"/>
    <x v="4"/>
    <s v="9% credit for $25,000 AOP deductible."/>
    <m/>
    <m/>
    <s v="Patterson"/>
    <m/>
    <m/>
    <n v="0"/>
  </r>
  <r>
    <x v="282"/>
    <s v="Hull CA"/>
    <s v="Irvine"/>
    <s v="Alex"/>
    <s v="Email"/>
    <s v="Riley, Tristan"/>
    <m/>
    <x v="6"/>
    <s v="Woodland Hills"/>
    <x v="1"/>
    <m/>
    <x v="5"/>
    <x v="1331"/>
    <x v="1779"/>
    <m/>
    <m/>
    <x v="3"/>
    <m/>
    <m/>
    <m/>
    <s v="Patterson"/>
    <m/>
    <m/>
    <n v="0"/>
  </r>
  <r>
    <x v="761"/>
    <s v="Burns"/>
    <s v="MI"/>
    <s v="Jill"/>
    <m/>
    <s v="Gflats LLC"/>
    <m/>
    <x v="2"/>
    <s v="San Francisco"/>
    <x v="1"/>
    <s v="94117"/>
    <x v="11"/>
    <x v="1331"/>
    <x v="1809"/>
    <s v="TIV"/>
    <s v="1900 dwelling w/updates. 2 prior water losses. Quoted in February 2018 and again December 2018 (see log). Insd never accepted terms or took out a policy. 10% lapse s/c applied."/>
    <x v="1"/>
    <s v="3rd submission from this insured. They've had a lapse since 2/2018. Seems like a morale hazard. This is a $3.8M home, tenant occupied and they've had prev losses.  Concern with this situation being left uninsured all this time and us handling multiple submissions."/>
    <m/>
    <m/>
    <s v="Patterson"/>
    <m/>
    <m/>
    <n v="1"/>
  </r>
  <r>
    <x v="485"/>
    <s v="Burns"/>
    <s v="MI"/>
    <s v="Rachel"/>
    <m/>
    <s v="Gflats LLC"/>
    <m/>
    <x v="2"/>
    <s v="San Francisco"/>
    <x v="1"/>
    <s v="94117"/>
    <x v="11"/>
    <x v="1331"/>
    <x v="1809"/>
    <s v="TIV"/>
    <s v="1900 dwelling w/updates. 2 prior water losses. Quoted in February. Insd never accepted terms or took out a policy. 10% lapse s/c applied."/>
    <x v="4"/>
    <s v="Verified with Jeff this is within their authority."/>
    <m/>
    <m/>
    <s v="Patterson"/>
    <m/>
    <m/>
    <n v="0"/>
  </r>
  <r>
    <x v="576"/>
    <s v="JM Wilson"/>
    <s v="MI"/>
    <s v="Cheryl"/>
    <s v="Call"/>
    <s v="Payerk"/>
    <s v="Dan  "/>
    <x v="4"/>
    <s v="Millersburg"/>
    <x v="8"/>
    <m/>
    <x v="4"/>
    <x v="1331"/>
    <x v="1570"/>
    <s v="TIV"/>
    <s v="Muy Grande Ranch previously used for commercial hunting and lodge/resort. 10' perimeter fence, 6 stocked ponds, white tail deer. Insured is millionaire with many MI properties. This will not be commercial use. Will be for family get togethers only.  Insured likely will hunt and fish, but no commercial use. Groundskeeper lives in $250K dwelling on property. Same address, quoting under Cov B/2 family. Insured was &quot;Dan's Excavating&quot;."/>
    <x v="2"/>
    <s v="Response time. Verify information."/>
    <m/>
    <m/>
    <s v="Patterson"/>
    <m/>
    <m/>
    <n v="0"/>
  </r>
  <r>
    <x v="111"/>
    <s v="Hull Irvine"/>
    <m/>
    <s v="Alison"/>
    <s v="Email"/>
    <s v="3 Shadows LLC"/>
    <m/>
    <x v="6"/>
    <s v="Beverly Hills"/>
    <x v="1"/>
    <m/>
    <x v="0"/>
    <x v="1331"/>
    <x v="1780"/>
    <s v="Occupancy"/>
    <s v="Agent wants to rate as vacant/reno now and endorse to vacant/for sale when done."/>
    <x v="4"/>
    <m/>
    <m/>
    <m/>
    <s v="Patterson"/>
    <m/>
    <m/>
    <n v="0"/>
  </r>
  <r>
    <x v="616"/>
    <s v="Burns"/>
    <s v="MI"/>
    <s v="ALexa"/>
    <s v="Email"/>
    <s v="Garrett"/>
    <s v="Dian"/>
    <x v="1"/>
    <m/>
    <x v="7"/>
    <m/>
    <x v="4"/>
    <x v="1331"/>
    <x v="1810"/>
    <s v="PC"/>
    <s v="builder's risk HO3 located in AZ. Home was built in 2003 of masonry veneer construction (stucco) , PC10 , c/s alarms, 15 minute response time; 40% into renovations"/>
    <x v="3"/>
    <s v="approval to offer terms, however please apply a 20% surcharge to account for the build in progress"/>
    <m/>
    <m/>
    <s v="Burdine"/>
    <m/>
    <m/>
    <n v="0"/>
  </r>
  <r>
    <x v="131"/>
    <s v="Hull Irvine"/>
    <m/>
    <s v="Alison"/>
    <s v="Email"/>
    <s v="Zhou, Xuhua"/>
    <m/>
    <x v="0"/>
    <s v="Pacific Palisades"/>
    <x v="1"/>
    <m/>
    <x v="0"/>
    <x v="1331"/>
    <x v="1781"/>
    <s v="TIV"/>
    <s v="2016 dwelling we wrote as vacant, now purchased by new owner."/>
    <x v="4"/>
    <s v="See Yehoda approval. No adverse info on new insured."/>
    <m/>
    <m/>
    <s v="Patterson"/>
    <m/>
    <m/>
    <n v="0"/>
  </r>
  <r>
    <x v="396"/>
    <s v="SCU"/>
    <m/>
    <s v="Allison"/>
    <s v="Email"/>
    <s v="Boulder Circle LLC"/>
    <m/>
    <x v="2"/>
    <s v="Breckenridge CO PC2"/>
    <x v="3"/>
    <m/>
    <x v="0"/>
    <x v="1331"/>
    <x v="36"/>
    <s v="TIV&gt;$3M"/>
    <s v="2006 home in medium brush. &lt;150' clearance. Wood shake roof."/>
    <x v="1"/>
    <s v="Wood shake. Verified with Jeff"/>
    <m/>
    <m/>
    <s v="Patterson"/>
    <m/>
    <m/>
    <n v="1"/>
  </r>
  <r>
    <x v="56"/>
    <s v="Hull Irvine"/>
    <s v=" "/>
    <s v="Alison"/>
    <s v="Email"/>
    <s v="Kao, Wayne"/>
    <m/>
    <x v="2"/>
    <s v="Los Angeles"/>
    <x v="1"/>
    <m/>
    <x v="8"/>
    <x v="1331"/>
    <x v="1707"/>
    <s v="High profile"/>
    <s v="Looking for liab coverage; primary home TIV is $12Mil so placing elsewhere, interested in 3 other properties w/liab. Client is in the music industry. Seems to be currently active, with links to  high-profile artists and events"/>
    <x v="0"/>
    <s v="Risk has a lot of links to high-profiles in entertainment industry, a few negative remarks on a personal level. Not comfortable offering w/liab"/>
    <s v="Agt may submit 3 of risks prop x-liab/approved by Kirsten"/>
    <m/>
    <s v="Patterson"/>
    <m/>
    <m/>
    <n v="0"/>
  </r>
  <r>
    <x v="273"/>
    <s v="Hull CA"/>
    <s v="Stockton"/>
    <s v="Lisa"/>
    <s v="Email/Call"/>
    <s v="Melody, Inc."/>
    <m/>
    <x v="2"/>
    <s v="Malibu"/>
    <x v="1"/>
    <m/>
    <x v="5"/>
    <x v="1331"/>
    <x v="1811"/>
    <s v="TIV"/>
    <s v="2016 duplex rental, currently only 1 unit is occupied. Advised agent full time rental rate is acceptable if the unit is expected to be occupied. Not in brush zone."/>
    <x v="4"/>
    <m/>
    <m/>
    <m/>
    <s v="Patterson"/>
    <m/>
    <m/>
    <n v="0"/>
  </r>
  <r>
    <x v="131"/>
    <s v="Hull Irvine"/>
    <m/>
    <s v="Alison"/>
    <s v="Email"/>
    <s v="3 Shadows LLC"/>
    <m/>
    <x v="5"/>
    <m/>
    <x v="1"/>
    <m/>
    <x v="10"/>
    <x v="1331"/>
    <x v="1681"/>
    <s v="Contents"/>
    <s v="Agents wants to add $700,000 personal property to vacant home up for sale. Insured staging with their own property. Theft coverage is n/a. Central station alarms. $10K ded already in place."/>
    <x v="3"/>
    <s v="C/S alarms in place and $10K ded.  Comfortable since no theft coverage. High value home."/>
    <m/>
    <m/>
    <s v="Patterson"/>
    <m/>
    <m/>
    <n v="0"/>
  </r>
  <r>
    <x v="658"/>
    <s v="Burns"/>
    <s v="MI"/>
    <s v="Danielle"/>
    <s v="Email"/>
    <s v="Zhang "/>
    <s v="Bonda"/>
    <x v="2"/>
    <s v="Rancho Santa Fe"/>
    <x v="1"/>
    <m/>
    <x v="9"/>
    <x v="1331"/>
    <x v="1693"/>
    <s v="TIV"/>
    <s v="1986 home w/full updates, no losses, not in brush. "/>
    <x v="4"/>
    <m/>
    <m/>
    <m/>
    <s v="Patterson"/>
    <m/>
    <m/>
    <n v="0"/>
  </r>
  <r>
    <x v="168"/>
    <s v="Burns"/>
    <s v="MI"/>
    <s v="Jill"/>
    <s v="Email"/>
    <s v="HILLMAN"/>
    <s v="SCOT T &amp; ADRIANNE"/>
    <x v="16"/>
    <s v="Cayucos"/>
    <x v="1"/>
    <m/>
    <x v="5"/>
    <x v="1331"/>
    <x v="40"/>
    <s v="TIV"/>
    <s v="Frame, secondary, no losses, PC4, built in 1983, no brush, located in CA;VMGA PREMIUM $11,197"/>
    <x v="4"/>
    <s v="online photos, info OK. Advised agt that $5Mil is absolute max TIV, so should inspection return higher value then would need to get off risk."/>
    <s v=" From online link, appears Cov A came from Market value, doesn't appear RC will have to be increased"/>
    <m/>
    <s v="Burdine"/>
    <m/>
    <m/>
    <n v="0"/>
  </r>
  <r>
    <x v="624"/>
    <s v="Hull CA"/>
    <s v="Irvine"/>
    <s v="Alison"/>
    <s v="Email"/>
    <s v="Delijani"/>
    <m/>
    <x v="21"/>
    <s v="Temecula CA PC9"/>
    <x v="3"/>
    <m/>
    <x v="0"/>
    <x v="1332"/>
    <x v="1812"/>
    <s v="TIV&gt;$3M"/>
    <s v="1978 home updated in 2001. Low brush verified in FireLine. Seasonal with full time caretaker who lives in guest house.  $858,000 other exposures. There are sheep/chickens.  Response time okay. Home on 27 acres per internet."/>
    <x v="0"/>
    <s v="Approved subject to there being no more than 8 chickens and 8 sheep, personal use. If there are more than 8 each or sales, get more info on breeding and sales. Asked for verif of home being near front of property w/accessible driveway."/>
    <s v="Turns out there are 60-65 sheep and 50 chickens. Approved X-liability.  7/29/16 came back asking to lower cov C and remove cov D.  Approved."/>
    <m/>
    <s v="Patterson"/>
    <m/>
    <m/>
    <n v="0"/>
  </r>
  <r>
    <x v="312"/>
    <s v="Burns"/>
    <s v="MI"/>
    <s v="Jill"/>
    <s v="Email"/>
    <s v="Davis"/>
    <s v="Rodger"/>
    <x v="1"/>
    <s v="Hillsborough"/>
    <x v="1"/>
    <m/>
    <x v="8"/>
    <x v="1333"/>
    <x v="40"/>
    <s v="TIV"/>
    <s v="Frame, PC2, built in 1967, no brush, no losses, CFSB, located in CA.  Wood roof -2008 ( WILL add ACV loss settlement endt); NR by prior due to renovations; will be completed in next 6 months, in prop during reno"/>
    <x v="4"/>
    <s v="RM, ISO, application, &amp; BR Supp, online review all OK. Reminded that if any increases to coverage needed after renovations or inspection, property no longer eligible due to max TIV"/>
    <s v="Advised OK to remove alarms during construction phase (keep setting off alarms), but requested higher ded's if able.  12/13/17"/>
    <m/>
    <s v="Burdine"/>
    <m/>
    <m/>
    <n v="0"/>
  </r>
  <r>
    <x v="547"/>
    <s v="Burns"/>
    <s v="MI"/>
    <s v="Jill"/>
    <s v="Email"/>
    <s v="Aspen Mountain Retreat LLC"/>
    <s v="Aspen Mountain Retreat LLC"/>
    <x v="3"/>
    <s v="Aspen"/>
    <x v="19"/>
    <m/>
    <x v="3"/>
    <x v="1334"/>
    <x v="1813"/>
    <s v="TIV"/>
    <s v="PC6, frame, built in 1974 (roof updated in 2010, wiring, plumbing, heating - 1985), no losses, located in CO, Castle inspection included"/>
    <x v="3"/>
    <s v="subject to correct rating (app was too blurry to tell if rated secondary/rental). Per inspection, vacation rental and longterm lease on apartment, apartment has WBS so need questionnaire, and need to meet &gt;$2MIL alarm requirements"/>
    <m/>
    <m/>
    <s v="Burdine"/>
    <m/>
    <m/>
    <n v="0"/>
  </r>
  <r>
    <x v="431"/>
    <s v="AmWINS"/>
    <s v="SC"/>
    <s v="Zach"/>
    <m/>
    <s v="Murphy"/>
    <s v="Joseph"/>
    <x v="4"/>
    <s v="Kiawah Island"/>
    <x v="20"/>
    <s v="29455"/>
    <x v="9"/>
    <x v="1335"/>
    <x v="1814"/>
    <s v="TIV"/>
    <s v="2001 year built. Looks to be a very nice home. In gated community with CSA alarms. "/>
    <x v="4"/>
    <s v="Approved risk, no concerns. "/>
    <m/>
    <m/>
    <s v="Busse"/>
    <m/>
    <m/>
    <n v="0"/>
  </r>
  <r>
    <x v="520"/>
    <s v="Hull Irvine"/>
    <s v="CA"/>
    <s v="Alex"/>
    <s v="Email"/>
    <s v="Wise"/>
    <s v="Andrew"/>
    <x v="5"/>
    <s v="San Francisco"/>
    <x v="1"/>
    <m/>
    <x v="8"/>
    <x v="1336"/>
    <x v="32"/>
    <s v="TIV"/>
    <s v="1900 dwelling will be vacant for 4-6 months. Then will be endorsed to builders risk and $1M added. Insured lives in London and won't be moving in until all work is done. $5K AOP covers the flat roof. Closing today."/>
    <x v="3"/>
    <s v="Provided this is not a brush zone."/>
    <m/>
    <m/>
    <s v="Patterson"/>
    <m/>
    <m/>
    <n v="0"/>
  </r>
  <r>
    <x v="470"/>
    <s v="SCU"/>
    <s v="CO"/>
    <s v="Allison"/>
    <m/>
    <s v="Berry"/>
    <s v="William &amp; Svea"/>
    <x v="5"/>
    <s v="Denver"/>
    <x v="19"/>
    <s v="80206"/>
    <x v="11"/>
    <x v="1336"/>
    <x v="1606"/>
    <s v="TIV"/>
    <s v="1933 year built with complete updates to systems in 2007 and partial roof in 2015. Applicant purchased dwelling 10/2018 with cash and did not seek insurance until now. Will be doing large remodel but will be 6 months to a year before that starts. Estimated roughly an additional $2,000,000 will be added to coverage A when completed, will not live in home during remodel. "/>
    <x v="3"/>
    <s v="Pended to ask what caused the decision to want to get insurance now after not having any since purchase date. Also asked what the plans are when it comes time for it to be written as BR, as it appears that it will no longer be eligible for our program due to TIV. Additionally, they quoted without marking lapse greater than 30 days, so advised if we move forward they will need to mark that as yes, and that we may apply an additional surcharge due to the length of the lapse.  **Updated JBach 5/6/19-agent resp no insurance since purchased Oct 2018 as not a priority for them as remodel was not going to happen until spring 2019.  Comp value is TIV at $4.4 mil.  Prior approved by Mitchell.  Comp TIV is ok for CO.**"/>
    <m/>
    <m/>
    <s v="Busse"/>
    <m/>
    <m/>
    <n v="0"/>
  </r>
  <r>
    <x v="379"/>
    <s v="Burns"/>
    <s v="MI"/>
    <s v="Delta"/>
    <s v="Email"/>
    <s v="Matteson"/>
    <s v="Patricia"/>
    <x v="2"/>
    <m/>
    <x v="1"/>
    <m/>
    <x v="8"/>
    <x v="1337"/>
    <x v="1815"/>
    <s v="TIV"/>
    <s v="Frame, Built in 1913, fully updated in 1998, PC2, not in brush, no recent losses, no alarms, E insurance score"/>
    <x v="3"/>
    <s v="Based on TIV limit, no alarms, required higher deductible unless sprinklers in home"/>
    <m/>
    <m/>
    <s v="Burdine"/>
    <m/>
    <m/>
    <n v="0"/>
  </r>
  <r>
    <x v="120"/>
    <s v="Burns"/>
    <s v="MI"/>
    <s v="Jill"/>
    <s v="Email"/>
    <s v="Langman, David"/>
    <m/>
    <x v="16"/>
    <s v="Beverly Hills"/>
    <x v="1"/>
    <m/>
    <x v="11"/>
    <x v="1338"/>
    <x v="1816"/>
    <s v="TIV"/>
    <s v="1984 home /w 2005 roof. Not in brush. Alarms. DP3 app submitted but noted as owner occupied secondary. Insd is pres of a property management co. Online shows this property for rent."/>
    <x v="0"/>
    <s v="Asked numerous questions to verify occupancy.  Turns out this is a secondary rental. Insd has owned since 02. Stays there 15-20 weeks a year. Rented for 3 night minimum other weeks. Approved w/ rental rating.  7/19/17 revised TIV per Jill's request"/>
    <m/>
    <m/>
    <s v="Patterson"/>
    <m/>
    <m/>
    <n v="0"/>
  </r>
  <r>
    <x v="802"/>
    <s v="SCU"/>
    <s v="CO"/>
    <s v="Ashley"/>
    <m/>
    <s v="Sellers"/>
    <s v="Alanna"/>
    <x v="0"/>
    <s v="Englewood"/>
    <x v="19"/>
    <s v="80113"/>
    <x v="11"/>
    <x v="1339"/>
    <x v="1817"/>
    <s v="Losses"/>
    <s v="1988 year built. No mention of updates. High TIV, right at max. Three losses, all water losses. 6/17/2017 leak in pipe $6,695, 6/27/2017 leak from old irrigation line $6,696, 11/2017 pipe burst in basement $21k. "/>
    <x v="3"/>
    <s v="Agent advised they quoted with $15k water deductible. Given TIV and that all three losses were water with no mention of updates, approving subject to water and mold exclusion. Agent already applied roof exclusion. They mentioned Lloyds renewal is at $29k, insured wants closer to $20k. Our rater was coming in at $15k, so also applied 20% surcharge. "/>
    <m/>
    <m/>
    <s v="Busse"/>
    <m/>
    <m/>
    <n v="0"/>
  </r>
  <r>
    <x v="575"/>
    <s v="Burns"/>
    <s v="MI"/>
    <s v="Alexa"/>
    <m/>
    <s v="Wolf"/>
    <s v="James &amp; Nancy"/>
    <x v="6"/>
    <s v="Kamas"/>
    <x v="22"/>
    <s v="84036"/>
    <x v="4"/>
    <x v="1340"/>
    <x v="1778"/>
    <s v="PC"/>
    <s v="New build. Home will ultimately be part of a gated community w/hydrants. Ins score G. Dwelling coverage only."/>
    <x v="4"/>
    <s v="Link to drive time - 15 min:  https://www.google.com/maps/dir/2645+E+Timpanogos+Ct,+Kamas,+UT+84036/wasatch+fire+department+heber+city/@40.6544688,-111.4523667,13z/data=!3m1!4b1!4m13!4m12!1m5!1m1!1s0x87520e9b98c290ed:0x35fc727f8dd5b5c!2m2!1d-111.3723055!2d40.629248!1m5!1m1!1s0x87520d1913b69f2b:0xbd761669369d3fc8!2m2!1d-111.4471639!2d40.6335892                                             Paid &amp; Volunteer FD. Should be close to the drive time. When complete, home will have hydrants and gated community. Licensed/insured contractor responsible for some losses during building phase. Getting prem for $3.65M structure which will be in progress.  Dwelling only, so rate per $100 is strong.  I feel comfortable with going with the system quoted prem for this PC10 risk even though response time may be a couple of minutes higher.  "/>
    <m/>
    <m/>
    <s v="Patterson"/>
    <m/>
    <m/>
    <n v="0"/>
  </r>
  <r>
    <x v="769"/>
    <s v="Burns"/>
    <s v="CA"/>
    <s v="Alexa"/>
    <s v="Email"/>
    <s v="Moegling, Rainer"/>
    <m/>
    <x v="75"/>
    <s v="Laguna Beach "/>
    <x v="1"/>
    <m/>
    <x v="9"/>
    <x v="1340"/>
    <x v="1517"/>
    <s v="TIV"/>
    <s v="2008, frame construction, PC3, with alarms, and one loss. Prior loss from 01/17 should be closed soon, no repairs started (roof/water). Lloyds NR 07/05/17"/>
    <x v="2"/>
    <s v="No explanation given for NR; advised repairs need to be underway prior to releasing terms"/>
    <m/>
    <m/>
    <s v="K.Burdine"/>
    <m/>
    <m/>
    <n v="0"/>
  </r>
  <r>
    <x v="807"/>
    <s v="Hull Irvine"/>
    <s v="CA"/>
    <s v="Melissa"/>
    <s v="Email"/>
    <s v="Sagita Ventures LTD"/>
    <s v="Sagita Ventures LTD"/>
    <x v="75"/>
    <s v="Thousand Oaks"/>
    <x v="1"/>
    <m/>
    <x v="5"/>
    <x v="1341"/>
    <x v="1818"/>
    <s v="TIV"/>
    <s v="Lex renewal; 2009 build, alarms, inspection/RM provided"/>
    <x v="3"/>
    <s v="Subject to acceptable LLC questionnaire"/>
    <m/>
    <m/>
    <s v="K.Burdine"/>
    <m/>
    <m/>
    <n v="0"/>
  </r>
  <r>
    <x v="40"/>
    <s v="Hull Stockton"/>
    <s v="CA"/>
    <s v="Melissa"/>
    <s v="Email"/>
    <s v="Goatam"/>
    <s v="Herline"/>
    <x v="1"/>
    <m/>
    <x v="1"/>
    <m/>
    <x v="11"/>
    <x v="1342"/>
    <x v="33"/>
    <s v="Builders Risk"/>
    <s v="Vacant , undergoing renovation, GC on project, info provided"/>
    <x v="4"/>
    <s v="coverages/premium appropriate"/>
    <m/>
    <m/>
    <s v="Burdine"/>
    <m/>
    <m/>
    <n v="0"/>
  </r>
  <r>
    <x v="180"/>
    <s v="Burns"/>
    <s v="MI"/>
    <s v="Jill"/>
    <s v="Email"/>
    <s v="Wertheim   BWD107102"/>
    <s v="Mark"/>
    <x v="6"/>
    <s v="Murietta"/>
    <x v="1"/>
    <m/>
    <x v="8"/>
    <x v="1342"/>
    <x v="1600"/>
    <s v="TIV"/>
    <s v="2006 home, renovating to move in. Work done by lic GC. Online looks nice. In brush.  Construction not complete after 1 year term. Agent wants to renew."/>
    <x v="4"/>
    <s v="Extending by a month or two, okay."/>
    <s v=" "/>
    <m/>
    <s v="Patterson"/>
    <m/>
    <m/>
    <n v="0"/>
  </r>
  <r>
    <x v="300"/>
    <s v="Burns"/>
    <s v="MI"/>
    <s v="Leslie"/>
    <s v="Email"/>
    <s v="Wertheim"/>
    <m/>
    <x v="6"/>
    <s v="Murietta"/>
    <x v="1"/>
    <m/>
    <x v="8"/>
    <x v="1342"/>
    <x v="1600"/>
    <s v="TIV"/>
    <s v="2006 home, renovating to move in. Work done by lic GC. Online looks nice. In brush"/>
    <x v="4"/>
    <m/>
    <m/>
    <m/>
    <s v="Patterson"/>
    <m/>
    <m/>
    <n v="0"/>
  </r>
  <r>
    <x v="221"/>
    <s v="Hull CA"/>
    <s v="Stockton"/>
    <s v="Lisa"/>
    <s v="Email"/>
    <s v="3620 Sweetwater Mesa LLC"/>
    <m/>
    <x v="2"/>
    <s v="Malibu CA PC4"/>
    <x v="3"/>
    <m/>
    <x v="0"/>
    <x v="1342"/>
    <x v="1819"/>
    <s v="TIV&gt;$1.5M"/>
    <s v="1991 home not updated with tile roof. No alarms."/>
    <x v="2"/>
    <s v="Need rater to compare against Lex $17,812 prem. Need LLC form. Verify this is rental.  $10K deductible due to no alarms"/>
    <m/>
    <m/>
    <s v="Patterson"/>
    <m/>
    <m/>
    <n v="0"/>
  </r>
  <r>
    <x v="730"/>
    <s v="SCU"/>
    <s v="CA"/>
    <s v="Alison"/>
    <s v="Email"/>
    <s v="Anderson"/>
    <s v="Roger"/>
    <x v="3"/>
    <s v="San Diego"/>
    <x v="1"/>
    <m/>
    <x v="5"/>
    <x v="1343"/>
    <x v="1820"/>
    <s v="TIV"/>
    <s v="no brush, high-value, rented, but for sale (will confirm actively rented)"/>
    <x v="4"/>
    <s v="reminded of max TIV"/>
    <m/>
    <m/>
    <s v="Burdine"/>
    <m/>
    <m/>
    <n v="0"/>
  </r>
  <r>
    <x v="168"/>
    <s v="Burns"/>
    <s v="MI"/>
    <s v="Jill"/>
    <s v="Email"/>
    <s v="Hsu"/>
    <s v="Hubert"/>
    <x v="2"/>
    <s v="Beverly Hills"/>
    <x v="1"/>
    <m/>
    <x v="11"/>
    <x v="1344"/>
    <x v="37"/>
    <s v="TIV"/>
    <s v="1924 home w/ partial updates. Alarms. 12 month tenant. Owner lives outside US, has full time property management company handling the rental. Insd is an attorney."/>
    <x v="3"/>
    <s v="Acceptable OHQ. Breakers, no knob &amp; tube, no aluminum (blank on app). Acceptable RiskMeter with associated rating."/>
    <m/>
    <m/>
    <s v="Patterson"/>
    <m/>
    <m/>
    <n v="0"/>
  </r>
  <r>
    <x v="126"/>
    <s v="SCU"/>
    <s v="CO"/>
    <s v="Allison"/>
    <s v="Email"/>
    <s v="Lafayette Scott Street LLC"/>
    <m/>
    <x v="166"/>
    <s v="San Francisco"/>
    <x v="1"/>
    <m/>
    <x v="0"/>
    <x v="1345"/>
    <x v="1602"/>
    <s v="Condition"/>
    <s v="1908 build. Waiting for permits and will be renovated. Fire fighter injured on the property when a stair broke."/>
    <x v="1"/>
    <s v="Prev submitted by Hull with a B&amp;W inspection on 5/11/17. We declined due to condition. "/>
    <m/>
    <m/>
    <s v="Patterson"/>
    <m/>
    <m/>
    <n v="1"/>
  </r>
  <r>
    <x v="592"/>
    <s v="Hull Irvine"/>
    <s v="CA"/>
    <s v="Alex"/>
    <s v="Email"/>
    <s v="1173 Westbend LLC"/>
    <s v="1173 Westbend LLC"/>
    <x v="5"/>
    <s v="West Lake Village"/>
    <x v="1"/>
    <m/>
    <x v="5"/>
    <x v="1346"/>
    <x v="1528"/>
    <s v="TIV"/>
    <s v="vacant, 6 month policy, C/S alarms"/>
    <x v="4"/>
    <s v="Photos, ISO, loss history OK"/>
    <m/>
    <m/>
    <s v="Burdine"/>
    <m/>
    <m/>
    <n v="0"/>
  </r>
  <r>
    <x v="123"/>
    <s v="Hull Stockton"/>
    <m/>
    <s v="Lisa"/>
    <s v="Email"/>
    <s v="Apex Investments LLC"/>
    <m/>
    <x v="6"/>
    <s v="San Francisco"/>
    <x v="1"/>
    <m/>
    <x v="8"/>
    <x v="1346"/>
    <x v="1528"/>
    <s v="Tail end construction"/>
    <s v="New build (flat roof $10K ded). 3 months left to do interior work only and then 3 months to sell. Insd wants 6 mo policy. Const started 1/21/14 per app. Not in brush."/>
    <x v="3"/>
    <s v="Is there a reason they need to move from their current carrier?  Is this another situation where the current carrier wants to write an annual policy and they only want a 6 month policy?   Could you please share the current renewal pricing?  A Homeowners app was submitted.  Would risk be written as an HO-3 Builders Risk or a DP-3?  Could we find out why construction has taken so long?  Leaning toward declining. Subj are completed app and big surcharge.  // 6/21 current insurer is nonrenewing due to 2 terms-won't offer 3rd. Agreed subj to complete app and match expiring. Prior carrier wrote for $16,509 for a year. Agent quoted us at $9,384 for a year.  76% surcharge."/>
    <m/>
    <m/>
    <s v="Patterson"/>
    <m/>
    <m/>
    <n v="0"/>
  </r>
  <r>
    <x v="535"/>
    <s v="Hull CA"/>
    <s v="Irvine"/>
    <s v="Alex"/>
    <s v="Email"/>
    <m/>
    <m/>
    <x v="5"/>
    <m/>
    <x v="3"/>
    <m/>
    <x v="0"/>
    <x v="1346"/>
    <x v="1821"/>
    <s v="TIV&gt;$3M"/>
    <s v="1945 home, updates unknown. Photos online look good per Alex. Vacant and up for sale.  Firemans fund nrn due to vacancy.  Alex will quote with exclusions, high ded and surcharges. We will order rush insp and EHP. Lloyds quote is &quot;astronomical&quot;."/>
    <x v="3"/>
    <s v="Approved subj to:  • Roof exclusion_x000a_• $25,000 water deductible_x000a_• $25,000 theft deductible_x000a_• No Mold Buy Back coverage_x000a_• Add a 20% debit to the rate (for the $3.8M quote, I get $17,269; for the $2.2M quote, I get $10,152)_x000a_• Rush inspection w/EHP rider_x000a_• 6 month quote – I’d be okay going with 50% minimum earned_x000a_"/>
    <m/>
    <m/>
    <s v="Patterson"/>
    <m/>
    <m/>
    <n v="0"/>
  </r>
  <r>
    <x v="600"/>
    <s v="Hull Stockton"/>
    <s v="CA"/>
    <s v="Kirk"/>
    <s v="Email"/>
    <s v="Boyer"/>
    <s v="Ron"/>
    <x v="5"/>
    <s v="Palm Desert"/>
    <x v="1"/>
    <m/>
    <x v="9"/>
    <x v="1346"/>
    <x v="1679"/>
    <s v="TIV"/>
    <s v="Vacant, for sale, central station fire and burglar and 24/7 manned security at gated community"/>
    <x v="4"/>
    <s v="https://www.realtor.com/realestateandhomes-detail/142-Kiva-Dr_Palm-Desert_CA_92260_M27649-58696 "/>
    <m/>
    <m/>
    <s v="Burdine"/>
    <m/>
    <m/>
    <n v="0"/>
  </r>
  <r>
    <x v="785"/>
    <s v="Hull Irvine"/>
    <s v="CA"/>
    <s v="Alex"/>
    <s v="Email"/>
    <s v="Stradella Land LLC"/>
    <m/>
    <x v="0"/>
    <s v="Los Angeles"/>
    <x v="1"/>
    <m/>
    <x v="5"/>
    <x v="1347"/>
    <x v="1644"/>
    <s v="TIV"/>
    <s v="Builders risk ground up construction. Property will be fenced. GC managing project.  Low brush, although there is brush nearby per RM."/>
    <x v="3"/>
    <s v="Acceptable LLC form"/>
    <m/>
    <n v="18"/>
    <s v="Patterson"/>
    <m/>
    <m/>
    <n v="0"/>
  </r>
  <r>
    <x v="527"/>
    <s v="Hull CA"/>
    <s v="Irvine"/>
    <s v="Alison"/>
    <s v="Email"/>
    <s v="Schetter, Charles"/>
    <m/>
    <x v="112"/>
    <s v="Malibu CA PC4"/>
    <x v="3"/>
    <m/>
    <x v="0"/>
    <x v="1348"/>
    <x v="1822"/>
    <s v="TIV&gt;$3M"/>
    <s v="2009 home, no brush. Alarms. Agent asking for 25% ord/law, 25% backup as an exception to match Lloyds policy. Sent rate req to Jeff. Website shows insured is a winemaker and has a vineyard. It appears it is not at this location but confirm with agent."/>
    <x v="3"/>
    <s v="Approved subject to 10% additional premium for ord/law. Confirmation that there is no vineyard."/>
    <m/>
    <m/>
    <s v="Patterson"/>
    <m/>
    <m/>
    <n v="0"/>
  </r>
  <r>
    <x v="136"/>
    <s v="Hull Irvine"/>
    <m/>
    <s v="Alison"/>
    <s v="Email"/>
    <s v="Loftus"/>
    <s v="James &amp; Cecilia"/>
    <x v="2"/>
    <s v="Malibu"/>
    <x v="1"/>
    <m/>
    <x v="9"/>
    <x v="1349"/>
    <x v="1823"/>
    <s v="TIV"/>
    <s v="2010 home w/ alarms in high brush.  Insd is an emergency medicine doctor. Online info/photos ok.  Flat roof. $10K ded quoted. "/>
    <x v="4"/>
    <m/>
    <m/>
    <m/>
    <s v="Patterson"/>
    <m/>
    <m/>
    <n v="0"/>
  </r>
  <r>
    <x v="192"/>
    <s v="Hull CA"/>
    <s v="Irvine"/>
    <s v="Alex"/>
    <s v="Email"/>
    <s v="Friedman, Daniel"/>
    <m/>
    <x v="1"/>
    <s v="Encino CA  PC2"/>
    <x v="3"/>
    <m/>
    <x v="0"/>
    <x v="1350"/>
    <x v="1569"/>
    <s v="No coverage"/>
    <s v="2016 new build ground up. Insd did not know they needed coverage. Halfway built and builder told them. 7-8 months left. 10% s/c is competitive with Scottsdale."/>
    <x v="3"/>
    <s v="Approved subject to a BR form and signed statement of no loss."/>
    <m/>
    <m/>
    <s v="Patterson"/>
    <m/>
    <m/>
    <n v="0"/>
  </r>
  <r>
    <x v="150"/>
    <s v="Hull Irvine"/>
    <s v="CA"/>
    <s v="Alison"/>
    <s v="Email"/>
    <s v="ARDR Realty"/>
    <m/>
    <x v="30"/>
    <s v="Newport Beach"/>
    <x v="1"/>
    <m/>
    <x v="0"/>
    <x v="1351"/>
    <x v="1517"/>
    <s v="TIV"/>
    <s v="New construction. Very little info, but no concerns with what is presented. Insured will rent dwelling upon completion. One attachment makes it sound like there is demolition."/>
    <x v="3"/>
    <s v="Only okay if no asbestos abatement or demo. Need app and riskmeter"/>
    <m/>
    <n v="16"/>
    <s v="Patterson"/>
    <m/>
    <m/>
    <n v="0"/>
  </r>
  <r>
    <x v="327"/>
    <s v="Hull Charlotte"/>
    <s v="NC"/>
    <s v="Lawanda"/>
    <s v="Email"/>
    <s v="Cooper"/>
    <s v="Tom"/>
    <x v="4"/>
    <s v="Kiawah Island"/>
    <x v="20"/>
    <m/>
    <x v="0"/>
    <x v="1351"/>
    <x v="40"/>
    <s v="TIV"/>
    <s v="TIV greater than $5M"/>
    <x v="1"/>
    <s v="Advised if can get under $5M, then can offer terms"/>
    <m/>
    <m/>
    <s v="Burdine"/>
    <m/>
    <m/>
    <n v="1"/>
  </r>
  <r>
    <x v="592"/>
    <s v="SCU"/>
    <s v="CO"/>
    <s v="Allison"/>
    <s v="Email"/>
    <s v="Dowling"/>
    <s v="Paddins"/>
    <x v="1"/>
    <s v="Santa FE"/>
    <x v="1"/>
    <m/>
    <x v="9"/>
    <x v="1352"/>
    <x v="1824"/>
    <s v="TIV"/>
    <s v="Renovation project, 202 build, Frame, owner occupied at completion"/>
    <x v="4"/>
    <s v="builders risk sup, RM, rater, OK"/>
    <m/>
    <m/>
    <s v="Burdine"/>
    <m/>
    <m/>
    <n v="0"/>
  </r>
  <r>
    <x v="723"/>
    <s v="AmWINS"/>
    <s v="AL"/>
    <s v="Landon"/>
    <m/>
    <s v="HL &amp; C Magnolia Manor LLC"/>
    <m/>
    <x v="0"/>
    <s v="Carriere"/>
    <x v="16"/>
    <s v="39426"/>
    <x v="18"/>
    <x v="1353"/>
    <x v="0"/>
    <s v="TIV"/>
    <s v="2001 home w/3 large barns and 5 car detached garage. 20miles to coast. LLC form ok. Cov A req is $2.3M. Cov B is $168K RCE=$3,984,930. Cattle and bison on property per app. No info."/>
    <x v="2"/>
    <s v="Verify PPC. Per insp, hyd is &gt;1000 feet.  Verify Coverages. A&amp; B must be insured to 100% of RC. Need animal info."/>
    <s v="This looks like a no-go, but I wanted to give this new AmWINS contact an opportunity to review our questions and concerns."/>
    <m/>
    <s v="Patterson"/>
    <m/>
    <m/>
    <n v="0"/>
  </r>
  <r>
    <x v="405"/>
    <s v="Burns"/>
    <s v="MI"/>
    <s v="Leslie"/>
    <m/>
    <s v="Bown"/>
    <s v="Dustin &amp; Nicole"/>
    <x v="1"/>
    <s v="Hermosa Beach"/>
    <x v="1"/>
    <s v="90254"/>
    <x v="8"/>
    <x v="1354"/>
    <x v="1570"/>
    <s v="TIV"/>
    <s v="Ground up new construction will take 2 years. Insd is an NHL hockey player. Liability excluded."/>
    <x v="4"/>
    <s v="No liability. Ground up professional contractor construction. $4M is the est finished value."/>
    <m/>
    <m/>
    <s v="Patterson"/>
    <m/>
    <m/>
    <n v="0"/>
  </r>
  <r>
    <x v="744"/>
    <s v="Hull Irvine"/>
    <s v="CA"/>
    <s v="Alison"/>
    <s v="Email"/>
    <s v="Parker"/>
    <s v="Clark"/>
    <x v="1"/>
    <s v="Los Angeles "/>
    <x v="1"/>
    <m/>
    <x v="8"/>
    <x v="1354"/>
    <x v="1570"/>
    <s v="TIV"/>
    <s v="2017 New ground up COC, starting after demolition of current dwelling is complete. Will be primary so quoting as HO3. 18-24 month construction w/licensed contractor. Not in brush. "/>
    <x v="4"/>
    <m/>
    <m/>
    <n v="11"/>
    <s v="Patterson"/>
    <m/>
    <m/>
    <n v="0"/>
  </r>
  <r>
    <x v="173"/>
    <s v="Burns"/>
    <s v="CA"/>
    <s v="Leslie"/>
    <s v="Email"/>
    <s v="Newton"/>
    <s v="Peter"/>
    <x v="6"/>
    <s v="Pacific Palisades"/>
    <x v="1"/>
    <m/>
    <x v="11"/>
    <x v="1354"/>
    <x v="1570"/>
    <s v="TIV"/>
    <s v="New construction ground up, not in brush. Prev home on the property demolished already."/>
    <x v="4"/>
    <s v="Straight forward builders risk."/>
    <m/>
    <m/>
    <s v="Patterson"/>
    <m/>
    <m/>
    <n v="0"/>
  </r>
  <r>
    <x v="505"/>
    <s v="Burns"/>
    <s v="MI"/>
    <s v="Danielle"/>
    <s v="Email"/>
    <s v="Sieger Property Development LLC"/>
    <m/>
    <x v="5"/>
    <s v="Truckee"/>
    <x v="1"/>
    <m/>
    <x v="2"/>
    <x v="1354"/>
    <x v="1825"/>
    <s v="TIV"/>
    <s v="2017 new construction currently vacant and appears to be for sale. Alarms. Medium brush."/>
    <x v="0"/>
    <s v="Confirm 150' brush clearance. Need LLC form.//Dani asked us to consider .22-.23 rate to match competitor. Advised in brush we really can't reduce rate. Quote is .27 now."/>
    <s v="Note:  Have not received instruction or direction yet on writing high value in brush zone. This is PC5. Seems like this is okay based on initial direction from Jeff."/>
    <n v="24"/>
    <s v="Patterson"/>
    <m/>
    <m/>
    <n v="0"/>
  </r>
  <r>
    <x v="838"/>
    <s v="AmWINS"/>
    <s v="NH"/>
    <s v="Kyle"/>
    <m/>
    <s v="Troop"/>
    <s v="Robert"/>
    <x v="1"/>
    <s v="Meredith"/>
    <x v="52"/>
    <s v="03253"/>
    <x v="31"/>
    <x v="1354"/>
    <x v="1780"/>
    <s v="TIV"/>
    <s v="2019 new build under construction for a few years with 6 months left to go. Curr carrier getting off. Will be primary - insd lives next door currently. Agt increasing prem by $6K for $14,325 total. $10K ded."/>
    <x v="2"/>
    <s v="Asked numerous questions about the mid-term construction and the PC/high value.  Also pointed out our max TIV is $5K."/>
    <s v="847 ins score"/>
    <m/>
    <s v="Patterson"/>
    <m/>
    <m/>
    <n v="0"/>
  </r>
  <r>
    <x v="109"/>
    <s v="Burns"/>
    <s v="MI"/>
    <s v="Leslie"/>
    <s v="Email"/>
    <s v="Chouest, Amy"/>
    <m/>
    <x v="0"/>
    <s v="New Orleans "/>
    <x v="0"/>
    <m/>
    <x v="8"/>
    <x v="1354"/>
    <x v="1705"/>
    <s v="TIV/RC"/>
    <s v="1900 home updated in 2017 asking for RC.  Online photos limited. Indicates partial reno."/>
    <x v="3"/>
    <s v="Approved TIV. Advised Leslie to check with Danielle on their internal procedure with RC."/>
    <m/>
    <m/>
    <s v="Patterson"/>
    <m/>
    <m/>
    <n v="0"/>
  </r>
  <r>
    <x v="628"/>
    <s v="AmWINS"/>
    <s v="PA"/>
    <s v="John"/>
    <m/>
    <s v="Tramontano"/>
    <s v="Paul"/>
    <x v="1"/>
    <s v="Greenwich"/>
    <x v="25"/>
    <s v="06830"/>
    <x v="9"/>
    <x v="1354"/>
    <x v="513"/>
    <s v="TIV"/>
    <s v="New build. Agt verified PC 3/3. Agt requiring alarms asap. "/>
    <x v="3"/>
    <s v="Ok subj to Builders Risk Supp, complete and acceptable. Alarm installed asap. New construction at this TIV meets our criteria.  Insured lives in the area."/>
    <m/>
    <m/>
    <s v="Patterson"/>
    <m/>
    <m/>
    <n v="0"/>
  </r>
  <r>
    <x v="745"/>
    <s v="Hull Horsham"/>
    <s v="NJ"/>
    <s v="Lisa"/>
    <s v="Email"/>
    <s v="Attias"/>
    <s v="Charlies"/>
    <x v="2"/>
    <s v="NY"/>
    <x v="44"/>
    <m/>
    <x v="9"/>
    <x v="1354"/>
    <x v="513"/>
    <s v="TIV"/>
    <s v="Townhome, 2012 build, completely updated"/>
    <x v="4"/>
    <s v="Reminded about max TIV"/>
    <m/>
    <m/>
    <s v="Burdine"/>
    <m/>
    <m/>
    <n v="0"/>
  </r>
  <r>
    <x v="474"/>
    <s v="Burns"/>
    <s v="MI"/>
    <s v="Jill"/>
    <s v="Email"/>
    <s v="Coll, Clark DBA Bankruptcy Trustee for Wayne Auge II"/>
    <m/>
    <x v="0"/>
    <s v="Telluride "/>
    <x v="19"/>
    <m/>
    <x v="10"/>
    <x v="1354"/>
    <x v="513"/>
    <s v="Bankruptcy"/>
    <s v="Insured filed for bankruptcy. The court appointed Clark Coll as trustee to liquefy assets and distribute money to debtors. Home is unoccupied w/some contents. For sale and there are alarms."/>
    <x v="1"/>
    <s v="Moral and morale hazard increase. (Not sure why this was on an HO-3. Moot point, so I didn't pursue.)"/>
    <m/>
    <m/>
    <s v="Patterson"/>
    <m/>
    <m/>
    <n v="1"/>
  </r>
  <r>
    <x v="143"/>
    <s v="Burns"/>
    <s v="MI"/>
    <s v="Alexa"/>
    <s v="Email"/>
    <s v="Gore Creek Properties LLC"/>
    <m/>
    <x v="5"/>
    <s v="Vail"/>
    <x v="19"/>
    <m/>
    <x v="8"/>
    <x v="1354"/>
    <x v="513"/>
    <s v="TIV"/>
    <s v="2015 home w/fire alarm, no burglar alarm. $10K ded quoted. Half duplex sold, this is now up for sale. Staged, but not insured's contents."/>
    <x v="4"/>
    <m/>
    <m/>
    <n v="14"/>
    <s v="Patterson"/>
    <m/>
    <m/>
    <n v="0"/>
  </r>
  <r>
    <x v="396"/>
    <s v="Hull CA"/>
    <s v="Irvine"/>
    <s v="Alison"/>
    <s v="Email"/>
    <s v="Graham, Jeffrey"/>
    <m/>
    <x v="6"/>
    <s v="Summerland CA PC3"/>
    <x v="3"/>
    <m/>
    <x v="0"/>
    <x v="1354"/>
    <x v="513"/>
    <s v="TIV&gt;$3M"/>
    <s v="New construction appx 20% completed. Insd doesn't like agent. Expected completion 5/17. Low brush."/>
    <x v="4"/>
    <m/>
    <m/>
    <m/>
    <s v="Patterson"/>
    <m/>
    <m/>
    <n v="0"/>
  </r>
  <r>
    <x v="250"/>
    <s v="Hull CA"/>
    <s v="Irvine"/>
    <s v="Alison"/>
    <s v="Email"/>
    <s v="Pathak"/>
    <m/>
    <x v="1"/>
    <s v="Beverly Hills CA PC1"/>
    <x v="1"/>
    <m/>
    <x v="11"/>
    <x v="1354"/>
    <x v="513"/>
    <s v="TIV&gt;$3M"/>
    <s v="1952 home renovated in 2016, and more reno to do. Agent shopping the Lloyds renewal. Nice online photos.  Low brush exposure."/>
    <x v="4"/>
    <m/>
    <m/>
    <m/>
    <s v="Patterson"/>
    <m/>
    <m/>
    <n v="0"/>
  </r>
  <r>
    <x v="364"/>
    <s v="Hull Irvine"/>
    <m/>
    <s v="Alison"/>
    <s v="Email"/>
    <s v="Tsao, Tom"/>
    <m/>
    <x v="5"/>
    <s v="Diamond Bar"/>
    <x v="1"/>
    <m/>
    <x v="8"/>
    <x v="1354"/>
    <x v="1681"/>
    <s v="TIV"/>
    <s v="New 2017 home being professionally decorated, so it will be vacant for a few months. Agent looking for 3 or 6 month terms. Chubb won't allow over 30 day vacancy."/>
    <x v="3"/>
    <s v="Subj to completed app (none attached)."/>
    <m/>
    <m/>
    <s v="Patterson"/>
    <m/>
    <m/>
    <n v="0"/>
  </r>
  <r>
    <x v="375"/>
    <s v="Hull Irvine"/>
    <m/>
    <s v="Alison"/>
    <s v="Email"/>
    <s v="1001 Sky View LLC"/>
    <m/>
    <x v="2"/>
    <s v="Los Angeles"/>
    <x v="1"/>
    <m/>
    <x v="8"/>
    <x v="1354"/>
    <x v="1681"/>
    <s v="TIV"/>
    <s v="1955 home fully updated. (Was Zsa Zsa Gabor's home!) Online looks good. Insd is a real estate developer, but has home individually titled in LLC name for this property."/>
    <x v="0"/>
    <s v="LLC form indicates one individual. Nothing online that appears concerning. 5/11/17. Found out home is rented to Zsa Zsa's ex husband. Interesting. Advised this is okay. Agree with requiring an HO4."/>
    <m/>
    <m/>
    <s v="Patterson"/>
    <m/>
    <m/>
    <n v="0"/>
  </r>
  <r>
    <x v="382"/>
    <s v="Hull Irvine"/>
    <m/>
    <s v="Alison"/>
    <s v="Email"/>
    <s v="Binder, Chuck"/>
    <m/>
    <x v="0"/>
    <s v="Thousand Oaks"/>
    <x v="1"/>
    <m/>
    <x v="5"/>
    <x v="1354"/>
    <x v="1681"/>
    <s v="TIV"/>
    <s v="2000 home on golf course. Nice online pics. Full alarms, gated. Agent added 10% s/c. Online photos show this prop and others on the course have unfenced pools. "/>
    <x v="3"/>
    <m/>
    <m/>
    <m/>
    <s v="Patterson"/>
    <m/>
    <m/>
    <n v="0"/>
  </r>
  <r>
    <x v="261"/>
    <s v="Hull CA"/>
    <s v="Irvine"/>
    <s v="Alison"/>
    <s v="Email"/>
    <s v="Wrobel, Harold"/>
    <m/>
    <x v="0"/>
    <s v="Pacific Palisades"/>
    <x v="1"/>
    <m/>
    <x v="9"/>
    <x v="1354"/>
    <x v="1693"/>
    <s v="TIV"/>
    <s v="1934 home updated, not sure if gutted. 1 full time live in empl, and 2 others 20 hours a week.  Mrs. Insured is &quot;Nurse Jamie&quot;."/>
    <x v="1"/>
    <s v="Can only do a max of 2 employees."/>
    <m/>
    <m/>
    <s v="Patterson"/>
    <m/>
    <m/>
    <n v="1"/>
  </r>
  <r>
    <x v="68"/>
    <s v="Burns"/>
    <s v="MI"/>
    <s v="Delta"/>
    <s v="Email"/>
    <s v="Matasco Enterprises Inc"/>
    <m/>
    <x v="21"/>
    <s v="Laguna Niguel"/>
    <x v="1"/>
    <m/>
    <x v="25"/>
    <x v="1354"/>
    <x v="40"/>
    <s v="TIV"/>
    <s v="2012 frame home, no brush full alarms. Pool w/ cement slide looks acceptable online. "/>
    <x v="3"/>
    <s v="Advised we can't write over $5M TIV, watch limits. Must remarket if insp val comes back higher"/>
    <m/>
    <m/>
    <s v="Patterson"/>
    <m/>
    <m/>
    <n v="0"/>
  </r>
  <r>
    <x v="203"/>
    <s v="Hull CO"/>
    <s v="SC"/>
    <s v="Alia"/>
    <s v="Email"/>
    <s v="Huffines"/>
    <m/>
    <x v="1"/>
    <s v="Kiawah Island SC PC4"/>
    <x v="3"/>
    <m/>
    <x v="0"/>
    <x v="1354"/>
    <x v="40"/>
    <s v="Rate reduction"/>
    <s v="2016 home rating coming in at .76. Wanted .70. Quoted in Tiger CQ and approved .70"/>
    <x v="4"/>
    <s v="Tiger CQ came back with $24,019 wind rate and $935 non-wind = $24,954. Agt wanted to quote $35,000 prem.  Approved."/>
    <m/>
    <m/>
    <s v="Patterson"/>
    <m/>
    <m/>
    <n v="0"/>
  </r>
  <r>
    <x v="196"/>
    <s v="Hull CO"/>
    <s v="PA"/>
    <s v="Nichole"/>
    <s v="Email"/>
    <s v="Maruca, Frank"/>
    <m/>
    <x v="21"/>
    <s v="Ocean City MD PC5"/>
    <x v="3"/>
    <m/>
    <x v="0"/>
    <x v="1354"/>
    <x v="40"/>
    <s v="Oceanfront"/>
    <s v="2002 Alarmed Beautiful home per Google. First row oceanfront. 2% named storm ded."/>
    <x v="4"/>
    <s v="Jeff checked AAL rating. A little light. Nichole checking curr prem and competition. Finally offered terms at $10,900 prem. (per Jeff need $10,850 to be competitive). (Agt wrote back on 2/18/16 and increased Cov A from $3,350,000 to $4M making total TIV $5M. I re-rated using Jeff's AAL computation and offered terms at $13K). (3rd request on 3/16/16 for $4.5MTIV w/5% ded. I offere $9575. x-wind $8813)"/>
    <m/>
    <m/>
    <s v="Patterson"/>
    <m/>
    <m/>
    <n v="0"/>
  </r>
  <r>
    <x v="203"/>
    <s v="Hull CO"/>
    <s v="SC"/>
    <s v="Alia"/>
    <s v="Email"/>
    <s v="Huffines"/>
    <m/>
    <x v="1"/>
    <s v="South Carolina PC4"/>
    <x v="3"/>
    <m/>
    <x v="0"/>
    <x v="1354"/>
    <x v="40"/>
    <s v="Rate reduction"/>
    <s v="Rate is coming in at .76, can we reduce to .70. Sent AAL spreadsheet as she says she is getting a lot of these from a good producer. Run thru AAL when it comes back. Also need to remind her TIV required submission."/>
    <x v="2"/>
    <m/>
    <m/>
    <m/>
    <s v="Patterson"/>
    <m/>
    <m/>
    <n v="0"/>
  </r>
  <r>
    <x v="556"/>
    <s v="Hull CA"/>
    <s v="Stockton"/>
    <s v="Lisa"/>
    <s v="Email/Call"/>
    <s v="1283 Greenwich LLC"/>
    <m/>
    <x v="1"/>
    <s v="San Francisco"/>
    <x v="1"/>
    <m/>
    <x v="11"/>
    <x v="1355"/>
    <x v="1677"/>
    <s v="TIV"/>
    <s v="3 story dwelling gut and remodel. Not in brush. There were a couple of online references to this being a open lot with a custom builder offering to build a home here, but this was dispelled by the agent w/architect plans."/>
    <x v="4"/>
    <m/>
    <m/>
    <m/>
    <s v="Patterson"/>
    <m/>
    <m/>
    <n v="0"/>
  </r>
  <r>
    <x v="239"/>
    <s v="Hull CA"/>
    <s v="Irvine"/>
    <s v="Bobbi"/>
    <s v="Email"/>
    <s v="Talebian, Sohrab"/>
    <m/>
    <x v="1"/>
    <s v="Beverly Hills CA PC2"/>
    <x v="3"/>
    <m/>
    <x v="0"/>
    <x v="1356"/>
    <x v="1678"/>
    <s v="COC&gt;1 year"/>
    <s v="2015 construction started - insured w/Lex. Agent is quoting renewal. $10,000 ded.  RM shows Renie brush.  FireLine shows Extreme - 14/no fuels/steep/limited access. 10/15 photo show construction starting. Agent  surcharged for brush. Area is all fenced off. Online shows Fischer Construction at this address. Insured is an engineer. "/>
    <x v="0"/>
    <s v="Asked about business on property - online search shows Fischer Construction at this address.  Between this, and that insured is an engineer, is insured acting as GC or doing any of the construction. Do we have room to add a surcharge?  2nd year of construction - we historically haven't had great results with.  Would like to see at least 10%."/>
    <s v="Approved pending confirmation that the insured is not Fischer Construction, and they are not acting as GC or doing construction. Reply from agent was still a little sketchy.  Added 10% s/c"/>
    <m/>
    <s v="Patterson"/>
    <m/>
    <m/>
    <n v="0"/>
  </r>
  <r>
    <x v="747"/>
    <s v="Hull CA"/>
    <s v="Irvine"/>
    <s v="Alison"/>
    <s v="Email"/>
    <s v="Aframian, Behrouz"/>
    <m/>
    <x v="2"/>
    <s v="La Canada "/>
    <x v="1"/>
    <m/>
    <x v="11"/>
    <x v="1357"/>
    <x v="1826"/>
    <s v="TIV"/>
    <s v="2014 home. Nice online pics. Not in brush. Full time rental."/>
    <x v="1"/>
    <s v="10/27/16 Agent called back asking for lower rate. (we are at $0.17). They wanted possibly higher deductible. Alison and I agreed we are very competitive and don't want to go any lower.  11/2/16 Alison emailed revised app back changing named insured and saying risk is actually vacant. Reduced TIV to $3.3M. Debtor filed bankruptcy to preclude insured from foreclosing. Now home is in both names. Very sketchy situation. Declining to write this."/>
    <m/>
    <m/>
    <s v="Patterson"/>
    <m/>
    <m/>
    <n v="1"/>
  </r>
  <r>
    <x v="186"/>
    <s v="SCU"/>
    <s v="CO"/>
    <s v="Allison"/>
    <s v="Email"/>
    <s v="Bookmyer"/>
    <s v="Scott &amp; Kelly"/>
    <x v="5"/>
    <s v="Cherry Hills"/>
    <x v="19"/>
    <m/>
    <x v="8"/>
    <x v="1358"/>
    <x v="1827"/>
    <s v="TIV"/>
    <s v="Current rental, now vacant. Will do renovations in about 6 months. Requested Ho3 vacant"/>
    <x v="3"/>
    <s v=" Approved as DP3 vacant, will need to rewrite to builders risk when ready"/>
    <m/>
    <m/>
    <s v="Burdine"/>
    <m/>
    <m/>
    <n v="0"/>
  </r>
  <r>
    <x v="189"/>
    <s v="Burns"/>
    <s v="MI"/>
    <s v="Danielle"/>
    <s v="Email"/>
    <s v="Bookmyer (AKA The Freiburg Pact LLC)"/>
    <s v="Scott &amp; Kelly"/>
    <x v="5"/>
    <s v="Cherry Hills"/>
    <x v="19"/>
    <m/>
    <x v="8"/>
    <x v="1358"/>
    <x v="1827"/>
    <s v="TIV"/>
    <s v="Current rental, now vacant. Will do renovations in about 6 months. Agent asking to match SCU competing quote which we approved on 12/4/17."/>
    <x v="3"/>
    <s v="Approved with VMGA rate. Advised we can't match Markel competitor quotes."/>
    <m/>
    <m/>
    <s v="Patterson"/>
    <m/>
    <m/>
    <n v="0"/>
  </r>
  <r>
    <x v="130"/>
    <s v="Hull Irvine"/>
    <m/>
    <s v="Alison/Bobbi"/>
    <s v="Email/Call"/>
    <s v="Kenneth &amp; Molora Vadnais Living Trust"/>
    <m/>
    <x v="5"/>
    <s v="Santa Barbara"/>
    <x v="1"/>
    <m/>
    <x v="0"/>
    <x v="1359"/>
    <x v="40"/>
    <s v="TIV"/>
    <s v="1925 home updated, nice condition but will have MFRC. RC came in at Cov A $5.2M but agent estimates MFRC at $800/SF=$4.2M. Can they insure for 100% MFRC.  Not in brush. System updates, breakers. Beautiful online pictures. Custom features."/>
    <x v="4"/>
    <s v="Policy forms support. Co-ins is figured against MFRC so I see no reason why we can't insured for MFRC."/>
    <m/>
    <m/>
    <s v="Patterson"/>
    <m/>
    <m/>
    <n v="0"/>
  </r>
  <r>
    <x v="229"/>
    <s v="Hull CA"/>
    <s v="Stockton"/>
    <s v="Melissa"/>
    <s v="Email"/>
    <s v="Polizzi/Rose/Kuemmeler Trusts"/>
    <m/>
    <x v="1"/>
    <s v="Alamo CA PC2"/>
    <x v="3"/>
    <m/>
    <x v="0"/>
    <x v="1360"/>
    <x v="1828"/>
    <s v="TIV&gt;$3M"/>
    <s v="COC started in 2015 w/ Lex. Renewing and agent is trying to move to us. Home is fully alarmed. In brush zone."/>
    <x v="0"/>
    <s v="Typically we like new COC’s that are expected to take one year to complete.  Can you fill me in on this situation?  I’m assuming we are going into the second year of construction?  Any info as to why it is taking this amount of time?  How far along are they?  (What work is left?)  Will this be owner occupied upon completion?  When is that expected?"/>
    <s v="Per Mel, with Lex, larger home taking longer. Due to complete and be owner occupied in November."/>
    <m/>
    <s v="Patterson"/>
    <m/>
    <m/>
    <n v="0"/>
  </r>
  <r>
    <x v="165"/>
    <s v="Hull Stockton"/>
    <s v="CA"/>
    <s v="Lisa"/>
    <s v="Email"/>
    <s v="Sarti"/>
    <s v="Ed"/>
    <x v="1"/>
    <s v="Inverness"/>
    <x v="1"/>
    <m/>
    <x v="9"/>
    <x v="1361"/>
    <x v="1623"/>
    <s v="TIV"/>
    <s v="New construction 2017 risk in brush. Insd is doctor. PC3 confirmed - hydrant per app. "/>
    <x v="3"/>
    <s v="completed and acceptable builders risk quest."/>
    <m/>
    <m/>
    <s v="Patterson"/>
    <m/>
    <m/>
    <n v="0"/>
  </r>
  <r>
    <x v="238"/>
    <s v="Hull CA"/>
    <s v="Stockton"/>
    <s v="Kirk"/>
    <s v="Email"/>
    <s v="Meijia Investments Ltd"/>
    <m/>
    <x v="0"/>
    <s v="Arcadia CA PC3"/>
    <x v="3"/>
    <m/>
    <x v="0"/>
    <x v="1362"/>
    <x v="1829"/>
    <s v="TIV&gt;$3M"/>
    <s v="2012 beautiful home, alarmed. No brush. $10K ded. 17,000 SF. Indoor pool, tennis."/>
    <x v="2"/>
    <s v="Questions: Why coml app? Cov A sufficient? Need LLC form"/>
    <m/>
    <m/>
    <s v="Patterson"/>
    <m/>
    <m/>
    <n v="0"/>
  </r>
  <r>
    <x v="729"/>
    <s v="Hull Irvine"/>
    <s v="CA"/>
    <s v="Alison"/>
    <s v="Email"/>
    <s v="Jacobs"/>
    <m/>
    <x v="6"/>
    <s v="Pacific Palisades"/>
    <x v="1"/>
    <m/>
    <x v="0"/>
    <x v="1363"/>
    <x v="395"/>
    <s v="TIV"/>
    <s v="Nice oceanside property bought in foreclosure - going to be gutted and rehabbed"/>
    <x v="4"/>
    <s v="Conditional on work starting in 45 days."/>
    <m/>
    <m/>
    <s v="May"/>
    <m/>
    <m/>
    <n v="0"/>
  </r>
  <r>
    <x v="233"/>
    <s v="Hull CO"/>
    <s v="Charlotte"/>
    <s v="Alia"/>
    <s v="Email"/>
    <s v="Charleston BR"/>
    <m/>
    <x v="1"/>
    <s v="Charleston SC"/>
    <x v="3"/>
    <m/>
    <x v="0"/>
    <x v="1364"/>
    <x v="36"/>
    <s v="Rate reduction"/>
    <s v="Looking for a $0.75 rate on this 1847 renovation in Charleston. Agency has an agent who specializes in insuring these.  $0.75 rate is $33,750. AAL $8,737.  First row ocean front.  Beautiful building per online photos.  B&amp;B per online."/>
    <x v="2"/>
    <s v="Per AAL, $0.75 rate is fine. Advised agent the app needs to be submitted if they want risk approval. Also advised of our $5M max. Online lists as bed and breakfast. Need info."/>
    <m/>
    <m/>
    <s v="Patterson"/>
    <m/>
    <m/>
    <n v="0"/>
  </r>
  <r>
    <x v="515"/>
    <s v="Hull CA"/>
    <s v="Stockton"/>
    <s v="Kirk"/>
    <s v="Email"/>
    <s v="Ng, Benjamin"/>
    <m/>
    <x v="1"/>
    <s v="San Francisco CA PC2"/>
    <x v="3"/>
    <m/>
    <x v="0"/>
    <x v="1364"/>
    <x v="36"/>
    <s v="Rate reduction"/>
    <s v="1921 home being remodeled. They are 20 months in and not done. Original policy is being nonrenewed due to length of time. Agent wants us to match $11,000 prem. (Our quote $12,201). This is not a class of business that has been great for us, so I'm not comfortable doing a credit. I did allow terms at the quoted rate."/>
    <x v="3"/>
    <s v="Approved subject to the quoted rate."/>
    <m/>
    <m/>
    <s v="Patterson"/>
    <m/>
    <m/>
    <n v="0"/>
  </r>
  <r>
    <x v="583"/>
    <s v="Burns"/>
    <s v="MI"/>
    <s v="Jill"/>
    <s v="Email"/>
    <s v="Dean"/>
    <s v="Bob"/>
    <x v="5"/>
    <s v="Baton Rouge"/>
    <x v="0"/>
    <m/>
    <x v="8"/>
    <x v="1364"/>
    <x v="1681"/>
    <s v="TIV"/>
    <s v="Home built in 1880s, home has been completely renovated;$25k option NAMED STORM 3% WATER DAMAGE AOP $25,000 V&amp;MM "/>
    <x v="3"/>
    <s v="reminded of TIV limits; home has ornate features according to online review so requested 10% surcharge (we are lower than next lowest quote)"/>
    <m/>
    <m/>
    <s v="Burdine"/>
    <m/>
    <m/>
    <n v="0"/>
  </r>
  <r>
    <x v="747"/>
    <s v="Hull CA"/>
    <s v="Irvine"/>
    <s v="Alex"/>
    <s v="Email"/>
    <s v="Marsh, Ryan"/>
    <m/>
    <x v="1"/>
    <s v="Calabasas"/>
    <x v="1"/>
    <m/>
    <x v="0"/>
    <x v="1364"/>
    <x v="1681"/>
    <s v="TIV"/>
    <s v="2008 home under interior and cosmetic construction, no wiring. Home is alarmed and has sprinklers. Licensed GC. Will be primary."/>
    <x v="3"/>
    <s v="Need to make deductibles consistent.  $10K AOP, $5K Water, $2500 theft per quote."/>
    <m/>
    <m/>
    <s v="Patterson"/>
    <m/>
    <m/>
    <n v="0"/>
  </r>
  <r>
    <x v="20"/>
    <s v="JM Wilson"/>
    <s v="MI"/>
    <s v="Cheryl"/>
    <s v="Email"/>
    <s v="Cafaro Family Trust"/>
    <s v="Cafaro Family Trust"/>
    <x v="5"/>
    <s v="Brook Field"/>
    <x v="40"/>
    <m/>
    <x v="6"/>
    <x v="1364"/>
    <x v="1782"/>
    <s v="Losses"/>
    <s v="accidental fire by owners boyfriend (Owner passed away in fire), home now in name of fire. Caretaker at property several times a week. No alarms."/>
    <x v="2"/>
    <s v="The build year of this property is 1960, so we would need to review an Older Home Questionnaire. It was noted that they have a burglar alarm, but at this TIV (over $2M) we require a central station fire and central station burglar alarm.  A full house sprinkler is acceptable in lieu of a fire alarm.  If no central station fire alarm or sprinkler, the AOP deductible must be a minimum of $10,000.  If no central station burglar alarm, theft deductible must be increased to a minimum of $10,000. Also advised of max TIV"/>
    <m/>
    <m/>
    <s v="Burdine"/>
    <m/>
    <m/>
    <n v="0"/>
  </r>
  <r>
    <x v="797"/>
    <s v="Hull Irvine"/>
    <s v="CA"/>
    <s v="Bobbi"/>
    <s v="Email"/>
    <s v="1001 Sky View LLC"/>
    <s v="1001 Sky View LLC"/>
    <x v="6"/>
    <s v="Los Angeles"/>
    <x v="1"/>
    <m/>
    <x v="8"/>
    <x v="1365"/>
    <x v="1830"/>
    <s v="TIV"/>
    <s v="1955 build, system updates 2010; will get COC and GC confirmation at bind, no brush, CSFB alarms, insured renovating then selling"/>
    <x v="4"/>
    <s v="Reminded of $5M TIV. "/>
    <m/>
    <m/>
    <s v="Burdine"/>
    <m/>
    <m/>
    <n v="0"/>
  </r>
  <r>
    <x v="348"/>
    <s v="Burns"/>
    <s v="MI"/>
    <s v="Delta"/>
    <s v="Email"/>
    <s v="Moeller"/>
    <s v="Deborah"/>
    <x v="5"/>
    <m/>
    <x v="28"/>
    <m/>
    <x v="8"/>
    <x v="1366"/>
    <x v="1831"/>
    <s v="TIV"/>
    <s v="Frame construction, built in 2016, Full C/S alarms, no losses, PC2. Agt will remind branch of TIV limit after inspection, etc"/>
    <x v="4"/>
    <s v="Photos, ISO, loss history OK"/>
    <m/>
    <m/>
    <s v="Burdine"/>
    <m/>
    <m/>
    <n v="0"/>
  </r>
  <r>
    <x v="556"/>
    <s v="Hull CA"/>
    <s v="Irvine"/>
    <s v="Alison"/>
    <s v="Email"/>
    <s v="House, Eric"/>
    <m/>
    <x v="1"/>
    <s v="Santa Ana"/>
    <x v="1"/>
    <m/>
    <x v="9"/>
    <x v="1367"/>
    <x v="37"/>
    <s v="No prior coverage"/>
    <s v="Insured was self insuring the new build. Now they are getting a loan and need a policy. General contractor and professional build - high value. Agent added 15% surcharge due to no prior."/>
    <x v="4"/>
    <m/>
    <m/>
    <m/>
    <s v="Patterson"/>
    <m/>
    <m/>
    <n v="0"/>
  </r>
  <r>
    <x v="118"/>
    <s v="Burns"/>
    <s v="MI"/>
    <s v="Danielle"/>
    <s v="Email"/>
    <s v="RJS Aspen LLC"/>
    <m/>
    <x v="6"/>
    <s v="Aspen "/>
    <x v="19"/>
    <m/>
    <x v="0"/>
    <x v="1367"/>
    <x v="1748"/>
    <s v="TIV"/>
    <s v="1987 home new purchase. Prev updated in 1994. Cosmetic renovations now and home will be sold. Pending Corp/LLC quest."/>
    <x v="3"/>
    <s v="Corp LLC Form"/>
    <m/>
    <m/>
    <s v="Patterson"/>
    <m/>
    <m/>
    <n v="0"/>
  </r>
  <r>
    <x v="175"/>
    <s v="Hull Irvine"/>
    <s v="CA"/>
    <s v="Alex"/>
    <s v="Call"/>
    <s v="Friedmann"/>
    <s v="Jeffrey"/>
    <x v="6"/>
    <s v="Sherman Oaks "/>
    <x v="1"/>
    <m/>
    <x v="8"/>
    <x v="1368"/>
    <x v="0"/>
    <s v="Occupancy"/>
    <s v="Insured is purchasing 11/6 and renting back to current owner for 3 months. Then renovating to sell for 9 months. Agent wants to present a blended rated policy that won't have to be endorsed except for policy forms and limits when reno starts (Lloyds does this.)"/>
    <x v="3"/>
    <s v="Agent decided against blended rate due to big price difference between rental and vacant reno. Noticed ivy on walls in online photos - must be removed. // 11/2 Alex asked if they kept the vines w/a $50K water damage ded would we accept.  I looked at pics and agreed. Vines are on a small part of house and on garage."/>
    <m/>
    <m/>
    <s v="Patterson"/>
    <m/>
    <m/>
    <n v="0"/>
  </r>
  <r>
    <x v="400"/>
    <s v="Hull Irvine"/>
    <s v="CA"/>
    <s v="Michelle"/>
    <m/>
    <s v="Behr"/>
    <s v="Wolfgang"/>
    <x v="6"/>
    <m/>
    <x v="3"/>
    <m/>
    <x v="0"/>
    <x v="1369"/>
    <x v="1832"/>
    <s v="TIV"/>
    <s v="December effective policy approved previously. Michelle discovered cov B is about $400k now which makes this ineligible"/>
    <x v="1"/>
    <s v="We cannot insure any risk for greater than $5M. Noted they had to move this policy immediately. Melissa set pend to make sure."/>
    <s v=" "/>
    <m/>
    <s v="Lazovik"/>
    <m/>
    <m/>
    <n v="1"/>
  </r>
  <r>
    <x v="261"/>
    <s v="Hull CA"/>
    <s v="Irvine"/>
    <s v="Alison"/>
    <s v="Email"/>
    <s v="Hajj, Walid"/>
    <m/>
    <x v="1"/>
    <s v="Beverly Hills"/>
    <x v="65"/>
    <m/>
    <x v="11"/>
    <x v="1370"/>
    <x v="1833"/>
    <s v="TIV"/>
    <s v="1978 home under construction, no demo. Agent checking to see if we can go over $5M."/>
    <x v="1"/>
    <s v="$5M is a reinsurer limit we can't break. Reviewed risk and it is okay, in the event coverages are re-evaluated."/>
    <m/>
    <m/>
    <s v="Patterson"/>
    <m/>
    <m/>
    <n v="1"/>
  </r>
  <r>
    <x v="604"/>
    <s v="Burns"/>
    <s v="MI"/>
    <s v="Jill"/>
    <s v="Email"/>
    <s v="Wilson"/>
    <s v="Robert Allen &amp; Valerie"/>
    <x v="0"/>
    <s v="Pebble Beach"/>
    <x v="1"/>
    <m/>
    <x v="8"/>
    <x v="1371"/>
    <x v="1373"/>
    <s v="TIV"/>
    <s v="PC2, frame, secondary, built in 1982, located in CA, 2 losses in 2017-1 water-intrusion at windows, 1 water-pipe burst"/>
    <x v="3"/>
    <s v="Water damage ded of at least $10K (all windows in house have been fixed); reminded of max TIV so no future increases avail, include inflation protection"/>
    <m/>
    <m/>
    <s v="Burdine"/>
    <m/>
    <m/>
    <n v="0"/>
  </r>
  <r>
    <x v="469"/>
    <s v="Hull Irvine"/>
    <s v="CA"/>
    <s v="Alex"/>
    <s v="Email"/>
    <s v="400 N Bristol LLC"/>
    <m/>
    <x v="5"/>
    <s v="Los Angeles"/>
    <x v="1"/>
    <m/>
    <x v="8"/>
    <x v="1371"/>
    <x v="40"/>
    <s v="TIV"/>
    <s v="New construction just completed which will be put up for sale. $5M seems to be the valid RC."/>
    <x v="3"/>
    <s v="Advised agent we can approve $5M exactly, but if the inspection comes back the risk will have to be moved. Also, if it doesn't sell and stays on the market for some time, inflation would have to be applied which would also force it to be moved."/>
    <m/>
    <m/>
    <s v="Patterson"/>
    <m/>
    <m/>
    <n v="0"/>
  </r>
  <r>
    <x v="839"/>
    <s v="Burns"/>
    <s v="MI"/>
    <s v="Danielle"/>
    <s v="Email"/>
    <s v="DHEERAJ VERMA"/>
    <m/>
    <x v="26"/>
    <m/>
    <x v="23"/>
    <m/>
    <x v="0"/>
    <x v="1371"/>
    <x v="40"/>
    <s v="TIV"/>
    <s v="5% completed, expected completion Jan 2019, no alarms, no lights, no gated community, 5 acres"/>
    <x v="1"/>
    <s v="Declined based on stage of build and expected completion date (which likely will be pushed back)combined with max TIV for Coverage A only, declined"/>
    <m/>
    <m/>
    <s v="Burdine"/>
    <m/>
    <m/>
    <n v="1"/>
  </r>
  <r>
    <x v="143"/>
    <s v="Burns"/>
    <s v="MI"/>
    <s v="Delta"/>
    <s v="Email"/>
    <s v="530 Divide Drive LLC"/>
    <m/>
    <x v="5"/>
    <s v="Snowmass Village"/>
    <x v="19"/>
    <m/>
    <x v="2"/>
    <x v="1371"/>
    <x v="40"/>
    <s v="TIV"/>
    <s v="1998 home w/updates and alarms, no losses. Agt aware of $5M TIV Limit."/>
    <x v="4"/>
    <m/>
    <m/>
    <n v="8"/>
    <s v="Patterson"/>
    <m/>
    <m/>
    <n v="0"/>
  </r>
  <r>
    <x v="778"/>
    <s v="XS Brokers"/>
    <s v="MA"/>
    <s v="Barbara"/>
    <s v="Email"/>
    <s v="Chase"/>
    <s v="Clifford &amp; Danielle"/>
    <x v="1"/>
    <s v="Tuftonboro "/>
    <x v="52"/>
    <m/>
    <x v="4"/>
    <x v="1371"/>
    <x v="1834"/>
    <s v="TIV"/>
    <s v="New construction in PC 9/10. Didn't dig too far. Nothing adverse on app."/>
    <x v="1"/>
    <s v="Outside our TIV max of $5M and may be outside appetite for newness of program. Cc'd Chris."/>
    <m/>
    <n v="12"/>
    <s v="Patterson"/>
    <m/>
    <m/>
    <n v="1"/>
  </r>
  <r>
    <x v="378"/>
    <s v="Hull Charlotte"/>
    <s v="NC"/>
    <s v="Brittney"/>
    <m/>
    <s v="Hammond"/>
    <s v="Stephen &amp; Mary Tilt"/>
    <x v="0"/>
    <s v="Charleston"/>
    <x v="20"/>
    <s v="29401"/>
    <x v="11"/>
    <x v="1372"/>
    <x v="1835"/>
    <s v="TIV"/>
    <s v="1895 risk w/updates. Agt referring as rater won't give rate, risk has a flat roof."/>
    <x v="1"/>
    <s v="Advised $5M TIV is over our max. Also, yoc is a submit and must be 100% gut/reno."/>
    <m/>
    <m/>
    <s v="Patterson"/>
    <m/>
    <m/>
    <n v="1"/>
  </r>
  <r>
    <x v="666"/>
    <s v="JM Wilson"/>
    <s v="MI"/>
    <s v="Cheryl"/>
    <s v="Email"/>
    <s v="Brown "/>
    <s v="Alan"/>
    <x v="0"/>
    <s v="Detroit"/>
    <x v="8"/>
    <m/>
    <x v="8"/>
    <x v="1373"/>
    <x v="1834"/>
    <s v="Condition"/>
    <s v="1917 home w/updates. New purchase. Ornate home in solid condition with some dry rot, cracks, and water damage. Overall has potential. Insured is repairing. Cancelled by Lloyds due to condition and no central station fire alarm."/>
    <x v="1"/>
    <s v="TIV too high. Reviewed possible terms w/Cheryl if we could have taken it. "/>
    <m/>
    <m/>
    <s v="Patterson"/>
    <m/>
    <m/>
    <n v="1"/>
  </r>
  <r>
    <x v="840"/>
    <s v="Quaker"/>
    <s v="MA"/>
    <s v="Austin"/>
    <m/>
    <s v="Wolf"/>
    <s v="Whitney"/>
    <x v="5"/>
    <s v="Newport   "/>
    <x v="58"/>
    <s v="02840"/>
    <x v="0"/>
    <x v="1374"/>
    <x v="1836"/>
    <s v="TIV"/>
    <s v="TIV over $5M."/>
    <x v="1"/>
    <s v="Advised agent we don't write over $5M."/>
    <m/>
    <m/>
    <s v="Patterson"/>
    <m/>
    <m/>
    <n v="1"/>
  </r>
  <r>
    <x v="840"/>
    <s v="AmWINS"/>
    <s v="NC"/>
    <s v="Frances"/>
    <m/>
    <s v="Buttitta"/>
    <s v="Dominic"/>
    <x v="0"/>
    <s v="Barrington Hills"/>
    <x v="4"/>
    <s v="60010"/>
    <x v="0"/>
    <x v="1375"/>
    <x v="1837"/>
    <s v="TIV"/>
    <s v="TIV over $5M."/>
    <x v="1"/>
    <s v="Advised agent we don’t write over $5M. Cc'd Missy and Bethany."/>
    <m/>
    <m/>
    <s v="Patterson"/>
    <m/>
    <m/>
    <n v="1"/>
  </r>
  <r>
    <x v="518"/>
    <s v="Hull Horsham"/>
    <s v="PA"/>
    <s v="Tamika"/>
    <s v="Call"/>
    <s v="4 Lemoye Dr Assoc LLC"/>
    <m/>
    <x v="16"/>
    <s v="Cape May"/>
    <x v="9"/>
    <m/>
    <x v="5"/>
    <x v="1376"/>
    <x v="0"/>
    <s v="Builders Risk"/>
    <s v="1900 dwelling with updates within 1000' of water. Electrician scheduled to come in this afternoon after 1:00 closing to remove fuses and knob &amp; tube and replace w/breakers and new wire. Reno involves this and HVAC only. No other renovations planned. .60-.65 rate. "/>
    <x v="4"/>
    <s v="We have a rule, no reno within 2 miles of coast. Online photos show very nice exterior. Somewhat dated interior but good condition. Seems like a good risk with a good rate. //9/28 risk is not knob &amp; tube, it is circuit breakers. Change is to HVAC only. Does not need to be builders risk. Will be secondary only."/>
    <m/>
    <n v="23"/>
    <s v="Patterson"/>
    <m/>
    <m/>
    <n v="0"/>
  </r>
  <r>
    <x v="748"/>
    <s v="Hull Horsham"/>
    <s v="PA"/>
    <s v="Tamika"/>
    <s v="Email"/>
    <s v="Chico"/>
    <s v="Samuel"/>
    <x v="0"/>
    <m/>
    <x v="26"/>
    <m/>
    <x v="4"/>
    <x v="1377"/>
    <x v="1838"/>
    <s v="TIV"/>
    <s v="Lloyds renewal, no losses, monitored alarms, 6.2 miles from FD"/>
    <x v="1"/>
    <s v="Reminded of Program max TIV"/>
    <m/>
    <m/>
    <s v="Burdine"/>
    <m/>
    <m/>
    <n v="1"/>
  </r>
  <r>
    <x v="532"/>
    <s v="SCU"/>
    <s v="CO"/>
    <s v="Allison"/>
    <s v="Email"/>
    <s v="Gardner, Daniel"/>
    <m/>
    <x v="167"/>
    <s v="Denver "/>
    <x v="19"/>
    <m/>
    <x v="3"/>
    <x v="1378"/>
    <x v="1839"/>
    <s v="74 units"/>
    <s v="Rental homes around the Denver area. All are full time rental, no business. Reviewed w/Jeff."/>
    <x v="3"/>
    <m/>
    <m/>
    <m/>
    <s v="Patterson"/>
    <m/>
    <m/>
    <n v="0"/>
  </r>
  <r>
    <x v="677"/>
    <s v="JM Wilson"/>
    <s v="MI"/>
    <s v="Cheryl"/>
    <s v="Email"/>
    <s v="Evans"/>
    <s v="Shawn &amp; Sara"/>
    <x v="0"/>
    <s v="Russell"/>
    <x v="28"/>
    <m/>
    <x v="0"/>
    <x v="1379"/>
    <x v="1840"/>
    <s v="Occupancy/Use"/>
    <s v="2 homes, both in KS, 96 acres on first, 217 acres of second"/>
    <x v="4"/>
    <s v="no farming, livestock, just land for personal use"/>
    <m/>
    <m/>
    <s v="Burdine"/>
    <m/>
    <m/>
    <n v="0"/>
  </r>
  <r>
    <x v="93"/>
    <s v="Bolton"/>
    <s v="MI"/>
    <s v="Chris"/>
    <s v="Email"/>
    <s v="Vice, Michael &amp; Fredna"/>
    <m/>
    <x v="0"/>
    <s v="Moss Point"/>
    <x v="16"/>
    <m/>
    <x v="3"/>
    <x v="1380"/>
    <x v="1311"/>
    <s v="Acreage"/>
    <s v="2007 home on 110 acres, &quot;no hunting or anything&quot;. No online photos. Central fire &amp; burglar alarms"/>
    <x v="3"/>
    <s v="• Confirmation the home is situated on the property where it does not increase FD response time to &gt;15 minutes total.  _x000a_• Emergency vehicles can navigate the driveway to access the home on the property with no issue._x000a_• No business use, no leasing acreage to farmers_x000a_"/>
    <m/>
    <m/>
    <s v="Patterson"/>
    <m/>
    <m/>
    <n v="0"/>
  </r>
  <r>
    <x v="45"/>
    <s v="Burns"/>
    <s v="MI"/>
    <s v="Alexa"/>
    <s v="Email"/>
    <s v="Shivpuri"/>
    <s v="Sanjay"/>
    <x v="0"/>
    <s v="South Barrington"/>
    <x v="4"/>
    <m/>
    <x v="0"/>
    <x v="1381"/>
    <x v="1841"/>
    <s v="Losses"/>
    <s v="Brick home built in 1993. Repairs from fire getting wrapped up for effective November policy. Indoor pool."/>
    <x v="3"/>
    <s v="Provided the repairs are completed, the home looks good. Asked for roof exclusion if not completely replaced as roof would be 25 years old. TIV in app is much larger than the actual replacement value. Approve the replacement cost"/>
    <m/>
    <m/>
    <s v="Lazovik"/>
    <m/>
    <m/>
    <n v="0"/>
  </r>
  <r>
    <x v="32"/>
    <s v="RPS Covington"/>
    <s v="LA"/>
    <s v="Hillary"/>
    <s v="Email"/>
    <s v="Celtic Build LLC"/>
    <s v="Celtic Build LLC"/>
    <x v="0"/>
    <s v="New Orleans"/>
    <x v="0"/>
    <m/>
    <x v="8"/>
    <x v="908"/>
    <x v="0"/>
    <s v="Age of Home"/>
    <s v="1868 build year, updates to home. Doesn't appear to be complete rebuild"/>
    <x v="1"/>
    <s v="For a home with a build date prior to 1900, we would require a complete gut/rebuild. While there may have been updates to the home, it doesn’t appear it was completely gutted down to the studs. If it actually was completely redone, please provide additional specific information."/>
    <m/>
    <m/>
    <s v="Burdine"/>
    <m/>
    <m/>
    <n v="1"/>
  </r>
  <r>
    <x v="515"/>
    <s v="Burns"/>
    <s v="MI"/>
    <s v="Danielle"/>
    <s v="Call"/>
    <s v="LJD Limited Partnership"/>
    <m/>
    <x v="168"/>
    <s v="MI"/>
    <x v="3"/>
    <m/>
    <x v="0"/>
    <x v="264"/>
    <x v="0"/>
    <s v="Open bankruptcy"/>
    <s v="Insured has an open bankruptcy. Wants to list the court as an Addl Interest. 2 condos in MI - one is occupied by father, one &quot;rented&quot; to son. Agent knows the insureds very well. Good agency to Burns. Danielle reviewed with Bill. In process of moving money around to help another leg of their businesses, they shorted themselves and missed a mortgage payment. The filed on June 5 and expect to have all settled before hearing date on July 27. Short term issue.  No concern with maintaining the home, or moral hazard. Advised Danielle we should check insurance score. She will send info for review."/>
    <x v="2"/>
    <s v="Insurance score is 20% credit range. The repo/foreclosure is showing on the report along with a $4K AT&amp;T Collection and several late pays. Even with that, they still have a good score. I shared w/Danielle, and they still want to proceed with an approval, so I agreed to support them."/>
    <m/>
    <m/>
    <s v="Patterson"/>
    <m/>
    <m/>
    <n v="0"/>
  </r>
  <r>
    <x v="607"/>
    <s v="ASL"/>
    <s v="VA"/>
    <s v="Charity"/>
    <s v="Email"/>
    <s v="Sheffield"/>
    <s v="Jeremiah"/>
    <x v="0"/>
    <s v="Virginia Beach"/>
    <x v="10"/>
    <m/>
    <x v="2"/>
    <x v="475"/>
    <x v="750"/>
    <s v="Heat Source"/>
    <s v="free standing Wood stove, secondary heat source, 1987 build, updated, PC 1-5"/>
    <x v="3"/>
    <s v="Subject to professional installation and suggested suppl during inspection"/>
    <m/>
    <m/>
    <s v="Burdine"/>
    <m/>
    <m/>
    <n v="0"/>
  </r>
  <r>
    <x v="404"/>
    <s v="Hull Irvine"/>
    <s v="CA"/>
    <s v="Bobbi"/>
    <s v="Email"/>
    <s v="Plant"/>
    <m/>
    <x v="0"/>
    <s v="Belvedere"/>
    <x v="1"/>
    <m/>
    <x v="11"/>
    <x v="1382"/>
    <x v="1842"/>
    <s v="TIV"/>
    <s v="No central station alarms, but insured wants $10K AOP ded"/>
    <x v="3"/>
    <s v="Approved with $10K AOP"/>
    <m/>
    <m/>
    <s v="Burdine"/>
    <m/>
    <m/>
    <n v="0"/>
  </r>
  <r>
    <x v="332"/>
    <s v="Hull Irvine"/>
    <s v="CA"/>
    <s v="Kelly"/>
    <m/>
    <s v="Meirson"/>
    <s v="Efi &amp; Eva"/>
    <x v="0"/>
    <s v="Tarzana"/>
    <x v="1"/>
    <s v="91356"/>
    <x v="0"/>
    <x v="0"/>
    <x v="1705"/>
    <s v="TIV"/>
    <s v="Agt submitting for approval due to TIV, not in brush."/>
    <x v="1"/>
    <s v="We changed guidelines to $3M max. Agt forgot about the change."/>
    <m/>
    <m/>
    <s v="Patterson"/>
    <m/>
    <m/>
    <n v="1"/>
  </r>
  <r>
    <x v="538"/>
    <s v="XS Brokers"/>
    <s v="MA"/>
    <s v="Barbara"/>
    <s v="Email"/>
    <s v="Bartelli"/>
    <s v="Edward"/>
    <x v="5"/>
    <s v="New London"/>
    <x v="25"/>
    <m/>
    <x v="6"/>
    <x v="1383"/>
    <x v="1843"/>
    <s v="PC"/>
    <s v="Vacant dwelling for sale, please note I credited premium to reflect 6-mo short term option.  There is a pending offer per Zillow site"/>
    <x v="2"/>
    <s v="we would need to review an Unprotected Questionnaire. The rating is appropriate for a 6 month term. Please be sure they are aware that for a 6-month term there is a 50% Minimum Earned Premium."/>
    <m/>
    <m/>
    <s v="Burdine"/>
    <m/>
    <m/>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4" cacheId="3"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A4:G18" firstHeaderRow="1" firstDataRow="2" firstDataCol="1" rowPageCount="1" colPageCount="1"/>
  <pivotFields count="24">
    <pivotField axis="axisPage" numFmtId="14" multipleItemSelectionAllowed="1" showAll="0">
      <items count="13">
        <item h="1" x="0"/>
        <item h="1" x="1"/>
        <item h="1" x="2"/>
        <item h="1" x="3"/>
        <item h="1" x="4"/>
        <item h="1" x="5"/>
        <item h="1" x="6"/>
        <item h="1" x="7"/>
        <item h="1" x="8"/>
        <item h="1" x="9"/>
        <item x="10"/>
        <item x="11"/>
        <item t="default"/>
      </items>
    </pivotField>
    <pivotField dataField="1" showAll="0"/>
    <pivotField showAll="0"/>
    <pivotField showAll="0"/>
    <pivotField showAll="0"/>
    <pivotField showAll="0"/>
    <pivotField showAll="0"/>
    <pivotField axis="axisRow" showAll="0">
      <items count="170">
        <item x="12"/>
        <item x="26"/>
        <item x="144"/>
        <item x="121"/>
        <item x="120"/>
        <item x="62"/>
        <item x="76"/>
        <item x="71"/>
        <item x="166"/>
        <item x="54"/>
        <item x="69"/>
        <item x="118"/>
        <item x="11"/>
        <item x="67"/>
        <item x="70"/>
        <item x="73"/>
        <item x="28"/>
        <item x="34"/>
        <item x="123"/>
        <item x="101"/>
        <item x="82"/>
        <item x="55"/>
        <item x="20"/>
        <item x="32"/>
        <item x="6"/>
        <item x="106"/>
        <item x="9"/>
        <item x="163"/>
        <item x="136"/>
        <item x="63"/>
        <item x="127"/>
        <item x="80"/>
        <item x="162"/>
        <item x="2"/>
        <item x="18"/>
        <item x="148"/>
        <item x="60"/>
        <item x="164"/>
        <item x="167"/>
        <item x="152"/>
        <item x="113"/>
        <item x="155"/>
        <item x="122"/>
        <item x="43"/>
        <item x="72"/>
        <item x="145"/>
        <item x="132"/>
        <item x="45"/>
        <item x="131"/>
        <item x="87"/>
        <item x="141"/>
        <item x="151"/>
        <item x="68"/>
        <item x="47"/>
        <item x="39"/>
        <item x="5"/>
        <item x="85"/>
        <item x="137"/>
        <item x="17"/>
        <item x="65"/>
        <item x="165"/>
        <item x="129"/>
        <item x="30"/>
        <item x="109"/>
        <item x="90"/>
        <item x="112"/>
        <item x="153"/>
        <item x="142"/>
        <item x="103"/>
        <item x="124"/>
        <item x="143"/>
        <item x="19"/>
        <item x="117"/>
        <item x="150"/>
        <item x="154"/>
        <item x="61"/>
        <item x="95"/>
        <item x="38"/>
        <item x="133"/>
        <item x="36"/>
        <item x="83"/>
        <item x="66"/>
        <item x="135"/>
        <item x="1"/>
        <item x="10"/>
        <item x="24"/>
        <item x="0"/>
        <item x="88"/>
        <item x="104"/>
        <item x="114"/>
        <item x="40"/>
        <item x="139"/>
        <item x="7"/>
        <item x="31"/>
        <item x="41"/>
        <item x="97"/>
        <item x="110"/>
        <item x="116"/>
        <item x="160"/>
        <item x="44"/>
        <item x="102"/>
        <item x="99"/>
        <item x="157"/>
        <item x="161"/>
        <item x="33"/>
        <item x="4"/>
        <item x="3"/>
        <item x="128"/>
        <item x="21"/>
        <item x="107"/>
        <item x="77"/>
        <item x="149"/>
        <item x="15"/>
        <item x="115"/>
        <item x="46"/>
        <item x="98"/>
        <item x="156"/>
        <item x="159"/>
        <item x="74"/>
        <item x="16"/>
        <item x="108"/>
        <item x="147"/>
        <item x="25"/>
        <item x="23"/>
        <item x="13"/>
        <item x="111"/>
        <item x="119"/>
        <item x="29"/>
        <item x="140"/>
        <item x="84"/>
        <item x="75"/>
        <item x="14"/>
        <item x="146"/>
        <item x="96"/>
        <item x="91"/>
        <item x="134"/>
        <item x="51"/>
        <item x="22"/>
        <item x="35"/>
        <item x="42"/>
        <item x="53"/>
        <item x="52"/>
        <item x="37"/>
        <item x="27"/>
        <item x="168"/>
        <item x="59"/>
        <item x="58"/>
        <item x="93"/>
        <item x="56"/>
        <item x="86"/>
        <item x="100"/>
        <item x="138"/>
        <item x="57"/>
        <item x="158"/>
        <item x="125"/>
        <item x="79"/>
        <item x="92"/>
        <item x="78"/>
        <item x="105"/>
        <item x="81"/>
        <item x="89"/>
        <item x="48"/>
        <item x="130"/>
        <item x="64"/>
        <item x="94"/>
        <item x="126"/>
        <item x="49"/>
        <item x="50"/>
        <item x="8"/>
        <item t="default"/>
      </items>
    </pivotField>
    <pivotField showAll="0"/>
    <pivotField multipleItemSelectionAllowed="1" showAll="0" sortType="descending">
      <items count="67">
        <item h="1" x="65"/>
        <item h="1" x="53"/>
        <item h="1" x="63"/>
        <item h="1" x="14"/>
        <item h="1" x="37"/>
        <item h="1" x="7"/>
        <item h="1" x="1"/>
        <item h="1" x="46"/>
        <item h="1" x="19"/>
        <item h="1" x="42"/>
        <item h="1" x="61"/>
        <item h="1" x="25"/>
        <item x="56"/>
        <item h="1" x="24"/>
        <item h="1" x="32"/>
        <item h="1" x="59"/>
        <item x="18"/>
        <item h="1" x="57"/>
        <item h="1" x="34"/>
        <item x="45"/>
        <item h="1" x="4"/>
        <item h="1" x="54"/>
        <item h="1" x="17"/>
        <item h="1" x="28"/>
        <item h="1" x="27"/>
        <item h="1" x="0"/>
        <item h="1" x="55"/>
        <item h="1" x="21"/>
        <item h="1" x="62"/>
        <item h="1" x="29"/>
        <item h="1" x="6"/>
        <item h="1" x="8"/>
        <item h="1" x="49"/>
        <item h="1" x="31"/>
        <item x="36"/>
        <item x="41"/>
        <item h="1" x="16"/>
        <item h="1" x="50"/>
        <item h="1" x="11"/>
        <item h="1" x="43"/>
        <item x="38"/>
        <item h="1" x="52"/>
        <item h="1" x="9"/>
        <item h="1" x="15"/>
        <item h="1" x="39"/>
        <item h="1" x="44"/>
        <item h="1" x="40"/>
        <item h="1" x="60"/>
        <item h="1" x="30"/>
        <item h="1" x="35"/>
        <item h="1" x="2"/>
        <item h="1" x="47"/>
        <item h="1" x="58"/>
        <item h="1" x="20"/>
        <item h="1" x="48"/>
        <item x="5"/>
        <item h="1" x="23"/>
        <item x="22"/>
        <item h="1" x="10"/>
        <item h="1" x="64"/>
        <item h="1" x="13"/>
        <item h="1" x="12"/>
        <item h="1" x="33"/>
        <item h="1" x="26"/>
        <item h="1" x="51"/>
        <item h="1" x="3"/>
        <item t="default"/>
      </items>
      <autoSortScope>
        <pivotArea dataOnly="0" outline="0" fieldPosition="0">
          <references count="1">
            <reference field="4294967294" count="1" selected="0">
              <x v="0"/>
            </reference>
          </references>
        </pivotArea>
      </autoSortScope>
    </pivotField>
    <pivotField showAll="0"/>
    <pivotField multipleItemSelectionAllowed="1" showAll="0">
      <items count="40">
        <item h="1" x="7"/>
        <item h="1" x="11"/>
        <item x="8"/>
        <item h="1" x="9"/>
        <item h="1" x="5"/>
        <item h="1" x="2"/>
        <item h="1" x="3"/>
        <item h="1" x="18"/>
        <item x="14"/>
        <item h="1" x="6"/>
        <item x="4"/>
        <item h="1" x="21"/>
        <item h="1" x="35"/>
        <item h="1" x="36"/>
        <item h="1" x="37"/>
        <item h="1" x="10"/>
        <item h="1" x="38"/>
        <item x="19"/>
        <item x="15"/>
        <item h="1" x="24"/>
        <item h="1" x="17"/>
        <item h="1" x="1"/>
        <item h="1" x="25"/>
        <item h="1" x="31"/>
        <item h="1" x="12"/>
        <item h="1" x="32"/>
        <item h="1" x="26"/>
        <item h="1" x="29"/>
        <item h="1" x="33"/>
        <item h="1" x="27"/>
        <item h="1" x="20"/>
        <item x="13"/>
        <item h="1" x="28"/>
        <item h="1" x="22"/>
        <item h="1" x="30"/>
        <item h="1" x="23"/>
        <item h="1" x="34"/>
        <item h="1" x="16"/>
        <item h="1" x="0"/>
        <item t="default"/>
      </items>
    </pivotField>
    <pivotField numFmtId="3" showAll="0">
      <items count="141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t="default"/>
      </items>
    </pivotField>
    <pivotField numFmtId="3" showAll="0">
      <items count="13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t="default"/>
      </items>
    </pivotField>
    <pivotField showAll="0"/>
    <pivotField showAll="0"/>
    <pivotField axis="axisCol" showAll="0">
      <items count="6">
        <item x="4"/>
        <item x="3"/>
        <item x="0"/>
        <item x="1"/>
        <item x="2"/>
        <item t="default"/>
      </items>
    </pivotField>
    <pivotField showAll="0"/>
    <pivotField showAll="0"/>
    <pivotField showAll="0"/>
    <pivotField showAll="0"/>
    <pivotField showAll="0"/>
    <pivotField showAll="0"/>
    <pivotField showAll="0"/>
  </pivotFields>
  <rowFields count="1">
    <field x="7"/>
  </rowFields>
  <rowItems count="13">
    <i>
      <x v="5"/>
    </i>
    <i>
      <x v="24"/>
    </i>
    <i>
      <x v="33"/>
    </i>
    <i>
      <x v="55"/>
    </i>
    <i>
      <x v="83"/>
    </i>
    <i>
      <x v="86"/>
    </i>
    <i>
      <x v="92"/>
    </i>
    <i>
      <x v="101"/>
    </i>
    <i>
      <x v="105"/>
    </i>
    <i>
      <x v="106"/>
    </i>
    <i>
      <x v="139"/>
    </i>
    <i>
      <x v="168"/>
    </i>
    <i t="grand">
      <x/>
    </i>
  </rowItems>
  <colFields count="1">
    <field x="16"/>
  </colFields>
  <colItems count="6">
    <i>
      <x/>
    </i>
    <i>
      <x v="1"/>
    </i>
    <i>
      <x v="2"/>
    </i>
    <i>
      <x v="3"/>
    </i>
    <i>
      <x v="4"/>
    </i>
    <i t="grand">
      <x/>
    </i>
  </colItems>
  <pageFields count="1">
    <pageField fld="0" hier="-1"/>
  </pageFields>
  <dataFields count="1">
    <dataField name="Count of Agency Name"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 cacheId="2" applyNumberFormats="0" applyBorderFormats="0" applyFontFormats="0" applyPatternFormats="0" applyAlignmentFormats="0" applyWidthHeightFormats="1" dataCaption="Values" grandTotalCaption="Total" updatedVersion="5" minRefreshableVersion="3" useAutoFormatting="1" itemPrintTitles="1" createdVersion="4" indent="0" showHeaders="0" outline="1" outlineData="1" multipleFieldFilters="0">
  <location ref="A3:G55" firstHeaderRow="1" firstDataRow="2" firstDataCol="1"/>
  <pivotFields count="21">
    <pivotField axis="axisCol" dataField="1" numFmtId="165" showAll="0">
      <items count="15">
        <item x="0"/>
        <item x="1"/>
        <item x="2"/>
        <item x="3"/>
        <item x="4"/>
        <item x="5"/>
        <item x="6"/>
        <item x="7"/>
        <item x="8"/>
        <item x="9"/>
        <item x="10"/>
        <item x="11"/>
        <item x="12"/>
        <item x="13"/>
        <item t="default"/>
      </items>
    </pivotField>
    <pivotField axis="axisRow" showAll="0">
      <items count="15">
        <item sd="0" x="0"/>
        <item sd="0" x="4"/>
        <item sd="0" x="2"/>
        <item sd="0" x="10"/>
        <item sd="0" x="1"/>
        <item sd="0" x="8"/>
        <item sd="0" x="6"/>
        <item sd="0" x="5"/>
        <item sd="0" x="7"/>
        <item sd="0" x="11"/>
        <item sd="0" x="9"/>
        <item x="3"/>
        <item sd="0" x="12"/>
        <item sd="0" x="13"/>
        <item t="default"/>
      </items>
    </pivotField>
    <pivotField showAll="0"/>
    <pivotField showAll="0"/>
    <pivotField showAl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pivotField showAll="0"/>
    <pivotField axis="axisRow" showAll="0" defaultSubtotal="0">
      <items count="13">
        <item x="8"/>
        <item x="7"/>
        <item x="4"/>
        <item x="3"/>
        <item x="12"/>
        <item x="9"/>
        <item x="2"/>
        <item x="0"/>
        <item x="11"/>
        <item x="5"/>
        <item x="1"/>
        <item x="10"/>
        <item x="6"/>
      </items>
    </pivotField>
    <pivotField showAll="0"/>
    <pivotField axis="axisRow" showAll="0">
      <items count="6">
        <item x="1"/>
        <item x="0"/>
        <item x="2"/>
        <item x="4"/>
        <item x="3"/>
        <item t="default"/>
      </items>
    </pivotField>
    <pivotField showAll="0" defaultSubtotal="0"/>
    <pivotField showAll="0" defaultSubtotal="0"/>
    <pivotField showAll="0" defaultSubtotal="0"/>
    <pivotField showAll="0" defaultSubtotal="0"/>
  </pivotFields>
  <rowFields count="3">
    <field x="1"/>
    <field x="16"/>
    <field x="14"/>
  </rowFields>
  <rowItems count="51">
    <i>
      <x/>
    </i>
    <i>
      <x v="1"/>
    </i>
    <i>
      <x v="2"/>
    </i>
    <i>
      <x v="3"/>
    </i>
    <i>
      <x v="4"/>
    </i>
    <i>
      <x v="5"/>
    </i>
    <i>
      <x v="6"/>
    </i>
    <i>
      <x v="7"/>
    </i>
    <i>
      <x v="8"/>
    </i>
    <i>
      <x v="9"/>
    </i>
    <i>
      <x v="10"/>
    </i>
    <i>
      <x v="11"/>
    </i>
    <i r="1">
      <x/>
    </i>
    <i r="2">
      <x/>
    </i>
    <i r="2">
      <x v="2"/>
    </i>
    <i r="2">
      <x v="3"/>
    </i>
    <i r="2">
      <x v="5"/>
    </i>
    <i r="2">
      <x v="6"/>
    </i>
    <i r="2">
      <x v="7"/>
    </i>
    <i r="2">
      <x v="8"/>
    </i>
    <i r="2">
      <x v="9"/>
    </i>
    <i r="2">
      <x v="10"/>
    </i>
    <i r="2">
      <x v="12"/>
    </i>
    <i r="1">
      <x v="1"/>
    </i>
    <i r="2">
      <x v="7"/>
    </i>
    <i r="2">
      <x v="8"/>
    </i>
    <i r="2">
      <x v="9"/>
    </i>
    <i r="2">
      <x v="11"/>
    </i>
    <i r="2">
      <x v="12"/>
    </i>
    <i r="1">
      <x v="2"/>
    </i>
    <i r="2">
      <x v="2"/>
    </i>
    <i r="2">
      <x v="3"/>
    </i>
    <i r="2">
      <x v="6"/>
    </i>
    <i r="2">
      <x v="9"/>
    </i>
    <i r="2">
      <x v="10"/>
    </i>
    <i r="2">
      <x v="12"/>
    </i>
    <i r="1">
      <x v="3"/>
    </i>
    <i r="2">
      <x v="2"/>
    </i>
    <i r="2">
      <x v="5"/>
    </i>
    <i r="2">
      <x v="6"/>
    </i>
    <i r="2">
      <x v="10"/>
    </i>
    <i r="2">
      <x v="12"/>
    </i>
    <i r="1">
      <x v="4"/>
    </i>
    <i r="2">
      <x v="5"/>
    </i>
    <i r="2">
      <x v="6"/>
    </i>
    <i r="2">
      <x v="8"/>
    </i>
    <i r="2">
      <x v="10"/>
    </i>
    <i r="2">
      <x v="12"/>
    </i>
    <i>
      <x v="12"/>
    </i>
    <i>
      <x v="13"/>
    </i>
    <i t="grand">
      <x/>
    </i>
  </rowItems>
  <colFields count="1">
    <field x="0"/>
  </colFields>
  <colItems count="6">
    <i>
      <x v="1"/>
    </i>
    <i>
      <x v="2"/>
    </i>
    <i>
      <x v="3"/>
    </i>
    <i>
      <x v="4"/>
    </i>
    <i>
      <x v="5"/>
    </i>
    <i t="grand">
      <x/>
    </i>
  </colItems>
  <dataFields count="1">
    <dataField name="Count of Date" fld="0" subtotal="count" baseField="0" baseItem="0"/>
  </dataFields>
  <formats count="5">
    <format dxfId="15">
      <pivotArea field="1" type="button" dataOnly="0" labelOnly="1" outline="0" axis="axisRow" fieldPosition="0"/>
    </format>
    <format dxfId="14">
      <pivotArea dataOnly="0" labelOnly="1" outline="0" axis="axisValues" fieldPosition="0"/>
    </format>
    <format dxfId="13">
      <pivotArea dataOnly="0" labelOnly="1" outline="0" axis="axisValues" fieldPosition="0"/>
    </format>
    <format dxfId="12">
      <pivotArea type="all" dataOnly="0" outline="0" fieldPosition="0"/>
    </format>
    <format dxfId="11">
      <pivotArea field="1" type="button" dataOnly="0" labelOnly="1" outline="0" axis="axisRow"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1" cacheId="0" applyNumberFormats="0" applyBorderFormats="0" applyFontFormats="0" applyPatternFormats="0" applyAlignmentFormats="0" applyWidthHeightFormats="1" dataCaption="Values" grandTotalCaption="Total" updatedVersion="5" minRefreshableVersion="3" useAutoFormatting="1" itemPrintTitles="1" createdVersion="4" indent="0" showHeaders="0" outline="1" outlineData="1" multipleFieldFilters="0">
  <location ref="A3:N61" firstHeaderRow="1" firstDataRow="2" firstDataCol="1"/>
  <pivotFields count="21">
    <pivotField axis="axisCol" dataField="1" numFmtId="165" showAll="0">
      <items count="15">
        <item x="0"/>
        <item x="1"/>
        <item x="2"/>
        <item x="3"/>
        <item x="4"/>
        <item x="5"/>
        <item x="6"/>
        <item x="7"/>
        <item x="8"/>
        <item x="9"/>
        <item x="10"/>
        <item x="11"/>
        <item x="12"/>
        <item x="13"/>
        <item t="default"/>
      </items>
    </pivotField>
    <pivotField axis="axisRow" showAll="0">
      <items count="16">
        <item x="0"/>
        <item sd="0" x="1"/>
        <item sd="0" x="2"/>
        <item sd="0" x="3"/>
        <item sd="0" x="4"/>
        <item sd="0" x="5"/>
        <item sd="0" x="6"/>
        <item sd="0" x="7"/>
        <item sd="0" x="8"/>
        <item sd="0" x="9"/>
        <item sd="0" x="10"/>
        <item sd="0" x="11"/>
        <item sd="0" x="12"/>
        <item sd="0" x="13"/>
        <item sd="0" x="14"/>
        <item t="default"/>
      </items>
    </pivotField>
    <pivotField showAll="0"/>
    <pivotField showAll="0"/>
    <pivotField showAl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pivotField showAll="0"/>
    <pivotField axis="axisRow" showAll="0" defaultSubtotal="0">
      <items count="14">
        <item x="11"/>
        <item x="5"/>
        <item x="12"/>
        <item x="10"/>
        <item x="3"/>
        <item x="1"/>
        <item x="2"/>
        <item x="7"/>
        <item x="8"/>
        <item x="6"/>
        <item x="9"/>
        <item x="0"/>
        <item x="4"/>
        <item x="13"/>
      </items>
    </pivotField>
    <pivotField showAll="0"/>
    <pivotField axis="axisRow" showAll="0">
      <items count="7">
        <item x="0"/>
        <item x="1"/>
        <item x="2"/>
        <item sd="0" x="3"/>
        <item sd="0" x="4"/>
        <item m="1" x="5"/>
        <item t="default"/>
      </items>
    </pivotField>
    <pivotField showAll="0" defaultSubtotal="0"/>
    <pivotField showAll="0" defaultSubtotal="0"/>
    <pivotField showAll="0" defaultSubtotal="0"/>
    <pivotField showAll="0" defaultSubtotal="0"/>
  </pivotFields>
  <rowFields count="3">
    <field x="1"/>
    <field x="16"/>
    <field x="14"/>
  </rowFields>
  <rowItems count="57">
    <i>
      <x/>
    </i>
    <i r="1">
      <x/>
    </i>
    <i r="2">
      <x/>
    </i>
    <i r="2">
      <x v="1"/>
    </i>
    <i r="2">
      <x v="2"/>
    </i>
    <i r="2">
      <x v="3"/>
    </i>
    <i r="2">
      <x v="4"/>
    </i>
    <i r="2">
      <x v="5"/>
    </i>
    <i r="2">
      <x v="6"/>
    </i>
    <i r="2">
      <x v="7"/>
    </i>
    <i r="2">
      <x v="8"/>
    </i>
    <i r="2">
      <x v="9"/>
    </i>
    <i r="2">
      <x v="10"/>
    </i>
    <i r="2">
      <x v="11"/>
    </i>
    <i r="2">
      <x v="12"/>
    </i>
    <i r="2">
      <x v="13"/>
    </i>
    <i r="1">
      <x v="1"/>
    </i>
    <i r="2">
      <x/>
    </i>
    <i r="2">
      <x v="1"/>
    </i>
    <i r="2">
      <x v="4"/>
    </i>
    <i r="2">
      <x v="5"/>
    </i>
    <i r="2">
      <x v="6"/>
    </i>
    <i r="2">
      <x v="7"/>
    </i>
    <i r="2">
      <x v="8"/>
    </i>
    <i r="2">
      <x v="9"/>
    </i>
    <i r="2">
      <x v="10"/>
    </i>
    <i r="2">
      <x v="11"/>
    </i>
    <i r="1">
      <x v="2"/>
    </i>
    <i r="2">
      <x/>
    </i>
    <i r="2">
      <x v="1"/>
    </i>
    <i r="2">
      <x v="2"/>
    </i>
    <i r="2">
      <x v="3"/>
    </i>
    <i r="2">
      <x v="4"/>
    </i>
    <i r="2">
      <x v="5"/>
    </i>
    <i r="2">
      <x v="6"/>
    </i>
    <i r="2">
      <x v="7"/>
    </i>
    <i r="2">
      <x v="8"/>
    </i>
    <i r="2">
      <x v="9"/>
    </i>
    <i r="2">
      <x v="10"/>
    </i>
    <i r="2">
      <x v="11"/>
    </i>
    <i r="1">
      <x v="3"/>
    </i>
    <i r="1">
      <x v="4"/>
    </i>
    <i>
      <x v="1"/>
    </i>
    <i>
      <x v="2"/>
    </i>
    <i>
      <x v="3"/>
    </i>
    <i>
      <x v="4"/>
    </i>
    <i>
      <x v="5"/>
    </i>
    <i>
      <x v="6"/>
    </i>
    <i>
      <x v="7"/>
    </i>
    <i>
      <x v="8"/>
    </i>
    <i>
      <x v="9"/>
    </i>
    <i>
      <x v="10"/>
    </i>
    <i>
      <x v="11"/>
    </i>
    <i>
      <x v="12"/>
    </i>
    <i>
      <x v="13"/>
    </i>
    <i>
      <x v="14"/>
    </i>
    <i t="grand">
      <x/>
    </i>
  </rowItems>
  <colFields count="1">
    <field x="0"/>
  </colFields>
  <colItems count="13">
    <i>
      <x v="1"/>
    </i>
    <i>
      <x v="2"/>
    </i>
    <i>
      <x v="3"/>
    </i>
    <i>
      <x v="4"/>
    </i>
    <i>
      <x v="5"/>
    </i>
    <i>
      <x v="6"/>
    </i>
    <i>
      <x v="7"/>
    </i>
    <i>
      <x v="8"/>
    </i>
    <i>
      <x v="9"/>
    </i>
    <i>
      <x v="10"/>
    </i>
    <i>
      <x v="11"/>
    </i>
    <i>
      <x v="12"/>
    </i>
    <i t="grand">
      <x/>
    </i>
  </colItems>
  <dataFields count="1">
    <dataField name="Count of Date" fld="0" subtotal="count" baseField="0" baseItem="0"/>
  </dataFields>
  <formats count="5">
    <format dxfId="10">
      <pivotArea field="1" type="button" dataOnly="0" labelOnly="1" outline="0" axis="axisRow" fieldPosition="0"/>
    </format>
    <format dxfId="9">
      <pivotArea dataOnly="0" labelOnly="1" outline="0" axis="axisValues" fieldPosition="0"/>
    </format>
    <format dxfId="8">
      <pivotArea dataOnly="0" labelOnly="1" outline="0" axis="axisValues" fieldPosition="0"/>
    </format>
    <format dxfId="7">
      <pivotArea type="all" dataOnly="0" outline="0" fieldPosition="0"/>
    </format>
    <format dxfId="6">
      <pivotArea field="1" type="button" dataOnly="0" labelOnly="1" outline="0" axis="axisRow"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1" cacheId="1" applyNumberFormats="0" applyBorderFormats="0" applyFontFormats="0" applyPatternFormats="0" applyAlignmentFormats="0" applyWidthHeightFormats="1" dataCaption="Values" grandTotalCaption="Total" updatedVersion="5" minRefreshableVersion="3" useAutoFormatting="1" itemPrintTitles="1" createdVersion="4" indent="0" showHeaders="0" outline="1" outlineData="1" multipleFieldFilters="0">
  <location ref="A3:N18" firstHeaderRow="1" firstDataRow="2" firstDataCol="1"/>
  <pivotFields count="20">
    <pivotField axis="axisCol" dataField="1" numFmtId="165" showAll="0">
      <items count="15">
        <item x="1"/>
        <item x="2"/>
        <item x="3"/>
        <item x="4"/>
        <item x="5"/>
        <item x="6"/>
        <item x="7"/>
        <item x="8"/>
        <item x="9"/>
        <item x="10"/>
        <item x="11"/>
        <item x="12"/>
        <item x="0"/>
        <item x="13"/>
        <item t="default"/>
      </items>
    </pivotField>
    <pivotField axis="axisRow" showAll="0">
      <items count="15">
        <item sd="0" x="0"/>
        <item sd="0" x="4"/>
        <item sd="0" x="7"/>
        <item sd="0" x="3"/>
        <item sd="0" x="1"/>
        <item sd="0" x="2"/>
        <item sd="0" x="6"/>
        <item sd="0" x="8"/>
        <item sd="0" x="9"/>
        <item sd="0" x="5"/>
        <item sd="0" x="10"/>
        <item sd="0" x="11"/>
        <item m="1" x="13"/>
        <item sd="0" x="12"/>
        <item t="default"/>
      </items>
    </pivotField>
    <pivotField showAll="0"/>
    <pivotField showAll="0"/>
    <pivotField showAll="0"/>
    <pivotField showAll="0" defaultSubtotal="0"/>
    <pivotField showAll="0" defaultSubtotal="0"/>
    <pivotField showAll="0" defaultSubtotal="0"/>
    <pivotField showAll="0" defaultSubtotal="0"/>
    <pivotField showAll="0" defaultSubtotal="0"/>
    <pivotField showAll="0" defaultSubtotal="0"/>
    <pivotField showAll="0"/>
    <pivotField showAll="0"/>
    <pivotField showAll="0"/>
    <pivotField showAll="0"/>
    <pivotField axis="axisRow" showAll="0" defaultSubtotal="0">
      <items count="5">
        <item x="1"/>
        <item x="0"/>
        <item x="2"/>
        <item x="3"/>
        <item x="4"/>
      </items>
    </pivotField>
    <pivotField showAll="0" defaultSubtotal="0"/>
    <pivotField showAll="0" defaultSubtotal="0"/>
    <pivotField showAll="0" defaultSubtotal="0"/>
    <pivotField showAll="0" defaultSubtotal="0"/>
  </pivotFields>
  <rowFields count="2">
    <field x="1"/>
    <field x="15"/>
  </rowFields>
  <rowItems count="14">
    <i>
      <x/>
    </i>
    <i>
      <x v="1"/>
    </i>
    <i>
      <x v="2"/>
    </i>
    <i>
      <x v="3"/>
    </i>
    <i>
      <x v="4"/>
    </i>
    <i>
      <x v="5"/>
    </i>
    <i>
      <x v="6"/>
    </i>
    <i>
      <x v="7"/>
    </i>
    <i>
      <x v="8"/>
    </i>
    <i>
      <x v="9"/>
    </i>
    <i>
      <x v="10"/>
    </i>
    <i>
      <x v="11"/>
    </i>
    <i>
      <x v="13"/>
    </i>
    <i t="grand">
      <x/>
    </i>
  </rowItems>
  <colFields count="1">
    <field x="0"/>
  </colFields>
  <colItems count="13">
    <i>
      <x/>
    </i>
    <i>
      <x v="1"/>
    </i>
    <i>
      <x v="2"/>
    </i>
    <i>
      <x v="3"/>
    </i>
    <i>
      <x v="4"/>
    </i>
    <i>
      <x v="5"/>
    </i>
    <i>
      <x v="6"/>
    </i>
    <i>
      <x v="7"/>
    </i>
    <i>
      <x v="8"/>
    </i>
    <i>
      <x v="9"/>
    </i>
    <i>
      <x v="10"/>
    </i>
    <i>
      <x v="11"/>
    </i>
    <i t="grand">
      <x/>
    </i>
  </colItems>
  <dataFields count="1">
    <dataField name="Count of Date" fld="0" subtotal="count" baseField="0" baseItem="0"/>
  </dataFields>
  <formats count="6">
    <format dxfId="5">
      <pivotArea field="1" type="button" dataOnly="0" labelOnly="1" outline="0" axis="axisRow" fieldPosition="0"/>
    </format>
    <format dxfId="4">
      <pivotArea dataOnly="0" labelOnly="1" outline="0" axis="axisValues" fieldPosition="0"/>
    </format>
    <format dxfId="3">
      <pivotArea dataOnly="0" labelOnly="1" outline="0" axis="axisValues" fieldPosition="0"/>
    </format>
    <format dxfId="2">
      <pivotArea type="all" dataOnly="0" outline="0" fieldPosition="0"/>
    </format>
    <format dxfId="1">
      <pivotArea field="1" type="button" dataOnly="0" labelOnly="1" outline="0" axis="axisRow" fieldPosition="0"/>
    </format>
    <format dxfId="0">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4.bin"/><Relationship Id="rId1" Type="http://schemas.openxmlformats.org/officeDocument/2006/relationships/hyperlink" Target="https://www.zillow.com/homedetails/5502-Edgewater-Ave-Ventnor-City-NJ-08406/37843546_zpid/%20%20Looks%20stable,%20nice%20home." TargetMode="External"/><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ivotTable" Target="../pivotTables/pivotTable2.xm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pivotTable" Target="../pivotTables/pivotTable3.xml"/></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S57"/>
  <sheetViews>
    <sheetView workbookViewId="0">
      <selection activeCell="B11" sqref="B11"/>
    </sheetView>
  </sheetViews>
  <sheetFormatPr defaultRowHeight="15" x14ac:dyDescent="0.25"/>
  <cols>
    <col min="1" max="1" width="22" bestFit="1" customWidth="1"/>
    <col min="2" max="2" width="17.85546875" customWidth="1"/>
    <col min="3" max="3" width="13.42578125" bestFit="1" customWidth="1"/>
    <col min="4" max="4" width="10.28515625" customWidth="1"/>
    <col min="5" max="5" width="7.7109375" customWidth="1"/>
    <col min="6" max="6" width="5.5703125" bestFit="1" customWidth="1"/>
    <col min="7" max="7" width="11.28515625" bestFit="1" customWidth="1"/>
  </cols>
  <sheetData>
    <row r="2" spans="1:15" x14ac:dyDescent="0.25">
      <c r="A2" s="235" t="s">
        <v>555</v>
      </c>
      <c r="B2" t="s">
        <v>16010</v>
      </c>
    </row>
    <row r="4" spans="1:15" x14ac:dyDescent="0.25">
      <c r="A4" s="235" t="s">
        <v>16009</v>
      </c>
      <c r="B4" s="235" t="s">
        <v>16008</v>
      </c>
    </row>
    <row r="5" spans="1:15" x14ac:dyDescent="0.25">
      <c r="A5" s="235" t="s">
        <v>16007</v>
      </c>
      <c r="B5" t="s">
        <v>592</v>
      </c>
      <c r="C5" t="s">
        <v>1939</v>
      </c>
      <c r="D5" t="s">
        <v>1612</v>
      </c>
      <c r="E5" t="s">
        <v>29</v>
      </c>
      <c r="F5" t="s">
        <v>620</v>
      </c>
      <c r="G5" t="s">
        <v>848</v>
      </c>
      <c r="I5" s="238" t="e">
        <f>E5/G5</f>
        <v>#VALUE!</v>
      </c>
    </row>
    <row r="6" spans="1:15" x14ac:dyDescent="0.25">
      <c r="A6" s="32" t="s">
        <v>10829</v>
      </c>
      <c r="B6" s="236"/>
      <c r="C6" s="236">
        <v>1</v>
      </c>
      <c r="D6" s="236">
        <v>1</v>
      </c>
      <c r="E6" s="236"/>
      <c r="F6" s="236">
        <v>1</v>
      </c>
      <c r="G6" s="236">
        <v>3</v>
      </c>
      <c r="I6" s="238">
        <f t="shared" ref="I6:I57" si="0">E6/G6</f>
        <v>0</v>
      </c>
    </row>
    <row r="7" spans="1:15" x14ac:dyDescent="0.25">
      <c r="A7" s="32" t="s">
        <v>1050</v>
      </c>
      <c r="B7" s="236">
        <v>1</v>
      </c>
      <c r="C7" s="236">
        <v>1</v>
      </c>
      <c r="D7" s="236">
        <v>1</v>
      </c>
      <c r="E7" s="236">
        <v>3</v>
      </c>
      <c r="F7" s="236">
        <v>1</v>
      </c>
      <c r="G7" s="236">
        <v>7</v>
      </c>
      <c r="I7" s="238">
        <f t="shared" si="0"/>
        <v>0.42857142857142855</v>
      </c>
      <c r="K7">
        <f>E7</f>
        <v>3</v>
      </c>
      <c r="L7" s="237" t="e">
        <f>+K7/$E$66</f>
        <v>#DIV/0!</v>
      </c>
      <c r="N7">
        <f>G7</f>
        <v>7</v>
      </c>
      <c r="O7" s="237" t="e">
        <f>+N7/$G$66</f>
        <v>#DIV/0!</v>
      </c>
    </row>
    <row r="8" spans="1:15" x14ac:dyDescent="0.25">
      <c r="A8" s="32" t="s">
        <v>905</v>
      </c>
      <c r="B8" s="236">
        <v>5</v>
      </c>
      <c r="C8" s="236">
        <v>9</v>
      </c>
      <c r="D8" s="236">
        <v>1</v>
      </c>
      <c r="E8" s="236">
        <v>12</v>
      </c>
      <c r="F8" s="236">
        <v>2</v>
      </c>
      <c r="G8" s="236">
        <v>29</v>
      </c>
      <c r="I8" s="238">
        <f t="shared" si="0"/>
        <v>0.41379310344827586</v>
      </c>
      <c r="K8">
        <f>E8+K7</f>
        <v>15</v>
      </c>
      <c r="L8" s="237" t="e">
        <f t="shared" ref="L8:L57" si="1">+K8/$E$66</f>
        <v>#DIV/0!</v>
      </c>
      <c r="N8">
        <f>G8+N7</f>
        <v>36</v>
      </c>
      <c r="O8" s="237" t="e">
        <f t="shared" ref="O8:O57" si="2">+N8/$G$66</f>
        <v>#DIV/0!</v>
      </c>
    </row>
    <row r="9" spans="1:15" x14ac:dyDescent="0.25">
      <c r="A9" s="32" t="s">
        <v>809</v>
      </c>
      <c r="B9" s="236">
        <v>3</v>
      </c>
      <c r="C9" s="236">
        <v>9</v>
      </c>
      <c r="D9" s="236">
        <v>3</v>
      </c>
      <c r="E9" s="236">
        <v>7</v>
      </c>
      <c r="F9" s="236">
        <v>4</v>
      </c>
      <c r="G9" s="236">
        <v>26</v>
      </c>
      <c r="I9" s="238">
        <f t="shared" si="0"/>
        <v>0.26923076923076922</v>
      </c>
      <c r="K9">
        <f t="shared" ref="K9:K57" si="3">E9+K8</f>
        <v>22</v>
      </c>
      <c r="L9" s="237" t="e">
        <f t="shared" si="1"/>
        <v>#DIV/0!</v>
      </c>
      <c r="N9">
        <f t="shared" ref="N9:N57" si="4">G9+N8</f>
        <v>62</v>
      </c>
      <c r="O9" s="237" t="e">
        <f t="shared" si="2"/>
        <v>#DIV/0!</v>
      </c>
    </row>
    <row r="10" spans="1:15" x14ac:dyDescent="0.25">
      <c r="A10" s="32" t="s">
        <v>886</v>
      </c>
      <c r="B10" s="236">
        <v>4</v>
      </c>
      <c r="C10" s="236">
        <v>8</v>
      </c>
      <c r="D10" s="236">
        <v>1</v>
      </c>
      <c r="E10" s="236">
        <v>9</v>
      </c>
      <c r="F10" s="236">
        <v>1</v>
      </c>
      <c r="G10" s="236">
        <v>23</v>
      </c>
      <c r="I10" s="238">
        <f t="shared" si="0"/>
        <v>0.39130434782608697</v>
      </c>
      <c r="K10">
        <f t="shared" si="3"/>
        <v>31</v>
      </c>
      <c r="L10" s="237" t="e">
        <f t="shared" si="1"/>
        <v>#DIV/0!</v>
      </c>
      <c r="N10">
        <f t="shared" si="4"/>
        <v>85</v>
      </c>
      <c r="O10" s="237" t="e">
        <f t="shared" si="2"/>
        <v>#DIV/0!</v>
      </c>
    </row>
    <row r="11" spans="1:15" x14ac:dyDescent="0.25">
      <c r="A11" s="32" t="s">
        <v>607</v>
      </c>
      <c r="B11" s="236">
        <v>36</v>
      </c>
      <c r="C11" s="236">
        <v>99</v>
      </c>
      <c r="D11" s="236">
        <v>24</v>
      </c>
      <c r="E11" s="236">
        <v>86</v>
      </c>
      <c r="F11" s="236">
        <v>34</v>
      </c>
      <c r="G11" s="236">
        <v>279</v>
      </c>
      <c r="I11" s="238">
        <f t="shared" si="0"/>
        <v>0.30824372759856633</v>
      </c>
      <c r="K11">
        <f t="shared" si="3"/>
        <v>117</v>
      </c>
      <c r="L11" s="237" t="e">
        <f t="shared" si="1"/>
        <v>#DIV/0!</v>
      </c>
      <c r="N11">
        <f t="shared" si="4"/>
        <v>364</v>
      </c>
      <c r="O11" s="237" t="e">
        <f t="shared" si="2"/>
        <v>#DIV/0!</v>
      </c>
    </row>
    <row r="12" spans="1:15" x14ac:dyDescent="0.25">
      <c r="A12" s="32" t="s">
        <v>5321</v>
      </c>
      <c r="B12" s="236"/>
      <c r="C12" s="236">
        <v>2</v>
      </c>
      <c r="D12" s="236"/>
      <c r="E12" s="236"/>
      <c r="F12" s="236"/>
      <c r="G12" s="236">
        <v>2</v>
      </c>
      <c r="I12" s="238">
        <f t="shared" si="0"/>
        <v>0</v>
      </c>
      <c r="K12">
        <f t="shared" si="3"/>
        <v>117</v>
      </c>
      <c r="L12" s="237" t="e">
        <f t="shared" si="1"/>
        <v>#DIV/0!</v>
      </c>
      <c r="N12">
        <f t="shared" si="4"/>
        <v>366</v>
      </c>
      <c r="O12" s="237" t="e">
        <f t="shared" si="2"/>
        <v>#DIV/0!</v>
      </c>
    </row>
    <row r="13" spans="1:15" x14ac:dyDescent="0.25">
      <c r="A13" s="32" t="s">
        <v>1615</v>
      </c>
      <c r="B13" s="236"/>
      <c r="C13" s="236"/>
      <c r="D13" s="236"/>
      <c r="E13" s="236">
        <v>1</v>
      </c>
      <c r="F13" s="236"/>
      <c r="G13" s="236">
        <v>1</v>
      </c>
      <c r="I13" s="238">
        <f t="shared" si="0"/>
        <v>1</v>
      </c>
      <c r="K13">
        <f t="shared" si="3"/>
        <v>118</v>
      </c>
      <c r="L13" s="237" t="e">
        <f t="shared" si="1"/>
        <v>#DIV/0!</v>
      </c>
      <c r="N13">
        <f t="shared" si="4"/>
        <v>367</v>
      </c>
      <c r="O13" s="237" t="e">
        <f t="shared" si="2"/>
        <v>#DIV/0!</v>
      </c>
    </row>
    <row r="14" spans="1:15" x14ac:dyDescent="0.25">
      <c r="A14" s="32" t="s">
        <v>10831</v>
      </c>
      <c r="B14" s="236">
        <v>10</v>
      </c>
      <c r="C14" s="236">
        <v>21</v>
      </c>
      <c r="D14" s="236">
        <v>2</v>
      </c>
      <c r="E14" s="236">
        <v>12</v>
      </c>
      <c r="F14" s="236">
        <v>4</v>
      </c>
      <c r="G14" s="236">
        <v>49</v>
      </c>
      <c r="I14" s="238">
        <f t="shared" si="0"/>
        <v>0.24489795918367346</v>
      </c>
      <c r="K14">
        <f t="shared" si="3"/>
        <v>130</v>
      </c>
      <c r="L14" s="237" t="e">
        <f t="shared" si="1"/>
        <v>#DIV/0!</v>
      </c>
      <c r="N14">
        <f t="shared" si="4"/>
        <v>416</v>
      </c>
      <c r="O14" s="237" t="e">
        <f t="shared" si="2"/>
        <v>#DIV/0!</v>
      </c>
    </row>
    <row r="15" spans="1:15" x14ac:dyDescent="0.25">
      <c r="A15" s="32" t="s">
        <v>10832</v>
      </c>
      <c r="B15" s="236">
        <v>5</v>
      </c>
      <c r="C15" s="236">
        <v>6</v>
      </c>
      <c r="D15" s="236">
        <v>1</v>
      </c>
      <c r="E15" s="236">
        <v>4</v>
      </c>
      <c r="F15" s="236"/>
      <c r="G15" s="236">
        <v>16</v>
      </c>
      <c r="I15" s="238">
        <f t="shared" si="0"/>
        <v>0.25</v>
      </c>
      <c r="K15">
        <f t="shared" si="3"/>
        <v>134</v>
      </c>
      <c r="L15" s="237" t="e">
        <f t="shared" si="1"/>
        <v>#DIV/0!</v>
      </c>
      <c r="N15">
        <f t="shared" si="4"/>
        <v>432</v>
      </c>
      <c r="O15" s="237" t="e">
        <f t="shared" si="2"/>
        <v>#DIV/0!</v>
      </c>
    </row>
    <row r="16" spans="1:15" x14ac:dyDescent="0.25">
      <c r="A16" s="32" t="s">
        <v>2510</v>
      </c>
      <c r="B16" s="236">
        <v>5</v>
      </c>
      <c r="C16" s="236">
        <v>5</v>
      </c>
      <c r="D16" s="236">
        <v>1</v>
      </c>
      <c r="E16" s="236">
        <v>1</v>
      </c>
      <c r="F16" s="236"/>
      <c r="G16" s="236">
        <v>12</v>
      </c>
      <c r="I16" s="238">
        <f t="shared" si="0"/>
        <v>8.3333333333333329E-2</v>
      </c>
      <c r="K16">
        <f t="shared" si="3"/>
        <v>135</v>
      </c>
      <c r="L16" s="237" t="e">
        <f t="shared" si="1"/>
        <v>#DIV/0!</v>
      </c>
      <c r="N16">
        <f t="shared" si="4"/>
        <v>444</v>
      </c>
      <c r="O16" s="237" t="e">
        <f t="shared" si="2"/>
        <v>#DIV/0!</v>
      </c>
    </row>
    <row r="17" spans="1:19" x14ac:dyDescent="0.25">
      <c r="A17" s="32" t="s">
        <v>15918</v>
      </c>
      <c r="B17" s="236"/>
      <c r="C17" s="236">
        <v>1</v>
      </c>
      <c r="D17" s="236"/>
      <c r="E17" s="236">
        <v>1</v>
      </c>
      <c r="F17" s="236"/>
      <c r="G17" s="236">
        <v>2</v>
      </c>
      <c r="I17" s="238">
        <f t="shared" si="0"/>
        <v>0.5</v>
      </c>
      <c r="K17">
        <f t="shared" si="3"/>
        <v>136</v>
      </c>
      <c r="L17" s="237" t="e">
        <f t="shared" si="1"/>
        <v>#DIV/0!</v>
      </c>
      <c r="N17">
        <f t="shared" si="4"/>
        <v>446</v>
      </c>
      <c r="O17" s="237" t="e">
        <f t="shared" si="2"/>
        <v>#DIV/0!</v>
      </c>
    </row>
    <row r="18" spans="1:19" x14ac:dyDescent="0.25">
      <c r="A18" s="32" t="s">
        <v>848</v>
      </c>
      <c r="B18" s="236">
        <v>69</v>
      </c>
      <c r="C18" s="236">
        <v>162</v>
      </c>
      <c r="D18" s="236">
        <v>35</v>
      </c>
      <c r="E18" s="236">
        <v>136</v>
      </c>
      <c r="F18" s="236">
        <v>47</v>
      </c>
      <c r="G18" s="236">
        <v>449</v>
      </c>
      <c r="I18" s="238">
        <f t="shared" si="0"/>
        <v>0.30289532293986637</v>
      </c>
      <c r="K18">
        <f t="shared" si="3"/>
        <v>272</v>
      </c>
      <c r="L18" s="237" t="e">
        <f t="shared" si="1"/>
        <v>#DIV/0!</v>
      </c>
      <c r="N18">
        <f t="shared" si="4"/>
        <v>895</v>
      </c>
      <c r="O18" s="237" t="e">
        <f t="shared" si="2"/>
        <v>#DIV/0!</v>
      </c>
    </row>
    <row r="19" spans="1:19" x14ac:dyDescent="0.25">
      <c r="I19" s="238" t="e">
        <f t="shared" si="0"/>
        <v>#DIV/0!</v>
      </c>
      <c r="K19">
        <f t="shared" si="3"/>
        <v>272</v>
      </c>
      <c r="L19" s="237" t="e">
        <f t="shared" si="1"/>
        <v>#DIV/0!</v>
      </c>
      <c r="N19">
        <f t="shared" si="4"/>
        <v>895</v>
      </c>
      <c r="O19" s="237" t="e">
        <f t="shared" si="2"/>
        <v>#DIV/0!</v>
      </c>
    </row>
    <row r="20" spans="1:19" x14ac:dyDescent="0.25">
      <c r="I20" s="238" t="e">
        <f t="shared" si="0"/>
        <v>#DIV/0!</v>
      </c>
      <c r="K20">
        <f t="shared" si="3"/>
        <v>272</v>
      </c>
      <c r="L20" s="237" t="e">
        <f t="shared" si="1"/>
        <v>#DIV/0!</v>
      </c>
      <c r="N20">
        <f t="shared" si="4"/>
        <v>895</v>
      </c>
      <c r="O20" s="237" t="e">
        <f t="shared" si="2"/>
        <v>#DIV/0!</v>
      </c>
    </row>
    <row r="21" spans="1:19" x14ac:dyDescent="0.25">
      <c r="I21" s="238" t="e">
        <f t="shared" si="0"/>
        <v>#DIV/0!</v>
      </c>
      <c r="K21">
        <f t="shared" si="3"/>
        <v>272</v>
      </c>
      <c r="L21" s="237" t="e">
        <f t="shared" si="1"/>
        <v>#DIV/0!</v>
      </c>
      <c r="N21">
        <f t="shared" si="4"/>
        <v>895</v>
      </c>
      <c r="O21" s="237" t="e">
        <f t="shared" si="2"/>
        <v>#DIV/0!</v>
      </c>
    </row>
    <row r="22" spans="1:19" x14ac:dyDescent="0.25">
      <c r="I22" s="238" t="e">
        <f t="shared" si="0"/>
        <v>#DIV/0!</v>
      </c>
      <c r="K22">
        <f t="shared" si="3"/>
        <v>272</v>
      </c>
      <c r="L22" s="237" t="e">
        <f t="shared" si="1"/>
        <v>#DIV/0!</v>
      </c>
      <c r="N22">
        <f t="shared" si="4"/>
        <v>895</v>
      </c>
      <c r="O22" s="237" t="e">
        <f t="shared" si="2"/>
        <v>#DIV/0!</v>
      </c>
    </row>
    <row r="23" spans="1:19" x14ac:dyDescent="0.25">
      <c r="I23" s="238" t="e">
        <f t="shared" si="0"/>
        <v>#DIV/0!</v>
      </c>
      <c r="K23">
        <f t="shared" si="3"/>
        <v>272</v>
      </c>
      <c r="L23" s="237" t="e">
        <f t="shared" si="1"/>
        <v>#DIV/0!</v>
      </c>
      <c r="N23">
        <f t="shared" si="4"/>
        <v>895</v>
      </c>
      <c r="O23" s="237" t="e">
        <f t="shared" si="2"/>
        <v>#DIV/0!</v>
      </c>
    </row>
    <row r="24" spans="1:19" x14ac:dyDescent="0.25">
      <c r="I24" s="238" t="e">
        <f t="shared" si="0"/>
        <v>#DIV/0!</v>
      </c>
      <c r="K24">
        <f t="shared" si="3"/>
        <v>272</v>
      </c>
      <c r="L24" s="237" t="e">
        <f t="shared" si="1"/>
        <v>#DIV/0!</v>
      </c>
      <c r="N24">
        <f t="shared" si="4"/>
        <v>895</v>
      </c>
      <c r="O24" s="237" t="e">
        <f t="shared" si="2"/>
        <v>#DIV/0!</v>
      </c>
    </row>
    <row r="25" spans="1:19" x14ac:dyDescent="0.25">
      <c r="I25" s="238" t="e">
        <f t="shared" si="0"/>
        <v>#DIV/0!</v>
      </c>
      <c r="K25">
        <f t="shared" si="3"/>
        <v>272</v>
      </c>
      <c r="L25" s="237" t="e">
        <f t="shared" si="1"/>
        <v>#DIV/0!</v>
      </c>
      <c r="N25">
        <f t="shared" si="4"/>
        <v>895</v>
      </c>
      <c r="O25" s="237" t="e">
        <f t="shared" si="2"/>
        <v>#DIV/0!</v>
      </c>
    </row>
    <row r="26" spans="1:19" x14ac:dyDescent="0.25">
      <c r="I26" s="238" t="e">
        <f t="shared" si="0"/>
        <v>#DIV/0!</v>
      </c>
      <c r="K26">
        <f t="shared" si="3"/>
        <v>272</v>
      </c>
      <c r="L26" s="237" t="e">
        <f t="shared" si="1"/>
        <v>#DIV/0!</v>
      </c>
      <c r="N26">
        <f t="shared" si="4"/>
        <v>895</v>
      </c>
      <c r="O26" s="237" t="e">
        <f t="shared" si="2"/>
        <v>#DIV/0!</v>
      </c>
      <c r="S26">
        <v>85326</v>
      </c>
    </row>
    <row r="27" spans="1:19" x14ac:dyDescent="0.25">
      <c r="I27" s="238" t="e">
        <f t="shared" si="0"/>
        <v>#DIV/0!</v>
      </c>
      <c r="K27">
        <f t="shared" si="3"/>
        <v>272</v>
      </c>
      <c r="L27" s="237" t="e">
        <f t="shared" si="1"/>
        <v>#DIV/0!</v>
      </c>
      <c r="N27">
        <f t="shared" si="4"/>
        <v>895</v>
      </c>
      <c r="O27" s="237" t="e">
        <f t="shared" si="2"/>
        <v>#DIV/0!</v>
      </c>
      <c r="S27">
        <f>+S26*0.075</f>
        <v>6399.45</v>
      </c>
    </row>
    <row r="28" spans="1:19" x14ac:dyDescent="0.25">
      <c r="I28" s="238" t="e">
        <f t="shared" si="0"/>
        <v>#DIV/0!</v>
      </c>
      <c r="K28">
        <f t="shared" si="3"/>
        <v>272</v>
      </c>
      <c r="L28" s="237" t="e">
        <f t="shared" si="1"/>
        <v>#DIV/0!</v>
      </c>
      <c r="N28">
        <f t="shared" si="4"/>
        <v>895</v>
      </c>
      <c r="O28" s="237" t="e">
        <f t="shared" si="2"/>
        <v>#DIV/0!</v>
      </c>
      <c r="S28">
        <f>+S27+S26</f>
        <v>91725.45</v>
      </c>
    </row>
    <row r="29" spans="1:19" x14ac:dyDescent="0.25">
      <c r="I29" s="238" t="e">
        <f t="shared" si="0"/>
        <v>#DIV/0!</v>
      </c>
      <c r="K29">
        <f t="shared" si="3"/>
        <v>272</v>
      </c>
      <c r="L29" s="237" t="e">
        <f t="shared" si="1"/>
        <v>#DIV/0!</v>
      </c>
      <c r="N29">
        <f t="shared" si="4"/>
        <v>895</v>
      </c>
      <c r="O29" s="237" t="e">
        <f t="shared" si="2"/>
        <v>#DIV/0!</v>
      </c>
    </row>
    <row r="30" spans="1:19" x14ac:dyDescent="0.25">
      <c r="I30" s="238" t="e">
        <f t="shared" si="0"/>
        <v>#DIV/0!</v>
      </c>
      <c r="K30">
        <f t="shared" si="3"/>
        <v>272</v>
      </c>
      <c r="L30" s="237" t="e">
        <f t="shared" si="1"/>
        <v>#DIV/0!</v>
      </c>
      <c r="N30">
        <f t="shared" si="4"/>
        <v>895</v>
      </c>
      <c r="O30" s="237" t="e">
        <f t="shared" si="2"/>
        <v>#DIV/0!</v>
      </c>
    </row>
    <row r="31" spans="1:19" x14ac:dyDescent="0.25">
      <c r="I31" s="238" t="e">
        <f t="shared" si="0"/>
        <v>#DIV/0!</v>
      </c>
      <c r="K31">
        <f t="shared" si="3"/>
        <v>272</v>
      </c>
      <c r="L31" s="237" t="e">
        <f t="shared" si="1"/>
        <v>#DIV/0!</v>
      </c>
      <c r="N31">
        <f t="shared" si="4"/>
        <v>895</v>
      </c>
      <c r="O31" s="237" t="e">
        <f t="shared" si="2"/>
        <v>#DIV/0!</v>
      </c>
    </row>
    <row r="32" spans="1:19" x14ac:dyDescent="0.25">
      <c r="I32" s="238" t="e">
        <f t="shared" si="0"/>
        <v>#DIV/0!</v>
      </c>
      <c r="K32">
        <f t="shared" si="3"/>
        <v>272</v>
      </c>
      <c r="L32" s="237" t="e">
        <f t="shared" si="1"/>
        <v>#DIV/0!</v>
      </c>
      <c r="N32">
        <f t="shared" si="4"/>
        <v>895</v>
      </c>
      <c r="O32" s="237" t="e">
        <f t="shared" si="2"/>
        <v>#DIV/0!</v>
      </c>
    </row>
    <row r="33" spans="9:15" x14ac:dyDescent="0.25">
      <c r="I33" s="238" t="e">
        <f t="shared" si="0"/>
        <v>#DIV/0!</v>
      </c>
      <c r="K33">
        <f t="shared" si="3"/>
        <v>272</v>
      </c>
      <c r="L33" s="237" t="e">
        <f t="shared" si="1"/>
        <v>#DIV/0!</v>
      </c>
      <c r="N33">
        <f t="shared" si="4"/>
        <v>895</v>
      </c>
      <c r="O33" s="237" t="e">
        <f t="shared" si="2"/>
        <v>#DIV/0!</v>
      </c>
    </row>
    <row r="34" spans="9:15" x14ac:dyDescent="0.25">
      <c r="I34" s="238" t="e">
        <f t="shared" si="0"/>
        <v>#DIV/0!</v>
      </c>
      <c r="K34">
        <f t="shared" si="3"/>
        <v>272</v>
      </c>
      <c r="L34" s="237" t="e">
        <f t="shared" si="1"/>
        <v>#DIV/0!</v>
      </c>
      <c r="N34">
        <f t="shared" si="4"/>
        <v>895</v>
      </c>
      <c r="O34" s="237" t="e">
        <f t="shared" si="2"/>
        <v>#DIV/0!</v>
      </c>
    </row>
    <row r="35" spans="9:15" x14ac:dyDescent="0.25">
      <c r="I35" s="238" t="e">
        <f t="shared" si="0"/>
        <v>#DIV/0!</v>
      </c>
      <c r="K35">
        <f t="shared" si="3"/>
        <v>272</v>
      </c>
      <c r="L35" s="237" t="e">
        <f t="shared" si="1"/>
        <v>#DIV/0!</v>
      </c>
      <c r="N35">
        <f t="shared" si="4"/>
        <v>895</v>
      </c>
      <c r="O35" s="237" t="e">
        <f t="shared" si="2"/>
        <v>#DIV/0!</v>
      </c>
    </row>
    <row r="36" spans="9:15" x14ac:dyDescent="0.25">
      <c r="I36" s="238" t="e">
        <f t="shared" si="0"/>
        <v>#DIV/0!</v>
      </c>
      <c r="K36">
        <f t="shared" si="3"/>
        <v>272</v>
      </c>
      <c r="L36" s="237" t="e">
        <f t="shared" si="1"/>
        <v>#DIV/0!</v>
      </c>
      <c r="N36">
        <f t="shared" si="4"/>
        <v>895</v>
      </c>
      <c r="O36" s="237" t="e">
        <f t="shared" si="2"/>
        <v>#DIV/0!</v>
      </c>
    </row>
    <row r="37" spans="9:15" x14ac:dyDescent="0.25">
      <c r="I37" s="238" t="e">
        <f t="shared" si="0"/>
        <v>#DIV/0!</v>
      </c>
      <c r="K37">
        <f t="shared" si="3"/>
        <v>272</v>
      </c>
      <c r="L37" s="237" t="e">
        <f t="shared" si="1"/>
        <v>#DIV/0!</v>
      </c>
      <c r="N37">
        <f t="shared" si="4"/>
        <v>895</v>
      </c>
      <c r="O37" s="237" t="e">
        <f t="shared" si="2"/>
        <v>#DIV/0!</v>
      </c>
    </row>
    <row r="38" spans="9:15" x14ac:dyDescent="0.25">
      <c r="I38" s="238" t="e">
        <f t="shared" si="0"/>
        <v>#DIV/0!</v>
      </c>
      <c r="K38">
        <f t="shared" si="3"/>
        <v>272</v>
      </c>
      <c r="L38" s="237" t="e">
        <f t="shared" si="1"/>
        <v>#DIV/0!</v>
      </c>
      <c r="N38">
        <f t="shared" si="4"/>
        <v>895</v>
      </c>
      <c r="O38" s="237" t="e">
        <f t="shared" si="2"/>
        <v>#DIV/0!</v>
      </c>
    </row>
    <row r="39" spans="9:15" x14ac:dyDescent="0.25">
      <c r="I39" s="238" t="e">
        <f t="shared" si="0"/>
        <v>#DIV/0!</v>
      </c>
      <c r="K39">
        <f t="shared" si="3"/>
        <v>272</v>
      </c>
      <c r="L39" s="237" t="e">
        <f t="shared" si="1"/>
        <v>#DIV/0!</v>
      </c>
      <c r="N39">
        <f t="shared" si="4"/>
        <v>895</v>
      </c>
      <c r="O39" s="237" t="e">
        <f t="shared" si="2"/>
        <v>#DIV/0!</v>
      </c>
    </row>
    <row r="40" spans="9:15" x14ac:dyDescent="0.25">
      <c r="I40" s="238" t="e">
        <f t="shared" si="0"/>
        <v>#DIV/0!</v>
      </c>
      <c r="K40">
        <f t="shared" si="3"/>
        <v>272</v>
      </c>
      <c r="L40" s="237" t="e">
        <f t="shared" si="1"/>
        <v>#DIV/0!</v>
      </c>
      <c r="N40">
        <f t="shared" si="4"/>
        <v>895</v>
      </c>
      <c r="O40" s="237" t="e">
        <f t="shared" si="2"/>
        <v>#DIV/0!</v>
      </c>
    </row>
    <row r="41" spans="9:15" x14ac:dyDescent="0.25">
      <c r="I41" s="238" t="e">
        <f t="shared" si="0"/>
        <v>#DIV/0!</v>
      </c>
      <c r="K41">
        <f t="shared" si="3"/>
        <v>272</v>
      </c>
      <c r="L41" s="237" t="e">
        <f t="shared" si="1"/>
        <v>#DIV/0!</v>
      </c>
      <c r="N41">
        <f t="shared" si="4"/>
        <v>895</v>
      </c>
      <c r="O41" s="237" t="e">
        <f t="shared" si="2"/>
        <v>#DIV/0!</v>
      </c>
    </row>
    <row r="42" spans="9:15" x14ac:dyDescent="0.25">
      <c r="I42" s="238" t="e">
        <f t="shared" si="0"/>
        <v>#DIV/0!</v>
      </c>
      <c r="K42">
        <f t="shared" si="3"/>
        <v>272</v>
      </c>
      <c r="L42" s="237" t="e">
        <f t="shared" si="1"/>
        <v>#DIV/0!</v>
      </c>
      <c r="N42">
        <f t="shared" si="4"/>
        <v>895</v>
      </c>
      <c r="O42" s="237" t="e">
        <f t="shared" si="2"/>
        <v>#DIV/0!</v>
      </c>
    </row>
    <row r="43" spans="9:15" x14ac:dyDescent="0.25">
      <c r="I43" s="238" t="e">
        <f t="shared" si="0"/>
        <v>#DIV/0!</v>
      </c>
      <c r="K43">
        <f t="shared" si="3"/>
        <v>272</v>
      </c>
      <c r="L43" s="237" t="e">
        <f t="shared" si="1"/>
        <v>#DIV/0!</v>
      </c>
      <c r="N43">
        <f t="shared" si="4"/>
        <v>895</v>
      </c>
      <c r="O43" s="237" t="e">
        <f t="shared" si="2"/>
        <v>#DIV/0!</v>
      </c>
    </row>
    <row r="44" spans="9:15" x14ac:dyDescent="0.25">
      <c r="I44" s="238" t="e">
        <f t="shared" si="0"/>
        <v>#DIV/0!</v>
      </c>
      <c r="K44">
        <f t="shared" si="3"/>
        <v>272</v>
      </c>
      <c r="L44" s="237" t="e">
        <f t="shared" si="1"/>
        <v>#DIV/0!</v>
      </c>
      <c r="N44">
        <f t="shared" si="4"/>
        <v>895</v>
      </c>
      <c r="O44" s="237" t="e">
        <f t="shared" si="2"/>
        <v>#DIV/0!</v>
      </c>
    </row>
    <row r="45" spans="9:15" x14ac:dyDescent="0.25">
      <c r="I45" s="238" t="e">
        <f t="shared" si="0"/>
        <v>#DIV/0!</v>
      </c>
      <c r="K45">
        <f t="shared" si="3"/>
        <v>272</v>
      </c>
      <c r="L45" s="237" t="e">
        <f t="shared" si="1"/>
        <v>#DIV/0!</v>
      </c>
      <c r="N45">
        <f t="shared" si="4"/>
        <v>895</v>
      </c>
      <c r="O45" s="237" t="e">
        <f t="shared" si="2"/>
        <v>#DIV/0!</v>
      </c>
    </row>
    <row r="46" spans="9:15" x14ac:dyDescent="0.25">
      <c r="I46" s="238" t="e">
        <f t="shared" si="0"/>
        <v>#DIV/0!</v>
      </c>
      <c r="K46">
        <f t="shared" si="3"/>
        <v>272</v>
      </c>
      <c r="L46" s="237" t="e">
        <f t="shared" si="1"/>
        <v>#DIV/0!</v>
      </c>
      <c r="N46">
        <f t="shared" si="4"/>
        <v>895</v>
      </c>
      <c r="O46" s="237" t="e">
        <f t="shared" si="2"/>
        <v>#DIV/0!</v>
      </c>
    </row>
    <row r="47" spans="9:15" x14ac:dyDescent="0.25">
      <c r="I47" s="238" t="e">
        <f t="shared" si="0"/>
        <v>#DIV/0!</v>
      </c>
      <c r="K47">
        <f t="shared" si="3"/>
        <v>272</v>
      </c>
      <c r="L47" s="237" t="e">
        <f t="shared" si="1"/>
        <v>#DIV/0!</v>
      </c>
      <c r="N47">
        <f t="shared" si="4"/>
        <v>895</v>
      </c>
      <c r="O47" s="237" t="e">
        <f t="shared" si="2"/>
        <v>#DIV/0!</v>
      </c>
    </row>
    <row r="48" spans="9:15" x14ac:dyDescent="0.25">
      <c r="I48" s="238" t="e">
        <f t="shared" si="0"/>
        <v>#DIV/0!</v>
      </c>
      <c r="K48">
        <f t="shared" si="3"/>
        <v>272</v>
      </c>
      <c r="L48" s="237" t="e">
        <f t="shared" si="1"/>
        <v>#DIV/0!</v>
      </c>
      <c r="N48">
        <f t="shared" si="4"/>
        <v>895</v>
      </c>
      <c r="O48" s="237" t="e">
        <f t="shared" si="2"/>
        <v>#DIV/0!</v>
      </c>
    </row>
    <row r="49" spans="9:15" x14ac:dyDescent="0.25">
      <c r="I49" s="238" t="e">
        <f t="shared" si="0"/>
        <v>#DIV/0!</v>
      </c>
      <c r="K49">
        <f t="shared" si="3"/>
        <v>272</v>
      </c>
      <c r="L49" s="237" t="e">
        <f t="shared" si="1"/>
        <v>#DIV/0!</v>
      </c>
      <c r="N49">
        <f t="shared" si="4"/>
        <v>895</v>
      </c>
      <c r="O49" s="237" t="e">
        <f t="shared" si="2"/>
        <v>#DIV/0!</v>
      </c>
    </row>
    <row r="50" spans="9:15" x14ac:dyDescent="0.25">
      <c r="I50" s="238" t="e">
        <f t="shared" si="0"/>
        <v>#DIV/0!</v>
      </c>
      <c r="K50">
        <f t="shared" si="3"/>
        <v>272</v>
      </c>
      <c r="L50" s="237" t="e">
        <f t="shared" si="1"/>
        <v>#DIV/0!</v>
      </c>
      <c r="N50">
        <f t="shared" si="4"/>
        <v>895</v>
      </c>
      <c r="O50" s="237" t="e">
        <f t="shared" si="2"/>
        <v>#DIV/0!</v>
      </c>
    </row>
    <row r="51" spans="9:15" x14ac:dyDescent="0.25">
      <c r="I51" s="238" t="e">
        <f t="shared" si="0"/>
        <v>#DIV/0!</v>
      </c>
      <c r="K51">
        <f t="shared" si="3"/>
        <v>272</v>
      </c>
      <c r="L51" s="237" t="e">
        <f t="shared" si="1"/>
        <v>#DIV/0!</v>
      </c>
      <c r="N51">
        <f t="shared" si="4"/>
        <v>895</v>
      </c>
      <c r="O51" s="237" t="e">
        <f t="shared" si="2"/>
        <v>#DIV/0!</v>
      </c>
    </row>
    <row r="52" spans="9:15" x14ac:dyDescent="0.25">
      <c r="I52" s="238" t="e">
        <f t="shared" si="0"/>
        <v>#DIV/0!</v>
      </c>
      <c r="K52">
        <f t="shared" si="3"/>
        <v>272</v>
      </c>
      <c r="L52" s="237" t="e">
        <f t="shared" si="1"/>
        <v>#DIV/0!</v>
      </c>
      <c r="N52">
        <f t="shared" si="4"/>
        <v>895</v>
      </c>
      <c r="O52" s="237" t="e">
        <f t="shared" si="2"/>
        <v>#DIV/0!</v>
      </c>
    </row>
    <row r="53" spans="9:15" x14ac:dyDescent="0.25">
      <c r="I53" s="238" t="e">
        <f t="shared" si="0"/>
        <v>#DIV/0!</v>
      </c>
      <c r="K53">
        <f t="shared" si="3"/>
        <v>272</v>
      </c>
      <c r="L53" s="237" t="e">
        <f t="shared" si="1"/>
        <v>#DIV/0!</v>
      </c>
      <c r="N53">
        <f t="shared" si="4"/>
        <v>895</v>
      </c>
      <c r="O53" s="237" t="e">
        <f t="shared" si="2"/>
        <v>#DIV/0!</v>
      </c>
    </row>
    <row r="54" spans="9:15" x14ac:dyDescent="0.25">
      <c r="I54" s="238" t="e">
        <f t="shared" si="0"/>
        <v>#DIV/0!</v>
      </c>
      <c r="K54">
        <f t="shared" si="3"/>
        <v>272</v>
      </c>
      <c r="L54" s="237" t="e">
        <f t="shared" si="1"/>
        <v>#DIV/0!</v>
      </c>
      <c r="N54">
        <f t="shared" si="4"/>
        <v>895</v>
      </c>
      <c r="O54" s="237" t="e">
        <f t="shared" si="2"/>
        <v>#DIV/0!</v>
      </c>
    </row>
    <row r="55" spans="9:15" x14ac:dyDescent="0.25">
      <c r="I55" s="238" t="e">
        <f t="shared" si="0"/>
        <v>#DIV/0!</v>
      </c>
      <c r="K55">
        <f t="shared" si="3"/>
        <v>272</v>
      </c>
      <c r="L55" s="237" t="e">
        <f t="shared" si="1"/>
        <v>#DIV/0!</v>
      </c>
      <c r="N55">
        <f t="shared" si="4"/>
        <v>895</v>
      </c>
      <c r="O55" s="237" t="e">
        <f t="shared" si="2"/>
        <v>#DIV/0!</v>
      </c>
    </row>
    <row r="56" spans="9:15" x14ac:dyDescent="0.25">
      <c r="I56" s="238" t="e">
        <f t="shared" si="0"/>
        <v>#DIV/0!</v>
      </c>
      <c r="K56">
        <f t="shared" si="3"/>
        <v>272</v>
      </c>
      <c r="L56" s="237" t="e">
        <f t="shared" si="1"/>
        <v>#DIV/0!</v>
      </c>
      <c r="N56">
        <f t="shared" si="4"/>
        <v>895</v>
      </c>
      <c r="O56" s="237" t="e">
        <f t="shared" si="2"/>
        <v>#DIV/0!</v>
      </c>
    </row>
    <row r="57" spans="9:15" x14ac:dyDescent="0.25">
      <c r="I57" s="238" t="e">
        <f t="shared" si="0"/>
        <v>#DIV/0!</v>
      </c>
      <c r="K57">
        <f t="shared" si="3"/>
        <v>272</v>
      </c>
      <c r="L57" s="237" t="e">
        <f t="shared" si="1"/>
        <v>#DIV/0!</v>
      </c>
      <c r="N57">
        <f t="shared" si="4"/>
        <v>895</v>
      </c>
      <c r="O57" s="237" t="e">
        <f t="shared" si="2"/>
        <v>#DIV/0!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X3756"/>
  <sheetViews>
    <sheetView tabSelected="1" topLeftCell="O371" workbookViewId="0">
      <selection activeCell="P404" sqref="P404"/>
    </sheetView>
  </sheetViews>
  <sheetFormatPr defaultRowHeight="15" x14ac:dyDescent="0.25"/>
  <cols>
    <col min="1" max="1" width="10.7109375" style="234" bestFit="1" customWidth="1"/>
    <col min="13" max="14" width="9.140625" style="134"/>
    <col min="16" max="16" width="255.7109375" bestFit="1" customWidth="1"/>
  </cols>
  <sheetData>
    <row r="1" spans="1:24" ht="94.5" x14ac:dyDescent="0.25">
      <c r="A1" s="239" t="s">
        <v>555</v>
      </c>
      <c r="B1" s="240" t="s">
        <v>556</v>
      </c>
      <c r="C1" s="241" t="s">
        <v>586</v>
      </c>
      <c r="D1" s="242" t="s">
        <v>557</v>
      </c>
      <c r="E1" s="240" t="s">
        <v>558</v>
      </c>
      <c r="F1" s="240" t="s">
        <v>7695</v>
      </c>
      <c r="G1" s="240" t="s">
        <v>7696</v>
      </c>
      <c r="H1" s="240" t="s">
        <v>4140</v>
      </c>
      <c r="I1" s="240" t="s">
        <v>3366</v>
      </c>
      <c r="J1" s="240" t="s">
        <v>3364</v>
      </c>
      <c r="K1" s="243" t="s">
        <v>12954</v>
      </c>
      <c r="L1" s="244" t="s">
        <v>3365</v>
      </c>
      <c r="M1" s="245" t="s">
        <v>559</v>
      </c>
      <c r="N1" s="245" t="s">
        <v>560</v>
      </c>
      <c r="O1" s="246" t="s">
        <v>614</v>
      </c>
      <c r="P1" s="246" t="s">
        <v>615</v>
      </c>
      <c r="Q1" s="240" t="s">
        <v>1939</v>
      </c>
      <c r="R1" s="240" t="s">
        <v>561</v>
      </c>
      <c r="S1" s="240" t="s">
        <v>6321</v>
      </c>
      <c r="T1" s="240" t="s">
        <v>7785</v>
      </c>
      <c r="U1" s="242" t="s">
        <v>64</v>
      </c>
      <c r="V1" s="240" t="s">
        <v>3984</v>
      </c>
      <c r="W1" s="240" t="s">
        <v>4303</v>
      </c>
      <c r="X1" s="240" t="s">
        <v>16011</v>
      </c>
    </row>
    <row r="2" spans="1:24" s="208" customFormat="1" x14ac:dyDescent="0.25">
      <c r="A2" s="247">
        <v>43473</v>
      </c>
      <c r="B2" s="208" t="s">
        <v>6076</v>
      </c>
      <c r="C2" s="208" t="s">
        <v>3370</v>
      </c>
      <c r="D2" s="208" t="s">
        <v>10524</v>
      </c>
      <c r="F2" s="208" t="s">
        <v>8966</v>
      </c>
      <c r="H2" s="208" t="s">
        <v>607</v>
      </c>
      <c r="I2" s="208" t="s">
        <v>13845</v>
      </c>
      <c r="J2" s="208" t="s">
        <v>3370</v>
      </c>
      <c r="M2" s="134">
        <v>0</v>
      </c>
      <c r="N2" s="134">
        <v>0</v>
      </c>
      <c r="O2" s="208" t="s">
        <v>4533</v>
      </c>
      <c r="P2" s="208" t="s">
        <v>13846</v>
      </c>
      <c r="Q2" s="208" t="s">
        <v>1612</v>
      </c>
      <c r="R2" s="208" t="s">
        <v>13851</v>
      </c>
      <c r="U2" s="208" t="s">
        <v>491</v>
      </c>
      <c r="X2" s="208">
        <v>0</v>
      </c>
    </row>
    <row r="3" spans="1:24" x14ac:dyDescent="0.25">
      <c r="A3" s="234">
        <v>43480</v>
      </c>
      <c r="B3" t="s">
        <v>569</v>
      </c>
      <c r="C3" t="s">
        <v>899</v>
      </c>
      <c r="D3" t="s">
        <v>9981</v>
      </c>
      <c r="F3" t="s">
        <v>14015</v>
      </c>
      <c r="G3" t="s">
        <v>14016</v>
      </c>
      <c r="H3" t="s">
        <v>607</v>
      </c>
      <c r="I3" t="s">
        <v>5653</v>
      </c>
      <c r="J3" t="s">
        <v>899</v>
      </c>
      <c r="K3" t="s">
        <v>14017</v>
      </c>
      <c r="L3" t="s">
        <v>14018</v>
      </c>
      <c r="M3" s="134">
        <v>0</v>
      </c>
      <c r="N3" s="134">
        <v>0</v>
      </c>
      <c r="O3" t="s">
        <v>10765</v>
      </c>
      <c r="P3" t="s">
        <v>14019</v>
      </c>
      <c r="Q3" t="s">
        <v>29</v>
      </c>
      <c r="R3" t="s">
        <v>14020</v>
      </c>
      <c r="U3" t="s">
        <v>12797</v>
      </c>
      <c r="X3">
        <v>1</v>
      </c>
    </row>
    <row r="4" spans="1:24" x14ac:dyDescent="0.25">
      <c r="A4" s="234">
        <v>43495</v>
      </c>
      <c r="B4" t="s">
        <v>5176</v>
      </c>
      <c r="C4" t="s">
        <v>604</v>
      </c>
      <c r="D4" t="s">
        <v>595</v>
      </c>
      <c r="F4" t="s">
        <v>14138</v>
      </c>
      <c r="H4" t="s">
        <v>607</v>
      </c>
      <c r="I4" t="s">
        <v>1487</v>
      </c>
      <c r="J4" t="s">
        <v>604</v>
      </c>
      <c r="M4" s="134">
        <v>0</v>
      </c>
      <c r="N4" s="134">
        <v>0</v>
      </c>
      <c r="O4" t="s">
        <v>10763</v>
      </c>
      <c r="P4" t="s">
        <v>14258</v>
      </c>
      <c r="Q4" t="s">
        <v>29</v>
      </c>
      <c r="R4" t="s">
        <v>14139</v>
      </c>
      <c r="U4" t="s">
        <v>491</v>
      </c>
      <c r="X4">
        <v>1</v>
      </c>
    </row>
    <row r="5" spans="1:24" x14ac:dyDescent="0.25">
      <c r="A5" s="234">
        <v>43510</v>
      </c>
      <c r="B5" t="s">
        <v>9240</v>
      </c>
      <c r="C5" t="s">
        <v>603</v>
      </c>
      <c r="D5" t="s">
        <v>9849</v>
      </c>
      <c r="E5" t="s">
        <v>821</v>
      </c>
      <c r="F5" t="s">
        <v>1118</v>
      </c>
      <c r="H5" t="s">
        <v>607</v>
      </c>
      <c r="M5" s="134">
        <v>0</v>
      </c>
      <c r="N5" s="134">
        <v>0</v>
      </c>
      <c r="O5" t="s">
        <v>10766</v>
      </c>
      <c r="P5" t="s">
        <v>14379</v>
      </c>
      <c r="Q5" t="s">
        <v>29</v>
      </c>
      <c r="R5" t="s">
        <v>14380</v>
      </c>
      <c r="U5" t="s">
        <v>491</v>
      </c>
      <c r="X5">
        <v>1</v>
      </c>
    </row>
    <row r="6" spans="1:24" x14ac:dyDescent="0.25">
      <c r="A6" s="234">
        <v>43516</v>
      </c>
      <c r="B6" t="s">
        <v>9240</v>
      </c>
      <c r="C6" t="s">
        <v>603</v>
      </c>
      <c r="D6" t="s">
        <v>9241</v>
      </c>
      <c r="F6" t="s">
        <v>14458</v>
      </c>
      <c r="G6" t="s">
        <v>11187</v>
      </c>
      <c r="H6" t="s">
        <v>607</v>
      </c>
      <c r="I6" t="s">
        <v>14459</v>
      </c>
      <c r="J6" t="s">
        <v>4031</v>
      </c>
      <c r="K6" t="s">
        <v>14460</v>
      </c>
      <c r="M6" s="134">
        <v>0</v>
      </c>
      <c r="N6" s="134">
        <v>0</v>
      </c>
      <c r="O6" t="s">
        <v>10766</v>
      </c>
      <c r="P6" t="s">
        <v>14567</v>
      </c>
      <c r="Q6" t="s">
        <v>620</v>
      </c>
      <c r="R6" t="s">
        <v>14461</v>
      </c>
      <c r="U6" t="s">
        <v>12797</v>
      </c>
      <c r="X6">
        <v>0</v>
      </c>
    </row>
    <row r="7" spans="1:24" x14ac:dyDescent="0.25">
      <c r="A7" s="234">
        <v>43552</v>
      </c>
      <c r="B7" t="s">
        <v>13559</v>
      </c>
      <c r="C7" t="s">
        <v>5610</v>
      </c>
      <c r="D7" t="s">
        <v>8040</v>
      </c>
      <c r="F7" t="s">
        <v>8966</v>
      </c>
      <c r="H7" t="s">
        <v>607</v>
      </c>
      <c r="J7" t="s">
        <v>5610</v>
      </c>
      <c r="M7" s="134">
        <v>0</v>
      </c>
      <c r="N7" s="134">
        <v>0</v>
      </c>
      <c r="O7" t="s">
        <v>6745</v>
      </c>
      <c r="P7" t="s">
        <v>14896</v>
      </c>
      <c r="Q7" t="s">
        <v>1939</v>
      </c>
      <c r="R7" t="s">
        <v>14897</v>
      </c>
      <c r="U7" t="s">
        <v>491</v>
      </c>
      <c r="X7">
        <v>0</v>
      </c>
    </row>
    <row r="8" spans="1:24" x14ac:dyDescent="0.25">
      <c r="A8" s="234">
        <v>43586</v>
      </c>
      <c r="B8" t="s">
        <v>569</v>
      </c>
      <c r="C8" t="s">
        <v>899</v>
      </c>
      <c r="D8" t="s">
        <v>611</v>
      </c>
      <c r="F8" t="s">
        <v>9308</v>
      </c>
      <c r="G8" t="s">
        <v>7830</v>
      </c>
      <c r="H8" t="s">
        <v>607</v>
      </c>
      <c r="I8" t="s">
        <v>4973</v>
      </c>
      <c r="J8" t="s">
        <v>899</v>
      </c>
      <c r="K8" t="s">
        <v>15380</v>
      </c>
      <c r="L8">
        <v>5</v>
      </c>
      <c r="M8" s="134">
        <v>0</v>
      </c>
      <c r="N8" s="134">
        <v>0</v>
      </c>
      <c r="O8" t="s">
        <v>4533</v>
      </c>
      <c r="P8" t="s">
        <v>15381</v>
      </c>
      <c r="Q8" t="s">
        <v>1939</v>
      </c>
      <c r="R8" t="s">
        <v>15382</v>
      </c>
      <c r="U8" t="s">
        <v>491</v>
      </c>
      <c r="X8">
        <v>0</v>
      </c>
    </row>
    <row r="9" spans="1:24" x14ac:dyDescent="0.25">
      <c r="A9" s="234">
        <v>43592</v>
      </c>
      <c r="B9" t="s">
        <v>5956</v>
      </c>
      <c r="C9" t="s">
        <v>3369</v>
      </c>
      <c r="D9" t="s">
        <v>15443</v>
      </c>
      <c r="F9" t="s">
        <v>15444</v>
      </c>
      <c r="G9" t="s">
        <v>256</v>
      </c>
      <c r="H9" t="s">
        <v>607</v>
      </c>
      <c r="J9" t="s">
        <v>3617</v>
      </c>
      <c r="M9" s="134">
        <v>0</v>
      </c>
      <c r="N9" s="134">
        <v>0</v>
      </c>
      <c r="O9" t="s">
        <v>6745</v>
      </c>
      <c r="P9" t="s">
        <v>15445</v>
      </c>
      <c r="Q9" t="s">
        <v>1939</v>
      </c>
      <c r="R9" t="s">
        <v>15446</v>
      </c>
      <c r="U9" t="s">
        <v>491</v>
      </c>
      <c r="X9">
        <v>0</v>
      </c>
    </row>
    <row r="10" spans="1:24" x14ac:dyDescent="0.25">
      <c r="A10" s="234">
        <v>43602</v>
      </c>
      <c r="B10" t="s">
        <v>9240</v>
      </c>
      <c r="C10" t="s">
        <v>603</v>
      </c>
      <c r="D10" t="s">
        <v>7814</v>
      </c>
      <c r="H10" t="s">
        <v>607</v>
      </c>
      <c r="M10" s="134">
        <v>0</v>
      </c>
      <c r="N10" s="134">
        <v>0</v>
      </c>
      <c r="O10" t="s">
        <v>10763</v>
      </c>
      <c r="P10" t="s">
        <v>15645</v>
      </c>
      <c r="Q10" t="s">
        <v>29</v>
      </c>
      <c r="R10" t="s">
        <v>15648</v>
      </c>
      <c r="U10" t="s">
        <v>12344</v>
      </c>
      <c r="X10">
        <v>1</v>
      </c>
    </row>
    <row r="11" spans="1:24" x14ac:dyDescent="0.25">
      <c r="A11" s="234">
        <v>43614</v>
      </c>
      <c r="B11" t="s">
        <v>643</v>
      </c>
      <c r="C11" t="s">
        <v>644</v>
      </c>
      <c r="D11" t="s">
        <v>645</v>
      </c>
      <c r="F11" t="s">
        <v>15795</v>
      </c>
      <c r="G11" t="s">
        <v>7855</v>
      </c>
      <c r="H11" t="s">
        <v>607</v>
      </c>
      <c r="I11" t="s">
        <v>8756</v>
      </c>
      <c r="J11" t="s">
        <v>3398</v>
      </c>
      <c r="M11" s="134">
        <v>0</v>
      </c>
      <c r="N11" s="134">
        <v>0</v>
      </c>
      <c r="O11" t="s">
        <v>7564</v>
      </c>
      <c r="P11" t="s">
        <v>15796</v>
      </c>
      <c r="Q11" t="s">
        <v>29</v>
      </c>
      <c r="R11" t="s">
        <v>15797</v>
      </c>
      <c r="U11" t="s">
        <v>491</v>
      </c>
      <c r="X11">
        <v>1</v>
      </c>
    </row>
    <row r="12" spans="1:24" x14ac:dyDescent="0.25">
      <c r="A12" s="234">
        <v>43104</v>
      </c>
      <c r="B12" t="s">
        <v>569</v>
      </c>
      <c r="C12" t="s">
        <v>899</v>
      </c>
      <c r="D12" t="s">
        <v>930</v>
      </c>
      <c r="E12" t="s">
        <v>1707</v>
      </c>
      <c r="F12" t="s">
        <v>10193</v>
      </c>
      <c r="G12" t="s">
        <v>10194</v>
      </c>
      <c r="H12" t="s">
        <v>607</v>
      </c>
      <c r="J12" t="s">
        <v>899</v>
      </c>
      <c r="M12" s="134">
        <v>0</v>
      </c>
      <c r="N12" s="134">
        <v>0</v>
      </c>
      <c r="O12" t="s">
        <v>4533</v>
      </c>
      <c r="P12" t="s">
        <v>10195</v>
      </c>
      <c r="Q12" t="s">
        <v>1939</v>
      </c>
      <c r="R12" t="s">
        <v>10196</v>
      </c>
      <c r="S12" t="s">
        <v>833</v>
      </c>
      <c r="U12" t="s">
        <v>491</v>
      </c>
      <c r="X12">
        <v>0</v>
      </c>
    </row>
    <row r="13" spans="1:24" x14ac:dyDescent="0.25">
      <c r="A13" s="234">
        <v>43118</v>
      </c>
      <c r="B13" t="s">
        <v>569</v>
      </c>
      <c r="C13" t="s">
        <v>899</v>
      </c>
      <c r="D13" t="s">
        <v>930</v>
      </c>
      <c r="E13" t="s">
        <v>588</v>
      </c>
      <c r="F13" t="s">
        <v>461</v>
      </c>
      <c r="G13" t="s">
        <v>8331</v>
      </c>
      <c r="H13" t="s">
        <v>886</v>
      </c>
      <c r="M13" s="134">
        <v>0</v>
      </c>
      <c r="N13" s="134">
        <v>0</v>
      </c>
      <c r="O13" t="s">
        <v>10762</v>
      </c>
      <c r="P13" t="s">
        <v>10029</v>
      </c>
      <c r="Q13" t="s">
        <v>1939</v>
      </c>
      <c r="R13" t="s">
        <v>10030</v>
      </c>
      <c r="U13" t="s">
        <v>491</v>
      </c>
      <c r="X13">
        <v>0</v>
      </c>
    </row>
    <row r="14" spans="1:24" x14ac:dyDescent="0.25">
      <c r="A14" s="234">
        <v>43124</v>
      </c>
      <c r="B14" t="s">
        <v>9240</v>
      </c>
      <c r="C14" t="s">
        <v>603</v>
      </c>
      <c r="D14" t="s">
        <v>9849</v>
      </c>
      <c r="E14" t="s">
        <v>821</v>
      </c>
      <c r="F14" t="s">
        <v>8966</v>
      </c>
      <c r="H14" t="s">
        <v>905</v>
      </c>
      <c r="J14" t="s">
        <v>3398</v>
      </c>
      <c r="M14" s="134">
        <v>0</v>
      </c>
      <c r="N14" s="134">
        <v>0</v>
      </c>
      <c r="O14" t="s">
        <v>10764</v>
      </c>
      <c r="P14" t="s">
        <v>10083</v>
      </c>
      <c r="Q14" t="s">
        <v>620</v>
      </c>
      <c r="R14" t="s">
        <v>10084</v>
      </c>
      <c r="U14" t="s">
        <v>491</v>
      </c>
      <c r="X14">
        <v>0</v>
      </c>
    </row>
    <row r="15" spans="1:24" x14ac:dyDescent="0.25">
      <c r="A15" s="234">
        <v>43126</v>
      </c>
      <c r="B15" t="s">
        <v>569</v>
      </c>
      <c r="C15" t="s">
        <v>899</v>
      </c>
      <c r="D15" t="s">
        <v>625</v>
      </c>
      <c r="E15" t="s">
        <v>821</v>
      </c>
      <c r="F15" t="s">
        <v>9746</v>
      </c>
      <c r="G15" t="s">
        <v>7662</v>
      </c>
      <c r="H15" t="s">
        <v>905</v>
      </c>
      <c r="I15" t="s">
        <v>4057</v>
      </c>
      <c r="J15" t="s">
        <v>899</v>
      </c>
      <c r="M15" s="134">
        <v>0</v>
      </c>
      <c r="N15" s="134">
        <v>0</v>
      </c>
      <c r="O15" t="s">
        <v>7564</v>
      </c>
      <c r="P15" t="s">
        <v>10146</v>
      </c>
      <c r="Q15" t="s">
        <v>1939</v>
      </c>
      <c r="R15" t="s">
        <v>10147</v>
      </c>
      <c r="U15" t="s">
        <v>491</v>
      </c>
      <c r="X15">
        <v>0</v>
      </c>
    </row>
    <row r="16" spans="1:24" x14ac:dyDescent="0.25">
      <c r="A16" s="234">
        <v>43131</v>
      </c>
      <c r="B16" t="s">
        <v>569</v>
      </c>
      <c r="C16" t="s">
        <v>899</v>
      </c>
      <c r="D16" t="s">
        <v>930</v>
      </c>
      <c r="E16" t="s">
        <v>821</v>
      </c>
      <c r="F16" t="s">
        <v>10174</v>
      </c>
      <c r="G16" t="s">
        <v>10175</v>
      </c>
      <c r="H16" t="s">
        <v>607</v>
      </c>
      <c r="J16" t="s">
        <v>899</v>
      </c>
      <c r="M16" s="134">
        <v>0</v>
      </c>
      <c r="N16" s="134">
        <v>0</v>
      </c>
      <c r="O16" t="s">
        <v>10766</v>
      </c>
      <c r="P16" t="s">
        <v>10176</v>
      </c>
      <c r="Q16" t="s">
        <v>1939</v>
      </c>
      <c r="R16" t="s">
        <v>10177</v>
      </c>
      <c r="U16" t="s">
        <v>491</v>
      </c>
      <c r="X16">
        <v>0</v>
      </c>
    </row>
    <row r="17" spans="1:24" x14ac:dyDescent="0.25">
      <c r="A17" s="234">
        <v>43131</v>
      </c>
      <c r="B17" t="s">
        <v>569</v>
      </c>
      <c r="C17" t="s">
        <v>899</v>
      </c>
      <c r="D17" t="s">
        <v>625</v>
      </c>
      <c r="E17" t="s">
        <v>821</v>
      </c>
      <c r="F17" t="s">
        <v>10178</v>
      </c>
      <c r="G17" t="s">
        <v>7757</v>
      </c>
      <c r="H17" t="s">
        <v>607</v>
      </c>
      <c r="I17" t="s">
        <v>4057</v>
      </c>
      <c r="J17" t="s">
        <v>899</v>
      </c>
      <c r="M17" s="134">
        <v>0</v>
      </c>
      <c r="N17" s="134">
        <v>0</v>
      </c>
      <c r="O17" t="s">
        <v>7564</v>
      </c>
      <c r="P17" t="s">
        <v>10179</v>
      </c>
      <c r="Q17" t="s">
        <v>592</v>
      </c>
      <c r="R17" t="s">
        <v>10190</v>
      </c>
      <c r="U17" t="s">
        <v>491</v>
      </c>
      <c r="X17">
        <v>0</v>
      </c>
    </row>
    <row r="18" spans="1:24" x14ac:dyDescent="0.25">
      <c r="A18" s="234">
        <v>43132</v>
      </c>
      <c r="B18" t="s">
        <v>5176</v>
      </c>
      <c r="C18" t="s">
        <v>604</v>
      </c>
      <c r="D18" t="s">
        <v>595</v>
      </c>
      <c r="E18" t="s">
        <v>821</v>
      </c>
      <c r="F18" t="s">
        <v>8966</v>
      </c>
      <c r="H18" t="s">
        <v>886</v>
      </c>
      <c r="J18" t="s">
        <v>604</v>
      </c>
      <c r="M18" s="134">
        <v>0</v>
      </c>
      <c r="N18" s="134">
        <v>0</v>
      </c>
      <c r="O18" t="s">
        <v>2295</v>
      </c>
      <c r="P18" t="s">
        <v>10226</v>
      </c>
      <c r="Q18" t="s">
        <v>29</v>
      </c>
      <c r="R18" t="s">
        <v>10227</v>
      </c>
      <c r="S18" t="s">
        <v>10228</v>
      </c>
      <c r="U18" t="s">
        <v>491</v>
      </c>
      <c r="X18">
        <v>1</v>
      </c>
    </row>
    <row r="19" spans="1:24" x14ac:dyDescent="0.25">
      <c r="A19" s="234">
        <v>43133</v>
      </c>
      <c r="B19" t="s">
        <v>5956</v>
      </c>
      <c r="C19" t="s">
        <v>3369</v>
      </c>
      <c r="D19" t="s">
        <v>1016</v>
      </c>
      <c r="E19" t="s">
        <v>588</v>
      </c>
      <c r="F19" t="s">
        <v>8966</v>
      </c>
      <c r="H19" t="s">
        <v>607</v>
      </c>
      <c r="M19" s="134">
        <v>0</v>
      </c>
      <c r="N19" s="134">
        <v>0</v>
      </c>
      <c r="O19" t="s">
        <v>4533</v>
      </c>
      <c r="P19" t="s">
        <v>10233</v>
      </c>
      <c r="Q19" t="s">
        <v>620</v>
      </c>
      <c r="R19" t="s">
        <v>10234</v>
      </c>
      <c r="U19" t="s">
        <v>491</v>
      </c>
      <c r="X19">
        <v>0</v>
      </c>
    </row>
    <row r="20" spans="1:24" x14ac:dyDescent="0.25">
      <c r="A20" s="234">
        <v>43136</v>
      </c>
      <c r="B20" t="s">
        <v>569</v>
      </c>
      <c r="C20" t="s">
        <v>899</v>
      </c>
      <c r="D20" t="s">
        <v>625</v>
      </c>
      <c r="E20" t="s">
        <v>588</v>
      </c>
      <c r="F20" t="s">
        <v>10235</v>
      </c>
      <c r="G20" t="s">
        <v>10236</v>
      </c>
      <c r="H20" t="s">
        <v>10832</v>
      </c>
      <c r="I20" t="s">
        <v>3382</v>
      </c>
      <c r="J20" t="s">
        <v>899</v>
      </c>
      <c r="M20" s="134">
        <v>0</v>
      </c>
      <c r="N20" s="134">
        <v>0</v>
      </c>
      <c r="O20" t="s">
        <v>10762</v>
      </c>
      <c r="P20" t="s">
        <v>10237</v>
      </c>
      <c r="Q20" t="s">
        <v>1939</v>
      </c>
      <c r="R20" t="s">
        <v>10238</v>
      </c>
      <c r="U20" t="s">
        <v>491</v>
      </c>
      <c r="X20">
        <v>0</v>
      </c>
    </row>
    <row r="21" spans="1:24" x14ac:dyDescent="0.25">
      <c r="A21" s="234">
        <v>43146</v>
      </c>
      <c r="B21" t="s">
        <v>569</v>
      </c>
      <c r="C21" t="s">
        <v>899</v>
      </c>
      <c r="D21" t="s">
        <v>625</v>
      </c>
      <c r="E21" t="s">
        <v>588</v>
      </c>
      <c r="F21" t="s">
        <v>10354</v>
      </c>
      <c r="G21" t="s">
        <v>10355</v>
      </c>
      <c r="H21" t="s">
        <v>607</v>
      </c>
      <c r="J21" t="s">
        <v>899</v>
      </c>
      <c r="M21" s="134">
        <v>0</v>
      </c>
      <c r="N21" s="134">
        <v>0</v>
      </c>
      <c r="O21" t="s">
        <v>7564</v>
      </c>
      <c r="P21" t="s">
        <v>10358</v>
      </c>
      <c r="Q21" t="s">
        <v>1939</v>
      </c>
      <c r="R21" t="s">
        <v>10359</v>
      </c>
      <c r="U21" t="s">
        <v>491</v>
      </c>
      <c r="X21">
        <v>0</v>
      </c>
    </row>
    <row r="22" spans="1:24" x14ac:dyDescent="0.25">
      <c r="A22" s="234">
        <v>43146</v>
      </c>
      <c r="B22" t="s">
        <v>569</v>
      </c>
      <c r="C22" t="s">
        <v>899</v>
      </c>
      <c r="D22" t="s">
        <v>930</v>
      </c>
      <c r="E22" t="s">
        <v>588</v>
      </c>
      <c r="F22" t="s">
        <v>10356</v>
      </c>
      <c r="G22" t="s">
        <v>10357</v>
      </c>
      <c r="H22" t="s">
        <v>607</v>
      </c>
      <c r="J22" t="s">
        <v>899</v>
      </c>
      <c r="M22" s="134">
        <v>0</v>
      </c>
      <c r="N22" s="134">
        <v>0</v>
      </c>
      <c r="O22" t="s">
        <v>10762</v>
      </c>
      <c r="P22" t="s">
        <v>10360</v>
      </c>
      <c r="Q22" t="s">
        <v>1939</v>
      </c>
      <c r="R22" t="s">
        <v>10361</v>
      </c>
      <c r="U22" t="s">
        <v>491</v>
      </c>
      <c r="X22">
        <v>0</v>
      </c>
    </row>
    <row r="23" spans="1:24" x14ac:dyDescent="0.25">
      <c r="A23" s="234">
        <v>43152</v>
      </c>
      <c r="B23" t="s">
        <v>569</v>
      </c>
      <c r="C23" t="s">
        <v>899</v>
      </c>
      <c r="D23" t="s">
        <v>625</v>
      </c>
      <c r="E23" t="s">
        <v>588</v>
      </c>
      <c r="F23" t="s">
        <v>10362</v>
      </c>
      <c r="G23" t="s">
        <v>930</v>
      </c>
      <c r="H23" t="s">
        <v>10831</v>
      </c>
      <c r="I23" t="s">
        <v>3536</v>
      </c>
      <c r="J23" t="s">
        <v>899</v>
      </c>
      <c r="M23" s="134">
        <v>0</v>
      </c>
      <c r="N23" s="134">
        <v>0</v>
      </c>
      <c r="O23" t="s">
        <v>10766</v>
      </c>
      <c r="P23" t="s">
        <v>10442</v>
      </c>
      <c r="Q23" t="s">
        <v>620</v>
      </c>
      <c r="R23" t="s">
        <v>10363</v>
      </c>
      <c r="U23" t="s">
        <v>491</v>
      </c>
      <c r="X23">
        <v>0</v>
      </c>
    </row>
    <row r="24" spans="1:24" x14ac:dyDescent="0.25">
      <c r="A24" s="234">
        <v>43161</v>
      </c>
      <c r="B24" t="s">
        <v>9240</v>
      </c>
      <c r="C24" t="s">
        <v>603</v>
      </c>
      <c r="D24" t="s">
        <v>7814</v>
      </c>
      <c r="E24" t="s">
        <v>588</v>
      </c>
      <c r="F24" t="s">
        <v>10404</v>
      </c>
      <c r="G24" t="s">
        <v>10450</v>
      </c>
      <c r="H24" t="s">
        <v>607</v>
      </c>
      <c r="J24" t="s">
        <v>5610</v>
      </c>
      <c r="M24" s="134">
        <v>0</v>
      </c>
      <c r="N24" s="134">
        <v>0</v>
      </c>
      <c r="O24" t="s">
        <v>4533</v>
      </c>
      <c r="P24" t="s">
        <v>10452</v>
      </c>
      <c r="Q24" t="s">
        <v>1939</v>
      </c>
      <c r="R24" t="s">
        <v>10451</v>
      </c>
      <c r="U24" t="s">
        <v>491</v>
      </c>
      <c r="X24">
        <v>0</v>
      </c>
    </row>
    <row r="25" spans="1:24" x14ac:dyDescent="0.25">
      <c r="A25" s="234">
        <v>43164</v>
      </c>
      <c r="B25" t="s">
        <v>569</v>
      </c>
      <c r="C25" t="s">
        <v>899</v>
      </c>
      <c r="D25" t="s">
        <v>625</v>
      </c>
      <c r="E25" t="s">
        <v>588</v>
      </c>
      <c r="F25" t="s">
        <v>10457</v>
      </c>
      <c r="G25" t="s">
        <v>10458</v>
      </c>
      <c r="H25" t="s">
        <v>607</v>
      </c>
      <c r="J25" t="s">
        <v>899</v>
      </c>
      <c r="M25" s="134">
        <v>0</v>
      </c>
      <c r="N25" s="134">
        <v>0</v>
      </c>
      <c r="O25" t="s">
        <v>10765</v>
      </c>
      <c r="P25" t="s">
        <v>10459</v>
      </c>
      <c r="Q25" t="s">
        <v>1939</v>
      </c>
      <c r="R25" t="s">
        <v>10460</v>
      </c>
      <c r="U25" t="s">
        <v>491</v>
      </c>
      <c r="X25">
        <v>0</v>
      </c>
    </row>
    <row r="26" spans="1:24" x14ac:dyDescent="0.25">
      <c r="A26" s="234">
        <v>43165</v>
      </c>
      <c r="B26" t="s">
        <v>569</v>
      </c>
      <c r="C26" t="s">
        <v>899</v>
      </c>
      <c r="D26" t="s">
        <v>930</v>
      </c>
      <c r="E26" t="s">
        <v>821</v>
      </c>
      <c r="F26" t="s">
        <v>10463</v>
      </c>
      <c r="G26" t="s">
        <v>256</v>
      </c>
      <c r="H26" t="s">
        <v>607</v>
      </c>
      <c r="I26" t="s">
        <v>8479</v>
      </c>
      <c r="J26" t="s">
        <v>899</v>
      </c>
      <c r="M26" s="134">
        <v>0</v>
      </c>
      <c r="N26" s="134">
        <v>0</v>
      </c>
      <c r="O26" t="s">
        <v>10766</v>
      </c>
      <c r="P26" t="s">
        <v>10624</v>
      </c>
      <c r="Q26" t="s">
        <v>1939</v>
      </c>
      <c r="R26" t="s">
        <v>10468</v>
      </c>
      <c r="U26" t="s">
        <v>491</v>
      </c>
      <c r="X26">
        <v>0</v>
      </c>
    </row>
    <row r="27" spans="1:24" x14ac:dyDescent="0.25">
      <c r="A27" s="234">
        <v>43172</v>
      </c>
      <c r="B27" t="s">
        <v>569</v>
      </c>
      <c r="C27" t="s">
        <v>899</v>
      </c>
      <c r="D27" t="s">
        <v>625</v>
      </c>
      <c r="E27" t="s">
        <v>821</v>
      </c>
      <c r="F27" t="s">
        <v>10473</v>
      </c>
      <c r="G27" t="s">
        <v>10474</v>
      </c>
      <c r="H27" t="s">
        <v>809</v>
      </c>
      <c r="J27" t="s">
        <v>899</v>
      </c>
      <c r="M27" s="134">
        <v>0</v>
      </c>
      <c r="N27" s="134">
        <v>0</v>
      </c>
      <c r="O27" t="s">
        <v>10766</v>
      </c>
      <c r="P27" t="s">
        <v>10475</v>
      </c>
      <c r="Q27" t="s">
        <v>592</v>
      </c>
      <c r="R27" t="s">
        <v>10476</v>
      </c>
      <c r="U27" t="s">
        <v>491</v>
      </c>
      <c r="X27">
        <v>0</v>
      </c>
    </row>
    <row r="28" spans="1:24" x14ac:dyDescent="0.25">
      <c r="A28" s="234">
        <v>43172</v>
      </c>
      <c r="B28" t="s">
        <v>569</v>
      </c>
      <c r="C28" t="s">
        <v>899</v>
      </c>
      <c r="D28" t="s">
        <v>930</v>
      </c>
      <c r="E28" t="s">
        <v>588</v>
      </c>
      <c r="F28" t="s">
        <v>10583</v>
      </c>
      <c r="G28" t="s">
        <v>10583</v>
      </c>
      <c r="H28" t="s">
        <v>1050</v>
      </c>
      <c r="I28" t="s">
        <v>4085</v>
      </c>
      <c r="J28" t="s">
        <v>899</v>
      </c>
      <c r="M28" s="134">
        <v>0</v>
      </c>
      <c r="N28" s="134">
        <v>0</v>
      </c>
      <c r="O28" t="s">
        <v>2295</v>
      </c>
      <c r="P28" t="s">
        <v>10582</v>
      </c>
      <c r="Q28" t="s">
        <v>592</v>
      </c>
      <c r="R28" t="s">
        <v>10581</v>
      </c>
      <c r="U28" t="s">
        <v>1327</v>
      </c>
      <c r="X28">
        <v>0</v>
      </c>
    </row>
    <row r="29" spans="1:24" x14ac:dyDescent="0.25">
      <c r="A29" s="234">
        <v>43173</v>
      </c>
      <c r="B29" t="s">
        <v>569</v>
      </c>
      <c r="C29" t="s">
        <v>899</v>
      </c>
      <c r="D29" t="s">
        <v>930</v>
      </c>
      <c r="E29" t="s">
        <v>588</v>
      </c>
      <c r="F29" t="s">
        <v>10501</v>
      </c>
      <c r="G29" t="s">
        <v>10527</v>
      </c>
      <c r="H29" t="s">
        <v>10832</v>
      </c>
      <c r="I29" t="s">
        <v>5083</v>
      </c>
      <c r="J29" t="s">
        <v>899</v>
      </c>
      <c r="M29" s="134">
        <v>0</v>
      </c>
      <c r="N29" s="134">
        <v>0</v>
      </c>
      <c r="O29" t="s">
        <v>10765</v>
      </c>
      <c r="P29" t="s">
        <v>10528</v>
      </c>
      <c r="Q29" t="s">
        <v>1939</v>
      </c>
      <c r="R29" t="s">
        <v>10530</v>
      </c>
      <c r="U29" t="s">
        <v>491</v>
      </c>
      <c r="X29">
        <v>0</v>
      </c>
    </row>
    <row r="30" spans="1:24" x14ac:dyDescent="0.25">
      <c r="A30" s="234">
        <v>43174</v>
      </c>
      <c r="B30" t="s">
        <v>9240</v>
      </c>
      <c r="C30" t="s">
        <v>603</v>
      </c>
      <c r="D30" t="s">
        <v>7814</v>
      </c>
      <c r="E30" t="s">
        <v>588</v>
      </c>
      <c r="F30" t="s">
        <v>7831</v>
      </c>
      <c r="G30" t="s">
        <v>10611</v>
      </c>
      <c r="H30" t="s">
        <v>905</v>
      </c>
      <c r="I30" t="s">
        <v>10612</v>
      </c>
      <c r="J30" t="s">
        <v>603</v>
      </c>
      <c r="M30" s="134">
        <v>0</v>
      </c>
      <c r="N30" s="134">
        <v>0</v>
      </c>
      <c r="O30" t="s">
        <v>6745</v>
      </c>
      <c r="P30" t="s">
        <v>10613</v>
      </c>
      <c r="Q30" t="s">
        <v>1939</v>
      </c>
      <c r="R30" t="s">
        <v>10614</v>
      </c>
      <c r="U30" t="s">
        <v>491</v>
      </c>
      <c r="X30">
        <v>0</v>
      </c>
    </row>
    <row r="31" spans="1:24" x14ac:dyDescent="0.25">
      <c r="A31" s="234">
        <v>43187</v>
      </c>
      <c r="B31" t="s">
        <v>569</v>
      </c>
      <c r="C31" t="s">
        <v>899</v>
      </c>
      <c r="D31" t="s">
        <v>930</v>
      </c>
      <c r="E31" t="s">
        <v>588</v>
      </c>
      <c r="F31" t="s">
        <v>10708</v>
      </c>
      <c r="G31" t="s">
        <v>10709</v>
      </c>
      <c r="H31" t="s">
        <v>607</v>
      </c>
      <c r="I31" t="s">
        <v>10112</v>
      </c>
      <c r="J31" t="s">
        <v>899</v>
      </c>
      <c r="M31" s="134">
        <v>0</v>
      </c>
      <c r="N31" s="134">
        <v>0</v>
      </c>
      <c r="O31" t="s">
        <v>7564</v>
      </c>
      <c r="P31" t="s">
        <v>10710</v>
      </c>
      <c r="Q31" t="s">
        <v>592</v>
      </c>
      <c r="R31" t="s">
        <v>10711</v>
      </c>
      <c r="U31" t="s">
        <v>1327</v>
      </c>
      <c r="X31">
        <v>0</v>
      </c>
    </row>
    <row r="32" spans="1:24" x14ac:dyDescent="0.25">
      <c r="A32" s="234">
        <v>43187</v>
      </c>
      <c r="B32" t="s">
        <v>569</v>
      </c>
      <c r="C32" t="s">
        <v>899</v>
      </c>
      <c r="D32" t="s">
        <v>625</v>
      </c>
      <c r="E32" t="s">
        <v>821</v>
      </c>
      <c r="F32" t="s">
        <v>10720</v>
      </c>
      <c r="G32" t="s">
        <v>10721</v>
      </c>
      <c r="H32" t="s">
        <v>607</v>
      </c>
      <c r="J32" t="s">
        <v>899</v>
      </c>
      <c r="M32" s="134">
        <v>0</v>
      </c>
      <c r="N32" s="134">
        <v>0</v>
      </c>
      <c r="O32" t="s">
        <v>10766</v>
      </c>
      <c r="P32" t="s">
        <v>10722</v>
      </c>
      <c r="Q32" t="s">
        <v>29</v>
      </c>
      <c r="R32" t="s">
        <v>10723</v>
      </c>
      <c r="U32" t="s">
        <v>491</v>
      </c>
      <c r="X32">
        <v>1</v>
      </c>
    </row>
    <row r="33" spans="1:24" x14ac:dyDescent="0.25">
      <c r="A33" s="234">
        <v>43187</v>
      </c>
      <c r="B33" t="s">
        <v>569</v>
      </c>
      <c r="C33" t="s">
        <v>899</v>
      </c>
      <c r="D33" t="s">
        <v>625</v>
      </c>
      <c r="E33" t="s">
        <v>821</v>
      </c>
      <c r="F33" t="s">
        <v>10724</v>
      </c>
      <c r="G33" t="s">
        <v>10725</v>
      </c>
      <c r="H33" t="s">
        <v>607</v>
      </c>
      <c r="J33" t="s">
        <v>899</v>
      </c>
      <c r="M33" s="134">
        <v>0</v>
      </c>
      <c r="N33" s="134">
        <v>0</v>
      </c>
      <c r="O33" t="s">
        <v>6745</v>
      </c>
      <c r="P33" t="s">
        <v>10726</v>
      </c>
      <c r="Q33" t="s">
        <v>620</v>
      </c>
      <c r="R33" t="s">
        <v>10727</v>
      </c>
      <c r="U33" t="s">
        <v>491</v>
      </c>
      <c r="X33">
        <v>0</v>
      </c>
    </row>
    <row r="34" spans="1:24" x14ac:dyDescent="0.25">
      <c r="A34" s="234">
        <v>43195</v>
      </c>
      <c r="B34" t="s">
        <v>569</v>
      </c>
      <c r="C34" t="s">
        <v>899</v>
      </c>
      <c r="D34" t="s">
        <v>624</v>
      </c>
      <c r="E34" t="s">
        <v>588</v>
      </c>
      <c r="F34" t="s">
        <v>10826</v>
      </c>
      <c r="G34" t="s">
        <v>9332</v>
      </c>
      <c r="H34" t="s">
        <v>905</v>
      </c>
      <c r="I34" t="s">
        <v>4763</v>
      </c>
      <c r="J34" t="s">
        <v>899</v>
      </c>
      <c r="M34" s="134">
        <v>0</v>
      </c>
      <c r="N34" s="134">
        <v>0</v>
      </c>
      <c r="O34" t="s">
        <v>2295</v>
      </c>
      <c r="P34" t="s">
        <v>10827</v>
      </c>
      <c r="Q34" t="s">
        <v>620</v>
      </c>
      <c r="R34" t="s">
        <v>10828</v>
      </c>
      <c r="U34" t="s">
        <v>491</v>
      </c>
      <c r="X34">
        <v>0</v>
      </c>
    </row>
    <row r="35" spans="1:24" x14ac:dyDescent="0.25">
      <c r="A35" s="234">
        <v>43199</v>
      </c>
      <c r="B35" t="s">
        <v>569</v>
      </c>
      <c r="C35" t="s">
        <v>899</v>
      </c>
      <c r="D35" t="s">
        <v>625</v>
      </c>
      <c r="E35" t="s">
        <v>588</v>
      </c>
      <c r="F35" t="s">
        <v>10875</v>
      </c>
      <c r="H35" t="s">
        <v>905</v>
      </c>
      <c r="I35" t="s">
        <v>10876</v>
      </c>
      <c r="J35" t="s">
        <v>899</v>
      </c>
      <c r="L35">
        <v>6</v>
      </c>
      <c r="M35" s="134">
        <v>0</v>
      </c>
      <c r="N35" s="134">
        <v>0</v>
      </c>
      <c r="O35" t="s">
        <v>10763</v>
      </c>
      <c r="P35" t="s">
        <v>10877</v>
      </c>
      <c r="Q35" t="s">
        <v>1939</v>
      </c>
      <c r="R35" t="s">
        <v>10878</v>
      </c>
      <c r="U35" t="s">
        <v>491</v>
      </c>
      <c r="X35">
        <v>0</v>
      </c>
    </row>
    <row r="36" spans="1:24" x14ac:dyDescent="0.25">
      <c r="A36" s="234">
        <v>43207</v>
      </c>
      <c r="B36" t="s">
        <v>5176</v>
      </c>
      <c r="C36" t="s">
        <v>959</v>
      </c>
      <c r="D36" t="s">
        <v>7790</v>
      </c>
      <c r="E36" t="s">
        <v>588</v>
      </c>
      <c r="F36" t="s">
        <v>10973</v>
      </c>
      <c r="G36" t="s">
        <v>7855</v>
      </c>
      <c r="H36" t="s">
        <v>809</v>
      </c>
      <c r="M36" s="134">
        <v>0</v>
      </c>
      <c r="N36" s="134">
        <v>0</v>
      </c>
      <c r="O36" t="s">
        <v>10766</v>
      </c>
      <c r="P36" t="s">
        <v>10974</v>
      </c>
      <c r="Q36" t="s">
        <v>1939</v>
      </c>
      <c r="R36" t="s">
        <v>10975</v>
      </c>
      <c r="U36" t="s">
        <v>1327</v>
      </c>
      <c r="X36">
        <v>0</v>
      </c>
    </row>
    <row r="37" spans="1:24" x14ac:dyDescent="0.25">
      <c r="A37" s="234">
        <v>43216</v>
      </c>
      <c r="B37" t="s">
        <v>5360</v>
      </c>
      <c r="C37" t="s">
        <v>899</v>
      </c>
      <c r="D37" t="s">
        <v>1027</v>
      </c>
      <c r="E37" t="s">
        <v>588</v>
      </c>
      <c r="F37" t="s">
        <v>11060</v>
      </c>
      <c r="G37" t="s">
        <v>8941</v>
      </c>
      <c r="H37" t="s">
        <v>607</v>
      </c>
      <c r="I37" t="s">
        <v>11061</v>
      </c>
      <c r="J37" t="s">
        <v>899</v>
      </c>
      <c r="M37" s="134">
        <v>0</v>
      </c>
      <c r="N37" s="134">
        <v>0</v>
      </c>
      <c r="O37" t="s">
        <v>10766</v>
      </c>
      <c r="P37" t="s">
        <v>11062</v>
      </c>
      <c r="Q37" t="s">
        <v>1939</v>
      </c>
      <c r="R37" t="s">
        <v>11063</v>
      </c>
      <c r="U37" t="s">
        <v>1327</v>
      </c>
      <c r="X37">
        <v>0</v>
      </c>
    </row>
    <row r="38" spans="1:24" x14ac:dyDescent="0.25">
      <c r="A38" s="234">
        <v>43223</v>
      </c>
      <c r="B38" t="s">
        <v>6076</v>
      </c>
      <c r="C38" t="s">
        <v>3370</v>
      </c>
      <c r="D38" t="s">
        <v>10524</v>
      </c>
      <c r="E38" t="s">
        <v>588</v>
      </c>
      <c r="F38" t="s">
        <v>11114</v>
      </c>
      <c r="H38" t="s">
        <v>607</v>
      </c>
      <c r="I38" t="s">
        <v>491</v>
      </c>
      <c r="J38" t="s">
        <v>3370</v>
      </c>
      <c r="M38" s="134">
        <v>0</v>
      </c>
      <c r="N38" s="134">
        <v>0</v>
      </c>
      <c r="O38" t="s">
        <v>10762</v>
      </c>
      <c r="P38" t="s">
        <v>11115</v>
      </c>
      <c r="Q38" t="s">
        <v>1939</v>
      </c>
      <c r="R38" t="s">
        <v>11116</v>
      </c>
      <c r="U38" t="s">
        <v>491</v>
      </c>
      <c r="X38">
        <v>0</v>
      </c>
    </row>
    <row r="39" spans="1:24" x14ac:dyDescent="0.25">
      <c r="A39" s="234">
        <v>43223</v>
      </c>
      <c r="B39" t="s">
        <v>569</v>
      </c>
      <c r="C39" t="s">
        <v>899</v>
      </c>
      <c r="D39" t="s">
        <v>625</v>
      </c>
      <c r="E39" t="s">
        <v>821</v>
      </c>
      <c r="F39" t="s">
        <v>8966</v>
      </c>
      <c r="H39" t="s">
        <v>905</v>
      </c>
      <c r="I39" t="s">
        <v>3649</v>
      </c>
      <c r="J39" t="s">
        <v>899</v>
      </c>
      <c r="M39" s="134">
        <v>0</v>
      </c>
      <c r="N39" s="134">
        <v>0</v>
      </c>
      <c r="O39" t="s">
        <v>10762</v>
      </c>
      <c r="P39" t="s">
        <v>11119</v>
      </c>
      <c r="Q39" t="s">
        <v>29</v>
      </c>
      <c r="R39" t="s">
        <v>11120</v>
      </c>
      <c r="U39" t="s">
        <v>491</v>
      </c>
      <c r="X39">
        <v>1</v>
      </c>
    </row>
    <row r="40" spans="1:24" x14ac:dyDescent="0.25">
      <c r="A40" s="234">
        <v>43231</v>
      </c>
      <c r="B40" t="s">
        <v>569</v>
      </c>
      <c r="C40" t="s">
        <v>899</v>
      </c>
      <c r="D40" t="s">
        <v>625</v>
      </c>
      <c r="E40" t="s">
        <v>692</v>
      </c>
      <c r="F40" t="s">
        <v>11154</v>
      </c>
      <c r="G40" t="s">
        <v>11155</v>
      </c>
      <c r="H40" t="s">
        <v>607</v>
      </c>
      <c r="J40" t="s">
        <v>899</v>
      </c>
      <c r="M40" s="134">
        <v>0</v>
      </c>
      <c r="N40" s="134">
        <v>0</v>
      </c>
      <c r="O40" t="s">
        <v>10766</v>
      </c>
      <c r="P40" t="s">
        <v>11156</v>
      </c>
      <c r="Q40" t="s">
        <v>1939</v>
      </c>
      <c r="R40" t="s">
        <v>11157</v>
      </c>
      <c r="U40" t="s">
        <v>491</v>
      </c>
      <c r="X40">
        <v>0</v>
      </c>
    </row>
    <row r="41" spans="1:24" x14ac:dyDescent="0.25">
      <c r="A41" s="234">
        <v>43241</v>
      </c>
      <c r="B41" t="s">
        <v>5176</v>
      </c>
      <c r="C41" t="s">
        <v>959</v>
      </c>
      <c r="D41" t="s">
        <v>595</v>
      </c>
      <c r="E41" t="s">
        <v>821</v>
      </c>
      <c r="F41" t="s">
        <v>11266</v>
      </c>
      <c r="G41" t="s">
        <v>10944</v>
      </c>
      <c r="H41" t="s">
        <v>5321</v>
      </c>
      <c r="I41" t="s">
        <v>11267</v>
      </c>
      <c r="J41" t="s">
        <v>959</v>
      </c>
      <c r="M41" s="134">
        <v>0</v>
      </c>
      <c r="N41" s="134">
        <v>0</v>
      </c>
      <c r="O41" t="s">
        <v>10762</v>
      </c>
      <c r="P41" t="s">
        <v>11401</v>
      </c>
      <c r="Q41" t="s">
        <v>1612</v>
      </c>
      <c r="R41" t="s">
        <v>11268</v>
      </c>
      <c r="U41" t="s">
        <v>491</v>
      </c>
      <c r="X41">
        <v>0</v>
      </c>
    </row>
    <row r="42" spans="1:24" x14ac:dyDescent="0.25">
      <c r="A42" s="234">
        <v>43258</v>
      </c>
      <c r="B42" t="s">
        <v>569</v>
      </c>
      <c r="C42" t="s">
        <v>899</v>
      </c>
      <c r="D42" t="s">
        <v>625</v>
      </c>
      <c r="E42" t="s">
        <v>588</v>
      </c>
      <c r="F42" t="s">
        <v>11426</v>
      </c>
      <c r="H42" t="s">
        <v>905</v>
      </c>
      <c r="I42" t="s">
        <v>3672</v>
      </c>
      <c r="J42" t="s">
        <v>899</v>
      </c>
      <c r="M42" s="134">
        <v>0</v>
      </c>
      <c r="N42" s="134">
        <v>0</v>
      </c>
      <c r="O42" t="s">
        <v>10766</v>
      </c>
      <c r="P42" t="s">
        <v>11427</v>
      </c>
      <c r="Q42" t="s">
        <v>29</v>
      </c>
      <c r="R42" t="s">
        <v>11428</v>
      </c>
      <c r="U42" t="s">
        <v>491</v>
      </c>
      <c r="X42">
        <v>1</v>
      </c>
    </row>
    <row r="43" spans="1:24" x14ac:dyDescent="0.25">
      <c r="A43" s="234">
        <v>43272</v>
      </c>
      <c r="B43" t="s">
        <v>5176</v>
      </c>
      <c r="C43" t="s">
        <v>604</v>
      </c>
      <c r="D43" t="s">
        <v>595</v>
      </c>
      <c r="E43" t="s">
        <v>821</v>
      </c>
      <c r="F43" t="s">
        <v>8966</v>
      </c>
      <c r="H43" t="s">
        <v>886</v>
      </c>
      <c r="M43" s="134">
        <v>0</v>
      </c>
      <c r="N43" s="134">
        <v>0</v>
      </c>
      <c r="O43" t="s">
        <v>2295</v>
      </c>
      <c r="P43" t="s">
        <v>11543</v>
      </c>
      <c r="Q43" t="s">
        <v>620</v>
      </c>
      <c r="R43" t="s">
        <v>11544</v>
      </c>
      <c r="U43" t="s">
        <v>1327</v>
      </c>
      <c r="X43">
        <v>0</v>
      </c>
    </row>
    <row r="44" spans="1:24" x14ac:dyDescent="0.25">
      <c r="A44" s="234">
        <v>43277</v>
      </c>
      <c r="B44" t="s">
        <v>6076</v>
      </c>
      <c r="C44" t="s">
        <v>3370</v>
      </c>
      <c r="D44" t="s">
        <v>10524</v>
      </c>
      <c r="E44" t="s">
        <v>588</v>
      </c>
      <c r="F44" t="s">
        <v>8966</v>
      </c>
      <c r="H44" t="s">
        <v>607</v>
      </c>
      <c r="I44" t="s">
        <v>4016</v>
      </c>
      <c r="J44" t="s">
        <v>3370</v>
      </c>
      <c r="M44" s="134">
        <v>0</v>
      </c>
      <c r="N44" s="134">
        <v>0</v>
      </c>
      <c r="O44" t="s">
        <v>6745</v>
      </c>
      <c r="P44" t="s">
        <v>11653</v>
      </c>
      <c r="Q44" t="s">
        <v>1939</v>
      </c>
      <c r="R44" t="s">
        <v>11654</v>
      </c>
      <c r="U44" t="s">
        <v>1327</v>
      </c>
      <c r="X44">
        <v>0</v>
      </c>
    </row>
    <row r="45" spans="1:24" x14ac:dyDescent="0.25">
      <c r="A45" s="234">
        <v>43299</v>
      </c>
      <c r="B45" t="s">
        <v>569</v>
      </c>
      <c r="C45" t="s">
        <v>899</v>
      </c>
      <c r="D45" t="s">
        <v>624</v>
      </c>
      <c r="E45" t="s">
        <v>588</v>
      </c>
      <c r="F45" t="s">
        <v>11829</v>
      </c>
      <c r="G45" t="s">
        <v>11829</v>
      </c>
      <c r="H45" t="s">
        <v>905</v>
      </c>
      <c r="I45" t="s">
        <v>8144</v>
      </c>
      <c r="J45" t="s">
        <v>899</v>
      </c>
      <c r="M45" s="134">
        <v>0</v>
      </c>
      <c r="N45" s="134">
        <v>0</v>
      </c>
      <c r="O45" t="s">
        <v>10762</v>
      </c>
      <c r="P45" t="s">
        <v>11828</v>
      </c>
      <c r="Q45" t="s">
        <v>29</v>
      </c>
      <c r="R45" t="s">
        <v>11827</v>
      </c>
      <c r="U45" t="s">
        <v>11539</v>
      </c>
      <c r="X45">
        <v>1</v>
      </c>
    </row>
    <row r="46" spans="1:24" x14ac:dyDescent="0.25">
      <c r="A46" s="234">
        <v>43314</v>
      </c>
      <c r="B46" t="s">
        <v>110</v>
      </c>
      <c r="C46" t="s">
        <v>761</v>
      </c>
      <c r="D46" t="s">
        <v>715</v>
      </c>
      <c r="E46" t="s">
        <v>588</v>
      </c>
      <c r="F46" t="s">
        <v>12019</v>
      </c>
      <c r="G46" t="s">
        <v>12020</v>
      </c>
      <c r="H46" t="s">
        <v>905</v>
      </c>
      <c r="I46" t="s">
        <v>3059</v>
      </c>
      <c r="J46" t="s">
        <v>761</v>
      </c>
      <c r="M46" s="134">
        <v>0</v>
      </c>
      <c r="N46" s="134">
        <v>0</v>
      </c>
      <c r="O46" t="s">
        <v>7564</v>
      </c>
      <c r="P46" t="s">
        <v>12021</v>
      </c>
      <c r="Q46" t="s">
        <v>29</v>
      </c>
      <c r="R46" t="s">
        <v>12024</v>
      </c>
      <c r="U46" t="s">
        <v>491</v>
      </c>
      <c r="X46">
        <v>1</v>
      </c>
    </row>
    <row r="47" spans="1:24" x14ac:dyDescent="0.25">
      <c r="A47" s="234">
        <v>43327</v>
      </c>
      <c r="B47" t="s">
        <v>9240</v>
      </c>
      <c r="C47" t="s">
        <v>603</v>
      </c>
      <c r="D47" t="s">
        <v>7814</v>
      </c>
      <c r="E47" t="s">
        <v>588</v>
      </c>
      <c r="F47" t="s">
        <v>12217</v>
      </c>
      <c r="G47" t="s">
        <v>12217</v>
      </c>
      <c r="H47" t="s">
        <v>905</v>
      </c>
      <c r="I47" t="s">
        <v>6193</v>
      </c>
      <c r="J47" t="s">
        <v>608</v>
      </c>
      <c r="M47" s="134">
        <v>0</v>
      </c>
      <c r="N47" s="134">
        <v>0</v>
      </c>
      <c r="O47" t="s">
        <v>10762</v>
      </c>
      <c r="P47" t="s">
        <v>12218</v>
      </c>
      <c r="Q47" t="s">
        <v>1939</v>
      </c>
      <c r="R47" t="s">
        <v>12219</v>
      </c>
      <c r="U47" t="s">
        <v>1327</v>
      </c>
      <c r="X47">
        <v>0</v>
      </c>
    </row>
    <row r="48" spans="1:24" x14ac:dyDescent="0.25">
      <c r="A48" s="234">
        <v>43328</v>
      </c>
      <c r="B48" t="s">
        <v>5956</v>
      </c>
      <c r="M48" s="134">
        <v>0</v>
      </c>
      <c r="N48" s="134">
        <v>0</v>
      </c>
      <c r="Q48" t="s">
        <v>592</v>
      </c>
      <c r="U48" t="s">
        <v>1327</v>
      </c>
      <c r="X48">
        <v>0</v>
      </c>
    </row>
    <row r="49" spans="1:24" x14ac:dyDescent="0.25">
      <c r="A49" s="234">
        <v>43329</v>
      </c>
      <c r="B49" t="s">
        <v>9240</v>
      </c>
      <c r="C49" t="s">
        <v>603</v>
      </c>
      <c r="D49" t="s">
        <v>9241</v>
      </c>
      <c r="E49" t="s">
        <v>588</v>
      </c>
      <c r="F49" t="s">
        <v>12385</v>
      </c>
      <c r="G49" t="s">
        <v>12384</v>
      </c>
      <c r="H49" t="s">
        <v>1050</v>
      </c>
      <c r="J49" t="s">
        <v>3533</v>
      </c>
      <c r="M49" s="134">
        <v>0</v>
      </c>
      <c r="N49" s="134">
        <v>0</v>
      </c>
      <c r="O49" t="s">
        <v>2295</v>
      </c>
      <c r="P49" t="s">
        <v>12383</v>
      </c>
      <c r="Q49" t="s">
        <v>29</v>
      </c>
      <c r="R49" t="s">
        <v>12382</v>
      </c>
      <c r="U49" t="s">
        <v>1327</v>
      </c>
      <c r="X49">
        <v>1</v>
      </c>
    </row>
    <row r="50" spans="1:24" x14ac:dyDescent="0.25">
      <c r="A50" s="234">
        <v>43335</v>
      </c>
      <c r="B50" t="s">
        <v>569</v>
      </c>
      <c r="C50" t="s">
        <v>899</v>
      </c>
      <c r="D50" t="s">
        <v>11359</v>
      </c>
      <c r="E50" t="s">
        <v>588</v>
      </c>
      <c r="F50" t="s">
        <v>12279</v>
      </c>
      <c r="H50" t="s">
        <v>607</v>
      </c>
      <c r="I50" t="s">
        <v>12280</v>
      </c>
      <c r="J50" t="s">
        <v>3374</v>
      </c>
      <c r="M50" s="134">
        <v>0</v>
      </c>
      <c r="N50" s="134">
        <v>0</v>
      </c>
      <c r="O50" t="s">
        <v>2295</v>
      </c>
      <c r="P50" t="s">
        <v>12424</v>
      </c>
      <c r="Q50" t="s">
        <v>1612</v>
      </c>
      <c r="R50" t="s">
        <v>12425</v>
      </c>
      <c r="U50" t="s">
        <v>491</v>
      </c>
      <c r="X50">
        <v>0</v>
      </c>
    </row>
    <row r="51" spans="1:24" x14ac:dyDescent="0.25">
      <c r="A51" s="234">
        <v>43347</v>
      </c>
      <c r="B51" t="s">
        <v>5360</v>
      </c>
      <c r="C51" t="s">
        <v>899</v>
      </c>
      <c r="D51" t="s">
        <v>1027</v>
      </c>
      <c r="E51" t="s">
        <v>588</v>
      </c>
      <c r="F51" t="s">
        <v>8966</v>
      </c>
      <c r="H51" t="s">
        <v>607</v>
      </c>
      <c r="M51" s="134">
        <v>0</v>
      </c>
      <c r="N51" s="134">
        <v>0</v>
      </c>
      <c r="O51" t="s">
        <v>10763</v>
      </c>
      <c r="P51" t="s">
        <v>12471</v>
      </c>
      <c r="Q51" t="s">
        <v>29</v>
      </c>
      <c r="R51" t="s">
        <v>12472</v>
      </c>
      <c r="U51" t="s">
        <v>491</v>
      </c>
      <c r="X51">
        <v>1</v>
      </c>
    </row>
    <row r="52" spans="1:24" x14ac:dyDescent="0.25">
      <c r="A52" s="234">
        <v>43355</v>
      </c>
      <c r="B52" t="s">
        <v>569</v>
      </c>
      <c r="C52" t="s">
        <v>899</v>
      </c>
      <c r="D52" t="s">
        <v>611</v>
      </c>
      <c r="E52" t="s">
        <v>588</v>
      </c>
      <c r="F52" t="s">
        <v>12585</v>
      </c>
      <c r="G52" t="s">
        <v>7855</v>
      </c>
      <c r="M52" s="134">
        <v>0</v>
      </c>
      <c r="N52" s="134">
        <v>0</v>
      </c>
      <c r="O52" t="s">
        <v>10763</v>
      </c>
      <c r="P52" t="s">
        <v>12586</v>
      </c>
      <c r="Q52" t="s">
        <v>592</v>
      </c>
      <c r="R52" t="s">
        <v>12587</v>
      </c>
      <c r="U52" t="s">
        <v>12344</v>
      </c>
      <c r="X52">
        <v>0</v>
      </c>
    </row>
    <row r="53" spans="1:24" x14ac:dyDescent="0.25">
      <c r="A53" s="234">
        <v>43356</v>
      </c>
      <c r="B53" t="s">
        <v>569</v>
      </c>
      <c r="C53" t="s">
        <v>899</v>
      </c>
      <c r="D53" t="s">
        <v>611</v>
      </c>
      <c r="E53" t="s">
        <v>588</v>
      </c>
      <c r="F53" t="s">
        <v>12597</v>
      </c>
      <c r="G53" t="s">
        <v>8853</v>
      </c>
      <c r="H53" t="s">
        <v>607</v>
      </c>
      <c r="M53" s="134">
        <v>0</v>
      </c>
      <c r="N53" s="134">
        <v>0</v>
      </c>
      <c r="O53" t="s">
        <v>10765</v>
      </c>
      <c r="P53" t="s">
        <v>12598</v>
      </c>
      <c r="Q53" t="s">
        <v>592</v>
      </c>
      <c r="R53" t="s">
        <v>12599</v>
      </c>
      <c r="U53" t="s">
        <v>12344</v>
      </c>
      <c r="X53">
        <v>0</v>
      </c>
    </row>
    <row r="54" spans="1:24" x14ac:dyDescent="0.25">
      <c r="A54" s="234">
        <v>43360</v>
      </c>
      <c r="B54" t="s">
        <v>569</v>
      </c>
      <c r="C54" t="s">
        <v>899</v>
      </c>
      <c r="D54" t="s">
        <v>9981</v>
      </c>
      <c r="E54" t="s">
        <v>588</v>
      </c>
      <c r="F54" t="s">
        <v>8789</v>
      </c>
      <c r="G54" t="s">
        <v>12615</v>
      </c>
      <c r="H54" t="s">
        <v>607</v>
      </c>
      <c r="M54" s="134">
        <v>0</v>
      </c>
      <c r="N54" s="134">
        <v>0</v>
      </c>
      <c r="O54" t="s">
        <v>10766</v>
      </c>
      <c r="P54" t="s">
        <v>12616</v>
      </c>
      <c r="Q54" t="s">
        <v>1939</v>
      </c>
      <c r="R54" t="s">
        <v>12617</v>
      </c>
      <c r="U54" t="s">
        <v>12344</v>
      </c>
      <c r="X54">
        <v>0</v>
      </c>
    </row>
    <row r="55" spans="1:24" x14ac:dyDescent="0.25">
      <c r="A55" s="234">
        <v>43362</v>
      </c>
      <c r="B55" t="s">
        <v>569</v>
      </c>
      <c r="C55" t="s">
        <v>899</v>
      </c>
      <c r="D55" t="s">
        <v>611</v>
      </c>
      <c r="E55" t="s">
        <v>588</v>
      </c>
      <c r="F55" t="s">
        <v>8626</v>
      </c>
      <c r="G55" t="s">
        <v>10007</v>
      </c>
      <c r="H55" t="s">
        <v>607</v>
      </c>
      <c r="M55" s="134">
        <v>0</v>
      </c>
      <c r="N55" s="134">
        <v>0</v>
      </c>
      <c r="O55" t="s">
        <v>10763</v>
      </c>
      <c r="P55" t="s">
        <v>12697</v>
      </c>
      <c r="Q55" t="s">
        <v>592</v>
      </c>
      <c r="R55" t="s">
        <v>12664</v>
      </c>
      <c r="U55" t="s">
        <v>12344</v>
      </c>
      <c r="X55">
        <v>0</v>
      </c>
    </row>
    <row r="56" spans="1:24" x14ac:dyDescent="0.25">
      <c r="A56" s="234">
        <v>43363</v>
      </c>
      <c r="B56" t="s">
        <v>569</v>
      </c>
      <c r="C56" t="s">
        <v>899</v>
      </c>
      <c r="D56" t="s">
        <v>1070</v>
      </c>
      <c r="E56" t="s">
        <v>588</v>
      </c>
      <c r="F56" t="s">
        <v>12665</v>
      </c>
      <c r="G56" t="s">
        <v>8135</v>
      </c>
      <c r="M56" s="134">
        <v>0</v>
      </c>
      <c r="N56" s="134">
        <v>0</v>
      </c>
      <c r="O56" t="s">
        <v>10765</v>
      </c>
      <c r="P56" t="s">
        <v>12666</v>
      </c>
      <c r="Q56" t="s">
        <v>620</v>
      </c>
      <c r="R56" t="s">
        <v>12667</v>
      </c>
      <c r="U56" t="s">
        <v>12344</v>
      </c>
      <c r="X56">
        <v>0</v>
      </c>
    </row>
    <row r="57" spans="1:24" x14ac:dyDescent="0.25">
      <c r="A57" s="234">
        <v>43363</v>
      </c>
      <c r="B57" t="s">
        <v>569</v>
      </c>
      <c r="C57" t="s">
        <v>899</v>
      </c>
      <c r="D57" t="s">
        <v>11286</v>
      </c>
      <c r="E57" t="s">
        <v>588</v>
      </c>
      <c r="F57" t="s">
        <v>12668</v>
      </c>
      <c r="G57" t="s">
        <v>4118</v>
      </c>
      <c r="M57" s="134">
        <v>0</v>
      </c>
      <c r="N57" s="134">
        <v>0</v>
      </c>
      <c r="O57" t="s">
        <v>10763</v>
      </c>
      <c r="P57" t="s">
        <v>13393</v>
      </c>
      <c r="Q57" t="s">
        <v>592</v>
      </c>
      <c r="R57" t="s">
        <v>12669</v>
      </c>
      <c r="U57" t="s">
        <v>12344</v>
      </c>
      <c r="X57">
        <v>0</v>
      </c>
    </row>
    <row r="58" spans="1:24" x14ac:dyDescent="0.25">
      <c r="A58" s="234">
        <v>43363</v>
      </c>
      <c r="B58" t="s">
        <v>9240</v>
      </c>
      <c r="C58" t="s">
        <v>603</v>
      </c>
      <c r="D58" t="s">
        <v>9241</v>
      </c>
      <c r="E58" t="s">
        <v>588</v>
      </c>
      <c r="F58" t="s">
        <v>12670</v>
      </c>
      <c r="G58" t="s">
        <v>9305</v>
      </c>
      <c r="H58" t="s">
        <v>607</v>
      </c>
      <c r="M58" s="134">
        <v>0</v>
      </c>
      <c r="N58" s="134">
        <v>0</v>
      </c>
      <c r="O58" t="s">
        <v>10766</v>
      </c>
      <c r="P58" t="s">
        <v>12671</v>
      </c>
      <c r="Q58" t="s">
        <v>620</v>
      </c>
      <c r="R58" t="s">
        <v>12672</v>
      </c>
      <c r="U58" t="s">
        <v>12344</v>
      </c>
      <c r="X58">
        <v>0</v>
      </c>
    </row>
    <row r="59" spans="1:24" x14ac:dyDescent="0.25">
      <c r="A59" s="234">
        <v>43368</v>
      </c>
      <c r="B59" t="s">
        <v>6076</v>
      </c>
      <c r="C59" t="s">
        <v>3370</v>
      </c>
      <c r="I59" t="s">
        <v>5187</v>
      </c>
      <c r="J59" t="s">
        <v>1228</v>
      </c>
      <c r="M59" s="134">
        <v>0</v>
      </c>
      <c r="N59" s="134">
        <v>0</v>
      </c>
      <c r="P59" t="s">
        <v>12716</v>
      </c>
      <c r="Q59" t="s">
        <v>29</v>
      </c>
      <c r="R59" t="s">
        <v>12717</v>
      </c>
      <c r="U59" t="s">
        <v>12344</v>
      </c>
      <c r="X59">
        <v>1</v>
      </c>
    </row>
    <row r="60" spans="1:24" x14ac:dyDescent="0.25">
      <c r="A60" s="234">
        <v>43374</v>
      </c>
      <c r="B60" t="s">
        <v>569</v>
      </c>
      <c r="C60" t="s">
        <v>899</v>
      </c>
      <c r="D60" t="s">
        <v>624</v>
      </c>
      <c r="E60" t="s">
        <v>588</v>
      </c>
      <c r="M60" s="134">
        <v>0</v>
      </c>
      <c r="N60" s="134">
        <v>0</v>
      </c>
      <c r="Q60" t="s">
        <v>592</v>
      </c>
      <c r="U60" t="s">
        <v>12344</v>
      </c>
      <c r="X60">
        <v>0</v>
      </c>
    </row>
    <row r="61" spans="1:24" x14ac:dyDescent="0.25">
      <c r="A61" s="234">
        <v>43382</v>
      </c>
      <c r="B61" t="s">
        <v>328</v>
      </c>
      <c r="C61" t="s">
        <v>603</v>
      </c>
      <c r="D61" t="s">
        <v>5701</v>
      </c>
      <c r="E61" t="s">
        <v>588</v>
      </c>
      <c r="F61" t="s">
        <v>12876</v>
      </c>
      <c r="G61" t="s">
        <v>12877</v>
      </c>
      <c r="H61" t="s">
        <v>607</v>
      </c>
      <c r="M61" s="134">
        <v>0</v>
      </c>
      <c r="N61" s="134">
        <v>0</v>
      </c>
      <c r="Q61" t="s">
        <v>1939</v>
      </c>
      <c r="U61" t="s">
        <v>12344</v>
      </c>
      <c r="X61">
        <v>0</v>
      </c>
    </row>
    <row r="62" spans="1:24" x14ac:dyDescent="0.25">
      <c r="A62" s="234">
        <v>43382</v>
      </c>
      <c r="B62" t="s">
        <v>569</v>
      </c>
      <c r="C62" t="s">
        <v>899</v>
      </c>
      <c r="D62" t="s">
        <v>625</v>
      </c>
      <c r="E62" t="s">
        <v>588</v>
      </c>
      <c r="F62" t="s">
        <v>12878</v>
      </c>
      <c r="H62" t="s">
        <v>607</v>
      </c>
      <c r="M62" s="134">
        <v>0</v>
      </c>
      <c r="N62" s="134">
        <v>0</v>
      </c>
      <c r="Q62" t="s">
        <v>1939</v>
      </c>
      <c r="U62" t="s">
        <v>12344</v>
      </c>
      <c r="X62">
        <v>0</v>
      </c>
    </row>
    <row r="63" spans="1:24" x14ac:dyDescent="0.25">
      <c r="A63" s="234">
        <v>43382</v>
      </c>
      <c r="B63" t="s">
        <v>328</v>
      </c>
      <c r="C63" t="s">
        <v>603</v>
      </c>
      <c r="D63" t="s">
        <v>10705</v>
      </c>
      <c r="E63" t="s">
        <v>588</v>
      </c>
      <c r="F63" t="s">
        <v>12879</v>
      </c>
      <c r="G63" t="s">
        <v>8289</v>
      </c>
      <c r="H63" t="s">
        <v>607</v>
      </c>
      <c r="M63" s="134">
        <v>0</v>
      </c>
      <c r="N63" s="134">
        <v>0</v>
      </c>
      <c r="Q63" t="s">
        <v>1939</v>
      </c>
      <c r="U63" t="s">
        <v>12344</v>
      </c>
      <c r="X63">
        <v>0</v>
      </c>
    </row>
    <row r="64" spans="1:24" x14ac:dyDescent="0.25">
      <c r="A64" s="234">
        <v>43402</v>
      </c>
      <c r="B64" t="s">
        <v>569</v>
      </c>
      <c r="C64" t="s">
        <v>899</v>
      </c>
      <c r="D64" t="s">
        <v>9981</v>
      </c>
      <c r="F64" t="s">
        <v>13088</v>
      </c>
      <c r="G64" t="s">
        <v>13089</v>
      </c>
      <c r="H64" t="s">
        <v>607</v>
      </c>
      <c r="J64" t="s">
        <v>899</v>
      </c>
      <c r="M64" s="134">
        <v>0</v>
      </c>
      <c r="N64" s="134">
        <v>0</v>
      </c>
      <c r="Q64" t="s">
        <v>29</v>
      </c>
      <c r="R64" t="s">
        <v>13090</v>
      </c>
      <c r="U64" t="s">
        <v>12344</v>
      </c>
      <c r="X64">
        <v>1</v>
      </c>
    </row>
    <row r="65" spans="1:24" x14ac:dyDescent="0.25">
      <c r="A65" s="234">
        <v>43441</v>
      </c>
      <c r="B65" t="s">
        <v>569</v>
      </c>
      <c r="C65" t="s">
        <v>899</v>
      </c>
      <c r="D65" t="s">
        <v>9981</v>
      </c>
      <c r="F65" t="s">
        <v>13545</v>
      </c>
      <c r="G65" t="s">
        <v>13546</v>
      </c>
      <c r="H65" t="s">
        <v>607</v>
      </c>
      <c r="I65" t="s">
        <v>2054</v>
      </c>
      <c r="J65" t="s">
        <v>899</v>
      </c>
      <c r="K65" t="s">
        <v>13547</v>
      </c>
      <c r="L65">
        <v>5</v>
      </c>
      <c r="M65" s="134">
        <v>0</v>
      </c>
      <c r="N65" s="134">
        <v>0</v>
      </c>
      <c r="O65" t="s">
        <v>6745</v>
      </c>
      <c r="P65" t="s">
        <v>13674</v>
      </c>
      <c r="Q65" t="s">
        <v>592</v>
      </c>
      <c r="R65" t="s">
        <v>13548</v>
      </c>
      <c r="U65" t="s">
        <v>491</v>
      </c>
      <c r="X65">
        <v>0</v>
      </c>
    </row>
    <row r="66" spans="1:24" x14ac:dyDescent="0.25">
      <c r="A66" s="234">
        <v>43445</v>
      </c>
      <c r="B66" t="s">
        <v>569</v>
      </c>
      <c r="C66" t="s">
        <v>899</v>
      </c>
      <c r="D66" t="s">
        <v>9981</v>
      </c>
      <c r="F66" t="s">
        <v>13589</v>
      </c>
      <c r="G66" t="s">
        <v>7714</v>
      </c>
      <c r="H66" t="s">
        <v>607</v>
      </c>
      <c r="I66" t="s">
        <v>13590</v>
      </c>
      <c r="J66" t="s">
        <v>899</v>
      </c>
      <c r="K66" t="s">
        <v>13591</v>
      </c>
      <c r="M66" s="134">
        <v>0</v>
      </c>
      <c r="N66" s="134">
        <v>0</v>
      </c>
      <c r="O66" t="s">
        <v>10763</v>
      </c>
      <c r="P66" t="s">
        <v>13592</v>
      </c>
      <c r="Q66" t="s">
        <v>1939</v>
      </c>
      <c r="R66" t="s">
        <v>13593</v>
      </c>
      <c r="U66" t="s">
        <v>491</v>
      </c>
      <c r="X66">
        <v>0</v>
      </c>
    </row>
    <row r="67" spans="1:24" x14ac:dyDescent="0.25">
      <c r="A67" s="234">
        <v>43446</v>
      </c>
      <c r="B67" t="s">
        <v>328</v>
      </c>
      <c r="C67" t="s">
        <v>603</v>
      </c>
      <c r="D67" t="s">
        <v>5701</v>
      </c>
      <c r="F67" t="s">
        <v>13752</v>
      </c>
      <c r="H67" t="s">
        <v>905</v>
      </c>
      <c r="J67" t="s">
        <v>3885</v>
      </c>
      <c r="M67" s="134">
        <v>0</v>
      </c>
      <c r="N67" s="134">
        <v>0</v>
      </c>
      <c r="O67" t="s">
        <v>4533</v>
      </c>
      <c r="P67" t="s">
        <v>13597</v>
      </c>
      <c r="Q67" t="s">
        <v>620</v>
      </c>
      <c r="R67" t="s">
        <v>13598</v>
      </c>
      <c r="U67" t="s">
        <v>491</v>
      </c>
      <c r="X67">
        <v>0</v>
      </c>
    </row>
    <row r="68" spans="1:24" x14ac:dyDescent="0.25">
      <c r="A68" s="234">
        <v>43446</v>
      </c>
      <c r="B68" t="s">
        <v>569</v>
      </c>
      <c r="C68" t="s">
        <v>899</v>
      </c>
      <c r="D68" t="s">
        <v>11286</v>
      </c>
      <c r="F68" t="s">
        <v>13613</v>
      </c>
      <c r="G68" t="s">
        <v>13614</v>
      </c>
      <c r="H68" t="s">
        <v>607</v>
      </c>
      <c r="I68" t="s">
        <v>13607</v>
      </c>
      <c r="J68" t="s">
        <v>899</v>
      </c>
      <c r="K68" t="s">
        <v>13813</v>
      </c>
      <c r="M68" s="134">
        <v>0</v>
      </c>
      <c r="N68" s="134">
        <v>0</v>
      </c>
      <c r="O68" t="s">
        <v>10766</v>
      </c>
      <c r="P68" t="s">
        <v>13615</v>
      </c>
      <c r="Q68" t="s">
        <v>29</v>
      </c>
      <c r="R68" t="s">
        <v>13616</v>
      </c>
      <c r="U68" t="s">
        <v>491</v>
      </c>
      <c r="X68">
        <v>1</v>
      </c>
    </row>
    <row r="69" spans="1:24" x14ac:dyDescent="0.25">
      <c r="A69" s="234">
        <v>42738</v>
      </c>
      <c r="B69" t="s">
        <v>328</v>
      </c>
      <c r="C69" t="s">
        <v>603</v>
      </c>
      <c r="D69" t="s">
        <v>2397</v>
      </c>
      <c r="E69" t="s">
        <v>588</v>
      </c>
      <c r="F69" t="s">
        <v>5191</v>
      </c>
      <c r="H69" t="s">
        <v>607</v>
      </c>
      <c r="M69" s="134">
        <v>0</v>
      </c>
      <c r="N69" s="134">
        <v>0</v>
      </c>
      <c r="O69" t="s">
        <v>5192</v>
      </c>
      <c r="P69" t="s">
        <v>5193</v>
      </c>
      <c r="Q69" t="s">
        <v>592</v>
      </c>
      <c r="U69" t="s">
        <v>491</v>
      </c>
      <c r="X69">
        <v>0</v>
      </c>
    </row>
    <row r="70" spans="1:24" x14ac:dyDescent="0.25">
      <c r="A70" s="234">
        <v>42738</v>
      </c>
      <c r="B70" t="s">
        <v>5176</v>
      </c>
      <c r="D70" t="s">
        <v>5293</v>
      </c>
      <c r="E70" t="s">
        <v>588</v>
      </c>
      <c r="F70" t="s">
        <v>5177</v>
      </c>
      <c r="H70" t="s">
        <v>905</v>
      </c>
      <c r="I70" t="s">
        <v>5178</v>
      </c>
      <c r="J70" t="s">
        <v>3617</v>
      </c>
      <c r="L70">
        <v>10</v>
      </c>
      <c r="M70" s="134">
        <v>0</v>
      </c>
      <c r="N70" s="134">
        <v>0</v>
      </c>
      <c r="O70" t="s">
        <v>5179</v>
      </c>
      <c r="P70" t="s">
        <v>5181</v>
      </c>
      <c r="Q70" t="s">
        <v>1612</v>
      </c>
      <c r="R70" t="s">
        <v>5180</v>
      </c>
      <c r="S70" t="s">
        <v>5294</v>
      </c>
      <c r="U70" t="s">
        <v>491</v>
      </c>
      <c r="X70">
        <v>0</v>
      </c>
    </row>
    <row r="71" spans="1:24" x14ac:dyDescent="0.25">
      <c r="A71" s="234">
        <v>42740</v>
      </c>
      <c r="B71" t="s">
        <v>569</v>
      </c>
      <c r="D71" t="s">
        <v>930</v>
      </c>
      <c r="E71" t="s">
        <v>821</v>
      </c>
      <c r="F71" t="s">
        <v>5208</v>
      </c>
      <c r="H71" t="s">
        <v>809</v>
      </c>
      <c r="M71" s="134">
        <v>0</v>
      </c>
      <c r="N71" s="134">
        <v>0</v>
      </c>
      <c r="O71" t="s">
        <v>5209</v>
      </c>
      <c r="P71" t="s">
        <v>5210</v>
      </c>
      <c r="Q71" t="s">
        <v>592</v>
      </c>
      <c r="U71" t="s">
        <v>491</v>
      </c>
      <c r="X71">
        <v>0</v>
      </c>
    </row>
    <row r="72" spans="1:24" x14ac:dyDescent="0.25">
      <c r="A72" s="234">
        <v>42741</v>
      </c>
      <c r="B72" t="s">
        <v>320</v>
      </c>
      <c r="C72" t="s">
        <v>1228</v>
      </c>
      <c r="D72" t="s">
        <v>1229</v>
      </c>
      <c r="E72" t="s">
        <v>588</v>
      </c>
      <c r="M72" s="134">
        <v>0</v>
      </c>
      <c r="N72" s="134">
        <v>0</v>
      </c>
      <c r="O72" t="s">
        <v>5220</v>
      </c>
      <c r="P72" t="s">
        <v>5221</v>
      </c>
      <c r="Q72" t="s">
        <v>1939</v>
      </c>
      <c r="R72" t="s">
        <v>5222</v>
      </c>
      <c r="U72" t="s">
        <v>491</v>
      </c>
      <c r="X72">
        <v>0</v>
      </c>
    </row>
    <row r="73" spans="1:24" x14ac:dyDescent="0.25">
      <c r="A73" s="234">
        <v>42741</v>
      </c>
      <c r="B73" t="s">
        <v>569</v>
      </c>
      <c r="D73" t="s">
        <v>625</v>
      </c>
      <c r="E73" t="s">
        <v>588</v>
      </c>
      <c r="F73" t="s">
        <v>842</v>
      </c>
      <c r="H73" t="s">
        <v>607</v>
      </c>
      <c r="M73" s="134">
        <v>0</v>
      </c>
      <c r="N73" s="134">
        <v>0</v>
      </c>
      <c r="O73" t="s">
        <v>1033</v>
      </c>
      <c r="P73" t="s">
        <v>5223</v>
      </c>
      <c r="Q73" t="s">
        <v>29</v>
      </c>
      <c r="R73" t="s">
        <v>5224</v>
      </c>
      <c r="U73" t="s">
        <v>491</v>
      </c>
      <c r="X73">
        <v>1</v>
      </c>
    </row>
    <row r="74" spans="1:24" x14ac:dyDescent="0.25">
      <c r="A74" s="234">
        <v>42744</v>
      </c>
      <c r="B74" t="s">
        <v>5176</v>
      </c>
      <c r="D74" t="s">
        <v>727</v>
      </c>
      <c r="E74" t="s">
        <v>588</v>
      </c>
      <c r="F74" t="s">
        <v>5249</v>
      </c>
      <c r="H74" t="s">
        <v>607</v>
      </c>
      <c r="M74" s="134">
        <v>0</v>
      </c>
      <c r="N74" s="134">
        <v>0</v>
      </c>
      <c r="O74" t="s">
        <v>5250</v>
      </c>
      <c r="P74" t="s">
        <v>5251</v>
      </c>
      <c r="Q74" t="s">
        <v>29</v>
      </c>
      <c r="R74" t="s">
        <v>5252</v>
      </c>
      <c r="U74" t="s">
        <v>491</v>
      </c>
      <c r="X74">
        <v>1</v>
      </c>
    </row>
    <row r="75" spans="1:24" x14ac:dyDescent="0.25">
      <c r="A75" s="234">
        <v>42744</v>
      </c>
      <c r="B75" t="s">
        <v>569</v>
      </c>
      <c r="D75" t="s">
        <v>625</v>
      </c>
      <c r="E75" t="s">
        <v>588</v>
      </c>
      <c r="H75" t="s">
        <v>5167</v>
      </c>
      <c r="M75" s="134">
        <v>0</v>
      </c>
      <c r="N75" s="134">
        <v>0</v>
      </c>
      <c r="O75" t="s">
        <v>5234</v>
      </c>
      <c r="P75" t="s">
        <v>5235</v>
      </c>
      <c r="Q75" t="s">
        <v>29</v>
      </c>
      <c r="U75" t="s">
        <v>491</v>
      </c>
      <c r="X75">
        <v>1</v>
      </c>
    </row>
    <row r="76" spans="1:24" x14ac:dyDescent="0.25">
      <c r="A76" s="234">
        <v>42744</v>
      </c>
      <c r="B76" t="s">
        <v>569</v>
      </c>
      <c r="D76" t="s">
        <v>625</v>
      </c>
      <c r="E76" t="s">
        <v>588</v>
      </c>
      <c r="F76" t="s">
        <v>5236</v>
      </c>
      <c r="H76" t="s">
        <v>843</v>
      </c>
      <c r="I76" t="s">
        <v>3388</v>
      </c>
      <c r="J76" t="s">
        <v>899</v>
      </c>
      <c r="M76" s="134">
        <v>0</v>
      </c>
      <c r="N76" s="134">
        <v>0</v>
      </c>
      <c r="O76" t="s">
        <v>5237</v>
      </c>
      <c r="P76" t="s">
        <v>5238</v>
      </c>
      <c r="Q76" t="s">
        <v>592</v>
      </c>
      <c r="U76" t="s">
        <v>491</v>
      </c>
      <c r="X76">
        <v>0</v>
      </c>
    </row>
    <row r="77" spans="1:24" x14ac:dyDescent="0.25">
      <c r="A77" s="234">
        <v>42744</v>
      </c>
      <c r="B77" t="s">
        <v>569</v>
      </c>
      <c r="D77" t="s">
        <v>625</v>
      </c>
      <c r="E77" t="s">
        <v>588</v>
      </c>
      <c r="F77" t="s">
        <v>5239</v>
      </c>
      <c r="H77" t="s">
        <v>607</v>
      </c>
      <c r="I77" t="s">
        <v>5240</v>
      </c>
      <c r="J77" t="s">
        <v>899</v>
      </c>
      <c r="M77" s="134">
        <v>0</v>
      </c>
      <c r="N77" s="134">
        <v>0</v>
      </c>
      <c r="O77" t="s">
        <v>5253</v>
      </c>
      <c r="P77" t="s">
        <v>5241</v>
      </c>
      <c r="Q77" t="s">
        <v>1939</v>
      </c>
      <c r="R77" t="s">
        <v>5242</v>
      </c>
      <c r="U77" t="s">
        <v>491</v>
      </c>
      <c r="X77">
        <v>0</v>
      </c>
    </row>
    <row r="78" spans="1:24" x14ac:dyDescent="0.25">
      <c r="A78" s="234">
        <v>42746</v>
      </c>
      <c r="B78" t="s">
        <v>328</v>
      </c>
      <c r="C78" t="s">
        <v>603</v>
      </c>
      <c r="D78" t="s">
        <v>672</v>
      </c>
      <c r="E78" t="s">
        <v>692</v>
      </c>
      <c r="F78" t="s">
        <v>5276</v>
      </c>
      <c r="M78" s="134">
        <v>0</v>
      </c>
      <c r="N78" s="134">
        <v>0</v>
      </c>
      <c r="O78" t="s">
        <v>5277</v>
      </c>
      <c r="P78" t="s">
        <v>5278</v>
      </c>
      <c r="Q78" t="s">
        <v>592</v>
      </c>
      <c r="U78" t="s">
        <v>491</v>
      </c>
      <c r="X78">
        <v>0</v>
      </c>
    </row>
    <row r="79" spans="1:24" x14ac:dyDescent="0.25">
      <c r="A79" s="234">
        <v>42747</v>
      </c>
      <c r="B79" t="s">
        <v>5176</v>
      </c>
      <c r="D79" t="s">
        <v>732</v>
      </c>
      <c r="E79" t="s">
        <v>588</v>
      </c>
      <c r="H79" t="s">
        <v>843</v>
      </c>
      <c r="M79" s="134">
        <v>0</v>
      </c>
      <c r="N79" s="134">
        <v>0</v>
      </c>
      <c r="O79" t="s">
        <v>5297</v>
      </c>
      <c r="P79" t="s">
        <v>5298</v>
      </c>
      <c r="Q79" t="s">
        <v>592</v>
      </c>
      <c r="R79" t="s">
        <v>5299</v>
      </c>
      <c r="U79" t="s">
        <v>491</v>
      </c>
      <c r="X79">
        <v>0</v>
      </c>
    </row>
    <row r="80" spans="1:24" x14ac:dyDescent="0.25">
      <c r="A80" s="234">
        <v>42748</v>
      </c>
      <c r="B80" t="s">
        <v>328</v>
      </c>
      <c r="C80" t="s">
        <v>5309</v>
      </c>
      <c r="D80" t="s">
        <v>5310</v>
      </c>
      <c r="E80" t="s">
        <v>588</v>
      </c>
      <c r="H80" t="s">
        <v>905</v>
      </c>
      <c r="J80" t="s">
        <v>608</v>
      </c>
      <c r="M80" s="134">
        <v>0</v>
      </c>
      <c r="N80" s="134">
        <v>0</v>
      </c>
      <c r="O80" t="s">
        <v>5311</v>
      </c>
      <c r="P80" t="s">
        <v>5312</v>
      </c>
      <c r="Q80" t="s">
        <v>620</v>
      </c>
      <c r="R80" t="s">
        <v>5313</v>
      </c>
      <c r="U80" t="s">
        <v>491</v>
      </c>
      <c r="X80">
        <v>0</v>
      </c>
    </row>
    <row r="81" spans="1:24" x14ac:dyDescent="0.25">
      <c r="A81" s="234">
        <v>42748</v>
      </c>
      <c r="B81" t="s">
        <v>569</v>
      </c>
      <c r="D81" t="s">
        <v>611</v>
      </c>
      <c r="E81" t="s">
        <v>692</v>
      </c>
      <c r="F81" t="s">
        <v>5306</v>
      </c>
      <c r="H81" t="s">
        <v>607</v>
      </c>
      <c r="M81" s="134">
        <v>0</v>
      </c>
      <c r="N81" s="134">
        <v>0</v>
      </c>
      <c r="O81" t="s">
        <v>5307</v>
      </c>
      <c r="P81" t="s">
        <v>5308</v>
      </c>
      <c r="Q81" t="s">
        <v>592</v>
      </c>
      <c r="U81" t="s">
        <v>491</v>
      </c>
      <c r="X81">
        <v>0</v>
      </c>
    </row>
    <row r="82" spans="1:24" x14ac:dyDescent="0.25">
      <c r="A82" s="234">
        <v>42752</v>
      </c>
      <c r="B82" t="s">
        <v>569</v>
      </c>
      <c r="D82" t="s">
        <v>624</v>
      </c>
      <c r="E82" t="s">
        <v>588</v>
      </c>
      <c r="F82" t="s">
        <v>5350</v>
      </c>
      <c r="H82" t="s">
        <v>607</v>
      </c>
      <c r="M82" s="134">
        <v>0</v>
      </c>
      <c r="N82" s="134">
        <v>0</v>
      </c>
      <c r="O82" t="s">
        <v>3785</v>
      </c>
      <c r="P82" t="s">
        <v>5348</v>
      </c>
      <c r="Q82" t="s">
        <v>1939</v>
      </c>
      <c r="R82" t="s">
        <v>5349</v>
      </c>
      <c r="U82" t="s">
        <v>491</v>
      </c>
      <c r="X82">
        <v>0</v>
      </c>
    </row>
    <row r="83" spans="1:24" x14ac:dyDescent="0.25">
      <c r="A83" s="234">
        <v>42753</v>
      </c>
      <c r="B83" t="s">
        <v>569</v>
      </c>
      <c r="D83" t="s">
        <v>611</v>
      </c>
      <c r="E83" t="s">
        <v>588</v>
      </c>
      <c r="F83" t="s">
        <v>5352</v>
      </c>
      <c r="H83" t="s">
        <v>607</v>
      </c>
      <c r="I83" t="s">
        <v>5353</v>
      </c>
      <c r="J83" t="s">
        <v>899</v>
      </c>
      <c r="M83" s="134">
        <v>0</v>
      </c>
      <c r="N83" s="134">
        <v>0</v>
      </c>
      <c r="O83" t="s">
        <v>5354</v>
      </c>
      <c r="P83" t="s">
        <v>5355</v>
      </c>
      <c r="Q83" t="s">
        <v>29</v>
      </c>
      <c r="R83" t="s">
        <v>5356</v>
      </c>
      <c r="U83" t="s">
        <v>491</v>
      </c>
      <c r="X83">
        <v>1</v>
      </c>
    </row>
    <row r="84" spans="1:24" x14ac:dyDescent="0.25">
      <c r="A84" s="234">
        <v>42755</v>
      </c>
      <c r="B84" t="s">
        <v>5176</v>
      </c>
      <c r="D84" t="s">
        <v>595</v>
      </c>
      <c r="E84" t="s">
        <v>588</v>
      </c>
      <c r="F84" t="s">
        <v>5389</v>
      </c>
      <c r="H84" t="s">
        <v>607</v>
      </c>
      <c r="I84" t="s">
        <v>5390</v>
      </c>
      <c r="J84" t="s">
        <v>959</v>
      </c>
      <c r="M84" s="134">
        <v>0</v>
      </c>
      <c r="N84" s="134">
        <v>0</v>
      </c>
      <c r="O84" t="s">
        <v>3952</v>
      </c>
      <c r="P84" t="s">
        <v>6292</v>
      </c>
      <c r="Q84" t="s">
        <v>620</v>
      </c>
      <c r="R84" t="s">
        <v>5391</v>
      </c>
      <c r="U84" t="s">
        <v>491</v>
      </c>
      <c r="X84">
        <v>0</v>
      </c>
    </row>
    <row r="85" spans="1:24" x14ac:dyDescent="0.25">
      <c r="A85" s="234">
        <v>42759</v>
      </c>
      <c r="B85" t="s">
        <v>5992</v>
      </c>
      <c r="C85" t="s">
        <v>608</v>
      </c>
      <c r="D85" t="s">
        <v>5419</v>
      </c>
      <c r="E85" t="s">
        <v>588</v>
      </c>
      <c r="F85" t="s">
        <v>5420</v>
      </c>
      <c r="H85" t="s">
        <v>607</v>
      </c>
      <c r="M85" s="134">
        <v>0</v>
      </c>
      <c r="N85" s="134">
        <v>0</v>
      </c>
      <c r="O85" t="s">
        <v>3107</v>
      </c>
      <c r="P85" t="s">
        <v>6293</v>
      </c>
      <c r="Q85" t="s">
        <v>1939</v>
      </c>
      <c r="R85" t="s">
        <v>5421</v>
      </c>
      <c r="U85" t="s">
        <v>491</v>
      </c>
      <c r="X85">
        <v>0</v>
      </c>
    </row>
    <row r="86" spans="1:24" x14ac:dyDescent="0.25">
      <c r="A86" s="234">
        <v>42761</v>
      </c>
      <c r="B86" t="s">
        <v>320</v>
      </c>
      <c r="C86" t="s">
        <v>1228</v>
      </c>
      <c r="D86" t="s">
        <v>1229</v>
      </c>
      <c r="E86" t="s">
        <v>588</v>
      </c>
      <c r="F86" t="s">
        <v>5462</v>
      </c>
      <c r="H86" t="s">
        <v>607</v>
      </c>
      <c r="I86" t="s">
        <v>3855</v>
      </c>
      <c r="J86" t="s">
        <v>3856</v>
      </c>
      <c r="M86" s="134">
        <v>0</v>
      </c>
      <c r="N86" s="134">
        <v>0</v>
      </c>
      <c r="O86" t="s">
        <v>5463</v>
      </c>
      <c r="P86" t="s">
        <v>5464</v>
      </c>
      <c r="Q86" t="s">
        <v>1939</v>
      </c>
      <c r="R86" t="s">
        <v>5465</v>
      </c>
      <c r="U86" t="s">
        <v>491</v>
      </c>
      <c r="X86">
        <v>0</v>
      </c>
    </row>
    <row r="87" spans="1:24" x14ac:dyDescent="0.25">
      <c r="A87" s="234">
        <v>42761</v>
      </c>
      <c r="B87" t="s">
        <v>5473</v>
      </c>
      <c r="D87" t="s">
        <v>1495</v>
      </c>
      <c r="E87" t="s">
        <v>588</v>
      </c>
      <c r="M87" s="134">
        <v>0</v>
      </c>
      <c r="N87" s="134">
        <v>0</v>
      </c>
      <c r="O87" t="s">
        <v>5474</v>
      </c>
      <c r="P87" t="s">
        <v>6295</v>
      </c>
      <c r="Q87" t="s">
        <v>29</v>
      </c>
      <c r="R87" t="s">
        <v>5475</v>
      </c>
      <c r="U87" t="s">
        <v>491</v>
      </c>
      <c r="X87">
        <v>1</v>
      </c>
    </row>
    <row r="88" spans="1:24" x14ac:dyDescent="0.25">
      <c r="A88" s="234">
        <v>42765</v>
      </c>
      <c r="B88" t="s">
        <v>5176</v>
      </c>
      <c r="C88" t="s">
        <v>959</v>
      </c>
      <c r="D88" t="s">
        <v>732</v>
      </c>
      <c r="E88" t="s">
        <v>588</v>
      </c>
      <c r="F88" t="s">
        <v>5540</v>
      </c>
      <c r="H88" t="s">
        <v>607</v>
      </c>
      <c r="I88" t="s">
        <v>5541</v>
      </c>
      <c r="J88" t="s">
        <v>959</v>
      </c>
      <c r="M88" s="134">
        <v>0</v>
      </c>
      <c r="N88" s="134">
        <v>0</v>
      </c>
      <c r="O88" t="s">
        <v>5542</v>
      </c>
      <c r="P88" t="s">
        <v>5543</v>
      </c>
      <c r="Q88" t="s">
        <v>1939</v>
      </c>
      <c r="R88" t="s">
        <v>5544</v>
      </c>
      <c r="U88" t="s">
        <v>491</v>
      </c>
      <c r="X88">
        <v>0</v>
      </c>
    </row>
    <row r="89" spans="1:24" x14ac:dyDescent="0.25">
      <c r="A89" s="234">
        <v>42765</v>
      </c>
      <c r="B89" t="s">
        <v>569</v>
      </c>
      <c r="D89" t="s">
        <v>930</v>
      </c>
      <c r="E89" t="s">
        <v>821</v>
      </c>
      <c r="F89" t="s">
        <v>5532</v>
      </c>
      <c r="H89" t="s">
        <v>607</v>
      </c>
      <c r="M89" s="134">
        <v>0</v>
      </c>
      <c r="N89" s="134">
        <v>0</v>
      </c>
      <c r="O89" t="s">
        <v>3625</v>
      </c>
      <c r="P89" t="s">
        <v>5533</v>
      </c>
      <c r="Q89" t="s">
        <v>592</v>
      </c>
      <c r="R89" t="s">
        <v>5534</v>
      </c>
      <c r="U89" t="s">
        <v>491</v>
      </c>
      <c r="X89">
        <v>0</v>
      </c>
    </row>
    <row r="90" spans="1:24" x14ac:dyDescent="0.25">
      <c r="A90" s="234">
        <v>42768</v>
      </c>
      <c r="B90" t="s">
        <v>569</v>
      </c>
      <c r="D90" t="s">
        <v>930</v>
      </c>
      <c r="E90" t="s">
        <v>821</v>
      </c>
      <c r="F90" t="s">
        <v>5583</v>
      </c>
      <c r="H90" t="s">
        <v>886</v>
      </c>
      <c r="M90" s="134">
        <v>0</v>
      </c>
      <c r="N90" s="134">
        <v>0</v>
      </c>
      <c r="O90" t="s">
        <v>5584</v>
      </c>
      <c r="P90" t="s">
        <v>5585</v>
      </c>
      <c r="Q90" t="s">
        <v>592</v>
      </c>
      <c r="U90" t="s">
        <v>491</v>
      </c>
      <c r="X90">
        <v>0</v>
      </c>
    </row>
    <row r="91" spans="1:24" x14ac:dyDescent="0.25">
      <c r="A91" s="234">
        <v>42773</v>
      </c>
      <c r="B91" t="s">
        <v>5176</v>
      </c>
      <c r="C91" t="s">
        <v>959</v>
      </c>
      <c r="D91" t="s">
        <v>732</v>
      </c>
      <c r="E91" t="s">
        <v>588</v>
      </c>
      <c r="F91" t="s">
        <v>5642</v>
      </c>
      <c r="H91" t="s">
        <v>1050</v>
      </c>
      <c r="M91" s="134">
        <v>0</v>
      </c>
      <c r="N91" s="134">
        <v>0</v>
      </c>
      <c r="O91" t="s">
        <v>5234</v>
      </c>
      <c r="P91" t="s">
        <v>5643</v>
      </c>
      <c r="Q91" t="s">
        <v>29</v>
      </c>
      <c r="U91" t="s">
        <v>491</v>
      </c>
      <c r="X91">
        <v>1</v>
      </c>
    </row>
    <row r="92" spans="1:24" x14ac:dyDescent="0.25">
      <c r="A92" s="234">
        <v>42776</v>
      </c>
      <c r="B92" t="s">
        <v>569</v>
      </c>
      <c r="D92" t="s">
        <v>624</v>
      </c>
      <c r="E92" t="s">
        <v>588</v>
      </c>
      <c r="F92" t="s">
        <v>5671</v>
      </c>
      <c r="H92" t="s">
        <v>607</v>
      </c>
      <c r="M92" s="134">
        <v>0</v>
      </c>
      <c r="N92" s="134">
        <v>0</v>
      </c>
      <c r="O92" t="s">
        <v>5584</v>
      </c>
      <c r="P92" t="s">
        <v>5672</v>
      </c>
      <c r="Q92" t="s">
        <v>29</v>
      </c>
      <c r="R92" t="s">
        <v>5673</v>
      </c>
      <c r="U92" t="s">
        <v>491</v>
      </c>
      <c r="X92">
        <v>1</v>
      </c>
    </row>
    <row r="93" spans="1:24" x14ac:dyDescent="0.25">
      <c r="A93" s="234">
        <v>42781</v>
      </c>
      <c r="B93" t="s">
        <v>328</v>
      </c>
      <c r="C93" t="s">
        <v>603</v>
      </c>
      <c r="D93" t="s">
        <v>649</v>
      </c>
      <c r="E93" t="s">
        <v>588</v>
      </c>
      <c r="F93" t="s">
        <v>5882</v>
      </c>
      <c r="H93" t="s">
        <v>905</v>
      </c>
      <c r="I93" t="s">
        <v>5685</v>
      </c>
      <c r="J93" t="s">
        <v>3373</v>
      </c>
      <c r="M93" s="134">
        <v>0</v>
      </c>
      <c r="N93" s="134">
        <v>0</v>
      </c>
      <c r="O93" t="s">
        <v>4959</v>
      </c>
      <c r="P93" t="s">
        <v>6300</v>
      </c>
      <c r="Q93" t="s">
        <v>1939</v>
      </c>
      <c r="R93" t="s">
        <v>5686</v>
      </c>
      <c r="U93" t="s">
        <v>491</v>
      </c>
      <c r="X93">
        <v>0</v>
      </c>
    </row>
    <row r="94" spans="1:24" x14ac:dyDescent="0.25">
      <c r="A94" s="234">
        <v>42786</v>
      </c>
      <c r="B94" t="s">
        <v>328</v>
      </c>
      <c r="C94" t="s">
        <v>603</v>
      </c>
      <c r="D94" t="s">
        <v>649</v>
      </c>
      <c r="E94" t="s">
        <v>588</v>
      </c>
      <c r="F94" t="s">
        <v>5735</v>
      </c>
      <c r="H94" t="s">
        <v>607</v>
      </c>
      <c r="I94" t="s">
        <v>5736</v>
      </c>
      <c r="J94" t="s">
        <v>5309</v>
      </c>
      <c r="M94" s="134">
        <v>0</v>
      </c>
      <c r="N94" s="134">
        <v>0</v>
      </c>
      <c r="O94" t="s">
        <v>5737</v>
      </c>
      <c r="P94" t="s">
        <v>5738</v>
      </c>
      <c r="Q94" t="s">
        <v>1612</v>
      </c>
      <c r="R94" t="s">
        <v>6264</v>
      </c>
      <c r="U94" t="s">
        <v>491</v>
      </c>
      <c r="X94">
        <v>0</v>
      </c>
    </row>
    <row r="95" spans="1:24" x14ac:dyDescent="0.25">
      <c r="A95" s="234">
        <v>42787</v>
      </c>
      <c r="B95" t="s">
        <v>328</v>
      </c>
      <c r="C95" t="s">
        <v>603</v>
      </c>
      <c r="D95" t="s">
        <v>649</v>
      </c>
      <c r="E95" t="s">
        <v>588</v>
      </c>
      <c r="F95" t="s">
        <v>4879</v>
      </c>
      <c r="H95" t="s">
        <v>607</v>
      </c>
      <c r="I95" t="s">
        <v>5449</v>
      </c>
      <c r="J95" t="s">
        <v>899</v>
      </c>
      <c r="M95" s="134">
        <v>0</v>
      </c>
      <c r="N95" s="134">
        <v>0</v>
      </c>
      <c r="O95" t="s">
        <v>5739</v>
      </c>
      <c r="P95" t="s">
        <v>5740</v>
      </c>
      <c r="Q95" t="s">
        <v>1939</v>
      </c>
      <c r="R95" t="s">
        <v>5741</v>
      </c>
      <c r="U95" t="s">
        <v>491</v>
      </c>
      <c r="X95">
        <v>0</v>
      </c>
    </row>
    <row r="96" spans="1:24" x14ac:dyDescent="0.25">
      <c r="A96" s="234">
        <v>42787</v>
      </c>
      <c r="B96" t="s">
        <v>328</v>
      </c>
      <c r="C96" t="s">
        <v>603</v>
      </c>
      <c r="D96" t="s">
        <v>649</v>
      </c>
      <c r="E96" t="s">
        <v>588</v>
      </c>
      <c r="H96" t="s">
        <v>905</v>
      </c>
      <c r="M96" s="134">
        <v>0</v>
      </c>
      <c r="N96" s="134">
        <v>0</v>
      </c>
      <c r="O96" t="s">
        <v>1374</v>
      </c>
      <c r="P96" t="s">
        <v>5763</v>
      </c>
      <c r="Q96" t="s">
        <v>620</v>
      </c>
      <c r="R96" t="s">
        <v>5764</v>
      </c>
      <c r="U96" t="s">
        <v>491</v>
      </c>
      <c r="X96">
        <v>0</v>
      </c>
    </row>
    <row r="97" spans="1:24" x14ac:dyDescent="0.25">
      <c r="A97" s="234">
        <v>42789</v>
      </c>
      <c r="B97" t="s">
        <v>328</v>
      </c>
      <c r="C97" t="s">
        <v>603</v>
      </c>
      <c r="D97" t="s">
        <v>649</v>
      </c>
      <c r="E97" t="s">
        <v>588</v>
      </c>
      <c r="F97" t="s">
        <v>5782</v>
      </c>
      <c r="H97" t="s">
        <v>3095</v>
      </c>
      <c r="I97" t="s">
        <v>5783</v>
      </c>
      <c r="J97" t="s">
        <v>604</v>
      </c>
      <c r="M97" s="134">
        <v>0</v>
      </c>
      <c r="N97" s="134">
        <v>0</v>
      </c>
      <c r="O97" t="s">
        <v>5784</v>
      </c>
      <c r="P97" t="s">
        <v>5785</v>
      </c>
      <c r="Q97" t="s">
        <v>620</v>
      </c>
      <c r="R97" t="s">
        <v>7210</v>
      </c>
      <c r="U97" t="s">
        <v>491</v>
      </c>
      <c r="X97">
        <v>0</v>
      </c>
    </row>
    <row r="98" spans="1:24" x14ac:dyDescent="0.25">
      <c r="A98" s="234">
        <v>42794</v>
      </c>
      <c r="B98" t="s">
        <v>328</v>
      </c>
      <c r="C98" t="s">
        <v>603</v>
      </c>
      <c r="D98" t="s">
        <v>2397</v>
      </c>
      <c r="E98" t="s">
        <v>821</v>
      </c>
      <c r="H98" t="s">
        <v>905</v>
      </c>
      <c r="M98" s="134">
        <v>0</v>
      </c>
      <c r="N98" s="134">
        <v>0</v>
      </c>
      <c r="O98" t="s">
        <v>5821</v>
      </c>
      <c r="P98" t="s">
        <v>5822</v>
      </c>
      <c r="Q98" t="s">
        <v>592</v>
      </c>
      <c r="R98" t="s">
        <v>5823</v>
      </c>
      <c r="U98" t="s">
        <v>491</v>
      </c>
      <c r="X98">
        <v>0</v>
      </c>
    </row>
    <row r="99" spans="1:24" x14ac:dyDescent="0.25">
      <c r="A99" s="234">
        <v>42797</v>
      </c>
      <c r="B99" t="s">
        <v>569</v>
      </c>
      <c r="D99" t="s">
        <v>624</v>
      </c>
      <c r="E99" t="s">
        <v>821</v>
      </c>
      <c r="H99" t="s">
        <v>607</v>
      </c>
      <c r="M99" s="134">
        <v>0</v>
      </c>
      <c r="N99" s="134">
        <v>0</v>
      </c>
      <c r="O99" t="s">
        <v>3785</v>
      </c>
      <c r="P99" t="s">
        <v>5866</v>
      </c>
      <c r="Q99" t="s">
        <v>29</v>
      </c>
      <c r="R99" t="s">
        <v>5865</v>
      </c>
      <c r="U99" t="s">
        <v>491</v>
      </c>
      <c r="X99">
        <v>1</v>
      </c>
    </row>
    <row r="100" spans="1:24" x14ac:dyDescent="0.25">
      <c r="A100" s="234">
        <v>42801</v>
      </c>
      <c r="B100" t="s">
        <v>328</v>
      </c>
      <c r="D100" t="s">
        <v>1401</v>
      </c>
      <c r="E100" t="s">
        <v>588</v>
      </c>
      <c r="F100" t="s">
        <v>5871</v>
      </c>
      <c r="H100" t="s">
        <v>607</v>
      </c>
      <c r="M100" s="134">
        <v>0</v>
      </c>
      <c r="N100" s="134">
        <v>0</v>
      </c>
      <c r="O100" t="s">
        <v>5872</v>
      </c>
      <c r="P100" t="s">
        <v>5873</v>
      </c>
      <c r="Q100" t="s">
        <v>1612</v>
      </c>
      <c r="R100" t="s">
        <v>5885</v>
      </c>
      <c r="U100" t="s">
        <v>491</v>
      </c>
      <c r="X100">
        <v>0</v>
      </c>
    </row>
    <row r="101" spans="1:24" x14ac:dyDescent="0.25">
      <c r="A101" s="234">
        <v>42802</v>
      </c>
      <c r="B101" t="s">
        <v>569</v>
      </c>
      <c r="D101" t="s">
        <v>625</v>
      </c>
      <c r="E101" t="s">
        <v>821</v>
      </c>
      <c r="M101" s="134">
        <v>0</v>
      </c>
      <c r="N101" s="134">
        <v>0</v>
      </c>
      <c r="O101" t="s">
        <v>5901</v>
      </c>
      <c r="P101" t="s">
        <v>5902</v>
      </c>
      <c r="Q101" t="s">
        <v>592</v>
      </c>
      <c r="R101" t="s">
        <v>5903</v>
      </c>
      <c r="U101" t="s">
        <v>491</v>
      </c>
      <c r="X101">
        <v>0</v>
      </c>
    </row>
    <row r="102" spans="1:24" x14ac:dyDescent="0.25">
      <c r="A102" s="234">
        <v>42803</v>
      </c>
      <c r="B102" t="s">
        <v>643</v>
      </c>
      <c r="C102" t="s">
        <v>644</v>
      </c>
      <c r="D102" t="s">
        <v>625</v>
      </c>
      <c r="E102" t="s">
        <v>588</v>
      </c>
      <c r="F102" t="s">
        <v>1164</v>
      </c>
      <c r="H102" t="s">
        <v>607</v>
      </c>
      <c r="I102" t="s">
        <v>5921</v>
      </c>
      <c r="J102" t="s">
        <v>644</v>
      </c>
      <c r="M102" s="134">
        <v>0</v>
      </c>
      <c r="N102" s="134">
        <v>0</v>
      </c>
      <c r="O102" t="s">
        <v>5922</v>
      </c>
      <c r="P102" t="s">
        <v>5923</v>
      </c>
      <c r="Q102" t="s">
        <v>1612</v>
      </c>
      <c r="R102" t="s">
        <v>5949</v>
      </c>
      <c r="U102" t="s">
        <v>491</v>
      </c>
      <c r="X102">
        <v>0</v>
      </c>
    </row>
    <row r="103" spans="1:24" x14ac:dyDescent="0.25">
      <c r="A103" s="234">
        <v>42807</v>
      </c>
      <c r="B103" t="s">
        <v>5176</v>
      </c>
      <c r="D103" t="s">
        <v>2186</v>
      </c>
      <c r="E103" t="s">
        <v>588</v>
      </c>
      <c r="F103" t="s">
        <v>5935</v>
      </c>
      <c r="H103" t="s">
        <v>886</v>
      </c>
      <c r="M103" s="134">
        <v>0</v>
      </c>
      <c r="N103" s="134">
        <v>0</v>
      </c>
      <c r="O103" t="s">
        <v>5936</v>
      </c>
      <c r="P103" t="s">
        <v>5937</v>
      </c>
      <c r="Q103" t="s">
        <v>592</v>
      </c>
      <c r="U103" t="s">
        <v>491</v>
      </c>
      <c r="X103">
        <v>0</v>
      </c>
    </row>
    <row r="104" spans="1:24" x14ac:dyDescent="0.25">
      <c r="A104" s="234">
        <v>42808</v>
      </c>
      <c r="B104" t="s">
        <v>569</v>
      </c>
      <c r="D104" t="s">
        <v>625</v>
      </c>
      <c r="E104" t="s">
        <v>821</v>
      </c>
      <c r="H104" t="s">
        <v>607</v>
      </c>
      <c r="M104" s="134">
        <v>0</v>
      </c>
      <c r="N104" s="134">
        <v>0</v>
      </c>
      <c r="O104" t="s">
        <v>3625</v>
      </c>
      <c r="P104" t="s">
        <v>5950</v>
      </c>
      <c r="Q104" t="s">
        <v>1939</v>
      </c>
      <c r="R104" t="s">
        <v>5951</v>
      </c>
      <c r="U104" t="s">
        <v>491</v>
      </c>
      <c r="X104">
        <v>0</v>
      </c>
    </row>
    <row r="105" spans="1:24" x14ac:dyDescent="0.25">
      <c r="A105" s="234">
        <v>42808</v>
      </c>
      <c r="B105" t="s">
        <v>569</v>
      </c>
      <c r="D105" t="s">
        <v>625</v>
      </c>
      <c r="E105" t="s">
        <v>821</v>
      </c>
      <c r="F105" t="s">
        <v>5952</v>
      </c>
      <c r="H105" t="s">
        <v>607</v>
      </c>
      <c r="M105" s="134">
        <v>0</v>
      </c>
      <c r="N105" s="134">
        <v>0</v>
      </c>
      <c r="O105" t="s">
        <v>5953</v>
      </c>
      <c r="P105" t="s">
        <v>5954</v>
      </c>
      <c r="Q105" t="s">
        <v>1939</v>
      </c>
      <c r="R105" t="s">
        <v>5955</v>
      </c>
      <c r="U105" t="s">
        <v>491</v>
      </c>
      <c r="X105">
        <v>0</v>
      </c>
    </row>
    <row r="106" spans="1:24" x14ac:dyDescent="0.25">
      <c r="A106" s="234">
        <v>42810</v>
      </c>
      <c r="B106" t="s">
        <v>5176</v>
      </c>
      <c r="C106" t="s">
        <v>959</v>
      </c>
      <c r="D106" t="s">
        <v>732</v>
      </c>
      <c r="E106" t="s">
        <v>588</v>
      </c>
      <c r="F106" t="s">
        <v>5980</v>
      </c>
      <c r="H106" t="s">
        <v>905</v>
      </c>
      <c r="I106" t="s">
        <v>5981</v>
      </c>
      <c r="J106" t="s">
        <v>959</v>
      </c>
      <c r="M106" s="134">
        <v>0</v>
      </c>
      <c r="N106" s="134">
        <v>0</v>
      </c>
      <c r="O106" t="s">
        <v>5982</v>
      </c>
      <c r="P106" t="s">
        <v>5983</v>
      </c>
      <c r="Q106" t="s">
        <v>29</v>
      </c>
      <c r="R106" t="s">
        <v>5984</v>
      </c>
      <c r="U106" t="s">
        <v>491</v>
      </c>
      <c r="X106">
        <v>1</v>
      </c>
    </row>
    <row r="107" spans="1:24" x14ac:dyDescent="0.25">
      <c r="A107" s="234">
        <v>42815</v>
      </c>
      <c r="B107" t="s">
        <v>5473</v>
      </c>
      <c r="D107" t="s">
        <v>1495</v>
      </c>
      <c r="E107" t="s">
        <v>588</v>
      </c>
      <c r="F107" t="s">
        <v>6046</v>
      </c>
      <c r="H107" t="s">
        <v>607</v>
      </c>
      <c r="I107" t="s">
        <v>3809</v>
      </c>
      <c r="J107" t="s">
        <v>602</v>
      </c>
      <c r="M107" s="134">
        <v>0</v>
      </c>
      <c r="N107" s="134">
        <v>0</v>
      </c>
      <c r="O107" t="s">
        <v>5190</v>
      </c>
      <c r="P107" t="s">
        <v>6047</v>
      </c>
      <c r="Q107" t="s">
        <v>620</v>
      </c>
      <c r="R107" t="s">
        <v>6048</v>
      </c>
      <c r="U107" t="s">
        <v>491</v>
      </c>
      <c r="X107">
        <v>0</v>
      </c>
    </row>
    <row r="108" spans="1:24" x14ac:dyDescent="0.25">
      <c r="A108" s="234">
        <v>42815</v>
      </c>
      <c r="B108" t="s">
        <v>5176</v>
      </c>
      <c r="D108" t="s">
        <v>595</v>
      </c>
      <c r="E108" t="s">
        <v>821</v>
      </c>
      <c r="H108" t="s">
        <v>607</v>
      </c>
      <c r="J108" t="s">
        <v>604</v>
      </c>
      <c r="M108" s="134">
        <v>0</v>
      </c>
      <c r="N108" s="134">
        <v>0</v>
      </c>
      <c r="O108" t="s">
        <v>1033</v>
      </c>
      <c r="P108" t="s">
        <v>6024</v>
      </c>
      <c r="Q108" t="s">
        <v>29</v>
      </c>
      <c r="R108" t="s">
        <v>6025</v>
      </c>
      <c r="U108" t="s">
        <v>491</v>
      </c>
      <c r="X108">
        <v>1</v>
      </c>
    </row>
    <row r="109" spans="1:24" x14ac:dyDescent="0.25">
      <c r="A109" s="234">
        <v>42815</v>
      </c>
      <c r="B109" t="s">
        <v>569</v>
      </c>
      <c r="D109" t="s">
        <v>625</v>
      </c>
      <c r="E109" t="s">
        <v>821</v>
      </c>
      <c r="J109" t="s">
        <v>899</v>
      </c>
      <c r="M109" s="134">
        <v>0</v>
      </c>
      <c r="N109" s="134">
        <v>0</v>
      </c>
      <c r="O109" t="s">
        <v>6026</v>
      </c>
      <c r="P109" t="s">
        <v>6028</v>
      </c>
      <c r="Q109" t="s">
        <v>592</v>
      </c>
      <c r="R109" t="s">
        <v>6029</v>
      </c>
      <c r="U109" t="s">
        <v>491</v>
      </c>
      <c r="X109">
        <v>0</v>
      </c>
    </row>
    <row r="110" spans="1:24" x14ac:dyDescent="0.25">
      <c r="A110" s="234">
        <v>42815</v>
      </c>
      <c r="B110" t="s">
        <v>569</v>
      </c>
      <c r="D110" t="s">
        <v>625</v>
      </c>
      <c r="E110" t="s">
        <v>821</v>
      </c>
      <c r="F110" t="s">
        <v>6033</v>
      </c>
      <c r="H110" t="s">
        <v>833</v>
      </c>
      <c r="I110" t="s">
        <v>6034</v>
      </c>
      <c r="J110" t="s">
        <v>899</v>
      </c>
      <c r="M110" s="134">
        <v>0</v>
      </c>
      <c r="N110" s="134">
        <v>0</v>
      </c>
      <c r="O110" t="s">
        <v>639</v>
      </c>
      <c r="P110" t="s">
        <v>6030</v>
      </c>
      <c r="Q110" t="s">
        <v>1939</v>
      </c>
      <c r="R110" t="s">
        <v>6031</v>
      </c>
      <c r="U110" t="s">
        <v>491</v>
      </c>
      <c r="X110">
        <v>0</v>
      </c>
    </row>
    <row r="111" spans="1:24" x14ac:dyDescent="0.25">
      <c r="A111" s="234">
        <v>42815</v>
      </c>
      <c r="B111" t="s">
        <v>569</v>
      </c>
      <c r="D111" t="s">
        <v>625</v>
      </c>
      <c r="E111" t="s">
        <v>821</v>
      </c>
      <c r="F111" t="s">
        <v>6055</v>
      </c>
      <c r="H111" t="s">
        <v>905</v>
      </c>
      <c r="I111" t="s">
        <v>4553</v>
      </c>
      <c r="J111" t="s">
        <v>899</v>
      </c>
      <c r="M111" s="134">
        <v>0</v>
      </c>
      <c r="N111" s="134">
        <v>0</v>
      </c>
      <c r="O111" t="s">
        <v>6027</v>
      </c>
      <c r="P111" t="s">
        <v>6032</v>
      </c>
      <c r="Q111" t="s">
        <v>1939</v>
      </c>
      <c r="R111" t="s">
        <v>6056</v>
      </c>
      <c r="U111" t="s">
        <v>491</v>
      </c>
      <c r="X111">
        <v>0</v>
      </c>
    </row>
    <row r="112" spans="1:24" x14ac:dyDescent="0.25">
      <c r="A112" s="234">
        <v>42816</v>
      </c>
      <c r="B112" t="s">
        <v>328</v>
      </c>
      <c r="C112" t="s">
        <v>603</v>
      </c>
      <c r="D112" t="s">
        <v>1401</v>
      </c>
      <c r="E112" t="s">
        <v>588</v>
      </c>
      <c r="F112" t="s">
        <v>6057</v>
      </c>
      <c r="H112" t="s">
        <v>3095</v>
      </c>
      <c r="I112" t="s">
        <v>5390</v>
      </c>
      <c r="J112" t="s">
        <v>959</v>
      </c>
      <c r="M112" s="134">
        <v>0</v>
      </c>
      <c r="N112" s="134">
        <v>0</v>
      </c>
      <c r="O112" t="s">
        <v>1033</v>
      </c>
      <c r="P112" t="s">
        <v>6058</v>
      </c>
      <c r="Q112" t="s">
        <v>620</v>
      </c>
      <c r="R112" t="s">
        <v>6059</v>
      </c>
      <c r="U112" t="s">
        <v>491</v>
      </c>
      <c r="X112">
        <v>0</v>
      </c>
    </row>
    <row r="113" spans="1:24" x14ac:dyDescent="0.25">
      <c r="A113" s="234">
        <v>42818</v>
      </c>
      <c r="B113" t="s">
        <v>328</v>
      </c>
      <c r="C113" t="s">
        <v>603</v>
      </c>
      <c r="D113" t="s">
        <v>1401</v>
      </c>
      <c r="E113" t="s">
        <v>588</v>
      </c>
      <c r="F113" t="s">
        <v>6103</v>
      </c>
      <c r="H113" t="s">
        <v>6104</v>
      </c>
      <c r="J113" t="s">
        <v>3533</v>
      </c>
      <c r="M113" s="134">
        <v>0</v>
      </c>
      <c r="N113" s="134">
        <v>0</v>
      </c>
      <c r="O113" t="s">
        <v>6105</v>
      </c>
      <c r="P113" t="s">
        <v>6106</v>
      </c>
      <c r="Q113" t="s">
        <v>592</v>
      </c>
      <c r="R113" t="s">
        <v>6107</v>
      </c>
      <c r="U113" t="s">
        <v>491</v>
      </c>
      <c r="X113">
        <v>0</v>
      </c>
    </row>
    <row r="114" spans="1:24" x14ac:dyDescent="0.25">
      <c r="A114" s="234">
        <v>42819</v>
      </c>
      <c r="B114" t="s">
        <v>569</v>
      </c>
      <c r="D114" t="s">
        <v>625</v>
      </c>
      <c r="E114" t="s">
        <v>588</v>
      </c>
      <c r="F114" t="s">
        <v>6138</v>
      </c>
      <c r="H114" t="s">
        <v>607</v>
      </c>
      <c r="M114" s="134">
        <v>0</v>
      </c>
      <c r="N114" s="134">
        <v>0</v>
      </c>
      <c r="O114" t="s">
        <v>5922</v>
      </c>
      <c r="P114" t="s">
        <v>6139</v>
      </c>
      <c r="Q114" t="s">
        <v>592</v>
      </c>
      <c r="R114" t="s">
        <v>6140</v>
      </c>
      <c r="U114" t="s">
        <v>491</v>
      </c>
      <c r="X114">
        <v>0</v>
      </c>
    </row>
    <row r="115" spans="1:24" x14ac:dyDescent="0.25">
      <c r="A115" s="234">
        <v>42821</v>
      </c>
      <c r="B115" t="s">
        <v>569</v>
      </c>
      <c r="C115" t="s">
        <v>899</v>
      </c>
      <c r="D115" t="s">
        <v>611</v>
      </c>
      <c r="E115" t="s">
        <v>588</v>
      </c>
      <c r="F115" t="s">
        <v>6154</v>
      </c>
      <c r="H115" t="s">
        <v>607</v>
      </c>
      <c r="L115">
        <v>4</v>
      </c>
      <c r="M115" s="134">
        <v>0</v>
      </c>
      <c r="N115" s="134">
        <v>0</v>
      </c>
      <c r="O115" t="s">
        <v>6153</v>
      </c>
      <c r="P115" t="s">
        <v>6155</v>
      </c>
      <c r="Q115" t="s">
        <v>592</v>
      </c>
      <c r="R115" t="s">
        <v>6152</v>
      </c>
      <c r="U115" t="s">
        <v>1327</v>
      </c>
      <c r="X115">
        <v>0</v>
      </c>
    </row>
    <row r="116" spans="1:24" x14ac:dyDescent="0.25">
      <c r="A116" s="234">
        <v>42822</v>
      </c>
      <c r="B116" t="s">
        <v>1788</v>
      </c>
      <c r="C116" t="s">
        <v>604</v>
      </c>
      <c r="D116" t="s">
        <v>6161</v>
      </c>
      <c r="E116" t="s">
        <v>588</v>
      </c>
      <c r="F116" t="s">
        <v>6162</v>
      </c>
      <c r="H116" t="s">
        <v>4183</v>
      </c>
      <c r="M116" s="134">
        <v>0</v>
      </c>
      <c r="N116" s="134">
        <v>0</v>
      </c>
      <c r="O116" t="s">
        <v>6163</v>
      </c>
      <c r="P116" t="s">
        <v>6311</v>
      </c>
      <c r="Q116" t="s">
        <v>592</v>
      </c>
      <c r="R116" t="s">
        <v>6164</v>
      </c>
      <c r="U116" t="s">
        <v>1327</v>
      </c>
      <c r="X116">
        <v>0</v>
      </c>
    </row>
    <row r="117" spans="1:24" x14ac:dyDescent="0.25">
      <c r="A117" s="234">
        <v>42828</v>
      </c>
      <c r="B117" t="s">
        <v>328</v>
      </c>
      <c r="C117" t="s">
        <v>603</v>
      </c>
      <c r="D117" t="s">
        <v>649</v>
      </c>
      <c r="E117" t="s">
        <v>588</v>
      </c>
      <c r="F117" t="s">
        <v>6228</v>
      </c>
      <c r="H117" t="s">
        <v>5244</v>
      </c>
      <c r="I117" t="s">
        <v>6230</v>
      </c>
      <c r="J117" t="s">
        <v>899</v>
      </c>
      <c r="M117" s="134">
        <v>0</v>
      </c>
      <c r="N117" s="134">
        <v>0</v>
      </c>
      <c r="O117" t="s">
        <v>5965</v>
      </c>
      <c r="P117" t="s">
        <v>6229</v>
      </c>
      <c r="Q117" t="s">
        <v>620</v>
      </c>
      <c r="R117" t="s">
        <v>5986</v>
      </c>
      <c r="U117" t="s">
        <v>491</v>
      </c>
      <c r="X117">
        <v>0</v>
      </c>
    </row>
    <row r="118" spans="1:24" x14ac:dyDescent="0.25">
      <c r="A118" s="234">
        <v>42830</v>
      </c>
      <c r="B118" t="s">
        <v>320</v>
      </c>
      <c r="C118" t="s">
        <v>1228</v>
      </c>
      <c r="D118" t="s">
        <v>1229</v>
      </c>
      <c r="E118" t="s">
        <v>588</v>
      </c>
      <c r="H118" t="s">
        <v>607</v>
      </c>
      <c r="J118" t="s">
        <v>3856</v>
      </c>
      <c r="M118" s="134">
        <v>0</v>
      </c>
      <c r="N118" s="134">
        <v>0</v>
      </c>
      <c r="O118" t="s">
        <v>3952</v>
      </c>
      <c r="P118" t="s">
        <v>6259</v>
      </c>
      <c r="Q118" t="s">
        <v>620</v>
      </c>
      <c r="R118" t="s">
        <v>6260</v>
      </c>
      <c r="U118" t="s">
        <v>491</v>
      </c>
      <c r="X118">
        <v>0</v>
      </c>
    </row>
    <row r="119" spans="1:24" x14ac:dyDescent="0.25">
      <c r="A119" s="234">
        <v>42832</v>
      </c>
      <c r="B119" t="s">
        <v>110</v>
      </c>
      <c r="C119" t="s">
        <v>761</v>
      </c>
      <c r="D119" t="s">
        <v>4782</v>
      </c>
      <c r="E119" t="s">
        <v>588</v>
      </c>
      <c r="F119" t="s">
        <v>6323</v>
      </c>
      <c r="H119" t="s">
        <v>905</v>
      </c>
      <c r="I119" t="s">
        <v>6324</v>
      </c>
      <c r="J119" t="s">
        <v>761</v>
      </c>
      <c r="L119">
        <v>5</v>
      </c>
      <c r="M119" s="134">
        <v>0</v>
      </c>
      <c r="N119" s="134">
        <v>0</v>
      </c>
      <c r="O119" t="s">
        <v>5655</v>
      </c>
      <c r="P119" t="s">
        <v>6325</v>
      </c>
      <c r="Q119" t="s">
        <v>592</v>
      </c>
      <c r="U119" t="s">
        <v>491</v>
      </c>
      <c r="X119">
        <v>0</v>
      </c>
    </row>
    <row r="120" spans="1:24" x14ac:dyDescent="0.25">
      <c r="A120" s="234">
        <v>42832</v>
      </c>
      <c r="B120" t="s">
        <v>110</v>
      </c>
      <c r="C120" t="s">
        <v>761</v>
      </c>
      <c r="D120" t="s">
        <v>4782</v>
      </c>
      <c r="E120" t="s">
        <v>588</v>
      </c>
      <c r="F120" t="s">
        <v>6323</v>
      </c>
      <c r="H120" t="s">
        <v>905</v>
      </c>
      <c r="I120" t="s">
        <v>6324</v>
      </c>
      <c r="J120" t="s">
        <v>761</v>
      </c>
      <c r="L120">
        <v>5</v>
      </c>
      <c r="M120" s="134">
        <v>0</v>
      </c>
      <c r="N120" s="134">
        <v>0</v>
      </c>
      <c r="O120" t="s">
        <v>5655</v>
      </c>
      <c r="P120" t="s">
        <v>6325</v>
      </c>
      <c r="Q120" t="s">
        <v>592</v>
      </c>
      <c r="U120" t="s">
        <v>491</v>
      </c>
      <c r="X120">
        <v>0</v>
      </c>
    </row>
    <row r="121" spans="1:24" x14ac:dyDescent="0.25">
      <c r="A121" s="234">
        <v>42832</v>
      </c>
      <c r="B121" t="s">
        <v>569</v>
      </c>
      <c r="C121" t="s">
        <v>899</v>
      </c>
      <c r="D121" t="s">
        <v>930</v>
      </c>
      <c r="E121" t="s">
        <v>821</v>
      </c>
      <c r="F121" t="s">
        <v>6333</v>
      </c>
      <c r="H121" t="s">
        <v>905</v>
      </c>
      <c r="M121" s="134">
        <v>0</v>
      </c>
      <c r="N121" s="134">
        <v>0</v>
      </c>
      <c r="O121" t="s">
        <v>5678</v>
      </c>
      <c r="P121" t="s">
        <v>6334</v>
      </c>
      <c r="Q121" t="s">
        <v>592</v>
      </c>
      <c r="U121" t="s">
        <v>491</v>
      </c>
      <c r="X121">
        <v>0</v>
      </c>
    </row>
    <row r="122" spans="1:24" x14ac:dyDescent="0.25">
      <c r="A122" s="234">
        <v>42835</v>
      </c>
      <c r="B122" t="s">
        <v>5176</v>
      </c>
      <c r="D122" t="s">
        <v>595</v>
      </c>
      <c r="E122" t="s">
        <v>821</v>
      </c>
      <c r="H122" t="s">
        <v>1050</v>
      </c>
      <c r="M122" s="134">
        <v>0</v>
      </c>
      <c r="N122" s="134">
        <v>0</v>
      </c>
      <c r="O122" t="s">
        <v>5234</v>
      </c>
      <c r="P122" t="s">
        <v>6365</v>
      </c>
      <c r="Q122" t="s">
        <v>29</v>
      </c>
      <c r="R122" t="s">
        <v>6366</v>
      </c>
      <c r="U122" t="s">
        <v>491</v>
      </c>
      <c r="X122">
        <v>1</v>
      </c>
    </row>
    <row r="123" spans="1:24" x14ac:dyDescent="0.25">
      <c r="A123" s="234">
        <v>42837</v>
      </c>
      <c r="B123" t="s">
        <v>5176</v>
      </c>
      <c r="D123" t="s">
        <v>595</v>
      </c>
      <c r="E123" t="s">
        <v>588</v>
      </c>
      <c r="F123" t="s">
        <v>6386</v>
      </c>
      <c r="H123" t="s">
        <v>809</v>
      </c>
      <c r="I123" t="s">
        <v>5932</v>
      </c>
      <c r="J123" t="s">
        <v>604</v>
      </c>
      <c r="M123" s="134">
        <v>0</v>
      </c>
      <c r="N123" s="134">
        <v>0</v>
      </c>
      <c r="O123" t="s">
        <v>6387</v>
      </c>
      <c r="P123" t="s">
        <v>6388</v>
      </c>
      <c r="Q123" t="s">
        <v>1939</v>
      </c>
      <c r="R123" t="s">
        <v>6389</v>
      </c>
      <c r="U123" t="s">
        <v>491</v>
      </c>
      <c r="X123">
        <v>0</v>
      </c>
    </row>
    <row r="124" spans="1:24" x14ac:dyDescent="0.25">
      <c r="A124" s="234">
        <v>42837</v>
      </c>
      <c r="B124" t="s">
        <v>5176</v>
      </c>
      <c r="D124" t="s">
        <v>727</v>
      </c>
      <c r="E124" t="s">
        <v>588</v>
      </c>
      <c r="F124" t="s">
        <v>6412</v>
      </c>
      <c r="H124" t="s">
        <v>607</v>
      </c>
      <c r="I124" t="s">
        <v>6413</v>
      </c>
      <c r="J124" t="s">
        <v>3369</v>
      </c>
      <c r="M124" s="134">
        <v>0</v>
      </c>
      <c r="N124" s="134">
        <v>0</v>
      </c>
      <c r="O124" t="s">
        <v>5611</v>
      </c>
      <c r="P124" t="s">
        <v>6414</v>
      </c>
      <c r="Q124" t="s">
        <v>29</v>
      </c>
      <c r="R124" t="s">
        <v>6415</v>
      </c>
      <c r="U124" t="s">
        <v>491</v>
      </c>
      <c r="X124">
        <v>1</v>
      </c>
    </row>
    <row r="125" spans="1:24" x14ac:dyDescent="0.25">
      <c r="A125" s="234">
        <v>42837</v>
      </c>
      <c r="B125" t="s">
        <v>569</v>
      </c>
      <c r="D125" t="s">
        <v>625</v>
      </c>
      <c r="E125" t="s">
        <v>821</v>
      </c>
      <c r="H125" t="s">
        <v>886</v>
      </c>
      <c r="J125" t="s">
        <v>899</v>
      </c>
      <c r="M125" s="134">
        <v>0</v>
      </c>
      <c r="N125" s="134">
        <v>0</v>
      </c>
      <c r="O125" t="s">
        <v>5234</v>
      </c>
      <c r="P125" t="s">
        <v>6395</v>
      </c>
      <c r="Q125" t="s">
        <v>29</v>
      </c>
      <c r="R125" t="s">
        <v>6396</v>
      </c>
      <c r="U125" t="s">
        <v>491</v>
      </c>
      <c r="X125">
        <v>1</v>
      </c>
    </row>
    <row r="126" spans="1:24" x14ac:dyDescent="0.25">
      <c r="A126" s="234">
        <v>42837</v>
      </c>
      <c r="B126" t="s">
        <v>643</v>
      </c>
      <c r="C126" t="s">
        <v>644</v>
      </c>
      <c r="D126" t="s">
        <v>645</v>
      </c>
      <c r="E126" t="s">
        <v>588</v>
      </c>
      <c r="F126" t="s">
        <v>6390</v>
      </c>
      <c r="H126" t="s">
        <v>905</v>
      </c>
      <c r="I126" t="s">
        <v>6391</v>
      </c>
      <c r="J126" t="s">
        <v>3501</v>
      </c>
      <c r="M126" s="134">
        <v>0</v>
      </c>
      <c r="N126" s="134">
        <v>0</v>
      </c>
      <c r="O126" t="s">
        <v>6392</v>
      </c>
      <c r="P126" t="s">
        <v>6393</v>
      </c>
      <c r="Q126" t="s">
        <v>29</v>
      </c>
      <c r="R126" t="s">
        <v>6394</v>
      </c>
      <c r="U126" t="s">
        <v>491</v>
      </c>
      <c r="X126">
        <v>1</v>
      </c>
    </row>
    <row r="127" spans="1:24" x14ac:dyDescent="0.25">
      <c r="A127" s="234">
        <v>42838</v>
      </c>
      <c r="B127" t="s">
        <v>5176</v>
      </c>
      <c r="D127" t="s">
        <v>595</v>
      </c>
      <c r="E127" t="s">
        <v>821</v>
      </c>
      <c r="H127" t="s">
        <v>905</v>
      </c>
      <c r="I127" t="s">
        <v>106</v>
      </c>
      <c r="J127" t="s">
        <v>761</v>
      </c>
      <c r="M127" s="134">
        <v>0</v>
      </c>
      <c r="N127" s="134">
        <v>0</v>
      </c>
      <c r="O127" t="s">
        <v>35</v>
      </c>
      <c r="P127" t="s">
        <v>6428</v>
      </c>
      <c r="Q127" t="s">
        <v>620</v>
      </c>
      <c r="R127" t="s">
        <v>6429</v>
      </c>
      <c r="U127" t="s">
        <v>491</v>
      </c>
      <c r="X127">
        <v>0</v>
      </c>
    </row>
    <row r="128" spans="1:24" x14ac:dyDescent="0.25">
      <c r="A128" s="234">
        <v>42838</v>
      </c>
      <c r="B128" t="s">
        <v>569</v>
      </c>
      <c r="D128" t="s">
        <v>624</v>
      </c>
      <c r="E128" t="s">
        <v>588</v>
      </c>
      <c r="F128" t="s">
        <v>6416</v>
      </c>
      <c r="H128" t="s">
        <v>1391</v>
      </c>
      <c r="I128" t="s">
        <v>4237</v>
      </c>
      <c r="J128" t="s">
        <v>899</v>
      </c>
      <c r="M128" s="134">
        <v>0</v>
      </c>
      <c r="N128" s="134">
        <v>0</v>
      </c>
      <c r="O128" t="s">
        <v>6417</v>
      </c>
      <c r="P128" t="s">
        <v>6418</v>
      </c>
      <c r="Q128" t="s">
        <v>592</v>
      </c>
      <c r="R128" t="s">
        <v>6419</v>
      </c>
      <c r="U128" t="s">
        <v>491</v>
      </c>
      <c r="X128">
        <v>0</v>
      </c>
    </row>
    <row r="129" spans="1:24" x14ac:dyDescent="0.25">
      <c r="A129" s="234">
        <v>42838</v>
      </c>
      <c r="B129" t="s">
        <v>569</v>
      </c>
      <c r="D129" t="s">
        <v>930</v>
      </c>
      <c r="E129" t="s">
        <v>821</v>
      </c>
      <c r="F129" t="s">
        <v>6431</v>
      </c>
      <c r="H129" t="s">
        <v>607</v>
      </c>
      <c r="M129" s="134">
        <v>0</v>
      </c>
      <c r="N129" s="134">
        <v>0</v>
      </c>
      <c r="O129" t="s">
        <v>1272</v>
      </c>
      <c r="P129" t="s">
        <v>6667</v>
      </c>
      <c r="Q129" t="s">
        <v>592</v>
      </c>
      <c r="U129" t="s">
        <v>491</v>
      </c>
      <c r="X129">
        <v>0</v>
      </c>
    </row>
    <row r="130" spans="1:24" x14ac:dyDescent="0.25">
      <c r="A130" s="234">
        <v>42844</v>
      </c>
      <c r="B130" t="s">
        <v>110</v>
      </c>
      <c r="C130" t="s">
        <v>761</v>
      </c>
      <c r="D130" t="s">
        <v>6471</v>
      </c>
      <c r="E130" t="s">
        <v>588</v>
      </c>
      <c r="F130" t="s">
        <v>6472</v>
      </c>
      <c r="H130" t="s">
        <v>607</v>
      </c>
      <c r="J130" t="s">
        <v>3733</v>
      </c>
      <c r="M130" s="134">
        <v>0</v>
      </c>
      <c r="N130" s="134">
        <v>0</v>
      </c>
      <c r="O130" t="s">
        <v>6473</v>
      </c>
      <c r="P130" t="s">
        <v>6474</v>
      </c>
      <c r="Q130" t="s">
        <v>29</v>
      </c>
      <c r="R130" t="s">
        <v>6475</v>
      </c>
      <c r="U130" t="s">
        <v>491</v>
      </c>
      <c r="X130">
        <v>1</v>
      </c>
    </row>
    <row r="131" spans="1:24" x14ac:dyDescent="0.25">
      <c r="A131" s="234">
        <v>42844</v>
      </c>
      <c r="B131" t="s">
        <v>569</v>
      </c>
      <c r="D131" t="s">
        <v>625</v>
      </c>
      <c r="E131" t="s">
        <v>821</v>
      </c>
      <c r="F131" t="s">
        <v>6479</v>
      </c>
      <c r="H131" t="s">
        <v>607</v>
      </c>
      <c r="M131" s="134">
        <v>0</v>
      </c>
      <c r="N131" s="134">
        <v>0</v>
      </c>
      <c r="O131" t="s">
        <v>35</v>
      </c>
      <c r="P131" t="s">
        <v>6476</v>
      </c>
      <c r="Q131" t="s">
        <v>1939</v>
      </c>
      <c r="R131" t="s">
        <v>6480</v>
      </c>
      <c r="U131" t="s">
        <v>491</v>
      </c>
      <c r="X131">
        <v>0</v>
      </c>
    </row>
    <row r="132" spans="1:24" x14ac:dyDescent="0.25">
      <c r="A132" s="234">
        <v>42844</v>
      </c>
      <c r="B132" t="s">
        <v>569</v>
      </c>
      <c r="D132" t="s">
        <v>625</v>
      </c>
      <c r="E132" t="s">
        <v>821</v>
      </c>
      <c r="H132" t="s">
        <v>607</v>
      </c>
      <c r="M132" s="134">
        <v>0</v>
      </c>
      <c r="N132" s="134">
        <v>0</v>
      </c>
      <c r="O132" t="s">
        <v>1171</v>
      </c>
      <c r="P132" t="s">
        <v>6477</v>
      </c>
      <c r="Q132" t="s">
        <v>620</v>
      </c>
      <c r="R132" t="s">
        <v>6478</v>
      </c>
      <c r="U132" t="s">
        <v>491</v>
      </c>
      <c r="X132">
        <v>0</v>
      </c>
    </row>
    <row r="133" spans="1:24" x14ac:dyDescent="0.25">
      <c r="A133" s="234">
        <v>42849</v>
      </c>
      <c r="B133" t="s">
        <v>328</v>
      </c>
      <c r="C133" t="s">
        <v>603</v>
      </c>
      <c r="D133" t="s">
        <v>2397</v>
      </c>
      <c r="E133" t="s">
        <v>588</v>
      </c>
      <c r="F133" t="s">
        <v>6524</v>
      </c>
      <c r="H133" t="s">
        <v>886</v>
      </c>
      <c r="I133" t="s">
        <v>6525</v>
      </c>
      <c r="J133" t="s">
        <v>3533</v>
      </c>
      <c r="M133" s="134">
        <v>0</v>
      </c>
      <c r="N133" s="134">
        <v>0</v>
      </c>
      <c r="O133" t="s">
        <v>6526</v>
      </c>
      <c r="P133" t="s">
        <v>6527</v>
      </c>
      <c r="Q133" t="s">
        <v>620</v>
      </c>
      <c r="R133" t="s">
        <v>6528</v>
      </c>
      <c r="U133" t="s">
        <v>491</v>
      </c>
      <c r="X133">
        <v>0</v>
      </c>
    </row>
    <row r="134" spans="1:24" x14ac:dyDescent="0.25">
      <c r="A134" s="234">
        <v>42849</v>
      </c>
      <c r="B134" t="s">
        <v>569</v>
      </c>
      <c r="D134" t="s">
        <v>625</v>
      </c>
      <c r="E134" t="s">
        <v>588</v>
      </c>
      <c r="F134" t="s">
        <v>6533</v>
      </c>
      <c r="M134" s="134">
        <v>0</v>
      </c>
      <c r="N134" s="134">
        <v>0</v>
      </c>
      <c r="O134" t="s">
        <v>3785</v>
      </c>
      <c r="P134" t="s">
        <v>6671</v>
      </c>
      <c r="Q134" t="s">
        <v>592</v>
      </c>
      <c r="R134" t="s">
        <v>6534</v>
      </c>
      <c r="U134" t="s">
        <v>491</v>
      </c>
      <c r="X134">
        <v>0</v>
      </c>
    </row>
    <row r="135" spans="1:24" x14ac:dyDescent="0.25">
      <c r="A135" s="234">
        <v>42850</v>
      </c>
      <c r="B135" t="s">
        <v>569</v>
      </c>
      <c r="D135" t="s">
        <v>930</v>
      </c>
      <c r="E135" t="s">
        <v>588</v>
      </c>
      <c r="F135" t="s">
        <v>6540</v>
      </c>
      <c r="H135" t="s">
        <v>607</v>
      </c>
      <c r="M135" s="134">
        <v>0</v>
      </c>
      <c r="N135" s="134">
        <v>0</v>
      </c>
      <c r="O135" t="s">
        <v>695</v>
      </c>
      <c r="P135" t="s">
        <v>6541</v>
      </c>
      <c r="Q135" t="s">
        <v>592</v>
      </c>
      <c r="R135" t="s">
        <v>6547</v>
      </c>
      <c r="U135" t="s">
        <v>491</v>
      </c>
      <c r="X135">
        <v>0</v>
      </c>
    </row>
    <row r="136" spans="1:24" x14ac:dyDescent="0.25">
      <c r="A136" s="234">
        <v>42850</v>
      </c>
      <c r="B136" t="s">
        <v>569</v>
      </c>
      <c r="D136" t="s">
        <v>625</v>
      </c>
      <c r="E136" t="s">
        <v>588</v>
      </c>
      <c r="H136" t="s">
        <v>607</v>
      </c>
      <c r="M136" s="134">
        <v>0</v>
      </c>
      <c r="N136" s="134">
        <v>0</v>
      </c>
      <c r="O136" t="s">
        <v>6545</v>
      </c>
      <c r="P136" t="s">
        <v>6546</v>
      </c>
      <c r="Q136" t="s">
        <v>1939</v>
      </c>
      <c r="R136" t="s">
        <v>6597</v>
      </c>
      <c r="U136" t="s">
        <v>491</v>
      </c>
      <c r="X136">
        <v>0</v>
      </c>
    </row>
    <row r="137" spans="1:24" x14ac:dyDescent="0.25">
      <c r="A137" s="234">
        <v>42851</v>
      </c>
      <c r="B137" t="s">
        <v>569</v>
      </c>
      <c r="D137" t="s">
        <v>611</v>
      </c>
      <c r="E137" t="s">
        <v>588</v>
      </c>
      <c r="F137" t="s">
        <v>6551</v>
      </c>
      <c r="M137" s="134">
        <v>0</v>
      </c>
      <c r="N137" s="134">
        <v>0</v>
      </c>
      <c r="O137" t="s">
        <v>6552</v>
      </c>
      <c r="P137" t="s">
        <v>6553</v>
      </c>
      <c r="Q137" t="s">
        <v>1939</v>
      </c>
      <c r="R137" t="s">
        <v>6554</v>
      </c>
      <c r="U137" t="s">
        <v>491</v>
      </c>
      <c r="X137">
        <v>0</v>
      </c>
    </row>
    <row r="138" spans="1:24" x14ac:dyDescent="0.25">
      <c r="A138" s="234">
        <v>42852</v>
      </c>
      <c r="B138" t="s">
        <v>5176</v>
      </c>
      <c r="C138" t="s">
        <v>604</v>
      </c>
      <c r="D138" t="s">
        <v>595</v>
      </c>
      <c r="E138" t="s">
        <v>821</v>
      </c>
      <c r="F138" t="s">
        <v>6582</v>
      </c>
      <c r="H138" t="s">
        <v>6583</v>
      </c>
      <c r="M138" s="134">
        <v>0</v>
      </c>
      <c r="N138" s="134">
        <v>0</v>
      </c>
      <c r="O138" t="s">
        <v>5234</v>
      </c>
      <c r="P138" t="s">
        <v>6584</v>
      </c>
      <c r="Q138" t="s">
        <v>1939</v>
      </c>
      <c r="R138" t="s">
        <v>6585</v>
      </c>
      <c r="U138" t="s">
        <v>491</v>
      </c>
      <c r="X138">
        <v>0</v>
      </c>
    </row>
    <row r="139" spans="1:24" x14ac:dyDescent="0.25">
      <c r="A139" s="234">
        <v>42853</v>
      </c>
      <c r="B139" t="s">
        <v>5176</v>
      </c>
      <c r="C139" t="s">
        <v>833</v>
      </c>
      <c r="D139" t="s">
        <v>595</v>
      </c>
      <c r="E139" t="s">
        <v>588</v>
      </c>
      <c r="H139" t="s">
        <v>607</v>
      </c>
      <c r="M139" s="134">
        <v>0</v>
      </c>
      <c r="N139" s="134">
        <v>0</v>
      </c>
      <c r="O139" t="s">
        <v>6590</v>
      </c>
      <c r="P139" t="s">
        <v>6591</v>
      </c>
      <c r="Q139" t="s">
        <v>29</v>
      </c>
      <c r="U139" t="s">
        <v>491</v>
      </c>
      <c r="X139">
        <v>1</v>
      </c>
    </row>
    <row r="140" spans="1:24" x14ac:dyDescent="0.25">
      <c r="A140" s="234">
        <v>42853</v>
      </c>
      <c r="B140" t="s">
        <v>5176</v>
      </c>
      <c r="D140" t="s">
        <v>2454</v>
      </c>
      <c r="E140" t="s">
        <v>588</v>
      </c>
      <c r="F140" t="s">
        <v>6600</v>
      </c>
      <c r="H140" t="s">
        <v>6601</v>
      </c>
      <c r="I140" t="s">
        <v>6656</v>
      </c>
      <c r="J140" t="s">
        <v>6657</v>
      </c>
      <c r="M140" s="134">
        <v>0</v>
      </c>
      <c r="N140" s="134">
        <v>0</v>
      </c>
      <c r="O140" t="s">
        <v>6602</v>
      </c>
      <c r="P140" t="s">
        <v>6603</v>
      </c>
      <c r="Q140" t="s">
        <v>620</v>
      </c>
      <c r="R140" t="s">
        <v>6672</v>
      </c>
      <c r="U140" t="s">
        <v>491</v>
      </c>
      <c r="X140">
        <v>0</v>
      </c>
    </row>
    <row r="141" spans="1:24" x14ac:dyDescent="0.25">
      <c r="A141" s="234">
        <v>42853</v>
      </c>
      <c r="B141" t="s">
        <v>569</v>
      </c>
      <c r="D141" t="s">
        <v>625</v>
      </c>
      <c r="E141" t="s">
        <v>821</v>
      </c>
      <c r="F141" t="s">
        <v>6604</v>
      </c>
      <c r="H141" t="s">
        <v>607</v>
      </c>
      <c r="M141" s="134">
        <v>0</v>
      </c>
      <c r="N141" s="134">
        <v>0</v>
      </c>
      <c r="O141" t="s">
        <v>6005</v>
      </c>
      <c r="P141" t="s">
        <v>6605</v>
      </c>
      <c r="Q141" t="s">
        <v>1939</v>
      </c>
      <c r="R141" t="s">
        <v>6612</v>
      </c>
      <c r="U141" t="s">
        <v>491</v>
      </c>
      <c r="X141">
        <v>0</v>
      </c>
    </row>
    <row r="142" spans="1:24" x14ac:dyDescent="0.25">
      <c r="A142" s="234">
        <v>42853</v>
      </c>
      <c r="B142" t="s">
        <v>569</v>
      </c>
      <c r="D142" t="s">
        <v>625</v>
      </c>
      <c r="E142" t="s">
        <v>821</v>
      </c>
      <c r="F142" t="s">
        <v>6606</v>
      </c>
      <c r="H142" t="s">
        <v>1050</v>
      </c>
      <c r="I142" t="s">
        <v>6607</v>
      </c>
      <c r="J142" t="s">
        <v>899</v>
      </c>
      <c r="M142" s="134">
        <v>0</v>
      </c>
      <c r="N142" s="134">
        <v>0</v>
      </c>
      <c r="O142" t="s">
        <v>6608</v>
      </c>
      <c r="P142" t="s">
        <v>6609</v>
      </c>
      <c r="Q142" t="s">
        <v>592</v>
      </c>
      <c r="R142" t="s">
        <v>6610</v>
      </c>
      <c r="U142" t="s">
        <v>491</v>
      </c>
      <c r="X142">
        <v>0</v>
      </c>
    </row>
    <row r="143" spans="1:24" x14ac:dyDescent="0.25">
      <c r="A143" s="234">
        <v>42857</v>
      </c>
      <c r="B143" t="s">
        <v>569</v>
      </c>
      <c r="D143" t="s">
        <v>625</v>
      </c>
      <c r="E143" t="s">
        <v>821</v>
      </c>
      <c r="H143" t="s">
        <v>6645</v>
      </c>
      <c r="M143" s="134">
        <v>0</v>
      </c>
      <c r="N143" s="134">
        <v>0</v>
      </c>
      <c r="O143" t="s">
        <v>6646</v>
      </c>
      <c r="P143" t="s">
        <v>6647</v>
      </c>
      <c r="Q143" t="s">
        <v>620</v>
      </c>
      <c r="R143" t="s">
        <v>6648</v>
      </c>
      <c r="U143" t="s">
        <v>1327</v>
      </c>
      <c r="X143">
        <v>0</v>
      </c>
    </row>
    <row r="144" spans="1:24" x14ac:dyDescent="0.25">
      <c r="A144" s="234">
        <v>42858</v>
      </c>
      <c r="B144" t="s">
        <v>328</v>
      </c>
      <c r="C144" t="s">
        <v>603</v>
      </c>
      <c r="D144" t="s">
        <v>1401</v>
      </c>
      <c r="E144" t="s">
        <v>588</v>
      </c>
      <c r="F144" t="s">
        <v>6662</v>
      </c>
      <c r="H144" t="s">
        <v>607</v>
      </c>
      <c r="I144" t="s">
        <v>6663</v>
      </c>
      <c r="J144" t="s">
        <v>3373</v>
      </c>
      <c r="M144" s="134">
        <v>0</v>
      </c>
      <c r="N144" s="134">
        <v>0</v>
      </c>
      <c r="O144" t="s">
        <v>6522</v>
      </c>
      <c r="P144" t="s">
        <v>7045</v>
      </c>
      <c r="Q144" t="s">
        <v>592</v>
      </c>
      <c r="U144" t="s">
        <v>491</v>
      </c>
      <c r="X144">
        <v>0</v>
      </c>
    </row>
    <row r="145" spans="1:24" x14ac:dyDescent="0.25">
      <c r="A145" s="234">
        <v>42859</v>
      </c>
      <c r="B145" t="s">
        <v>5176</v>
      </c>
      <c r="C145" t="s">
        <v>604</v>
      </c>
      <c r="D145" t="s">
        <v>595</v>
      </c>
      <c r="E145" t="s">
        <v>588</v>
      </c>
      <c r="H145" t="s">
        <v>607</v>
      </c>
      <c r="M145" s="134">
        <v>0</v>
      </c>
      <c r="N145" s="134">
        <v>0</v>
      </c>
      <c r="O145" t="s">
        <v>5291</v>
      </c>
      <c r="P145" t="s">
        <v>6682</v>
      </c>
      <c r="Q145" t="s">
        <v>592</v>
      </c>
      <c r="R145" t="s">
        <v>6683</v>
      </c>
      <c r="U145" t="s">
        <v>491</v>
      </c>
      <c r="X145">
        <v>0</v>
      </c>
    </row>
    <row r="146" spans="1:24" x14ac:dyDescent="0.25">
      <c r="A146" s="234">
        <v>42860</v>
      </c>
      <c r="B146" t="s">
        <v>5176</v>
      </c>
      <c r="D146" t="s">
        <v>595</v>
      </c>
      <c r="E146" t="s">
        <v>588</v>
      </c>
      <c r="F146" t="s">
        <v>6688</v>
      </c>
      <c r="H146" t="s">
        <v>607</v>
      </c>
      <c r="I146" t="s">
        <v>5541</v>
      </c>
      <c r="J146" t="s">
        <v>604</v>
      </c>
      <c r="M146" s="134">
        <v>0</v>
      </c>
      <c r="N146" s="134">
        <v>0</v>
      </c>
      <c r="O146" t="s">
        <v>35</v>
      </c>
      <c r="P146" t="s">
        <v>7047</v>
      </c>
      <c r="Q146" t="s">
        <v>620</v>
      </c>
      <c r="R146" t="s">
        <v>6689</v>
      </c>
      <c r="U146" t="s">
        <v>491</v>
      </c>
      <c r="X146">
        <v>0</v>
      </c>
    </row>
    <row r="147" spans="1:24" x14ac:dyDescent="0.25">
      <c r="A147" s="234">
        <v>42863</v>
      </c>
      <c r="B147" t="s">
        <v>5176</v>
      </c>
      <c r="D147" t="s">
        <v>2186</v>
      </c>
      <c r="E147" t="s">
        <v>588</v>
      </c>
      <c r="F147" t="s">
        <v>6708</v>
      </c>
      <c r="H147" t="s">
        <v>2206</v>
      </c>
      <c r="M147" s="134">
        <v>0</v>
      </c>
      <c r="N147" s="134">
        <v>0</v>
      </c>
      <c r="O147" t="s">
        <v>3810</v>
      </c>
      <c r="P147" t="s">
        <v>6709</v>
      </c>
      <c r="Q147" t="s">
        <v>592</v>
      </c>
      <c r="R147" t="s">
        <v>6710</v>
      </c>
      <c r="U147" t="s">
        <v>491</v>
      </c>
      <c r="X147">
        <v>0</v>
      </c>
    </row>
    <row r="148" spans="1:24" x14ac:dyDescent="0.25">
      <c r="A148" s="234">
        <v>42866</v>
      </c>
      <c r="B148" t="s">
        <v>328</v>
      </c>
      <c r="C148" t="s">
        <v>603</v>
      </c>
      <c r="D148" t="s">
        <v>5701</v>
      </c>
      <c r="E148" t="s">
        <v>588</v>
      </c>
      <c r="F148" t="s">
        <v>6743</v>
      </c>
      <c r="H148" t="s">
        <v>722</v>
      </c>
      <c r="I148" t="s">
        <v>6744</v>
      </c>
      <c r="J148" t="s">
        <v>3398</v>
      </c>
      <c r="L148">
        <v>9</v>
      </c>
      <c r="M148" s="134">
        <v>0</v>
      </c>
      <c r="N148" s="134">
        <v>0</v>
      </c>
      <c r="O148" t="s">
        <v>5354</v>
      </c>
      <c r="P148" t="s">
        <v>6747</v>
      </c>
      <c r="Q148" t="s">
        <v>1939</v>
      </c>
      <c r="R148" t="s">
        <v>6748</v>
      </c>
      <c r="U148" t="s">
        <v>491</v>
      </c>
      <c r="V148" t="s">
        <v>3985</v>
      </c>
      <c r="W148" t="s">
        <v>7876</v>
      </c>
      <c r="X148">
        <v>0</v>
      </c>
    </row>
    <row r="149" spans="1:24" x14ac:dyDescent="0.25">
      <c r="A149" s="234">
        <v>42866</v>
      </c>
      <c r="B149" t="s">
        <v>569</v>
      </c>
      <c r="D149" t="s">
        <v>611</v>
      </c>
      <c r="E149" t="s">
        <v>588</v>
      </c>
      <c r="F149" t="s">
        <v>6751</v>
      </c>
      <c r="H149" t="s">
        <v>607</v>
      </c>
      <c r="M149" s="134">
        <v>0</v>
      </c>
      <c r="N149" s="134">
        <v>0</v>
      </c>
      <c r="O149" t="s">
        <v>3785</v>
      </c>
      <c r="P149" t="s">
        <v>6752</v>
      </c>
      <c r="Q149" t="s">
        <v>592</v>
      </c>
      <c r="U149" t="s">
        <v>491</v>
      </c>
      <c r="X149">
        <v>0</v>
      </c>
    </row>
    <row r="150" spans="1:24" x14ac:dyDescent="0.25">
      <c r="A150" s="234">
        <v>42867</v>
      </c>
      <c r="B150" t="s">
        <v>569</v>
      </c>
      <c r="D150" t="s">
        <v>930</v>
      </c>
      <c r="E150" t="s">
        <v>821</v>
      </c>
      <c r="F150" t="s">
        <v>6763</v>
      </c>
      <c r="H150" t="s">
        <v>5244</v>
      </c>
      <c r="M150" s="134">
        <v>0</v>
      </c>
      <c r="N150" s="134">
        <v>0</v>
      </c>
      <c r="O150" t="s">
        <v>5622</v>
      </c>
      <c r="P150" t="s">
        <v>6764</v>
      </c>
      <c r="Q150" t="s">
        <v>592</v>
      </c>
      <c r="U150" t="s">
        <v>491</v>
      </c>
      <c r="X150">
        <v>0</v>
      </c>
    </row>
    <row r="151" spans="1:24" x14ac:dyDescent="0.25">
      <c r="A151" s="234">
        <v>42867</v>
      </c>
      <c r="B151" t="s">
        <v>6076</v>
      </c>
      <c r="D151" t="s">
        <v>2836</v>
      </c>
      <c r="E151" t="s">
        <v>588</v>
      </c>
      <c r="F151" t="s">
        <v>6767</v>
      </c>
      <c r="M151" s="134">
        <v>0</v>
      </c>
      <c r="N151" s="134">
        <v>0</v>
      </c>
      <c r="O151" t="s">
        <v>6768</v>
      </c>
      <c r="P151" t="s">
        <v>6770</v>
      </c>
      <c r="Q151" t="s">
        <v>1939</v>
      </c>
      <c r="R151" t="s">
        <v>6769</v>
      </c>
      <c r="U151" t="s">
        <v>491</v>
      </c>
      <c r="X151">
        <v>0</v>
      </c>
    </row>
    <row r="152" spans="1:24" x14ac:dyDescent="0.25">
      <c r="A152" s="234">
        <v>42870</v>
      </c>
      <c r="B152" t="s">
        <v>569</v>
      </c>
      <c r="D152" t="s">
        <v>6773</v>
      </c>
      <c r="E152" t="s">
        <v>588</v>
      </c>
      <c r="F152" t="s">
        <v>6774</v>
      </c>
      <c r="H152" t="s">
        <v>607</v>
      </c>
      <c r="I152" t="s">
        <v>4674</v>
      </c>
      <c r="M152" s="134">
        <v>0</v>
      </c>
      <c r="N152" s="134">
        <v>0</v>
      </c>
      <c r="O152" t="s">
        <v>6775</v>
      </c>
      <c r="P152" t="s">
        <v>6776</v>
      </c>
      <c r="Q152" t="s">
        <v>29</v>
      </c>
      <c r="R152" t="s">
        <v>6925</v>
      </c>
      <c r="S152" t="s">
        <v>9482</v>
      </c>
      <c r="U152" t="s">
        <v>491</v>
      </c>
      <c r="X152">
        <v>1</v>
      </c>
    </row>
    <row r="153" spans="1:24" x14ac:dyDescent="0.25">
      <c r="A153" s="234">
        <v>42872</v>
      </c>
      <c r="B153" t="s">
        <v>5473</v>
      </c>
      <c r="D153" t="s">
        <v>1495</v>
      </c>
      <c r="E153" t="s">
        <v>588</v>
      </c>
      <c r="F153" t="s">
        <v>6813</v>
      </c>
      <c r="H153" t="s">
        <v>1991</v>
      </c>
      <c r="M153" s="134">
        <v>0</v>
      </c>
      <c r="N153" s="134">
        <v>0</v>
      </c>
      <c r="O153" t="s">
        <v>6814</v>
      </c>
      <c r="P153" t="s">
        <v>6815</v>
      </c>
      <c r="Q153" t="s">
        <v>620</v>
      </c>
      <c r="R153" t="s">
        <v>6816</v>
      </c>
      <c r="U153" t="s">
        <v>491</v>
      </c>
      <c r="X153">
        <v>0</v>
      </c>
    </row>
    <row r="154" spans="1:24" x14ac:dyDescent="0.25">
      <c r="A154" s="234">
        <v>42872</v>
      </c>
      <c r="B154" t="s">
        <v>110</v>
      </c>
      <c r="C154" t="s">
        <v>761</v>
      </c>
      <c r="D154" t="s">
        <v>715</v>
      </c>
      <c r="E154" t="s">
        <v>588</v>
      </c>
      <c r="F154" t="s">
        <v>6825</v>
      </c>
      <c r="H154" t="s">
        <v>905</v>
      </c>
      <c r="M154" s="134">
        <v>0</v>
      </c>
      <c r="N154" s="134">
        <v>0</v>
      </c>
      <c r="O154" t="s">
        <v>6826</v>
      </c>
      <c r="P154" t="s">
        <v>6827</v>
      </c>
      <c r="Q154" t="s">
        <v>620</v>
      </c>
      <c r="R154" t="s">
        <v>6828</v>
      </c>
      <c r="U154" t="s">
        <v>491</v>
      </c>
      <c r="X154">
        <v>0</v>
      </c>
    </row>
    <row r="155" spans="1:24" x14ac:dyDescent="0.25">
      <c r="A155" s="234">
        <v>42880</v>
      </c>
      <c r="B155" t="s">
        <v>569</v>
      </c>
      <c r="D155" t="s">
        <v>611</v>
      </c>
      <c r="E155" t="s">
        <v>588</v>
      </c>
      <c r="F155" t="s">
        <v>6890</v>
      </c>
      <c r="H155" t="s">
        <v>886</v>
      </c>
      <c r="M155" s="134">
        <v>0</v>
      </c>
      <c r="N155" s="134">
        <v>0</v>
      </c>
      <c r="O155" t="s">
        <v>639</v>
      </c>
      <c r="P155" t="s">
        <v>6891</v>
      </c>
      <c r="Q155" t="s">
        <v>620</v>
      </c>
      <c r="R155" t="s">
        <v>6892</v>
      </c>
      <c r="U155" t="s">
        <v>491</v>
      </c>
      <c r="X155">
        <v>0</v>
      </c>
    </row>
    <row r="156" spans="1:24" x14ac:dyDescent="0.25">
      <c r="A156" s="234">
        <v>42880</v>
      </c>
      <c r="B156" t="s">
        <v>569</v>
      </c>
      <c r="D156" t="s">
        <v>930</v>
      </c>
      <c r="E156" t="s">
        <v>821</v>
      </c>
      <c r="F156" t="s">
        <v>6897</v>
      </c>
      <c r="H156" t="s">
        <v>607</v>
      </c>
      <c r="M156" s="134">
        <v>0</v>
      </c>
      <c r="N156" s="134">
        <v>0</v>
      </c>
      <c r="O156" t="s">
        <v>6898</v>
      </c>
      <c r="P156" t="s">
        <v>6899</v>
      </c>
      <c r="Q156" t="s">
        <v>620</v>
      </c>
      <c r="R156" t="s">
        <v>6900</v>
      </c>
      <c r="U156" t="s">
        <v>491</v>
      </c>
      <c r="X156">
        <v>0</v>
      </c>
    </row>
    <row r="157" spans="1:24" x14ac:dyDescent="0.25">
      <c r="A157" s="234">
        <v>42880</v>
      </c>
      <c r="B157" t="s">
        <v>569</v>
      </c>
      <c r="D157" t="s">
        <v>611</v>
      </c>
      <c r="E157" t="s">
        <v>588</v>
      </c>
      <c r="F157" t="s">
        <v>6907</v>
      </c>
      <c r="H157" t="s">
        <v>607</v>
      </c>
      <c r="M157" s="134">
        <v>0</v>
      </c>
      <c r="N157" s="134">
        <v>0</v>
      </c>
      <c r="O157" t="s">
        <v>6908</v>
      </c>
      <c r="P157" t="s">
        <v>6909</v>
      </c>
      <c r="Q157" t="s">
        <v>592</v>
      </c>
      <c r="R157" t="s">
        <v>6914</v>
      </c>
      <c r="U157" t="s">
        <v>491</v>
      </c>
      <c r="X157">
        <v>0</v>
      </c>
    </row>
    <row r="158" spans="1:24" x14ac:dyDescent="0.25">
      <c r="A158" s="234">
        <v>42881</v>
      </c>
      <c r="B158" t="s">
        <v>569</v>
      </c>
      <c r="D158" t="s">
        <v>930</v>
      </c>
      <c r="E158" t="s">
        <v>821</v>
      </c>
      <c r="F158" t="s">
        <v>833</v>
      </c>
      <c r="H158" t="s">
        <v>607</v>
      </c>
      <c r="M158" s="134">
        <v>0</v>
      </c>
      <c r="N158" s="134">
        <v>0</v>
      </c>
      <c r="O158" t="s">
        <v>639</v>
      </c>
      <c r="P158" t="s">
        <v>6926</v>
      </c>
      <c r="Q158" t="s">
        <v>592</v>
      </c>
      <c r="U158" t="s">
        <v>491</v>
      </c>
      <c r="X158">
        <v>0</v>
      </c>
    </row>
    <row r="159" spans="1:24" x14ac:dyDescent="0.25">
      <c r="A159" s="234">
        <v>42881</v>
      </c>
      <c r="B159" t="s">
        <v>569</v>
      </c>
      <c r="D159" t="s">
        <v>930</v>
      </c>
      <c r="E159" t="s">
        <v>821</v>
      </c>
      <c r="H159" t="s">
        <v>886</v>
      </c>
      <c r="M159" s="134">
        <v>0</v>
      </c>
      <c r="N159" s="134">
        <v>0</v>
      </c>
      <c r="O159" t="s">
        <v>639</v>
      </c>
      <c r="P159" t="s">
        <v>6927</v>
      </c>
      <c r="Q159" t="s">
        <v>1939</v>
      </c>
      <c r="R159" t="s">
        <v>6928</v>
      </c>
      <c r="U159" t="s">
        <v>491</v>
      </c>
      <c r="X159">
        <v>0</v>
      </c>
    </row>
    <row r="160" spans="1:24" x14ac:dyDescent="0.25">
      <c r="A160" s="234">
        <v>42885</v>
      </c>
      <c r="B160" t="s">
        <v>110</v>
      </c>
      <c r="C160" t="s">
        <v>761</v>
      </c>
      <c r="D160" t="s">
        <v>715</v>
      </c>
      <c r="E160" t="s">
        <v>588</v>
      </c>
      <c r="H160" t="s">
        <v>905</v>
      </c>
      <c r="M160" s="134">
        <v>0</v>
      </c>
      <c r="N160" s="134">
        <v>0</v>
      </c>
      <c r="O160" t="s">
        <v>6955</v>
      </c>
      <c r="P160" t="s">
        <v>6956</v>
      </c>
      <c r="Q160" t="s">
        <v>620</v>
      </c>
      <c r="R160" t="s">
        <v>6957</v>
      </c>
      <c r="U160" t="s">
        <v>491</v>
      </c>
      <c r="X160">
        <v>0</v>
      </c>
    </row>
    <row r="161" spans="1:24" x14ac:dyDescent="0.25">
      <c r="A161" s="234">
        <v>42885</v>
      </c>
      <c r="B161" t="s">
        <v>569</v>
      </c>
      <c r="D161" t="s">
        <v>930</v>
      </c>
      <c r="E161" t="s">
        <v>821</v>
      </c>
      <c r="H161" t="s">
        <v>886</v>
      </c>
      <c r="M161" s="134">
        <v>0</v>
      </c>
      <c r="N161" s="134">
        <v>0</v>
      </c>
      <c r="O161" t="s">
        <v>6968</v>
      </c>
      <c r="P161" t="s">
        <v>7056</v>
      </c>
      <c r="Q161" t="s">
        <v>1939</v>
      </c>
      <c r="R161" t="s">
        <v>6969</v>
      </c>
      <c r="U161" t="s">
        <v>491</v>
      </c>
      <c r="X161">
        <v>0</v>
      </c>
    </row>
    <row r="162" spans="1:24" x14ac:dyDescent="0.25">
      <c r="A162" s="234">
        <v>42886</v>
      </c>
      <c r="B162" t="s">
        <v>5176</v>
      </c>
      <c r="C162" t="s">
        <v>604</v>
      </c>
      <c r="D162" t="s">
        <v>595</v>
      </c>
      <c r="E162" t="s">
        <v>588</v>
      </c>
      <c r="F162" t="s">
        <v>6999</v>
      </c>
      <c r="H162" t="s">
        <v>809</v>
      </c>
      <c r="I162" t="s">
        <v>7000</v>
      </c>
      <c r="J162" t="s">
        <v>959</v>
      </c>
      <c r="M162" s="134">
        <v>0</v>
      </c>
      <c r="N162" s="134">
        <v>0</v>
      </c>
      <c r="O162" t="s">
        <v>7001</v>
      </c>
      <c r="P162" t="s">
        <v>7002</v>
      </c>
      <c r="Q162" t="s">
        <v>592</v>
      </c>
      <c r="R162" t="s">
        <v>7003</v>
      </c>
      <c r="U162" t="s">
        <v>491</v>
      </c>
      <c r="X162">
        <v>0</v>
      </c>
    </row>
    <row r="163" spans="1:24" x14ac:dyDescent="0.25">
      <c r="A163" s="234">
        <v>42886</v>
      </c>
      <c r="B163" t="s">
        <v>5176</v>
      </c>
      <c r="C163" t="s">
        <v>604</v>
      </c>
      <c r="D163" t="s">
        <v>727</v>
      </c>
      <c r="E163" t="s">
        <v>588</v>
      </c>
      <c r="F163" t="s">
        <v>7004</v>
      </c>
      <c r="H163" t="s">
        <v>905</v>
      </c>
      <c r="J163" t="s">
        <v>4825</v>
      </c>
      <c r="M163" s="134">
        <v>0</v>
      </c>
      <c r="N163" s="134">
        <v>0</v>
      </c>
      <c r="O163" t="s">
        <v>7005</v>
      </c>
      <c r="P163" t="s">
        <v>7006</v>
      </c>
      <c r="Q163" t="s">
        <v>29</v>
      </c>
      <c r="R163" t="s">
        <v>7007</v>
      </c>
      <c r="U163" t="s">
        <v>491</v>
      </c>
      <c r="X163">
        <v>1</v>
      </c>
    </row>
    <row r="164" spans="1:24" x14ac:dyDescent="0.25">
      <c r="A164" s="234">
        <v>42891</v>
      </c>
      <c r="B164" t="s">
        <v>5992</v>
      </c>
      <c r="D164" t="s">
        <v>5270</v>
      </c>
      <c r="E164" t="s">
        <v>588</v>
      </c>
      <c r="F164" t="s">
        <v>7032</v>
      </c>
      <c r="H164" t="s">
        <v>607</v>
      </c>
      <c r="M164" s="134">
        <v>0</v>
      </c>
      <c r="N164" s="134">
        <v>0</v>
      </c>
      <c r="O164" t="s">
        <v>7033</v>
      </c>
      <c r="P164" t="s">
        <v>7034</v>
      </c>
      <c r="Q164" t="s">
        <v>592</v>
      </c>
      <c r="U164" t="s">
        <v>491</v>
      </c>
      <c r="X164">
        <v>0</v>
      </c>
    </row>
    <row r="165" spans="1:24" x14ac:dyDescent="0.25">
      <c r="A165" s="234">
        <v>42892</v>
      </c>
      <c r="B165" t="s">
        <v>569</v>
      </c>
      <c r="D165" t="s">
        <v>930</v>
      </c>
      <c r="E165" t="s">
        <v>821</v>
      </c>
      <c r="F165" t="s">
        <v>7080</v>
      </c>
      <c r="H165" t="s">
        <v>4132</v>
      </c>
      <c r="M165" s="134">
        <v>0</v>
      </c>
      <c r="N165" s="134">
        <v>0</v>
      </c>
      <c r="O165" t="s">
        <v>7081</v>
      </c>
      <c r="P165" t="s">
        <v>7082</v>
      </c>
      <c r="Q165" t="s">
        <v>1939</v>
      </c>
      <c r="R165" t="s">
        <v>7083</v>
      </c>
      <c r="U165" t="s">
        <v>491</v>
      </c>
      <c r="X165">
        <v>0</v>
      </c>
    </row>
    <row r="166" spans="1:24" x14ac:dyDescent="0.25">
      <c r="A166" s="234">
        <v>42893</v>
      </c>
      <c r="B166" t="s">
        <v>5473</v>
      </c>
      <c r="D166" t="s">
        <v>7091</v>
      </c>
      <c r="E166" t="s">
        <v>588</v>
      </c>
      <c r="F166" t="s">
        <v>7092</v>
      </c>
      <c r="H166" t="s">
        <v>886</v>
      </c>
      <c r="M166" s="134">
        <v>0</v>
      </c>
      <c r="N166" s="134">
        <v>0</v>
      </c>
      <c r="O166" t="s">
        <v>7093</v>
      </c>
      <c r="P166" t="s">
        <v>7094</v>
      </c>
      <c r="Q166" t="s">
        <v>1939</v>
      </c>
      <c r="R166" t="s">
        <v>7095</v>
      </c>
      <c r="U166" t="s">
        <v>491</v>
      </c>
      <c r="X166">
        <v>0</v>
      </c>
    </row>
    <row r="167" spans="1:24" x14ac:dyDescent="0.25">
      <c r="A167" s="234">
        <v>42895</v>
      </c>
      <c r="B167" t="s">
        <v>569</v>
      </c>
      <c r="D167" t="s">
        <v>611</v>
      </c>
      <c r="E167" t="s">
        <v>588</v>
      </c>
      <c r="F167" t="s">
        <v>7131</v>
      </c>
      <c r="H167" t="s">
        <v>607</v>
      </c>
      <c r="M167" s="134">
        <v>0</v>
      </c>
      <c r="N167" s="134">
        <v>0</v>
      </c>
      <c r="O167" t="s">
        <v>4241</v>
      </c>
      <c r="P167" t="s">
        <v>7132</v>
      </c>
      <c r="Q167" t="s">
        <v>1939</v>
      </c>
      <c r="R167" t="s">
        <v>7133</v>
      </c>
      <c r="U167" t="s">
        <v>491</v>
      </c>
      <c r="X167">
        <v>0</v>
      </c>
    </row>
    <row r="168" spans="1:24" x14ac:dyDescent="0.25">
      <c r="A168" s="234">
        <v>42895</v>
      </c>
      <c r="B168" t="s">
        <v>110</v>
      </c>
      <c r="C168" t="s">
        <v>761</v>
      </c>
      <c r="D168" t="s">
        <v>715</v>
      </c>
      <c r="E168" t="s">
        <v>588</v>
      </c>
      <c r="F168" t="s">
        <v>7532</v>
      </c>
      <c r="H168" t="s">
        <v>7134</v>
      </c>
      <c r="M168" s="134">
        <v>0</v>
      </c>
      <c r="N168" s="134">
        <v>0</v>
      </c>
      <c r="O168" t="s">
        <v>4241</v>
      </c>
      <c r="P168" t="s">
        <v>7135</v>
      </c>
      <c r="Q168" t="s">
        <v>592</v>
      </c>
      <c r="R168" t="s">
        <v>7136</v>
      </c>
      <c r="U168" t="s">
        <v>491</v>
      </c>
      <c r="X168">
        <v>0</v>
      </c>
    </row>
    <row r="169" spans="1:24" x14ac:dyDescent="0.25">
      <c r="A169" s="234">
        <v>42900</v>
      </c>
      <c r="B169" t="s">
        <v>5473</v>
      </c>
      <c r="D169" t="s">
        <v>7091</v>
      </c>
      <c r="E169" t="s">
        <v>588</v>
      </c>
      <c r="F169" t="s">
        <v>7198</v>
      </c>
      <c r="H169" t="s">
        <v>607</v>
      </c>
      <c r="I169" t="s">
        <v>7199</v>
      </c>
      <c r="J169" t="s">
        <v>602</v>
      </c>
      <c r="L169">
        <v>9</v>
      </c>
      <c r="M169" s="134">
        <v>0</v>
      </c>
      <c r="N169" s="134">
        <v>0</v>
      </c>
      <c r="O169" t="s">
        <v>7200</v>
      </c>
      <c r="P169" t="s">
        <v>7201</v>
      </c>
      <c r="Q169" t="s">
        <v>620</v>
      </c>
      <c r="R169" t="s">
        <v>7202</v>
      </c>
      <c r="U169" t="s">
        <v>491</v>
      </c>
      <c r="X169">
        <v>0</v>
      </c>
    </row>
    <row r="170" spans="1:24" x14ac:dyDescent="0.25">
      <c r="A170" s="234">
        <v>42902</v>
      </c>
      <c r="B170" t="s">
        <v>5176</v>
      </c>
      <c r="D170" t="s">
        <v>595</v>
      </c>
      <c r="E170" t="s">
        <v>821</v>
      </c>
      <c r="F170" t="s">
        <v>7227</v>
      </c>
      <c r="H170" t="s">
        <v>607</v>
      </c>
      <c r="I170" t="s">
        <v>1487</v>
      </c>
      <c r="J170" t="s">
        <v>604</v>
      </c>
      <c r="M170" s="134">
        <v>0</v>
      </c>
      <c r="N170" s="134">
        <v>0</v>
      </c>
      <c r="O170" t="s">
        <v>1589</v>
      </c>
      <c r="P170" t="s">
        <v>7228</v>
      </c>
      <c r="Q170" t="s">
        <v>1939</v>
      </c>
      <c r="R170" t="s">
        <v>7229</v>
      </c>
      <c r="U170" t="s">
        <v>491</v>
      </c>
      <c r="X170">
        <v>0</v>
      </c>
    </row>
    <row r="171" spans="1:24" x14ac:dyDescent="0.25">
      <c r="A171" s="234">
        <v>42905</v>
      </c>
      <c r="B171" t="s">
        <v>5176</v>
      </c>
      <c r="D171" t="s">
        <v>595</v>
      </c>
      <c r="E171" t="s">
        <v>588</v>
      </c>
      <c r="F171" t="s">
        <v>7254</v>
      </c>
      <c r="H171" t="s">
        <v>7247</v>
      </c>
      <c r="I171" t="s">
        <v>7248</v>
      </c>
      <c r="J171" t="s">
        <v>604</v>
      </c>
      <c r="M171" s="134">
        <v>0</v>
      </c>
      <c r="N171" s="134">
        <v>0</v>
      </c>
      <c r="O171" t="s">
        <v>7249</v>
      </c>
      <c r="P171" t="s">
        <v>7250</v>
      </c>
      <c r="Q171" t="s">
        <v>1612</v>
      </c>
      <c r="R171" t="s">
        <v>7310</v>
      </c>
      <c r="U171" t="s">
        <v>491</v>
      </c>
      <c r="X171">
        <v>0</v>
      </c>
    </row>
    <row r="172" spans="1:24" x14ac:dyDescent="0.25">
      <c r="A172" s="234">
        <v>42905</v>
      </c>
      <c r="B172" t="s">
        <v>643</v>
      </c>
      <c r="C172" t="s">
        <v>644</v>
      </c>
      <c r="D172" t="s">
        <v>625</v>
      </c>
      <c r="E172" t="s">
        <v>588</v>
      </c>
      <c r="F172" t="s">
        <v>7253</v>
      </c>
      <c r="H172" t="s">
        <v>1391</v>
      </c>
      <c r="I172" t="s">
        <v>3913</v>
      </c>
      <c r="J172" t="s">
        <v>644</v>
      </c>
      <c r="M172" s="134">
        <v>0</v>
      </c>
      <c r="N172" s="134">
        <v>0</v>
      </c>
      <c r="O172" t="s">
        <v>5872</v>
      </c>
      <c r="P172" t="s">
        <v>7256</v>
      </c>
      <c r="Q172" t="s">
        <v>592</v>
      </c>
      <c r="R172" t="s">
        <v>7257</v>
      </c>
      <c r="U172" t="s">
        <v>491</v>
      </c>
      <c r="X172">
        <v>0</v>
      </c>
    </row>
    <row r="173" spans="1:24" x14ac:dyDescent="0.25">
      <c r="A173" s="234">
        <v>42906</v>
      </c>
      <c r="B173" t="s">
        <v>5176</v>
      </c>
      <c r="D173" t="s">
        <v>727</v>
      </c>
      <c r="E173" t="s">
        <v>588</v>
      </c>
      <c r="F173" t="s">
        <v>7260</v>
      </c>
      <c r="H173" t="s">
        <v>809</v>
      </c>
      <c r="M173" s="134">
        <v>0</v>
      </c>
      <c r="N173" s="134">
        <v>0</v>
      </c>
      <c r="O173" t="s">
        <v>7261</v>
      </c>
      <c r="P173" t="s">
        <v>7262</v>
      </c>
      <c r="Q173" t="s">
        <v>592</v>
      </c>
      <c r="R173" t="s">
        <v>7263</v>
      </c>
      <c r="U173" t="s">
        <v>491</v>
      </c>
      <c r="X173">
        <v>0</v>
      </c>
    </row>
    <row r="174" spans="1:24" x14ac:dyDescent="0.25">
      <c r="A174" s="234">
        <v>42906</v>
      </c>
      <c r="B174" t="s">
        <v>569</v>
      </c>
      <c r="D174" t="s">
        <v>611</v>
      </c>
      <c r="E174" t="s">
        <v>588</v>
      </c>
      <c r="F174" t="s">
        <v>7264</v>
      </c>
      <c r="H174" t="s">
        <v>607</v>
      </c>
      <c r="I174" t="s">
        <v>5412</v>
      </c>
      <c r="J174" t="s">
        <v>899</v>
      </c>
      <c r="M174" s="134">
        <v>0</v>
      </c>
      <c r="N174" s="134">
        <v>0</v>
      </c>
      <c r="O174" t="s">
        <v>1589</v>
      </c>
      <c r="P174" t="s">
        <v>7277</v>
      </c>
      <c r="Q174" t="s">
        <v>592</v>
      </c>
      <c r="R174" t="s">
        <v>7278</v>
      </c>
      <c r="U174" t="s">
        <v>491</v>
      </c>
      <c r="X174">
        <v>0</v>
      </c>
    </row>
    <row r="175" spans="1:24" x14ac:dyDescent="0.25">
      <c r="A175" s="234">
        <v>42906</v>
      </c>
      <c r="B175" t="s">
        <v>5176</v>
      </c>
      <c r="D175" t="s">
        <v>732</v>
      </c>
      <c r="E175" t="s">
        <v>588</v>
      </c>
      <c r="H175" t="s">
        <v>886</v>
      </c>
      <c r="M175" s="134">
        <v>0</v>
      </c>
      <c r="N175" s="134">
        <v>0</v>
      </c>
      <c r="O175" t="s">
        <v>7265</v>
      </c>
      <c r="P175" t="s">
        <v>7266</v>
      </c>
      <c r="Q175" t="s">
        <v>592</v>
      </c>
      <c r="R175" t="s">
        <v>7267</v>
      </c>
      <c r="U175" t="s">
        <v>491</v>
      </c>
      <c r="X175">
        <v>0</v>
      </c>
    </row>
    <row r="176" spans="1:24" x14ac:dyDescent="0.25">
      <c r="A176" s="234">
        <v>42906</v>
      </c>
      <c r="B176" t="s">
        <v>569</v>
      </c>
      <c r="D176" t="s">
        <v>930</v>
      </c>
      <c r="E176" t="s">
        <v>821</v>
      </c>
      <c r="F176" t="s">
        <v>7280</v>
      </c>
      <c r="H176" t="s">
        <v>886</v>
      </c>
      <c r="M176" s="134">
        <v>0</v>
      </c>
      <c r="N176" s="134">
        <v>0</v>
      </c>
      <c r="O176" t="s">
        <v>7279</v>
      </c>
      <c r="P176" t="s">
        <v>7281</v>
      </c>
      <c r="Q176" t="s">
        <v>1939</v>
      </c>
      <c r="R176" t="s">
        <v>7282</v>
      </c>
      <c r="U176" t="s">
        <v>491</v>
      </c>
      <c r="X176">
        <v>0</v>
      </c>
    </row>
    <row r="177" spans="1:24" x14ac:dyDescent="0.25">
      <c r="A177" s="234">
        <v>42907</v>
      </c>
      <c r="B177" t="s">
        <v>5176</v>
      </c>
      <c r="D177" t="s">
        <v>595</v>
      </c>
      <c r="E177" t="s">
        <v>821</v>
      </c>
      <c r="F177" t="s">
        <v>7305</v>
      </c>
      <c r="H177" t="s">
        <v>607</v>
      </c>
      <c r="M177" s="134">
        <v>0</v>
      </c>
      <c r="N177" s="134">
        <v>0</v>
      </c>
      <c r="O177" t="s">
        <v>639</v>
      </c>
      <c r="P177" t="s">
        <v>7306</v>
      </c>
      <c r="Q177" t="s">
        <v>592</v>
      </c>
      <c r="R177" t="s">
        <v>7307</v>
      </c>
      <c r="U177" t="s">
        <v>491</v>
      </c>
      <c r="X177">
        <v>0</v>
      </c>
    </row>
    <row r="178" spans="1:24" x14ac:dyDescent="0.25">
      <c r="A178" s="234">
        <v>42907</v>
      </c>
      <c r="B178" t="s">
        <v>569</v>
      </c>
      <c r="D178" t="s">
        <v>625</v>
      </c>
      <c r="E178" t="s">
        <v>821</v>
      </c>
      <c r="F178" t="s">
        <v>7323</v>
      </c>
      <c r="H178" t="s">
        <v>809</v>
      </c>
      <c r="I178" t="s">
        <v>2054</v>
      </c>
      <c r="J178" t="s">
        <v>899</v>
      </c>
      <c r="M178" s="134">
        <v>0</v>
      </c>
      <c r="N178" s="134">
        <v>0</v>
      </c>
      <c r="O178" t="s">
        <v>1589</v>
      </c>
      <c r="P178" t="s">
        <v>7324</v>
      </c>
      <c r="Q178" t="s">
        <v>592</v>
      </c>
      <c r="R178" t="s">
        <v>7325</v>
      </c>
      <c r="U178" t="s">
        <v>491</v>
      </c>
      <c r="X178">
        <v>0</v>
      </c>
    </row>
    <row r="179" spans="1:24" x14ac:dyDescent="0.25">
      <c r="A179" s="234">
        <v>42908</v>
      </c>
      <c r="B179" t="s">
        <v>5992</v>
      </c>
      <c r="C179" t="s">
        <v>603</v>
      </c>
      <c r="D179" t="s">
        <v>5270</v>
      </c>
      <c r="E179" t="s">
        <v>588</v>
      </c>
      <c r="H179" t="s">
        <v>607</v>
      </c>
      <c r="J179" t="s">
        <v>608</v>
      </c>
      <c r="M179" s="134">
        <v>0</v>
      </c>
      <c r="N179" s="134">
        <v>0</v>
      </c>
      <c r="O179" t="s">
        <v>7339</v>
      </c>
      <c r="P179" t="s">
        <v>7340</v>
      </c>
      <c r="Q179" t="s">
        <v>29</v>
      </c>
      <c r="R179" t="s">
        <v>7341</v>
      </c>
      <c r="U179" t="s">
        <v>491</v>
      </c>
      <c r="X179">
        <v>1</v>
      </c>
    </row>
    <row r="180" spans="1:24" x14ac:dyDescent="0.25">
      <c r="A180" s="234">
        <v>42909</v>
      </c>
      <c r="B180" t="s">
        <v>5176</v>
      </c>
      <c r="D180" t="s">
        <v>595</v>
      </c>
      <c r="E180" t="s">
        <v>821</v>
      </c>
      <c r="F180" t="s">
        <v>7354</v>
      </c>
      <c r="H180" t="s">
        <v>607</v>
      </c>
      <c r="M180" s="134">
        <v>0</v>
      </c>
      <c r="N180" s="134">
        <v>0</v>
      </c>
      <c r="O180" t="s">
        <v>3952</v>
      </c>
      <c r="P180" t="s">
        <v>7355</v>
      </c>
      <c r="Q180" t="s">
        <v>1939</v>
      </c>
      <c r="R180" t="s">
        <v>7356</v>
      </c>
      <c r="U180" t="s">
        <v>491</v>
      </c>
      <c r="X180">
        <v>0</v>
      </c>
    </row>
    <row r="181" spans="1:24" x14ac:dyDescent="0.25">
      <c r="A181" s="234">
        <v>42912</v>
      </c>
      <c r="B181" t="s">
        <v>569</v>
      </c>
      <c r="D181" t="s">
        <v>930</v>
      </c>
      <c r="E181" t="s">
        <v>821</v>
      </c>
      <c r="F181" t="s">
        <v>7377</v>
      </c>
      <c r="H181" t="s">
        <v>886</v>
      </c>
      <c r="J181" t="s">
        <v>899</v>
      </c>
      <c r="M181" s="134">
        <v>0</v>
      </c>
      <c r="N181" s="134">
        <v>0</v>
      </c>
      <c r="O181" t="s">
        <v>7379</v>
      </c>
      <c r="P181" t="s">
        <v>7537</v>
      </c>
      <c r="Q181" t="s">
        <v>592</v>
      </c>
      <c r="U181" t="s">
        <v>491</v>
      </c>
      <c r="X181">
        <v>0</v>
      </c>
    </row>
    <row r="182" spans="1:24" x14ac:dyDescent="0.25">
      <c r="A182" s="234">
        <v>42914</v>
      </c>
      <c r="B182" t="s">
        <v>569</v>
      </c>
      <c r="D182" t="s">
        <v>930</v>
      </c>
      <c r="E182" t="s">
        <v>821</v>
      </c>
      <c r="H182" t="s">
        <v>886</v>
      </c>
      <c r="J182" t="s">
        <v>899</v>
      </c>
      <c r="M182" s="134">
        <v>0</v>
      </c>
      <c r="N182" s="134">
        <v>0</v>
      </c>
      <c r="O182" t="s">
        <v>7451</v>
      </c>
      <c r="P182" t="s">
        <v>7452</v>
      </c>
      <c r="Q182" t="s">
        <v>592</v>
      </c>
      <c r="R182" t="s">
        <v>7453</v>
      </c>
      <c r="U182" t="s">
        <v>491</v>
      </c>
      <c r="X182">
        <v>0</v>
      </c>
    </row>
    <row r="183" spans="1:24" x14ac:dyDescent="0.25">
      <c r="A183" s="234">
        <v>42914</v>
      </c>
      <c r="B183" t="s">
        <v>569</v>
      </c>
      <c r="D183" t="s">
        <v>930</v>
      </c>
      <c r="E183" t="s">
        <v>821</v>
      </c>
      <c r="F183" t="s">
        <v>7454</v>
      </c>
      <c r="H183" t="s">
        <v>607</v>
      </c>
      <c r="J183" t="s">
        <v>899</v>
      </c>
      <c r="M183" s="134">
        <v>0</v>
      </c>
      <c r="N183" s="134">
        <v>0</v>
      </c>
      <c r="O183" t="s">
        <v>1507</v>
      </c>
      <c r="P183" t="s">
        <v>7455</v>
      </c>
      <c r="Q183" t="s">
        <v>592</v>
      </c>
      <c r="R183" t="s">
        <v>7456</v>
      </c>
      <c r="U183" t="s">
        <v>491</v>
      </c>
      <c r="X183">
        <v>0</v>
      </c>
    </row>
    <row r="184" spans="1:24" x14ac:dyDescent="0.25">
      <c r="A184" s="234">
        <v>42915</v>
      </c>
      <c r="B184" t="s">
        <v>5992</v>
      </c>
      <c r="D184" t="s">
        <v>7457</v>
      </c>
      <c r="E184" t="s">
        <v>588</v>
      </c>
      <c r="F184" t="s">
        <v>6736</v>
      </c>
      <c r="H184" t="s">
        <v>607</v>
      </c>
      <c r="M184" s="134">
        <v>0</v>
      </c>
      <c r="N184" s="134">
        <v>0</v>
      </c>
      <c r="O184" t="s">
        <v>666</v>
      </c>
      <c r="P184" t="s">
        <v>7459</v>
      </c>
      <c r="Q184" t="s">
        <v>29</v>
      </c>
      <c r="R184" t="s">
        <v>7458</v>
      </c>
      <c r="S184" t="s">
        <v>7460</v>
      </c>
      <c r="U184" t="s">
        <v>491</v>
      </c>
      <c r="X184">
        <v>1</v>
      </c>
    </row>
    <row r="185" spans="1:24" x14ac:dyDescent="0.25">
      <c r="A185" s="234">
        <v>42916</v>
      </c>
      <c r="B185" t="s">
        <v>569</v>
      </c>
      <c r="D185" t="s">
        <v>930</v>
      </c>
      <c r="E185" t="s">
        <v>588</v>
      </c>
      <c r="F185" t="s">
        <v>7469</v>
      </c>
      <c r="H185" t="s">
        <v>886</v>
      </c>
      <c r="J185" t="s">
        <v>899</v>
      </c>
      <c r="M185" s="134">
        <v>0</v>
      </c>
      <c r="N185" s="134">
        <v>0</v>
      </c>
      <c r="O185" t="s">
        <v>7470</v>
      </c>
      <c r="P185" t="s">
        <v>7471</v>
      </c>
      <c r="Q185" t="s">
        <v>592</v>
      </c>
      <c r="U185" t="s">
        <v>491</v>
      </c>
      <c r="X185">
        <v>0</v>
      </c>
    </row>
    <row r="186" spans="1:24" x14ac:dyDescent="0.25">
      <c r="A186" s="234">
        <v>42922</v>
      </c>
      <c r="B186" t="s">
        <v>569</v>
      </c>
      <c r="D186" t="s">
        <v>930</v>
      </c>
      <c r="E186" t="s">
        <v>821</v>
      </c>
      <c r="F186" t="s">
        <v>7503</v>
      </c>
      <c r="H186" t="s">
        <v>886</v>
      </c>
      <c r="J186" t="s">
        <v>899</v>
      </c>
      <c r="M186" s="134">
        <v>0</v>
      </c>
      <c r="N186" s="134">
        <v>0</v>
      </c>
      <c r="O186" t="s">
        <v>7504</v>
      </c>
      <c r="P186" t="s">
        <v>7505</v>
      </c>
      <c r="Q186" t="s">
        <v>1939</v>
      </c>
      <c r="R186" t="s">
        <v>7506</v>
      </c>
      <c r="U186" t="s">
        <v>491</v>
      </c>
      <c r="X186">
        <v>0</v>
      </c>
    </row>
    <row r="187" spans="1:24" x14ac:dyDescent="0.25">
      <c r="A187" s="234">
        <v>42926</v>
      </c>
      <c r="B187" t="s">
        <v>569</v>
      </c>
      <c r="D187" t="s">
        <v>930</v>
      </c>
      <c r="E187" t="s">
        <v>588</v>
      </c>
      <c r="F187" t="s">
        <v>6809</v>
      </c>
      <c r="H187" t="s">
        <v>607</v>
      </c>
      <c r="M187" s="134">
        <v>0</v>
      </c>
      <c r="N187" s="134">
        <v>0</v>
      </c>
      <c r="O187" t="s">
        <v>7540</v>
      </c>
      <c r="P187" t="s">
        <v>7541</v>
      </c>
      <c r="Q187" t="s">
        <v>29</v>
      </c>
      <c r="R187" t="s">
        <v>7542</v>
      </c>
      <c r="U187" t="s">
        <v>491</v>
      </c>
      <c r="X187">
        <v>1</v>
      </c>
    </row>
    <row r="188" spans="1:24" x14ac:dyDescent="0.25">
      <c r="A188" s="234">
        <v>42926</v>
      </c>
      <c r="B188" t="s">
        <v>5176</v>
      </c>
      <c r="D188" t="s">
        <v>595</v>
      </c>
      <c r="E188" t="s">
        <v>821</v>
      </c>
      <c r="H188" t="s">
        <v>809</v>
      </c>
      <c r="M188" s="134">
        <v>0</v>
      </c>
      <c r="N188" s="134">
        <v>0</v>
      </c>
      <c r="O188" t="s">
        <v>639</v>
      </c>
      <c r="P188" t="s">
        <v>7548</v>
      </c>
      <c r="Q188" t="s">
        <v>29</v>
      </c>
      <c r="R188" t="s">
        <v>7549</v>
      </c>
      <c r="U188" t="s">
        <v>491</v>
      </c>
      <c r="X188">
        <v>1</v>
      </c>
    </row>
    <row r="189" spans="1:24" x14ac:dyDescent="0.25">
      <c r="A189" s="234">
        <v>42933</v>
      </c>
      <c r="B189" t="s">
        <v>5360</v>
      </c>
      <c r="D189" t="s">
        <v>732</v>
      </c>
      <c r="E189" t="s">
        <v>821</v>
      </c>
      <c r="F189" t="s">
        <v>7629</v>
      </c>
      <c r="H189" t="s">
        <v>905</v>
      </c>
      <c r="M189" s="134">
        <v>0</v>
      </c>
      <c r="N189" s="134">
        <v>0</v>
      </c>
      <c r="O189" t="s">
        <v>2295</v>
      </c>
      <c r="P189" t="s">
        <v>7630</v>
      </c>
      <c r="Q189" t="s">
        <v>592</v>
      </c>
      <c r="U189" t="s">
        <v>491</v>
      </c>
      <c r="X189">
        <v>0</v>
      </c>
    </row>
    <row r="190" spans="1:24" x14ac:dyDescent="0.25">
      <c r="A190" s="234">
        <v>42933</v>
      </c>
      <c r="B190" t="s">
        <v>569</v>
      </c>
      <c r="D190" t="s">
        <v>625</v>
      </c>
      <c r="E190" t="s">
        <v>588</v>
      </c>
      <c r="M190" s="134">
        <v>0</v>
      </c>
      <c r="N190" s="134">
        <v>0</v>
      </c>
      <c r="O190" t="s">
        <v>7631</v>
      </c>
      <c r="P190" t="s">
        <v>7632</v>
      </c>
      <c r="Q190" t="s">
        <v>29</v>
      </c>
      <c r="U190" t="s">
        <v>491</v>
      </c>
      <c r="X190">
        <v>1</v>
      </c>
    </row>
    <row r="191" spans="1:24" x14ac:dyDescent="0.25">
      <c r="A191" s="234">
        <v>42934</v>
      </c>
      <c r="B191" t="s">
        <v>569</v>
      </c>
      <c r="D191" t="s">
        <v>624</v>
      </c>
      <c r="E191" t="s">
        <v>588</v>
      </c>
      <c r="F191" t="s">
        <v>7633</v>
      </c>
      <c r="H191" t="s">
        <v>607</v>
      </c>
      <c r="M191" s="134">
        <v>0</v>
      </c>
      <c r="N191" s="134">
        <v>0</v>
      </c>
      <c r="O191" t="s">
        <v>5739</v>
      </c>
      <c r="P191" t="s">
        <v>7634</v>
      </c>
      <c r="Q191" t="s">
        <v>1939</v>
      </c>
      <c r="R191" t="s">
        <v>7635</v>
      </c>
      <c r="S191" t="s">
        <v>8168</v>
      </c>
      <c r="U191" t="s">
        <v>491</v>
      </c>
      <c r="X191">
        <v>0</v>
      </c>
    </row>
    <row r="192" spans="1:24" x14ac:dyDescent="0.25">
      <c r="A192" s="234">
        <v>42934</v>
      </c>
      <c r="B192" t="s">
        <v>569</v>
      </c>
      <c r="D192" t="s">
        <v>930</v>
      </c>
      <c r="E192" t="s">
        <v>821</v>
      </c>
      <c r="F192" t="s">
        <v>7648</v>
      </c>
      <c r="H192" t="s">
        <v>1050</v>
      </c>
      <c r="M192" s="134">
        <v>0</v>
      </c>
      <c r="N192" s="134">
        <v>0</v>
      </c>
      <c r="O192" t="s">
        <v>5291</v>
      </c>
      <c r="P192" t="s">
        <v>7649</v>
      </c>
      <c r="Q192" t="s">
        <v>592</v>
      </c>
      <c r="U192" t="s">
        <v>491</v>
      </c>
      <c r="X192">
        <v>0</v>
      </c>
    </row>
    <row r="193" spans="1:24" x14ac:dyDescent="0.25">
      <c r="A193" s="234">
        <v>42934</v>
      </c>
      <c r="B193" t="s">
        <v>328</v>
      </c>
      <c r="C193" t="s">
        <v>603</v>
      </c>
      <c r="D193" t="s">
        <v>649</v>
      </c>
      <c r="E193" t="s">
        <v>692</v>
      </c>
      <c r="F193" t="s">
        <v>7650</v>
      </c>
      <c r="H193" t="s">
        <v>607</v>
      </c>
      <c r="I193" t="s">
        <v>7651</v>
      </c>
      <c r="J193" t="s">
        <v>644</v>
      </c>
      <c r="M193" s="134">
        <v>0</v>
      </c>
      <c r="N193" s="134">
        <v>0</v>
      </c>
      <c r="O193" t="s">
        <v>7652</v>
      </c>
      <c r="P193" t="s">
        <v>7653</v>
      </c>
      <c r="Q193" t="s">
        <v>1939</v>
      </c>
      <c r="R193" t="s">
        <v>7654</v>
      </c>
      <c r="U193" t="s">
        <v>491</v>
      </c>
      <c r="X193">
        <v>0</v>
      </c>
    </row>
    <row r="194" spans="1:24" x14ac:dyDescent="0.25">
      <c r="A194" s="234">
        <v>42934</v>
      </c>
      <c r="B194" t="s">
        <v>569</v>
      </c>
      <c r="C194" t="s">
        <v>833</v>
      </c>
      <c r="D194" t="s">
        <v>930</v>
      </c>
      <c r="E194" t="s">
        <v>1707</v>
      </c>
      <c r="F194" t="s">
        <v>7655</v>
      </c>
      <c r="H194" t="s">
        <v>607</v>
      </c>
      <c r="M194" s="134">
        <v>0</v>
      </c>
      <c r="N194" s="134">
        <v>0</v>
      </c>
      <c r="O194" t="s">
        <v>7656</v>
      </c>
      <c r="P194" t="s">
        <v>7657</v>
      </c>
      <c r="Q194" t="s">
        <v>1939</v>
      </c>
      <c r="R194" t="s">
        <v>7658</v>
      </c>
      <c r="U194" t="s">
        <v>491</v>
      </c>
      <c r="X194">
        <v>0</v>
      </c>
    </row>
    <row r="195" spans="1:24" x14ac:dyDescent="0.25">
      <c r="A195" s="234">
        <v>42935</v>
      </c>
      <c r="B195" t="s">
        <v>569</v>
      </c>
      <c r="D195" t="s">
        <v>611</v>
      </c>
      <c r="E195" t="s">
        <v>588</v>
      </c>
      <c r="F195" t="s">
        <v>7670</v>
      </c>
      <c r="H195" t="s">
        <v>1050</v>
      </c>
      <c r="M195" s="134">
        <v>0</v>
      </c>
      <c r="N195" s="134">
        <v>0</v>
      </c>
      <c r="O195" t="s">
        <v>35</v>
      </c>
      <c r="P195" t="s">
        <v>7671</v>
      </c>
      <c r="Q195" t="s">
        <v>1939</v>
      </c>
      <c r="R195" t="s">
        <v>7672</v>
      </c>
      <c r="U195" t="s">
        <v>491</v>
      </c>
      <c r="X195">
        <v>0</v>
      </c>
    </row>
    <row r="196" spans="1:24" x14ac:dyDescent="0.25">
      <c r="A196" s="234">
        <v>42935</v>
      </c>
      <c r="B196" t="s">
        <v>569</v>
      </c>
      <c r="D196" t="s">
        <v>625</v>
      </c>
      <c r="E196" t="s">
        <v>821</v>
      </c>
      <c r="F196" t="s">
        <v>7673</v>
      </c>
      <c r="H196" t="s">
        <v>905</v>
      </c>
      <c r="M196" s="134">
        <v>0</v>
      </c>
      <c r="N196" s="134">
        <v>0</v>
      </c>
      <c r="O196" t="s">
        <v>7674</v>
      </c>
      <c r="P196" t="s">
        <v>7675</v>
      </c>
      <c r="Q196" t="s">
        <v>592</v>
      </c>
      <c r="U196" t="s">
        <v>491</v>
      </c>
      <c r="X196">
        <v>0</v>
      </c>
    </row>
    <row r="197" spans="1:24" x14ac:dyDescent="0.25">
      <c r="A197" s="234">
        <v>42936</v>
      </c>
      <c r="B197" t="s">
        <v>328</v>
      </c>
      <c r="C197" t="s">
        <v>603</v>
      </c>
      <c r="D197" t="s">
        <v>649</v>
      </c>
      <c r="E197" t="s">
        <v>588</v>
      </c>
      <c r="H197" t="s">
        <v>1050</v>
      </c>
      <c r="J197" t="s">
        <v>899</v>
      </c>
      <c r="M197" s="134">
        <v>0</v>
      </c>
      <c r="N197" s="134">
        <v>0</v>
      </c>
      <c r="O197" t="s">
        <v>7699</v>
      </c>
      <c r="P197" t="s">
        <v>7700</v>
      </c>
      <c r="Q197" t="s">
        <v>1939</v>
      </c>
      <c r="R197" t="s">
        <v>7701</v>
      </c>
      <c r="U197" t="s">
        <v>491</v>
      </c>
      <c r="X197">
        <v>0</v>
      </c>
    </row>
    <row r="198" spans="1:24" x14ac:dyDescent="0.25">
      <c r="A198" s="234">
        <v>42941</v>
      </c>
      <c r="B198" t="s">
        <v>569</v>
      </c>
      <c r="D198" t="s">
        <v>611</v>
      </c>
      <c r="E198" t="s">
        <v>588</v>
      </c>
      <c r="F198" t="s">
        <v>7735</v>
      </c>
      <c r="G198" t="s">
        <v>7736</v>
      </c>
      <c r="M198" s="134">
        <v>0</v>
      </c>
      <c r="N198" s="134">
        <v>0</v>
      </c>
      <c r="O198" t="s">
        <v>1589</v>
      </c>
      <c r="P198" t="s">
        <v>7737</v>
      </c>
      <c r="Q198" t="s">
        <v>1939</v>
      </c>
      <c r="R198" t="s">
        <v>7738</v>
      </c>
      <c r="U198" t="s">
        <v>491</v>
      </c>
      <c r="X198">
        <v>0</v>
      </c>
    </row>
    <row r="199" spans="1:24" x14ac:dyDescent="0.25">
      <c r="A199" s="234">
        <v>42941</v>
      </c>
      <c r="B199" t="s">
        <v>569</v>
      </c>
      <c r="D199" t="s">
        <v>611</v>
      </c>
      <c r="E199" t="s">
        <v>588</v>
      </c>
      <c r="F199" t="s">
        <v>7741</v>
      </c>
      <c r="G199" t="s">
        <v>7742</v>
      </c>
      <c r="M199" s="134">
        <v>0</v>
      </c>
      <c r="N199" s="134">
        <v>0</v>
      </c>
      <c r="O199" t="s">
        <v>7739</v>
      </c>
      <c r="P199" t="s">
        <v>7740</v>
      </c>
      <c r="Q199" t="s">
        <v>592</v>
      </c>
      <c r="U199" t="s">
        <v>491</v>
      </c>
      <c r="X199">
        <v>0</v>
      </c>
    </row>
    <row r="200" spans="1:24" x14ac:dyDescent="0.25">
      <c r="A200" s="234">
        <v>42942</v>
      </c>
      <c r="B200" t="s">
        <v>569</v>
      </c>
      <c r="D200" t="s">
        <v>611</v>
      </c>
      <c r="E200" t="s">
        <v>588</v>
      </c>
      <c r="F200" t="s">
        <v>7777</v>
      </c>
      <c r="G200" t="s">
        <v>7778</v>
      </c>
      <c r="H200" t="s">
        <v>607</v>
      </c>
      <c r="M200" s="134">
        <v>0</v>
      </c>
      <c r="N200" s="134">
        <v>0</v>
      </c>
      <c r="O200" t="s">
        <v>35</v>
      </c>
      <c r="P200" t="s">
        <v>7779</v>
      </c>
      <c r="Q200" t="s">
        <v>29</v>
      </c>
      <c r="R200" t="s">
        <v>7780</v>
      </c>
      <c r="U200" t="s">
        <v>491</v>
      </c>
      <c r="X200">
        <v>1</v>
      </c>
    </row>
    <row r="201" spans="1:24" x14ac:dyDescent="0.25">
      <c r="A201" s="234">
        <v>42942</v>
      </c>
      <c r="B201" t="s">
        <v>569</v>
      </c>
      <c r="D201" t="s">
        <v>625</v>
      </c>
      <c r="E201" t="s">
        <v>1707</v>
      </c>
      <c r="F201" t="s">
        <v>7781</v>
      </c>
      <c r="H201" t="s">
        <v>905</v>
      </c>
      <c r="I201" t="s">
        <v>3649</v>
      </c>
      <c r="J201" t="s">
        <v>899</v>
      </c>
      <c r="M201" s="134">
        <v>0</v>
      </c>
      <c r="N201" s="134">
        <v>0</v>
      </c>
      <c r="O201" t="s">
        <v>7782</v>
      </c>
      <c r="P201" t="s">
        <v>7783</v>
      </c>
      <c r="Q201" t="s">
        <v>1939</v>
      </c>
      <c r="R201" t="s">
        <v>7784</v>
      </c>
      <c r="U201" t="s">
        <v>491</v>
      </c>
      <c r="X201">
        <v>0</v>
      </c>
    </row>
    <row r="202" spans="1:24" x14ac:dyDescent="0.25">
      <c r="A202" s="234">
        <v>42943</v>
      </c>
      <c r="B202" t="s">
        <v>5176</v>
      </c>
      <c r="D202" t="s">
        <v>7790</v>
      </c>
      <c r="E202" t="s">
        <v>588</v>
      </c>
      <c r="F202" t="s">
        <v>7791</v>
      </c>
      <c r="G202" t="s">
        <v>7792</v>
      </c>
      <c r="H202" t="s">
        <v>886</v>
      </c>
      <c r="M202" s="134">
        <v>0</v>
      </c>
      <c r="N202" s="134">
        <v>0</v>
      </c>
      <c r="O202" t="s">
        <v>7161</v>
      </c>
      <c r="P202" t="s">
        <v>7793</v>
      </c>
      <c r="Q202" t="s">
        <v>1939</v>
      </c>
      <c r="R202" t="s">
        <v>7794</v>
      </c>
      <c r="T202">
        <v>10</v>
      </c>
      <c r="U202" t="s">
        <v>491</v>
      </c>
      <c r="X202">
        <v>0</v>
      </c>
    </row>
    <row r="203" spans="1:24" x14ac:dyDescent="0.25">
      <c r="A203" s="234">
        <v>42943</v>
      </c>
      <c r="B203" t="s">
        <v>569</v>
      </c>
      <c r="D203" t="s">
        <v>930</v>
      </c>
      <c r="E203" t="s">
        <v>821</v>
      </c>
      <c r="F203" t="s">
        <v>8211</v>
      </c>
      <c r="G203" t="s">
        <v>8212</v>
      </c>
      <c r="H203" t="s">
        <v>607</v>
      </c>
      <c r="J203" t="s">
        <v>899</v>
      </c>
      <c r="M203" s="134">
        <v>0</v>
      </c>
      <c r="N203" s="134">
        <v>0</v>
      </c>
      <c r="O203" t="s">
        <v>7811</v>
      </c>
      <c r="P203" t="s">
        <v>7812</v>
      </c>
      <c r="Q203" t="s">
        <v>1939</v>
      </c>
      <c r="R203" t="s">
        <v>8242</v>
      </c>
      <c r="T203">
        <v>32</v>
      </c>
      <c r="U203" t="s">
        <v>491</v>
      </c>
      <c r="X203">
        <v>0</v>
      </c>
    </row>
    <row r="204" spans="1:24" x14ac:dyDescent="0.25">
      <c r="A204" s="234">
        <v>42943</v>
      </c>
      <c r="B204" t="s">
        <v>569</v>
      </c>
      <c r="D204" t="s">
        <v>930</v>
      </c>
      <c r="E204" t="s">
        <v>821</v>
      </c>
      <c r="F204" t="s">
        <v>7813</v>
      </c>
      <c r="G204" t="s">
        <v>7814</v>
      </c>
      <c r="H204" t="s">
        <v>607</v>
      </c>
      <c r="J204" t="s">
        <v>899</v>
      </c>
      <c r="M204" s="134">
        <v>0</v>
      </c>
      <c r="N204" s="134">
        <v>0</v>
      </c>
      <c r="O204" t="s">
        <v>7815</v>
      </c>
      <c r="P204" t="s">
        <v>7816</v>
      </c>
      <c r="Q204" t="s">
        <v>1939</v>
      </c>
      <c r="R204" t="s">
        <v>7817</v>
      </c>
      <c r="T204">
        <v>13</v>
      </c>
      <c r="U204" t="s">
        <v>491</v>
      </c>
      <c r="X204">
        <v>0</v>
      </c>
    </row>
    <row r="205" spans="1:24" x14ac:dyDescent="0.25">
      <c r="A205" s="234">
        <v>42943</v>
      </c>
      <c r="B205" t="s">
        <v>5992</v>
      </c>
      <c r="D205" t="s">
        <v>7858</v>
      </c>
      <c r="E205" t="s">
        <v>588</v>
      </c>
      <c r="F205" t="s">
        <v>7860</v>
      </c>
      <c r="G205" t="s">
        <v>7859</v>
      </c>
      <c r="H205" t="s">
        <v>607</v>
      </c>
      <c r="I205" t="s">
        <v>7861</v>
      </c>
      <c r="J205" t="s">
        <v>608</v>
      </c>
      <c r="M205" s="134">
        <v>0</v>
      </c>
      <c r="N205" s="134">
        <v>0</v>
      </c>
      <c r="O205" t="s">
        <v>7862</v>
      </c>
      <c r="P205" t="s">
        <v>7863</v>
      </c>
      <c r="Q205" t="s">
        <v>592</v>
      </c>
      <c r="T205">
        <v>12</v>
      </c>
      <c r="U205" t="s">
        <v>491</v>
      </c>
      <c r="X205">
        <v>0</v>
      </c>
    </row>
    <row r="206" spans="1:24" x14ac:dyDescent="0.25">
      <c r="A206" s="234">
        <v>42947</v>
      </c>
      <c r="B206" t="s">
        <v>569</v>
      </c>
      <c r="D206" t="s">
        <v>625</v>
      </c>
      <c r="E206" t="s">
        <v>821</v>
      </c>
      <c r="F206" t="s">
        <v>543</v>
      </c>
      <c r="H206" t="s">
        <v>607</v>
      </c>
      <c r="J206" t="s">
        <v>899</v>
      </c>
      <c r="M206" s="134">
        <v>0</v>
      </c>
      <c r="N206" s="134">
        <v>0</v>
      </c>
      <c r="O206" t="s">
        <v>7898</v>
      </c>
      <c r="P206" t="s">
        <v>7897</v>
      </c>
      <c r="Q206" t="s">
        <v>29</v>
      </c>
      <c r="R206" t="s">
        <v>7896</v>
      </c>
      <c r="T206">
        <v>7</v>
      </c>
      <c r="U206" t="s">
        <v>491</v>
      </c>
      <c r="X206">
        <v>1</v>
      </c>
    </row>
    <row r="207" spans="1:24" x14ac:dyDescent="0.25">
      <c r="A207" s="234">
        <v>42948</v>
      </c>
      <c r="B207" t="s">
        <v>569</v>
      </c>
      <c r="D207" t="s">
        <v>625</v>
      </c>
      <c r="E207" t="s">
        <v>588</v>
      </c>
      <c r="F207" t="s">
        <v>7916</v>
      </c>
      <c r="G207" t="s">
        <v>7917</v>
      </c>
      <c r="H207" t="s">
        <v>5991</v>
      </c>
      <c r="M207" s="134">
        <v>0</v>
      </c>
      <c r="N207" s="134">
        <v>0</v>
      </c>
      <c r="O207" t="s">
        <v>7918</v>
      </c>
      <c r="P207" t="s">
        <v>7919</v>
      </c>
      <c r="Q207" t="s">
        <v>592</v>
      </c>
      <c r="T207">
        <v>17</v>
      </c>
      <c r="U207" t="s">
        <v>491</v>
      </c>
      <c r="X207">
        <v>0</v>
      </c>
    </row>
    <row r="208" spans="1:24" x14ac:dyDescent="0.25">
      <c r="A208" s="234">
        <v>42950</v>
      </c>
      <c r="B208" t="s">
        <v>5360</v>
      </c>
      <c r="D208" t="s">
        <v>1027</v>
      </c>
      <c r="E208" t="s">
        <v>821</v>
      </c>
      <c r="F208" t="s">
        <v>7969</v>
      </c>
      <c r="G208" t="s">
        <v>7968</v>
      </c>
      <c r="H208" t="s">
        <v>607</v>
      </c>
      <c r="M208" s="134">
        <v>0</v>
      </c>
      <c r="N208" s="134">
        <v>0</v>
      </c>
      <c r="O208" t="s">
        <v>6447</v>
      </c>
      <c r="P208" t="s">
        <v>7970</v>
      </c>
      <c r="Q208" t="s">
        <v>1939</v>
      </c>
      <c r="R208" t="s">
        <v>7971</v>
      </c>
      <c r="T208">
        <v>12</v>
      </c>
      <c r="U208" t="s">
        <v>491</v>
      </c>
      <c r="X208">
        <v>0</v>
      </c>
    </row>
    <row r="209" spans="1:24" x14ac:dyDescent="0.25">
      <c r="A209" s="234">
        <v>42954</v>
      </c>
      <c r="B209" t="s">
        <v>328</v>
      </c>
      <c r="C209" t="s">
        <v>603</v>
      </c>
      <c r="D209" t="s">
        <v>649</v>
      </c>
      <c r="E209" t="s">
        <v>588</v>
      </c>
      <c r="F209" t="s">
        <v>8000</v>
      </c>
      <c r="G209" t="s">
        <v>8113</v>
      </c>
      <c r="H209" t="s">
        <v>607</v>
      </c>
      <c r="M209" s="134">
        <v>0</v>
      </c>
      <c r="N209" s="134">
        <v>0</v>
      </c>
      <c r="O209" t="s">
        <v>8001</v>
      </c>
      <c r="P209" t="s">
        <v>8002</v>
      </c>
      <c r="Q209" t="s">
        <v>29</v>
      </c>
      <c r="R209" t="s">
        <v>8115</v>
      </c>
      <c r="S209" t="s">
        <v>8114</v>
      </c>
      <c r="T209">
        <v>62</v>
      </c>
      <c r="U209" t="s">
        <v>491</v>
      </c>
      <c r="X209">
        <v>1</v>
      </c>
    </row>
    <row r="210" spans="1:24" x14ac:dyDescent="0.25">
      <c r="A210" s="234">
        <v>42955</v>
      </c>
      <c r="B210" t="s">
        <v>328</v>
      </c>
      <c r="C210" t="s">
        <v>603</v>
      </c>
      <c r="D210" t="s">
        <v>5701</v>
      </c>
      <c r="E210" t="s">
        <v>588</v>
      </c>
      <c r="F210" t="s">
        <v>8017</v>
      </c>
      <c r="G210" t="s">
        <v>8018</v>
      </c>
      <c r="H210" t="s">
        <v>607</v>
      </c>
      <c r="M210" s="134">
        <v>0</v>
      </c>
      <c r="N210" s="134">
        <v>0</v>
      </c>
      <c r="O210" t="s">
        <v>2928</v>
      </c>
      <c r="P210" t="s">
        <v>8019</v>
      </c>
      <c r="Q210" t="s">
        <v>29</v>
      </c>
      <c r="R210" t="s">
        <v>8052</v>
      </c>
      <c r="T210">
        <v>41</v>
      </c>
      <c r="U210" t="s">
        <v>491</v>
      </c>
      <c r="X210">
        <v>1</v>
      </c>
    </row>
    <row r="211" spans="1:24" x14ac:dyDescent="0.25">
      <c r="A211" s="234">
        <v>42955</v>
      </c>
      <c r="B211" t="s">
        <v>569</v>
      </c>
      <c r="D211" t="s">
        <v>625</v>
      </c>
      <c r="E211" t="s">
        <v>821</v>
      </c>
      <c r="F211" t="s">
        <v>8036</v>
      </c>
      <c r="H211" t="s">
        <v>607</v>
      </c>
      <c r="I211" t="s">
        <v>4064</v>
      </c>
      <c r="J211" t="s">
        <v>899</v>
      </c>
      <c r="M211" s="134">
        <v>0</v>
      </c>
      <c r="N211" s="134">
        <v>0</v>
      </c>
      <c r="O211" t="s">
        <v>6387</v>
      </c>
      <c r="P211" t="s">
        <v>8037</v>
      </c>
      <c r="Q211" t="s">
        <v>1939</v>
      </c>
      <c r="R211" t="s">
        <v>8038</v>
      </c>
      <c r="T211">
        <v>30</v>
      </c>
      <c r="U211" t="s">
        <v>491</v>
      </c>
      <c r="X211">
        <v>0</v>
      </c>
    </row>
    <row r="212" spans="1:24" x14ac:dyDescent="0.25">
      <c r="A212" s="234">
        <v>42958</v>
      </c>
      <c r="B212" t="s">
        <v>569</v>
      </c>
      <c r="D212" t="s">
        <v>611</v>
      </c>
      <c r="E212" t="s">
        <v>1707</v>
      </c>
      <c r="F212" t="s">
        <v>8117</v>
      </c>
      <c r="G212" t="s">
        <v>8116</v>
      </c>
      <c r="H212" t="s">
        <v>607</v>
      </c>
      <c r="M212" s="134">
        <v>0</v>
      </c>
      <c r="N212" s="134">
        <v>0</v>
      </c>
      <c r="O212" t="s">
        <v>1589</v>
      </c>
      <c r="P212" t="s">
        <v>8118</v>
      </c>
      <c r="Q212" t="s">
        <v>592</v>
      </c>
      <c r="R212" t="s">
        <v>8119</v>
      </c>
      <c r="T212">
        <v>10</v>
      </c>
      <c r="U212" t="s">
        <v>491</v>
      </c>
      <c r="X212">
        <v>0</v>
      </c>
    </row>
    <row r="213" spans="1:24" x14ac:dyDescent="0.25">
      <c r="A213" s="234">
        <v>42958</v>
      </c>
      <c r="B213" t="s">
        <v>328</v>
      </c>
      <c r="C213" t="s">
        <v>603</v>
      </c>
      <c r="D213" t="s">
        <v>2500</v>
      </c>
      <c r="E213" t="s">
        <v>588</v>
      </c>
      <c r="F213" t="s">
        <v>8127</v>
      </c>
      <c r="G213" t="s">
        <v>8126</v>
      </c>
      <c r="H213" t="s">
        <v>4261</v>
      </c>
      <c r="M213" s="134">
        <v>0</v>
      </c>
      <c r="N213" s="134">
        <v>0</v>
      </c>
      <c r="O213" t="s">
        <v>639</v>
      </c>
      <c r="P213" t="s">
        <v>8128</v>
      </c>
      <c r="Q213" t="s">
        <v>1939</v>
      </c>
      <c r="R213" t="s">
        <v>8129</v>
      </c>
      <c r="T213">
        <v>10</v>
      </c>
      <c r="U213" t="s">
        <v>491</v>
      </c>
      <c r="X213">
        <v>0</v>
      </c>
    </row>
    <row r="214" spans="1:24" x14ac:dyDescent="0.25">
      <c r="A214" s="234">
        <v>42958</v>
      </c>
      <c r="B214" t="s">
        <v>328</v>
      </c>
      <c r="C214" t="s">
        <v>603</v>
      </c>
      <c r="D214" t="s">
        <v>672</v>
      </c>
      <c r="E214" t="s">
        <v>588</v>
      </c>
      <c r="F214" t="s">
        <v>8137</v>
      </c>
      <c r="G214" t="s">
        <v>8138</v>
      </c>
      <c r="H214" t="s">
        <v>607</v>
      </c>
      <c r="I214" t="s">
        <v>8139</v>
      </c>
      <c r="J214" t="s">
        <v>899</v>
      </c>
      <c r="M214" s="134">
        <v>0</v>
      </c>
      <c r="N214" s="134">
        <v>0</v>
      </c>
      <c r="O214" t="s">
        <v>2928</v>
      </c>
      <c r="P214" t="s">
        <v>8141</v>
      </c>
      <c r="Q214" t="s">
        <v>1612</v>
      </c>
      <c r="R214" t="s">
        <v>8140</v>
      </c>
      <c r="T214">
        <v>22</v>
      </c>
      <c r="U214" t="s">
        <v>491</v>
      </c>
      <c r="X214">
        <v>0</v>
      </c>
    </row>
    <row r="215" spans="1:24" x14ac:dyDescent="0.25">
      <c r="A215" s="234">
        <v>42962</v>
      </c>
      <c r="B215" t="s">
        <v>5176</v>
      </c>
      <c r="C215" t="s">
        <v>604</v>
      </c>
      <c r="D215" t="s">
        <v>2454</v>
      </c>
      <c r="E215" t="s">
        <v>588</v>
      </c>
      <c r="F215" t="s">
        <v>8162</v>
      </c>
      <c r="G215" t="s">
        <v>8162</v>
      </c>
      <c r="H215" t="s">
        <v>4132</v>
      </c>
      <c r="J215" t="s">
        <v>4684</v>
      </c>
      <c r="L215">
        <v>0.9</v>
      </c>
      <c r="M215" s="134">
        <v>0</v>
      </c>
      <c r="N215" s="134">
        <v>0</v>
      </c>
      <c r="O215" t="s">
        <v>3365</v>
      </c>
      <c r="P215" t="s">
        <v>8163</v>
      </c>
      <c r="Q215" t="s">
        <v>1939</v>
      </c>
      <c r="R215" t="s">
        <v>8164</v>
      </c>
      <c r="S215" t="s">
        <v>8169</v>
      </c>
      <c r="U215" t="s">
        <v>2227</v>
      </c>
      <c r="X215">
        <v>0</v>
      </c>
    </row>
    <row r="216" spans="1:24" x14ac:dyDescent="0.25">
      <c r="A216" s="234">
        <v>42963</v>
      </c>
      <c r="B216" t="s">
        <v>328</v>
      </c>
      <c r="C216" t="s">
        <v>603</v>
      </c>
      <c r="D216" t="s">
        <v>1401</v>
      </c>
      <c r="E216" t="s">
        <v>588</v>
      </c>
      <c r="F216" t="s">
        <v>8170</v>
      </c>
      <c r="G216" t="s">
        <v>8171</v>
      </c>
      <c r="H216" t="s">
        <v>2295</v>
      </c>
      <c r="J216" t="s">
        <v>899</v>
      </c>
      <c r="L216">
        <v>10</v>
      </c>
      <c r="M216" s="134">
        <v>0</v>
      </c>
      <c r="N216" s="134">
        <v>0</v>
      </c>
      <c r="O216" t="s">
        <v>5064</v>
      </c>
      <c r="P216" t="s">
        <v>8172</v>
      </c>
      <c r="Q216" t="s">
        <v>592</v>
      </c>
      <c r="R216" t="s">
        <v>8173</v>
      </c>
      <c r="U216" t="s">
        <v>2227</v>
      </c>
      <c r="X216">
        <v>0</v>
      </c>
    </row>
    <row r="217" spans="1:24" x14ac:dyDescent="0.25">
      <c r="A217" s="234">
        <v>42968</v>
      </c>
      <c r="B217" t="s">
        <v>569</v>
      </c>
      <c r="D217" t="s">
        <v>930</v>
      </c>
      <c r="E217" t="s">
        <v>821</v>
      </c>
      <c r="F217" t="s">
        <v>8208</v>
      </c>
      <c r="H217" t="s">
        <v>905</v>
      </c>
      <c r="M217" s="134">
        <v>0</v>
      </c>
      <c r="N217" s="134">
        <v>0</v>
      </c>
      <c r="O217" t="s">
        <v>639</v>
      </c>
      <c r="P217" t="s">
        <v>8209</v>
      </c>
      <c r="Q217" t="s">
        <v>1939</v>
      </c>
      <c r="R217" t="s">
        <v>8210</v>
      </c>
      <c r="T217">
        <v>17</v>
      </c>
      <c r="U217" t="s">
        <v>491</v>
      </c>
      <c r="X217">
        <v>0</v>
      </c>
    </row>
    <row r="218" spans="1:24" x14ac:dyDescent="0.25">
      <c r="A218" s="234">
        <v>42968</v>
      </c>
      <c r="B218" t="s">
        <v>328</v>
      </c>
      <c r="C218" t="s">
        <v>603</v>
      </c>
      <c r="D218" t="s">
        <v>672</v>
      </c>
      <c r="E218" t="s">
        <v>588</v>
      </c>
      <c r="F218" t="s">
        <v>8220</v>
      </c>
      <c r="G218" t="s">
        <v>8221</v>
      </c>
      <c r="H218" t="s">
        <v>8278</v>
      </c>
      <c r="M218" s="134">
        <v>0</v>
      </c>
      <c r="N218" s="134">
        <v>0</v>
      </c>
      <c r="O218" t="s">
        <v>2295</v>
      </c>
      <c r="P218" t="s">
        <v>8407</v>
      </c>
      <c r="Q218" t="s">
        <v>592</v>
      </c>
      <c r="R218" t="s">
        <v>8222</v>
      </c>
      <c r="T218">
        <v>29</v>
      </c>
      <c r="U218" t="s">
        <v>491</v>
      </c>
      <c r="X218">
        <v>0</v>
      </c>
    </row>
    <row r="219" spans="1:24" x14ac:dyDescent="0.25">
      <c r="A219" s="234">
        <v>42968</v>
      </c>
      <c r="B219" t="s">
        <v>328</v>
      </c>
      <c r="C219" t="s">
        <v>603</v>
      </c>
      <c r="D219" t="s">
        <v>649</v>
      </c>
      <c r="E219" t="s">
        <v>588</v>
      </c>
      <c r="H219" t="s">
        <v>6255</v>
      </c>
      <c r="M219" s="134">
        <v>0</v>
      </c>
      <c r="N219" s="134">
        <v>0</v>
      </c>
      <c r="O219" t="s">
        <v>3886</v>
      </c>
      <c r="P219" t="s">
        <v>8231</v>
      </c>
      <c r="Q219" t="s">
        <v>620</v>
      </c>
      <c r="R219" t="s">
        <v>8232</v>
      </c>
      <c r="T219">
        <v>18</v>
      </c>
      <c r="U219" t="s">
        <v>491</v>
      </c>
      <c r="X219">
        <v>0</v>
      </c>
    </row>
    <row r="220" spans="1:24" x14ac:dyDescent="0.25">
      <c r="A220" s="234">
        <v>42971</v>
      </c>
      <c r="B220" t="s">
        <v>5176</v>
      </c>
      <c r="C220" t="s">
        <v>959</v>
      </c>
      <c r="D220" t="s">
        <v>732</v>
      </c>
      <c r="E220" t="s">
        <v>588</v>
      </c>
      <c r="H220" t="s">
        <v>607</v>
      </c>
      <c r="I220" t="s">
        <v>8301</v>
      </c>
      <c r="J220" t="s">
        <v>959</v>
      </c>
      <c r="M220" s="134">
        <v>0</v>
      </c>
      <c r="N220" s="134">
        <v>0</v>
      </c>
      <c r="O220" t="s">
        <v>8302</v>
      </c>
      <c r="P220" t="s">
        <v>8303</v>
      </c>
      <c r="Q220" t="s">
        <v>29</v>
      </c>
      <c r="R220" t="s">
        <v>8304</v>
      </c>
      <c r="T220">
        <v>18</v>
      </c>
      <c r="U220" t="s">
        <v>491</v>
      </c>
      <c r="X220">
        <v>1</v>
      </c>
    </row>
    <row r="221" spans="1:24" x14ac:dyDescent="0.25">
      <c r="A221" s="234">
        <v>42972</v>
      </c>
      <c r="B221" t="s">
        <v>569</v>
      </c>
      <c r="C221" t="s">
        <v>899</v>
      </c>
      <c r="D221" t="s">
        <v>930</v>
      </c>
      <c r="E221" t="s">
        <v>821</v>
      </c>
      <c r="J221" t="s">
        <v>899</v>
      </c>
      <c r="M221" s="134">
        <v>0</v>
      </c>
      <c r="N221" s="134">
        <v>0</v>
      </c>
      <c r="O221" t="s">
        <v>5611</v>
      </c>
      <c r="P221" t="s">
        <v>8317</v>
      </c>
      <c r="Q221" t="s">
        <v>29</v>
      </c>
      <c r="R221" t="s">
        <v>8318</v>
      </c>
      <c r="T221">
        <v>12</v>
      </c>
      <c r="U221" t="s">
        <v>491</v>
      </c>
      <c r="X221">
        <v>1</v>
      </c>
    </row>
    <row r="222" spans="1:24" x14ac:dyDescent="0.25">
      <c r="A222" s="234">
        <v>42976</v>
      </c>
      <c r="B222" t="s">
        <v>569</v>
      </c>
      <c r="C222" t="s">
        <v>899</v>
      </c>
      <c r="D222" t="s">
        <v>625</v>
      </c>
      <c r="E222" t="s">
        <v>821</v>
      </c>
      <c r="F222" t="s">
        <v>8339</v>
      </c>
      <c r="G222" t="s">
        <v>7814</v>
      </c>
      <c r="H222" t="s">
        <v>607</v>
      </c>
      <c r="M222" s="134">
        <v>0</v>
      </c>
      <c r="N222" s="134">
        <v>0</v>
      </c>
      <c r="O222" t="s">
        <v>8345</v>
      </c>
      <c r="P222" t="s">
        <v>8346</v>
      </c>
      <c r="Q222" t="s">
        <v>1939</v>
      </c>
      <c r="R222" t="s">
        <v>8377</v>
      </c>
      <c r="T222">
        <v>14</v>
      </c>
      <c r="U222" t="s">
        <v>491</v>
      </c>
      <c r="X222">
        <v>0</v>
      </c>
    </row>
    <row r="223" spans="1:24" x14ac:dyDescent="0.25">
      <c r="A223" s="234">
        <v>42976</v>
      </c>
      <c r="B223" t="s">
        <v>569</v>
      </c>
      <c r="C223" t="s">
        <v>899</v>
      </c>
      <c r="D223" t="s">
        <v>625</v>
      </c>
      <c r="E223" t="s">
        <v>821</v>
      </c>
      <c r="F223" t="s">
        <v>8340</v>
      </c>
      <c r="G223" t="s">
        <v>7792</v>
      </c>
      <c r="H223" t="s">
        <v>607</v>
      </c>
      <c r="M223" s="134">
        <v>0</v>
      </c>
      <c r="N223" s="134">
        <v>0</v>
      </c>
      <c r="O223" t="s">
        <v>8347</v>
      </c>
      <c r="P223" t="s">
        <v>8348</v>
      </c>
      <c r="Q223" t="s">
        <v>1939</v>
      </c>
      <c r="R223" t="s">
        <v>8349</v>
      </c>
      <c r="T223">
        <v>10</v>
      </c>
      <c r="U223" t="s">
        <v>491</v>
      </c>
      <c r="X223">
        <v>0</v>
      </c>
    </row>
    <row r="224" spans="1:24" x14ac:dyDescent="0.25">
      <c r="A224" s="234">
        <v>42976</v>
      </c>
      <c r="B224" t="s">
        <v>569</v>
      </c>
      <c r="C224" t="s">
        <v>899</v>
      </c>
      <c r="D224" t="s">
        <v>930</v>
      </c>
      <c r="E224" t="s">
        <v>821</v>
      </c>
      <c r="F224" t="s">
        <v>8341</v>
      </c>
      <c r="H224" t="s">
        <v>607</v>
      </c>
      <c r="I224" t="s">
        <v>8350</v>
      </c>
      <c r="J224" t="s">
        <v>899</v>
      </c>
      <c r="M224" s="134">
        <v>0</v>
      </c>
      <c r="N224" s="134">
        <v>0</v>
      </c>
      <c r="O224" t="s">
        <v>7074</v>
      </c>
      <c r="P224" t="s">
        <v>8351</v>
      </c>
      <c r="Q224" t="s">
        <v>1939</v>
      </c>
      <c r="R224" t="s">
        <v>8352</v>
      </c>
      <c r="T224">
        <v>8</v>
      </c>
      <c r="U224" t="s">
        <v>491</v>
      </c>
      <c r="X224">
        <v>0</v>
      </c>
    </row>
    <row r="225" spans="1:24" x14ac:dyDescent="0.25">
      <c r="A225" s="234">
        <v>42978</v>
      </c>
      <c r="B225" t="s">
        <v>569</v>
      </c>
      <c r="C225" t="s">
        <v>899</v>
      </c>
      <c r="D225" t="s">
        <v>930</v>
      </c>
      <c r="E225" t="s">
        <v>821</v>
      </c>
      <c r="F225" t="s">
        <v>8378</v>
      </c>
      <c r="H225" t="s">
        <v>886</v>
      </c>
      <c r="M225" s="134">
        <v>0</v>
      </c>
      <c r="N225" s="134">
        <v>0</v>
      </c>
      <c r="O225" t="s">
        <v>8442</v>
      </c>
      <c r="P225" t="s">
        <v>8441</v>
      </c>
      <c r="Q225" t="s">
        <v>1612</v>
      </c>
      <c r="R225" t="s">
        <v>8448</v>
      </c>
      <c r="T225">
        <v>27</v>
      </c>
      <c r="U225" t="s">
        <v>491</v>
      </c>
      <c r="X225">
        <v>0</v>
      </c>
    </row>
    <row r="226" spans="1:24" x14ac:dyDescent="0.25">
      <c r="A226" s="234">
        <v>42983</v>
      </c>
      <c r="B226" t="s">
        <v>328</v>
      </c>
      <c r="C226" t="s">
        <v>603</v>
      </c>
      <c r="D226" t="s">
        <v>649</v>
      </c>
      <c r="E226" t="s">
        <v>588</v>
      </c>
      <c r="F226" t="s">
        <v>543</v>
      </c>
      <c r="H226" t="s">
        <v>6255</v>
      </c>
      <c r="J226" t="s">
        <v>3888</v>
      </c>
      <c r="M226" s="134">
        <v>0</v>
      </c>
      <c r="N226" s="134">
        <v>0</v>
      </c>
      <c r="O226" t="s">
        <v>3886</v>
      </c>
      <c r="P226" t="s">
        <v>8419</v>
      </c>
      <c r="Q226" t="s">
        <v>620</v>
      </c>
      <c r="R226" t="s">
        <v>8420</v>
      </c>
      <c r="T226">
        <v>10</v>
      </c>
      <c r="U226" t="s">
        <v>491</v>
      </c>
      <c r="X226">
        <v>0</v>
      </c>
    </row>
    <row r="227" spans="1:24" x14ac:dyDescent="0.25">
      <c r="A227" s="234">
        <v>42983</v>
      </c>
      <c r="B227" t="s">
        <v>569</v>
      </c>
      <c r="C227" t="s">
        <v>899</v>
      </c>
      <c r="D227" t="s">
        <v>930</v>
      </c>
      <c r="E227" t="s">
        <v>821</v>
      </c>
      <c r="F227" t="s">
        <v>8427</v>
      </c>
      <c r="G227" t="s">
        <v>8428</v>
      </c>
      <c r="H227" t="s">
        <v>7728</v>
      </c>
      <c r="I227" t="s">
        <v>8437</v>
      </c>
      <c r="J227" t="s">
        <v>899</v>
      </c>
      <c r="M227" s="134">
        <v>0</v>
      </c>
      <c r="N227" s="134">
        <v>0</v>
      </c>
      <c r="O227" t="s">
        <v>666</v>
      </c>
      <c r="P227" t="s">
        <v>8438</v>
      </c>
      <c r="Q227" t="s">
        <v>592</v>
      </c>
      <c r="T227">
        <v>8</v>
      </c>
      <c r="U227" t="s">
        <v>491</v>
      </c>
      <c r="X227">
        <v>0</v>
      </c>
    </row>
    <row r="228" spans="1:24" x14ac:dyDescent="0.25">
      <c r="A228" s="234">
        <v>42983</v>
      </c>
      <c r="B228" t="s">
        <v>569</v>
      </c>
      <c r="C228" t="s">
        <v>899</v>
      </c>
      <c r="D228" t="s">
        <v>930</v>
      </c>
      <c r="E228" t="s">
        <v>821</v>
      </c>
      <c r="F228" t="s">
        <v>8429</v>
      </c>
      <c r="H228" t="s">
        <v>607</v>
      </c>
      <c r="M228" s="134">
        <v>0</v>
      </c>
      <c r="N228" s="134">
        <v>0</v>
      </c>
      <c r="O228" t="s">
        <v>639</v>
      </c>
      <c r="P228" t="s">
        <v>8439</v>
      </c>
      <c r="Q228" t="s">
        <v>592</v>
      </c>
      <c r="R228" t="s">
        <v>8440</v>
      </c>
      <c r="T228">
        <v>10</v>
      </c>
      <c r="U228" t="s">
        <v>491</v>
      </c>
      <c r="X228">
        <v>0</v>
      </c>
    </row>
    <row r="229" spans="1:24" x14ac:dyDescent="0.25">
      <c r="A229" s="234">
        <v>42986</v>
      </c>
      <c r="B229" t="s">
        <v>328</v>
      </c>
      <c r="C229" t="s">
        <v>603</v>
      </c>
      <c r="D229" t="s">
        <v>649</v>
      </c>
      <c r="E229" t="s">
        <v>821</v>
      </c>
      <c r="F229" t="s">
        <v>8467</v>
      </c>
      <c r="G229" t="s">
        <v>8468</v>
      </c>
      <c r="H229" t="s">
        <v>6255</v>
      </c>
      <c r="M229" s="134">
        <v>0</v>
      </c>
      <c r="N229" s="134">
        <v>0</v>
      </c>
      <c r="O229" t="s">
        <v>8469</v>
      </c>
      <c r="P229" t="s">
        <v>8470</v>
      </c>
      <c r="Q229" t="s">
        <v>592</v>
      </c>
      <c r="T229">
        <v>12</v>
      </c>
      <c r="U229" t="s">
        <v>491</v>
      </c>
      <c r="X229">
        <v>0</v>
      </c>
    </row>
    <row r="230" spans="1:24" x14ac:dyDescent="0.25">
      <c r="A230" s="234">
        <v>42986</v>
      </c>
      <c r="B230" t="s">
        <v>569</v>
      </c>
      <c r="C230" t="s">
        <v>899</v>
      </c>
      <c r="D230" t="s">
        <v>624</v>
      </c>
      <c r="E230" t="s">
        <v>821</v>
      </c>
      <c r="F230" t="s">
        <v>8471</v>
      </c>
      <c r="H230" t="s">
        <v>886</v>
      </c>
      <c r="M230" s="134">
        <v>0</v>
      </c>
      <c r="N230" s="134">
        <v>0</v>
      </c>
      <c r="O230" t="s">
        <v>8472</v>
      </c>
      <c r="P230" t="s">
        <v>8473</v>
      </c>
      <c r="Q230" t="s">
        <v>592</v>
      </c>
      <c r="T230">
        <v>10</v>
      </c>
      <c r="U230" t="s">
        <v>491</v>
      </c>
      <c r="X230">
        <v>0</v>
      </c>
    </row>
    <row r="231" spans="1:24" x14ac:dyDescent="0.25">
      <c r="A231" s="234">
        <v>42990</v>
      </c>
      <c r="B231" t="s">
        <v>5992</v>
      </c>
      <c r="C231" t="s">
        <v>608</v>
      </c>
      <c r="D231" t="s">
        <v>7858</v>
      </c>
      <c r="E231" t="s">
        <v>588</v>
      </c>
      <c r="F231" t="s">
        <v>8324</v>
      </c>
      <c r="G231" t="s">
        <v>8496</v>
      </c>
      <c r="H231" t="s">
        <v>607</v>
      </c>
      <c r="M231" s="134">
        <v>0</v>
      </c>
      <c r="N231" s="134">
        <v>0</v>
      </c>
      <c r="O231" t="s">
        <v>7033</v>
      </c>
      <c r="P231" t="s">
        <v>8497</v>
      </c>
      <c r="Q231" t="s">
        <v>1939</v>
      </c>
      <c r="R231" t="s">
        <v>8498</v>
      </c>
      <c r="T231">
        <v>10</v>
      </c>
      <c r="U231" t="s">
        <v>491</v>
      </c>
      <c r="X231">
        <v>0</v>
      </c>
    </row>
    <row r="232" spans="1:24" x14ac:dyDescent="0.25">
      <c r="A232" s="234">
        <v>42990</v>
      </c>
      <c r="B232" t="s">
        <v>569</v>
      </c>
      <c r="C232" t="s">
        <v>899</v>
      </c>
      <c r="D232" t="s">
        <v>930</v>
      </c>
      <c r="E232" t="s">
        <v>821</v>
      </c>
      <c r="F232" t="s">
        <v>8502</v>
      </c>
      <c r="J232" t="s">
        <v>899</v>
      </c>
      <c r="M232" s="134">
        <v>0</v>
      </c>
      <c r="N232" s="134">
        <v>0</v>
      </c>
      <c r="O232" t="s">
        <v>639</v>
      </c>
      <c r="P232" t="s">
        <v>8503</v>
      </c>
      <c r="Q232" t="s">
        <v>29</v>
      </c>
      <c r="R232" t="s">
        <v>8504</v>
      </c>
      <c r="T232">
        <v>9</v>
      </c>
      <c r="U232" t="s">
        <v>491</v>
      </c>
      <c r="X232">
        <v>1</v>
      </c>
    </row>
    <row r="233" spans="1:24" x14ac:dyDescent="0.25">
      <c r="A233" s="234">
        <v>42990</v>
      </c>
      <c r="B233" t="s">
        <v>569</v>
      </c>
      <c r="C233" t="s">
        <v>899</v>
      </c>
      <c r="D233" t="s">
        <v>624</v>
      </c>
      <c r="E233" t="s">
        <v>821</v>
      </c>
      <c r="F233" t="s">
        <v>8511</v>
      </c>
      <c r="H233" t="s">
        <v>4261</v>
      </c>
      <c r="I233" t="s">
        <v>6061</v>
      </c>
      <c r="J233" t="s">
        <v>899</v>
      </c>
      <c r="M233" s="134">
        <v>0</v>
      </c>
      <c r="N233" s="134">
        <v>0</v>
      </c>
      <c r="O233" t="s">
        <v>639</v>
      </c>
      <c r="P233" t="s">
        <v>8512</v>
      </c>
      <c r="Q233" t="s">
        <v>1939</v>
      </c>
      <c r="R233" t="s">
        <v>8513</v>
      </c>
      <c r="T233">
        <v>7</v>
      </c>
      <c r="U233" t="s">
        <v>491</v>
      </c>
      <c r="X233">
        <v>0</v>
      </c>
    </row>
    <row r="234" spans="1:24" x14ac:dyDescent="0.25">
      <c r="A234" s="234">
        <v>42990</v>
      </c>
      <c r="B234" t="s">
        <v>569</v>
      </c>
      <c r="C234" t="s">
        <v>899</v>
      </c>
      <c r="D234" t="s">
        <v>930</v>
      </c>
      <c r="E234" t="s">
        <v>1707</v>
      </c>
      <c r="F234" t="s">
        <v>8518</v>
      </c>
      <c r="G234" t="s">
        <v>8519</v>
      </c>
      <c r="H234" t="s">
        <v>607</v>
      </c>
      <c r="I234" t="s">
        <v>8520</v>
      </c>
      <c r="J234" t="s">
        <v>899</v>
      </c>
      <c r="M234" s="134">
        <v>0</v>
      </c>
      <c r="N234" s="134">
        <v>0</v>
      </c>
      <c r="O234" t="s">
        <v>695</v>
      </c>
      <c r="P234" t="s">
        <v>8521</v>
      </c>
      <c r="Q234" t="s">
        <v>592</v>
      </c>
      <c r="R234" t="s">
        <v>8522</v>
      </c>
      <c r="T234">
        <v>18</v>
      </c>
      <c r="U234" t="s">
        <v>491</v>
      </c>
      <c r="X234">
        <v>0</v>
      </c>
    </row>
    <row r="235" spans="1:24" x14ac:dyDescent="0.25">
      <c r="A235" s="234">
        <v>42992</v>
      </c>
      <c r="B235" t="s">
        <v>328</v>
      </c>
      <c r="C235" t="s">
        <v>603</v>
      </c>
      <c r="D235" t="s">
        <v>649</v>
      </c>
      <c r="E235" t="s">
        <v>588</v>
      </c>
      <c r="F235" t="s">
        <v>8626</v>
      </c>
      <c r="G235" t="s">
        <v>8627</v>
      </c>
      <c r="H235" t="s">
        <v>607</v>
      </c>
      <c r="M235" s="134">
        <v>0</v>
      </c>
      <c r="N235" s="134">
        <v>0</v>
      </c>
      <c r="O235" t="s">
        <v>8628</v>
      </c>
      <c r="P235" t="s">
        <v>8629</v>
      </c>
      <c r="Q235" t="s">
        <v>29</v>
      </c>
      <c r="R235" t="s">
        <v>8630</v>
      </c>
      <c r="S235" t="s">
        <v>8632</v>
      </c>
      <c r="T235">
        <v>58</v>
      </c>
      <c r="U235" t="s">
        <v>491</v>
      </c>
      <c r="X235">
        <v>1</v>
      </c>
    </row>
    <row r="236" spans="1:24" x14ac:dyDescent="0.25">
      <c r="A236" s="234">
        <v>42993</v>
      </c>
      <c r="B236" t="s">
        <v>5360</v>
      </c>
      <c r="C236" t="s">
        <v>899</v>
      </c>
      <c r="D236" t="s">
        <v>1027</v>
      </c>
      <c r="E236" t="s">
        <v>821</v>
      </c>
      <c r="F236" t="s">
        <v>8573</v>
      </c>
      <c r="G236" t="s">
        <v>8574</v>
      </c>
      <c r="H236" t="s">
        <v>607</v>
      </c>
      <c r="I236" t="s">
        <v>4042</v>
      </c>
      <c r="J236" t="s">
        <v>899</v>
      </c>
      <c r="M236" s="134">
        <v>0</v>
      </c>
      <c r="N236" s="134">
        <v>0</v>
      </c>
      <c r="O236" t="s">
        <v>3107</v>
      </c>
      <c r="P236" t="s">
        <v>8575</v>
      </c>
      <c r="Q236" t="s">
        <v>1939</v>
      </c>
      <c r="R236" t="s">
        <v>8576</v>
      </c>
      <c r="T236">
        <v>14</v>
      </c>
      <c r="U236" t="s">
        <v>491</v>
      </c>
      <c r="X236">
        <v>0</v>
      </c>
    </row>
    <row r="237" spans="1:24" x14ac:dyDescent="0.25">
      <c r="A237" s="234">
        <v>42996</v>
      </c>
      <c r="B237" t="s">
        <v>569</v>
      </c>
      <c r="C237" t="s">
        <v>899</v>
      </c>
      <c r="D237" t="s">
        <v>625</v>
      </c>
      <c r="E237" t="s">
        <v>821</v>
      </c>
      <c r="F237" t="s">
        <v>8596</v>
      </c>
      <c r="H237" t="s">
        <v>905</v>
      </c>
      <c r="I237" t="s">
        <v>4237</v>
      </c>
      <c r="J237" t="s">
        <v>899</v>
      </c>
      <c r="M237" s="134">
        <v>0</v>
      </c>
      <c r="N237" s="134">
        <v>0</v>
      </c>
      <c r="O237" t="s">
        <v>5291</v>
      </c>
      <c r="P237" t="s">
        <v>8597</v>
      </c>
      <c r="Q237" t="s">
        <v>592</v>
      </c>
      <c r="R237" t="s">
        <v>8616</v>
      </c>
      <c r="T237">
        <v>35</v>
      </c>
      <c r="U237" t="s">
        <v>491</v>
      </c>
      <c r="X237">
        <v>0</v>
      </c>
    </row>
    <row r="238" spans="1:24" x14ac:dyDescent="0.25">
      <c r="A238" s="234">
        <v>42999</v>
      </c>
      <c r="B238" t="s">
        <v>5473</v>
      </c>
      <c r="C238" t="s">
        <v>608</v>
      </c>
      <c r="D238" t="s">
        <v>2346</v>
      </c>
      <c r="E238" t="s">
        <v>588</v>
      </c>
      <c r="F238" t="s">
        <v>8637</v>
      </c>
      <c r="G238" t="s">
        <v>8638</v>
      </c>
      <c r="H238" t="s">
        <v>886</v>
      </c>
      <c r="I238" t="s">
        <v>3809</v>
      </c>
      <c r="J238" t="s">
        <v>602</v>
      </c>
      <c r="M238" s="134">
        <v>0</v>
      </c>
      <c r="N238" s="134">
        <v>0</v>
      </c>
      <c r="O238" t="s">
        <v>5739</v>
      </c>
      <c r="P238" t="s">
        <v>8639</v>
      </c>
      <c r="Q238" t="s">
        <v>1939</v>
      </c>
      <c r="R238" t="s">
        <v>8640</v>
      </c>
      <c r="T238">
        <v>32</v>
      </c>
      <c r="U238" t="s">
        <v>491</v>
      </c>
      <c r="X238">
        <v>0</v>
      </c>
    </row>
    <row r="239" spans="1:24" x14ac:dyDescent="0.25">
      <c r="A239" s="234">
        <v>42999</v>
      </c>
      <c r="B239" t="s">
        <v>569</v>
      </c>
      <c r="C239" t="s">
        <v>899</v>
      </c>
      <c r="D239" t="s">
        <v>930</v>
      </c>
      <c r="E239" t="s">
        <v>821</v>
      </c>
      <c r="F239" t="s">
        <v>8641</v>
      </c>
      <c r="H239" t="s">
        <v>905</v>
      </c>
      <c r="I239" t="s">
        <v>2054</v>
      </c>
      <c r="J239" t="s">
        <v>899</v>
      </c>
      <c r="M239" s="134">
        <v>0</v>
      </c>
      <c r="N239" s="134">
        <v>0</v>
      </c>
      <c r="O239" t="s">
        <v>2527</v>
      </c>
      <c r="P239" t="s">
        <v>8642</v>
      </c>
      <c r="Q239" t="s">
        <v>1939</v>
      </c>
      <c r="R239" t="s">
        <v>8643</v>
      </c>
      <c r="T239">
        <v>14</v>
      </c>
      <c r="U239" t="s">
        <v>491</v>
      </c>
      <c r="X239">
        <v>0</v>
      </c>
    </row>
    <row r="240" spans="1:24" x14ac:dyDescent="0.25">
      <c r="A240" s="234">
        <v>43000</v>
      </c>
      <c r="B240" t="s">
        <v>5176</v>
      </c>
      <c r="C240" t="s">
        <v>604</v>
      </c>
      <c r="D240" t="s">
        <v>595</v>
      </c>
      <c r="E240" t="s">
        <v>1707</v>
      </c>
      <c r="F240" t="s">
        <v>8675</v>
      </c>
      <c r="G240" t="s">
        <v>8383</v>
      </c>
      <c r="H240" t="s">
        <v>607</v>
      </c>
      <c r="M240" s="134">
        <v>0</v>
      </c>
      <c r="N240" s="134">
        <v>0</v>
      </c>
      <c r="O240" t="s">
        <v>2744</v>
      </c>
      <c r="P240" t="s">
        <v>8676</v>
      </c>
      <c r="Q240" t="s">
        <v>1939</v>
      </c>
      <c r="R240" t="s">
        <v>8680</v>
      </c>
      <c r="T240">
        <v>32</v>
      </c>
      <c r="U240" t="s">
        <v>491</v>
      </c>
      <c r="X240">
        <v>0</v>
      </c>
    </row>
    <row r="241" spans="1:24" x14ac:dyDescent="0.25">
      <c r="A241" s="234">
        <v>43003</v>
      </c>
      <c r="B241" t="s">
        <v>643</v>
      </c>
      <c r="C241" t="s">
        <v>644</v>
      </c>
      <c r="D241" t="s">
        <v>645</v>
      </c>
      <c r="E241" t="s">
        <v>588</v>
      </c>
      <c r="F241" t="s">
        <v>8692</v>
      </c>
      <c r="G241" t="s">
        <v>8693</v>
      </c>
      <c r="H241" t="s">
        <v>905</v>
      </c>
      <c r="M241" s="134">
        <v>0</v>
      </c>
      <c r="N241" s="134">
        <v>0</v>
      </c>
      <c r="O241" t="s">
        <v>7805</v>
      </c>
      <c r="P241" t="s">
        <v>8694</v>
      </c>
      <c r="Q241" t="s">
        <v>1939</v>
      </c>
      <c r="R241" t="s">
        <v>8695</v>
      </c>
      <c r="T241">
        <v>18</v>
      </c>
      <c r="U241" t="s">
        <v>491</v>
      </c>
      <c r="X241">
        <v>0</v>
      </c>
    </row>
    <row r="242" spans="1:24" x14ac:dyDescent="0.25">
      <c r="A242" s="234">
        <v>43005</v>
      </c>
      <c r="B242" t="s">
        <v>569</v>
      </c>
      <c r="C242" t="s">
        <v>899</v>
      </c>
      <c r="D242" t="s">
        <v>611</v>
      </c>
      <c r="E242" t="s">
        <v>588</v>
      </c>
      <c r="F242" t="s">
        <v>8739</v>
      </c>
      <c r="G242" t="s">
        <v>8740</v>
      </c>
      <c r="H242" t="s">
        <v>607</v>
      </c>
      <c r="M242" s="134">
        <v>0</v>
      </c>
      <c r="N242" s="134">
        <v>0</v>
      </c>
      <c r="O242" t="s">
        <v>8741</v>
      </c>
      <c r="P242" t="s">
        <v>8742</v>
      </c>
      <c r="Q242" t="s">
        <v>1939</v>
      </c>
      <c r="R242" t="s">
        <v>8743</v>
      </c>
      <c r="T242">
        <v>16</v>
      </c>
      <c r="U242" t="s">
        <v>491</v>
      </c>
      <c r="X242">
        <v>0</v>
      </c>
    </row>
    <row r="243" spans="1:24" x14ac:dyDescent="0.25">
      <c r="A243" s="234">
        <v>43010</v>
      </c>
      <c r="B243" t="s">
        <v>569</v>
      </c>
      <c r="C243" t="s">
        <v>899</v>
      </c>
      <c r="D243" t="s">
        <v>930</v>
      </c>
      <c r="E243" t="s">
        <v>588</v>
      </c>
      <c r="F243" t="s">
        <v>264</v>
      </c>
      <c r="G243" t="s">
        <v>8730</v>
      </c>
      <c r="H243" t="s">
        <v>607</v>
      </c>
      <c r="M243" s="134">
        <v>0</v>
      </c>
      <c r="N243" s="134">
        <v>0</v>
      </c>
      <c r="O243" t="s">
        <v>3785</v>
      </c>
      <c r="P243" t="s">
        <v>8811</v>
      </c>
      <c r="Q243" t="s">
        <v>1939</v>
      </c>
      <c r="R243" t="s">
        <v>8812</v>
      </c>
      <c r="T243">
        <v>8</v>
      </c>
      <c r="U243" t="s">
        <v>491</v>
      </c>
      <c r="X243">
        <v>0</v>
      </c>
    </row>
    <row r="244" spans="1:24" x14ac:dyDescent="0.25">
      <c r="A244" s="234">
        <v>43010</v>
      </c>
      <c r="B244" t="s">
        <v>569</v>
      </c>
      <c r="C244" t="s">
        <v>899</v>
      </c>
      <c r="D244" t="s">
        <v>625</v>
      </c>
      <c r="E244" t="s">
        <v>821</v>
      </c>
      <c r="F244" t="s">
        <v>8819</v>
      </c>
      <c r="G244" t="s">
        <v>8820</v>
      </c>
      <c r="H244" t="s">
        <v>607</v>
      </c>
      <c r="J244" t="s">
        <v>899</v>
      </c>
      <c r="M244" s="134">
        <v>0</v>
      </c>
      <c r="N244" s="134">
        <v>0</v>
      </c>
      <c r="O244" t="s">
        <v>1171</v>
      </c>
      <c r="P244" t="s">
        <v>8821</v>
      </c>
      <c r="Q244" t="s">
        <v>1939</v>
      </c>
      <c r="R244" t="s">
        <v>8822</v>
      </c>
      <c r="T244">
        <v>19</v>
      </c>
      <c r="U244" t="s">
        <v>491</v>
      </c>
      <c r="X244">
        <v>0</v>
      </c>
    </row>
    <row r="245" spans="1:24" x14ac:dyDescent="0.25">
      <c r="A245" s="234">
        <v>43011</v>
      </c>
      <c r="B245" t="s">
        <v>5176</v>
      </c>
      <c r="C245" t="s">
        <v>604</v>
      </c>
      <c r="D245" t="s">
        <v>6995</v>
      </c>
      <c r="E245" t="s">
        <v>588</v>
      </c>
      <c r="F245" t="s">
        <v>8842</v>
      </c>
      <c r="G245" t="s">
        <v>8843</v>
      </c>
      <c r="H245" t="s">
        <v>607</v>
      </c>
      <c r="M245" s="134">
        <v>0</v>
      </c>
      <c r="N245" s="134">
        <v>0</v>
      </c>
      <c r="O245" t="s">
        <v>8737</v>
      </c>
      <c r="P245" t="s">
        <v>9270</v>
      </c>
      <c r="Q245" t="s">
        <v>1939</v>
      </c>
      <c r="R245" t="s">
        <v>8844</v>
      </c>
      <c r="T245">
        <v>16</v>
      </c>
      <c r="U245" t="s">
        <v>491</v>
      </c>
      <c r="X245">
        <v>0</v>
      </c>
    </row>
    <row r="246" spans="1:24" x14ac:dyDescent="0.25">
      <c r="A246" s="234">
        <v>43011</v>
      </c>
      <c r="B246" t="s">
        <v>569</v>
      </c>
      <c r="C246" t="s">
        <v>899</v>
      </c>
      <c r="D246" t="s">
        <v>930</v>
      </c>
      <c r="E246" t="s">
        <v>821</v>
      </c>
      <c r="F246" t="s">
        <v>8849</v>
      </c>
      <c r="H246" t="s">
        <v>607</v>
      </c>
      <c r="M246" s="134">
        <v>0</v>
      </c>
      <c r="N246" s="134">
        <v>0</v>
      </c>
      <c r="O246" t="s">
        <v>3785</v>
      </c>
      <c r="P246" t="s">
        <v>8850</v>
      </c>
      <c r="Q246" t="s">
        <v>1939</v>
      </c>
      <c r="R246" t="s">
        <v>8851</v>
      </c>
      <c r="T246">
        <v>10</v>
      </c>
      <c r="U246" t="s">
        <v>491</v>
      </c>
      <c r="X246">
        <v>0</v>
      </c>
    </row>
    <row r="247" spans="1:24" x14ac:dyDescent="0.25">
      <c r="A247" s="234">
        <v>43013</v>
      </c>
      <c r="B247" t="s">
        <v>569</v>
      </c>
      <c r="C247" t="s">
        <v>899</v>
      </c>
      <c r="D247" t="s">
        <v>930</v>
      </c>
      <c r="E247" t="s">
        <v>821</v>
      </c>
      <c r="F247" t="s">
        <v>8921</v>
      </c>
      <c r="H247" t="s">
        <v>1391</v>
      </c>
      <c r="M247" s="134">
        <v>0</v>
      </c>
      <c r="N247" s="134">
        <v>0</v>
      </c>
      <c r="O247" t="s">
        <v>639</v>
      </c>
      <c r="P247" t="s">
        <v>8922</v>
      </c>
      <c r="Q247" t="s">
        <v>1939</v>
      </c>
      <c r="R247" t="s">
        <v>8923</v>
      </c>
      <c r="T247">
        <v>10</v>
      </c>
      <c r="U247" t="s">
        <v>491</v>
      </c>
      <c r="X247">
        <v>0</v>
      </c>
    </row>
    <row r="248" spans="1:24" x14ac:dyDescent="0.25">
      <c r="A248" s="234">
        <v>43019</v>
      </c>
      <c r="B248" t="s">
        <v>5992</v>
      </c>
      <c r="C248" t="s">
        <v>608</v>
      </c>
      <c r="D248" t="s">
        <v>5270</v>
      </c>
      <c r="E248" t="s">
        <v>588</v>
      </c>
      <c r="F248" t="s">
        <v>8966</v>
      </c>
      <c r="H248" t="s">
        <v>607</v>
      </c>
      <c r="M248" s="134">
        <v>0</v>
      </c>
      <c r="N248" s="134">
        <v>0</v>
      </c>
      <c r="O248" t="s">
        <v>639</v>
      </c>
      <c r="P248" t="s">
        <v>8967</v>
      </c>
      <c r="Q248" t="s">
        <v>29</v>
      </c>
      <c r="R248" t="s">
        <v>8968</v>
      </c>
      <c r="U248" t="s">
        <v>491</v>
      </c>
      <c r="X248">
        <v>1</v>
      </c>
    </row>
    <row r="249" spans="1:24" x14ac:dyDescent="0.25">
      <c r="A249" s="234">
        <v>43024</v>
      </c>
      <c r="B249" t="s">
        <v>569</v>
      </c>
      <c r="C249" t="s">
        <v>899</v>
      </c>
      <c r="D249" t="s">
        <v>625</v>
      </c>
      <c r="E249" t="s">
        <v>588</v>
      </c>
      <c r="F249" t="s">
        <v>9020</v>
      </c>
      <c r="G249" t="s">
        <v>9021</v>
      </c>
      <c r="H249" t="s">
        <v>607</v>
      </c>
      <c r="I249" t="s">
        <v>9022</v>
      </c>
      <c r="J249" t="s">
        <v>899</v>
      </c>
      <c r="M249" s="134">
        <v>0</v>
      </c>
      <c r="N249" s="134">
        <v>0</v>
      </c>
      <c r="O249" t="s">
        <v>9026</v>
      </c>
      <c r="P249" t="s">
        <v>9024</v>
      </c>
      <c r="Q249" t="s">
        <v>29</v>
      </c>
      <c r="R249" t="s">
        <v>9025</v>
      </c>
      <c r="U249" t="s">
        <v>491</v>
      </c>
      <c r="X249">
        <v>1</v>
      </c>
    </row>
    <row r="250" spans="1:24" x14ac:dyDescent="0.25">
      <c r="A250" s="234">
        <v>43024</v>
      </c>
      <c r="B250" t="s">
        <v>328</v>
      </c>
      <c r="C250" t="s">
        <v>603</v>
      </c>
      <c r="D250" t="s">
        <v>672</v>
      </c>
      <c r="E250" t="s">
        <v>588</v>
      </c>
      <c r="F250" t="s">
        <v>9029</v>
      </c>
      <c r="G250" t="s">
        <v>9030</v>
      </c>
      <c r="H250" t="s">
        <v>607</v>
      </c>
      <c r="M250" s="134">
        <v>0</v>
      </c>
      <c r="N250" s="134">
        <v>0</v>
      </c>
      <c r="O250" t="s">
        <v>9031</v>
      </c>
      <c r="P250" t="s">
        <v>9032</v>
      </c>
      <c r="Q250" t="s">
        <v>1939</v>
      </c>
      <c r="R250" t="s">
        <v>9047</v>
      </c>
      <c r="S250" t="s">
        <v>9048</v>
      </c>
      <c r="U250" t="s">
        <v>491</v>
      </c>
      <c r="X250">
        <v>0</v>
      </c>
    </row>
    <row r="251" spans="1:24" x14ac:dyDescent="0.25">
      <c r="A251" s="234">
        <v>43024</v>
      </c>
      <c r="B251" t="s">
        <v>569</v>
      </c>
      <c r="C251" t="s">
        <v>899</v>
      </c>
      <c r="D251" t="s">
        <v>625</v>
      </c>
      <c r="E251" t="s">
        <v>588</v>
      </c>
      <c r="F251" t="s">
        <v>9041</v>
      </c>
      <c r="H251" t="s">
        <v>905</v>
      </c>
      <c r="I251" t="s">
        <v>2054</v>
      </c>
      <c r="J251" t="s">
        <v>899</v>
      </c>
      <c r="M251" s="134">
        <v>0</v>
      </c>
      <c r="N251" s="134">
        <v>0</v>
      </c>
      <c r="O251" t="s">
        <v>639</v>
      </c>
      <c r="P251" t="s">
        <v>9042</v>
      </c>
      <c r="Q251" t="s">
        <v>29</v>
      </c>
      <c r="R251" t="s">
        <v>9043</v>
      </c>
      <c r="U251" t="s">
        <v>491</v>
      </c>
      <c r="X251">
        <v>1</v>
      </c>
    </row>
    <row r="252" spans="1:24" x14ac:dyDescent="0.25">
      <c r="A252" s="234">
        <v>43025</v>
      </c>
      <c r="B252" t="s">
        <v>5176</v>
      </c>
      <c r="C252" t="s">
        <v>604</v>
      </c>
      <c r="D252" t="s">
        <v>595</v>
      </c>
      <c r="E252" t="s">
        <v>1707</v>
      </c>
      <c r="F252" t="s">
        <v>8966</v>
      </c>
      <c r="H252" t="s">
        <v>607</v>
      </c>
      <c r="M252" s="134">
        <v>0</v>
      </c>
      <c r="N252" s="134">
        <v>0</v>
      </c>
      <c r="O252" t="s">
        <v>3107</v>
      </c>
      <c r="P252" t="s">
        <v>9064</v>
      </c>
      <c r="Q252" t="s">
        <v>620</v>
      </c>
      <c r="R252" t="s">
        <v>9065</v>
      </c>
      <c r="U252" t="s">
        <v>491</v>
      </c>
      <c r="X252">
        <v>0</v>
      </c>
    </row>
    <row r="253" spans="1:24" x14ac:dyDescent="0.25">
      <c r="A253" s="234">
        <v>43027</v>
      </c>
      <c r="B253" t="s">
        <v>569</v>
      </c>
      <c r="C253" t="s">
        <v>899</v>
      </c>
      <c r="D253" t="s">
        <v>625</v>
      </c>
      <c r="E253" t="s">
        <v>821</v>
      </c>
      <c r="F253" t="s">
        <v>8966</v>
      </c>
      <c r="H253" t="s">
        <v>809</v>
      </c>
      <c r="M253" s="134">
        <v>0</v>
      </c>
      <c r="N253" s="134">
        <v>0</v>
      </c>
      <c r="O253" t="s">
        <v>9114</v>
      </c>
      <c r="P253" t="s">
        <v>9115</v>
      </c>
      <c r="Q253" t="s">
        <v>1939</v>
      </c>
      <c r="U253" t="s">
        <v>491</v>
      </c>
      <c r="X253">
        <v>0</v>
      </c>
    </row>
    <row r="254" spans="1:24" x14ac:dyDescent="0.25">
      <c r="A254" s="234">
        <v>43031</v>
      </c>
      <c r="B254" t="s">
        <v>569</v>
      </c>
      <c r="C254" t="s">
        <v>899</v>
      </c>
      <c r="D254" t="s">
        <v>625</v>
      </c>
      <c r="E254" t="s">
        <v>588</v>
      </c>
      <c r="F254" t="s">
        <v>9157</v>
      </c>
      <c r="G254" t="s">
        <v>9157</v>
      </c>
      <c r="H254" t="s">
        <v>1391</v>
      </c>
      <c r="I254" t="s">
        <v>4064</v>
      </c>
      <c r="J254" t="s">
        <v>899</v>
      </c>
      <c r="M254" s="134">
        <v>0</v>
      </c>
      <c r="N254" s="134">
        <v>0</v>
      </c>
      <c r="O254" t="s">
        <v>9159</v>
      </c>
      <c r="P254" t="s">
        <v>9278</v>
      </c>
      <c r="Q254" t="s">
        <v>1939</v>
      </c>
      <c r="R254" t="s">
        <v>9160</v>
      </c>
      <c r="U254" t="s">
        <v>1327</v>
      </c>
      <c r="X254">
        <v>0</v>
      </c>
    </row>
    <row r="255" spans="1:24" x14ac:dyDescent="0.25">
      <c r="A255" s="234">
        <v>43032</v>
      </c>
      <c r="B255" t="s">
        <v>569</v>
      </c>
      <c r="C255" t="s">
        <v>899</v>
      </c>
      <c r="D255" t="s">
        <v>930</v>
      </c>
      <c r="E255" t="s">
        <v>821</v>
      </c>
      <c r="F255" t="s">
        <v>9144</v>
      </c>
      <c r="H255" t="s">
        <v>886</v>
      </c>
      <c r="J255" t="s">
        <v>899</v>
      </c>
      <c r="M255" s="134">
        <v>0</v>
      </c>
      <c r="N255" s="134">
        <v>0</v>
      </c>
      <c r="O255" t="s">
        <v>9145</v>
      </c>
      <c r="P255" t="s">
        <v>9146</v>
      </c>
      <c r="Q255" t="s">
        <v>1939</v>
      </c>
      <c r="R255" t="s">
        <v>9148</v>
      </c>
      <c r="U255" t="s">
        <v>491</v>
      </c>
      <c r="X255">
        <v>0</v>
      </c>
    </row>
    <row r="256" spans="1:24" x14ac:dyDescent="0.25">
      <c r="A256" s="234">
        <v>43033</v>
      </c>
      <c r="B256" t="s">
        <v>569</v>
      </c>
      <c r="C256" t="s">
        <v>899</v>
      </c>
      <c r="D256" t="s">
        <v>930</v>
      </c>
      <c r="E256" t="s">
        <v>821</v>
      </c>
      <c r="F256" t="s">
        <v>9165</v>
      </c>
      <c r="G256" t="s">
        <v>9166</v>
      </c>
      <c r="H256" t="s">
        <v>607</v>
      </c>
      <c r="J256" t="s">
        <v>899</v>
      </c>
      <c r="M256" s="134">
        <v>0</v>
      </c>
      <c r="N256" s="134">
        <v>0</v>
      </c>
      <c r="O256" t="s">
        <v>9149</v>
      </c>
      <c r="P256" t="s">
        <v>9150</v>
      </c>
      <c r="Q256" t="s">
        <v>1612</v>
      </c>
      <c r="R256" t="s">
        <v>9167</v>
      </c>
      <c r="U256" t="s">
        <v>491</v>
      </c>
      <c r="X256">
        <v>0</v>
      </c>
    </row>
    <row r="257" spans="1:24" x14ac:dyDescent="0.25">
      <c r="A257" s="234">
        <v>43034</v>
      </c>
      <c r="B257" t="s">
        <v>5176</v>
      </c>
      <c r="C257" t="s">
        <v>959</v>
      </c>
      <c r="D257" t="s">
        <v>732</v>
      </c>
      <c r="E257" t="s">
        <v>588</v>
      </c>
      <c r="F257" t="s">
        <v>9161</v>
      </c>
      <c r="G257" t="s">
        <v>9162</v>
      </c>
      <c r="H257" t="s">
        <v>886</v>
      </c>
      <c r="I257" t="s">
        <v>9163</v>
      </c>
      <c r="J257" t="s">
        <v>959</v>
      </c>
      <c r="M257" s="134">
        <v>0</v>
      </c>
      <c r="N257" s="134">
        <v>0</v>
      </c>
      <c r="O257" t="s">
        <v>2455</v>
      </c>
      <c r="P257" t="s">
        <v>9283</v>
      </c>
      <c r="Q257" t="s">
        <v>592</v>
      </c>
      <c r="R257" t="s">
        <v>9284</v>
      </c>
      <c r="U257" t="s">
        <v>491</v>
      </c>
      <c r="X257">
        <v>0</v>
      </c>
    </row>
    <row r="258" spans="1:24" x14ac:dyDescent="0.25">
      <c r="A258" s="234">
        <v>43034</v>
      </c>
      <c r="B258" t="s">
        <v>6076</v>
      </c>
      <c r="C258" t="s">
        <v>3370</v>
      </c>
      <c r="D258" t="s">
        <v>2836</v>
      </c>
      <c r="E258" t="s">
        <v>588</v>
      </c>
      <c r="F258" t="s">
        <v>9182</v>
      </c>
      <c r="G258" t="s">
        <v>9183</v>
      </c>
      <c r="H258" t="s">
        <v>905</v>
      </c>
      <c r="I258" t="s">
        <v>9184</v>
      </c>
      <c r="J258" t="s">
        <v>3370</v>
      </c>
      <c r="M258" s="134">
        <v>0</v>
      </c>
      <c r="N258" s="134">
        <v>0</v>
      </c>
      <c r="O258" t="s">
        <v>4732</v>
      </c>
      <c r="P258" t="s">
        <v>9185</v>
      </c>
      <c r="Q258" t="s">
        <v>620</v>
      </c>
      <c r="R258" t="s">
        <v>9186</v>
      </c>
      <c r="U258" t="s">
        <v>1327</v>
      </c>
      <c r="X258">
        <v>0</v>
      </c>
    </row>
    <row r="259" spans="1:24" x14ac:dyDescent="0.25">
      <c r="A259" s="234">
        <v>43034</v>
      </c>
      <c r="B259" t="s">
        <v>5360</v>
      </c>
      <c r="C259" t="s">
        <v>899</v>
      </c>
      <c r="D259" t="s">
        <v>1027</v>
      </c>
      <c r="E259" t="s">
        <v>588</v>
      </c>
      <c r="F259" t="s">
        <v>9140</v>
      </c>
      <c r="G259" t="s">
        <v>6161</v>
      </c>
      <c r="H259" t="s">
        <v>607</v>
      </c>
      <c r="I259" t="s">
        <v>9197</v>
      </c>
      <c r="J259" t="s">
        <v>899</v>
      </c>
      <c r="M259" s="134">
        <v>0</v>
      </c>
      <c r="N259" s="134">
        <v>0</v>
      </c>
      <c r="O259" t="s">
        <v>9198</v>
      </c>
      <c r="P259" t="s">
        <v>9199</v>
      </c>
      <c r="Q259" t="s">
        <v>592</v>
      </c>
      <c r="R259" t="s">
        <v>9200</v>
      </c>
      <c r="U259" t="s">
        <v>1327</v>
      </c>
      <c r="X259">
        <v>0</v>
      </c>
    </row>
    <row r="260" spans="1:24" x14ac:dyDescent="0.25">
      <c r="A260" s="234">
        <v>43035</v>
      </c>
      <c r="B260" t="s">
        <v>569</v>
      </c>
      <c r="C260" t="s">
        <v>899</v>
      </c>
      <c r="D260" t="s">
        <v>625</v>
      </c>
      <c r="E260" t="s">
        <v>821</v>
      </c>
      <c r="F260" t="s">
        <v>8966</v>
      </c>
      <c r="H260" t="s">
        <v>905</v>
      </c>
      <c r="J260" t="s">
        <v>899</v>
      </c>
      <c r="M260" s="134">
        <v>0</v>
      </c>
      <c r="N260" s="134">
        <v>0</v>
      </c>
      <c r="O260" t="s">
        <v>639</v>
      </c>
      <c r="P260" t="s">
        <v>9180</v>
      </c>
      <c r="Q260" t="s">
        <v>592</v>
      </c>
      <c r="R260" t="s">
        <v>9181</v>
      </c>
      <c r="U260" t="s">
        <v>491</v>
      </c>
      <c r="X260">
        <v>0</v>
      </c>
    </row>
    <row r="261" spans="1:24" x14ac:dyDescent="0.25">
      <c r="A261" s="234">
        <v>43038</v>
      </c>
      <c r="B261" t="s">
        <v>643</v>
      </c>
      <c r="C261" t="s">
        <v>644</v>
      </c>
      <c r="D261" t="s">
        <v>645</v>
      </c>
      <c r="E261" t="s">
        <v>588</v>
      </c>
      <c r="F261" t="s">
        <v>9213</v>
      </c>
      <c r="G261" t="s">
        <v>9212</v>
      </c>
      <c r="H261" t="s">
        <v>1391</v>
      </c>
      <c r="M261" s="134">
        <v>0</v>
      </c>
      <c r="N261" s="134">
        <v>0</v>
      </c>
      <c r="O261" t="s">
        <v>9214</v>
      </c>
      <c r="P261" t="s">
        <v>9215</v>
      </c>
      <c r="Q261" t="s">
        <v>1939</v>
      </c>
      <c r="R261" t="s">
        <v>9282</v>
      </c>
      <c r="U261" t="s">
        <v>491</v>
      </c>
      <c r="X261">
        <v>0</v>
      </c>
    </row>
    <row r="262" spans="1:24" x14ac:dyDescent="0.25">
      <c r="A262" s="234">
        <v>43038</v>
      </c>
      <c r="B262" t="s">
        <v>569</v>
      </c>
      <c r="C262" t="s">
        <v>899</v>
      </c>
      <c r="D262" t="s">
        <v>625</v>
      </c>
      <c r="E262" t="s">
        <v>1707</v>
      </c>
      <c r="F262" t="s">
        <v>9233</v>
      </c>
      <c r="G262" t="s">
        <v>9480</v>
      </c>
      <c r="H262" t="s">
        <v>809</v>
      </c>
      <c r="I262" t="s">
        <v>3536</v>
      </c>
      <c r="J262" t="s">
        <v>899</v>
      </c>
      <c r="M262" s="134">
        <v>0</v>
      </c>
      <c r="N262" s="134">
        <v>0</v>
      </c>
      <c r="O262" t="s">
        <v>9225</v>
      </c>
      <c r="P262" t="s">
        <v>9226</v>
      </c>
      <c r="Q262" t="s">
        <v>29</v>
      </c>
      <c r="R262" t="s">
        <v>9481</v>
      </c>
      <c r="U262" t="s">
        <v>491</v>
      </c>
      <c r="X262">
        <v>1</v>
      </c>
    </row>
    <row r="263" spans="1:24" x14ac:dyDescent="0.25">
      <c r="A263" s="234">
        <v>43039</v>
      </c>
      <c r="B263" t="s">
        <v>569</v>
      </c>
      <c r="C263" t="s">
        <v>899</v>
      </c>
      <c r="D263" t="s">
        <v>625</v>
      </c>
      <c r="E263" t="s">
        <v>821</v>
      </c>
      <c r="F263" t="s">
        <v>9227</v>
      </c>
      <c r="H263" t="s">
        <v>1050</v>
      </c>
      <c r="I263" t="s">
        <v>3649</v>
      </c>
      <c r="J263" t="s">
        <v>899</v>
      </c>
      <c r="M263" s="134">
        <v>0</v>
      </c>
      <c r="N263" s="134">
        <v>0</v>
      </c>
      <c r="O263" t="s">
        <v>9229</v>
      </c>
      <c r="P263" t="s">
        <v>9230</v>
      </c>
      <c r="Q263" t="s">
        <v>1612</v>
      </c>
      <c r="R263" t="s">
        <v>9356</v>
      </c>
      <c r="U263" t="s">
        <v>491</v>
      </c>
      <c r="X263">
        <v>0</v>
      </c>
    </row>
    <row r="264" spans="1:24" x14ac:dyDescent="0.25">
      <c r="A264" s="234">
        <v>43039</v>
      </c>
      <c r="B264" t="s">
        <v>569</v>
      </c>
      <c r="C264" t="s">
        <v>899</v>
      </c>
      <c r="D264" t="s">
        <v>625</v>
      </c>
      <c r="E264" t="s">
        <v>821</v>
      </c>
      <c r="F264" t="s">
        <v>9228</v>
      </c>
      <c r="H264" t="s">
        <v>1050</v>
      </c>
      <c r="M264" s="134">
        <v>0</v>
      </c>
      <c r="N264" s="134">
        <v>0</v>
      </c>
      <c r="O264" t="s">
        <v>3848</v>
      </c>
      <c r="P264" t="s">
        <v>9231</v>
      </c>
      <c r="Q264" t="s">
        <v>1939</v>
      </c>
      <c r="R264" t="s">
        <v>9232</v>
      </c>
      <c r="U264" t="s">
        <v>491</v>
      </c>
      <c r="X264">
        <v>0</v>
      </c>
    </row>
    <row r="265" spans="1:24" x14ac:dyDescent="0.25">
      <c r="A265" s="234">
        <v>43039</v>
      </c>
      <c r="B265" t="s">
        <v>5956</v>
      </c>
      <c r="C265" t="s">
        <v>3369</v>
      </c>
      <c r="D265" t="s">
        <v>9234</v>
      </c>
      <c r="E265" t="s">
        <v>588</v>
      </c>
      <c r="F265" t="s">
        <v>9235</v>
      </c>
      <c r="G265" t="s">
        <v>9236</v>
      </c>
      <c r="H265" t="s">
        <v>905</v>
      </c>
      <c r="M265" s="134">
        <v>0</v>
      </c>
      <c r="N265" s="134">
        <v>0</v>
      </c>
      <c r="O265" t="s">
        <v>9237</v>
      </c>
      <c r="P265" t="s">
        <v>9238</v>
      </c>
      <c r="Q265" t="s">
        <v>1939</v>
      </c>
      <c r="R265" t="s">
        <v>9239</v>
      </c>
      <c r="U265" t="s">
        <v>491</v>
      </c>
      <c r="X265">
        <v>0</v>
      </c>
    </row>
    <row r="266" spans="1:24" x14ac:dyDescent="0.25">
      <c r="A266" s="234">
        <v>43039</v>
      </c>
      <c r="B266" t="s">
        <v>569</v>
      </c>
      <c r="C266" t="s">
        <v>899</v>
      </c>
      <c r="D266" t="s">
        <v>625</v>
      </c>
      <c r="E266" t="s">
        <v>821</v>
      </c>
      <c r="F266" t="s">
        <v>9251</v>
      </c>
      <c r="G266" t="s">
        <v>9252</v>
      </c>
      <c r="H266" t="s">
        <v>1391</v>
      </c>
      <c r="I266" t="s">
        <v>3649</v>
      </c>
      <c r="J266" t="s">
        <v>899</v>
      </c>
      <c r="M266" s="134">
        <v>0</v>
      </c>
      <c r="N266" s="134">
        <v>0</v>
      </c>
      <c r="O266" t="s">
        <v>1171</v>
      </c>
      <c r="P266" t="s">
        <v>9253</v>
      </c>
      <c r="Q266" t="s">
        <v>592</v>
      </c>
      <c r="R266" t="s">
        <v>9254</v>
      </c>
      <c r="U266" t="s">
        <v>491</v>
      </c>
      <c r="X266">
        <v>0</v>
      </c>
    </row>
    <row r="267" spans="1:24" x14ac:dyDescent="0.25">
      <c r="A267" s="234">
        <v>43040</v>
      </c>
      <c r="B267" t="s">
        <v>328</v>
      </c>
      <c r="C267" t="s">
        <v>603</v>
      </c>
      <c r="D267" t="s">
        <v>649</v>
      </c>
      <c r="E267" t="s">
        <v>588</v>
      </c>
      <c r="F267" t="s">
        <v>9266</v>
      </c>
      <c r="G267" t="s">
        <v>9267</v>
      </c>
      <c r="I267" t="s">
        <v>3620</v>
      </c>
      <c r="J267" t="s">
        <v>899</v>
      </c>
      <c r="M267" s="134">
        <v>0</v>
      </c>
      <c r="N267" s="134">
        <v>0</v>
      </c>
      <c r="O267" t="s">
        <v>9026</v>
      </c>
      <c r="P267" t="s">
        <v>9268</v>
      </c>
      <c r="Q267" t="s">
        <v>592</v>
      </c>
      <c r="S267" t="s">
        <v>9269</v>
      </c>
      <c r="U267" t="s">
        <v>491</v>
      </c>
      <c r="X267">
        <v>0</v>
      </c>
    </row>
    <row r="268" spans="1:24" x14ac:dyDescent="0.25">
      <c r="A268" s="234">
        <v>43040</v>
      </c>
      <c r="B268" t="s">
        <v>643</v>
      </c>
      <c r="C268" t="s">
        <v>644</v>
      </c>
      <c r="D268" t="s">
        <v>645</v>
      </c>
      <c r="E268" t="s">
        <v>588</v>
      </c>
      <c r="F268" t="s">
        <v>9310</v>
      </c>
      <c r="G268" t="s">
        <v>8486</v>
      </c>
      <c r="H268" t="s">
        <v>607</v>
      </c>
      <c r="I268" t="s">
        <v>5212</v>
      </c>
      <c r="J268" t="s">
        <v>644</v>
      </c>
      <c r="L268">
        <v>2</v>
      </c>
      <c r="M268" s="134">
        <v>0</v>
      </c>
      <c r="N268" s="134">
        <v>0</v>
      </c>
      <c r="O268" t="s">
        <v>3510</v>
      </c>
      <c r="P268" t="s">
        <v>9311</v>
      </c>
      <c r="Q268" t="s">
        <v>592</v>
      </c>
      <c r="R268" t="s">
        <v>9312</v>
      </c>
      <c r="U268" t="s">
        <v>1327</v>
      </c>
      <c r="X268">
        <v>0</v>
      </c>
    </row>
    <row r="269" spans="1:24" x14ac:dyDescent="0.25">
      <c r="A269" s="234">
        <v>43042</v>
      </c>
      <c r="B269" t="s">
        <v>5956</v>
      </c>
      <c r="C269" t="s">
        <v>3369</v>
      </c>
      <c r="D269" t="s">
        <v>9234</v>
      </c>
      <c r="E269" t="s">
        <v>588</v>
      </c>
      <c r="F269" t="s">
        <v>8966</v>
      </c>
      <c r="H269" t="s">
        <v>905</v>
      </c>
      <c r="M269" s="134">
        <v>0</v>
      </c>
      <c r="N269" s="134">
        <v>0</v>
      </c>
      <c r="O269" t="s">
        <v>9338</v>
      </c>
      <c r="P269" t="s">
        <v>9339</v>
      </c>
      <c r="Q269" t="s">
        <v>1939</v>
      </c>
      <c r="R269" t="s">
        <v>9340</v>
      </c>
      <c r="U269" t="s">
        <v>491</v>
      </c>
      <c r="X269">
        <v>0</v>
      </c>
    </row>
    <row r="270" spans="1:24" x14ac:dyDescent="0.25">
      <c r="A270" s="234">
        <v>43042</v>
      </c>
      <c r="B270" t="s">
        <v>5360</v>
      </c>
      <c r="C270" t="s">
        <v>899</v>
      </c>
      <c r="D270" t="s">
        <v>732</v>
      </c>
      <c r="E270" t="s">
        <v>588</v>
      </c>
      <c r="F270" t="s">
        <v>9341</v>
      </c>
      <c r="G270" t="s">
        <v>1229</v>
      </c>
      <c r="M270" s="134">
        <v>0</v>
      </c>
      <c r="N270" s="134">
        <v>0</v>
      </c>
      <c r="O270" t="s">
        <v>3785</v>
      </c>
      <c r="P270" t="s">
        <v>9342</v>
      </c>
      <c r="Q270" t="s">
        <v>592</v>
      </c>
      <c r="R270" t="s">
        <v>9343</v>
      </c>
      <c r="U270" t="s">
        <v>491</v>
      </c>
      <c r="X270">
        <v>0</v>
      </c>
    </row>
    <row r="271" spans="1:24" x14ac:dyDescent="0.25">
      <c r="A271" s="234">
        <v>43042</v>
      </c>
      <c r="B271" t="s">
        <v>328</v>
      </c>
      <c r="C271" t="s">
        <v>603</v>
      </c>
      <c r="D271" t="s">
        <v>649</v>
      </c>
      <c r="E271" t="s">
        <v>588</v>
      </c>
      <c r="F271" t="s">
        <v>9346</v>
      </c>
      <c r="H271" t="s">
        <v>905</v>
      </c>
      <c r="I271" t="s">
        <v>9347</v>
      </c>
      <c r="J271" t="s">
        <v>3612</v>
      </c>
      <c r="M271" s="134">
        <v>0</v>
      </c>
      <c r="N271" s="134">
        <v>0</v>
      </c>
      <c r="O271" t="s">
        <v>3107</v>
      </c>
      <c r="P271" t="s">
        <v>9348</v>
      </c>
      <c r="Q271" t="s">
        <v>1612</v>
      </c>
      <c r="R271" t="s">
        <v>9357</v>
      </c>
      <c r="U271" t="s">
        <v>491</v>
      </c>
      <c r="X271">
        <v>0</v>
      </c>
    </row>
    <row r="272" spans="1:24" x14ac:dyDescent="0.25">
      <c r="A272" s="234">
        <v>43047</v>
      </c>
      <c r="B272" t="s">
        <v>569</v>
      </c>
      <c r="C272" t="s">
        <v>899</v>
      </c>
      <c r="D272" t="s">
        <v>611</v>
      </c>
      <c r="E272" t="s">
        <v>588</v>
      </c>
      <c r="F272" t="s">
        <v>9378</v>
      </c>
      <c r="G272" t="s">
        <v>7814</v>
      </c>
      <c r="H272" t="s">
        <v>607</v>
      </c>
      <c r="J272" t="s">
        <v>899</v>
      </c>
      <c r="M272" s="134">
        <v>0</v>
      </c>
      <c r="N272" s="134">
        <v>0</v>
      </c>
      <c r="O272" t="s">
        <v>9379</v>
      </c>
      <c r="P272" t="s">
        <v>9380</v>
      </c>
      <c r="Q272" t="s">
        <v>1939</v>
      </c>
      <c r="R272" t="s">
        <v>9381</v>
      </c>
      <c r="U272" t="s">
        <v>491</v>
      </c>
      <c r="X272">
        <v>0</v>
      </c>
    </row>
    <row r="273" spans="1:24" x14ac:dyDescent="0.25">
      <c r="A273" s="234">
        <v>43048</v>
      </c>
      <c r="B273" t="s">
        <v>5176</v>
      </c>
      <c r="C273" t="s">
        <v>604</v>
      </c>
      <c r="D273" t="s">
        <v>595</v>
      </c>
      <c r="E273" t="s">
        <v>588</v>
      </c>
      <c r="H273" t="s">
        <v>809</v>
      </c>
      <c r="I273" t="s">
        <v>9396</v>
      </c>
      <c r="J273" t="s">
        <v>959</v>
      </c>
      <c r="M273" s="134">
        <v>0</v>
      </c>
      <c r="N273" s="134">
        <v>0</v>
      </c>
      <c r="O273" t="s">
        <v>9397</v>
      </c>
      <c r="P273" t="s">
        <v>9398</v>
      </c>
      <c r="Q273" t="s">
        <v>29</v>
      </c>
      <c r="R273" t="s">
        <v>9399</v>
      </c>
      <c r="U273" t="s">
        <v>1327</v>
      </c>
      <c r="X273">
        <v>1</v>
      </c>
    </row>
    <row r="274" spans="1:24" x14ac:dyDescent="0.25">
      <c r="A274" s="234">
        <v>43049</v>
      </c>
      <c r="B274" t="s">
        <v>569</v>
      </c>
      <c r="C274" t="s">
        <v>899</v>
      </c>
      <c r="D274" t="s">
        <v>930</v>
      </c>
      <c r="E274" t="s">
        <v>821</v>
      </c>
      <c r="F274" t="s">
        <v>9407</v>
      </c>
      <c r="G274" t="s">
        <v>9408</v>
      </c>
      <c r="H274" t="s">
        <v>886</v>
      </c>
      <c r="I274" t="s">
        <v>3536</v>
      </c>
      <c r="J274" t="s">
        <v>899</v>
      </c>
      <c r="M274" s="134">
        <v>0</v>
      </c>
      <c r="N274" s="134">
        <v>0</v>
      </c>
      <c r="O274" t="s">
        <v>695</v>
      </c>
      <c r="P274" t="s">
        <v>9409</v>
      </c>
      <c r="Q274" t="s">
        <v>592</v>
      </c>
      <c r="R274" t="s">
        <v>9410</v>
      </c>
      <c r="U274" t="s">
        <v>491</v>
      </c>
      <c r="X274">
        <v>0</v>
      </c>
    </row>
    <row r="275" spans="1:24" x14ac:dyDescent="0.25">
      <c r="A275" s="234">
        <v>43054</v>
      </c>
      <c r="B275" t="s">
        <v>569</v>
      </c>
      <c r="C275" t="s">
        <v>899</v>
      </c>
      <c r="D275" t="s">
        <v>930</v>
      </c>
      <c r="E275" t="s">
        <v>821</v>
      </c>
      <c r="F275" t="s">
        <v>9460</v>
      </c>
      <c r="G275" t="s">
        <v>9461</v>
      </c>
      <c r="H275" t="s">
        <v>905</v>
      </c>
      <c r="J275" t="s">
        <v>899</v>
      </c>
      <c r="M275" s="134">
        <v>0</v>
      </c>
      <c r="N275" s="134">
        <v>0</v>
      </c>
      <c r="O275" t="s">
        <v>9053</v>
      </c>
      <c r="P275" t="s">
        <v>9462</v>
      </c>
      <c r="Q275" t="s">
        <v>1939</v>
      </c>
      <c r="R275" t="s">
        <v>9463</v>
      </c>
      <c r="U275" t="s">
        <v>491</v>
      </c>
      <c r="X275">
        <v>0</v>
      </c>
    </row>
    <row r="276" spans="1:24" x14ac:dyDescent="0.25">
      <c r="A276" s="234">
        <v>43054</v>
      </c>
      <c r="B276" t="s">
        <v>569</v>
      </c>
      <c r="C276" t="s">
        <v>899</v>
      </c>
      <c r="D276" t="s">
        <v>930</v>
      </c>
      <c r="E276" t="s">
        <v>821</v>
      </c>
      <c r="F276" t="s">
        <v>9464</v>
      </c>
      <c r="G276" t="s">
        <v>9465</v>
      </c>
      <c r="H276" t="s">
        <v>905</v>
      </c>
      <c r="J276" t="s">
        <v>899</v>
      </c>
      <c r="M276" s="134">
        <v>0</v>
      </c>
      <c r="N276" s="134">
        <v>0</v>
      </c>
      <c r="O276" t="s">
        <v>7805</v>
      </c>
      <c r="P276" t="s">
        <v>9466</v>
      </c>
      <c r="Q276" t="s">
        <v>592</v>
      </c>
      <c r="U276" t="s">
        <v>491</v>
      </c>
      <c r="X276">
        <v>0</v>
      </c>
    </row>
    <row r="277" spans="1:24" x14ac:dyDescent="0.25">
      <c r="A277" s="234">
        <v>43054</v>
      </c>
      <c r="B277" t="s">
        <v>5176</v>
      </c>
      <c r="C277" t="s">
        <v>604</v>
      </c>
      <c r="D277" t="s">
        <v>595</v>
      </c>
      <c r="E277" t="s">
        <v>821</v>
      </c>
      <c r="F277" t="s">
        <v>8966</v>
      </c>
      <c r="H277" t="s">
        <v>607</v>
      </c>
      <c r="J277" t="s">
        <v>604</v>
      </c>
      <c r="M277" s="134">
        <v>0</v>
      </c>
      <c r="N277" s="134">
        <v>0</v>
      </c>
      <c r="O277" t="s">
        <v>9467</v>
      </c>
      <c r="P277" t="s">
        <v>9468</v>
      </c>
      <c r="Q277" t="s">
        <v>1939</v>
      </c>
      <c r="R277" t="s">
        <v>9469</v>
      </c>
      <c r="U277" t="s">
        <v>491</v>
      </c>
      <c r="X277">
        <v>0</v>
      </c>
    </row>
    <row r="278" spans="1:24" x14ac:dyDescent="0.25">
      <c r="A278" s="234">
        <v>43055</v>
      </c>
      <c r="B278" t="s">
        <v>569</v>
      </c>
      <c r="C278" t="s">
        <v>899</v>
      </c>
      <c r="D278" t="s">
        <v>625</v>
      </c>
      <c r="E278" t="s">
        <v>821</v>
      </c>
      <c r="F278" t="s">
        <v>9473</v>
      </c>
      <c r="G278" t="s">
        <v>7172</v>
      </c>
      <c r="H278" t="s">
        <v>607</v>
      </c>
      <c r="M278" s="134">
        <v>0</v>
      </c>
      <c r="N278" s="134">
        <v>0</v>
      </c>
      <c r="O278" t="s">
        <v>695</v>
      </c>
      <c r="P278" t="s">
        <v>9474</v>
      </c>
      <c r="Q278" t="s">
        <v>592</v>
      </c>
      <c r="R278" t="s">
        <v>9475</v>
      </c>
      <c r="U278" t="s">
        <v>491</v>
      </c>
      <c r="X278">
        <v>0</v>
      </c>
    </row>
    <row r="279" spans="1:24" x14ac:dyDescent="0.25">
      <c r="A279" s="234">
        <v>43060</v>
      </c>
      <c r="B279" t="s">
        <v>569</v>
      </c>
      <c r="C279" t="s">
        <v>899</v>
      </c>
      <c r="D279" t="s">
        <v>624</v>
      </c>
      <c r="E279" t="s">
        <v>588</v>
      </c>
      <c r="F279" t="s">
        <v>9528</v>
      </c>
      <c r="G279" t="s">
        <v>9529</v>
      </c>
      <c r="H279" t="s">
        <v>607</v>
      </c>
      <c r="I279" t="s">
        <v>9530</v>
      </c>
      <c r="J279" t="s">
        <v>899</v>
      </c>
      <c r="L279">
        <v>3</v>
      </c>
      <c r="M279" s="134">
        <v>0</v>
      </c>
      <c r="N279" s="134">
        <v>0</v>
      </c>
      <c r="O279" t="s">
        <v>2928</v>
      </c>
      <c r="P279" t="s">
        <v>9531</v>
      </c>
      <c r="Q279" t="s">
        <v>1939</v>
      </c>
      <c r="R279" t="s">
        <v>9532</v>
      </c>
      <c r="U279" t="s">
        <v>1327</v>
      </c>
      <c r="X279">
        <v>0</v>
      </c>
    </row>
    <row r="280" spans="1:24" x14ac:dyDescent="0.25">
      <c r="A280" s="234">
        <v>43067</v>
      </c>
      <c r="B280" t="s">
        <v>569</v>
      </c>
      <c r="C280" t="s">
        <v>899</v>
      </c>
      <c r="D280" t="s">
        <v>930</v>
      </c>
      <c r="E280" t="s">
        <v>821</v>
      </c>
      <c r="F280" t="s">
        <v>4740</v>
      </c>
      <c r="G280" t="s">
        <v>8289</v>
      </c>
      <c r="H280" t="s">
        <v>607</v>
      </c>
      <c r="J280" t="s">
        <v>899</v>
      </c>
      <c r="M280" s="134">
        <v>0</v>
      </c>
      <c r="N280" s="134">
        <v>0</v>
      </c>
      <c r="O280" t="s">
        <v>7074</v>
      </c>
      <c r="P280" t="s">
        <v>9559</v>
      </c>
      <c r="Q280" t="s">
        <v>592</v>
      </c>
      <c r="U280" t="s">
        <v>491</v>
      </c>
      <c r="X280">
        <v>0</v>
      </c>
    </row>
    <row r="281" spans="1:24" x14ac:dyDescent="0.25">
      <c r="A281" s="234">
        <v>43070</v>
      </c>
      <c r="B281" t="s">
        <v>5176</v>
      </c>
      <c r="C281" t="s">
        <v>604</v>
      </c>
      <c r="D281" t="s">
        <v>595</v>
      </c>
      <c r="E281" t="s">
        <v>1707</v>
      </c>
      <c r="F281" t="s">
        <v>9582</v>
      </c>
      <c r="G281" t="s">
        <v>9583</v>
      </c>
      <c r="H281" t="s">
        <v>8335</v>
      </c>
      <c r="I281" t="s">
        <v>1487</v>
      </c>
      <c r="J281" t="s">
        <v>604</v>
      </c>
      <c r="L281" t="s">
        <v>833</v>
      </c>
      <c r="M281" s="134">
        <v>0</v>
      </c>
      <c r="N281" s="134">
        <v>0</v>
      </c>
      <c r="O281" t="s">
        <v>6745</v>
      </c>
      <c r="P281" t="s">
        <v>9584</v>
      </c>
      <c r="Q281" t="s">
        <v>1939</v>
      </c>
      <c r="R281" t="s">
        <v>9585</v>
      </c>
      <c r="U281" t="s">
        <v>491</v>
      </c>
      <c r="X281">
        <v>0</v>
      </c>
    </row>
    <row r="282" spans="1:24" x14ac:dyDescent="0.25">
      <c r="A282" s="234">
        <v>43073</v>
      </c>
      <c r="B282" t="s">
        <v>5176</v>
      </c>
      <c r="C282" t="s">
        <v>604</v>
      </c>
      <c r="D282" t="s">
        <v>595</v>
      </c>
      <c r="E282" t="s">
        <v>588</v>
      </c>
      <c r="H282" t="s">
        <v>1391</v>
      </c>
      <c r="I282" t="s">
        <v>9656</v>
      </c>
      <c r="J282" t="s">
        <v>604</v>
      </c>
      <c r="L282">
        <v>10</v>
      </c>
      <c r="M282" s="134">
        <v>0</v>
      </c>
      <c r="N282" s="134">
        <v>0</v>
      </c>
      <c r="O282" t="s">
        <v>7124</v>
      </c>
      <c r="P282" t="s">
        <v>9658</v>
      </c>
      <c r="Q282" t="s">
        <v>620</v>
      </c>
      <c r="R282" t="s">
        <v>9657</v>
      </c>
      <c r="U282" t="s">
        <v>1327</v>
      </c>
      <c r="X282">
        <v>0</v>
      </c>
    </row>
    <row r="283" spans="1:24" x14ac:dyDescent="0.25">
      <c r="A283" s="234">
        <v>43077</v>
      </c>
      <c r="B283" t="s">
        <v>5992</v>
      </c>
      <c r="C283" t="s">
        <v>608</v>
      </c>
      <c r="D283" t="s">
        <v>7858</v>
      </c>
      <c r="E283" t="s">
        <v>588</v>
      </c>
      <c r="F283" t="s">
        <v>8776</v>
      </c>
      <c r="G283" t="s">
        <v>9706</v>
      </c>
      <c r="H283" t="s">
        <v>607</v>
      </c>
      <c r="J283" t="s">
        <v>608</v>
      </c>
      <c r="M283" s="134">
        <v>0</v>
      </c>
      <c r="N283" s="134">
        <v>0</v>
      </c>
      <c r="O283" t="s">
        <v>9707</v>
      </c>
      <c r="P283" t="s">
        <v>9708</v>
      </c>
      <c r="Q283" t="s">
        <v>592</v>
      </c>
      <c r="R283" t="s">
        <v>9709</v>
      </c>
      <c r="U283" t="s">
        <v>1327</v>
      </c>
      <c r="X283">
        <v>0</v>
      </c>
    </row>
    <row r="284" spans="1:24" x14ac:dyDescent="0.25">
      <c r="A284" s="234">
        <v>43082</v>
      </c>
      <c r="B284" t="s">
        <v>569</v>
      </c>
      <c r="C284" t="s">
        <v>899</v>
      </c>
      <c r="D284" t="s">
        <v>625</v>
      </c>
      <c r="E284" t="s">
        <v>588</v>
      </c>
      <c r="F284" t="s">
        <v>9923</v>
      </c>
      <c r="G284" t="s">
        <v>833</v>
      </c>
      <c r="H284" t="s">
        <v>905</v>
      </c>
      <c r="I284" t="s">
        <v>491</v>
      </c>
      <c r="J284" t="s">
        <v>899</v>
      </c>
      <c r="M284" s="134">
        <v>0</v>
      </c>
      <c r="N284" s="134">
        <v>0</v>
      </c>
      <c r="O284" t="s">
        <v>1013</v>
      </c>
      <c r="P284" t="s">
        <v>9924</v>
      </c>
      <c r="Q284" t="s">
        <v>620</v>
      </c>
      <c r="R284" t="s">
        <v>9771</v>
      </c>
      <c r="U284" t="s">
        <v>1327</v>
      </c>
      <c r="X284">
        <v>0</v>
      </c>
    </row>
    <row r="285" spans="1:24" x14ac:dyDescent="0.25">
      <c r="A285" s="234">
        <v>43089</v>
      </c>
      <c r="B285" t="s">
        <v>569</v>
      </c>
      <c r="C285" t="s">
        <v>899</v>
      </c>
      <c r="D285" t="s">
        <v>625</v>
      </c>
      <c r="E285" t="s">
        <v>588</v>
      </c>
      <c r="F285" t="s">
        <v>9525</v>
      </c>
      <c r="G285" t="s">
        <v>9797</v>
      </c>
      <c r="H285" t="s">
        <v>905</v>
      </c>
      <c r="M285" s="134">
        <v>0</v>
      </c>
      <c r="N285" s="134">
        <v>0</v>
      </c>
      <c r="O285" t="s">
        <v>639</v>
      </c>
      <c r="P285" t="s">
        <v>9798</v>
      </c>
      <c r="Q285" t="s">
        <v>592</v>
      </c>
      <c r="R285" t="s">
        <v>9799</v>
      </c>
      <c r="U285" t="s">
        <v>491</v>
      </c>
      <c r="X285">
        <v>0</v>
      </c>
    </row>
    <row r="286" spans="1:24" x14ac:dyDescent="0.25">
      <c r="A286" s="234">
        <v>43089</v>
      </c>
      <c r="B286" t="s">
        <v>5176</v>
      </c>
      <c r="C286" t="s">
        <v>959</v>
      </c>
      <c r="D286" t="s">
        <v>732</v>
      </c>
      <c r="E286" t="s">
        <v>588</v>
      </c>
      <c r="F286" t="s">
        <v>9805</v>
      </c>
      <c r="G286" t="s">
        <v>9806</v>
      </c>
      <c r="H286" t="s">
        <v>1050</v>
      </c>
      <c r="M286" s="134">
        <v>0</v>
      </c>
      <c r="N286" s="134">
        <v>0</v>
      </c>
      <c r="O286" t="s">
        <v>9807</v>
      </c>
      <c r="P286" t="s">
        <v>9808</v>
      </c>
      <c r="Q286" t="s">
        <v>1939</v>
      </c>
      <c r="R286" t="s">
        <v>9809</v>
      </c>
      <c r="U286" t="s">
        <v>491</v>
      </c>
      <c r="X286">
        <v>0</v>
      </c>
    </row>
    <row r="287" spans="1:24" x14ac:dyDescent="0.25">
      <c r="A287" s="234">
        <v>43090</v>
      </c>
      <c r="B287" t="s">
        <v>5176</v>
      </c>
      <c r="C287" t="s">
        <v>604</v>
      </c>
      <c r="D287" t="s">
        <v>727</v>
      </c>
      <c r="E287" t="s">
        <v>588</v>
      </c>
      <c r="F287" t="s">
        <v>9815</v>
      </c>
      <c r="H287" t="s">
        <v>809</v>
      </c>
      <c r="I287" t="s">
        <v>9816</v>
      </c>
      <c r="J287" t="s">
        <v>4785</v>
      </c>
      <c r="M287" s="134">
        <v>0</v>
      </c>
      <c r="N287" s="134">
        <v>0</v>
      </c>
      <c r="O287" t="s">
        <v>9817</v>
      </c>
      <c r="P287" t="s">
        <v>9818</v>
      </c>
      <c r="Q287" t="s">
        <v>620</v>
      </c>
      <c r="U287" t="s">
        <v>491</v>
      </c>
      <c r="X287">
        <v>0</v>
      </c>
    </row>
    <row r="288" spans="1:24" x14ac:dyDescent="0.25">
      <c r="A288" s="234">
        <v>43096</v>
      </c>
      <c r="B288" t="s">
        <v>569</v>
      </c>
      <c r="C288" t="s">
        <v>899</v>
      </c>
      <c r="D288" t="s">
        <v>624</v>
      </c>
      <c r="E288" t="s">
        <v>588</v>
      </c>
      <c r="F288" t="s">
        <v>9877</v>
      </c>
      <c r="G288" t="s">
        <v>9878</v>
      </c>
      <c r="H288" t="s">
        <v>607</v>
      </c>
      <c r="I288" t="s">
        <v>2054</v>
      </c>
      <c r="J288" t="s">
        <v>899</v>
      </c>
      <c r="M288" s="134">
        <v>0</v>
      </c>
      <c r="N288" s="134">
        <v>0</v>
      </c>
      <c r="O288" t="s">
        <v>9865</v>
      </c>
      <c r="P288" t="s">
        <v>9879</v>
      </c>
      <c r="Q288" t="s">
        <v>1939</v>
      </c>
      <c r="R288" t="s">
        <v>9880</v>
      </c>
      <c r="U288" t="s">
        <v>491</v>
      </c>
      <c r="X288">
        <v>0</v>
      </c>
    </row>
    <row r="289" spans="1:24" x14ac:dyDescent="0.25">
      <c r="A289" s="234">
        <v>42580</v>
      </c>
      <c r="B289" t="s">
        <v>378</v>
      </c>
      <c r="C289" t="s">
        <v>623</v>
      </c>
      <c r="D289" t="s">
        <v>930</v>
      </c>
      <c r="E289" t="s">
        <v>821</v>
      </c>
      <c r="F289" t="s">
        <v>3114</v>
      </c>
      <c r="H289" t="s">
        <v>3115</v>
      </c>
      <c r="M289" s="134">
        <v>0</v>
      </c>
      <c r="N289" s="134">
        <v>0</v>
      </c>
      <c r="O289" t="s">
        <v>3116</v>
      </c>
      <c r="P289" t="s">
        <v>3117</v>
      </c>
      <c r="Q289" t="s">
        <v>592</v>
      </c>
      <c r="U289" t="s">
        <v>491</v>
      </c>
      <c r="X289">
        <v>0</v>
      </c>
    </row>
    <row r="290" spans="1:24" x14ac:dyDescent="0.25">
      <c r="A290" s="234">
        <v>42374</v>
      </c>
      <c r="B290" t="s">
        <v>594</v>
      </c>
      <c r="C290" t="s">
        <v>604</v>
      </c>
      <c r="D290" t="s">
        <v>595</v>
      </c>
      <c r="E290" t="s">
        <v>588</v>
      </c>
      <c r="F290" t="s">
        <v>638</v>
      </c>
      <c r="H290" t="s">
        <v>627</v>
      </c>
      <c r="I290" t="s">
        <v>660</v>
      </c>
      <c r="M290" s="134">
        <v>0</v>
      </c>
      <c r="N290" s="134">
        <v>0</v>
      </c>
      <c r="O290" t="s">
        <v>639</v>
      </c>
      <c r="P290" t="s">
        <v>640</v>
      </c>
      <c r="Q290" t="s">
        <v>592</v>
      </c>
      <c r="R290" t="s">
        <v>641</v>
      </c>
      <c r="U290" t="s">
        <v>491</v>
      </c>
      <c r="X290">
        <v>0</v>
      </c>
    </row>
    <row r="291" spans="1:24" x14ac:dyDescent="0.25">
      <c r="A291" s="234">
        <v>42376</v>
      </c>
      <c r="B291" t="s">
        <v>328</v>
      </c>
      <c r="C291" t="s">
        <v>603</v>
      </c>
      <c r="D291" t="s">
        <v>649</v>
      </c>
      <c r="E291" t="s">
        <v>588</v>
      </c>
      <c r="F291" t="s">
        <v>650</v>
      </c>
      <c r="H291" t="s">
        <v>651</v>
      </c>
      <c r="I291" t="s">
        <v>658</v>
      </c>
      <c r="M291" s="134">
        <v>0</v>
      </c>
      <c r="N291" s="134">
        <v>0</v>
      </c>
      <c r="O291" t="s">
        <v>654</v>
      </c>
      <c r="P291" t="s">
        <v>652</v>
      </c>
      <c r="Q291" t="s">
        <v>29</v>
      </c>
      <c r="R291" t="s">
        <v>653</v>
      </c>
      <c r="S291" t="s">
        <v>753</v>
      </c>
      <c r="U291" t="s">
        <v>491</v>
      </c>
      <c r="X291">
        <v>1</v>
      </c>
    </row>
    <row r="292" spans="1:24" x14ac:dyDescent="0.25">
      <c r="A292" s="234">
        <v>42380</v>
      </c>
      <c r="B292" t="s">
        <v>328</v>
      </c>
      <c r="C292" t="s">
        <v>603</v>
      </c>
      <c r="D292" t="s">
        <v>649</v>
      </c>
      <c r="E292" t="s">
        <v>588</v>
      </c>
      <c r="F292" t="s">
        <v>688</v>
      </c>
      <c r="H292" t="s">
        <v>607</v>
      </c>
      <c r="M292" s="134">
        <v>0</v>
      </c>
      <c r="N292" s="134">
        <v>0</v>
      </c>
      <c r="O292" t="s">
        <v>689</v>
      </c>
      <c r="P292" t="s">
        <v>691</v>
      </c>
      <c r="Q292" t="s">
        <v>592</v>
      </c>
      <c r="R292" t="s">
        <v>690</v>
      </c>
      <c r="U292" t="s">
        <v>491</v>
      </c>
      <c r="X292">
        <v>0</v>
      </c>
    </row>
    <row r="293" spans="1:24" x14ac:dyDescent="0.25">
      <c r="A293" s="234">
        <v>42383</v>
      </c>
      <c r="B293" t="s">
        <v>328</v>
      </c>
      <c r="C293" t="s">
        <v>603</v>
      </c>
      <c r="D293" t="s">
        <v>649</v>
      </c>
      <c r="E293" t="s">
        <v>588</v>
      </c>
      <c r="F293" t="s">
        <v>745</v>
      </c>
      <c r="H293" t="s">
        <v>627</v>
      </c>
      <c r="M293" s="134">
        <v>0</v>
      </c>
      <c r="N293" s="134">
        <v>0</v>
      </c>
      <c r="O293" t="s">
        <v>746</v>
      </c>
      <c r="P293" t="s">
        <v>747</v>
      </c>
      <c r="Q293" t="s">
        <v>620</v>
      </c>
      <c r="R293" t="s">
        <v>862</v>
      </c>
      <c r="U293" t="s">
        <v>491</v>
      </c>
      <c r="X293">
        <v>0</v>
      </c>
    </row>
    <row r="294" spans="1:24" x14ac:dyDescent="0.25">
      <c r="A294" s="234">
        <v>42383</v>
      </c>
      <c r="B294" t="s">
        <v>110</v>
      </c>
      <c r="D294" t="s">
        <v>715</v>
      </c>
      <c r="E294" t="s">
        <v>588</v>
      </c>
      <c r="F294" t="s">
        <v>738</v>
      </c>
      <c r="H294" t="s">
        <v>607</v>
      </c>
      <c r="I294" t="s">
        <v>739</v>
      </c>
      <c r="M294" s="134">
        <v>0</v>
      </c>
      <c r="N294" s="134">
        <v>0</v>
      </c>
      <c r="O294" t="s">
        <v>740</v>
      </c>
      <c r="Q294" t="s">
        <v>29</v>
      </c>
      <c r="R294" t="s">
        <v>741</v>
      </c>
      <c r="U294" t="s">
        <v>491</v>
      </c>
      <c r="X294">
        <v>1</v>
      </c>
    </row>
    <row r="295" spans="1:24" x14ac:dyDescent="0.25">
      <c r="A295" s="234">
        <v>42383</v>
      </c>
      <c r="B295" t="s">
        <v>378</v>
      </c>
      <c r="C295" t="s">
        <v>623</v>
      </c>
      <c r="D295" t="s">
        <v>625</v>
      </c>
      <c r="E295" t="s">
        <v>588</v>
      </c>
      <c r="F295" t="s">
        <v>543</v>
      </c>
      <c r="H295" t="s">
        <v>742</v>
      </c>
      <c r="I295" t="s">
        <v>743</v>
      </c>
      <c r="M295" s="134">
        <v>0</v>
      </c>
      <c r="N295" s="134">
        <v>0</v>
      </c>
      <c r="O295" t="s">
        <v>744</v>
      </c>
      <c r="P295" t="s">
        <v>860</v>
      </c>
      <c r="Q295" t="s">
        <v>592</v>
      </c>
      <c r="R295" t="s">
        <v>861</v>
      </c>
      <c r="U295" t="s">
        <v>491</v>
      </c>
      <c r="X295">
        <v>0</v>
      </c>
    </row>
    <row r="296" spans="1:24" x14ac:dyDescent="0.25">
      <c r="A296" s="234">
        <v>42384</v>
      </c>
      <c r="B296" t="s">
        <v>378</v>
      </c>
      <c r="C296" t="s">
        <v>623</v>
      </c>
      <c r="D296" t="s">
        <v>625</v>
      </c>
      <c r="E296" t="s">
        <v>588</v>
      </c>
      <c r="H296" t="s">
        <v>607</v>
      </c>
      <c r="M296" s="134">
        <v>0</v>
      </c>
      <c r="N296" s="134">
        <v>0</v>
      </c>
      <c r="O296" t="s">
        <v>754</v>
      </c>
      <c r="P296" t="s">
        <v>755</v>
      </c>
      <c r="Q296" t="s">
        <v>592</v>
      </c>
      <c r="U296" t="s">
        <v>491</v>
      </c>
      <c r="X296">
        <v>0</v>
      </c>
    </row>
    <row r="297" spans="1:24" x14ac:dyDescent="0.25">
      <c r="A297" s="234">
        <v>42395</v>
      </c>
      <c r="B297" t="s">
        <v>328</v>
      </c>
      <c r="C297" t="s">
        <v>603</v>
      </c>
      <c r="D297" t="s">
        <v>757</v>
      </c>
      <c r="E297" t="s">
        <v>821</v>
      </c>
      <c r="F297" t="s">
        <v>822</v>
      </c>
      <c r="H297" t="s">
        <v>627</v>
      </c>
      <c r="I297" t="s">
        <v>823</v>
      </c>
      <c r="M297" s="134">
        <v>0</v>
      </c>
      <c r="N297" s="134">
        <v>0</v>
      </c>
      <c r="O297" t="s">
        <v>825</v>
      </c>
      <c r="P297" t="s">
        <v>824</v>
      </c>
      <c r="Q297" t="s">
        <v>592</v>
      </c>
      <c r="U297" t="s">
        <v>491</v>
      </c>
      <c r="X297">
        <v>0</v>
      </c>
    </row>
    <row r="298" spans="1:24" x14ac:dyDescent="0.25">
      <c r="A298" s="234">
        <v>42404</v>
      </c>
      <c r="B298" t="s">
        <v>378</v>
      </c>
      <c r="C298" t="s">
        <v>623</v>
      </c>
      <c r="D298" t="s">
        <v>930</v>
      </c>
      <c r="E298" t="s">
        <v>588</v>
      </c>
      <c r="F298" t="s">
        <v>931</v>
      </c>
      <c r="H298" t="s">
        <v>607</v>
      </c>
      <c r="I298" t="s">
        <v>899</v>
      </c>
      <c r="M298" s="134">
        <v>0</v>
      </c>
      <c r="N298" s="134">
        <v>0</v>
      </c>
      <c r="O298" t="s">
        <v>754</v>
      </c>
      <c r="P298" t="s">
        <v>932</v>
      </c>
      <c r="Q298" t="s">
        <v>29</v>
      </c>
      <c r="R298" t="s">
        <v>933</v>
      </c>
      <c r="U298" t="s">
        <v>491</v>
      </c>
      <c r="X298">
        <v>1</v>
      </c>
    </row>
    <row r="299" spans="1:24" x14ac:dyDescent="0.25">
      <c r="A299" s="234">
        <v>42410</v>
      </c>
      <c r="B299" t="s">
        <v>594</v>
      </c>
      <c r="C299" t="s">
        <v>959</v>
      </c>
      <c r="D299" t="s">
        <v>732</v>
      </c>
      <c r="E299" t="s">
        <v>692</v>
      </c>
      <c r="H299" t="s">
        <v>960</v>
      </c>
      <c r="I299" t="s">
        <v>959</v>
      </c>
      <c r="M299" s="134">
        <v>0</v>
      </c>
      <c r="N299" s="134">
        <v>0</v>
      </c>
      <c r="O299" t="s">
        <v>960</v>
      </c>
      <c r="P299" t="s">
        <v>961</v>
      </c>
      <c r="Q299" t="s">
        <v>29</v>
      </c>
      <c r="R299" t="s">
        <v>962</v>
      </c>
      <c r="U299" t="s">
        <v>491</v>
      </c>
      <c r="X299">
        <v>1</v>
      </c>
    </row>
    <row r="300" spans="1:24" x14ac:dyDescent="0.25">
      <c r="A300" s="234">
        <v>42424</v>
      </c>
      <c r="B300" t="s">
        <v>378</v>
      </c>
      <c r="C300" t="s">
        <v>623</v>
      </c>
      <c r="D300" t="s">
        <v>800</v>
      </c>
      <c r="E300" t="s">
        <v>588</v>
      </c>
      <c r="F300" t="s">
        <v>1118</v>
      </c>
      <c r="H300" t="s">
        <v>1119</v>
      </c>
      <c r="I300" t="s">
        <v>1136</v>
      </c>
      <c r="M300" s="134">
        <v>0</v>
      </c>
      <c r="N300" s="134">
        <v>0</v>
      </c>
      <c r="O300" t="s">
        <v>1120</v>
      </c>
      <c r="P300" t="s">
        <v>1121</v>
      </c>
      <c r="Q300" t="s">
        <v>29</v>
      </c>
      <c r="R300" t="s">
        <v>1127</v>
      </c>
      <c r="U300" t="s">
        <v>491</v>
      </c>
      <c r="X300">
        <v>1</v>
      </c>
    </row>
    <row r="301" spans="1:24" x14ac:dyDescent="0.25">
      <c r="A301" s="234">
        <v>42459</v>
      </c>
      <c r="B301" t="s">
        <v>378</v>
      </c>
      <c r="C301" t="s">
        <v>623</v>
      </c>
      <c r="D301" t="s">
        <v>624</v>
      </c>
      <c r="E301" t="s">
        <v>821</v>
      </c>
      <c r="H301" t="s">
        <v>1050</v>
      </c>
      <c r="I301" t="s">
        <v>1452</v>
      </c>
      <c r="M301" s="134">
        <v>0</v>
      </c>
      <c r="N301" s="134">
        <v>0</v>
      </c>
      <c r="O301" t="s">
        <v>1453</v>
      </c>
      <c r="P301" t="s">
        <v>1454</v>
      </c>
      <c r="Q301" t="s">
        <v>29</v>
      </c>
      <c r="R301" t="s">
        <v>1455</v>
      </c>
      <c r="U301" t="s">
        <v>491</v>
      </c>
      <c r="X301">
        <v>1</v>
      </c>
    </row>
    <row r="302" spans="1:24" x14ac:dyDescent="0.25">
      <c r="A302" s="234">
        <v>42464</v>
      </c>
      <c r="B302" t="s">
        <v>378</v>
      </c>
      <c r="C302" t="s">
        <v>623</v>
      </c>
      <c r="D302" t="s">
        <v>625</v>
      </c>
      <c r="E302" t="s">
        <v>588</v>
      </c>
      <c r="F302" t="s">
        <v>1505</v>
      </c>
      <c r="H302" t="s">
        <v>607</v>
      </c>
      <c r="I302" t="s">
        <v>1506</v>
      </c>
      <c r="M302" s="134">
        <v>0</v>
      </c>
      <c r="N302" s="134">
        <v>0</v>
      </c>
      <c r="O302" t="s">
        <v>1507</v>
      </c>
      <c r="P302" t="s">
        <v>1508</v>
      </c>
      <c r="Q302" t="s">
        <v>592</v>
      </c>
      <c r="U302" t="s">
        <v>491</v>
      </c>
      <c r="X302">
        <v>0</v>
      </c>
    </row>
    <row r="303" spans="1:24" x14ac:dyDescent="0.25">
      <c r="A303" s="234">
        <v>42464</v>
      </c>
      <c r="B303" t="s">
        <v>378</v>
      </c>
      <c r="C303" t="s">
        <v>623</v>
      </c>
      <c r="D303" t="s">
        <v>624</v>
      </c>
      <c r="E303" t="s">
        <v>588</v>
      </c>
      <c r="H303" t="s">
        <v>905</v>
      </c>
      <c r="I303" t="s">
        <v>1452</v>
      </c>
      <c r="M303" s="134">
        <v>0</v>
      </c>
      <c r="N303" s="134">
        <v>0</v>
      </c>
      <c r="O303" t="s">
        <v>1516</v>
      </c>
      <c r="P303" t="s">
        <v>1517</v>
      </c>
      <c r="Q303" t="s">
        <v>592</v>
      </c>
      <c r="R303" t="s">
        <v>1518</v>
      </c>
      <c r="U303" t="s">
        <v>491</v>
      </c>
      <c r="X303">
        <v>0</v>
      </c>
    </row>
    <row r="304" spans="1:24" x14ac:dyDescent="0.25">
      <c r="A304" s="234">
        <v>42465</v>
      </c>
      <c r="B304" t="s">
        <v>328</v>
      </c>
      <c r="C304" t="s">
        <v>603</v>
      </c>
      <c r="D304" t="s">
        <v>587</v>
      </c>
      <c r="E304" t="s">
        <v>588</v>
      </c>
      <c r="F304" t="s">
        <v>1538</v>
      </c>
      <c r="H304" t="s">
        <v>1057</v>
      </c>
      <c r="I304" t="s">
        <v>1452</v>
      </c>
      <c r="M304" s="134">
        <v>0</v>
      </c>
      <c r="N304" s="134">
        <v>0</v>
      </c>
      <c r="O304" t="s">
        <v>1539</v>
      </c>
      <c r="P304" t="s">
        <v>1540</v>
      </c>
      <c r="Q304" t="s">
        <v>592</v>
      </c>
      <c r="R304" t="s">
        <v>1541</v>
      </c>
      <c r="U304" t="s">
        <v>491</v>
      </c>
      <c r="X304">
        <v>0</v>
      </c>
    </row>
    <row r="305" spans="1:24" x14ac:dyDescent="0.25">
      <c r="A305" s="234">
        <v>42465</v>
      </c>
      <c r="B305" t="s">
        <v>378</v>
      </c>
      <c r="C305" t="s">
        <v>623</v>
      </c>
      <c r="D305" t="s">
        <v>800</v>
      </c>
      <c r="E305" t="s">
        <v>588</v>
      </c>
      <c r="F305" t="s">
        <v>1530</v>
      </c>
      <c r="H305" t="s">
        <v>607</v>
      </c>
      <c r="I305" t="s">
        <v>1452</v>
      </c>
      <c r="M305" s="134">
        <v>0</v>
      </c>
      <c r="N305" s="134">
        <v>0</v>
      </c>
      <c r="O305" t="s">
        <v>1531</v>
      </c>
      <c r="P305" t="s">
        <v>1532</v>
      </c>
      <c r="Q305" t="s">
        <v>592</v>
      </c>
      <c r="R305" t="s">
        <v>1533</v>
      </c>
      <c r="U305" t="s">
        <v>491</v>
      </c>
      <c r="X305">
        <v>0</v>
      </c>
    </row>
    <row r="306" spans="1:24" x14ac:dyDescent="0.25">
      <c r="A306" s="234">
        <v>42467</v>
      </c>
      <c r="B306" t="s">
        <v>378</v>
      </c>
      <c r="C306" t="s">
        <v>623</v>
      </c>
      <c r="D306" t="s">
        <v>625</v>
      </c>
      <c r="E306" t="s">
        <v>588</v>
      </c>
      <c r="H306" t="s">
        <v>710</v>
      </c>
      <c r="I306" t="s">
        <v>1452</v>
      </c>
      <c r="M306" s="134">
        <v>0</v>
      </c>
      <c r="N306" s="134">
        <v>0</v>
      </c>
      <c r="O306" t="s">
        <v>1589</v>
      </c>
      <c r="P306" t="s">
        <v>1590</v>
      </c>
      <c r="Q306" t="s">
        <v>29</v>
      </c>
      <c r="R306" t="s">
        <v>1591</v>
      </c>
      <c r="U306" t="s">
        <v>491</v>
      </c>
      <c r="X306">
        <v>1</v>
      </c>
    </row>
    <row r="307" spans="1:24" x14ac:dyDescent="0.25">
      <c r="A307" s="234">
        <v>42468</v>
      </c>
      <c r="B307" t="s">
        <v>328</v>
      </c>
      <c r="C307" t="s">
        <v>603</v>
      </c>
      <c r="D307" t="s">
        <v>1401</v>
      </c>
      <c r="E307" t="s">
        <v>588</v>
      </c>
      <c r="F307" t="s">
        <v>1632</v>
      </c>
      <c r="H307" t="s">
        <v>607</v>
      </c>
      <c r="M307" s="134">
        <v>0</v>
      </c>
      <c r="N307" s="134">
        <v>0</v>
      </c>
      <c r="O307" t="s">
        <v>1633</v>
      </c>
      <c r="P307" t="s">
        <v>1634</v>
      </c>
      <c r="Q307" t="s">
        <v>29</v>
      </c>
      <c r="R307" t="s">
        <v>1635</v>
      </c>
      <c r="S307" t="s">
        <v>1636</v>
      </c>
      <c r="U307" t="s">
        <v>633</v>
      </c>
      <c r="X307">
        <v>1</v>
      </c>
    </row>
    <row r="308" spans="1:24" x14ac:dyDescent="0.25">
      <c r="A308" s="234">
        <v>42468</v>
      </c>
      <c r="B308" t="s">
        <v>378</v>
      </c>
      <c r="C308" t="s">
        <v>623</v>
      </c>
      <c r="D308" t="s">
        <v>625</v>
      </c>
      <c r="E308" t="s">
        <v>588</v>
      </c>
      <c r="F308" t="s">
        <v>1623</v>
      </c>
      <c r="M308" s="134">
        <v>0</v>
      </c>
      <c r="N308" s="134">
        <v>0</v>
      </c>
      <c r="P308" t="s">
        <v>1624</v>
      </c>
      <c r="Q308" t="s">
        <v>592</v>
      </c>
      <c r="U308" t="s">
        <v>289</v>
      </c>
      <c r="X308">
        <v>0</v>
      </c>
    </row>
    <row r="309" spans="1:24" x14ac:dyDescent="0.25">
      <c r="A309" s="234">
        <v>42471</v>
      </c>
      <c r="B309" t="s">
        <v>328</v>
      </c>
      <c r="C309" t="s">
        <v>603</v>
      </c>
      <c r="D309" t="s">
        <v>649</v>
      </c>
      <c r="E309" t="s">
        <v>588</v>
      </c>
      <c r="F309" t="s">
        <v>1630</v>
      </c>
      <c r="M309" s="134">
        <v>0</v>
      </c>
      <c r="N309" s="134">
        <v>0</v>
      </c>
      <c r="O309" t="s">
        <v>1631</v>
      </c>
      <c r="Q309" t="s">
        <v>620</v>
      </c>
      <c r="U309" t="s">
        <v>633</v>
      </c>
      <c r="X309">
        <v>0</v>
      </c>
    </row>
    <row r="310" spans="1:24" x14ac:dyDescent="0.25">
      <c r="A310" s="234">
        <v>42471</v>
      </c>
      <c r="B310" t="s">
        <v>328</v>
      </c>
      <c r="C310" t="s">
        <v>603</v>
      </c>
      <c r="D310" t="s">
        <v>649</v>
      </c>
      <c r="E310" t="s">
        <v>588</v>
      </c>
      <c r="F310" t="s">
        <v>1613</v>
      </c>
      <c r="H310" t="s">
        <v>905</v>
      </c>
      <c r="M310" s="134">
        <v>0</v>
      </c>
      <c r="N310" s="134">
        <v>0</v>
      </c>
      <c r="O310" t="s">
        <v>969</v>
      </c>
      <c r="P310" t="s">
        <v>1614</v>
      </c>
      <c r="Q310" t="s">
        <v>592</v>
      </c>
      <c r="U310" t="s">
        <v>633</v>
      </c>
      <c r="X310">
        <v>0</v>
      </c>
    </row>
    <row r="311" spans="1:24" x14ac:dyDescent="0.25">
      <c r="A311" s="234">
        <v>42472</v>
      </c>
      <c r="B311" t="s">
        <v>378</v>
      </c>
      <c r="C311" t="s">
        <v>623</v>
      </c>
      <c r="D311" t="s">
        <v>624</v>
      </c>
      <c r="E311" t="s">
        <v>588</v>
      </c>
      <c r="F311" t="s">
        <v>1617</v>
      </c>
      <c r="H311" t="s">
        <v>607</v>
      </c>
      <c r="M311" s="134">
        <v>0</v>
      </c>
      <c r="N311" s="134">
        <v>0</v>
      </c>
      <c r="O311" t="s">
        <v>1618</v>
      </c>
      <c r="Q311" t="s">
        <v>29</v>
      </c>
      <c r="R311" t="s">
        <v>1732</v>
      </c>
      <c r="U311" t="s">
        <v>1629</v>
      </c>
      <c r="X311">
        <v>1</v>
      </c>
    </row>
    <row r="312" spans="1:24" x14ac:dyDescent="0.25">
      <c r="A312" s="234">
        <v>42472</v>
      </c>
      <c r="B312" t="s">
        <v>378</v>
      </c>
      <c r="C312" t="s">
        <v>610</v>
      </c>
      <c r="D312" t="s">
        <v>611</v>
      </c>
      <c r="E312" t="s">
        <v>588</v>
      </c>
      <c r="F312" t="s">
        <v>1620</v>
      </c>
      <c r="H312" t="s">
        <v>607</v>
      </c>
      <c r="M312" s="134">
        <v>0</v>
      </c>
      <c r="N312" s="134">
        <v>0</v>
      </c>
      <c r="O312" t="s">
        <v>1621</v>
      </c>
      <c r="Q312" t="s">
        <v>620</v>
      </c>
      <c r="R312" t="s">
        <v>1622</v>
      </c>
      <c r="U312" t="s">
        <v>1629</v>
      </c>
      <c r="X312">
        <v>0</v>
      </c>
    </row>
    <row r="313" spans="1:24" x14ac:dyDescent="0.25">
      <c r="A313" s="234">
        <v>42473</v>
      </c>
      <c r="B313" t="s">
        <v>1486</v>
      </c>
      <c r="C313" t="s">
        <v>959</v>
      </c>
      <c r="D313" t="s">
        <v>732</v>
      </c>
      <c r="E313" t="s">
        <v>588</v>
      </c>
      <c r="F313" t="s">
        <v>1625</v>
      </c>
      <c r="H313" t="s">
        <v>1626</v>
      </c>
      <c r="M313" s="134">
        <v>0</v>
      </c>
      <c r="N313" s="134">
        <v>0</v>
      </c>
      <c r="O313" t="s">
        <v>1627</v>
      </c>
      <c r="Q313" t="s">
        <v>592</v>
      </c>
      <c r="R313" t="s">
        <v>1628</v>
      </c>
      <c r="U313" t="s">
        <v>491</v>
      </c>
      <c r="X313">
        <v>0</v>
      </c>
    </row>
    <row r="314" spans="1:24" x14ac:dyDescent="0.25">
      <c r="A314" s="234">
        <v>42473</v>
      </c>
      <c r="B314" t="s">
        <v>378</v>
      </c>
      <c r="C314" t="s">
        <v>623</v>
      </c>
      <c r="D314" t="s">
        <v>930</v>
      </c>
      <c r="E314" t="s">
        <v>821</v>
      </c>
      <c r="H314" t="s">
        <v>905</v>
      </c>
      <c r="M314" s="134">
        <v>0</v>
      </c>
      <c r="N314" s="134">
        <v>0</v>
      </c>
      <c r="O314" t="s">
        <v>1640</v>
      </c>
      <c r="P314" t="s">
        <v>1641</v>
      </c>
      <c r="Q314" t="s">
        <v>592</v>
      </c>
      <c r="U314" t="s">
        <v>491</v>
      </c>
      <c r="X314">
        <v>0</v>
      </c>
    </row>
    <row r="315" spans="1:24" x14ac:dyDescent="0.25">
      <c r="A315" s="234">
        <v>42473</v>
      </c>
      <c r="B315" t="s">
        <v>328</v>
      </c>
      <c r="C315" t="s">
        <v>603</v>
      </c>
      <c r="D315" t="s">
        <v>587</v>
      </c>
      <c r="E315" t="s">
        <v>821</v>
      </c>
      <c r="H315" t="s">
        <v>651</v>
      </c>
      <c r="M315" s="134">
        <v>0</v>
      </c>
      <c r="N315" s="134">
        <v>0</v>
      </c>
      <c r="O315" t="s">
        <v>1637</v>
      </c>
      <c r="P315" t="s">
        <v>1638</v>
      </c>
      <c r="Q315" t="s">
        <v>592</v>
      </c>
      <c r="R315" t="s">
        <v>1639</v>
      </c>
      <c r="U315" t="s">
        <v>491</v>
      </c>
      <c r="X315">
        <v>0</v>
      </c>
    </row>
    <row r="316" spans="1:24" x14ac:dyDescent="0.25">
      <c r="A316" s="234">
        <v>42474</v>
      </c>
      <c r="B316" t="s">
        <v>328</v>
      </c>
      <c r="C316" t="s">
        <v>603</v>
      </c>
      <c r="D316" t="s">
        <v>672</v>
      </c>
      <c r="E316" t="s">
        <v>588</v>
      </c>
      <c r="I316" t="s">
        <v>1654</v>
      </c>
      <c r="M316" s="134">
        <v>0</v>
      </c>
      <c r="N316" s="134">
        <v>0</v>
      </c>
      <c r="O316" t="s">
        <v>1655</v>
      </c>
      <c r="P316" t="s">
        <v>1656</v>
      </c>
      <c r="Q316" t="s">
        <v>620</v>
      </c>
      <c r="R316" t="s">
        <v>1657</v>
      </c>
      <c r="U316" t="s">
        <v>491</v>
      </c>
      <c r="X316">
        <v>0</v>
      </c>
    </row>
    <row r="317" spans="1:24" x14ac:dyDescent="0.25">
      <c r="A317" s="234">
        <v>42475</v>
      </c>
      <c r="B317" t="s">
        <v>378</v>
      </c>
      <c r="C317" t="s">
        <v>610</v>
      </c>
      <c r="D317" t="s">
        <v>1027</v>
      </c>
      <c r="E317" t="s">
        <v>588</v>
      </c>
      <c r="F317" t="s">
        <v>1673</v>
      </c>
      <c r="H317" t="s">
        <v>607</v>
      </c>
      <c r="I317" t="s">
        <v>1674</v>
      </c>
      <c r="M317" s="134">
        <v>0</v>
      </c>
      <c r="N317" s="134">
        <v>0</v>
      </c>
      <c r="O317" t="s">
        <v>1675</v>
      </c>
      <c r="P317" t="s">
        <v>1676</v>
      </c>
      <c r="Q317" t="s">
        <v>592</v>
      </c>
      <c r="R317" t="s">
        <v>1677</v>
      </c>
      <c r="U317" t="s">
        <v>491</v>
      </c>
      <c r="X317">
        <v>0</v>
      </c>
    </row>
    <row r="318" spans="1:24" x14ac:dyDescent="0.25">
      <c r="A318" s="234">
        <v>42475</v>
      </c>
      <c r="B318" t="s">
        <v>320</v>
      </c>
      <c r="C318" t="s">
        <v>1228</v>
      </c>
      <c r="D318" t="s">
        <v>1229</v>
      </c>
      <c r="E318" t="s">
        <v>588</v>
      </c>
      <c r="F318" t="s">
        <v>1678</v>
      </c>
      <c r="H318" t="s">
        <v>607</v>
      </c>
      <c r="I318" t="s">
        <v>1679</v>
      </c>
      <c r="M318" s="134">
        <v>0</v>
      </c>
      <c r="N318" s="134">
        <v>0</v>
      </c>
      <c r="O318" t="s">
        <v>1680</v>
      </c>
      <c r="P318" t="s">
        <v>1681</v>
      </c>
      <c r="Q318" t="s">
        <v>592</v>
      </c>
      <c r="R318" t="s">
        <v>1682</v>
      </c>
      <c r="U318" t="s">
        <v>491</v>
      </c>
      <c r="X318">
        <v>0</v>
      </c>
    </row>
    <row r="319" spans="1:24" x14ac:dyDescent="0.25">
      <c r="A319" s="234">
        <v>42475</v>
      </c>
      <c r="B319" t="s">
        <v>378</v>
      </c>
      <c r="C319" t="s">
        <v>623</v>
      </c>
      <c r="D319" t="s">
        <v>930</v>
      </c>
      <c r="E319" t="s">
        <v>821</v>
      </c>
      <c r="H319" t="s">
        <v>809</v>
      </c>
      <c r="M319" s="134">
        <v>0</v>
      </c>
      <c r="N319" s="134">
        <v>0</v>
      </c>
      <c r="O319" t="s">
        <v>1691</v>
      </c>
      <c r="P319" t="s">
        <v>1692</v>
      </c>
      <c r="Q319" t="s">
        <v>620</v>
      </c>
      <c r="R319" t="s">
        <v>1701</v>
      </c>
      <c r="U319" t="s">
        <v>491</v>
      </c>
      <c r="X319">
        <v>0</v>
      </c>
    </row>
    <row r="320" spans="1:24" x14ac:dyDescent="0.25">
      <c r="A320" s="234">
        <v>42475</v>
      </c>
      <c r="B320" t="s">
        <v>378</v>
      </c>
      <c r="C320" t="s">
        <v>623</v>
      </c>
      <c r="D320" t="s">
        <v>930</v>
      </c>
      <c r="E320" t="s">
        <v>821</v>
      </c>
      <c r="H320" t="s">
        <v>905</v>
      </c>
      <c r="M320" s="134">
        <v>0</v>
      </c>
      <c r="N320" s="134">
        <v>0</v>
      </c>
      <c r="O320" t="s">
        <v>1693</v>
      </c>
      <c r="P320" t="s">
        <v>1694</v>
      </c>
      <c r="Q320" t="s">
        <v>29</v>
      </c>
      <c r="R320" t="s">
        <v>1698</v>
      </c>
      <c r="U320" t="s">
        <v>491</v>
      </c>
      <c r="X320">
        <v>1</v>
      </c>
    </row>
    <row r="321" spans="1:24" x14ac:dyDescent="0.25">
      <c r="A321" s="234">
        <v>42478</v>
      </c>
      <c r="B321" t="s">
        <v>378</v>
      </c>
      <c r="C321" t="s">
        <v>610</v>
      </c>
      <c r="D321" t="s">
        <v>1027</v>
      </c>
      <c r="E321" t="s">
        <v>1707</v>
      </c>
      <c r="H321" t="s">
        <v>607</v>
      </c>
      <c r="M321" s="134">
        <v>0</v>
      </c>
      <c r="N321" s="134">
        <v>0</v>
      </c>
      <c r="O321" t="s">
        <v>1708</v>
      </c>
      <c r="P321" t="s">
        <v>1709</v>
      </c>
      <c r="Q321" t="s">
        <v>592</v>
      </c>
      <c r="U321" t="s">
        <v>491</v>
      </c>
      <c r="X321">
        <v>0</v>
      </c>
    </row>
    <row r="322" spans="1:24" x14ac:dyDescent="0.25">
      <c r="A322" s="234">
        <v>42480</v>
      </c>
      <c r="B322" t="s">
        <v>378</v>
      </c>
      <c r="C322" t="s">
        <v>623</v>
      </c>
      <c r="D322" t="s">
        <v>625</v>
      </c>
      <c r="E322" t="s">
        <v>588</v>
      </c>
      <c r="H322" t="s">
        <v>886</v>
      </c>
      <c r="I322" t="s">
        <v>1756</v>
      </c>
      <c r="M322" s="134">
        <v>0</v>
      </c>
      <c r="N322" s="134">
        <v>0</v>
      </c>
      <c r="P322" t="s">
        <v>1757</v>
      </c>
      <c r="Q322" t="s">
        <v>592</v>
      </c>
      <c r="R322" t="s">
        <v>1758</v>
      </c>
      <c r="U322" t="s">
        <v>491</v>
      </c>
      <c r="X322">
        <v>0</v>
      </c>
    </row>
    <row r="323" spans="1:24" x14ac:dyDescent="0.25">
      <c r="A323" s="234">
        <v>42481</v>
      </c>
      <c r="B323" t="s">
        <v>378</v>
      </c>
      <c r="C323" t="s">
        <v>610</v>
      </c>
      <c r="D323" t="s">
        <v>732</v>
      </c>
      <c r="E323" t="s">
        <v>588</v>
      </c>
      <c r="H323" t="s">
        <v>607</v>
      </c>
      <c r="M323" s="134">
        <v>0</v>
      </c>
      <c r="N323" s="134">
        <v>0</v>
      </c>
      <c r="O323" t="s">
        <v>1759</v>
      </c>
      <c r="P323" t="s">
        <v>1760</v>
      </c>
      <c r="Q323" t="s">
        <v>592</v>
      </c>
      <c r="U323" t="s">
        <v>491</v>
      </c>
      <c r="X323">
        <v>0</v>
      </c>
    </row>
    <row r="324" spans="1:24" x14ac:dyDescent="0.25">
      <c r="A324" s="234">
        <v>42482</v>
      </c>
      <c r="B324" t="s">
        <v>378</v>
      </c>
      <c r="C324" t="s">
        <v>623</v>
      </c>
      <c r="D324" t="s">
        <v>1783</v>
      </c>
      <c r="E324" t="s">
        <v>588</v>
      </c>
      <c r="F324" t="s">
        <v>1784</v>
      </c>
      <c r="H324" t="s">
        <v>607</v>
      </c>
      <c r="M324" s="134">
        <v>0</v>
      </c>
      <c r="N324" s="134">
        <v>0</v>
      </c>
      <c r="O324" t="s">
        <v>1785</v>
      </c>
      <c r="P324" t="s">
        <v>1786</v>
      </c>
      <c r="Q324" t="s">
        <v>592</v>
      </c>
      <c r="R324" t="s">
        <v>1787</v>
      </c>
      <c r="U324" t="s">
        <v>491</v>
      </c>
      <c r="X324">
        <v>0</v>
      </c>
    </row>
    <row r="325" spans="1:24" x14ac:dyDescent="0.25">
      <c r="A325" s="234">
        <v>42482</v>
      </c>
      <c r="B325" t="s">
        <v>378</v>
      </c>
      <c r="C325" t="s">
        <v>623</v>
      </c>
      <c r="D325" t="s">
        <v>930</v>
      </c>
      <c r="E325" t="s">
        <v>821</v>
      </c>
      <c r="F325" t="s">
        <v>1801</v>
      </c>
      <c r="H325" t="s">
        <v>809</v>
      </c>
      <c r="M325" s="134">
        <v>0</v>
      </c>
      <c r="N325" s="134">
        <v>0</v>
      </c>
      <c r="O325" t="s">
        <v>1802</v>
      </c>
      <c r="P325" t="s">
        <v>1803</v>
      </c>
      <c r="Q325" t="s">
        <v>592</v>
      </c>
      <c r="R325" t="s">
        <v>1804</v>
      </c>
      <c r="U325" t="s">
        <v>491</v>
      </c>
      <c r="X325">
        <v>0</v>
      </c>
    </row>
    <row r="326" spans="1:24" x14ac:dyDescent="0.25">
      <c r="A326" s="234">
        <v>42482</v>
      </c>
      <c r="B326" t="s">
        <v>378</v>
      </c>
      <c r="C326" t="s">
        <v>623</v>
      </c>
      <c r="D326" t="s">
        <v>625</v>
      </c>
      <c r="E326" t="s">
        <v>821</v>
      </c>
      <c r="F326" t="s">
        <v>1805</v>
      </c>
      <c r="H326" t="s">
        <v>607</v>
      </c>
      <c r="I326" t="s">
        <v>1543</v>
      </c>
      <c r="M326" s="134">
        <v>0</v>
      </c>
      <c r="N326" s="134">
        <v>0</v>
      </c>
      <c r="O326" t="s">
        <v>1806</v>
      </c>
      <c r="P326" t="s">
        <v>1807</v>
      </c>
      <c r="Q326" t="s">
        <v>592</v>
      </c>
      <c r="U326" t="s">
        <v>491</v>
      </c>
      <c r="X326">
        <v>0</v>
      </c>
    </row>
    <row r="327" spans="1:24" x14ac:dyDescent="0.25">
      <c r="A327" s="234">
        <v>42485</v>
      </c>
      <c r="B327" t="s">
        <v>1486</v>
      </c>
      <c r="C327" t="s">
        <v>959</v>
      </c>
      <c r="D327" t="s">
        <v>732</v>
      </c>
      <c r="E327" t="s">
        <v>588</v>
      </c>
      <c r="M327" s="134">
        <v>0</v>
      </c>
      <c r="N327" s="134">
        <v>0</v>
      </c>
      <c r="O327" t="s">
        <v>1815</v>
      </c>
      <c r="P327" t="s">
        <v>1816</v>
      </c>
      <c r="Q327" t="s">
        <v>592</v>
      </c>
      <c r="R327" t="s">
        <v>1817</v>
      </c>
      <c r="U327" t="s">
        <v>633</v>
      </c>
      <c r="X327">
        <v>0</v>
      </c>
    </row>
    <row r="328" spans="1:24" x14ac:dyDescent="0.25">
      <c r="A328" s="234">
        <v>42485</v>
      </c>
      <c r="B328" t="s">
        <v>378</v>
      </c>
      <c r="D328" t="s">
        <v>625</v>
      </c>
      <c r="E328" t="s">
        <v>821</v>
      </c>
      <c r="M328" s="134">
        <v>0</v>
      </c>
      <c r="N328" s="134">
        <v>0</v>
      </c>
      <c r="P328" t="s">
        <v>1858</v>
      </c>
      <c r="Q328" t="s">
        <v>592</v>
      </c>
      <c r="U328" t="s">
        <v>491</v>
      </c>
      <c r="X328">
        <v>0</v>
      </c>
    </row>
    <row r="329" spans="1:24" x14ac:dyDescent="0.25">
      <c r="A329" s="234">
        <v>42485</v>
      </c>
      <c r="B329" t="s">
        <v>643</v>
      </c>
      <c r="D329" t="s">
        <v>645</v>
      </c>
      <c r="E329" t="s">
        <v>588</v>
      </c>
      <c r="F329" t="s">
        <v>1864</v>
      </c>
      <c r="M329" s="134">
        <v>0</v>
      </c>
      <c r="N329" s="134">
        <v>0</v>
      </c>
      <c r="O329" t="s">
        <v>991</v>
      </c>
      <c r="P329" t="s">
        <v>1865</v>
      </c>
      <c r="Q329" t="s">
        <v>592</v>
      </c>
      <c r="U329" t="s">
        <v>633</v>
      </c>
      <c r="X329">
        <v>0</v>
      </c>
    </row>
    <row r="330" spans="1:24" x14ac:dyDescent="0.25">
      <c r="A330" s="234">
        <v>42486</v>
      </c>
      <c r="B330" t="s">
        <v>378</v>
      </c>
      <c r="D330" t="s">
        <v>625</v>
      </c>
      <c r="E330" t="s">
        <v>821</v>
      </c>
      <c r="M330" s="134">
        <v>0</v>
      </c>
      <c r="N330" s="134">
        <v>0</v>
      </c>
      <c r="P330" t="s">
        <v>1855</v>
      </c>
      <c r="Q330" t="s">
        <v>592</v>
      </c>
      <c r="U330" t="s">
        <v>491</v>
      </c>
      <c r="X330">
        <v>0</v>
      </c>
    </row>
    <row r="331" spans="1:24" x14ac:dyDescent="0.25">
      <c r="A331" s="234">
        <v>42486</v>
      </c>
      <c r="B331" t="s">
        <v>378</v>
      </c>
      <c r="D331" t="s">
        <v>930</v>
      </c>
      <c r="E331" t="s">
        <v>821</v>
      </c>
      <c r="M331" s="134">
        <v>0</v>
      </c>
      <c r="N331" s="134">
        <v>0</v>
      </c>
      <c r="P331" t="s">
        <v>1859</v>
      </c>
      <c r="Q331" t="s">
        <v>29</v>
      </c>
      <c r="U331" t="s">
        <v>491</v>
      </c>
      <c r="X331">
        <v>1</v>
      </c>
    </row>
    <row r="332" spans="1:24" x14ac:dyDescent="0.25">
      <c r="A332" s="234">
        <v>42488</v>
      </c>
      <c r="B332" t="s">
        <v>378</v>
      </c>
      <c r="C332" t="s">
        <v>623</v>
      </c>
      <c r="D332" t="s">
        <v>930</v>
      </c>
      <c r="E332" t="s">
        <v>1707</v>
      </c>
      <c r="F332" t="s">
        <v>1868</v>
      </c>
      <c r="H332" t="s">
        <v>886</v>
      </c>
      <c r="M332" s="134">
        <v>0</v>
      </c>
      <c r="N332" s="134">
        <v>0</v>
      </c>
      <c r="P332" t="s">
        <v>1869</v>
      </c>
      <c r="Q332" t="s">
        <v>592</v>
      </c>
      <c r="U332" t="s">
        <v>491</v>
      </c>
      <c r="X332">
        <v>0</v>
      </c>
    </row>
    <row r="333" spans="1:24" x14ac:dyDescent="0.25">
      <c r="A333" s="234">
        <v>42489</v>
      </c>
      <c r="B333" t="s">
        <v>328</v>
      </c>
      <c r="C333" t="s">
        <v>603</v>
      </c>
      <c r="D333" t="s">
        <v>1877</v>
      </c>
      <c r="E333" t="s">
        <v>588</v>
      </c>
      <c r="F333" t="s">
        <v>1878</v>
      </c>
      <c r="H333" t="s">
        <v>905</v>
      </c>
      <c r="M333" s="134">
        <v>0</v>
      </c>
      <c r="N333" s="134">
        <v>0</v>
      </c>
      <c r="O333" t="s">
        <v>1879</v>
      </c>
      <c r="P333" t="s">
        <v>1880</v>
      </c>
      <c r="Q333" t="s">
        <v>592</v>
      </c>
      <c r="U333" t="s">
        <v>491</v>
      </c>
      <c r="X333">
        <v>0</v>
      </c>
    </row>
    <row r="334" spans="1:24" x14ac:dyDescent="0.25">
      <c r="A334" s="234">
        <v>42489</v>
      </c>
      <c r="B334" t="s">
        <v>378</v>
      </c>
      <c r="C334" t="s">
        <v>623</v>
      </c>
      <c r="D334" t="s">
        <v>930</v>
      </c>
      <c r="E334" t="s">
        <v>821</v>
      </c>
      <c r="H334" t="s">
        <v>607</v>
      </c>
      <c r="M334" s="134">
        <v>0</v>
      </c>
      <c r="N334" s="134">
        <v>0</v>
      </c>
      <c r="O334" t="s">
        <v>754</v>
      </c>
      <c r="P334" t="s">
        <v>1881</v>
      </c>
      <c r="Q334" t="s">
        <v>592</v>
      </c>
      <c r="R334" t="s">
        <v>1882</v>
      </c>
      <c r="U334" t="s">
        <v>491</v>
      </c>
      <c r="X334">
        <v>0</v>
      </c>
    </row>
    <row r="335" spans="1:24" x14ac:dyDescent="0.25">
      <c r="A335" s="234">
        <v>42495</v>
      </c>
      <c r="B335" t="s">
        <v>250</v>
      </c>
      <c r="D335" t="s">
        <v>1006</v>
      </c>
      <c r="E335" t="s">
        <v>588</v>
      </c>
      <c r="F335" t="s">
        <v>1943</v>
      </c>
      <c r="M335" s="134">
        <v>0</v>
      </c>
      <c r="N335" s="134">
        <v>0</v>
      </c>
      <c r="O335" t="s">
        <v>1589</v>
      </c>
      <c r="P335" t="s">
        <v>1944</v>
      </c>
      <c r="Q335" t="s">
        <v>29</v>
      </c>
      <c r="U335" t="s">
        <v>491</v>
      </c>
      <c r="X335">
        <v>1</v>
      </c>
    </row>
    <row r="336" spans="1:24" x14ac:dyDescent="0.25">
      <c r="A336" s="234">
        <v>42499</v>
      </c>
      <c r="B336" t="s">
        <v>1486</v>
      </c>
      <c r="C336" t="s">
        <v>959</v>
      </c>
      <c r="D336" t="s">
        <v>732</v>
      </c>
      <c r="E336" t="s">
        <v>588</v>
      </c>
      <c r="F336" t="s">
        <v>1984</v>
      </c>
      <c r="H336" t="s">
        <v>1050</v>
      </c>
      <c r="M336" s="134">
        <v>0</v>
      </c>
      <c r="N336" s="134">
        <v>0</v>
      </c>
      <c r="O336" t="s">
        <v>1844</v>
      </c>
      <c r="P336" t="s">
        <v>1985</v>
      </c>
      <c r="Q336" t="s">
        <v>29</v>
      </c>
      <c r="R336" t="s">
        <v>1986</v>
      </c>
      <c r="U336" t="s">
        <v>491</v>
      </c>
      <c r="X336">
        <v>1</v>
      </c>
    </row>
    <row r="337" spans="1:24" x14ac:dyDescent="0.25">
      <c r="A337" s="234">
        <v>42500</v>
      </c>
      <c r="B337" t="s">
        <v>1486</v>
      </c>
      <c r="C337" t="s">
        <v>1883</v>
      </c>
      <c r="D337" t="s">
        <v>727</v>
      </c>
      <c r="E337" t="s">
        <v>588</v>
      </c>
      <c r="H337" t="s">
        <v>1991</v>
      </c>
      <c r="I337" t="s">
        <v>1992</v>
      </c>
      <c r="M337" s="134">
        <v>0</v>
      </c>
      <c r="N337" s="134">
        <v>0</v>
      </c>
      <c r="O337" t="s">
        <v>639</v>
      </c>
      <c r="P337" t="s">
        <v>1993</v>
      </c>
      <c r="Q337" t="s">
        <v>620</v>
      </c>
      <c r="R337" t="s">
        <v>1994</v>
      </c>
      <c r="U337" t="s">
        <v>491</v>
      </c>
      <c r="X337">
        <v>0</v>
      </c>
    </row>
    <row r="338" spans="1:24" x14ac:dyDescent="0.25">
      <c r="A338" s="234">
        <v>42500</v>
      </c>
      <c r="B338" t="s">
        <v>1486</v>
      </c>
      <c r="C338" t="s">
        <v>1883</v>
      </c>
      <c r="D338" t="s">
        <v>595</v>
      </c>
      <c r="E338" t="s">
        <v>588</v>
      </c>
      <c r="F338" t="s">
        <v>1995</v>
      </c>
      <c r="H338" t="s">
        <v>1057</v>
      </c>
      <c r="I338" t="s">
        <v>1996</v>
      </c>
      <c r="M338" s="134">
        <v>0</v>
      </c>
      <c r="N338" s="134">
        <v>0</v>
      </c>
      <c r="O338" t="s">
        <v>1997</v>
      </c>
      <c r="P338" t="s">
        <v>1998</v>
      </c>
      <c r="Q338" t="s">
        <v>1939</v>
      </c>
      <c r="R338" t="s">
        <v>1999</v>
      </c>
      <c r="U338" t="s">
        <v>491</v>
      </c>
      <c r="X338">
        <v>0</v>
      </c>
    </row>
    <row r="339" spans="1:24" x14ac:dyDescent="0.25">
      <c r="A339" s="234">
        <v>42501</v>
      </c>
      <c r="B339" t="s">
        <v>378</v>
      </c>
      <c r="C339" t="s">
        <v>623</v>
      </c>
      <c r="D339" t="s">
        <v>624</v>
      </c>
      <c r="E339" t="s">
        <v>821</v>
      </c>
      <c r="H339" t="s">
        <v>1626</v>
      </c>
      <c r="M339" s="134">
        <v>0</v>
      </c>
      <c r="N339" s="134">
        <v>0</v>
      </c>
      <c r="O339" t="s">
        <v>1516</v>
      </c>
      <c r="P339" t="s">
        <v>2051</v>
      </c>
      <c r="Q339" t="s">
        <v>1939</v>
      </c>
      <c r="R339" t="s">
        <v>2052</v>
      </c>
      <c r="U339" t="s">
        <v>491</v>
      </c>
      <c r="X339">
        <v>0</v>
      </c>
    </row>
    <row r="340" spans="1:24" x14ac:dyDescent="0.25">
      <c r="A340" s="234">
        <v>42501</v>
      </c>
      <c r="B340" t="s">
        <v>328</v>
      </c>
      <c r="C340" t="s">
        <v>603</v>
      </c>
      <c r="D340" t="s">
        <v>649</v>
      </c>
      <c r="E340" t="s">
        <v>588</v>
      </c>
      <c r="H340" t="s">
        <v>886</v>
      </c>
      <c r="M340" s="134">
        <v>0</v>
      </c>
      <c r="N340" s="134">
        <v>0</v>
      </c>
      <c r="O340" t="s">
        <v>2014</v>
      </c>
      <c r="P340" t="s">
        <v>2015</v>
      </c>
      <c r="Q340" t="s">
        <v>620</v>
      </c>
      <c r="R340" t="s">
        <v>2016</v>
      </c>
      <c r="U340" t="s">
        <v>491</v>
      </c>
      <c r="X340">
        <v>0</v>
      </c>
    </row>
    <row r="341" spans="1:24" x14ac:dyDescent="0.25">
      <c r="A341" s="234">
        <v>42503</v>
      </c>
      <c r="B341" t="s">
        <v>328</v>
      </c>
      <c r="C341" t="s">
        <v>603</v>
      </c>
      <c r="D341" t="s">
        <v>587</v>
      </c>
      <c r="E341" t="s">
        <v>821</v>
      </c>
      <c r="M341" s="134">
        <v>0</v>
      </c>
      <c r="N341" s="134">
        <v>0</v>
      </c>
      <c r="O341" t="s">
        <v>2078</v>
      </c>
      <c r="P341" t="s">
        <v>2079</v>
      </c>
      <c r="Q341" t="s">
        <v>1939</v>
      </c>
      <c r="R341" t="s">
        <v>2080</v>
      </c>
      <c r="U341" t="s">
        <v>491</v>
      </c>
      <c r="X341">
        <v>0</v>
      </c>
    </row>
    <row r="342" spans="1:24" x14ac:dyDescent="0.25">
      <c r="A342" s="234">
        <v>42503</v>
      </c>
      <c r="B342" t="s">
        <v>1486</v>
      </c>
      <c r="C342" t="s">
        <v>1883</v>
      </c>
      <c r="D342" t="s">
        <v>595</v>
      </c>
      <c r="E342" t="s">
        <v>1707</v>
      </c>
      <c r="F342" t="s">
        <v>2155</v>
      </c>
      <c r="H342" t="s">
        <v>2088</v>
      </c>
      <c r="I342" t="s">
        <v>2089</v>
      </c>
      <c r="M342" s="134">
        <v>0</v>
      </c>
      <c r="N342" s="134">
        <v>0</v>
      </c>
      <c r="O342" t="s">
        <v>35</v>
      </c>
      <c r="P342" t="s">
        <v>2091</v>
      </c>
      <c r="Q342" t="s">
        <v>29</v>
      </c>
      <c r="R342" t="s">
        <v>2090</v>
      </c>
      <c r="S342" t="s">
        <v>2156</v>
      </c>
      <c r="U342" t="s">
        <v>491</v>
      </c>
      <c r="X342">
        <v>1</v>
      </c>
    </row>
    <row r="343" spans="1:24" x14ac:dyDescent="0.25">
      <c r="A343" s="234">
        <v>42503</v>
      </c>
      <c r="B343" t="s">
        <v>378</v>
      </c>
      <c r="C343" t="s">
        <v>623</v>
      </c>
      <c r="D343" t="s">
        <v>930</v>
      </c>
      <c r="E343" t="s">
        <v>821</v>
      </c>
      <c r="H343" t="s">
        <v>710</v>
      </c>
      <c r="I343" t="s">
        <v>2094</v>
      </c>
      <c r="M343" s="134">
        <v>0</v>
      </c>
      <c r="N343" s="134">
        <v>0</v>
      </c>
      <c r="O343" t="s">
        <v>2095</v>
      </c>
      <c r="P343" t="s">
        <v>2096</v>
      </c>
      <c r="Q343" t="s">
        <v>592</v>
      </c>
      <c r="U343" t="s">
        <v>491</v>
      </c>
      <c r="X343">
        <v>0</v>
      </c>
    </row>
    <row r="344" spans="1:24" x14ac:dyDescent="0.25">
      <c r="A344" s="234">
        <v>42509</v>
      </c>
      <c r="B344" t="s">
        <v>378</v>
      </c>
      <c r="C344" t="s">
        <v>623</v>
      </c>
      <c r="D344" t="s">
        <v>930</v>
      </c>
      <c r="E344" t="s">
        <v>821</v>
      </c>
      <c r="F344" t="s">
        <v>2157</v>
      </c>
      <c r="H344" t="s">
        <v>607</v>
      </c>
      <c r="M344" s="134">
        <v>0</v>
      </c>
      <c r="N344" s="134">
        <v>0</v>
      </c>
      <c r="O344" t="s">
        <v>768</v>
      </c>
      <c r="P344" t="s">
        <v>2158</v>
      </c>
      <c r="Q344" t="s">
        <v>620</v>
      </c>
      <c r="R344" t="s">
        <v>2159</v>
      </c>
      <c r="U344" t="s">
        <v>491</v>
      </c>
      <c r="X344">
        <v>0</v>
      </c>
    </row>
    <row r="345" spans="1:24" x14ac:dyDescent="0.25">
      <c r="A345" s="234">
        <v>42509</v>
      </c>
      <c r="B345" t="s">
        <v>378</v>
      </c>
      <c r="C345" t="s">
        <v>623</v>
      </c>
      <c r="D345" t="s">
        <v>930</v>
      </c>
      <c r="E345" t="s">
        <v>821</v>
      </c>
      <c r="H345" t="s">
        <v>607</v>
      </c>
      <c r="M345" s="134">
        <v>0</v>
      </c>
      <c r="N345" s="134">
        <v>0</v>
      </c>
      <c r="O345" t="s">
        <v>2160</v>
      </c>
      <c r="P345" t="s">
        <v>2161</v>
      </c>
      <c r="Q345" t="s">
        <v>620</v>
      </c>
      <c r="R345" t="s">
        <v>2162</v>
      </c>
      <c r="U345" t="s">
        <v>491</v>
      </c>
      <c r="X345">
        <v>0</v>
      </c>
    </row>
    <row r="346" spans="1:24" x14ac:dyDescent="0.25">
      <c r="A346" s="234">
        <v>42509</v>
      </c>
      <c r="B346" t="s">
        <v>378</v>
      </c>
      <c r="C346" t="s">
        <v>623</v>
      </c>
      <c r="D346" t="s">
        <v>930</v>
      </c>
      <c r="E346" t="s">
        <v>821</v>
      </c>
      <c r="H346" t="s">
        <v>1050</v>
      </c>
      <c r="M346" s="134">
        <v>0</v>
      </c>
      <c r="N346" s="134">
        <v>0</v>
      </c>
      <c r="O346" t="s">
        <v>2163</v>
      </c>
      <c r="P346" t="s">
        <v>2164</v>
      </c>
      <c r="Q346" t="s">
        <v>1939</v>
      </c>
      <c r="R346" t="s">
        <v>2165</v>
      </c>
      <c r="U346" t="s">
        <v>491</v>
      </c>
      <c r="X346">
        <v>0</v>
      </c>
    </row>
    <row r="347" spans="1:24" x14ac:dyDescent="0.25">
      <c r="A347" s="234">
        <v>42510</v>
      </c>
      <c r="B347" t="s">
        <v>328</v>
      </c>
      <c r="C347" t="s">
        <v>603</v>
      </c>
      <c r="D347" t="s">
        <v>587</v>
      </c>
      <c r="E347" t="s">
        <v>821</v>
      </c>
      <c r="F347" t="s">
        <v>2179</v>
      </c>
      <c r="H347" t="s">
        <v>607</v>
      </c>
      <c r="M347" s="134">
        <v>0</v>
      </c>
      <c r="N347" s="134">
        <v>0</v>
      </c>
      <c r="O347" t="s">
        <v>2180</v>
      </c>
      <c r="P347" t="s">
        <v>2181</v>
      </c>
      <c r="Q347" t="s">
        <v>592</v>
      </c>
      <c r="R347" t="s">
        <v>2182</v>
      </c>
      <c r="U347" t="s">
        <v>491</v>
      </c>
      <c r="X347">
        <v>0</v>
      </c>
    </row>
    <row r="348" spans="1:24" x14ac:dyDescent="0.25">
      <c r="A348" s="234">
        <v>42510</v>
      </c>
      <c r="B348" t="s">
        <v>378</v>
      </c>
      <c r="C348" t="s">
        <v>623</v>
      </c>
      <c r="D348" t="s">
        <v>930</v>
      </c>
      <c r="E348" t="s">
        <v>821</v>
      </c>
      <c r="H348" t="s">
        <v>1050</v>
      </c>
      <c r="M348" s="134">
        <v>0</v>
      </c>
      <c r="N348" s="134">
        <v>0</v>
      </c>
      <c r="O348" t="s">
        <v>2173</v>
      </c>
      <c r="P348" t="s">
        <v>2174</v>
      </c>
      <c r="Q348" t="s">
        <v>1939</v>
      </c>
      <c r="R348" t="s">
        <v>2175</v>
      </c>
      <c r="U348" t="s">
        <v>491</v>
      </c>
      <c r="X348">
        <v>0</v>
      </c>
    </row>
    <row r="349" spans="1:24" x14ac:dyDescent="0.25">
      <c r="A349" s="234">
        <v>42510</v>
      </c>
      <c r="B349" t="s">
        <v>378</v>
      </c>
      <c r="C349" t="s">
        <v>623</v>
      </c>
      <c r="D349" t="s">
        <v>625</v>
      </c>
      <c r="E349" t="s">
        <v>588</v>
      </c>
      <c r="F349" t="s">
        <v>2176</v>
      </c>
      <c r="H349" t="s">
        <v>905</v>
      </c>
      <c r="M349" s="134">
        <v>0</v>
      </c>
      <c r="N349" s="134">
        <v>0</v>
      </c>
      <c r="O349" t="s">
        <v>2177</v>
      </c>
      <c r="P349" t="s">
        <v>2178</v>
      </c>
      <c r="Q349" t="s">
        <v>1939</v>
      </c>
      <c r="U349" t="s">
        <v>491</v>
      </c>
      <c r="X349">
        <v>0</v>
      </c>
    </row>
    <row r="350" spans="1:24" x14ac:dyDescent="0.25">
      <c r="A350" s="234">
        <v>42516</v>
      </c>
      <c r="B350" t="s">
        <v>594</v>
      </c>
      <c r="C350" t="s">
        <v>1363</v>
      </c>
      <c r="D350" t="s">
        <v>2340</v>
      </c>
      <c r="E350" t="s">
        <v>588</v>
      </c>
      <c r="F350" t="s">
        <v>2341</v>
      </c>
      <c r="M350" s="134">
        <v>0</v>
      </c>
      <c r="N350" s="134">
        <v>0</v>
      </c>
      <c r="O350" t="s">
        <v>2342</v>
      </c>
      <c r="Q350" t="s">
        <v>1939</v>
      </c>
      <c r="R350" t="s">
        <v>2343</v>
      </c>
      <c r="U350" t="s">
        <v>633</v>
      </c>
      <c r="X350">
        <v>0</v>
      </c>
    </row>
    <row r="351" spans="1:24" x14ac:dyDescent="0.25">
      <c r="A351" s="234">
        <v>42527</v>
      </c>
      <c r="B351" t="s">
        <v>328</v>
      </c>
      <c r="C351" t="s">
        <v>603</v>
      </c>
      <c r="D351" t="s">
        <v>649</v>
      </c>
      <c r="E351" t="s">
        <v>588</v>
      </c>
      <c r="F351" t="s">
        <v>2368</v>
      </c>
      <c r="H351" t="s">
        <v>722</v>
      </c>
      <c r="M351" s="134">
        <v>0</v>
      </c>
      <c r="N351" s="134">
        <v>0</v>
      </c>
      <c r="O351" t="s">
        <v>2369</v>
      </c>
      <c r="P351" t="s">
        <v>2370</v>
      </c>
      <c r="Q351" t="s">
        <v>620</v>
      </c>
      <c r="R351" t="s">
        <v>2371</v>
      </c>
      <c r="U351" t="s">
        <v>491</v>
      </c>
      <c r="X351">
        <v>0</v>
      </c>
    </row>
    <row r="352" spans="1:24" x14ac:dyDescent="0.25">
      <c r="A352" s="234">
        <v>42527</v>
      </c>
      <c r="B352" t="s">
        <v>594</v>
      </c>
      <c r="C352" t="s">
        <v>1363</v>
      </c>
      <c r="D352" t="s">
        <v>2340</v>
      </c>
      <c r="E352" t="s">
        <v>588</v>
      </c>
      <c r="F352" t="s">
        <v>2344</v>
      </c>
      <c r="M352" s="134">
        <v>0</v>
      </c>
      <c r="N352" s="134">
        <v>0</v>
      </c>
      <c r="O352" t="s">
        <v>2342</v>
      </c>
      <c r="Q352" t="s">
        <v>592</v>
      </c>
      <c r="R352" t="s">
        <v>2350</v>
      </c>
      <c r="U352" t="s">
        <v>491</v>
      </c>
      <c r="X352">
        <v>0</v>
      </c>
    </row>
    <row r="353" spans="1:24" x14ac:dyDescent="0.25">
      <c r="A353" s="234">
        <v>42527</v>
      </c>
      <c r="B353" t="s">
        <v>594</v>
      </c>
      <c r="C353" t="s">
        <v>1363</v>
      </c>
      <c r="D353" t="s">
        <v>2346</v>
      </c>
      <c r="E353" t="s">
        <v>588</v>
      </c>
      <c r="F353" t="s">
        <v>2347</v>
      </c>
      <c r="H353" t="s">
        <v>886</v>
      </c>
      <c r="I353" t="s">
        <v>2348</v>
      </c>
      <c r="M353" s="134">
        <v>0</v>
      </c>
      <c r="N353" s="134">
        <v>0</v>
      </c>
      <c r="O353" t="s">
        <v>2345</v>
      </c>
      <c r="P353" t="s">
        <v>2349</v>
      </c>
      <c r="Q353" t="s">
        <v>592</v>
      </c>
      <c r="U353" t="s">
        <v>491</v>
      </c>
      <c r="X353">
        <v>0</v>
      </c>
    </row>
    <row r="354" spans="1:24" x14ac:dyDescent="0.25">
      <c r="A354" s="234">
        <v>42527</v>
      </c>
      <c r="B354" t="s">
        <v>378</v>
      </c>
      <c r="C354" t="s">
        <v>623</v>
      </c>
      <c r="D354" t="s">
        <v>1783</v>
      </c>
      <c r="E354" t="s">
        <v>588</v>
      </c>
      <c r="F354" t="s">
        <v>2356</v>
      </c>
      <c r="H354" t="s">
        <v>607</v>
      </c>
      <c r="M354" s="134">
        <v>0</v>
      </c>
      <c r="N354" s="134">
        <v>0</v>
      </c>
      <c r="O354" t="s">
        <v>1675</v>
      </c>
      <c r="P354" t="s">
        <v>2357</v>
      </c>
      <c r="Q354" t="s">
        <v>1939</v>
      </c>
      <c r="R354" t="s">
        <v>2358</v>
      </c>
      <c r="U354" t="s">
        <v>491</v>
      </c>
      <c r="X354">
        <v>0</v>
      </c>
    </row>
    <row r="355" spans="1:24" x14ac:dyDescent="0.25">
      <c r="A355" s="234">
        <v>42529</v>
      </c>
      <c r="B355" t="s">
        <v>378</v>
      </c>
      <c r="C355" t="s">
        <v>610</v>
      </c>
      <c r="D355" t="s">
        <v>732</v>
      </c>
      <c r="E355" t="s">
        <v>588</v>
      </c>
      <c r="H355" t="s">
        <v>905</v>
      </c>
      <c r="M355" s="134">
        <v>0</v>
      </c>
      <c r="N355" s="134">
        <v>0</v>
      </c>
      <c r="O355" t="s">
        <v>2392</v>
      </c>
      <c r="P355" t="s">
        <v>2393</v>
      </c>
      <c r="Q355" t="s">
        <v>29</v>
      </c>
      <c r="R355" t="s">
        <v>2394</v>
      </c>
      <c r="U355" t="s">
        <v>491</v>
      </c>
      <c r="X355">
        <v>1</v>
      </c>
    </row>
    <row r="356" spans="1:24" x14ac:dyDescent="0.25">
      <c r="A356" s="234">
        <v>42529</v>
      </c>
      <c r="B356" t="s">
        <v>378</v>
      </c>
      <c r="C356" t="s">
        <v>623</v>
      </c>
      <c r="D356" t="s">
        <v>930</v>
      </c>
      <c r="E356" t="s">
        <v>821</v>
      </c>
      <c r="F356" t="s">
        <v>2416</v>
      </c>
      <c r="H356" t="s">
        <v>2429</v>
      </c>
      <c r="M356" s="134">
        <v>0</v>
      </c>
      <c r="N356" s="134">
        <v>0</v>
      </c>
      <c r="O356" t="s">
        <v>2419</v>
      </c>
      <c r="P356" t="s">
        <v>2417</v>
      </c>
      <c r="Q356" t="s">
        <v>592</v>
      </c>
      <c r="R356" t="s">
        <v>2428</v>
      </c>
      <c r="U356" t="s">
        <v>491</v>
      </c>
      <c r="X356">
        <v>0</v>
      </c>
    </row>
    <row r="357" spans="1:24" x14ac:dyDescent="0.25">
      <c r="A357" s="234">
        <v>42529</v>
      </c>
      <c r="B357" t="s">
        <v>378</v>
      </c>
      <c r="C357" t="s">
        <v>623</v>
      </c>
      <c r="D357" t="s">
        <v>930</v>
      </c>
      <c r="E357" t="s">
        <v>821</v>
      </c>
      <c r="F357" t="s">
        <v>2418</v>
      </c>
      <c r="H357" t="s">
        <v>843</v>
      </c>
      <c r="M357" s="134">
        <v>0</v>
      </c>
      <c r="N357" s="134">
        <v>0</v>
      </c>
      <c r="O357" t="s">
        <v>2420</v>
      </c>
      <c r="P357" t="s">
        <v>2421</v>
      </c>
      <c r="Q357" t="s">
        <v>592</v>
      </c>
      <c r="U357" t="s">
        <v>491</v>
      </c>
      <c r="X357">
        <v>0</v>
      </c>
    </row>
    <row r="358" spans="1:24" x14ac:dyDescent="0.25">
      <c r="A358" s="234">
        <v>42529</v>
      </c>
      <c r="B358" t="s">
        <v>378</v>
      </c>
      <c r="C358" t="s">
        <v>623</v>
      </c>
      <c r="D358" t="s">
        <v>625</v>
      </c>
      <c r="E358" t="s">
        <v>821</v>
      </c>
      <c r="M358" s="134">
        <v>0</v>
      </c>
      <c r="N358" s="134">
        <v>0</v>
      </c>
      <c r="O358" t="s">
        <v>2419</v>
      </c>
      <c r="P358" t="s">
        <v>2422</v>
      </c>
      <c r="Q358" t="s">
        <v>592</v>
      </c>
      <c r="U358" t="s">
        <v>491</v>
      </c>
      <c r="X358">
        <v>0</v>
      </c>
    </row>
    <row r="359" spans="1:24" x14ac:dyDescent="0.25">
      <c r="A359" s="234">
        <v>42529</v>
      </c>
      <c r="B359" t="s">
        <v>378</v>
      </c>
      <c r="C359" t="s">
        <v>610</v>
      </c>
      <c r="D359" t="s">
        <v>1027</v>
      </c>
      <c r="E359" t="s">
        <v>1707</v>
      </c>
      <c r="F359" t="s">
        <v>2423</v>
      </c>
      <c r="H359" t="s">
        <v>607</v>
      </c>
      <c r="I359" t="s">
        <v>2424</v>
      </c>
      <c r="M359" s="134">
        <v>0</v>
      </c>
      <c r="N359" s="134">
        <v>0</v>
      </c>
      <c r="O359" t="s">
        <v>1498</v>
      </c>
      <c r="P359" t="s">
        <v>2425</v>
      </c>
      <c r="Q359" t="s">
        <v>592</v>
      </c>
      <c r="R359" t="s">
        <v>2426</v>
      </c>
      <c r="U359" t="s">
        <v>491</v>
      </c>
      <c r="X359">
        <v>0</v>
      </c>
    </row>
    <row r="360" spans="1:24" x14ac:dyDescent="0.25">
      <c r="A360" s="234">
        <v>42530</v>
      </c>
      <c r="B360" t="s">
        <v>378</v>
      </c>
      <c r="C360" t="s">
        <v>623</v>
      </c>
      <c r="D360" t="s">
        <v>625</v>
      </c>
      <c r="E360" t="s">
        <v>821</v>
      </c>
      <c r="F360" t="s">
        <v>2431</v>
      </c>
      <c r="H360" t="s">
        <v>886</v>
      </c>
      <c r="I360" t="s">
        <v>630</v>
      </c>
      <c r="M360" s="134">
        <v>0</v>
      </c>
      <c r="N360" s="134">
        <v>0</v>
      </c>
      <c r="P360" t="s">
        <v>2432</v>
      </c>
      <c r="Q360" t="s">
        <v>620</v>
      </c>
      <c r="R360" t="s">
        <v>2433</v>
      </c>
      <c r="S360" t="s">
        <v>2437</v>
      </c>
      <c r="U360" t="s">
        <v>491</v>
      </c>
      <c r="X360">
        <v>0</v>
      </c>
    </row>
    <row r="361" spans="1:24" x14ac:dyDescent="0.25">
      <c r="A361" s="234">
        <v>42531</v>
      </c>
      <c r="B361" t="s">
        <v>594</v>
      </c>
      <c r="C361" t="s">
        <v>959</v>
      </c>
      <c r="D361" t="s">
        <v>732</v>
      </c>
      <c r="E361" t="s">
        <v>588</v>
      </c>
      <c r="F361" t="s">
        <v>2442</v>
      </c>
      <c r="H361" t="s">
        <v>607</v>
      </c>
      <c r="M361" s="134">
        <v>0</v>
      </c>
      <c r="N361" s="134">
        <v>0</v>
      </c>
      <c r="O361" t="s">
        <v>2443</v>
      </c>
      <c r="P361" t="s">
        <v>2444</v>
      </c>
      <c r="Q361" t="s">
        <v>1939</v>
      </c>
      <c r="R361" t="s">
        <v>2445</v>
      </c>
      <c r="U361" t="s">
        <v>491</v>
      </c>
      <c r="X361">
        <v>0</v>
      </c>
    </row>
    <row r="362" spans="1:24" x14ac:dyDescent="0.25">
      <c r="A362" s="234">
        <v>42531</v>
      </c>
      <c r="B362" t="s">
        <v>594</v>
      </c>
      <c r="C362" t="s">
        <v>1883</v>
      </c>
      <c r="D362" t="s">
        <v>2454</v>
      </c>
      <c r="E362" t="s">
        <v>588</v>
      </c>
      <c r="H362" t="s">
        <v>905</v>
      </c>
      <c r="M362" s="134">
        <v>0</v>
      </c>
      <c r="N362" s="134">
        <v>0</v>
      </c>
      <c r="O362" t="s">
        <v>2455</v>
      </c>
      <c r="P362" t="s">
        <v>2459</v>
      </c>
      <c r="Q362" t="s">
        <v>620</v>
      </c>
      <c r="R362" t="s">
        <v>2456</v>
      </c>
      <c r="U362" t="s">
        <v>491</v>
      </c>
      <c r="X362">
        <v>0</v>
      </c>
    </row>
    <row r="363" spans="1:24" x14ac:dyDescent="0.25">
      <c r="A363" s="234">
        <v>42535</v>
      </c>
      <c r="B363" t="s">
        <v>328</v>
      </c>
      <c r="C363" t="s">
        <v>603</v>
      </c>
      <c r="D363" t="s">
        <v>2500</v>
      </c>
      <c r="E363" t="s">
        <v>588</v>
      </c>
      <c r="F363" t="s">
        <v>2501</v>
      </c>
      <c r="H363" t="s">
        <v>2510</v>
      </c>
      <c r="I363" t="s">
        <v>2502</v>
      </c>
      <c r="M363" s="134">
        <v>0</v>
      </c>
      <c r="N363" s="134">
        <v>0</v>
      </c>
      <c r="O363" t="s">
        <v>2503</v>
      </c>
      <c r="P363" t="s">
        <v>2504</v>
      </c>
      <c r="Q363" t="s">
        <v>1939</v>
      </c>
      <c r="R363" t="s">
        <v>2505</v>
      </c>
      <c r="U363" t="s">
        <v>491</v>
      </c>
      <c r="X363">
        <v>0</v>
      </c>
    </row>
    <row r="364" spans="1:24" x14ac:dyDescent="0.25">
      <c r="A364" s="234">
        <v>42535</v>
      </c>
      <c r="B364" t="s">
        <v>378</v>
      </c>
      <c r="C364" t="s">
        <v>623</v>
      </c>
      <c r="D364" t="s">
        <v>625</v>
      </c>
      <c r="E364" t="s">
        <v>1707</v>
      </c>
      <c r="M364" s="134">
        <v>0</v>
      </c>
      <c r="N364" s="134">
        <v>0</v>
      </c>
      <c r="O364" t="s">
        <v>2497</v>
      </c>
      <c r="P364" t="s">
        <v>2498</v>
      </c>
      <c r="Q364" t="s">
        <v>1939</v>
      </c>
      <c r="R364" t="s">
        <v>2499</v>
      </c>
      <c r="U364" t="s">
        <v>491</v>
      </c>
      <c r="X364">
        <v>0</v>
      </c>
    </row>
    <row r="365" spans="1:24" x14ac:dyDescent="0.25">
      <c r="A365" s="234">
        <v>42537</v>
      </c>
      <c r="B365" t="s">
        <v>328</v>
      </c>
      <c r="C365" t="s">
        <v>603</v>
      </c>
      <c r="D365" t="s">
        <v>1471</v>
      </c>
      <c r="E365" t="s">
        <v>588</v>
      </c>
      <c r="F365" t="s">
        <v>2571</v>
      </c>
      <c r="H365" t="s">
        <v>1119</v>
      </c>
      <c r="M365" s="134">
        <v>0</v>
      </c>
      <c r="N365" s="134">
        <v>0</v>
      </c>
      <c r="O365" t="s">
        <v>1539</v>
      </c>
      <c r="P365" t="s">
        <v>2569</v>
      </c>
      <c r="Q365" t="s">
        <v>1612</v>
      </c>
      <c r="R365" t="s">
        <v>2570</v>
      </c>
      <c r="S365" t="s">
        <v>2740</v>
      </c>
      <c r="U365" t="s">
        <v>491</v>
      </c>
      <c r="X365">
        <v>0</v>
      </c>
    </row>
    <row r="366" spans="1:24" x14ac:dyDescent="0.25">
      <c r="A366" s="234">
        <v>42537</v>
      </c>
      <c r="B366" t="s">
        <v>328</v>
      </c>
      <c r="C366" t="s">
        <v>603</v>
      </c>
      <c r="D366" t="s">
        <v>587</v>
      </c>
      <c r="E366" t="s">
        <v>588</v>
      </c>
      <c r="F366" t="s">
        <v>2550</v>
      </c>
      <c r="H366" t="s">
        <v>607</v>
      </c>
      <c r="M366" s="134">
        <v>0</v>
      </c>
      <c r="N366" s="134">
        <v>0</v>
      </c>
      <c r="O366" t="s">
        <v>2551</v>
      </c>
      <c r="P366" t="s">
        <v>2552</v>
      </c>
      <c r="Q366" t="s">
        <v>1939</v>
      </c>
      <c r="R366" t="s">
        <v>2553</v>
      </c>
      <c r="U366" t="s">
        <v>491</v>
      </c>
      <c r="X366">
        <v>0</v>
      </c>
    </row>
    <row r="367" spans="1:24" x14ac:dyDescent="0.25">
      <c r="A367" s="234">
        <v>42541</v>
      </c>
      <c r="B367" t="s">
        <v>378</v>
      </c>
      <c r="C367" t="s">
        <v>610</v>
      </c>
      <c r="D367" t="s">
        <v>1027</v>
      </c>
      <c r="E367" t="s">
        <v>821</v>
      </c>
      <c r="M367" s="134">
        <v>0</v>
      </c>
      <c r="N367" s="134">
        <v>0</v>
      </c>
      <c r="O367" t="s">
        <v>2607</v>
      </c>
      <c r="P367" t="s">
        <v>2608</v>
      </c>
      <c r="Q367" t="s">
        <v>592</v>
      </c>
      <c r="U367" t="s">
        <v>491</v>
      </c>
      <c r="X367">
        <v>0</v>
      </c>
    </row>
    <row r="368" spans="1:24" x14ac:dyDescent="0.25">
      <c r="A368" s="234">
        <v>42541</v>
      </c>
      <c r="B368" t="s">
        <v>378</v>
      </c>
      <c r="C368" t="s">
        <v>623</v>
      </c>
      <c r="D368" t="s">
        <v>625</v>
      </c>
      <c r="E368" t="s">
        <v>588</v>
      </c>
      <c r="F368" t="s">
        <v>2614</v>
      </c>
      <c r="M368" s="134">
        <v>0</v>
      </c>
      <c r="N368" s="134">
        <v>0</v>
      </c>
      <c r="O368" t="s">
        <v>2612</v>
      </c>
      <c r="P368" t="s">
        <v>2613</v>
      </c>
      <c r="Q368" t="s">
        <v>1612</v>
      </c>
      <c r="R368" t="s">
        <v>2615</v>
      </c>
      <c r="U368" t="s">
        <v>491</v>
      </c>
      <c r="X368">
        <v>0</v>
      </c>
    </row>
    <row r="369" spans="1:24" x14ac:dyDescent="0.25">
      <c r="A369" s="234">
        <v>42542</v>
      </c>
      <c r="B369" t="s">
        <v>378</v>
      </c>
      <c r="C369" t="s">
        <v>623</v>
      </c>
      <c r="D369" t="s">
        <v>930</v>
      </c>
      <c r="E369" t="s">
        <v>821</v>
      </c>
      <c r="M369" s="134">
        <v>0</v>
      </c>
      <c r="N369" s="134">
        <v>0</v>
      </c>
      <c r="O369" t="s">
        <v>2616</v>
      </c>
      <c r="P369" t="s">
        <v>2617</v>
      </c>
      <c r="Q369" t="s">
        <v>592</v>
      </c>
      <c r="U369" t="s">
        <v>491</v>
      </c>
      <c r="X369">
        <v>0</v>
      </c>
    </row>
    <row r="370" spans="1:24" x14ac:dyDescent="0.25">
      <c r="A370" s="234">
        <v>42542</v>
      </c>
      <c r="B370" t="s">
        <v>378</v>
      </c>
      <c r="C370" t="s">
        <v>610</v>
      </c>
      <c r="D370" t="s">
        <v>1027</v>
      </c>
      <c r="E370" t="s">
        <v>821</v>
      </c>
      <c r="M370" s="134">
        <v>0</v>
      </c>
      <c r="N370" s="134">
        <v>0</v>
      </c>
      <c r="O370" t="s">
        <v>1272</v>
      </c>
      <c r="P370" t="s">
        <v>2618</v>
      </c>
      <c r="Q370" t="s">
        <v>592</v>
      </c>
      <c r="R370" t="s">
        <v>2619</v>
      </c>
      <c r="U370" t="s">
        <v>491</v>
      </c>
      <c r="X370">
        <v>0</v>
      </c>
    </row>
    <row r="371" spans="1:24" x14ac:dyDescent="0.25">
      <c r="A371" s="234">
        <v>42542</v>
      </c>
      <c r="B371" t="s">
        <v>378</v>
      </c>
      <c r="C371" t="s">
        <v>610</v>
      </c>
      <c r="D371" t="s">
        <v>732</v>
      </c>
      <c r="E371" t="s">
        <v>1707</v>
      </c>
      <c r="H371" t="s">
        <v>607</v>
      </c>
      <c r="M371" s="134">
        <v>0</v>
      </c>
      <c r="N371" s="134">
        <v>0</v>
      </c>
      <c r="O371" t="s">
        <v>2625</v>
      </c>
      <c r="P371" t="s">
        <v>2626</v>
      </c>
      <c r="Q371" t="s">
        <v>592</v>
      </c>
      <c r="U371" t="s">
        <v>491</v>
      </c>
      <c r="X371">
        <v>0</v>
      </c>
    </row>
    <row r="372" spans="1:24" x14ac:dyDescent="0.25">
      <c r="A372" s="234">
        <v>42543</v>
      </c>
      <c r="B372" t="s">
        <v>378</v>
      </c>
      <c r="C372" t="s">
        <v>623</v>
      </c>
      <c r="D372" t="s">
        <v>625</v>
      </c>
      <c r="E372" t="s">
        <v>821</v>
      </c>
      <c r="F372" t="s">
        <v>2636</v>
      </c>
      <c r="H372" t="s">
        <v>886</v>
      </c>
      <c r="M372" s="134">
        <v>0</v>
      </c>
      <c r="N372" s="134">
        <v>0</v>
      </c>
      <c r="O372" t="s">
        <v>2295</v>
      </c>
      <c r="P372" t="s">
        <v>2637</v>
      </c>
      <c r="Q372" t="s">
        <v>1939</v>
      </c>
      <c r="R372" t="s">
        <v>2638</v>
      </c>
      <c r="U372" t="s">
        <v>491</v>
      </c>
      <c r="X372">
        <v>0</v>
      </c>
    </row>
    <row r="373" spans="1:24" x14ac:dyDescent="0.25">
      <c r="A373" s="234">
        <v>42544</v>
      </c>
      <c r="B373" t="s">
        <v>594</v>
      </c>
      <c r="C373" t="s">
        <v>1883</v>
      </c>
      <c r="D373" t="s">
        <v>595</v>
      </c>
      <c r="E373" t="s">
        <v>821</v>
      </c>
      <c r="F373" t="s">
        <v>2647</v>
      </c>
      <c r="H373" t="s">
        <v>607</v>
      </c>
      <c r="M373" s="134">
        <v>0</v>
      </c>
      <c r="N373" s="134">
        <v>0</v>
      </c>
      <c r="O373" t="s">
        <v>1844</v>
      </c>
      <c r="P373" t="s">
        <v>2648</v>
      </c>
      <c r="Q373" t="s">
        <v>592</v>
      </c>
      <c r="U373" t="s">
        <v>491</v>
      </c>
      <c r="X373">
        <v>0</v>
      </c>
    </row>
    <row r="374" spans="1:24" x14ac:dyDescent="0.25">
      <c r="A374" s="234">
        <v>42544</v>
      </c>
      <c r="B374" t="s">
        <v>378</v>
      </c>
      <c r="C374" t="s">
        <v>623</v>
      </c>
      <c r="D374" t="s">
        <v>625</v>
      </c>
      <c r="E374" t="s">
        <v>821</v>
      </c>
      <c r="M374" s="134">
        <v>0</v>
      </c>
      <c r="N374" s="134">
        <v>0</v>
      </c>
      <c r="O374" t="s">
        <v>2651</v>
      </c>
      <c r="P374" t="s">
        <v>2652</v>
      </c>
      <c r="Q374" t="s">
        <v>592</v>
      </c>
      <c r="U374" t="s">
        <v>491</v>
      </c>
      <c r="X374">
        <v>0</v>
      </c>
    </row>
    <row r="375" spans="1:24" x14ac:dyDescent="0.25">
      <c r="A375" s="234">
        <v>42549</v>
      </c>
      <c r="B375" t="s">
        <v>378</v>
      </c>
      <c r="C375" t="s">
        <v>623</v>
      </c>
      <c r="D375" t="s">
        <v>625</v>
      </c>
      <c r="E375" t="s">
        <v>821</v>
      </c>
      <c r="H375" t="s">
        <v>1050</v>
      </c>
      <c r="M375" s="134">
        <v>0</v>
      </c>
      <c r="N375" s="134">
        <v>0</v>
      </c>
      <c r="O375" t="s">
        <v>2691</v>
      </c>
      <c r="P375" t="s">
        <v>2692</v>
      </c>
      <c r="Q375" t="s">
        <v>1939</v>
      </c>
      <c r="R375" t="s">
        <v>2693</v>
      </c>
      <c r="U375" t="s">
        <v>491</v>
      </c>
      <c r="X375">
        <v>0</v>
      </c>
    </row>
    <row r="376" spans="1:24" x14ac:dyDescent="0.25">
      <c r="A376" s="234">
        <v>42549</v>
      </c>
      <c r="B376" t="s">
        <v>378</v>
      </c>
      <c r="C376" t="s">
        <v>623</v>
      </c>
      <c r="D376" t="s">
        <v>625</v>
      </c>
      <c r="E376" t="s">
        <v>821</v>
      </c>
      <c r="H376" t="s">
        <v>905</v>
      </c>
      <c r="M376" s="134">
        <v>0</v>
      </c>
      <c r="N376" s="134">
        <v>0</v>
      </c>
      <c r="O376" t="s">
        <v>2698</v>
      </c>
      <c r="P376" t="s">
        <v>2699</v>
      </c>
      <c r="Q376" t="s">
        <v>1939</v>
      </c>
      <c r="U376" t="s">
        <v>491</v>
      </c>
      <c r="X376">
        <v>0</v>
      </c>
    </row>
    <row r="377" spans="1:24" x14ac:dyDescent="0.25">
      <c r="A377" s="234">
        <v>42550</v>
      </c>
      <c r="B377" t="s">
        <v>378</v>
      </c>
      <c r="C377" t="s">
        <v>610</v>
      </c>
      <c r="D377" t="s">
        <v>732</v>
      </c>
      <c r="E377" t="s">
        <v>692</v>
      </c>
      <c r="F377" t="s">
        <v>2704</v>
      </c>
      <c r="H377" t="s">
        <v>607</v>
      </c>
      <c r="M377" s="134">
        <v>0</v>
      </c>
      <c r="N377" s="134">
        <v>0</v>
      </c>
      <c r="O377" t="s">
        <v>2705</v>
      </c>
      <c r="P377" t="s">
        <v>2706</v>
      </c>
      <c r="Q377" t="s">
        <v>592</v>
      </c>
      <c r="U377" t="s">
        <v>491</v>
      </c>
      <c r="X377">
        <v>0</v>
      </c>
    </row>
    <row r="378" spans="1:24" x14ac:dyDescent="0.25">
      <c r="A378" s="234">
        <v>42550</v>
      </c>
      <c r="B378" t="s">
        <v>643</v>
      </c>
      <c r="C378" t="s">
        <v>644</v>
      </c>
      <c r="D378" t="s">
        <v>645</v>
      </c>
      <c r="E378" t="s">
        <v>588</v>
      </c>
      <c r="F378" t="s">
        <v>2710</v>
      </c>
      <c r="H378" t="s">
        <v>2711</v>
      </c>
      <c r="I378" t="s">
        <v>2712</v>
      </c>
      <c r="M378" s="134">
        <v>0</v>
      </c>
      <c r="N378" s="134">
        <v>0</v>
      </c>
      <c r="O378" t="s">
        <v>2713</v>
      </c>
      <c r="P378" t="s">
        <v>2714</v>
      </c>
      <c r="Q378" t="s">
        <v>29</v>
      </c>
      <c r="U378" t="s">
        <v>491</v>
      </c>
      <c r="X378">
        <v>1</v>
      </c>
    </row>
    <row r="379" spans="1:24" x14ac:dyDescent="0.25">
      <c r="A379" s="234">
        <v>42551</v>
      </c>
      <c r="B379" t="s">
        <v>378</v>
      </c>
      <c r="C379" t="s">
        <v>623</v>
      </c>
      <c r="D379" t="s">
        <v>624</v>
      </c>
      <c r="E379" t="s">
        <v>588</v>
      </c>
      <c r="H379" t="s">
        <v>886</v>
      </c>
      <c r="M379" s="134">
        <v>0</v>
      </c>
      <c r="N379" s="134">
        <v>0</v>
      </c>
      <c r="O379" t="s">
        <v>2738</v>
      </c>
      <c r="P379" t="s">
        <v>2739</v>
      </c>
      <c r="Q379" t="s">
        <v>1939</v>
      </c>
      <c r="U379" t="s">
        <v>491</v>
      </c>
      <c r="X379">
        <v>0</v>
      </c>
    </row>
    <row r="380" spans="1:24" x14ac:dyDescent="0.25">
      <c r="A380" s="234">
        <v>42551</v>
      </c>
      <c r="B380" t="s">
        <v>378</v>
      </c>
      <c r="C380" t="s">
        <v>623</v>
      </c>
      <c r="D380" t="s">
        <v>625</v>
      </c>
      <c r="E380" t="s">
        <v>821</v>
      </c>
      <c r="M380" s="134">
        <v>0</v>
      </c>
      <c r="N380" s="134">
        <v>0</v>
      </c>
      <c r="O380" t="s">
        <v>2741</v>
      </c>
      <c r="P380" t="s">
        <v>2742</v>
      </c>
      <c r="Q380" t="s">
        <v>1939</v>
      </c>
      <c r="R380" t="s">
        <v>2743</v>
      </c>
      <c r="U380" t="s">
        <v>491</v>
      </c>
      <c r="X380">
        <v>0</v>
      </c>
    </row>
    <row r="381" spans="1:24" x14ac:dyDescent="0.25">
      <c r="A381" s="234">
        <v>42551</v>
      </c>
      <c r="B381" t="s">
        <v>250</v>
      </c>
      <c r="C381" t="s">
        <v>833</v>
      </c>
      <c r="D381" t="s">
        <v>1006</v>
      </c>
      <c r="E381" t="s">
        <v>821</v>
      </c>
      <c r="I381" t="s">
        <v>2748</v>
      </c>
      <c r="M381" s="134">
        <v>0</v>
      </c>
      <c r="N381" s="134">
        <v>0</v>
      </c>
      <c r="O381" t="s">
        <v>2749</v>
      </c>
      <c r="P381" t="s">
        <v>2750</v>
      </c>
      <c r="Q381" t="s">
        <v>29</v>
      </c>
      <c r="U381" t="s">
        <v>491</v>
      </c>
      <c r="X381">
        <v>1</v>
      </c>
    </row>
    <row r="382" spans="1:24" x14ac:dyDescent="0.25">
      <c r="A382" s="234">
        <v>42551</v>
      </c>
      <c r="B382" t="s">
        <v>328</v>
      </c>
      <c r="C382" t="s">
        <v>603</v>
      </c>
      <c r="D382" t="s">
        <v>672</v>
      </c>
      <c r="E382" t="s">
        <v>588</v>
      </c>
      <c r="F382" t="s">
        <v>2734</v>
      </c>
      <c r="H382" t="s">
        <v>607</v>
      </c>
      <c r="I382" t="s">
        <v>2735</v>
      </c>
      <c r="M382" s="134">
        <v>0</v>
      </c>
      <c r="N382" s="134">
        <v>0</v>
      </c>
      <c r="O382" t="s">
        <v>2736</v>
      </c>
      <c r="P382" t="s">
        <v>2737</v>
      </c>
      <c r="Q382" t="s">
        <v>592</v>
      </c>
      <c r="U382" t="s">
        <v>491</v>
      </c>
      <c r="X382">
        <v>0</v>
      </c>
    </row>
    <row r="383" spans="1:24" x14ac:dyDescent="0.25">
      <c r="A383" s="234">
        <v>42558</v>
      </c>
      <c r="B383" t="s">
        <v>378</v>
      </c>
      <c r="C383" t="s">
        <v>623</v>
      </c>
      <c r="D383" t="s">
        <v>625</v>
      </c>
      <c r="E383" t="s">
        <v>821</v>
      </c>
      <c r="H383" t="s">
        <v>1890</v>
      </c>
      <c r="I383" t="s">
        <v>2786</v>
      </c>
      <c r="M383" s="134">
        <v>0</v>
      </c>
      <c r="N383" s="134">
        <v>0</v>
      </c>
      <c r="O383" t="s">
        <v>2784</v>
      </c>
      <c r="P383" t="s">
        <v>2785</v>
      </c>
      <c r="Q383" t="s">
        <v>592</v>
      </c>
      <c r="U383" t="s">
        <v>491</v>
      </c>
      <c r="X383">
        <v>0</v>
      </c>
    </row>
    <row r="384" spans="1:24" x14ac:dyDescent="0.25">
      <c r="A384" s="234">
        <v>42558</v>
      </c>
      <c r="B384" t="s">
        <v>328</v>
      </c>
      <c r="C384" t="s">
        <v>603</v>
      </c>
      <c r="D384" t="s">
        <v>649</v>
      </c>
      <c r="E384" t="s">
        <v>821</v>
      </c>
      <c r="M384" s="134">
        <v>0</v>
      </c>
      <c r="N384" s="134">
        <v>0</v>
      </c>
      <c r="O384" t="s">
        <v>2799</v>
      </c>
      <c r="P384" t="s">
        <v>2800</v>
      </c>
      <c r="Q384" t="s">
        <v>1939</v>
      </c>
      <c r="R384" t="s">
        <v>2801</v>
      </c>
      <c r="U384" t="s">
        <v>491</v>
      </c>
      <c r="X384">
        <v>0</v>
      </c>
    </row>
    <row r="385" spans="1:24" x14ac:dyDescent="0.25">
      <c r="A385" s="234">
        <v>42559</v>
      </c>
      <c r="B385" t="s">
        <v>328</v>
      </c>
      <c r="C385" t="s">
        <v>603</v>
      </c>
      <c r="D385" t="s">
        <v>1401</v>
      </c>
      <c r="E385" t="s">
        <v>821</v>
      </c>
      <c r="H385" t="s">
        <v>607</v>
      </c>
      <c r="I385" t="s">
        <v>2811</v>
      </c>
      <c r="M385" s="134">
        <v>0</v>
      </c>
      <c r="N385" s="134">
        <v>0</v>
      </c>
      <c r="O385" t="s">
        <v>2819</v>
      </c>
      <c r="P385" t="s">
        <v>2820</v>
      </c>
      <c r="Q385" t="s">
        <v>29</v>
      </c>
      <c r="U385" t="s">
        <v>491</v>
      </c>
      <c r="X385">
        <v>1</v>
      </c>
    </row>
    <row r="386" spans="1:24" x14ac:dyDescent="0.25">
      <c r="A386" s="234">
        <v>42562</v>
      </c>
      <c r="B386" t="s">
        <v>277</v>
      </c>
      <c r="D386" t="s">
        <v>2836</v>
      </c>
      <c r="E386" t="s">
        <v>821</v>
      </c>
      <c r="M386" s="134">
        <v>0</v>
      </c>
      <c r="N386" s="134">
        <v>0</v>
      </c>
      <c r="O386" t="s">
        <v>2837</v>
      </c>
      <c r="P386" t="s">
        <v>2838</v>
      </c>
      <c r="Q386" t="s">
        <v>1939</v>
      </c>
      <c r="R386" t="s">
        <v>2839</v>
      </c>
      <c r="U386" t="s">
        <v>491</v>
      </c>
      <c r="X386">
        <v>0</v>
      </c>
    </row>
    <row r="387" spans="1:24" x14ac:dyDescent="0.25">
      <c r="A387" s="234">
        <v>42564</v>
      </c>
      <c r="B387" t="s">
        <v>328</v>
      </c>
      <c r="C387" t="s">
        <v>603</v>
      </c>
      <c r="D387" t="s">
        <v>587</v>
      </c>
      <c r="E387" t="s">
        <v>821</v>
      </c>
      <c r="H387" t="s">
        <v>607</v>
      </c>
      <c r="M387" s="134">
        <v>0</v>
      </c>
      <c r="N387" s="134">
        <v>0</v>
      </c>
      <c r="O387" t="s">
        <v>2875</v>
      </c>
      <c r="P387" t="s">
        <v>2873</v>
      </c>
      <c r="Q387" t="s">
        <v>592</v>
      </c>
      <c r="R387" t="s">
        <v>2874</v>
      </c>
      <c r="U387" t="s">
        <v>491</v>
      </c>
      <c r="X387">
        <v>0</v>
      </c>
    </row>
    <row r="388" spans="1:24" x14ac:dyDescent="0.25">
      <c r="A388" s="234">
        <v>42569</v>
      </c>
      <c r="B388" t="s">
        <v>328</v>
      </c>
      <c r="C388" t="s">
        <v>603</v>
      </c>
      <c r="D388" t="s">
        <v>1471</v>
      </c>
      <c r="E388" t="s">
        <v>821</v>
      </c>
      <c r="F388" t="s">
        <v>2907</v>
      </c>
      <c r="H388" t="s">
        <v>607</v>
      </c>
      <c r="M388" s="134">
        <v>0</v>
      </c>
      <c r="N388" s="134">
        <v>0</v>
      </c>
      <c r="O388" t="s">
        <v>2908</v>
      </c>
      <c r="P388" t="s">
        <v>2909</v>
      </c>
      <c r="Q388" t="s">
        <v>29</v>
      </c>
      <c r="R388" t="s">
        <v>2910</v>
      </c>
      <c r="U388" t="s">
        <v>491</v>
      </c>
      <c r="X388">
        <v>1</v>
      </c>
    </row>
    <row r="389" spans="1:24" x14ac:dyDescent="0.25">
      <c r="A389" s="234">
        <v>42570</v>
      </c>
      <c r="B389" t="s">
        <v>328</v>
      </c>
      <c r="C389" t="s">
        <v>603</v>
      </c>
      <c r="D389" t="s">
        <v>1471</v>
      </c>
      <c r="E389" t="s">
        <v>588</v>
      </c>
      <c r="F389" t="s">
        <v>2927</v>
      </c>
      <c r="H389" t="s">
        <v>607</v>
      </c>
      <c r="M389" s="134">
        <v>0</v>
      </c>
      <c r="N389" s="134">
        <v>0</v>
      </c>
      <c r="O389" t="s">
        <v>2928</v>
      </c>
      <c r="P389" t="s">
        <v>2929</v>
      </c>
      <c r="Q389" t="s">
        <v>592</v>
      </c>
      <c r="R389" t="s">
        <v>2930</v>
      </c>
      <c r="U389" t="s">
        <v>491</v>
      </c>
      <c r="X389">
        <v>0</v>
      </c>
    </row>
    <row r="390" spans="1:24" x14ac:dyDescent="0.25">
      <c r="A390" s="234">
        <v>42576</v>
      </c>
      <c r="B390" t="s">
        <v>378</v>
      </c>
      <c r="C390" t="s">
        <v>623</v>
      </c>
      <c r="D390" t="s">
        <v>930</v>
      </c>
      <c r="E390" t="s">
        <v>821</v>
      </c>
      <c r="F390" t="s">
        <v>3009</v>
      </c>
      <c r="H390" t="s">
        <v>1626</v>
      </c>
      <c r="M390" s="134">
        <v>0</v>
      </c>
      <c r="N390" s="134">
        <v>0</v>
      </c>
      <c r="O390" t="s">
        <v>3010</v>
      </c>
      <c r="P390" t="s">
        <v>3012</v>
      </c>
      <c r="Q390" t="s">
        <v>1939</v>
      </c>
      <c r="R390" t="s">
        <v>3011</v>
      </c>
      <c r="U390" t="s">
        <v>491</v>
      </c>
      <c r="X390">
        <v>0</v>
      </c>
    </row>
    <row r="391" spans="1:24" x14ac:dyDescent="0.25">
      <c r="A391" s="234">
        <v>42576</v>
      </c>
      <c r="B391" t="s">
        <v>378</v>
      </c>
      <c r="C391" t="s">
        <v>610</v>
      </c>
      <c r="D391" t="s">
        <v>1027</v>
      </c>
      <c r="E391" t="s">
        <v>821</v>
      </c>
      <c r="H391" t="s">
        <v>607</v>
      </c>
      <c r="M391" s="134">
        <v>0</v>
      </c>
      <c r="N391" s="134">
        <v>0</v>
      </c>
      <c r="O391" t="s">
        <v>3021</v>
      </c>
      <c r="P391" t="s">
        <v>3022</v>
      </c>
      <c r="Q391" t="s">
        <v>592</v>
      </c>
      <c r="R391" t="s">
        <v>3023</v>
      </c>
      <c r="U391" t="s">
        <v>491</v>
      </c>
      <c r="X391">
        <v>0</v>
      </c>
    </row>
    <row r="392" spans="1:24" x14ac:dyDescent="0.25">
      <c r="A392" s="234">
        <v>42578</v>
      </c>
      <c r="B392" t="s">
        <v>378</v>
      </c>
      <c r="C392" t="s">
        <v>610</v>
      </c>
      <c r="D392" t="s">
        <v>1027</v>
      </c>
      <c r="E392" t="s">
        <v>588</v>
      </c>
      <c r="H392" t="s">
        <v>607</v>
      </c>
      <c r="M392" s="134">
        <v>0</v>
      </c>
      <c r="N392" s="134">
        <v>0</v>
      </c>
      <c r="O392" t="s">
        <v>3072</v>
      </c>
      <c r="P392" t="s">
        <v>3073</v>
      </c>
      <c r="Q392" t="s">
        <v>1939</v>
      </c>
      <c r="R392" t="s">
        <v>3074</v>
      </c>
      <c r="U392" t="s">
        <v>491</v>
      </c>
      <c r="X392">
        <v>0</v>
      </c>
    </row>
    <row r="393" spans="1:24" x14ac:dyDescent="0.25">
      <c r="A393" s="234">
        <v>42578</v>
      </c>
      <c r="B393" t="s">
        <v>378</v>
      </c>
      <c r="C393" t="s">
        <v>623</v>
      </c>
      <c r="D393" t="s">
        <v>930</v>
      </c>
      <c r="E393" t="s">
        <v>821</v>
      </c>
      <c r="H393" t="s">
        <v>607</v>
      </c>
      <c r="I393" t="s">
        <v>899</v>
      </c>
      <c r="M393" s="134">
        <v>0</v>
      </c>
      <c r="N393" s="134">
        <v>0</v>
      </c>
      <c r="O393" t="s">
        <v>1171</v>
      </c>
      <c r="P393" t="s">
        <v>3093</v>
      </c>
      <c r="Q393" t="s">
        <v>29</v>
      </c>
      <c r="U393" t="s">
        <v>491</v>
      </c>
      <c r="X393">
        <v>1</v>
      </c>
    </row>
    <row r="394" spans="1:24" x14ac:dyDescent="0.25">
      <c r="A394" s="234">
        <v>42578</v>
      </c>
      <c r="B394" t="s">
        <v>328</v>
      </c>
      <c r="C394" t="s">
        <v>603</v>
      </c>
      <c r="D394" t="s">
        <v>1471</v>
      </c>
      <c r="E394" t="s">
        <v>821</v>
      </c>
      <c r="H394" t="s">
        <v>607</v>
      </c>
      <c r="M394" s="134">
        <v>0</v>
      </c>
      <c r="N394" s="134">
        <v>0</v>
      </c>
      <c r="O394" t="s">
        <v>3064</v>
      </c>
      <c r="P394" t="s">
        <v>3065</v>
      </c>
      <c r="Q394" t="s">
        <v>1939</v>
      </c>
      <c r="R394" t="s">
        <v>3066</v>
      </c>
      <c r="U394" t="s">
        <v>491</v>
      </c>
      <c r="X394">
        <v>0</v>
      </c>
    </row>
    <row r="395" spans="1:24" x14ac:dyDescent="0.25">
      <c r="A395" s="234">
        <v>42580</v>
      </c>
      <c r="B395" t="s">
        <v>378</v>
      </c>
      <c r="C395" t="s">
        <v>610</v>
      </c>
      <c r="D395" t="s">
        <v>1027</v>
      </c>
      <c r="E395" t="s">
        <v>821</v>
      </c>
      <c r="F395" t="s">
        <v>3110</v>
      </c>
      <c r="H395" t="s">
        <v>607</v>
      </c>
      <c r="M395" s="134">
        <v>0</v>
      </c>
      <c r="N395" s="134">
        <v>0</v>
      </c>
      <c r="O395" t="s">
        <v>3111</v>
      </c>
      <c r="P395" t="s">
        <v>3112</v>
      </c>
      <c r="Q395" t="s">
        <v>1939</v>
      </c>
      <c r="R395" t="s">
        <v>3113</v>
      </c>
      <c r="U395" t="s">
        <v>491</v>
      </c>
      <c r="X395">
        <v>0</v>
      </c>
    </row>
    <row r="396" spans="1:24" x14ac:dyDescent="0.25">
      <c r="A396" s="234">
        <v>42579</v>
      </c>
      <c r="B396" t="s">
        <v>328</v>
      </c>
      <c r="C396" t="s">
        <v>603</v>
      </c>
      <c r="D396" t="s">
        <v>1471</v>
      </c>
      <c r="E396" t="s">
        <v>821</v>
      </c>
      <c r="H396" t="s">
        <v>607</v>
      </c>
      <c r="M396" s="134">
        <v>0</v>
      </c>
      <c r="N396" s="134">
        <v>0</v>
      </c>
      <c r="O396" t="s">
        <v>1802</v>
      </c>
      <c r="P396" t="s">
        <v>3108</v>
      </c>
      <c r="Q396" t="s">
        <v>592</v>
      </c>
      <c r="R396" t="s">
        <v>3109</v>
      </c>
      <c r="U396" t="s">
        <v>491</v>
      </c>
      <c r="X396">
        <v>0</v>
      </c>
    </row>
    <row r="397" spans="1:24" x14ac:dyDescent="0.25">
      <c r="A397" s="234">
        <v>42580</v>
      </c>
      <c r="B397" t="s">
        <v>328</v>
      </c>
      <c r="C397" t="s">
        <v>603</v>
      </c>
      <c r="D397" t="s">
        <v>1471</v>
      </c>
      <c r="E397" t="s">
        <v>588</v>
      </c>
      <c r="F397" t="s">
        <v>3129</v>
      </c>
      <c r="H397" t="s">
        <v>607</v>
      </c>
      <c r="I397" t="s">
        <v>1704</v>
      </c>
      <c r="M397" s="134">
        <v>0</v>
      </c>
      <c r="N397" s="134">
        <v>0</v>
      </c>
      <c r="O397" t="s">
        <v>2443</v>
      </c>
      <c r="P397" t="s">
        <v>3130</v>
      </c>
      <c r="Q397" t="s">
        <v>1939</v>
      </c>
      <c r="R397" t="s">
        <v>3131</v>
      </c>
      <c r="U397" t="s">
        <v>491</v>
      </c>
      <c r="X397">
        <v>0</v>
      </c>
    </row>
    <row r="398" spans="1:24" x14ac:dyDescent="0.25">
      <c r="A398" s="234">
        <v>42583</v>
      </c>
      <c r="B398" t="s">
        <v>328</v>
      </c>
      <c r="C398" t="s">
        <v>603</v>
      </c>
      <c r="D398" t="s">
        <v>672</v>
      </c>
      <c r="E398" t="s">
        <v>588</v>
      </c>
      <c r="M398" s="134">
        <v>0</v>
      </c>
      <c r="N398" s="134">
        <v>0</v>
      </c>
      <c r="O398" t="s">
        <v>3145</v>
      </c>
      <c r="P398" t="s">
        <v>3146</v>
      </c>
      <c r="Q398" t="s">
        <v>620</v>
      </c>
      <c r="R398" t="s">
        <v>3147</v>
      </c>
      <c r="U398" t="s">
        <v>491</v>
      </c>
      <c r="X398">
        <v>0</v>
      </c>
    </row>
    <row r="399" spans="1:24" x14ac:dyDescent="0.25">
      <c r="A399" s="234">
        <v>42584</v>
      </c>
      <c r="B399" t="s">
        <v>378</v>
      </c>
      <c r="C399" t="s">
        <v>623</v>
      </c>
      <c r="D399" t="s">
        <v>930</v>
      </c>
      <c r="E399" t="s">
        <v>821</v>
      </c>
      <c r="M399" s="134">
        <v>0</v>
      </c>
      <c r="N399" s="134">
        <v>0</v>
      </c>
      <c r="O399" t="s">
        <v>3178</v>
      </c>
      <c r="P399" t="s">
        <v>3179</v>
      </c>
      <c r="Q399" t="s">
        <v>592</v>
      </c>
      <c r="R399" t="s">
        <v>3180</v>
      </c>
      <c r="U399" t="s">
        <v>491</v>
      </c>
      <c r="X399">
        <v>0</v>
      </c>
    </row>
    <row r="400" spans="1:24" x14ac:dyDescent="0.25">
      <c r="A400" s="234">
        <v>42584</v>
      </c>
      <c r="B400" t="s">
        <v>328</v>
      </c>
      <c r="C400" t="s">
        <v>603</v>
      </c>
      <c r="D400" t="s">
        <v>1401</v>
      </c>
      <c r="E400" t="s">
        <v>821</v>
      </c>
      <c r="M400" s="134">
        <v>0</v>
      </c>
      <c r="N400" s="134">
        <v>0</v>
      </c>
      <c r="O400" t="s">
        <v>3174</v>
      </c>
      <c r="P400" t="s">
        <v>3175</v>
      </c>
      <c r="Q400" t="s">
        <v>592</v>
      </c>
      <c r="U400" t="s">
        <v>491</v>
      </c>
      <c r="X400">
        <v>0</v>
      </c>
    </row>
    <row r="401" spans="1:24" x14ac:dyDescent="0.25">
      <c r="A401" s="234">
        <v>42584</v>
      </c>
      <c r="B401" t="s">
        <v>328</v>
      </c>
      <c r="C401" t="s">
        <v>623</v>
      </c>
      <c r="D401" t="s">
        <v>625</v>
      </c>
      <c r="E401" t="s">
        <v>821</v>
      </c>
      <c r="M401" s="134">
        <v>0</v>
      </c>
      <c r="N401" s="134">
        <v>0</v>
      </c>
      <c r="O401" t="s">
        <v>3176</v>
      </c>
      <c r="P401" t="s">
        <v>3177</v>
      </c>
      <c r="Q401" t="s">
        <v>592</v>
      </c>
      <c r="U401" t="s">
        <v>491</v>
      </c>
      <c r="X401">
        <v>0</v>
      </c>
    </row>
    <row r="402" spans="1:24" x14ac:dyDescent="0.25">
      <c r="A402" s="234">
        <v>42585</v>
      </c>
      <c r="B402" t="s">
        <v>643</v>
      </c>
      <c r="C402" t="s">
        <v>644</v>
      </c>
      <c r="D402" t="s">
        <v>3132</v>
      </c>
      <c r="E402" t="s">
        <v>588</v>
      </c>
      <c r="F402" t="s">
        <v>3221</v>
      </c>
      <c r="H402" t="s">
        <v>2976</v>
      </c>
      <c r="M402" s="134">
        <v>0</v>
      </c>
      <c r="N402" s="134">
        <v>0</v>
      </c>
      <c r="O402" t="s">
        <v>3222</v>
      </c>
      <c r="P402" t="s">
        <v>3223</v>
      </c>
      <c r="Q402" t="s">
        <v>1939</v>
      </c>
      <c r="R402" t="s">
        <v>3224</v>
      </c>
      <c r="U402" t="s">
        <v>491</v>
      </c>
      <c r="X402">
        <v>0</v>
      </c>
    </row>
    <row r="403" spans="1:24" x14ac:dyDescent="0.25">
      <c r="A403" s="234">
        <v>42586</v>
      </c>
      <c r="B403" t="s">
        <v>378</v>
      </c>
      <c r="C403" t="s">
        <v>610</v>
      </c>
      <c r="D403" t="s">
        <v>1027</v>
      </c>
      <c r="E403" t="s">
        <v>821</v>
      </c>
      <c r="H403" t="s">
        <v>607</v>
      </c>
      <c r="M403" s="134">
        <v>0</v>
      </c>
      <c r="N403" s="134">
        <v>0</v>
      </c>
      <c r="O403" t="s">
        <v>3235</v>
      </c>
      <c r="P403" t="s">
        <v>3236</v>
      </c>
      <c r="Q403" t="s">
        <v>1939</v>
      </c>
      <c r="R403" t="s">
        <v>3237</v>
      </c>
      <c r="U403" t="s">
        <v>491</v>
      </c>
      <c r="X403">
        <v>0</v>
      </c>
    </row>
    <row r="404" spans="1:24" x14ac:dyDescent="0.25">
      <c r="A404" s="234">
        <v>42590</v>
      </c>
      <c r="B404" t="s">
        <v>328</v>
      </c>
      <c r="C404" t="s">
        <v>603</v>
      </c>
      <c r="D404" t="s">
        <v>1471</v>
      </c>
      <c r="E404" t="s">
        <v>588</v>
      </c>
      <c r="F404" t="s">
        <v>3271</v>
      </c>
      <c r="H404" t="s">
        <v>607</v>
      </c>
      <c r="I404" t="s">
        <v>3272</v>
      </c>
      <c r="J404" t="s">
        <v>899</v>
      </c>
      <c r="M404" s="134">
        <v>0</v>
      </c>
      <c r="N404" s="134">
        <v>0</v>
      </c>
      <c r="O404" t="s">
        <v>2180</v>
      </c>
      <c r="P404" t="s">
        <v>3273</v>
      </c>
      <c r="Q404" t="s">
        <v>1939</v>
      </c>
      <c r="R404" t="s">
        <v>3274</v>
      </c>
      <c r="U404" t="s">
        <v>491</v>
      </c>
      <c r="X404">
        <v>0</v>
      </c>
    </row>
    <row r="405" spans="1:24" x14ac:dyDescent="0.25">
      <c r="A405" s="234">
        <v>42591</v>
      </c>
      <c r="B405" t="s">
        <v>1486</v>
      </c>
      <c r="C405" t="s">
        <v>1363</v>
      </c>
      <c r="D405" t="s">
        <v>2346</v>
      </c>
      <c r="E405" t="s">
        <v>588</v>
      </c>
      <c r="F405" t="s">
        <v>3307</v>
      </c>
      <c r="H405" t="s">
        <v>607</v>
      </c>
      <c r="I405" t="s">
        <v>3055</v>
      </c>
      <c r="J405" t="s">
        <v>602</v>
      </c>
      <c r="L405">
        <v>1</v>
      </c>
      <c r="M405" s="134">
        <v>0</v>
      </c>
      <c r="N405" s="134">
        <v>0</v>
      </c>
      <c r="O405" t="s">
        <v>3308</v>
      </c>
      <c r="P405" t="s">
        <v>3309</v>
      </c>
      <c r="Q405" t="s">
        <v>620</v>
      </c>
      <c r="R405" t="s">
        <v>3310</v>
      </c>
      <c r="U405" t="s">
        <v>491</v>
      </c>
      <c r="X405">
        <v>0</v>
      </c>
    </row>
    <row r="406" spans="1:24" x14ac:dyDescent="0.25">
      <c r="A406" s="234">
        <v>42593</v>
      </c>
      <c r="B406" t="s">
        <v>320</v>
      </c>
      <c r="C406" t="s">
        <v>1228</v>
      </c>
      <c r="D406" t="s">
        <v>1229</v>
      </c>
      <c r="E406" t="s">
        <v>588</v>
      </c>
      <c r="F406" t="s">
        <v>3360</v>
      </c>
      <c r="H406" t="s">
        <v>607</v>
      </c>
      <c r="M406" s="134">
        <v>0</v>
      </c>
      <c r="N406" s="134">
        <v>0</v>
      </c>
      <c r="O406" t="s">
        <v>3361</v>
      </c>
      <c r="P406" t="s">
        <v>3362</v>
      </c>
      <c r="Q406" t="s">
        <v>1939</v>
      </c>
      <c r="R406" t="s">
        <v>3363</v>
      </c>
      <c r="U406" t="s">
        <v>491</v>
      </c>
      <c r="X406">
        <v>0</v>
      </c>
    </row>
    <row r="407" spans="1:24" x14ac:dyDescent="0.25">
      <c r="A407" s="234">
        <v>42593</v>
      </c>
      <c r="B407" t="s">
        <v>378</v>
      </c>
      <c r="C407" t="s">
        <v>623</v>
      </c>
      <c r="D407" t="s">
        <v>625</v>
      </c>
      <c r="E407" t="s">
        <v>821</v>
      </c>
      <c r="H407" t="s">
        <v>607</v>
      </c>
      <c r="I407" t="s">
        <v>3382</v>
      </c>
      <c r="J407" t="s">
        <v>899</v>
      </c>
      <c r="M407" s="134">
        <v>0</v>
      </c>
      <c r="N407" s="134">
        <v>0</v>
      </c>
      <c r="O407" t="s">
        <v>2758</v>
      </c>
      <c r="P407" t="s">
        <v>3383</v>
      </c>
      <c r="Q407" t="s">
        <v>620</v>
      </c>
      <c r="R407" t="s">
        <v>3384</v>
      </c>
      <c r="U407" t="s">
        <v>491</v>
      </c>
      <c r="X407">
        <v>0</v>
      </c>
    </row>
    <row r="408" spans="1:24" x14ac:dyDescent="0.25">
      <c r="A408" s="234">
        <v>42593</v>
      </c>
      <c r="B408" t="s">
        <v>378</v>
      </c>
      <c r="C408" t="s">
        <v>623</v>
      </c>
      <c r="D408" t="s">
        <v>625</v>
      </c>
      <c r="E408" t="s">
        <v>821</v>
      </c>
      <c r="H408" t="s">
        <v>607</v>
      </c>
      <c r="J408" t="s">
        <v>899</v>
      </c>
      <c r="M408" s="134">
        <v>0</v>
      </c>
      <c r="N408" s="134">
        <v>0</v>
      </c>
      <c r="O408" t="s">
        <v>695</v>
      </c>
      <c r="P408" t="s">
        <v>3385</v>
      </c>
      <c r="Q408" t="s">
        <v>592</v>
      </c>
      <c r="R408" t="s">
        <v>3386</v>
      </c>
      <c r="U408" t="s">
        <v>491</v>
      </c>
      <c r="X408">
        <v>0</v>
      </c>
    </row>
    <row r="409" spans="1:24" x14ac:dyDescent="0.25">
      <c r="A409" s="234">
        <v>42597</v>
      </c>
      <c r="B409" t="s">
        <v>378</v>
      </c>
      <c r="C409" t="s">
        <v>610</v>
      </c>
      <c r="D409" t="s">
        <v>732</v>
      </c>
      <c r="E409" t="s">
        <v>588</v>
      </c>
      <c r="F409" t="s">
        <v>3431</v>
      </c>
      <c r="H409" t="s">
        <v>607</v>
      </c>
      <c r="I409" t="s">
        <v>3432</v>
      </c>
      <c r="J409" t="s">
        <v>899</v>
      </c>
      <c r="L409">
        <v>2</v>
      </c>
      <c r="M409" s="134">
        <v>0</v>
      </c>
      <c r="N409" s="134">
        <v>0</v>
      </c>
      <c r="O409" t="s">
        <v>3433</v>
      </c>
      <c r="P409" t="s">
        <v>3434</v>
      </c>
      <c r="Q409" t="s">
        <v>29</v>
      </c>
      <c r="R409" t="s">
        <v>3435</v>
      </c>
      <c r="U409" t="s">
        <v>491</v>
      </c>
      <c r="X409">
        <v>1</v>
      </c>
    </row>
    <row r="410" spans="1:24" x14ac:dyDescent="0.25">
      <c r="A410" s="234">
        <v>42599</v>
      </c>
      <c r="B410" t="s">
        <v>328</v>
      </c>
      <c r="C410" t="s">
        <v>603</v>
      </c>
      <c r="D410" t="s">
        <v>1471</v>
      </c>
      <c r="E410" t="s">
        <v>588</v>
      </c>
      <c r="F410" t="s">
        <v>3465</v>
      </c>
      <c r="H410" t="s">
        <v>607</v>
      </c>
      <c r="M410" s="134">
        <v>0</v>
      </c>
      <c r="N410" s="134">
        <v>0</v>
      </c>
      <c r="O410" t="s">
        <v>1539</v>
      </c>
      <c r="P410" t="s">
        <v>3466</v>
      </c>
      <c r="Q410" t="s">
        <v>592</v>
      </c>
      <c r="R410" t="s">
        <v>3467</v>
      </c>
      <c r="U410" t="s">
        <v>491</v>
      </c>
      <c r="X410">
        <v>0</v>
      </c>
    </row>
    <row r="411" spans="1:24" x14ac:dyDescent="0.25">
      <c r="A411" s="234">
        <v>42599</v>
      </c>
      <c r="B411" t="s">
        <v>378</v>
      </c>
      <c r="C411" t="s">
        <v>610</v>
      </c>
      <c r="D411" t="s">
        <v>1027</v>
      </c>
      <c r="E411" t="s">
        <v>692</v>
      </c>
      <c r="F411" t="s">
        <v>3458</v>
      </c>
      <c r="H411" t="s">
        <v>607</v>
      </c>
      <c r="J411" t="s">
        <v>899</v>
      </c>
      <c r="M411" s="134">
        <v>0</v>
      </c>
      <c r="N411" s="134">
        <v>0</v>
      </c>
      <c r="O411" t="s">
        <v>3459</v>
      </c>
      <c r="P411" t="s">
        <v>3460</v>
      </c>
      <c r="Q411" t="s">
        <v>592</v>
      </c>
      <c r="U411" t="s">
        <v>491</v>
      </c>
      <c r="X411">
        <v>0</v>
      </c>
    </row>
    <row r="412" spans="1:24" x14ac:dyDescent="0.25">
      <c r="A412" s="234">
        <v>42599</v>
      </c>
      <c r="B412" t="s">
        <v>378</v>
      </c>
      <c r="C412" t="s">
        <v>623</v>
      </c>
      <c r="D412" t="s">
        <v>625</v>
      </c>
      <c r="E412" t="s">
        <v>588</v>
      </c>
      <c r="H412" t="s">
        <v>607</v>
      </c>
      <c r="J412" t="s">
        <v>899</v>
      </c>
      <c r="M412" s="134">
        <v>0</v>
      </c>
      <c r="N412" s="134">
        <v>0</v>
      </c>
      <c r="O412" t="s">
        <v>3468</v>
      </c>
      <c r="P412" t="s">
        <v>3470</v>
      </c>
      <c r="Q412" t="s">
        <v>592</v>
      </c>
      <c r="R412" t="s">
        <v>3469</v>
      </c>
      <c r="U412" t="s">
        <v>491</v>
      </c>
      <c r="X412">
        <v>0</v>
      </c>
    </row>
    <row r="413" spans="1:24" x14ac:dyDescent="0.25">
      <c r="A413" s="234">
        <v>42599</v>
      </c>
      <c r="B413" t="s">
        <v>378</v>
      </c>
      <c r="C413" t="s">
        <v>623</v>
      </c>
      <c r="D413" t="s">
        <v>624</v>
      </c>
      <c r="E413" t="s">
        <v>588</v>
      </c>
      <c r="F413" t="s">
        <v>3471</v>
      </c>
      <c r="H413" t="s">
        <v>607</v>
      </c>
      <c r="J413" t="s">
        <v>899</v>
      </c>
      <c r="M413" s="134">
        <v>0</v>
      </c>
      <c r="N413" s="134">
        <v>0</v>
      </c>
      <c r="O413" t="s">
        <v>2612</v>
      </c>
      <c r="P413" t="s">
        <v>3472</v>
      </c>
      <c r="Q413" t="s">
        <v>592</v>
      </c>
      <c r="U413" t="s">
        <v>491</v>
      </c>
      <c r="X413">
        <v>0</v>
      </c>
    </row>
    <row r="414" spans="1:24" x14ac:dyDescent="0.25">
      <c r="A414" s="234">
        <v>42600</v>
      </c>
      <c r="B414" t="s">
        <v>378</v>
      </c>
      <c r="C414" t="s">
        <v>623</v>
      </c>
      <c r="D414" t="s">
        <v>930</v>
      </c>
      <c r="E414" t="s">
        <v>588</v>
      </c>
      <c r="F414" t="s">
        <v>3485</v>
      </c>
      <c r="H414" t="s">
        <v>905</v>
      </c>
      <c r="M414" s="134">
        <v>0</v>
      </c>
      <c r="N414" s="134">
        <v>0</v>
      </c>
      <c r="O414" t="s">
        <v>2612</v>
      </c>
      <c r="P414" t="s">
        <v>3486</v>
      </c>
      <c r="Q414" t="s">
        <v>592</v>
      </c>
      <c r="U414" t="s">
        <v>491</v>
      </c>
      <c r="X414">
        <v>0</v>
      </c>
    </row>
    <row r="415" spans="1:24" x14ac:dyDescent="0.25">
      <c r="A415" s="234">
        <v>42601</v>
      </c>
      <c r="B415" t="s">
        <v>378</v>
      </c>
      <c r="C415" t="s">
        <v>623</v>
      </c>
      <c r="D415" t="s">
        <v>3505</v>
      </c>
      <c r="E415" t="s">
        <v>588</v>
      </c>
      <c r="F415" t="s">
        <v>3506</v>
      </c>
      <c r="H415" t="s">
        <v>651</v>
      </c>
      <c r="J415" t="s">
        <v>899</v>
      </c>
      <c r="M415" s="134">
        <v>0</v>
      </c>
      <c r="N415" s="134">
        <v>0</v>
      </c>
      <c r="O415" t="s">
        <v>1539</v>
      </c>
      <c r="P415" t="s">
        <v>3507</v>
      </c>
      <c r="Q415" t="s">
        <v>1939</v>
      </c>
      <c r="R415" t="s">
        <v>3508</v>
      </c>
      <c r="U415" t="s">
        <v>491</v>
      </c>
      <c r="X415">
        <v>0</v>
      </c>
    </row>
    <row r="416" spans="1:24" x14ac:dyDescent="0.25">
      <c r="A416" s="234">
        <v>42604</v>
      </c>
      <c r="B416" t="s">
        <v>378</v>
      </c>
      <c r="C416" t="s">
        <v>610</v>
      </c>
      <c r="D416" t="s">
        <v>732</v>
      </c>
      <c r="E416" t="s">
        <v>588</v>
      </c>
      <c r="F416" t="s">
        <v>3552</v>
      </c>
      <c r="H416" t="s">
        <v>607</v>
      </c>
      <c r="M416" s="134">
        <v>0</v>
      </c>
      <c r="N416" s="134">
        <v>0</v>
      </c>
      <c r="O416" t="s">
        <v>3553</v>
      </c>
      <c r="P416" t="s">
        <v>3554</v>
      </c>
      <c r="Q416" t="s">
        <v>592</v>
      </c>
      <c r="R416" t="s">
        <v>3555</v>
      </c>
      <c r="U416" t="s">
        <v>491</v>
      </c>
      <c r="X416">
        <v>0</v>
      </c>
    </row>
    <row r="417" spans="1:24" x14ac:dyDescent="0.25">
      <c r="A417" s="234">
        <v>42606</v>
      </c>
      <c r="B417" t="s">
        <v>378</v>
      </c>
      <c r="C417" t="s">
        <v>623</v>
      </c>
      <c r="D417" t="s">
        <v>625</v>
      </c>
      <c r="E417" t="s">
        <v>588</v>
      </c>
      <c r="F417" t="s">
        <v>3607</v>
      </c>
      <c r="H417" t="s">
        <v>607</v>
      </c>
      <c r="I417" t="s">
        <v>2054</v>
      </c>
      <c r="J417" t="s">
        <v>899</v>
      </c>
      <c r="L417">
        <v>3</v>
      </c>
      <c r="M417" s="134">
        <v>0</v>
      </c>
      <c r="N417" s="134">
        <v>0</v>
      </c>
      <c r="O417" t="s">
        <v>3608</v>
      </c>
      <c r="P417" t="s">
        <v>3609</v>
      </c>
      <c r="Q417" t="s">
        <v>592</v>
      </c>
      <c r="R417" t="s">
        <v>3610</v>
      </c>
      <c r="U417" t="s">
        <v>491</v>
      </c>
      <c r="X417">
        <v>0</v>
      </c>
    </row>
    <row r="418" spans="1:24" x14ac:dyDescent="0.25">
      <c r="A418" s="234">
        <v>42606</v>
      </c>
      <c r="B418" t="s">
        <v>328</v>
      </c>
      <c r="C418" t="s">
        <v>603</v>
      </c>
      <c r="D418" t="s">
        <v>1471</v>
      </c>
      <c r="E418" t="s">
        <v>588</v>
      </c>
      <c r="F418" t="s">
        <v>1796</v>
      </c>
      <c r="H418" t="s">
        <v>607</v>
      </c>
      <c r="I418" t="s">
        <v>3593</v>
      </c>
      <c r="J418" t="s">
        <v>3373</v>
      </c>
      <c r="L418">
        <v>10</v>
      </c>
      <c r="M418" s="134">
        <v>0</v>
      </c>
      <c r="N418" s="134">
        <v>0</v>
      </c>
      <c r="O418" t="s">
        <v>3594</v>
      </c>
      <c r="P418" t="s">
        <v>3595</v>
      </c>
      <c r="Q418" t="s">
        <v>29</v>
      </c>
      <c r="R418" t="s">
        <v>3596</v>
      </c>
      <c r="U418" t="s">
        <v>491</v>
      </c>
      <c r="X418">
        <v>1</v>
      </c>
    </row>
    <row r="419" spans="1:24" x14ac:dyDescent="0.25">
      <c r="A419" s="234">
        <v>42607</v>
      </c>
      <c r="B419" t="s">
        <v>328</v>
      </c>
      <c r="C419" t="s">
        <v>603</v>
      </c>
      <c r="D419" t="s">
        <v>672</v>
      </c>
      <c r="E419" t="s">
        <v>588</v>
      </c>
      <c r="F419" t="s">
        <v>3611</v>
      </c>
      <c r="H419" t="s">
        <v>905</v>
      </c>
      <c r="J419" t="s">
        <v>3612</v>
      </c>
      <c r="M419" s="134">
        <v>0</v>
      </c>
      <c r="N419" s="134">
        <v>0</v>
      </c>
      <c r="O419" t="s">
        <v>2392</v>
      </c>
      <c r="P419" t="s">
        <v>3613</v>
      </c>
      <c r="Q419" t="s">
        <v>29</v>
      </c>
      <c r="R419" t="s">
        <v>3614</v>
      </c>
      <c r="U419" t="s">
        <v>491</v>
      </c>
      <c r="X419">
        <v>1</v>
      </c>
    </row>
    <row r="420" spans="1:24" x14ac:dyDescent="0.25">
      <c r="A420" s="234">
        <v>42611</v>
      </c>
      <c r="B420" t="s">
        <v>378</v>
      </c>
      <c r="C420" t="s">
        <v>623</v>
      </c>
      <c r="D420" t="s">
        <v>930</v>
      </c>
      <c r="E420" t="s">
        <v>588</v>
      </c>
      <c r="F420" t="s">
        <v>3668</v>
      </c>
      <c r="H420" t="s">
        <v>886</v>
      </c>
      <c r="M420" s="134">
        <v>0</v>
      </c>
      <c r="N420" s="134">
        <v>0</v>
      </c>
      <c r="O420" t="s">
        <v>3669</v>
      </c>
      <c r="P420" t="s">
        <v>3670</v>
      </c>
      <c r="Q420" t="s">
        <v>592</v>
      </c>
      <c r="U420" t="s">
        <v>491</v>
      </c>
      <c r="X420">
        <v>0</v>
      </c>
    </row>
    <row r="421" spans="1:24" x14ac:dyDescent="0.25">
      <c r="A421" s="234">
        <v>42611</v>
      </c>
      <c r="B421" t="s">
        <v>378</v>
      </c>
      <c r="C421" t="s">
        <v>623</v>
      </c>
      <c r="D421" t="s">
        <v>930</v>
      </c>
      <c r="E421" t="s">
        <v>821</v>
      </c>
      <c r="F421" t="s">
        <v>3679</v>
      </c>
      <c r="H421" t="s">
        <v>607</v>
      </c>
      <c r="I421" t="s">
        <v>3680</v>
      </c>
      <c r="J421" t="s">
        <v>899</v>
      </c>
      <c r="M421" s="134">
        <v>0</v>
      </c>
      <c r="N421" s="134">
        <v>0</v>
      </c>
      <c r="O421" t="s">
        <v>3681</v>
      </c>
      <c r="P421" t="s">
        <v>3682</v>
      </c>
      <c r="Q421" t="s">
        <v>592</v>
      </c>
      <c r="U421" t="s">
        <v>491</v>
      </c>
      <c r="X421">
        <v>0</v>
      </c>
    </row>
    <row r="422" spans="1:24" x14ac:dyDescent="0.25">
      <c r="A422" s="234">
        <v>42613</v>
      </c>
      <c r="B422" t="s">
        <v>378</v>
      </c>
      <c r="C422" t="s">
        <v>610</v>
      </c>
      <c r="D422" t="s">
        <v>611</v>
      </c>
      <c r="E422" t="s">
        <v>821</v>
      </c>
      <c r="M422" s="134">
        <v>0</v>
      </c>
      <c r="N422" s="134">
        <v>0</v>
      </c>
      <c r="O422" t="s">
        <v>3510</v>
      </c>
      <c r="P422" t="s">
        <v>3707</v>
      </c>
      <c r="Q422" t="s">
        <v>592</v>
      </c>
      <c r="R422" t="s">
        <v>3708</v>
      </c>
      <c r="U422" t="s">
        <v>491</v>
      </c>
      <c r="X422">
        <v>0</v>
      </c>
    </row>
    <row r="423" spans="1:24" x14ac:dyDescent="0.25">
      <c r="A423" s="234">
        <v>42614</v>
      </c>
      <c r="B423" t="s">
        <v>378</v>
      </c>
      <c r="C423" t="s">
        <v>623</v>
      </c>
      <c r="D423" t="s">
        <v>3726</v>
      </c>
      <c r="E423" t="s">
        <v>588</v>
      </c>
      <c r="M423" s="134">
        <v>0</v>
      </c>
      <c r="N423" s="134">
        <v>0</v>
      </c>
      <c r="O423" t="s">
        <v>2612</v>
      </c>
      <c r="P423" t="s">
        <v>3727</v>
      </c>
      <c r="Q423" t="s">
        <v>29</v>
      </c>
      <c r="R423" t="s">
        <v>3728</v>
      </c>
      <c r="U423" t="s">
        <v>491</v>
      </c>
      <c r="X423">
        <v>1</v>
      </c>
    </row>
    <row r="424" spans="1:24" x14ac:dyDescent="0.25">
      <c r="A424" s="234">
        <v>42620</v>
      </c>
      <c r="B424" t="s">
        <v>378</v>
      </c>
      <c r="C424" t="s">
        <v>610</v>
      </c>
      <c r="D424" t="s">
        <v>732</v>
      </c>
      <c r="E424" t="s">
        <v>588</v>
      </c>
      <c r="F424" t="s">
        <v>3795</v>
      </c>
      <c r="H424" t="s">
        <v>607</v>
      </c>
      <c r="M424" s="134">
        <v>0</v>
      </c>
      <c r="N424" s="134">
        <v>0</v>
      </c>
      <c r="O424" t="s">
        <v>3796</v>
      </c>
      <c r="P424" t="s">
        <v>3797</v>
      </c>
      <c r="Q424" t="s">
        <v>592</v>
      </c>
      <c r="U424" t="s">
        <v>491</v>
      </c>
      <c r="X424">
        <v>0</v>
      </c>
    </row>
    <row r="425" spans="1:24" x14ac:dyDescent="0.25">
      <c r="A425" s="234">
        <v>42621</v>
      </c>
      <c r="B425" t="s">
        <v>378</v>
      </c>
      <c r="C425" t="s">
        <v>623</v>
      </c>
      <c r="D425" t="s">
        <v>625</v>
      </c>
      <c r="E425" t="s">
        <v>821</v>
      </c>
      <c r="M425" s="134">
        <v>0</v>
      </c>
      <c r="N425" s="134">
        <v>0</v>
      </c>
      <c r="O425" t="s">
        <v>3832</v>
      </c>
      <c r="P425" t="s">
        <v>3833</v>
      </c>
      <c r="Q425" t="s">
        <v>29</v>
      </c>
      <c r="R425" t="s">
        <v>3834</v>
      </c>
      <c r="U425" t="s">
        <v>491</v>
      </c>
      <c r="X425">
        <v>1</v>
      </c>
    </row>
    <row r="426" spans="1:24" x14ac:dyDescent="0.25">
      <c r="A426" s="234">
        <v>42622</v>
      </c>
      <c r="B426" t="s">
        <v>1486</v>
      </c>
      <c r="C426" t="s">
        <v>1363</v>
      </c>
      <c r="D426" t="s">
        <v>2340</v>
      </c>
      <c r="E426" t="s">
        <v>588</v>
      </c>
      <c r="F426" t="s">
        <v>3843</v>
      </c>
      <c r="H426" t="s">
        <v>886</v>
      </c>
      <c r="M426" s="134">
        <v>0</v>
      </c>
      <c r="N426" s="134">
        <v>0</v>
      </c>
      <c r="O426" t="s">
        <v>3844</v>
      </c>
      <c r="P426" t="s">
        <v>3845</v>
      </c>
      <c r="Q426" t="s">
        <v>592</v>
      </c>
      <c r="U426" t="s">
        <v>491</v>
      </c>
      <c r="X426">
        <v>0</v>
      </c>
    </row>
    <row r="427" spans="1:24" x14ac:dyDescent="0.25">
      <c r="A427" s="234">
        <v>42622</v>
      </c>
      <c r="B427" t="s">
        <v>378</v>
      </c>
      <c r="C427" t="s">
        <v>623</v>
      </c>
      <c r="D427" t="s">
        <v>625</v>
      </c>
      <c r="E427" t="s">
        <v>821</v>
      </c>
      <c r="H427" t="s">
        <v>3846</v>
      </c>
      <c r="I427" t="s">
        <v>3847</v>
      </c>
      <c r="J427" t="s">
        <v>899</v>
      </c>
      <c r="M427" s="134">
        <v>0</v>
      </c>
      <c r="N427" s="134">
        <v>0</v>
      </c>
      <c r="O427" t="s">
        <v>3848</v>
      </c>
      <c r="P427" t="s">
        <v>3849</v>
      </c>
      <c r="Q427" t="s">
        <v>1939</v>
      </c>
      <c r="R427" t="s">
        <v>3869</v>
      </c>
      <c r="U427" t="s">
        <v>491</v>
      </c>
      <c r="X427">
        <v>0</v>
      </c>
    </row>
    <row r="428" spans="1:24" x14ac:dyDescent="0.25">
      <c r="A428" s="234">
        <v>42622</v>
      </c>
      <c r="B428" t="s">
        <v>378</v>
      </c>
      <c r="C428" t="s">
        <v>623</v>
      </c>
      <c r="D428" t="s">
        <v>930</v>
      </c>
      <c r="E428" t="s">
        <v>821</v>
      </c>
      <c r="M428" s="134">
        <v>0</v>
      </c>
      <c r="N428" s="134">
        <v>0</v>
      </c>
      <c r="O428" t="s">
        <v>2547</v>
      </c>
      <c r="P428" t="s">
        <v>3852</v>
      </c>
      <c r="Q428" t="s">
        <v>620</v>
      </c>
      <c r="R428" t="s">
        <v>3853</v>
      </c>
      <c r="U428" t="s">
        <v>491</v>
      </c>
      <c r="X428">
        <v>0</v>
      </c>
    </row>
    <row r="429" spans="1:24" x14ac:dyDescent="0.25">
      <c r="A429" s="234">
        <v>42625</v>
      </c>
      <c r="B429" t="s">
        <v>328</v>
      </c>
      <c r="C429" t="s">
        <v>603</v>
      </c>
      <c r="D429" t="s">
        <v>649</v>
      </c>
      <c r="E429" t="s">
        <v>588</v>
      </c>
      <c r="H429" t="s">
        <v>3882</v>
      </c>
      <c r="M429" s="134">
        <v>0</v>
      </c>
      <c r="N429" s="134">
        <v>0</v>
      </c>
      <c r="O429" t="s">
        <v>3877</v>
      </c>
      <c r="P429" t="s">
        <v>3878</v>
      </c>
      <c r="Q429" t="s">
        <v>29</v>
      </c>
      <c r="R429" t="s">
        <v>3879</v>
      </c>
      <c r="U429" t="s">
        <v>491</v>
      </c>
      <c r="X429">
        <v>1</v>
      </c>
    </row>
    <row r="430" spans="1:24" x14ac:dyDescent="0.25">
      <c r="A430" s="234">
        <v>42625</v>
      </c>
      <c r="B430" t="s">
        <v>378</v>
      </c>
      <c r="C430" t="s">
        <v>623</v>
      </c>
      <c r="D430" t="s">
        <v>624</v>
      </c>
      <c r="E430" t="s">
        <v>588</v>
      </c>
      <c r="F430" t="s">
        <v>3874</v>
      </c>
      <c r="H430" t="s">
        <v>607</v>
      </c>
      <c r="I430" t="s">
        <v>3672</v>
      </c>
      <c r="J430" t="s">
        <v>899</v>
      </c>
      <c r="L430">
        <v>10</v>
      </c>
      <c r="M430" s="134">
        <v>0</v>
      </c>
      <c r="N430" s="134">
        <v>0</v>
      </c>
      <c r="O430" t="s">
        <v>3871</v>
      </c>
      <c r="P430" t="s">
        <v>3876</v>
      </c>
      <c r="Q430" t="s">
        <v>29</v>
      </c>
      <c r="U430" t="s">
        <v>491</v>
      </c>
      <c r="X430">
        <v>1</v>
      </c>
    </row>
    <row r="431" spans="1:24" x14ac:dyDescent="0.25">
      <c r="A431" s="234">
        <v>42625</v>
      </c>
      <c r="B431" t="s">
        <v>378</v>
      </c>
      <c r="C431" t="s">
        <v>610</v>
      </c>
      <c r="D431" t="s">
        <v>732</v>
      </c>
      <c r="E431" t="s">
        <v>821</v>
      </c>
      <c r="F431" t="s">
        <v>3892</v>
      </c>
      <c r="H431" t="s">
        <v>607</v>
      </c>
      <c r="M431" s="134">
        <v>0</v>
      </c>
      <c r="N431" s="134">
        <v>0</v>
      </c>
      <c r="O431" t="s">
        <v>3893</v>
      </c>
      <c r="P431" t="s">
        <v>3894</v>
      </c>
      <c r="Q431" t="s">
        <v>592</v>
      </c>
      <c r="U431" t="s">
        <v>491</v>
      </c>
      <c r="X431">
        <v>0</v>
      </c>
    </row>
    <row r="432" spans="1:24" x14ac:dyDescent="0.25">
      <c r="A432" s="234">
        <v>42628</v>
      </c>
      <c r="B432" t="s">
        <v>643</v>
      </c>
      <c r="C432" t="s">
        <v>644</v>
      </c>
      <c r="D432" t="s">
        <v>645</v>
      </c>
      <c r="E432" t="s">
        <v>588</v>
      </c>
      <c r="F432" t="s">
        <v>3912</v>
      </c>
      <c r="H432" t="s">
        <v>905</v>
      </c>
      <c r="I432" t="s">
        <v>3913</v>
      </c>
      <c r="J432" t="s">
        <v>644</v>
      </c>
      <c r="M432" s="134">
        <v>0</v>
      </c>
      <c r="N432" s="134">
        <v>0</v>
      </c>
      <c r="O432" t="s">
        <v>3914</v>
      </c>
      <c r="P432" t="s">
        <v>3915</v>
      </c>
      <c r="Q432" t="s">
        <v>1939</v>
      </c>
      <c r="R432" t="s">
        <v>3916</v>
      </c>
      <c r="U432" t="s">
        <v>491</v>
      </c>
      <c r="X432">
        <v>0</v>
      </c>
    </row>
    <row r="433" spans="1:24" x14ac:dyDescent="0.25">
      <c r="A433" s="234">
        <v>42628</v>
      </c>
      <c r="B433" t="s">
        <v>378</v>
      </c>
      <c r="C433" t="s">
        <v>623</v>
      </c>
      <c r="D433" t="s">
        <v>930</v>
      </c>
      <c r="E433" t="s">
        <v>821</v>
      </c>
      <c r="H433" t="s">
        <v>607</v>
      </c>
      <c r="M433" s="134">
        <v>0</v>
      </c>
      <c r="N433" s="134">
        <v>0</v>
      </c>
      <c r="O433" t="s">
        <v>3625</v>
      </c>
      <c r="P433" t="s">
        <v>3922</v>
      </c>
      <c r="Q433" t="s">
        <v>29</v>
      </c>
      <c r="R433" t="s">
        <v>3923</v>
      </c>
      <c r="U433" t="s">
        <v>491</v>
      </c>
      <c r="X433">
        <v>1</v>
      </c>
    </row>
    <row r="434" spans="1:24" x14ac:dyDescent="0.25">
      <c r="A434" s="234">
        <v>42632</v>
      </c>
      <c r="B434" t="s">
        <v>378</v>
      </c>
      <c r="C434" t="s">
        <v>623</v>
      </c>
      <c r="D434" t="s">
        <v>930</v>
      </c>
      <c r="E434" t="s">
        <v>821</v>
      </c>
      <c r="F434" t="s">
        <v>3971</v>
      </c>
      <c r="H434" t="s">
        <v>607</v>
      </c>
      <c r="M434" s="134">
        <v>0</v>
      </c>
      <c r="N434" s="134">
        <v>0</v>
      </c>
      <c r="O434" t="s">
        <v>3972</v>
      </c>
      <c r="P434" t="s">
        <v>3973</v>
      </c>
      <c r="Q434" t="s">
        <v>1939</v>
      </c>
      <c r="R434" t="s">
        <v>3974</v>
      </c>
      <c r="U434" t="s">
        <v>491</v>
      </c>
      <c r="X434">
        <v>0</v>
      </c>
    </row>
    <row r="435" spans="1:24" x14ac:dyDescent="0.25">
      <c r="A435" s="234">
        <v>42632</v>
      </c>
      <c r="B435" t="s">
        <v>378</v>
      </c>
      <c r="C435" t="s">
        <v>623</v>
      </c>
      <c r="D435" t="s">
        <v>625</v>
      </c>
      <c r="E435" t="s">
        <v>821</v>
      </c>
      <c r="F435" t="s">
        <v>3975</v>
      </c>
      <c r="H435" t="s">
        <v>905</v>
      </c>
      <c r="M435" s="134">
        <v>0</v>
      </c>
      <c r="N435" s="134">
        <v>0</v>
      </c>
      <c r="O435" t="s">
        <v>3976</v>
      </c>
      <c r="P435" t="s">
        <v>3977</v>
      </c>
      <c r="Q435" t="s">
        <v>29</v>
      </c>
      <c r="R435" t="s">
        <v>3978</v>
      </c>
      <c r="U435" t="s">
        <v>491</v>
      </c>
      <c r="X435">
        <v>1</v>
      </c>
    </row>
    <row r="436" spans="1:24" x14ac:dyDescent="0.25">
      <c r="A436" s="234">
        <v>42633</v>
      </c>
      <c r="B436" t="s">
        <v>378</v>
      </c>
      <c r="C436" t="s">
        <v>623</v>
      </c>
      <c r="D436" t="s">
        <v>930</v>
      </c>
      <c r="E436" t="s">
        <v>821</v>
      </c>
      <c r="F436" t="s">
        <v>3997</v>
      </c>
      <c r="H436" t="s">
        <v>607</v>
      </c>
      <c r="M436" s="134">
        <v>0</v>
      </c>
      <c r="N436" s="134">
        <v>0</v>
      </c>
      <c r="O436" t="s">
        <v>3998</v>
      </c>
      <c r="P436" t="s">
        <v>3999</v>
      </c>
      <c r="Q436" t="s">
        <v>592</v>
      </c>
      <c r="R436" t="s">
        <v>4000</v>
      </c>
      <c r="U436" t="s">
        <v>491</v>
      </c>
      <c r="X436">
        <v>0</v>
      </c>
    </row>
    <row r="437" spans="1:24" x14ac:dyDescent="0.25">
      <c r="A437" s="234">
        <v>42635</v>
      </c>
      <c r="B437" t="s">
        <v>328</v>
      </c>
      <c r="C437" t="s">
        <v>603</v>
      </c>
      <c r="D437" t="s">
        <v>1401</v>
      </c>
      <c r="E437" t="s">
        <v>692</v>
      </c>
      <c r="F437" t="s">
        <v>4026</v>
      </c>
      <c r="H437" t="s">
        <v>607</v>
      </c>
      <c r="M437" s="134">
        <v>0</v>
      </c>
      <c r="N437" s="134">
        <v>0</v>
      </c>
      <c r="O437" t="s">
        <v>4027</v>
      </c>
      <c r="P437" t="s">
        <v>4028</v>
      </c>
      <c r="Q437" t="s">
        <v>592</v>
      </c>
      <c r="U437" t="s">
        <v>491</v>
      </c>
      <c r="X437">
        <v>0</v>
      </c>
    </row>
    <row r="438" spans="1:24" x14ac:dyDescent="0.25">
      <c r="A438" s="234">
        <v>42643</v>
      </c>
      <c r="B438" t="s">
        <v>378</v>
      </c>
      <c r="C438" t="s">
        <v>623</v>
      </c>
      <c r="D438" t="s">
        <v>930</v>
      </c>
      <c r="E438" t="s">
        <v>588</v>
      </c>
      <c r="F438" t="s">
        <v>4131</v>
      </c>
      <c r="H438" t="s">
        <v>4132</v>
      </c>
      <c r="J438" t="s">
        <v>899</v>
      </c>
      <c r="M438" s="134">
        <v>0</v>
      </c>
      <c r="N438" s="134">
        <v>0</v>
      </c>
      <c r="O438" t="s">
        <v>4027</v>
      </c>
      <c r="P438" t="s">
        <v>4133</v>
      </c>
      <c r="Q438" t="s">
        <v>29</v>
      </c>
      <c r="R438" t="s">
        <v>4134</v>
      </c>
      <c r="U438" t="s">
        <v>491</v>
      </c>
      <c r="X438">
        <v>1</v>
      </c>
    </row>
    <row r="439" spans="1:24" x14ac:dyDescent="0.25">
      <c r="A439" s="234">
        <v>42646</v>
      </c>
      <c r="B439" t="s">
        <v>378</v>
      </c>
      <c r="C439" t="s">
        <v>623</v>
      </c>
      <c r="D439" t="s">
        <v>930</v>
      </c>
      <c r="E439" t="s">
        <v>821</v>
      </c>
      <c r="H439" t="s">
        <v>905</v>
      </c>
      <c r="M439" s="134">
        <v>0</v>
      </c>
      <c r="N439" s="134">
        <v>0</v>
      </c>
      <c r="O439" t="s">
        <v>4154</v>
      </c>
      <c r="P439" t="s">
        <v>4155</v>
      </c>
      <c r="Q439" t="s">
        <v>29</v>
      </c>
      <c r="R439" t="s">
        <v>4156</v>
      </c>
      <c r="U439" t="s">
        <v>491</v>
      </c>
      <c r="X439">
        <v>1</v>
      </c>
    </row>
    <row r="440" spans="1:24" x14ac:dyDescent="0.25">
      <c r="A440" s="234">
        <v>42647</v>
      </c>
      <c r="B440" t="s">
        <v>378</v>
      </c>
      <c r="C440" t="s">
        <v>623</v>
      </c>
      <c r="D440" t="s">
        <v>930</v>
      </c>
      <c r="E440" t="s">
        <v>821</v>
      </c>
      <c r="F440" t="s">
        <v>4176</v>
      </c>
      <c r="H440" t="s">
        <v>905</v>
      </c>
      <c r="M440" s="134">
        <v>0</v>
      </c>
      <c r="N440" s="134">
        <v>0</v>
      </c>
      <c r="O440" t="s">
        <v>4165</v>
      </c>
      <c r="P440" t="s">
        <v>4166</v>
      </c>
      <c r="Q440" t="s">
        <v>1939</v>
      </c>
      <c r="R440" t="s">
        <v>4167</v>
      </c>
      <c r="S440" t="s">
        <v>4177</v>
      </c>
      <c r="U440" t="s">
        <v>491</v>
      </c>
      <c r="X440">
        <v>0</v>
      </c>
    </row>
    <row r="441" spans="1:24" x14ac:dyDescent="0.25">
      <c r="A441" s="234">
        <v>42648</v>
      </c>
      <c r="B441" t="s">
        <v>378</v>
      </c>
      <c r="C441" t="s">
        <v>623</v>
      </c>
      <c r="D441" t="s">
        <v>611</v>
      </c>
      <c r="E441" t="s">
        <v>588</v>
      </c>
      <c r="H441" t="s">
        <v>607</v>
      </c>
      <c r="M441" s="134">
        <v>0</v>
      </c>
      <c r="N441" s="134">
        <v>0</v>
      </c>
      <c r="O441" t="s">
        <v>4178</v>
      </c>
      <c r="P441" t="s">
        <v>4179</v>
      </c>
      <c r="Q441" t="s">
        <v>592</v>
      </c>
      <c r="U441" t="s">
        <v>491</v>
      </c>
      <c r="X441">
        <v>0</v>
      </c>
    </row>
    <row r="442" spans="1:24" x14ac:dyDescent="0.25">
      <c r="A442" s="234">
        <v>42649</v>
      </c>
      <c r="B442" t="s">
        <v>320</v>
      </c>
      <c r="C442" t="s">
        <v>1228</v>
      </c>
      <c r="D442" t="s">
        <v>1229</v>
      </c>
      <c r="E442" t="s">
        <v>588</v>
      </c>
      <c r="F442" t="s">
        <v>4203</v>
      </c>
      <c r="H442" t="s">
        <v>607</v>
      </c>
      <c r="I442" t="s">
        <v>4101</v>
      </c>
      <c r="J442" t="s">
        <v>3856</v>
      </c>
      <c r="M442" s="134">
        <v>0</v>
      </c>
      <c r="N442" s="134">
        <v>0</v>
      </c>
      <c r="O442" t="s">
        <v>4204</v>
      </c>
      <c r="P442" t="s">
        <v>4206</v>
      </c>
      <c r="Q442" t="s">
        <v>29</v>
      </c>
      <c r="R442" t="s">
        <v>4205</v>
      </c>
      <c r="U442" t="s">
        <v>491</v>
      </c>
      <c r="X442">
        <v>1</v>
      </c>
    </row>
    <row r="443" spans="1:24" x14ac:dyDescent="0.25">
      <c r="A443" s="234">
        <v>42654</v>
      </c>
      <c r="B443" t="s">
        <v>643</v>
      </c>
      <c r="C443" t="s">
        <v>644</v>
      </c>
      <c r="D443" t="s">
        <v>645</v>
      </c>
      <c r="E443" t="s">
        <v>588</v>
      </c>
      <c r="F443" t="s">
        <v>4243</v>
      </c>
      <c r="H443" t="s">
        <v>2711</v>
      </c>
      <c r="I443" t="s">
        <v>4244</v>
      </c>
      <c r="J443" t="s">
        <v>644</v>
      </c>
      <c r="M443" s="134">
        <v>0</v>
      </c>
      <c r="N443" s="134">
        <v>0</v>
      </c>
      <c r="O443" t="s">
        <v>4245</v>
      </c>
      <c r="P443" t="s">
        <v>4246</v>
      </c>
      <c r="Q443" t="s">
        <v>1939</v>
      </c>
      <c r="R443" t="s">
        <v>4247</v>
      </c>
      <c r="U443" t="s">
        <v>491</v>
      </c>
      <c r="X443">
        <v>0</v>
      </c>
    </row>
    <row r="444" spans="1:24" x14ac:dyDescent="0.25">
      <c r="A444" s="234">
        <v>42655</v>
      </c>
      <c r="B444" t="s">
        <v>378</v>
      </c>
      <c r="C444" t="s">
        <v>623</v>
      </c>
      <c r="D444" t="s">
        <v>930</v>
      </c>
      <c r="E444" t="s">
        <v>588</v>
      </c>
      <c r="F444" t="s">
        <v>4290</v>
      </c>
      <c r="H444" t="s">
        <v>886</v>
      </c>
      <c r="M444" s="134">
        <v>0</v>
      </c>
      <c r="N444" s="134">
        <v>0</v>
      </c>
      <c r="O444" t="s">
        <v>4291</v>
      </c>
      <c r="P444" t="s">
        <v>4292</v>
      </c>
      <c r="Q444" t="s">
        <v>592</v>
      </c>
      <c r="R444" t="s">
        <v>4293</v>
      </c>
      <c r="U444" t="s">
        <v>491</v>
      </c>
      <c r="X444">
        <v>0</v>
      </c>
    </row>
    <row r="445" spans="1:24" x14ac:dyDescent="0.25">
      <c r="A445" s="234">
        <v>42660</v>
      </c>
      <c r="B445" t="s">
        <v>378</v>
      </c>
      <c r="C445" t="s">
        <v>623</v>
      </c>
      <c r="D445" t="s">
        <v>930</v>
      </c>
      <c r="E445" t="s">
        <v>821</v>
      </c>
      <c r="M445" s="134">
        <v>0</v>
      </c>
      <c r="N445" s="134">
        <v>0</v>
      </c>
      <c r="O445" t="s">
        <v>4338</v>
      </c>
      <c r="P445" t="s">
        <v>4339</v>
      </c>
      <c r="Q445" t="s">
        <v>1939</v>
      </c>
      <c r="R445" t="s">
        <v>4340</v>
      </c>
      <c r="U445" t="s">
        <v>491</v>
      </c>
      <c r="X445">
        <v>0</v>
      </c>
    </row>
    <row r="446" spans="1:24" x14ac:dyDescent="0.25">
      <c r="A446" s="234">
        <v>42663</v>
      </c>
      <c r="B446" t="s">
        <v>378</v>
      </c>
      <c r="C446" t="s">
        <v>623</v>
      </c>
      <c r="D446" t="s">
        <v>930</v>
      </c>
      <c r="E446" t="s">
        <v>821</v>
      </c>
      <c r="M446" s="134">
        <v>0</v>
      </c>
      <c r="N446" s="134">
        <v>0</v>
      </c>
      <c r="O446" t="s">
        <v>4419</v>
      </c>
      <c r="P446" t="s">
        <v>4420</v>
      </c>
      <c r="Q446" t="s">
        <v>620</v>
      </c>
      <c r="R446" t="s">
        <v>4421</v>
      </c>
      <c r="U446" t="s">
        <v>491</v>
      </c>
      <c r="X446">
        <v>0</v>
      </c>
    </row>
    <row r="447" spans="1:24" x14ac:dyDescent="0.25">
      <c r="A447" s="234">
        <v>42663</v>
      </c>
      <c r="B447" t="s">
        <v>378</v>
      </c>
      <c r="C447" t="s">
        <v>623</v>
      </c>
      <c r="D447" t="s">
        <v>3505</v>
      </c>
      <c r="E447" t="s">
        <v>588</v>
      </c>
      <c r="M447" s="134">
        <v>0</v>
      </c>
      <c r="N447" s="134">
        <v>0</v>
      </c>
      <c r="O447" t="s">
        <v>4423</v>
      </c>
      <c r="P447" t="s">
        <v>4424</v>
      </c>
      <c r="Q447" t="s">
        <v>620</v>
      </c>
      <c r="R447" t="s">
        <v>4425</v>
      </c>
      <c r="U447" t="s">
        <v>491</v>
      </c>
      <c r="X447">
        <v>0</v>
      </c>
    </row>
    <row r="448" spans="1:24" x14ac:dyDescent="0.25">
      <c r="A448" s="234">
        <v>42664</v>
      </c>
      <c r="B448" t="s">
        <v>378</v>
      </c>
      <c r="C448" t="s">
        <v>623</v>
      </c>
      <c r="D448" t="s">
        <v>930</v>
      </c>
      <c r="E448" t="s">
        <v>588</v>
      </c>
      <c r="F448" t="s">
        <v>4436</v>
      </c>
      <c r="H448" t="s">
        <v>607</v>
      </c>
      <c r="M448" s="134">
        <v>0</v>
      </c>
      <c r="N448" s="134">
        <v>0</v>
      </c>
      <c r="O448" t="s">
        <v>3107</v>
      </c>
      <c r="P448" t="s">
        <v>4472</v>
      </c>
      <c r="Q448" t="s">
        <v>1612</v>
      </c>
      <c r="R448" t="s">
        <v>4473</v>
      </c>
      <c r="U448" t="s">
        <v>491</v>
      </c>
      <c r="X448">
        <v>0</v>
      </c>
    </row>
    <row r="449" spans="1:24" x14ac:dyDescent="0.25">
      <c r="A449" s="234">
        <v>42667</v>
      </c>
      <c r="B449" t="s">
        <v>328</v>
      </c>
      <c r="C449" t="s">
        <v>603</v>
      </c>
      <c r="D449" t="s">
        <v>587</v>
      </c>
      <c r="E449" t="s">
        <v>692</v>
      </c>
      <c r="H449" t="s">
        <v>905</v>
      </c>
      <c r="M449" s="134">
        <v>0</v>
      </c>
      <c r="N449" s="134">
        <v>0</v>
      </c>
      <c r="O449" t="s">
        <v>4454</v>
      </c>
      <c r="P449" t="s">
        <v>4455</v>
      </c>
      <c r="Q449" t="s">
        <v>592</v>
      </c>
      <c r="U449" t="s">
        <v>491</v>
      </c>
      <c r="X449">
        <v>0</v>
      </c>
    </row>
    <row r="450" spans="1:24" x14ac:dyDescent="0.25">
      <c r="A450" s="234">
        <v>42667</v>
      </c>
      <c r="B450" t="s">
        <v>378</v>
      </c>
      <c r="C450" t="s">
        <v>623</v>
      </c>
      <c r="D450" t="s">
        <v>930</v>
      </c>
      <c r="E450" t="s">
        <v>588</v>
      </c>
      <c r="F450" t="s">
        <v>4461</v>
      </c>
      <c r="H450" t="s">
        <v>607</v>
      </c>
      <c r="M450" s="134">
        <v>0</v>
      </c>
      <c r="N450" s="134">
        <v>0</v>
      </c>
      <c r="O450" t="s">
        <v>35</v>
      </c>
      <c r="P450" t="s">
        <v>4462</v>
      </c>
      <c r="Q450" t="s">
        <v>1939</v>
      </c>
      <c r="R450" t="s">
        <v>4463</v>
      </c>
      <c r="U450" t="s">
        <v>491</v>
      </c>
      <c r="X450">
        <v>0</v>
      </c>
    </row>
    <row r="451" spans="1:24" x14ac:dyDescent="0.25">
      <c r="A451" s="234">
        <v>42667</v>
      </c>
      <c r="B451" t="s">
        <v>1486</v>
      </c>
      <c r="C451" t="s">
        <v>1883</v>
      </c>
      <c r="D451" t="s">
        <v>595</v>
      </c>
      <c r="E451" t="s">
        <v>821</v>
      </c>
      <c r="F451" t="s">
        <v>4464</v>
      </c>
      <c r="H451" t="s">
        <v>886</v>
      </c>
      <c r="I451" t="s">
        <v>4465</v>
      </c>
      <c r="J451" t="s">
        <v>959</v>
      </c>
      <c r="M451" s="134">
        <v>0</v>
      </c>
      <c r="N451" s="134">
        <v>0</v>
      </c>
      <c r="O451" t="s">
        <v>4466</v>
      </c>
      <c r="P451" t="s">
        <v>4467</v>
      </c>
      <c r="Q451" t="s">
        <v>1939</v>
      </c>
      <c r="R451" t="s">
        <v>4468</v>
      </c>
      <c r="U451" t="s">
        <v>491</v>
      </c>
      <c r="X451">
        <v>0</v>
      </c>
    </row>
    <row r="452" spans="1:24" x14ac:dyDescent="0.25">
      <c r="A452" s="234">
        <v>42669</v>
      </c>
      <c r="B452" t="s">
        <v>1486</v>
      </c>
      <c r="C452" t="s">
        <v>1363</v>
      </c>
      <c r="D452" t="s">
        <v>1495</v>
      </c>
      <c r="E452" t="s">
        <v>588</v>
      </c>
      <c r="M452" s="134">
        <v>0</v>
      </c>
      <c r="N452" s="134">
        <v>0</v>
      </c>
      <c r="O452" t="s">
        <v>4481</v>
      </c>
      <c r="P452" t="s">
        <v>4482</v>
      </c>
      <c r="Q452" t="s">
        <v>29</v>
      </c>
      <c r="U452" t="s">
        <v>491</v>
      </c>
      <c r="X452">
        <v>1</v>
      </c>
    </row>
    <row r="453" spans="1:24" x14ac:dyDescent="0.25">
      <c r="A453" s="234">
        <v>42670</v>
      </c>
      <c r="B453" t="s">
        <v>378</v>
      </c>
      <c r="C453" t="s">
        <v>623</v>
      </c>
      <c r="D453" t="s">
        <v>625</v>
      </c>
      <c r="E453" t="s">
        <v>821</v>
      </c>
      <c r="F453" t="s">
        <v>4500</v>
      </c>
      <c r="H453" t="s">
        <v>607</v>
      </c>
      <c r="I453" t="s">
        <v>2054</v>
      </c>
      <c r="J453" t="s">
        <v>899</v>
      </c>
      <c r="M453" s="134">
        <v>0</v>
      </c>
      <c r="N453" s="134">
        <v>0</v>
      </c>
      <c r="O453" t="s">
        <v>695</v>
      </c>
      <c r="P453" t="s">
        <v>4501</v>
      </c>
      <c r="Q453" t="s">
        <v>620</v>
      </c>
      <c r="R453" t="s">
        <v>4502</v>
      </c>
      <c r="U453" t="s">
        <v>491</v>
      </c>
      <c r="X453">
        <v>0</v>
      </c>
    </row>
    <row r="454" spans="1:24" x14ac:dyDescent="0.25">
      <c r="A454" s="234">
        <v>42670</v>
      </c>
      <c r="B454" t="s">
        <v>378</v>
      </c>
      <c r="C454" t="s">
        <v>623</v>
      </c>
      <c r="D454" t="s">
        <v>625</v>
      </c>
      <c r="E454" t="s">
        <v>821</v>
      </c>
      <c r="H454" t="s">
        <v>905</v>
      </c>
      <c r="M454" s="134">
        <v>0</v>
      </c>
      <c r="N454" s="134">
        <v>0</v>
      </c>
      <c r="O454" t="s">
        <v>4503</v>
      </c>
      <c r="P454" t="s">
        <v>4504</v>
      </c>
      <c r="Q454" t="s">
        <v>620</v>
      </c>
      <c r="R454" t="s">
        <v>4505</v>
      </c>
      <c r="U454" t="s">
        <v>491</v>
      </c>
      <c r="X454">
        <v>0</v>
      </c>
    </row>
    <row r="455" spans="1:24" x14ac:dyDescent="0.25">
      <c r="A455" s="234">
        <v>42670</v>
      </c>
      <c r="B455" t="s">
        <v>378</v>
      </c>
      <c r="C455" t="s">
        <v>623</v>
      </c>
      <c r="D455" t="s">
        <v>625</v>
      </c>
      <c r="E455" t="s">
        <v>1707</v>
      </c>
      <c r="F455" t="s">
        <v>4506</v>
      </c>
      <c r="H455" t="s">
        <v>607</v>
      </c>
      <c r="I455" t="s">
        <v>4507</v>
      </c>
      <c r="J455" t="s">
        <v>899</v>
      </c>
      <c r="M455" s="134">
        <v>0</v>
      </c>
      <c r="N455" s="134">
        <v>0</v>
      </c>
      <c r="O455" t="s">
        <v>4508</v>
      </c>
      <c r="P455" t="s">
        <v>4509</v>
      </c>
      <c r="Q455" t="s">
        <v>592</v>
      </c>
      <c r="R455" t="s">
        <v>4510</v>
      </c>
      <c r="U455" t="s">
        <v>491</v>
      </c>
      <c r="X455">
        <v>0</v>
      </c>
    </row>
    <row r="456" spans="1:24" x14ac:dyDescent="0.25">
      <c r="A456" s="234">
        <v>42670</v>
      </c>
      <c r="B456" t="s">
        <v>378</v>
      </c>
      <c r="C456" t="s">
        <v>623</v>
      </c>
      <c r="D456" t="s">
        <v>930</v>
      </c>
      <c r="E456" t="s">
        <v>821</v>
      </c>
      <c r="H456" t="s">
        <v>886</v>
      </c>
      <c r="M456" s="134">
        <v>0</v>
      </c>
      <c r="N456" s="134">
        <v>0</v>
      </c>
      <c r="O456" t="s">
        <v>4512</v>
      </c>
      <c r="P456" t="s">
        <v>4513</v>
      </c>
      <c r="Q456" t="s">
        <v>592</v>
      </c>
      <c r="U456" t="s">
        <v>491</v>
      </c>
      <c r="X456">
        <v>0</v>
      </c>
    </row>
    <row r="457" spans="1:24" x14ac:dyDescent="0.25">
      <c r="A457" s="234">
        <v>42676</v>
      </c>
      <c r="B457" t="s">
        <v>378</v>
      </c>
      <c r="C457" t="s">
        <v>623</v>
      </c>
      <c r="D457" t="s">
        <v>624</v>
      </c>
      <c r="E457" t="s">
        <v>588</v>
      </c>
      <c r="F457" t="s">
        <v>4579</v>
      </c>
      <c r="H457" t="s">
        <v>1050</v>
      </c>
      <c r="M457" s="134">
        <v>0</v>
      </c>
      <c r="N457" s="134">
        <v>0</v>
      </c>
      <c r="O457" t="s">
        <v>4580</v>
      </c>
      <c r="P457" t="s">
        <v>4581</v>
      </c>
      <c r="Q457" t="s">
        <v>592</v>
      </c>
      <c r="U457" t="s">
        <v>491</v>
      </c>
      <c r="X457">
        <v>0</v>
      </c>
    </row>
    <row r="458" spans="1:24" x14ac:dyDescent="0.25">
      <c r="A458" s="234">
        <v>42677</v>
      </c>
      <c r="B458" t="s">
        <v>378</v>
      </c>
      <c r="C458" t="s">
        <v>623</v>
      </c>
      <c r="D458" t="s">
        <v>930</v>
      </c>
      <c r="E458" t="s">
        <v>821</v>
      </c>
      <c r="F458" t="s">
        <v>4615</v>
      </c>
      <c r="H458" t="s">
        <v>607</v>
      </c>
      <c r="M458" s="134">
        <v>0</v>
      </c>
      <c r="N458" s="134">
        <v>0</v>
      </c>
      <c r="O458" t="s">
        <v>4616</v>
      </c>
      <c r="P458" t="s">
        <v>4617</v>
      </c>
      <c r="Q458" t="s">
        <v>592</v>
      </c>
      <c r="U458" t="s">
        <v>491</v>
      </c>
      <c r="X458">
        <v>0</v>
      </c>
    </row>
    <row r="459" spans="1:24" x14ac:dyDescent="0.25">
      <c r="A459" s="234">
        <v>42681</v>
      </c>
      <c r="B459" t="s">
        <v>378</v>
      </c>
      <c r="C459" t="s">
        <v>623</v>
      </c>
      <c r="D459" t="s">
        <v>625</v>
      </c>
      <c r="E459" t="s">
        <v>821</v>
      </c>
      <c r="H459" t="s">
        <v>809</v>
      </c>
      <c r="M459" s="134">
        <v>0</v>
      </c>
      <c r="N459" s="134">
        <v>0</v>
      </c>
      <c r="O459" t="s">
        <v>2799</v>
      </c>
      <c r="P459" t="s">
        <v>4627</v>
      </c>
      <c r="Q459" t="s">
        <v>29</v>
      </c>
      <c r="R459" t="s">
        <v>4628</v>
      </c>
      <c r="U459" t="s">
        <v>491</v>
      </c>
      <c r="X459">
        <v>1</v>
      </c>
    </row>
    <row r="460" spans="1:24" x14ac:dyDescent="0.25">
      <c r="A460" s="234">
        <v>42684</v>
      </c>
      <c r="B460" t="s">
        <v>378</v>
      </c>
      <c r="C460" t="s">
        <v>623</v>
      </c>
      <c r="D460" t="s">
        <v>930</v>
      </c>
      <c r="E460" t="s">
        <v>821</v>
      </c>
      <c r="F460" t="s">
        <v>4660</v>
      </c>
      <c r="M460" s="134">
        <v>0</v>
      </c>
      <c r="N460" s="134">
        <v>0</v>
      </c>
      <c r="O460" t="s">
        <v>35</v>
      </c>
      <c r="P460" t="s">
        <v>4661</v>
      </c>
      <c r="Q460" t="s">
        <v>592</v>
      </c>
      <c r="U460" t="s">
        <v>491</v>
      </c>
      <c r="X460">
        <v>0</v>
      </c>
    </row>
    <row r="461" spans="1:24" x14ac:dyDescent="0.25">
      <c r="A461" s="234">
        <v>42685</v>
      </c>
      <c r="B461" t="s">
        <v>328</v>
      </c>
      <c r="C461" t="s">
        <v>603</v>
      </c>
      <c r="D461" t="s">
        <v>2397</v>
      </c>
      <c r="E461" t="s">
        <v>821</v>
      </c>
      <c r="I461" t="s">
        <v>4674</v>
      </c>
      <c r="J461" t="s">
        <v>899</v>
      </c>
      <c r="M461" s="134">
        <v>0</v>
      </c>
      <c r="N461" s="134">
        <v>0</v>
      </c>
      <c r="O461" t="s">
        <v>4671</v>
      </c>
      <c r="P461" t="s">
        <v>4672</v>
      </c>
      <c r="Q461" t="s">
        <v>620</v>
      </c>
      <c r="R461" t="s">
        <v>4673</v>
      </c>
      <c r="U461" t="s">
        <v>491</v>
      </c>
      <c r="X461">
        <v>0</v>
      </c>
    </row>
    <row r="462" spans="1:24" x14ac:dyDescent="0.25">
      <c r="A462" s="234">
        <v>42688</v>
      </c>
      <c r="B462" t="s">
        <v>378</v>
      </c>
      <c r="C462" t="s">
        <v>623</v>
      </c>
      <c r="D462" t="s">
        <v>930</v>
      </c>
      <c r="E462" t="s">
        <v>1707</v>
      </c>
      <c r="F462" t="s">
        <v>4691</v>
      </c>
      <c r="H462" t="s">
        <v>905</v>
      </c>
      <c r="M462" s="134">
        <v>0</v>
      </c>
      <c r="N462" s="134">
        <v>0</v>
      </c>
      <c r="O462" t="s">
        <v>35</v>
      </c>
      <c r="P462" t="s">
        <v>4692</v>
      </c>
      <c r="Q462" t="s">
        <v>592</v>
      </c>
      <c r="U462" t="s">
        <v>491</v>
      </c>
      <c r="X462">
        <v>0</v>
      </c>
    </row>
    <row r="463" spans="1:24" x14ac:dyDescent="0.25">
      <c r="A463" s="234">
        <v>42689</v>
      </c>
      <c r="B463" t="s">
        <v>378</v>
      </c>
      <c r="C463" t="s">
        <v>623</v>
      </c>
      <c r="D463" t="s">
        <v>732</v>
      </c>
      <c r="E463" t="s">
        <v>821</v>
      </c>
      <c r="F463" t="s">
        <v>4713</v>
      </c>
      <c r="H463" t="s">
        <v>886</v>
      </c>
      <c r="M463" s="134">
        <v>0</v>
      </c>
      <c r="N463" s="134">
        <v>0</v>
      </c>
      <c r="O463" t="s">
        <v>4714</v>
      </c>
      <c r="P463" t="s">
        <v>4715</v>
      </c>
      <c r="Q463" t="s">
        <v>1939</v>
      </c>
      <c r="R463" t="s">
        <v>4716</v>
      </c>
      <c r="U463" t="s">
        <v>491</v>
      </c>
      <c r="X463">
        <v>0</v>
      </c>
    </row>
    <row r="464" spans="1:24" x14ac:dyDescent="0.25">
      <c r="A464" s="234">
        <v>42691</v>
      </c>
      <c r="B464" t="s">
        <v>378</v>
      </c>
      <c r="C464" t="s">
        <v>623</v>
      </c>
      <c r="D464" t="s">
        <v>625</v>
      </c>
      <c r="E464" t="s">
        <v>588</v>
      </c>
      <c r="F464" t="s">
        <v>4725</v>
      </c>
      <c r="H464" t="s">
        <v>905</v>
      </c>
      <c r="M464" s="134">
        <v>0</v>
      </c>
      <c r="N464" s="134">
        <v>0</v>
      </c>
      <c r="O464" t="s">
        <v>35</v>
      </c>
      <c r="P464" t="s">
        <v>4726</v>
      </c>
      <c r="Q464" t="s">
        <v>29</v>
      </c>
      <c r="R464" t="s">
        <v>4727</v>
      </c>
      <c r="S464" t="s">
        <v>4781</v>
      </c>
      <c r="U464" t="s">
        <v>491</v>
      </c>
      <c r="X464">
        <v>1</v>
      </c>
    </row>
    <row r="465" spans="1:24" x14ac:dyDescent="0.25">
      <c r="A465" s="234">
        <v>42691</v>
      </c>
      <c r="B465" t="s">
        <v>378</v>
      </c>
      <c r="C465" t="s">
        <v>623</v>
      </c>
      <c r="D465" t="s">
        <v>624</v>
      </c>
      <c r="E465" t="s">
        <v>588</v>
      </c>
      <c r="F465" t="s">
        <v>4650</v>
      </c>
      <c r="H465" t="s">
        <v>607</v>
      </c>
      <c r="M465" s="134">
        <v>0</v>
      </c>
      <c r="N465" s="134">
        <v>0</v>
      </c>
      <c r="O465" t="s">
        <v>4728</v>
      </c>
      <c r="P465" t="s">
        <v>4729</v>
      </c>
      <c r="Q465" t="s">
        <v>1939</v>
      </c>
      <c r="R465" t="s">
        <v>4730</v>
      </c>
      <c r="U465" t="s">
        <v>491</v>
      </c>
      <c r="X465">
        <v>0</v>
      </c>
    </row>
    <row r="466" spans="1:24" x14ac:dyDescent="0.25">
      <c r="A466" s="234">
        <v>42691</v>
      </c>
      <c r="B466" t="s">
        <v>378</v>
      </c>
      <c r="C466" t="s">
        <v>623</v>
      </c>
      <c r="D466" t="s">
        <v>624</v>
      </c>
      <c r="E466" t="s">
        <v>588</v>
      </c>
      <c r="F466" t="s">
        <v>4731</v>
      </c>
      <c r="H466" t="s">
        <v>607</v>
      </c>
      <c r="M466" s="134">
        <v>0</v>
      </c>
      <c r="N466" s="134">
        <v>0</v>
      </c>
      <c r="O466" t="s">
        <v>4732</v>
      </c>
      <c r="P466" t="s">
        <v>4733</v>
      </c>
      <c r="Q466" t="s">
        <v>1939</v>
      </c>
      <c r="R466" t="s">
        <v>4734</v>
      </c>
      <c r="U466" t="s">
        <v>491</v>
      </c>
      <c r="X466">
        <v>0</v>
      </c>
    </row>
    <row r="467" spans="1:24" x14ac:dyDescent="0.25">
      <c r="A467" s="234">
        <v>42695</v>
      </c>
      <c r="B467" t="s">
        <v>378</v>
      </c>
      <c r="C467" t="s">
        <v>899</v>
      </c>
      <c r="D467" t="s">
        <v>930</v>
      </c>
      <c r="E467" t="s">
        <v>2333</v>
      </c>
      <c r="F467" t="s">
        <v>4790</v>
      </c>
      <c r="H467" t="s">
        <v>905</v>
      </c>
      <c r="M467" s="134">
        <v>0</v>
      </c>
      <c r="N467" s="134">
        <v>0</v>
      </c>
      <c r="O467" t="s">
        <v>4791</v>
      </c>
      <c r="P467" t="s">
        <v>4792</v>
      </c>
      <c r="Q467" t="s">
        <v>1939</v>
      </c>
      <c r="R467" t="s">
        <v>4789</v>
      </c>
      <c r="U467" t="s">
        <v>1327</v>
      </c>
      <c r="X467">
        <v>0</v>
      </c>
    </row>
    <row r="468" spans="1:24" x14ac:dyDescent="0.25">
      <c r="A468" s="234">
        <v>42702</v>
      </c>
      <c r="B468" t="s">
        <v>378</v>
      </c>
      <c r="C468" t="s">
        <v>623</v>
      </c>
      <c r="D468" t="s">
        <v>930</v>
      </c>
      <c r="E468" t="s">
        <v>821</v>
      </c>
      <c r="F468" t="s">
        <v>4829</v>
      </c>
      <c r="H468" t="s">
        <v>905</v>
      </c>
      <c r="M468" s="134">
        <v>0</v>
      </c>
      <c r="N468" s="134">
        <v>0</v>
      </c>
      <c r="O468" t="s">
        <v>4830</v>
      </c>
      <c r="P468" t="s">
        <v>4831</v>
      </c>
      <c r="Q468" t="s">
        <v>1939</v>
      </c>
      <c r="R468" t="s">
        <v>4832</v>
      </c>
      <c r="U468" t="s">
        <v>491</v>
      </c>
      <c r="X468">
        <v>0</v>
      </c>
    </row>
    <row r="469" spans="1:24" x14ac:dyDescent="0.25">
      <c r="A469" s="234">
        <v>42706</v>
      </c>
      <c r="B469" t="s">
        <v>328</v>
      </c>
      <c r="C469" t="s">
        <v>603</v>
      </c>
      <c r="D469" t="s">
        <v>2397</v>
      </c>
      <c r="E469" t="s">
        <v>588</v>
      </c>
      <c r="F469" t="s">
        <v>4884</v>
      </c>
      <c r="H469" t="s">
        <v>607</v>
      </c>
      <c r="I469" t="s">
        <v>4885</v>
      </c>
      <c r="J469" t="s">
        <v>899</v>
      </c>
      <c r="M469" s="134">
        <v>0</v>
      </c>
      <c r="N469" s="134">
        <v>0</v>
      </c>
      <c r="O469" t="s">
        <v>3192</v>
      </c>
      <c r="P469" t="s">
        <v>4886</v>
      </c>
      <c r="Q469" t="s">
        <v>1939</v>
      </c>
      <c r="R469" t="s">
        <v>4887</v>
      </c>
      <c r="U469" t="s">
        <v>491</v>
      </c>
      <c r="X469">
        <v>0</v>
      </c>
    </row>
    <row r="470" spans="1:24" x14ac:dyDescent="0.25">
      <c r="A470" s="234">
        <v>42706</v>
      </c>
      <c r="B470" t="s">
        <v>328</v>
      </c>
      <c r="C470" t="s">
        <v>603</v>
      </c>
      <c r="D470" t="s">
        <v>1401</v>
      </c>
      <c r="E470" t="s">
        <v>588</v>
      </c>
      <c r="F470" t="s">
        <v>3792</v>
      </c>
      <c r="H470" t="s">
        <v>5046</v>
      </c>
      <c r="I470" t="s">
        <v>3793</v>
      </c>
      <c r="J470" t="s">
        <v>899</v>
      </c>
      <c r="M470" s="134">
        <v>0</v>
      </c>
      <c r="N470" s="134">
        <v>0</v>
      </c>
      <c r="O470" t="s">
        <v>2928</v>
      </c>
      <c r="P470" t="s">
        <v>4882</v>
      </c>
      <c r="Q470" t="s">
        <v>29</v>
      </c>
      <c r="R470" t="s">
        <v>4883</v>
      </c>
      <c r="U470" t="s">
        <v>491</v>
      </c>
      <c r="X470">
        <v>1</v>
      </c>
    </row>
    <row r="471" spans="1:24" x14ac:dyDescent="0.25">
      <c r="A471" s="234">
        <v>42706</v>
      </c>
      <c r="B471" t="s">
        <v>378</v>
      </c>
      <c r="C471" t="s">
        <v>623</v>
      </c>
      <c r="D471" t="s">
        <v>930</v>
      </c>
      <c r="E471" t="s">
        <v>588</v>
      </c>
      <c r="F471" t="s">
        <v>4890</v>
      </c>
      <c r="H471" t="s">
        <v>607</v>
      </c>
      <c r="M471" s="134">
        <v>0</v>
      </c>
      <c r="N471" s="134">
        <v>0</v>
      </c>
      <c r="O471" t="s">
        <v>3952</v>
      </c>
      <c r="P471" t="s">
        <v>4891</v>
      </c>
      <c r="Q471" t="s">
        <v>1939</v>
      </c>
      <c r="R471" t="s">
        <v>4892</v>
      </c>
      <c r="U471" t="s">
        <v>491</v>
      </c>
      <c r="X471">
        <v>0</v>
      </c>
    </row>
    <row r="472" spans="1:24" x14ac:dyDescent="0.25">
      <c r="A472" s="234">
        <v>42706</v>
      </c>
      <c r="B472" t="s">
        <v>1486</v>
      </c>
      <c r="C472" t="s">
        <v>1883</v>
      </c>
      <c r="D472" t="s">
        <v>595</v>
      </c>
      <c r="E472" t="s">
        <v>588</v>
      </c>
      <c r="F472" t="s">
        <v>4893</v>
      </c>
      <c r="H472" t="s">
        <v>905</v>
      </c>
      <c r="J472" t="s">
        <v>604</v>
      </c>
      <c r="M472" s="134">
        <v>0</v>
      </c>
      <c r="N472" s="134">
        <v>0</v>
      </c>
      <c r="O472" t="s">
        <v>2392</v>
      </c>
      <c r="P472" t="s">
        <v>4894</v>
      </c>
      <c r="Q472" t="s">
        <v>29</v>
      </c>
      <c r="R472" t="s">
        <v>4895</v>
      </c>
      <c r="U472" t="s">
        <v>491</v>
      </c>
      <c r="X472">
        <v>1</v>
      </c>
    </row>
    <row r="473" spans="1:24" x14ac:dyDescent="0.25">
      <c r="A473" s="234">
        <v>42706</v>
      </c>
      <c r="B473" t="s">
        <v>378</v>
      </c>
      <c r="C473" t="s">
        <v>623</v>
      </c>
      <c r="D473" t="s">
        <v>611</v>
      </c>
      <c r="E473" t="s">
        <v>588</v>
      </c>
      <c r="F473" t="s">
        <v>4896</v>
      </c>
      <c r="H473" t="s">
        <v>886</v>
      </c>
      <c r="M473" s="134">
        <v>0</v>
      </c>
      <c r="N473" s="134">
        <v>0</v>
      </c>
      <c r="O473" t="s">
        <v>4897</v>
      </c>
      <c r="P473" t="s">
        <v>4898</v>
      </c>
      <c r="Q473" t="s">
        <v>592</v>
      </c>
      <c r="U473" t="s">
        <v>491</v>
      </c>
      <c r="X473">
        <v>0</v>
      </c>
    </row>
    <row r="474" spans="1:24" x14ac:dyDescent="0.25">
      <c r="A474" s="234">
        <v>42706</v>
      </c>
      <c r="B474" t="s">
        <v>378</v>
      </c>
      <c r="C474" t="s">
        <v>623</v>
      </c>
      <c r="D474" t="s">
        <v>625</v>
      </c>
      <c r="E474" t="s">
        <v>588</v>
      </c>
      <c r="F474" t="s">
        <v>4899</v>
      </c>
      <c r="H474" t="s">
        <v>886</v>
      </c>
      <c r="J474" t="s">
        <v>899</v>
      </c>
      <c r="M474" s="134">
        <v>0</v>
      </c>
      <c r="N474" s="134">
        <v>0</v>
      </c>
      <c r="O474" t="s">
        <v>4900</v>
      </c>
      <c r="P474" t="s">
        <v>4901</v>
      </c>
      <c r="Q474" t="s">
        <v>620</v>
      </c>
      <c r="R474" t="s">
        <v>4902</v>
      </c>
      <c r="U474" t="s">
        <v>491</v>
      </c>
      <c r="X474">
        <v>0</v>
      </c>
    </row>
    <row r="475" spans="1:24" x14ac:dyDescent="0.25">
      <c r="A475" s="234">
        <v>42709</v>
      </c>
      <c r="B475" t="s">
        <v>1486</v>
      </c>
      <c r="C475" t="s">
        <v>1883</v>
      </c>
      <c r="D475" t="s">
        <v>732</v>
      </c>
      <c r="E475" t="s">
        <v>588</v>
      </c>
      <c r="M475" s="134">
        <v>0</v>
      </c>
      <c r="N475" s="134">
        <v>0</v>
      </c>
      <c r="O475" t="s">
        <v>1013</v>
      </c>
      <c r="P475" t="s">
        <v>4921</v>
      </c>
      <c r="Q475" t="s">
        <v>1939</v>
      </c>
      <c r="R475" t="s">
        <v>4922</v>
      </c>
      <c r="U475" t="s">
        <v>491</v>
      </c>
      <c r="X475">
        <v>0</v>
      </c>
    </row>
    <row r="476" spans="1:24" x14ac:dyDescent="0.25">
      <c r="A476" s="234">
        <v>42710</v>
      </c>
      <c r="B476" t="s">
        <v>1486</v>
      </c>
      <c r="C476" t="s">
        <v>1883</v>
      </c>
      <c r="D476" t="s">
        <v>595</v>
      </c>
      <c r="E476" t="s">
        <v>588</v>
      </c>
      <c r="F476" t="s">
        <v>4936</v>
      </c>
      <c r="H476" t="s">
        <v>607</v>
      </c>
      <c r="M476" s="134">
        <v>0</v>
      </c>
      <c r="N476" s="134">
        <v>0</v>
      </c>
      <c r="O476" t="s">
        <v>4937</v>
      </c>
      <c r="P476" t="s">
        <v>4938</v>
      </c>
      <c r="Q476" t="s">
        <v>29</v>
      </c>
      <c r="R476" t="s">
        <v>4939</v>
      </c>
      <c r="U476" t="s">
        <v>491</v>
      </c>
      <c r="X476">
        <v>1</v>
      </c>
    </row>
    <row r="477" spans="1:24" x14ac:dyDescent="0.25">
      <c r="A477" s="234">
        <v>42716</v>
      </c>
      <c r="B477" t="s">
        <v>1486</v>
      </c>
      <c r="C477" t="s">
        <v>1883</v>
      </c>
      <c r="D477" t="s">
        <v>732</v>
      </c>
      <c r="E477" t="s">
        <v>588</v>
      </c>
      <c r="F477" t="s">
        <v>4984</v>
      </c>
      <c r="H477" t="s">
        <v>905</v>
      </c>
      <c r="M477" s="134">
        <v>0</v>
      </c>
      <c r="N477" s="134">
        <v>0</v>
      </c>
      <c r="O477" t="s">
        <v>4985</v>
      </c>
      <c r="P477" t="s">
        <v>4986</v>
      </c>
      <c r="Q477" t="s">
        <v>29</v>
      </c>
      <c r="R477" t="s">
        <v>4987</v>
      </c>
      <c r="U477" t="s">
        <v>491</v>
      </c>
      <c r="X477">
        <v>1</v>
      </c>
    </row>
    <row r="478" spans="1:24" x14ac:dyDescent="0.25">
      <c r="A478" s="234">
        <v>42716</v>
      </c>
      <c r="B478" t="s">
        <v>1486</v>
      </c>
      <c r="C478" t="s">
        <v>1883</v>
      </c>
      <c r="D478" t="s">
        <v>2454</v>
      </c>
      <c r="E478" t="s">
        <v>588</v>
      </c>
      <c r="F478" t="s">
        <v>4988</v>
      </c>
      <c r="H478" t="s">
        <v>809</v>
      </c>
      <c r="M478" s="134">
        <v>0</v>
      </c>
      <c r="N478" s="134">
        <v>0</v>
      </c>
      <c r="O478" t="s">
        <v>4989</v>
      </c>
      <c r="P478" t="s">
        <v>4990</v>
      </c>
      <c r="Q478" t="s">
        <v>592</v>
      </c>
      <c r="R478" t="s">
        <v>4991</v>
      </c>
      <c r="U478" t="s">
        <v>491</v>
      </c>
      <c r="X478">
        <v>0</v>
      </c>
    </row>
    <row r="479" spans="1:24" x14ac:dyDescent="0.25">
      <c r="A479" s="234">
        <v>42717</v>
      </c>
      <c r="B479" t="s">
        <v>378</v>
      </c>
      <c r="C479" t="s">
        <v>623</v>
      </c>
      <c r="D479" t="s">
        <v>3505</v>
      </c>
      <c r="E479" t="s">
        <v>588</v>
      </c>
      <c r="F479" t="s">
        <v>5000</v>
      </c>
      <c r="M479" s="134">
        <v>0</v>
      </c>
      <c r="N479" s="134">
        <v>0</v>
      </c>
      <c r="O479" t="s">
        <v>5001</v>
      </c>
      <c r="P479" t="s">
        <v>5002</v>
      </c>
      <c r="Q479" t="s">
        <v>29</v>
      </c>
      <c r="R479" t="s">
        <v>5003</v>
      </c>
      <c r="X479">
        <v>1</v>
      </c>
    </row>
    <row r="480" spans="1:24" x14ac:dyDescent="0.25">
      <c r="A480" s="234">
        <v>42717</v>
      </c>
      <c r="B480" t="s">
        <v>378</v>
      </c>
      <c r="C480" t="s">
        <v>623</v>
      </c>
      <c r="D480" t="s">
        <v>930</v>
      </c>
      <c r="E480" t="s">
        <v>821</v>
      </c>
      <c r="F480" t="s">
        <v>5013</v>
      </c>
      <c r="H480" t="s">
        <v>607</v>
      </c>
      <c r="M480" s="134">
        <v>0</v>
      </c>
      <c r="N480" s="134">
        <v>0</v>
      </c>
      <c r="O480" t="s">
        <v>3952</v>
      </c>
      <c r="P480" t="s">
        <v>5014</v>
      </c>
      <c r="Q480" t="s">
        <v>592</v>
      </c>
      <c r="X480">
        <v>0</v>
      </c>
    </row>
    <row r="481" spans="1:24" x14ac:dyDescent="0.25">
      <c r="A481" s="234">
        <v>42718</v>
      </c>
      <c r="B481" t="s">
        <v>378</v>
      </c>
      <c r="C481" t="s">
        <v>623</v>
      </c>
      <c r="D481" t="s">
        <v>930</v>
      </c>
      <c r="E481" t="s">
        <v>821</v>
      </c>
      <c r="M481" s="134">
        <v>0</v>
      </c>
      <c r="N481" s="134">
        <v>0</v>
      </c>
      <c r="O481" t="s">
        <v>5027</v>
      </c>
      <c r="P481" t="s">
        <v>5028</v>
      </c>
      <c r="Q481" t="s">
        <v>592</v>
      </c>
      <c r="R481" t="s">
        <v>5029</v>
      </c>
      <c r="U481" t="s">
        <v>491</v>
      </c>
      <c r="X481">
        <v>0</v>
      </c>
    </row>
    <row r="482" spans="1:24" x14ac:dyDescent="0.25">
      <c r="A482" s="234">
        <v>42719</v>
      </c>
      <c r="B482" t="s">
        <v>378</v>
      </c>
      <c r="C482" t="s">
        <v>610</v>
      </c>
      <c r="D482" t="s">
        <v>611</v>
      </c>
      <c r="E482" t="s">
        <v>588</v>
      </c>
      <c r="F482" t="s">
        <v>5034</v>
      </c>
      <c r="H482" t="s">
        <v>5033</v>
      </c>
      <c r="M482" s="134">
        <v>0</v>
      </c>
      <c r="N482" s="134">
        <v>0</v>
      </c>
      <c r="O482" t="s">
        <v>5032</v>
      </c>
      <c r="P482" t="s">
        <v>5030</v>
      </c>
      <c r="Q482" t="s">
        <v>592</v>
      </c>
      <c r="R482" t="s">
        <v>5031</v>
      </c>
      <c r="U482" t="s">
        <v>2227</v>
      </c>
      <c r="X482">
        <v>0</v>
      </c>
    </row>
    <row r="483" spans="1:24" x14ac:dyDescent="0.25">
      <c r="A483" s="234">
        <v>42719</v>
      </c>
      <c r="B483" t="s">
        <v>378</v>
      </c>
      <c r="C483" t="s">
        <v>623</v>
      </c>
      <c r="D483" t="s">
        <v>625</v>
      </c>
      <c r="E483" t="s">
        <v>588</v>
      </c>
      <c r="F483" t="s">
        <v>5035</v>
      </c>
      <c r="H483" t="s">
        <v>5036</v>
      </c>
      <c r="J483" t="s">
        <v>899</v>
      </c>
      <c r="M483" s="134">
        <v>0</v>
      </c>
      <c r="N483" s="134">
        <v>0</v>
      </c>
      <c r="O483" t="s">
        <v>5037</v>
      </c>
      <c r="P483" t="s">
        <v>5038</v>
      </c>
      <c r="Q483" t="s">
        <v>1612</v>
      </c>
      <c r="R483" t="s">
        <v>5039</v>
      </c>
      <c r="S483" t="s">
        <v>5061</v>
      </c>
      <c r="U483" t="s">
        <v>2227</v>
      </c>
      <c r="X483">
        <v>0</v>
      </c>
    </row>
    <row r="484" spans="1:24" x14ac:dyDescent="0.25">
      <c r="A484" s="234">
        <v>42719</v>
      </c>
      <c r="B484" t="s">
        <v>1486</v>
      </c>
      <c r="C484" t="s">
        <v>1883</v>
      </c>
      <c r="D484" t="s">
        <v>2186</v>
      </c>
      <c r="E484" t="s">
        <v>588</v>
      </c>
      <c r="F484" t="s">
        <v>5043</v>
      </c>
      <c r="H484" t="s">
        <v>905</v>
      </c>
      <c r="M484" s="134">
        <v>0</v>
      </c>
      <c r="N484" s="134">
        <v>0</v>
      </c>
      <c r="O484" t="s">
        <v>5044</v>
      </c>
      <c r="P484" t="s">
        <v>5045</v>
      </c>
      <c r="Q484" t="s">
        <v>592</v>
      </c>
      <c r="U484" t="s">
        <v>491</v>
      </c>
      <c r="X484">
        <v>0</v>
      </c>
    </row>
    <row r="485" spans="1:24" x14ac:dyDescent="0.25">
      <c r="A485" s="234">
        <v>42723</v>
      </c>
      <c r="B485" t="s">
        <v>378</v>
      </c>
      <c r="C485" t="s">
        <v>623</v>
      </c>
      <c r="D485" t="s">
        <v>611</v>
      </c>
      <c r="E485" t="s">
        <v>588</v>
      </c>
      <c r="F485" t="s">
        <v>5055</v>
      </c>
      <c r="H485" t="s">
        <v>607</v>
      </c>
      <c r="M485" s="134">
        <v>0</v>
      </c>
      <c r="N485" s="134">
        <v>0</v>
      </c>
      <c r="O485" t="s">
        <v>5056</v>
      </c>
      <c r="P485" t="s">
        <v>5058</v>
      </c>
      <c r="Q485" t="s">
        <v>592</v>
      </c>
      <c r="R485" t="s">
        <v>5057</v>
      </c>
      <c r="U485" t="s">
        <v>491</v>
      </c>
      <c r="X485">
        <v>0</v>
      </c>
    </row>
    <row r="486" spans="1:24" x14ac:dyDescent="0.25">
      <c r="A486" s="234">
        <v>42726</v>
      </c>
      <c r="B486" t="s">
        <v>378</v>
      </c>
      <c r="C486" t="s">
        <v>623</v>
      </c>
      <c r="D486" t="s">
        <v>624</v>
      </c>
      <c r="E486" t="s">
        <v>821</v>
      </c>
      <c r="F486" t="s">
        <v>5109</v>
      </c>
      <c r="H486" t="s">
        <v>607</v>
      </c>
      <c r="M486" s="134">
        <v>0</v>
      </c>
      <c r="N486" s="134">
        <v>0</v>
      </c>
      <c r="O486" t="s">
        <v>35</v>
      </c>
      <c r="P486" t="s">
        <v>5110</v>
      </c>
      <c r="Q486" t="s">
        <v>592</v>
      </c>
      <c r="U486" t="s">
        <v>491</v>
      </c>
      <c r="X486">
        <v>0</v>
      </c>
    </row>
    <row r="487" spans="1:24" x14ac:dyDescent="0.25">
      <c r="A487" s="234">
        <v>42731</v>
      </c>
      <c r="B487" t="s">
        <v>378</v>
      </c>
      <c r="C487" t="s">
        <v>899</v>
      </c>
      <c r="D487" t="s">
        <v>3505</v>
      </c>
      <c r="E487" t="s">
        <v>588</v>
      </c>
      <c r="F487" t="s">
        <v>5136</v>
      </c>
      <c r="M487" s="134">
        <v>0</v>
      </c>
      <c r="N487" s="134">
        <v>0</v>
      </c>
      <c r="O487" t="s">
        <v>5137</v>
      </c>
      <c r="P487" t="s">
        <v>5138</v>
      </c>
      <c r="Q487" t="s">
        <v>1939</v>
      </c>
      <c r="R487" t="s">
        <v>5139</v>
      </c>
      <c r="U487" t="s">
        <v>1327</v>
      </c>
      <c r="X487">
        <v>0</v>
      </c>
    </row>
    <row r="488" spans="1:24" x14ac:dyDescent="0.25">
      <c r="A488" s="234">
        <v>42732</v>
      </c>
      <c r="B488" t="s">
        <v>378</v>
      </c>
      <c r="C488" t="s">
        <v>899</v>
      </c>
      <c r="D488" t="s">
        <v>625</v>
      </c>
      <c r="E488" t="s">
        <v>588</v>
      </c>
      <c r="F488" t="s">
        <v>5128</v>
      </c>
      <c r="H488" t="s">
        <v>1057</v>
      </c>
      <c r="J488" t="s">
        <v>899</v>
      </c>
      <c r="M488" s="134">
        <v>0</v>
      </c>
      <c r="N488" s="134">
        <v>0</v>
      </c>
      <c r="O488" t="s">
        <v>695</v>
      </c>
      <c r="P488" t="s">
        <v>5130</v>
      </c>
      <c r="Q488" t="s">
        <v>29</v>
      </c>
      <c r="R488" t="s">
        <v>5129</v>
      </c>
      <c r="U488" t="s">
        <v>1327</v>
      </c>
      <c r="X488">
        <v>1</v>
      </c>
    </row>
    <row r="489" spans="1:24" x14ac:dyDescent="0.25">
      <c r="A489" s="234">
        <v>42733</v>
      </c>
      <c r="B489" t="s">
        <v>378</v>
      </c>
      <c r="C489" t="s">
        <v>899</v>
      </c>
      <c r="D489" t="s">
        <v>625</v>
      </c>
      <c r="E489" t="s">
        <v>1707</v>
      </c>
      <c r="F489" t="s">
        <v>5159</v>
      </c>
      <c r="J489" t="s">
        <v>899</v>
      </c>
      <c r="M489" s="134">
        <v>0</v>
      </c>
      <c r="N489" s="134">
        <v>0</v>
      </c>
      <c r="O489" t="s">
        <v>695</v>
      </c>
      <c r="P489" t="s">
        <v>5160</v>
      </c>
      <c r="Q489" t="s">
        <v>1612</v>
      </c>
      <c r="R489" t="s">
        <v>5157</v>
      </c>
      <c r="S489" t="s">
        <v>5158</v>
      </c>
      <c r="U489" t="s">
        <v>1327</v>
      </c>
      <c r="X489">
        <v>0</v>
      </c>
    </row>
    <row r="490" spans="1:24" x14ac:dyDescent="0.25">
      <c r="A490" s="234">
        <v>43070</v>
      </c>
      <c r="B490" t="s">
        <v>643</v>
      </c>
      <c r="C490" t="s">
        <v>644</v>
      </c>
      <c r="D490" t="s">
        <v>645</v>
      </c>
      <c r="E490" t="s">
        <v>588</v>
      </c>
      <c r="F490" t="s">
        <v>9603</v>
      </c>
      <c r="G490" t="s">
        <v>9603</v>
      </c>
      <c r="H490" t="s">
        <v>1391</v>
      </c>
      <c r="I490" t="s">
        <v>9510</v>
      </c>
      <c r="J490" t="s">
        <v>644</v>
      </c>
      <c r="L490">
        <v>10</v>
      </c>
      <c r="M490" s="134">
        <v>0</v>
      </c>
      <c r="N490" s="134">
        <v>110000</v>
      </c>
      <c r="O490" t="s">
        <v>9604</v>
      </c>
      <c r="P490" t="s">
        <v>9605</v>
      </c>
      <c r="Q490" t="s">
        <v>29</v>
      </c>
      <c r="R490" t="s">
        <v>9606</v>
      </c>
      <c r="U490" t="s">
        <v>1327</v>
      </c>
      <c r="X490">
        <v>1</v>
      </c>
    </row>
    <row r="491" spans="1:24" x14ac:dyDescent="0.25">
      <c r="A491" s="234">
        <v>42695</v>
      </c>
      <c r="B491" t="s">
        <v>643</v>
      </c>
      <c r="C491" t="s">
        <v>644</v>
      </c>
      <c r="D491" t="s">
        <v>645</v>
      </c>
      <c r="E491" t="s">
        <v>588</v>
      </c>
      <c r="F491" t="s">
        <v>4771</v>
      </c>
      <c r="H491" t="s">
        <v>1391</v>
      </c>
      <c r="I491" t="s">
        <v>4772</v>
      </c>
      <c r="J491" t="s">
        <v>644</v>
      </c>
      <c r="L491">
        <v>10</v>
      </c>
      <c r="M491" s="134">
        <v>0</v>
      </c>
      <c r="N491" s="134">
        <v>110000</v>
      </c>
      <c r="O491" t="s">
        <v>4773</v>
      </c>
      <c r="P491" t="s">
        <v>4774</v>
      </c>
      <c r="Q491" t="s">
        <v>29</v>
      </c>
      <c r="R491" t="s">
        <v>4775</v>
      </c>
      <c r="U491" t="s">
        <v>1327</v>
      </c>
      <c r="X491">
        <v>1</v>
      </c>
    </row>
    <row r="492" spans="1:24" x14ac:dyDescent="0.25">
      <c r="A492" s="234">
        <v>42636</v>
      </c>
      <c r="B492" t="s">
        <v>1486</v>
      </c>
      <c r="C492" t="s">
        <v>1363</v>
      </c>
      <c r="D492" t="s">
        <v>1495</v>
      </c>
      <c r="E492" t="s">
        <v>588</v>
      </c>
      <c r="F492" t="s">
        <v>4049</v>
      </c>
      <c r="H492" t="s">
        <v>4050</v>
      </c>
      <c r="I492" t="s">
        <v>4051</v>
      </c>
      <c r="J492" t="s">
        <v>602</v>
      </c>
      <c r="M492" s="134">
        <v>0</v>
      </c>
      <c r="N492" s="134">
        <v>179000</v>
      </c>
      <c r="O492" t="s">
        <v>4052</v>
      </c>
      <c r="P492" t="s">
        <v>4053</v>
      </c>
      <c r="Q492" t="s">
        <v>592</v>
      </c>
      <c r="R492" t="s">
        <v>4054</v>
      </c>
      <c r="U492" t="s">
        <v>1327</v>
      </c>
      <c r="X492">
        <v>0</v>
      </c>
    </row>
    <row r="493" spans="1:24" x14ac:dyDescent="0.25">
      <c r="A493" s="234">
        <v>42522</v>
      </c>
      <c r="B493" t="s">
        <v>378</v>
      </c>
      <c r="C493" t="s">
        <v>623</v>
      </c>
      <c r="D493" t="s">
        <v>625</v>
      </c>
      <c r="E493" t="s">
        <v>588</v>
      </c>
      <c r="F493" t="s">
        <v>2311</v>
      </c>
      <c r="H493" t="s">
        <v>2295</v>
      </c>
      <c r="I493" t="s">
        <v>2312</v>
      </c>
      <c r="M493" s="134">
        <v>0</v>
      </c>
      <c r="N493" s="134">
        <v>205000</v>
      </c>
      <c r="O493" t="s">
        <v>2295</v>
      </c>
      <c r="P493" t="s">
        <v>2296</v>
      </c>
      <c r="Q493" t="s">
        <v>1939</v>
      </c>
      <c r="R493" t="s">
        <v>2297</v>
      </c>
      <c r="U493" t="s">
        <v>2298</v>
      </c>
      <c r="X493">
        <v>0</v>
      </c>
    </row>
    <row r="494" spans="1:24" x14ac:dyDescent="0.25">
      <c r="A494" s="234">
        <v>43241</v>
      </c>
      <c r="B494" t="s">
        <v>569</v>
      </c>
      <c r="C494" t="s">
        <v>899</v>
      </c>
      <c r="D494" t="s">
        <v>611</v>
      </c>
      <c r="E494" t="s">
        <v>588</v>
      </c>
      <c r="F494" t="s">
        <v>11332</v>
      </c>
      <c r="G494" t="s">
        <v>8040</v>
      </c>
      <c r="H494" t="s">
        <v>607</v>
      </c>
      <c r="I494" t="s">
        <v>11333</v>
      </c>
      <c r="J494" t="s">
        <v>899</v>
      </c>
      <c r="M494" s="134">
        <v>0</v>
      </c>
      <c r="N494" s="134">
        <v>300000</v>
      </c>
      <c r="O494" t="s">
        <v>6745</v>
      </c>
      <c r="P494" t="s">
        <v>11334</v>
      </c>
      <c r="Q494" t="s">
        <v>592</v>
      </c>
      <c r="R494" t="s">
        <v>11335</v>
      </c>
      <c r="U494" t="s">
        <v>1327</v>
      </c>
      <c r="X494">
        <v>0</v>
      </c>
    </row>
    <row r="495" spans="1:24" x14ac:dyDescent="0.25">
      <c r="A495" s="234">
        <v>43069</v>
      </c>
      <c r="B495" t="s">
        <v>5176</v>
      </c>
      <c r="C495" t="s">
        <v>899</v>
      </c>
      <c r="D495" t="s">
        <v>732</v>
      </c>
      <c r="E495" t="s">
        <v>588</v>
      </c>
      <c r="F495" t="s">
        <v>9574</v>
      </c>
      <c r="G495" t="s">
        <v>9574</v>
      </c>
      <c r="H495" t="s">
        <v>1050</v>
      </c>
      <c r="I495" t="s">
        <v>6864</v>
      </c>
      <c r="J495" t="s">
        <v>959</v>
      </c>
      <c r="M495" s="134">
        <v>0</v>
      </c>
      <c r="N495" s="134">
        <v>350000</v>
      </c>
      <c r="O495" t="s">
        <v>9575</v>
      </c>
      <c r="P495" t="s">
        <v>9577</v>
      </c>
      <c r="Q495" t="s">
        <v>1939</v>
      </c>
      <c r="R495" t="s">
        <v>9576</v>
      </c>
      <c r="U495" t="s">
        <v>1327</v>
      </c>
      <c r="X495">
        <v>0</v>
      </c>
    </row>
    <row r="496" spans="1:24" x14ac:dyDescent="0.25">
      <c r="A496" s="234">
        <v>42593</v>
      </c>
      <c r="B496" t="s">
        <v>378</v>
      </c>
      <c r="C496" t="s">
        <v>623</v>
      </c>
      <c r="D496" t="s">
        <v>930</v>
      </c>
      <c r="E496" t="s">
        <v>821</v>
      </c>
      <c r="F496" t="s">
        <v>3378</v>
      </c>
      <c r="H496" t="s">
        <v>607</v>
      </c>
      <c r="J496" t="s">
        <v>899</v>
      </c>
      <c r="M496" s="134">
        <v>0</v>
      </c>
      <c r="N496" s="134">
        <v>525000</v>
      </c>
      <c r="O496" t="s">
        <v>3379</v>
      </c>
      <c r="P496" t="s">
        <v>3380</v>
      </c>
      <c r="Q496" t="s">
        <v>1939</v>
      </c>
      <c r="R496" t="s">
        <v>3381</v>
      </c>
      <c r="U496" t="s">
        <v>491</v>
      </c>
      <c r="X496">
        <v>0</v>
      </c>
    </row>
    <row r="497" spans="1:24" x14ac:dyDescent="0.25">
      <c r="A497" s="234">
        <v>42760</v>
      </c>
      <c r="B497" t="s">
        <v>328</v>
      </c>
      <c r="C497" t="s">
        <v>603</v>
      </c>
      <c r="D497" t="s">
        <v>1401</v>
      </c>
      <c r="E497" t="s">
        <v>588</v>
      </c>
      <c r="F497" t="s">
        <v>5443</v>
      </c>
      <c r="H497" t="s">
        <v>905</v>
      </c>
      <c r="I497" t="s">
        <v>5444</v>
      </c>
      <c r="J497" t="s">
        <v>3885</v>
      </c>
      <c r="L497" t="s">
        <v>5280</v>
      </c>
      <c r="M497" s="134">
        <v>0</v>
      </c>
      <c r="N497" s="134">
        <v>550000</v>
      </c>
      <c r="O497" t="s">
        <v>5445</v>
      </c>
      <c r="P497" t="s">
        <v>5446</v>
      </c>
      <c r="Q497" t="s">
        <v>29</v>
      </c>
      <c r="R497" t="s">
        <v>5447</v>
      </c>
      <c r="U497" t="s">
        <v>491</v>
      </c>
      <c r="X497">
        <v>1</v>
      </c>
    </row>
    <row r="498" spans="1:24" x14ac:dyDescent="0.25">
      <c r="A498" s="234">
        <v>42522</v>
      </c>
      <c r="B498" t="s">
        <v>643</v>
      </c>
      <c r="D498" t="s">
        <v>645</v>
      </c>
      <c r="E498" t="s">
        <v>588</v>
      </c>
      <c r="F498" t="s">
        <v>2287</v>
      </c>
      <c r="M498" s="134">
        <v>0</v>
      </c>
      <c r="N498" s="134">
        <v>561000</v>
      </c>
      <c r="O498" t="s">
        <v>2288</v>
      </c>
      <c r="P498" t="s">
        <v>2289</v>
      </c>
      <c r="Q498" t="s">
        <v>592</v>
      </c>
      <c r="R498" t="s">
        <v>2290</v>
      </c>
      <c r="U498" t="s">
        <v>633</v>
      </c>
      <c r="X498">
        <v>0</v>
      </c>
    </row>
    <row r="499" spans="1:24" x14ac:dyDescent="0.25">
      <c r="A499" s="234">
        <v>42823</v>
      </c>
      <c r="B499" t="s">
        <v>643</v>
      </c>
      <c r="C499" t="s">
        <v>644</v>
      </c>
      <c r="D499" t="s">
        <v>645</v>
      </c>
      <c r="E499" t="s">
        <v>588</v>
      </c>
      <c r="F499" t="s">
        <v>6170</v>
      </c>
      <c r="H499" t="s">
        <v>4183</v>
      </c>
      <c r="J499" t="s">
        <v>644</v>
      </c>
      <c r="L499">
        <v>10</v>
      </c>
      <c r="M499" s="134">
        <v>0</v>
      </c>
      <c r="N499" s="134">
        <v>654000</v>
      </c>
      <c r="O499" t="s">
        <v>6171</v>
      </c>
      <c r="P499" t="s">
        <v>6172</v>
      </c>
      <c r="Q499" t="s">
        <v>1939</v>
      </c>
      <c r="R499" t="s">
        <v>6173</v>
      </c>
      <c r="S499" t="s">
        <v>6312</v>
      </c>
      <c r="U499" t="s">
        <v>1327</v>
      </c>
      <c r="X499">
        <v>0</v>
      </c>
    </row>
    <row r="500" spans="1:24" x14ac:dyDescent="0.25">
      <c r="A500" s="234">
        <v>43223</v>
      </c>
      <c r="B500" t="s">
        <v>569</v>
      </c>
      <c r="C500" t="s">
        <v>899</v>
      </c>
      <c r="D500" t="s">
        <v>625</v>
      </c>
      <c r="E500" t="s">
        <v>588</v>
      </c>
      <c r="F500" t="s">
        <v>11117</v>
      </c>
      <c r="H500" t="s">
        <v>886</v>
      </c>
      <c r="I500" t="s">
        <v>3536</v>
      </c>
      <c r="J500" t="s">
        <v>899</v>
      </c>
      <c r="M500" s="134">
        <v>0</v>
      </c>
      <c r="N500" s="134">
        <v>770000</v>
      </c>
      <c r="O500" t="s">
        <v>560</v>
      </c>
      <c r="P500" t="s">
        <v>11118</v>
      </c>
      <c r="Q500" t="s">
        <v>592</v>
      </c>
      <c r="R500" t="s">
        <v>11133</v>
      </c>
      <c r="U500" t="s">
        <v>491</v>
      </c>
      <c r="X500">
        <v>0</v>
      </c>
    </row>
    <row r="501" spans="1:24" x14ac:dyDescent="0.25">
      <c r="A501" s="234">
        <v>43111</v>
      </c>
      <c r="B501" t="s">
        <v>643</v>
      </c>
      <c r="C501" t="s">
        <v>644</v>
      </c>
      <c r="D501" t="s">
        <v>3132</v>
      </c>
      <c r="E501" t="s">
        <v>588</v>
      </c>
      <c r="F501" t="s">
        <v>10009</v>
      </c>
      <c r="G501" t="s">
        <v>10010</v>
      </c>
      <c r="H501" t="s">
        <v>5321</v>
      </c>
      <c r="L501">
        <v>3</v>
      </c>
      <c r="M501" s="134">
        <v>0</v>
      </c>
      <c r="N501" s="134">
        <v>848000</v>
      </c>
      <c r="O501" t="s">
        <v>10762</v>
      </c>
      <c r="P501" t="s">
        <v>10011</v>
      </c>
      <c r="Q501" t="s">
        <v>592</v>
      </c>
      <c r="R501" t="s">
        <v>10180</v>
      </c>
      <c r="U501" t="s">
        <v>1327</v>
      </c>
      <c r="X501">
        <v>0</v>
      </c>
    </row>
    <row r="502" spans="1:24" x14ac:dyDescent="0.25">
      <c r="A502" s="234">
        <v>42943</v>
      </c>
      <c r="B502" t="s">
        <v>569</v>
      </c>
      <c r="D502" t="s">
        <v>930</v>
      </c>
      <c r="E502" t="s">
        <v>821</v>
      </c>
      <c r="F502" t="s">
        <v>7821</v>
      </c>
      <c r="G502" t="s">
        <v>7822</v>
      </c>
      <c r="H502" t="s">
        <v>607</v>
      </c>
      <c r="J502" t="s">
        <v>899</v>
      </c>
      <c r="M502" s="134">
        <v>0</v>
      </c>
      <c r="N502" s="134">
        <v>900000</v>
      </c>
      <c r="O502" t="s">
        <v>7823</v>
      </c>
      <c r="P502" t="s">
        <v>7824</v>
      </c>
      <c r="Q502" t="s">
        <v>29</v>
      </c>
      <c r="R502" t="s">
        <v>7825</v>
      </c>
      <c r="T502">
        <v>13</v>
      </c>
      <c r="U502" t="s">
        <v>491</v>
      </c>
      <c r="X502">
        <v>1</v>
      </c>
    </row>
    <row r="503" spans="1:24" x14ac:dyDescent="0.25">
      <c r="A503" s="234">
        <v>43595</v>
      </c>
      <c r="B503" t="s">
        <v>643</v>
      </c>
      <c r="C503" t="s">
        <v>644</v>
      </c>
      <c r="D503" t="s">
        <v>645</v>
      </c>
      <c r="F503" t="s">
        <v>15496</v>
      </c>
      <c r="G503" t="s">
        <v>15497</v>
      </c>
      <c r="H503" t="s">
        <v>607</v>
      </c>
      <c r="I503" t="s">
        <v>7960</v>
      </c>
      <c r="J503" t="s">
        <v>899</v>
      </c>
      <c r="K503" t="s">
        <v>15498</v>
      </c>
      <c r="M503" s="134">
        <v>0</v>
      </c>
      <c r="N503" s="134">
        <v>1097500</v>
      </c>
      <c r="O503" t="s">
        <v>560</v>
      </c>
      <c r="P503" t="s">
        <v>15499</v>
      </c>
      <c r="Q503" t="s">
        <v>29</v>
      </c>
      <c r="R503" t="s">
        <v>15495</v>
      </c>
      <c r="U503" t="s">
        <v>491</v>
      </c>
      <c r="X503">
        <v>1</v>
      </c>
    </row>
    <row r="504" spans="1:24" x14ac:dyDescent="0.25">
      <c r="A504" s="234">
        <v>43280</v>
      </c>
      <c r="B504" t="s">
        <v>569</v>
      </c>
      <c r="C504" t="s">
        <v>899</v>
      </c>
      <c r="D504" t="s">
        <v>625</v>
      </c>
      <c r="E504" t="s">
        <v>588</v>
      </c>
      <c r="F504" t="s">
        <v>11542</v>
      </c>
      <c r="G504" t="s">
        <v>11541</v>
      </c>
      <c r="H504" t="s">
        <v>886</v>
      </c>
      <c r="I504" t="s">
        <v>5501</v>
      </c>
      <c r="J504" t="s">
        <v>899</v>
      </c>
      <c r="M504" s="134">
        <v>0</v>
      </c>
      <c r="N504" s="134">
        <v>1124000</v>
      </c>
      <c r="O504" t="s">
        <v>2295</v>
      </c>
      <c r="P504" t="s">
        <v>11702</v>
      </c>
      <c r="Q504" t="s">
        <v>1939</v>
      </c>
      <c r="R504" t="s">
        <v>11540</v>
      </c>
      <c r="U504" t="s">
        <v>1327</v>
      </c>
      <c r="X504">
        <v>0</v>
      </c>
    </row>
    <row r="505" spans="1:24" x14ac:dyDescent="0.25">
      <c r="A505" s="234">
        <v>43298</v>
      </c>
      <c r="B505" t="s">
        <v>569</v>
      </c>
      <c r="C505" t="s">
        <v>899</v>
      </c>
      <c r="D505" t="s">
        <v>625</v>
      </c>
      <c r="E505" t="s">
        <v>588</v>
      </c>
      <c r="F505" t="s">
        <v>7864</v>
      </c>
      <c r="G505" t="s">
        <v>11824</v>
      </c>
      <c r="H505" t="s">
        <v>607</v>
      </c>
      <c r="I505" t="s">
        <v>4438</v>
      </c>
      <c r="J505" t="s">
        <v>899</v>
      </c>
      <c r="M505" s="134">
        <v>0</v>
      </c>
      <c r="N505" s="134">
        <v>1247400</v>
      </c>
      <c r="O505" t="s">
        <v>4533</v>
      </c>
      <c r="P505" t="s">
        <v>11823</v>
      </c>
      <c r="Q505" t="s">
        <v>1939</v>
      </c>
      <c r="R505" t="s">
        <v>11822</v>
      </c>
      <c r="U505" t="s">
        <v>1327</v>
      </c>
      <c r="X505">
        <v>0</v>
      </c>
    </row>
    <row r="506" spans="1:24" x14ac:dyDescent="0.25">
      <c r="A506" s="234">
        <v>42558</v>
      </c>
      <c r="B506" t="s">
        <v>328</v>
      </c>
      <c r="C506" t="s">
        <v>603</v>
      </c>
      <c r="D506" t="s">
        <v>1401</v>
      </c>
      <c r="E506" t="s">
        <v>588</v>
      </c>
      <c r="F506" t="s">
        <v>2779</v>
      </c>
      <c r="H506" t="s">
        <v>1391</v>
      </c>
      <c r="I506" t="s">
        <v>2780</v>
      </c>
      <c r="M506" s="134">
        <v>0</v>
      </c>
      <c r="N506" s="134">
        <v>1350000</v>
      </c>
      <c r="O506" t="s">
        <v>1651</v>
      </c>
      <c r="P506" t="s">
        <v>2781</v>
      </c>
      <c r="Q506" t="s">
        <v>29</v>
      </c>
      <c r="U506" t="s">
        <v>491</v>
      </c>
      <c r="X506">
        <v>1</v>
      </c>
    </row>
    <row r="507" spans="1:24" x14ac:dyDescent="0.25">
      <c r="A507" s="234">
        <v>42559</v>
      </c>
      <c r="B507" t="s">
        <v>378</v>
      </c>
      <c r="C507" t="s">
        <v>623</v>
      </c>
      <c r="D507" t="s">
        <v>624</v>
      </c>
      <c r="E507" t="s">
        <v>588</v>
      </c>
      <c r="F507" t="s">
        <v>2821</v>
      </c>
      <c r="H507" t="s">
        <v>886</v>
      </c>
      <c r="I507" t="s">
        <v>2745</v>
      </c>
      <c r="M507" s="134">
        <v>0</v>
      </c>
      <c r="N507" s="134">
        <v>1470000</v>
      </c>
      <c r="O507" t="s">
        <v>2822</v>
      </c>
      <c r="P507" t="s">
        <v>2823</v>
      </c>
      <c r="Q507" t="s">
        <v>29</v>
      </c>
      <c r="R507" t="s">
        <v>2824</v>
      </c>
      <c r="U507" t="s">
        <v>491</v>
      </c>
      <c r="X507">
        <v>1</v>
      </c>
    </row>
    <row r="508" spans="1:24" x14ac:dyDescent="0.25">
      <c r="A508" s="234">
        <v>43166</v>
      </c>
      <c r="B508" t="s">
        <v>643</v>
      </c>
      <c r="C508" t="s">
        <v>644</v>
      </c>
      <c r="D508" t="s">
        <v>3132</v>
      </c>
      <c r="E508" t="s">
        <v>588</v>
      </c>
      <c r="F508" t="s">
        <v>9299</v>
      </c>
      <c r="G508" t="s">
        <v>10523</v>
      </c>
      <c r="H508" t="s">
        <v>886</v>
      </c>
      <c r="L508">
        <v>10</v>
      </c>
      <c r="M508" s="134">
        <v>0</v>
      </c>
      <c r="N508" s="134">
        <v>1500000</v>
      </c>
      <c r="O508" t="s">
        <v>560</v>
      </c>
      <c r="P508" t="s">
        <v>10628</v>
      </c>
      <c r="Q508" t="s">
        <v>1939</v>
      </c>
      <c r="R508" t="s">
        <v>10522</v>
      </c>
      <c r="U508" t="s">
        <v>1327</v>
      </c>
      <c r="X508">
        <v>0</v>
      </c>
    </row>
    <row r="509" spans="1:24" x14ac:dyDescent="0.25">
      <c r="A509" s="234">
        <v>43077</v>
      </c>
      <c r="B509" t="s">
        <v>569</v>
      </c>
      <c r="C509" t="s">
        <v>899</v>
      </c>
      <c r="D509" t="s">
        <v>930</v>
      </c>
      <c r="E509" t="s">
        <v>1707</v>
      </c>
      <c r="F509" t="s">
        <v>9714</v>
      </c>
      <c r="H509" t="s">
        <v>2295</v>
      </c>
      <c r="M509" s="134">
        <v>0</v>
      </c>
      <c r="N509" s="134">
        <v>1700000</v>
      </c>
      <c r="O509" t="s">
        <v>5926</v>
      </c>
      <c r="P509" t="s">
        <v>9919</v>
      </c>
      <c r="Q509" t="s">
        <v>1939</v>
      </c>
      <c r="R509" t="s">
        <v>9715</v>
      </c>
      <c r="U509" t="s">
        <v>1327</v>
      </c>
      <c r="X509">
        <v>0</v>
      </c>
    </row>
    <row r="510" spans="1:24" x14ac:dyDescent="0.25">
      <c r="A510" s="234">
        <v>43298</v>
      </c>
      <c r="B510" t="s">
        <v>1788</v>
      </c>
      <c r="C510" t="s">
        <v>3369</v>
      </c>
      <c r="D510" t="s">
        <v>6360</v>
      </c>
      <c r="E510" t="s">
        <v>588</v>
      </c>
      <c r="F510" t="s">
        <v>11818</v>
      </c>
      <c r="G510" t="s">
        <v>6360</v>
      </c>
      <c r="H510" t="s">
        <v>10831</v>
      </c>
      <c r="I510" t="s">
        <v>11819</v>
      </c>
      <c r="J510" t="s">
        <v>3369</v>
      </c>
      <c r="L510" t="s">
        <v>7579</v>
      </c>
      <c r="M510" s="134">
        <v>0</v>
      </c>
      <c r="N510" s="134">
        <v>1960451</v>
      </c>
      <c r="O510" t="s">
        <v>10766</v>
      </c>
      <c r="P510" t="s">
        <v>11820</v>
      </c>
      <c r="Q510" t="s">
        <v>1939</v>
      </c>
      <c r="R510" t="s">
        <v>11821</v>
      </c>
      <c r="U510" t="s">
        <v>1327</v>
      </c>
      <c r="X510">
        <v>0</v>
      </c>
    </row>
    <row r="511" spans="1:24" x14ac:dyDescent="0.25">
      <c r="A511" s="234">
        <v>43229</v>
      </c>
      <c r="B511" t="s">
        <v>569</v>
      </c>
      <c r="C511" t="s">
        <v>899</v>
      </c>
      <c r="D511" t="s">
        <v>611</v>
      </c>
      <c r="E511" t="s">
        <v>588</v>
      </c>
      <c r="F511" t="s">
        <v>11212</v>
      </c>
      <c r="G511" t="s">
        <v>10527</v>
      </c>
      <c r="H511" t="s">
        <v>607</v>
      </c>
      <c r="I511" t="s">
        <v>3649</v>
      </c>
      <c r="J511" t="s">
        <v>899</v>
      </c>
      <c r="L511">
        <v>8</v>
      </c>
      <c r="M511" s="134">
        <v>0</v>
      </c>
      <c r="N511" s="134">
        <v>1976000</v>
      </c>
      <c r="O511" t="s">
        <v>560</v>
      </c>
      <c r="P511" t="s">
        <v>11213</v>
      </c>
      <c r="Q511" t="s">
        <v>29</v>
      </c>
      <c r="R511" t="s">
        <v>11214</v>
      </c>
      <c r="U511" t="s">
        <v>1327</v>
      </c>
      <c r="X511">
        <v>1</v>
      </c>
    </row>
    <row r="512" spans="1:24" x14ac:dyDescent="0.25">
      <c r="A512" s="234">
        <v>43425</v>
      </c>
      <c r="B512" t="s">
        <v>569</v>
      </c>
      <c r="C512" t="s">
        <v>899</v>
      </c>
      <c r="D512" t="s">
        <v>625</v>
      </c>
      <c r="F512" t="s">
        <v>13270</v>
      </c>
      <c r="G512" t="s">
        <v>11704</v>
      </c>
      <c r="H512" t="s">
        <v>607</v>
      </c>
      <c r="I512" t="s">
        <v>13271</v>
      </c>
      <c r="J512" t="s">
        <v>899</v>
      </c>
      <c r="K512" t="s">
        <v>13272</v>
      </c>
      <c r="L512" t="s">
        <v>833</v>
      </c>
      <c r="M512" s="134">
        <v>0</v>
      </c>
      <c r="N512" s="134">
        <v>1991580</v>
      </c>
      <c r="O512" t="s">
        <v>10763</v>
      </c>
      <c r="P512" t="s">
        <v>13273</v>
      </c>
      <c r="Q512" t="s">
        <v>620</v>
      </c>
      <c r="R512" t="s">
        <v>13440</v>
      </c>
      <c r="U512" t="s">
        <v>491</v>
      </c>
      <c r="X512">
        <v>0</v>
      </c>
    </row>
    <row r="513" spans="1:24" x14ac:dyDescent="0.25">
      <c r="A513" s="234">
        <v>42558</v>
      </c>
      <c r="B513" t="s">
        <v>378</v>
      </c>
      <c r="C513" t="s">
        <v>623</v>
      </c>
      <c r="D513" t="s">
        <v>625</v>
      </c>
      <c r="E513" t="s">
        <v>821</v>
      </c>
      <c r="H513" t="s">
        <v>905</v>
      </c>
      <c r="I513" t="s">
        <v>2786</v>
      </c>
      <c r="M513" s="134">
        <v>0</v>
      </c>
      <c r="N513" s="134">
        <v>2000000</v>
      </c>
      <c r="O513" t="s">
        <v>2787</v>
      </c>
      <c r="P513" t="s">
        <v>2788</v>
      </c>
      <c r="Q513" t="s">
        <v>1939</v>
      </c>
      <c r="R513" t="s">
        <v>2789</v>
      </c>
      <c r="S513" t="s">
        <v>2866</v>
      </c>
      <c r="U513" t="s">
        <v>491</v>
      </c>
      <c r="X513">
        <v>0</v>
      </c>
    </row>
    <row r="514" spans="1:24" x14ac:dyDescent="0.25">
      <c r="A514" s="234">
        <v>42865</v>
      </c>
      <c r="B514" t="s">
        <v>5176</v>
      </c>
      <c r="D514" t="s">
        <v>727</v>
      </c>
      <c r="E514" t="s">
        <v>588</v>
      </c>
      <c r="F514" t="s">
        <v>1241</v>
      </c>
      <c r="H514" t="s">
        <v>607</v>
      </c>
      <c r="I514" t="s">
        <v>6721</v>
      </c>
      <c r="J514" t="s">
        <v>761</v>
      </c>
      <c r="M514" s="134">
        <v>0</v>
      </c>
      <c r="N514" s="134">
        <v>2200000</v>
      </c>
      <c r="O514" t="s">
        <v>6722</v>
      </c>
      <c r="P514" t="s">
        <v>6723</v>
      </c>
      <c r="Q514" t="s">
        <v>1939</v>
      </c>
      <c r="R514" t="s">
        <v>6724</v>
      </c>
      <c r="U514" t="s">
        <v>491</v>
      </c>
      <c r="X514">
        <v>0</v>
      </c>
    </row>
    <row r="515" spans="1:24" x14ac:dyDescent="0.25">
      <c r="A515" s="234">
        <v>42852</v>
      </c>
      <c r="B515" t="s">
        <v>569</v>
      </c>
      <c r="D515" t="s">
        <v>930</v>
      </c>
      <c r="E515" t="s">
        <v>821</v>
      </c>
      <c r="F515" t="s">
        <v>6578</v>
      </c>
      <c r="H515" t="s">
        <v>607</v>
      </c>
      <c r="M515" s="134">
        <v>0</v>
      </c>
      <c r="N515" s="134">
        <v>2500000</v>
      </c>
      <c r="O515" t="s">
        <v>6579</v>
      </c>
      <c r="P515" t="s">
        <v>6580</v>
      </c>
      <c r="Q515" t="s">
        <v>592</v>
      </c>
      <c r="R515" t="s">
        <v>6581</v>
      </c>
      <c r="U515" t="s">
        <v>491</v>
      </c>
      <c r="X515">
        <v>0</v>
      </c>
    </row>
    <row r="516" spans="1:24" x14ac:dyDescent="0.25">
      <c r="A516" s="234">
        <v>43224</v>
      </c>
      <c r="B516" t="s">
        <v>5473</v>
      </c>
      <c r="C516" t="s">
        <v>608</v>
      </c>
      <c r="D516" t="s">
        <v>1495</v>
      </c>
      <c r="E516" t="s">
        <v>588</v>
      </c>
      <c r="F516" t="s">
        <v>11183</v>
      </c>
      <c r="G516" t="s">
        <v>9241</v>
      </c>
      <c r="H516" t="s">
        <v>607</v>
      </c>
      <c r="I516" t="s">
        <v>3809</v>
      </c>
      <c r="J516" t="s">
        <v>602</v>
      </c>
      <c r="M516" s="134">
        <v>0</v>
      </c>
      <c r="N516" s="134">
        <v>2770000</v>
      </c>
      <c r="O516" t="s">
        <v>10879</v>
      </c>
      <c r="P516" t="s">
        <v>11184</v>
      </c>
      <c r="Q516" t="s">
        <v>1939</v>
      </c>
      <c r="R516" t="s">
        <v>11185</v>
      </c>
      <c r="U516" t="s">
        <v>1327</v>
      </c>
      <c r="X516">
        <v>0</v>
      </c>
    </row>
    <row r="517" spans="1:24" x14ac:dyDescent="0.25">
      <c r="A517" s="234">
        <v>43313</v>
      </c>
      <c r="B517" t="s">
        <v>643</v>
      </c>
      <c r="C517" t="s">
        <v>644</v>
      </c>
      <c r="D517" t="s">
        <v>645</v>
      </c>
      <c r="E517" t="s">
        <v>588</v>
      </c>
      <c r="F517" t="s">
        <v>12083</v>
      </c>
      <c r="G517" t="s">
        <v>12084</v>
      </c>
      <c r="H517" t="s">
        <v>607</v>
      </c>
      <c r="I517" t="s">
        <v>7022</v>
      </c>
      <c r="J517" t="s">
        <v>644</v>
      </c>
      <c r="L517">
        <v>2</v>
      </c>
      <c r="M517" s="134">
        <v>0</v>
      </c>
      <c r="N517" s="134">
        <v>2987300</v>
      </c>
      <c r="O517" t="s">
        <v>10766</v>
      </c>
      <c r="P517" t="s">
        <v>12085</v>
      </c>
      <c r="Q517" t="s">
        <v>1939</v>
      </c>
      <c r="R517" t="s">
        <v>12086</v>
      </c>
      <c r="U517" t="s">
        <v>1327</v>
      </c>
      <c r="X517">
        <v>0</v>
      </c>
    </row>
    <row r="518" spans="1:24" x14ac:dyDescent="0.25">
      <c r="A518" s="234">
        <v>43245</v>
      </c>
      <c r="B518" t="s">
        <v>569</v>
      </c>
      <c r="C518" t="s">
        <v>899</v>
      </c>
      <c r="D518" t="s">
        <v>625</v>
      </c>
      <c r="E518" t="s">
        <v>588</v>
      </c>
      <c r="F518" t="s">
        <v>11240</v>
      </c>
      <c r="H518" t="s">
        <v>607</v>
      </c>
      <c r="I518" t="s">
        <v>3462</v>
      </c>
      <c r="J518" t="s">
        <v>899</v>
      </c>
      <c r="M518" s="134">
        <v>0</v>
      </c>
      <c r="N518" s="134">
        <v>3125000</v>
      </c>
      <c r="O518" t="s">
        <v>560</v>
      </c>
      <c r="P518" t="s">
        <v>11389</v>
      </c>
      <c r="Q518" t="s">
        <v>1939</v>
      </c>
      <c r="R518" t="s">
        <v>11390</v>
      </c>
      <c r="U518" t="s">
        <v>491</v>
      </c>
      <c r="X518">
        <v>0</v>
      </c>
    </row>
    <row r="519" spans="1:24" x14ac:dyDescent="0.25">
      <c r="A519" s="234">
        <v>42943</v>
      </c>
      <c r="B519" t="s">
        <v>569</v>
      </c>
      <c r="D519" t="s">
        <v>930</v>
      </c>
      <c r="E519" t="s">
        <v>821</v>
      </c>
      <c r="F519" t="s">
        <v>7818</v>
      </c>
      <c r="H519" t="s">
        <v>905</v>
      </c>
      <c r="J519" t="s">
        <v>899</v>
      </c>
      <c r="M519" s="134">
        <v>0</v>
      </c>
      <c r="N519" s="134">
        <v>3200000</v>
      </c>
      <c r="O519" t="s">
        <v>2941</v>
      </c>
      <c r="P519" t="s">
        <v>7819</v>
      </c>
      <c r="Q519" t="s">
        <v>1939</v>
      </c>
      <c r="R519" t="s">
        <v>7820</v>
      </c>
      <c r="T519">
        <v>13</v>
      </c>
      <c r="U519" t="s">
        <v>491</v>
      </c>
      <c r="X519">
        <v>0</v>
      </c>
    </row>
    <row r="520" spans="1:24" x14ac:dyDescent="0.25">
      <c r="A520" s="234">
        <v>43060</v>
      </c>
      <c r="B520" t="s">
        <v>569</v>
      </c>
      <c r="C520" t="s">
        <v>899</v>
      </c>
      <c r="D520" t="s">
        <v>625</v>
      </c>
      <c r="E520" t="s">
        <v>588</v>
      </c>
      <c r="F520" t="s">
        <v>9521</v>
      </c>
      <c r="G520" t="s">
        <v>9522</v>
      </c>
      <c r="H520" t="s">
        <v>809</v>
      </c>
      <c r="I520" t="s">
        <v>5412</v>
      </c>
      <c r="J520" t="s">
        <v>899</v>
      </c>
      <c r="M520" s="134">
        <v>0</v>
      </c>
      <c r="N520" s="134">
        <v>3300000</v>
      </c>
      <c r="O520" t="s">
        <v>560</v>
      </c>
      <c r="P520" t="s">
        <v>9523</v>
      </c>
      <c r="Q520" t="s">
        <v>592</v>
      </c>
      <c r="R520" t="s">
        <v>9524</v>
      </c>
      <c r="U520" t="s">
        <v>1327</v>
      </c>
      <c r="X520">
        <v>0</v>
      </c>
    </row>
    <row r="521" spans="1:24" x14ac:dyDescent="0.25">
      <c r="A521" s="234">
        <v>43280</v>
      </c>
      <c r="B521" t="s">
        <v>569</v>
      </c>
      <c r="C521" t="s">
        <v>899</v>
      </c>
      <c r="D521" t="s">
        <v>625</v>
      </c>
      <c r="E521" t="s">
        <v>588</v>
      </c>
      <c r="F521" t="s">
        <v>8589</v>
      </c>
      <c r="H521" t="s">
        <v>10831</v>
      </c>
      <c r="I521" t="s">
        <v>11682</v>
      </c>
      <c r="J521" t="s">
        <v>899</v>
      </c>
      <c r="L521" t="s">
        <v>10512</v>
      </c>
      <c r="M521" s="134">
        <v>0</v>
      </c>
      <c r="N521" s="134">
        <v>3525800</v>
      </c>
      <c r="O521" t="s">
        <v>7124</v>
      </c>
      <c r="P521" t="s">
        <v>11681</v>
      </c>
      <c r="Q521" t="s">
        <v>29</v>
      </c>
      <c r="R521" t="s">
        <v>11680</v>
      </c>
      <c r="U521" t="s">
        <v>1327</v>
      </c>
      <c r="X521">
        <v>1</v>
      </c>
    </row>
    <row r="522" spans="1:24" x14ac:dyDescent="0.25">
      <c r="A522" s="234">
        <v>43423</v>
      </c>
      <c r="B522" t="s">
        <v>569</v>
      </c>
      <c r="C522" t="s">
        <v>899</v>
      </c>
      <c r="D522" t="s">
        <v>11286</v>
      </c>
      <c r="F522" t="s">
        <v>13199</v>
      </c>
      <c r="G522" t="s">
        <v>587</v>
      </c>
      <c r="H522" t="s">
        <v>607</v>
      </c>
      <c r="J522" t="s">
        <v>899</v>
      </c>
      <c r="L522">
        <v>2</v>
      </c>
      <c r="M522" s="134">
        <v>0</v>
      </c>
      <c r="N522" s="134">
        <v>3600000</v>
      </c>
      <c r="O522" t="s">
        <v>560</v>
      </c>
      <c r="P522" t="s">
        <v>13200</v>
      </c>
      <c r="Q522" t="s">
        <v>29</v>
      </c>
      <c r="R522" t="s">
        <v>13201</v>
      </c>
      <c r="U522" t="s">
        <v>491</v>
      </c>
      <c r="X522">
        <v>1</v>
      </c>
    </row>
    <row r="523" spans="1:24" x14ac:dyDescent="0.25">
      <c r="A523" s="234">
        <v>42866</v>
      </c>
      <c r="B523" t="s">
        <v>569</v>
      </c>
      <c r="D523" t="s">
        <v>625</v>
      </c>
      <c r="E523" t="s">
        <v>588</v>
      </c>
      <c r="F523" t="s">
        <v>7370</v>
      </c>
      <c r="H523" t="s">
        <v>886</v>
      </c>
      <c r="I523" t="s">
        <v>3929</v>
      </c>
      <c r="J523" t="s">
        <v>899</v>
      </c>
      <c r="M523" s="134">
        <v>0</v>
      </c>
      <c r="N523" s="134">
        <v>3700000</v>
      </c>
      <c r="O523" t="s">
        <v>6745</v>
      </c>
      <c r="P523" t="s">
        <v>6746</v>
      </c>
      <c r="Q523" t="s">
        <v>29</v>
      </c>
      <c r="R523" t="s">
        <v>7050</v>
      </c>
      <c r="U523" t="s">
        <v>491</v>
      </c>
      <c r="X523">
        <v>1</v>
      </c>
    </row>
    <row r="524" spans="1:24" x14ac:dyDescent="0.25">
      <c r="A524" s="234">
        <v>43328</v>
      </c>
      <c r="B524" t="s">
        <v>643</v>
      </c>
      <c r="C524" t="s">
        <v>644</v>
      </c>
      <c r="D524" t="s">
        <v>645</v>
      </c>
      <c r="E524" t="s">
        <v>588</v>
      </c>
      <c r="F524" t="s">
        <v>12235</v>
      </c>
      <c r="G524" t="s">
        <v>12235</v>
      </c>
      <c r="H524" t="s">
        <v>607</v>
      </c>
      <c r="J524" t="s">
        <v>899</v>
      </c>
      <c r="L524">
        <v>1</v>
      </c>
      <c r="M524" s="134">
        <v>0</v>
      </c>
      <c r="N524" s="134">
        <v>3774446</v>
      </c>
      <c r="O524" t="s">
        <v>10766</v>
      </c>
      <c r="P524" t="s">
        <v>12236</v>
      </c>
      <c r="Q524" t="s">
        <v>1939</v>
      </c>
      <c r="R524" t="s">
        <v>12237</v>
      </c>
      <c r="U524" t="s">
        <v>1327</v>
      </c>
      <c r="X524">
        <v>0</v>
      </c>
    </row>
    <row r="525" spans="1:24" x14ac:dyDescent="0.25">
      <c r="A525" s="234">
        <v>43293</v>
      </c>
      <c r="B525" t="s">
        <v>569</v>
      </c>
      <c r="C525" t="s">
        <v>899</v>
      </c>
      <c r="D525" t="s">
        <v>625</v>
      </c>
      <c r="E525" t="s">
        <v>588</v>
      </c>
      <c r="F525" t="s">
        <v>11784</v>
      </c>
      <c r="G525" t="s">
        <v>11785</v>
      </c>
      <c r="H525" t="s">
        <v>607</v>
      </c>
      <c r="I525" t="s">
        <v>4438</v>
      </c>
      <c r="J525" t="s">
        <v>899</v>
      </c>
      <c r="M525" s="134">
        <v>0</v>
      </c>
      <c r="N525" s="134">
        <v>4450000</v>
      </c>
      <c r="O525" t="s">
        <v>560</v>
      </c>
      <c r="P525" t="s">
        <v>12001</v>
      </c>
      <c r="Q525" t="s">
        <v>592</v>
      </c>
      <c r="R525" t="s">
        <v>12002</v>
      </c>
      <c r="U525" t="s">
        <v>1327</v>
      </c>
      <c r="X525">
        <v>0</v>
      </c>
    </row>
    <row r="526" spans="1:24" x14ac:dyDescent="0.25">
      <c r="A526" s="234">
        <v>43325</v>
      </c>
      <c r="B526" t="s">
        <v>328</v>
      </c>
      <c r="C526" t="s">
        <v>603</v>
      </c>
      <c r="D526" t="s">
        <v>757</v>
      </c>
      <c r="E526" t="s">
        <v>588</v>
      </c>
      <c r="F526" t="s">
        <v>12178</v>
      </c>
      <c r="G526" t="s">
        <v>10804</v>
      </c>
      <c r="H526" t="s">
        <v>886</v>
      </c>
      <c r="I526" t="s">
        <v>8721</v>
      </c>
      <c r="J526" t="s">
        <v>4031</v>
      </c>
      <c r="L526" t="s">
        <v>10512</v>
      </c>
      <c r="M526" s="134">
        <v>0</v>
      </c>
      <c r="N526" s="134">
        <v>4500000</v>
      </c>
      <c r="O526" t="s">
        <v>2295</v>
      </c>
      <c r="P526" t="s">
        <v>12177</v>
      </c>
      <c r="Q526" t="s">
        <v>1939</v>
      </c>
      <c r="R526" t="s">
        <v>12176</v>
      </c>
      <c r="U526" t="s">
        <v>1327</v>
      </c>
      <c r="X526">
        <v>0</v>
      </c>
    </row>
    <row r="527" spans="1:24" x14ac:dyDescent="0.25">
      <c r="A527" s="234">
        <v>43249</v>
      </c>
      <c r="B527" t="s">
        <v>643</v>
      </c>
      <c r="C527" t="s">
        <v>644</v>
      </c>
      <c r="D527" t="s">
        <v>645</v>
      </c>
      <c r="E527" t="s">
        <v>588</v>
      </c>
      <c r="F527" t="s">
        <v>8099</v>
      </c>
      <c r="G527" t="s">
        <v>8941</v>
      </c>
      <c r="H527" t="s">
        <v>10832</v>
      </c>
      <c r="I527" t="s">
        <v>9713</v>
      </c>
      <c r="J527" t="s">
        <v>644</v>
      </c>
      <c r="L527">
        <v>2</v>
      </c>
      <c r="M527" s="134">
        <v>0</v>
      </c>
      <c r="N527" s="134">
        <v>4600000</v>
      </c>
      <c r="O527" t="s">
        <v>560</v>
      </c>
      <c r="P527" t="s">
        <v>11349</v>
      </c>
      <c r="Q527" t="s">
        <v>592</v>
      </c>
      <c r="R527" t="s">
        <v>11350</v>
      </c>
      <c r="U527" t="s">
        <v>1327</v>
      </c>
      <c r="X527">
        <v>0</v>
      </c>
    </row>
    <row r="528" spans="1:24" x14ac:dyDescent="0.25">
      <c r="A528" s="234">
        <v>42971</v>
      </c>
      <c r="B528" t="s">
        <v>569</v>
      </c>
      <c r="C528" t="s">
        <v>899</v>
      </c>
      <c r="D528" t="s">
        <v>625</v>
      </c>
      <c r="E528" t="s">
        <v>588</v>
      </c>
      <c r="F528" t="s">
        <v>8293</v>
      </c>
      <c r="G528" t="s">
        <v>8294</v>
      </c>
      <c r="H528" t="s">
        <v>607</v>
      </c>
      <c r="I528" t="s">
        <v>2054</v>
      </c>
      <c r="J528" t="s">
        <v>899</v>
      </c>
      <c r="M528" s="134">
        <v>0</v>
      </c>
      <c r="N528" s="134">
        <v>4680000</v>
      </c>
      <c r="O528" t="s">
        <v>560</v>
      </c>
      <c r="P528" t="s">
        <v>8295</v>
      </c>
      <c r="Q528" t="s">
        <v>29</v>
      </c>
      <c r="R528" t="s">
        <v>8296</v>
      </c>
      <c r="T528">
        <v>44</v>
      </c>
      <c r="U528" t="s">
        <v>491</v>
      </c>
      <c r="X528">
        <v>1</v>
      </c>
    </row>
    <row r="529" spans="1:24" x14ac:dyDescent="0.25">
      <c r="A529" s="234">
        <v>43230</v>
      </c>
      <c r="B529" t="s">
        <v>569</v>
      </c>
      <c r="C529" t="s">
        <v>899</v>
      </c>
      <c r="D529" t="s">
        <v>625</v>
      </c>
      <c r="E529" t="s">
        <v>588</v>
      </c>
      <c r="F529" t="s">
        <v>11150</v>
      </c>
      <c r="G529" t="s">
        <v>11151</v>
      </c>
      <c r="H529" t="s">
        <v>607</v>
      </c>
      <c r="I529" t="s">
        <v>3649</v>
      </c>
      <c r="J529" t="s">
        <v>899</v>
      </c>
      <c r="M529" s="134">
        <v>0</v>
      </c>
      <c r="N529" s="134">
        <v>4750000</v>
      </c>
      <c r="O529" t="s">
        <v>560</v>
      </c>
      <c r="P529" t="s">
        <v>11152</v>
      </c>
      <c r="Q529" t="s">
        <v>29</v>
      </c>
      <c r="R529" t="s">
        <v>11153</v>
      </c>
      <c r="U529" t="s">
        <v>491</v>
      </c>
      <c r="X529">
        <v>1</v>
      </c>
    </row>
    <row r="530" spans="1:24" x14ac:dyDescent="0.25">
      <c r="A530" s="234">
        <v>42502</v>
      </c>
      <c r="B530" t="s">
        <v>643</v>
      </c>
      <c r="C530" t="s">
        <v>644</v>
      </c>
      <c r="D530" t="s">
        <v>645</v>
      </c>
      <c r="E530" t="s">
        <v>588</v>
      </c>
      <c r="F530" t="s">
        <v>2061</v>
      </c>
      <c r="H530" t="s">
        <v>722</v>
      </c>
      <c r="I530" t="s">
        <v>2062</v>
      </c>
      <c r="M530" s="134">
        <v>0</v>
      </c>
      <c r="N530" s="134">
        <v>4750000</v>
      </c>
      <c r="O530" t="s">
        <v>1474</v>
      </c>
      <c r="P530" t="s">
        <v>2063</v>
      </c>
      <c r="Q530" t="s">
        <v>1939</v>
      </c>
      <c r="R530" t="s">
        <v>2064</v>
      </c>
      <c r="U530" t="s">
        <v>491</v>
      </c>
      <c r="X530">
        <v>0</v>
      </c>
    </row>
    <row r="531" spans="1:24" x14ac:dyDescent="0.25">
      <c r="A531" s="234">
        <v>43438</v>
      </c>
      <c r="B531" t="s">
        <v>9240</v>
      </c>
      <c r="C531" t="s">
        <v>603</v>
      </c>
      <c r="D531" t="s">
        <v>9241</v>
      </c>
      <c r="F531" t="s">
        <v>13480</v>
      </c>
      <c r="G531" t="s">
        <v>11233</v>
      </c>
      <c r="H531" t="s">
        <v>10831</v>
      </c>
      <c r="I531" t="s">
        <v>13481</v>
      </c>
      <c r="J531" t="s">
        <v>603</v>
      </c>
      <c r="K531" t="s">
        <v>13482</v>
      </c>
      <c r="L531">
        <v>5</v>
      </c>
      <c r="M531" s="134">
        <v>0</v>
      </c>
      <c r="N531" s="134">
        <v>5000000</v>
      </c>
      <c r="O531" t="s">
        <v>560</v>
      </c>
      <c r="P531" t="s">
        <v>13483</v>
      </c>
      <c r="Q531" t="s">
        <v>1939</v>
      </c>
      <c r="R531" t="s">
        <v>13484</v>
      </c>
      <c r="U531" t="s">
        <v>491</v>
      </c>
      <c r="X531">
        <v>0</v>
      </c>
    </row>
    <row r="532" spans="1:24" x14ac:dyDescent="0.25">
      <c r="A532" s="234">
        <v>42927</v>
      </c>
      <c r="B532" t="s">
        <v>328</v>
      </c>
      <c r="C532" t="s">
        <v>899</v>
      </c>
      <c r="D532" t="s">
        <v>672</v>
      </c>
      <c r="E532" t="s">
        <v>588</v>
      </c>
      <c r="F532" t="s">
        <v>3103</v>
      </c>
      <c r="H532" t="s">
        <v>607</v>
      </c>
      <c r="J532" t="s">
        <v>899</v>
      </c>
      <c r="M532" s="134">
        <v>0</v>
      </c>
      <c r="N532" s="134">
        <v>5000000</v>
      </c>
      <c r="O532" t="s">
        <v>7571</v>
      </c>
      <c r="P532" t="s">
        <v>7572</v>
      </c>
      <c r="Q532" t="s">
        <v>1939</v>
      </c>
      <c r="R532" t="s">
        <v>7573</v>
      </c>
      <c r="U532" t="s">
        <v>2227</v>
      </c>
      <c r="X532">
        <v>0</v>
      </c>
    </row>
    <row r="533" spans="1:24" x14ac:dyDescent="0.25">
      <c r="A533" s="234">
        <v>43005</v>
      </c>
      <c r="B533" t="s">
        <v>569</v>
      </c>
      <c r="C533" t="s">
        <v>899</v>
      </c>
      <c r="D533" t="s">
        <v>930</v>
      </c>
      <c r="E533" t="s">
        <v>821</v>
      </c>
      <c r="F533" t="s">
        <v>8750</v>
      </c>
      <c r="G533" t="s">
        <v>8751</v>
      </c>
      <c r="J533" t="s">
        <v>899</v>
      </c>
      <c r="M533" s="134">
        <v>0</v>
      </c>
      <c r="N533" s="134">
        <v>5000000</v>
      </c>
      <c r="O533" t="s">
        <v>560</v>
      </c>
      <c r="P533" t="s">
        <v>8752</v>
      </c>
      <c r="Q533" t="s">
        <v>1939</v>
      </c>
      <c r="R533" t="s">
        <v>8753</v>
      </c>
      <c r="T533">
        <v>10</v>
      </c>
      <c r="U533" t="s">
        <v>491</v>
      </c>
      <c r="X533">
        <v>0</v>
      </c>
    </row>
    <row r="534" spans="1:24" x14ac:dyDescent="0.25">
      <c r="A534" s="234">
        <v>42537</v>
      </c>
      <c r="B534" t="s">
        <v>378</v>
      </c>
      <c r="C534" t="s">
        <v>623</v>
      </c>
      <c r="D534" t="s">
        <v>930</v>
      </c>
      <c r="E534" t="s">
        <v>821</v>
      </c>
      <c r="H534" t="s">
        <v>607</v>
      </c>
      <c r="M534" s="134">
        <v>0</v>
      </c>
      <c r="N534" s="134">
        <v>5000000</v>
      </c>
      <c r="O534" t="s">
        <v>2547</v>
      </c>
      <c r="P534" t="s">
        <v>2548</v>
      </c>
      <c r="Q534" t="s">
        <v>29</v>
      </c>
      <c r="R534" t="s">
        <v>2549</v>
      </c>
      <c r="S534" t="s">
        <v>2558</v>
      </c>
      <c r="U534" t="s">
        <v>491</v>
      </c>
      <c r="X534">
        <v>1</v>
      </c>
    </row>
    <row r="535" spans="1:24" x14ac:dyDescent="0.25">
      <c r="A535" s="234">
        <v>43105</v>
      </c>
      <c r="B535" t="s">
        <v>1788</v>
      </c>
      <c r="C535" t="s">
        <v>3369</v>
      </c>
      <c r="D535" t="s">
        <v>2678</v>
      </c>
      <c r="E535" t="s">
        <v>588</v>
      </c>
      <c r="F535" t="s">
        <v>9942</v>
      </c>
      <c r="G535" t="s">
        <v>9944</v>
      </c>
      <c r="H535" t="s">
        <v>607</v>
      </c>
      <c r="I535" t="s">
        <v>9950</v>
      </c>
      <c r="J535" t="s">
        <v>3369</v>
      </c>
      <c r="M535" s="134">
        <v>0</v>
      </c>
      <c r="N535" s="134">
        <v>6000000</v>
      </c>
      <c r="O535" t="s">
        <v>10765</v>
      </c>
      <c r="P535" t="s">
        <v>9947</v>
      </c>
      <c r="Q535" t="s">
        <v>29</v>
      </c>
      <c r="R535" t="s">
        <v>9951</v>
      </c>
      <c r="U535" t="s">
        <v>491</v>
      </c>
      <c r="X535">
        <v>1</v>
      </c>
    </row>
    <row r="536" spans="1:24" x14ac:dyDescent="0.25">
      <c r="A536" s="234">
        <v>42501</v>
      </c>
      <c r="B536" t="s">
        <v>1486</v>
      </c>
      <c r="C536" t="s">
        <v>1883</v>
      </c>
      <c r="D536" t="s">
        <v>732</v>
      </c>
      <c r="E536" t="s">
        <v>588</v>
      </c>
      <c r="F536" t="s">
        <v>2042</v>
      </c>
      <c r="H536" t="s">
        <v>886</v>
      </c>
      <c r="I536" t="s">
        <v>2043</v>
      </c>
      <c r="M536" s="134">
        <v>0</v>
      </c>
      <c r="N536" s="134">
        <v>8250000</v>
      </c>
      <c r="O536" t="s">
        <v>2044</v>
      </c>
      <c r="P536" t="s">
        <v>2045</v>
      </c>
      <c r="Q536" t="s">
        <v>29</v>
      </c>
      <c r="R536" t="s">
        <v>2046</v>
      </c>
      <c r="U536" t="s">
        <v>491</v>
      </c>
      <c r="X536">
        <v>1</v>
      </c>
    </row>
    <row r="537" spans="1:24" x14ac:dyDescent="0.25">
      <c r="A537" s="234">
        <v>43173</v>
      </c>
      <c r="B537" t="s">
        <v>5473</v>
      </c>
      <c r="C537" t="s">
        <v>604</v>
      </c>
      <c r="D537" t="s">
        <v>1495</v>
      </c>
      <c r="E537" t="s">
        <v>588</v>
      </c>
      <c r="F537" t="s">
        <v>10484</v>
      </c>
      <c r="H537" t="s">
        <v>607</v>
      </c>
      <c r="I537" t="s">
        <v>3809</v>
      </c>
      <c r="J537" t="s">
        <v>602</v>
      </c>
      <c r="M537" s="134">
        <v>0</v>
      </c>
      <c r="N537" s="134">
        <v>13000000</v>
      </c>
      <c r="O537" t="s">
        <v>560</v>
      </c>
      <c r="P537" t="s">
        <v>10485</v>
      </c>
      <c r="Q537" t="s">
        <v>29</v>
      </c>
      <c r="R537" t="s">
        <v>10486</v>
      </c>
      <c r="U537" t="s">
        <v>491</v>
      </c>
      <c r="X537">
        <v>1</v>
      </c>
    </row>
    <row r="538" spans="1:24" x14ac:dyDescent="0.25">
      <c r="A538" s="234">
        <v>43136</v>
      </c>
      <c r="B538" t="s">
        <v>643</v>
      </c>
      <c r="C538" t="s">
        <v>644</v>
      </c>
      <c r="D538" t="s">
        <v>645</v>
      </c>
      <c r="E538" t="s">
        <v>588</v>
      </c>
      <c r="F538" t="s">
        <v>10239</v>
      </c>
      <c r="G538" t="s">
        <v>9154</v>
      </c>
      <c r="H538" t="s">
        <v>905</v>
      </c>
      <c r="I538" t="s">
        <v>5124</v>
      </c>
      <c r="J538" t="s">
        <v>644</v>
      </c>
      <c r="L538">
        <v>3</v>
      </c>
      <c r="M538" s="134">
        <v>0</v>
      </c>
      <c r="N538" s="134">
        <v>14125000</v>
      </c>
      <c r="O538" t="s">
        <v>560</v>
      </c>
      <c r="P538" t="s">
        <v>10240</v>
      </c>
      <c r="Q538" t="s">
        <v>620</v>
      </c>
      <c r="R538" t="s">
        <v>10325</v>
      </c>
      <c r="U538" t="s">
        <v>491</v>
      </c>
      <c r="X538">
        <v>0</v>
      </c>
    </row>
    <row r="539" spans="1:24" x14ac:dyDescent="0.25">
      <c r="A539" s="234">
        <v>43146</v>
      </c>
      <c r="B539" t="s">
        <v>643</v>
      </c>
      <c r="C539" t="s">
        <v>644</v>
      </c>
      <c r="D539" t="s">
        <v>645</v>
      </c>
      <c r="E539" t="s">
        <v>821</v>
      </c>
      <c r="F539" t="s">
        <v>8966</v>
      </c>
      <c r="H539" t="s">
        <v>607</v>
      </c>
      <c r="J539" t="s">
        <v>644</v>
      </c>
      <c r="M539" s="134">
        <v>0</v>
      </c>
      <c r="N539" s="134">
        <v>29000000</v>
      </c>
      <c r="O539" t="s">
        <v>560</v>
      </c>
      <c r="P539" t="s">
        <v>10334</v>
      </c>
      <c r="Q539" t="s">
        <v>29</v>
      </c>
      <c r="R539" t="s">
        <v>10441</v>
      </c>
      <c r="U539" t="s">
        <v>491</v>
      </c>
      <c r="X539">
        <v>1</v>
      </c>
    </row>
    <row r="540" spans="1:24" x14ac:dyDescent="0.25">
      <c r="A540" s="234">
        <v>43361</v>
      </c>
      <c r="B540" t="s">
        <v>5956</v>
      </c>
      <c r="C540" t="s">
        <v>3369</v>
      </c>
      <c r="D540" t="s">
        <v>8126</v>
      </c>
      <c r="E540" t="s">
        <v>588</v>
      </c>
      <c r="F540" t="s">
        <v>12641</v>
      </c>
      <c r="G540" t="s">
        <v>12640</v>
      </c>
      <c r="H540" t="s">
        <v>607</v>
      </c>
      <c r="I540" t="s">
        <v>543</v>
      </c>
      <c r="J540" t="s">
        <v>4825</v>
      </c>
      <c r="L540" t="s">
        <v>543</v>
      </c>
      <c r="M540" s="134">
        <v>0</v>
      </c>
      <c r="N540" s="134">
        <v>0</v>
      </c>
      <c r="O540" t="s">
        <v>10766</v>
      </c>
      <c r="P540" t="s">
        <v>12642</v>
      </c>
      <c r="Q540" t="s">
        <v>1939</v>
      </c>
      <c r="R540" t="s">
        <v>12643</v>
      </c>
      <c r="U540" t="s">
        <v>12344</v>
      </c>
      <c r="X540">
        <v>0</v>
      </c>
    </row>
    <row r="541" spans="1:24" x14ac:dyDescent="0.25">
      <c r="A541" s="234">
        <v>43343</v>
      </c>
      <c r="B541" t="s">
        <v>9240</v>
      </c>
      <c r="C541" t="s">
        <v>603</v>
      </c>
      <c r="D541" t="s">
        <v>7814</v>
      </c>
      <c r="E541" t="s">
        <v>588</v>
      </c>
      <c r="F541" t="s">
        <v>10068</v>
      </c>
      <c r="G541" t="s">
        <v>2204</v>
      </c>
      <c r="H541" t="s">
        <v>607</v>
      </c>
      <c r="I541" t="s">
        <v>5390</v>
      </c>
      <c r="J541" t="s">
        <v>5309</v>
      </c>
      <c r="L541" t="s">
        <v>833</v>
      </c>
      <c r="M541" s="134">
        <v>6000</v>
      </c>
      <c r="N541" s="134">
        <v>9500</v>
      </c>
      <c r="O541" t="s">
        <v>10763</v>
      </c>
      <c r="P541" t="s">
        <v>12445</v>
      </c>
      <c r="Q541" t="s">
        <v>29</v>
      </c>
      <c r="R541" t="s">
        <v>12446</v>
      </c>
      <c r="U541" t="s">
        <v>491</v>
      </c>
      <c r="X541">
        <v>1</v>
      </c>
    </row>
    <row r="542" spans="1:24" x14ac:dyDescent="0.25">
      <c r="A542" s="234">
        <v>43041</v>
      </c>
      <c r="B542" t="s">
        <v>5176</v>
      </c>
      <c r="C542" t="s">
        <v>604</v>
      </c>
      <c r="D542" t="s">
        <v>595</v>
      </c>
      <c r="E542" t="s">
        <v>588</v>
      </c>
      <c r="F542" t="s">
        <v>9292</v>
      </c>
      <c r="G542" t="s">
        <v>9293</v>
      </c>
      <c r="H542" t="s">
        <v>9294</v>
      </c>
      <c r="J542" t="s">
        <v>959</v>
      </c>
      <c r="M542" s="134">
        <v>10000</v>
      </c>
      <c r="N542" s="134">
        <v>0</v>
      </c>
      <c r="O542" t="s">
        <v>9295</v>
      </c>
      <c r="P542" t="s">
        <v>9296</v>
      </c>
      <c r="Q542" t="s">
        <v>1939</v>
      </c>
      <c r="R542" t="s">
        <v>9297</v>
      </c>
      <c r="U542" t="s">
        <v>491</v>
      </c>
      <c r="X542">
        <v>0</v>
      </c>
    </row>
    <row r="543" spans="1:24" x14ac:dyDescent="0.25">
      <c r="A543" s="234">
        <v>43320</v>
      </c>
      <c r="B543" t="s">
        <v>643</v>
      </c>
      <c r="C543" t="s">
        <v>644</v>
      </c>
      <c r="D543" t="s">
        <v>645</v>
      </c>
      <c r="E543" t="s">
        <v>588</v>
      </c>
      <c r="F543" t="s">
        <v>12051</v>
      </c>
      <c r="G543" t="s">
        <v>12052</v>
      </c>
      <c r="H543" t="s">
        <v>809</v>
      </c>
      <c r="I543" t="s">
        <v>3913</v>
      </c>
      <c r="J543" t="s">
        <v>644</v>
      </c>
      <c r="L543">
        <v>1</v>
      </c>
      <c r="M543" s="134">
        <v>10000</v>
      </c>
      <c r="N543" s="134">
        <v>250000</v>
      </c>
      <c r="O543" t="s">
        <v>10762</v>
      </c>
      <c r="P543" t="s">
        <v>12053</v>
      </c>
      <c r="Q543" t="s">
        <v>1939</v>
      </c>
      <c r="R543" t="s">
        <v>12055</v>
      </c>
      <c r="S543" t="s">
        <v>12054</v>
      </c>
      <c r="U543" t="s">
        <v>491</v>
      </c>
      <c r="X543">
        <v>0</v>
      </c>
    </row>
    <row r="544" spans="1:24" x14ac:dyDescent="0.25">
      <c r="A544" s="234">
        <v>42984</v>
      </c>
      <c r="B544" t="s">
        <v>328</v>
      </c>
      <c r="C544" t="s">
        <v>603</v>
      </c>
      <c r="D544" t="s">
        <v>1401</v>
      </c>
      <c r="E544" t="s">
        <v>588</v>
      </c>
      <c r="F544" t="s">
        <v>8431</v>
      </c>
      <c r="G544" t="s">
        <v>7814</v>
      </c>
      <c r="H544" t="s">
        <v>607</v>
      </c>
      <c r="I544" t="s">
        <v>4237</v>
      </c>
      <c r="J544" t="s">
        <v>899</v>
      </c>
      <c r="M544" s="134">
        <v>10000</v>
      </c>
      <c r="N544" s="134">
        <v>480000</v>
      </c>
      <c r="O544" t="s">
        <v>35</v>
      </c>
      <c r="P544" t="s">
        <v>8494</v>
      </c>
      <c r="Q544" t="s">
        <v>1612</v>
      </c>
      <c r="R544" t="s">
        <v>8495</v>
      </c>
      <c r="T544">
        <v>29</v>
      </c>
      <c r="U544" t="s">
        <v>491</v>
      </c>
      <c r="X544">
        <v>0</v>
      </c>
    </row>
    <row r="545" spans="1:24" x14ac:dyDescent="0.25">
      <c r="A545" s="234">
        <v>43336</v>
      </c>
      <c r="B545" t="s">
        <v>328</v>
      </c>
      <c r="C545" t="s">
        <v>603</v>
      </c>
      <c r="D545" t="s">
        <v>672</v>
      </c>
      <c r="E545" t="s">
        <v>588</v>
      </c>
      <c r="F545" t="s">
        <v>6744</v>
      </c>
      <c r="G545" t="s">
        <v>12320</v>
      </c>
      <c r="H545" t="s">
        <v>12311</v>
      </c>
      <c r="I545" t="s">
        <v>7593</v>
      </c>
      <c r="J545" t="s">
        <v>3426</v>
      </c>
      <c r="M545" s="134">
        <v>10000</v>
      </c>
      <c r="N545" s="134">
        <v>682000</v>
      </c>
      <c r="O545" t="s">
        <v>10766</v>
      </c>
      <c r="P545" t="s">
        <v>12321</v>
      </c>
      <c r="Q545" t="s">
        <v>1939</v>
      </c>
      <c r="R545" t="s">
        <v>12322</v>
      </c>
      <c r="U545" t="s">
        <v>491</v>
      </c>
      <c r="X545">
        <v>0</v>
      </c>
    </row>
    <row r="546" spans="1:24" x14ac:dyDescent="0.25">
      <c r="A546" s="234">
        <v>43369</v>
      </c>
      <c r="B546" t="s">
        <v>328</v>
      </c>
      <c r="C546" t="s">
        <v>603</v>
      </c>
      <c r="D546" t="s">
        <v>672</v>
      </c>
      <c r="E546" t="s">
        <v>588</v>
      </c>
      <c r="F546" t="s">
        <v>6744</v>
      </c>
      <c r="G546" t="s">
        <v>12320</v>
      </c>
      <c r="H546" t="s">
        <v>12311</v>
      </c>
      <c r="I546" t="s">
        <v>7593</v>
      </c>
      <c r="J546" t="s">
        <v>3426</v>
      </c>
      <c r="M546" s="134">
        <v>10000</v>
      </c>
      <c r="N546" s="134">
        <v>682000</v>
      </c>
      <c r="O546" t="s">
        <v>10766</v>
      </c>
      <c r="P546" t="s">
        <v>12739</v>
      </c>
      <c r="Q546" t="s">
        <v>592</v>
      </c>
      <c r="R546" t="s">
        <v>12740</v>
      </c>
      <c r="U546" t="s">
        <v>12344</v>
      </c>
      <c r="X546">
        <v>0</v>
      </c>
    </row>
    <row r="547" spans="1:24" x14ac:dyDescent="0.25">
      <c r="A547" s="234">
        <v>43046</v>
      </c>
      <c r="B547" t="s">
        <v>328</v>
      </c>
      <c r="C547" t="s">
        <v>603</v>
      </c>
      <c r="D547" t="s">
        <v>649</v>
      </c>
      <c r="E547" t="s">
        <v>588</v>
      </c>
      <c r="F547" t="s">
        <v>9382</v>
      </c>
      <c r="G547" t="s">
        <v>2204</v>
      </c>
      <c r="H547" t="s">
        <v>7336</v>
      </c>
      <c r="M547" s="134">
        <v>11000</v>
      </c>
      <c r="N547" s="134">
        <v>31000</v>
      </c>
      <c r="O547" t="s">
        <v>9383</v>
      </c>
      <c r="P547" t="s">
        <v>9384</v>
      </c>
      <c r="Q547" t="s">
        <v>592</v>
      </c>
      <c r="U547" t="s">
        <v>491</v>
      </c>
      <c r="X547">
        <v>0</v>
      </c>
    </row>
    <row r="548" spans="1:24" x14ac:dyDescent="0.25">
      <c r="A548" s="234">
        <v>42963</v>
      </c>
      <c r="B548" t="s">
        <v>328</v>
      </c>
      <c r="C548" t="s">
        <v>603</v>
      </c>
      <c r="D548" t="s">
        <v>7595</v>
      </c>
      <c r="E548" t="s">
        <v>588</v>
      </c>
      <c r="H548" t="s">
        <v>8174</v>
      </c>
      <c r="I548" t="s">
        <v>8175</v>
      </c>
      <c r="J548" t="s">
        <v>3617</v>
      </c>
      <c r="M548" s="134">
        <v>20000</v>
      </c>
      <c r="N548" s="134">
        <v>20000</v>
      </c>
      <c r="O548" t="s">
        <v>3886</v>
      </c>
      <c r="P548" t="s">
        <v>8176</v>
      </c>
      <c r="Q548" t="s">
        <v>1939</v>
      </c>
      <c r="R548" t="s">
        <v>8177</v>
      </c>
      <c r="U548" t="s">
        <v>2227</v>
      </c>
      <c r="X548">
        <v>0</v>
      </c>
    </row>
    <row r="549" spans="1:24" x14ac:dyDescent="0.25">
      <c r="A549" s="234">
        <v>42671</v>
      </c>
      <c r="B549" t="s">
        <v>328</v>
      </c>
      <c r="C549" t="s">
        <v>603</v>
      </c>
      <c r="D549" t="s">
        <v>587</v>
      </c>
      <c r="E549" t="s">
        <v>588</v>
      </c>
      <c r="F549" t="s">
        <v>4534</v>
      </c>
      <c r="H549" t="s">
        <v>809</v>
      </c>
      <c r="I549" t="s">
        <v>4535</v>
      </c>
      <c r="J549" t="s">
        <v>3371</v>
      </c>
      <c r="M549" s="134">
        <v>20000</v>
      </c>
      <c r="N549" s="134">
        <v>50000</v>
      </c>
      <c r="O549" t="s">
        <v>2503</v>
      </c>
      <c r="P549" t="s">
        <v>4536</v>
      </c>
      <c r="Q549" t="s">
        <v>1939</v>
      </c>
      <c r="R549" t="s">
        <v>4537</v>
      </c>
      <c r="U549" t="s">
        <v>491</v>
      </c>
      <c r="X549">
        <v>0</v>
      </c>
    </row>
    <row r="550" spans="1:24" x14ac:dyDescent="0.25">
      <c r="A550" s="234">
        <v>42585</v>
      </c>
      <c r="B550" t="s">
        <v>328</v>
      </c>
      <c r="C550" t="s">
        <v>603</v>
      </c>
      <c r="D550" t="s">
        <v>1401</v>
      </c>
      <c r="E550" t="s">
        <v>588</v>
      </c>
      <c r="F550" t="s">
        <v>3218</v>
      </c>
      <c r="H550" t="s">
        <v>809</v>
      </c>
      <c r="I550" t="s">
        <v>3217</v>
      </c>
      <c r="J550" t="s">
        <v>603</v>
      </c>
      <c r="L550">
        <v>3</v>
      </c>
      <c r="M550" s="134">
        <v>20000</v>
      </c>
      <c r="N550" s="134">
        <v>120000</v>
      </c>
      <c r="O550" t="s">
        <v>2503</v>
      </c>
      <c r="P550" t="s">
        <v>3216</v>
      </c>
      <c r="Q550" t="s">
        <v>1939</v>
      </c>
      <c r="R550" t="s">
        <v>3219</v>
      </c>
      <c r="S550" t="s">
        <v>3220</v>
      </c>
      <c r="U550" t="s">
        <v>491</v>
      </c>
      <c r="X550">
        <v>0</v>
      </c>
    </row>
    <row r="551" spans="1:24" x14ac:dyDescent="0.25">
      <c r="A551" s="234">
        <v>43434</v>
      </c>
      <c r="B551" t="s">
        <v>12367</v>
      </c>
      <c r="C551" t="s">
        <v>5610</v>
      </c>
      <c r="D551" t="s">
        <v>11967</v>
      </c>
      <c r="F551" t="s">
        <v>13364</v>
      </c>
      <c r="G551" t="s">
        <v>13365</v>
      </c>
      <c r="H551" t="s">
        <v>2510</v>
      </c>
      <c r="I551" t="s">
        <v>13366</v>
      </c>
      <c r="J551" t="s">
        <v>3523</v>
      </c>
      <c r="K551" t="s">
        <v>13367</v>
      </c>
      <c r="L551">
        <v>2</v>
      </c>
      <c r="M551" s="134">
        <v>25000</v>
      </c>
      <c r="N551" s="134">
        <v>30000</v>
      </c>
      <c r="O551" t="s">
        <v>10765</v>
      </c>
      <c r="P551" t="s">
        <v>13372</v>
      </c>
      <c r="Q551" t="s">
        <v>1939</v>
      </c>
      <c r="R551" t="s">
        <v>13368</v>
      </c>
      <c r="U551" t="s">
        <v>491</v>
      </c>
      <c r="X551">
        <v>0</v>
      </c>
    </row>
    <row r="552" spans="1:24" x14ac:dyDescent="0.25">
      <c r="A552" s="234">
        <v>42591</v>
      </c>
      <c r="B552" t="s">
        <v>328</v>
      </c>
      <c r="C552" t="s">
        <v>603</v>
      </c>
      <c r="D552" t="s">
        <v>1471</v>
      </c>
      <c r="E552" t="s">
        <v>588</v>
      </c>
      <c r="F552" t="s">
        <v>3301</v>
      </c>
      <c r="H552" t="s">
        <v>1365</v>
      </c>
      <c r="I552" t="s">
        <v>3302</v>
      </c>
      <c r="J552" t="s">
        <v>3371</v>
      </c>
      <c r="L552">
        <v>5</v>
      </c>
      <c r="M552" s="134">
        <v>25000</v>
      </c>
      <c r="N552" s="134">
        <v>65000</v>
      </c>
      <c r="O552" t="s">
        <v>2503</v>
      </c>
      <c r="P552" t="s">
        <v>3303</v>
      </c>
      <c r="Q552" t="s">
        <v>1939</v>
      </c>
      <c r="R552" t="s">
        <v>3304</v>
      </c>
      <c r="U552" t="s">
        <v>491</v>
      </c>
      <c r="X552">
        <v>0</v>
      </c>
    </row>
    <row r="553" spans="1:24" x14ac:dyDescent="0.25">
      <c r="A553" s="234">
        <v>43024</v>
      </c>
      <c r="B553" t="s">
        <v>643</v>
      </c>
      <c r="C553" t="s">
        <v>644</v>
      </c>
      <c r="D553" t="s">
        <v>645</v>
      </c>
      <c r="E553" t="s">
        <v>588</v>
      </c>
      <c r="F553" t="s">
        <v>9044</v>
      </c>
      <c r="G553" t="s">
        <v>9045</v>
      </c>
      <c r="H553" t="s">
        <v>6536</v>
      </c>
      <c r="I553" t="s">
        <v>6620</v>
      </c>
      <c r="J553" t="s">
        <v>3501</v>
      </c>
      <c r="M553" s="134">
        <v>26000</v>
      </c>
      <c r="N553" s="134">
        <v>62000</v>
      </c>
      <c r="O553" t="s">
        <v>639</v>
      </c>
      <c r="P553" t="s">
        <v>9046</v>
      </c>
      <c r="Q553" t="s">
        <v>29</v>
      </c>
      <c r="R553" t="s">
        <v>9050</v>
      </c>
      <c r="U553" t="s">
        <v>491</v>
      </c>
      <c r="X553">
        <v>1</v>
      </c>
    </row>
    <row r="554" spans="1:24" x14ac:dyDescent="0.25">
      <c r="A554" s="234">
        <v>42405</v>
      </c>
      <c r="B554" t="s">
        <v>328</v>
      </c>
      <c r="C554" t="s">
        <v>603</v>
      </c>
      <c r="D554" t="s">
        <v>757</v>
      </c>
      <c r="E554" t="s">
        <v>588</v>
      </c>
      <c r="F554" t="s">
        <v>939</v>
      </c>
      <c r="H554" t="s">
        <v>597</v>
      </c>
      <c r="I554" t="s">
        <v>940</v>
      </c>
      <c r="M554" s="134">
        <v>29000</v>
      </c>
      <c r="N554" s="134">
        <v>45000</v>
      </c>
      <c r="O554" t="s">
        <v>764</v>
      </c>
      <c r="P554" t="s">
        <v>1189</v>
      </c>
      <c r="Q554" t="s">
        <v>592</v>
      </c>
      <c r="R554" t="s">
        <v>941</v>
      </c>
      <c r="U554" t="s">
        <v>491</v>
      </c>
      <c r="X554">
        <v>0</v>
      </c>
    </row>
    <row r="555" spans="1:24" x14ac:dyDescent="0.25">
      <c r="A555" s="234">
        <v>42986</v>
      </c>
      <c r="B555" t="s">
        <v>5176</v>
      </c>
      <c r="C555" t="s">
        <v>604</v>
      </c>
      <c r="D555" t="s">
        <v>2454</v>
      </c>
      <c r="E555" t="s">
        <v>588</v>
      </c>
      <c r="F555" t="s">
        <v>8455</v>
      </c>
      <c r="G555" t="s">
        <v>15</v>
      </c>
      <c r="H555" t="s">
        <v>3827</v>
      </c>
      <c r="I555" t="s">
        <v>8456</v>
      </c>
      <c r="J555" t="s">
        <v>959</v>
      </c>
      <c r="M555" s="134">
        <v>30000</v>
      </c>
      <c r="N555" s="134">
        <v>50000</v>
      </c>
      <c r="O555" t="s">
        <v>7508</v>
      </c>
      <c r="P555" t="s">
        <v>8457</v>
      </c>
      <c r="Q555" t="s">
        <v>1939</v>
      </c>
      <c r="R555" t="s">
        <v>8458</v>
      </c>
      <c r="T555">
        <v>14</v>
      </c>
      <c r="U555" t="s">
        <v>491</v>
      </c>
      <c r="X555">
        <v>0</v>
      </c>
    </row>
    <row r="556" spans="1:24" x14ac:dyDescent="0.25">
      <c r="A556" s="234">
        <v>43566</v>
      </c>
      <c r="B556" t="s">
        <v>328</v>
      </c>
      <c r="C556" t="s">
        <v>603</v>
      </c>
      <c r="D556" t="s">
        <v>10705</v>
      </c>
      <c r="F556" t="s">
        <v>15047</v>
      </c>
      <c r="G556" t="s">
        <v>11341</v>
      </c>
      <c r="H556" t="s">
        <v>2510</v>
      </c>
      <c r="I556" t="s">
        <v>3532</v>
      </c>
      <c r="J556" t="s">
        <v>14074</v>
      </c>
      <c r="K556" t="s">
        <v>15048</v>
      </c>
      <c r="M556" s="134">
        <v>37700</v>
      </c>
      <c r="N556" s="134">
        <v>117125</v>
      </c>
      <c r="O556" t="s">
        <v>10763</v>
      </c>
      <c r="P556" t="s">
        <v>15330</v>
      </c>
      <c r="Q556" t="s">
        <v>592</v>
      </c>
      <c r="R556" t="s">
        <v>15331</v>
      </c>
      <c r="U556" t="s">
        <v>12797</v>
      </c>
      <c r="X556">
        <v>0</v>
      </c>
    </row>
    <row r="557" spans="1:24" x14ac:dyDescent="0.25">
      <c r="A557" s="234">
        <v>43521</v>
      </c>
      <c r="B557" t="s">
        <v>328</v>
      </c>
      <c r="C557" t="s">
        <v>603</v>
      </c>
      <c r="D557" t="s">
        <v>10705</v>
      </c>
      <c r="F557" t="s">
        <v>14517</v>
      </c>
      <c r="G557" t="s">
        <v>14496</v>
      </c>
      <c r="H557" t="s">
        <v>905</v>
      </c>
      <c r="I557" t="s">
        <v>7312</v>
      </c>
      <c r="J557" t="s">
        <v>3612</v>
      </c>
      <c r="K557" t="s">
        <v>14518</v>
      </c>
      <c r="L557">
        <v>3</v>
      </c>
      <c r="M557" s="134">
        <v>40000</v>
      </c>
      <c r="N557" s="134">
        <v>58000</v>
      </c>
      <c r="O557" t="s">
        <v>10764</v>
      </c>
      <c r="P557" t="s">
        <v>14519</v>
      </c>
      <c r="Q557" t="s">
        <v>29</v>
      </c>
      <c r="R557" t="s">
        <v>14520</v>
      </c>
      <c r="U557" t="s">
        <v>12797</v>
      </c>
      <c r="X557">
        <v>1</v>
      </c>
    </row>
    <row r="558" spans="1:24" x14ac:dyDescent="0.25">
      <c r="A558" s="234">
        <v>42558</v>
      </c>
      <c r="B558" t="s">
        <v>328</v>
      </c>
      <c r="C558" t="s">
        <v>603</v>
      </c>
      <c r="D558" t="s">
        <v>1471</v>
      </c>
      <c r="E558" t="s">
        <v>821</v>
      </c>
      <c r="F558" t="s">
        <v>2794</v>
      </c>
      <c r="H558" t="s">
        <v>2795</v>
      </c>
      <c r="M558" s="134">
        <v>40000</v>
      </c>
      <c r="N558" s="134">
        <v>90000</v>
      </c>
      <c r="O558" t="s">
        <v>2796</v>
      </c>
      <c r="P558" t="s">
        <v>2797</v>
      </c>
      <c r="Q558" t="s">
        <v>592</v>
      </c>
      <c r="R558" t="s">
        <v>2798</v>
      </c>
      <c r="U558" t="s">
        <v>491</v>
      </c>
      <c r="X558">
        <v>0</v>
      </c>
    </row>
    <row r="559" spans="1:24" x14ac:dyDescent="0.25">
      <c r="A559" s="234">
        <v>43137</v>
      </c>
      <c r="B559" t="s">
        <v>328</v>
      </c>
      <c r="C559" t="s">
        <v>603</v>
      </c>
      <c r="D559" t="s">
        <v>8941</v>
      </c>
      <c r="E559" t="s">
        <v>10290</v>
      </c>
      <c r="F559" t="s">
        <v>10291</v>
      </c>
      <c r="G559" t="s">
        <v>10292</v>
      </c>
      <c r="H559" t="s">
        <v>2510</v>
      </c>
      <c r="I559" t="s">
        <v>10293</v>
      </c>
      <c r="J559" t="s">
        <v>5562</v>
      </c>
      <c r="L559">
        <v>3</v>
      </c>
      <c r="M559" s="134">
        <v>40400</v>
      </c>
      <c r="N559" s="134">
        <v>75600</v>
      </c>
      <c r="O559" t="s">
        <v>4533</v>
      </c>
      <c r="P559" t="s">
        <v>10294</v>
      </c>
      <c r="Q559" t="s">
        <v>1939</v>
      </c>
      <c r="R559" t="s">
        <v>10295</v>
      </c>
      <c r="U559" t="s">
        <v>1327</v>
      </c>
      <c r="X559">
        <v>0</v>
      </c>
    </row>
    <row r="560" spans="1:24" x14ac:dyDescent="0.25">
      <c r="A560" s="234">
        <v>42741</v>
      </c>
      <c r="B560" t="s">
        <v>328</v>
      </c>
      <c r="C560" t="s">
        <v>603</v>
      </c>
      <c r="D560" t="s">
        <v>2397</v>
      </c>
      <c r="E560" t="s">
        <v>588</v>
      </c>
      <c r="F560" t="s">
        <v>5217</v>
      </c>
      <c r="H560" t="s">
        <v>1057</v>
      </c>
      <c r="I560" t="s">
        <v>5218</v>
      </c>
      <c r="J560" t="s">
        <v>899</v>
      </c>
      <c r="L560">
        <v>1</v>
      </c>
      <c r="M560" s="134">
        <v>41000</v>
      </c>
      <c r="N560" s="134">
        <v>188000</v>
      </c>
      <c r="O560" t="s">
        <v>695</v>
      </c>
      <c r="P560" t="s">
        <v>5219</v>
      </c>
      <c r="Q560" t="s">
        <v>592</v>
      </c>
      <c r="U560" t="s">
        <v>491</v>
      </c>
      <c r="X560">
        <v>0</v>
      </c>
    </row>
    <row r="561" spans="1:24" x14ac:dyDescent="0.25">
      <c r="A561" s="234">
        <v>42542</v>
      </c>
      <c r="B561" t="s">
        <v>643</v>
      </c>
      <c r="C561" t="s">
        <v>644</v>
      </c>
      <c r="D561" t="s">
        <v>645</v>
      </c>
      <c r="E561" t="s">
        <v>588</v>
      </c>
      <c r="F561" t="s">
        <v>2620</v>
      </c>
      <c r="H561" t="s">
        <v>905</v>
      </c>
      <c r="I561" t="s">
        <v>1468</v>
      </c>
      <c r="M561" s="134">
        <v>45000</v>
      </c>
      <c r="N561" s="134">
        <v>60000</v>
      </c>
      <c r="O561" t="s">
        <v>2621</v>
      </c>
      <c r="P561" t="s">
        <v>2622</v>
      </c>
      <c r="Q561" t="s">
        <v>29</v>
      </c>
      <c r="U561" t="s">
        <v>491</v>
      </c>
      <c r="X561">
        <v>1</v>
      </c>
    </row>
    <row r="562" spans="1:24" x14ac:dyDescent="0.25">
      <c r="A562" s="234">
        <v>43371</v>
      </c>
      <c r="B562" t="s">
        <v>643</v>
      </c>
      <c r="C562" t="s">
        <v>644</v>
      </c>
      <c r="D562" t="s">
        <v>645</v>
      </c>
      <c r="E562" t="s">
        <v>588</v>
      </c>
      <c r="F562" t="s">
        <v>12760</v>
      </c>
      <c r="G562" t="s">
        <v>1016</v>
      </c>
      <c r="H562" t="s">
        <v>809</v>
      </c>
      <c r="I562" t="s">
        <v>12761</v>
      </c>
      <c r="J562" t="s">
        <v>3367</v>
      </c>
      <c r="L562">
        <v>5</v>
      </c>
      <c r="M562" s="134">
        <v>50000</v>
      </c>
      <c r="N562" s="134">
        <v>50000</v>
      </c>
      <c r="O562" t="s">
        <v>10763</v>
      </c>
      <c r="P562" t="s">
        <v>13398</v>
      </c>
      <c r="Q562" t="s">
        <v>592</v>
      </c>
      <c r="R562" t="s">
        <v>12762</v>
      </c>
      <c r="U562" t="s">
        <v>12344</v>
      </c>
      <c r="X562">
        <v>0</v>
      </c>
    </row>
    <row r="563" spans="1:24" x14ac:dyDescent="0.25">
      <c r="A563" s="234">
        <v>43209</v>
      </c>
      <c r="B563" t="s">
        <v>643</v>
      </c>
      <c r="C563" t="s">
        <v>644</v>
      </c>
      <c r="D563" t="s">
        <v>645</v>
      </c>
      <c r="E563" t="s">
        <v>588</v>
      </c>
      <c r="F563" t="s">
        <v>11006</v>
      </c>
      <c r="G563" t="s">
        <v>11007</v>
      </c>
      <c r="H563" t="s">
        <v>2510</v>
      </c>
      <c r="I563" t="s">
        <v>11008</v>
      </c>
      <c r="J563" t="s">
        <v>644</v>
      </c>
      <c r="L563">
        <v>2</v>
      </c>
      <c r="M563" s="134">
        <v>50000</v>
      </c>
      <c r="N563" s="134">
        <v>110000</v>
      </c>
      <c r="O563" t="s">
        <v>10765</v>
      </c>
      <c r="P563" t="s">
        <v>11009</v>
      </c>
      <c r="Q563" t="s">
        <v>592</v>
      </c>
      <c r="R563" t="s">
        <v>11010</v>
      </c>
      <c r="U563" t="s">
        <v>1327</v>
      </c>
      <c r="X563">
        <v>0</v>
      </c>
    </row>
    <row r="564" spans="1:24" x14ac:dyDescent="0.25">
      <c r="A564" s="234">
        <v>42535</v>
      </c>
      <c r="B564" t="s">
        <v>328</v>
      </c>
      <c r="C564" t="s">
        <v>603</v>
      </c>
      <c r="D564" t="s">
        <v>1471</v>
      </c>
      <c r="E564" t="s">
        <v>588</v>
      </c>
      <c r="F564" t="s">
        <v>2492</v>
      </c>
      <c r="H564" t="s">
        <v>722</v>
      </c>
      <c r="I564" t="s">
        <v>2493</v>
      </c>
      <c r="M564" s="134">
        <v>50000</v>
      </c>
      <c r="N564" s="134">
        <v>132500</v>
      </c>
      <c r="O564" t="s">
        <v>1498</v>
      </c>
      <c r="P564" t="s">
        <v>2494</v>
      </c>
      <c r="Q564" t="s">
        <v>592</v>
      </c>
      <c r="R564" t="s">
        <v>2506</v>
      </c>
      <c r="S564" t="s">
        <v>2507</v>
      </c>
      <c r="U564" t="s">
        <v>491</v>
      </c>
      <c r="X564">
        <v>0</v>
      </c>
    </row>
    <row r="565" spans="1:24" x14ac:dyDescent="0.25">
      <c r="A565" s="234">
        <v>42562</v>
      </c>
      <c r="B565" t="s">
        <v>328</v>
      </c>
      <c r="C565" t="s">
        <v>603</v>
      </c>
      <c r="D565" t="s">
        <v>1471</v>
      </c>
      <c r="E565" t="s">
        <v>588</v>
      </c>
      <c r="F565" t="s">
        <v>2840</v>
      </c>
      <c r="H565" t="s">
        <v>809</v>
      </c>
      <c r="I565" t="s">
        <v>2502</v>
      </c>
      <c r="M565" s="134">
        <v>50000</v>
      </c>
      <c r="N565" s="134">
        <v>175000</v>
      </c>
      <c r="O565" t="s">
        <v>2503</v>
      </c>
      <c r="P565" t="s">
        <v>2835</v>
      </c>
      <c r="Q565" t="s">
        <v>1939</v>
      </c>
      <c r="R565" t="s">
        <v>3214</v>
      </c>
      <c r="S565" t="s">
        <v>3215</v>
      </c>
      <c r="U565" t="s">
        <v>491</v>
      </c>
      <c r="X565">
        <v>0</v>
      </c>
    </row>
    <row r="566" spans="1:24" x14ac:dyDescent="0.25">
      <c r="A566" s="234">
        <v>43391</v>
      </c>
      <c r="B566" t="s">
        <v>643</v>
      </c>
      <c r="C566" t="s">
        <v>644</v>
      </c>
      <c r="D566" t="s">
        <v>645</v>
      </c>
      <c r="F566" t="s">
        <v>10065</v>
      </c>
      <c r="G566" t="s">
        <v>9350</v>
      </c>
      <c r="H566" t="s">
        <v>607</v>
      </c>
      <c r="I566" t="s">
        <v>10404</v>
      </c>
      <c r="J566" t="s">
        <v>644</v>
      </c>
      <c r="K566">
        <v>80421</v>
      </c>
      <c r="L566">
        <v>4</v>
      </c>
      <c r="M566" s="134">
        <v>50000</v>
      </c>
      <c r="N566" s="134">
        <v>250000</v>
      </c>
      <c r="O566" t="s">
        <v>10765</v>
      </c>
      <c r="P566" t="s">
        <v>12960</v>
      </c>
      <c r="Q566" t="s">
        <v>1939</v>
      </c>
      <c r="R566" t="s">
        <v>13410</v>
      </c>
      <c r="U566" t="s">
        <v>12344</v>
      </c>
      <c r="X566">
        <v>0</v>
      </c>
    </row>
    <row r="567" spans="1:24" x14ac:dyDescent="0.25">
      <c r="A567" s="234">
        <v>43082</v>
      </c>
      <c r="B567" t="s">
        <v>328</v>
      </c>
      <c r="C567" t="s">
        <v>899</v>
      </c>
      <c r="D567" t="s">
        <v>7595</v>
      </c>
      <c r="E567" t="s">
        <v>588</v>
      </c>
      <c r="F567" t="s">
        <v>9775</v>
      </c>
      <c r="G567" t="s">
        <v>833</v>
      </c>
      <c r="H567" t="s">
        <v>1391</v>
      </c>
      <c r="J567" t="s">
        <v>3501</v>
      </c>
      <c r="L567">
        <v>4</v>
      </c>
      <c r="M567" s="134">
        <v>50000</v>
      </c>
      <c r="N567" s="134">
        <v>435000</v>
      </c>
      <c r="O567" t="s">
        <v>9774</v>
      </c>
      <c r="P567" t="s">
        <v>9773</v>
      </c>
      <c r="Q567" t="s">
        <v>1939</v>
      </c>
      <c r="R567" t="s">
        <v>9772</v>
      </c>
      <c r="U567" t="s">
        <v>1327</v>
      </c>
      <c r="X567">
        <v>0</v>
      </c>
    </row>
    <row r="568" spans="1:24" x14ac:dyDescent="0.25">
      <c r="A568" s="234">
        <v>42787</v>
      </c>
      <c r="B568" t="s">
        <v>328</v>
      </c>
      <c r="C568" t="s">
        <v>603</v>
      </c>
      <c r="D568" t="s">
        <v>649</v>
      </c>
      <c r="E568" t="s">
        <v>588</v>
      </c>
      <c r="F568" t="s">
        <v>5746</v>
      </c>
      <c r="H568" t="s">
        <v>905</v>
      </c>
      <c r="I568" t="s">
        <v>5747</v>
      </c>
      <c r="J568" t="s">
        <v>3733</v>
      </c>
      <c r="L568">
        <v>9</v>
      </c>
      <c r="M568" s="134">
        <v>50000</v>
      </c>
      <c r="N568" s="134">
        <v>928000</v>
      </c>
      <c r="O568" t="s">
        <v>3625</v>
      </c>
      <c r="P568" t="s">
        <v>5748</v>
      </c>
      <c r="Q568" t="s">
        <v>592</v>
      </c>
      <c r="U568" t="s">
        <v>491</v>
      </c>
      <c r="X568">
        <v>0</v>
      </c>
    </row>
    <row r="569" spans="1:24" x14ac:dyDescent="0.25">
      <c r="A569" s="234">
        <v>42466</v>
      </c>
      <c r="B569" t="s">
        <v>328</v>
      </c>
      <c r="C569" t="s">
        <v>603</v>
      </c>
      <c r="D569" t="s">
        <v>672</v>
      </c>
      <c r="E569" t="s">
        <v>588</v>
      </c>
      <c r="F569" t="s">
        <v>1566</v>
      </c>
      <c r="H569" t="s">
        <v>1057</v>
      </c>
      <c r="I569" t="s">
        <v>789</v>
      </c>
      <c r="M569" s="134">
        <v>51000</v>
      </c>
      <c r="N569" s="134">
        <v>63000</v>
      </c>
      <c r="O569" t="s">
        <v>695</v>
      </c>
      <c r="P569" t="s">
        <v>15991</v>
      </c>
      <c r="Q569" t="s">
        <v>592</v>
      </c>
      <c r="U569" t="s">
        <v>491</v>
      </c>
      <c r="X569">
        <v>0</v>
      </c>
    </row>
    <row r="570" spans="1:24" x14ac:dyDescent="0.25">
      <c r="A570" s="234">
        <v>42732</v>
      </c>
      <c r="B570" t="s">
        <v>643</v>
      </c>
      <c r="C570" t="s">
        <v>644</v>
      </c>
      <c r="D570" t="s">
        <v>645</v>
      </c>
      <c r="E570" t="s">
        <v>588</v>
      </c>
      <c r="F570" t="s">
        <v>5145</v>
      </c>
      <c r="H570" t="s">
        <v>5147</v>
      </c>
      <c r="I570" t="s">
        <v>4244</v>
      </c>
      <c r="J570" t="s">
        <v>644</v>
      </c>
      <c r="L570">
        <v>6</v>
      </c>
      <c r="M570" s="134">
        <v>55000</v>
      </c>
      <c r="N570" s="134">
        <v>56000</v>
      </c>
      <c r="O570" t="s">
        <v>3886</v>
      </c>
      <c r="P570" t="s">
        <v>5150</v>
      </c>
      <c r="Q570" t="s">
        <v>592</v>
      </c>
      <c r="R570" t="s">
        <v>5151</v>
      </c>
      <c r="U570" t="s">
        <v>1327</v>
      </c>
      <c r="X570">
        <v>0</v>
      </c>
    </row>
    <row r="571" spans="1:24" x14ac:dyDescent="0.25">
      <c r="A571" s="234">
        <v>43370</v>
      </c>
      <c r="B571" t="s">
        <v>328</v>
      </c>
      <c r="C571" t="s">
        <v>603</v>
      </c>
      <c r="D571" t="s">
        <v>649</v>
      </c>
      <c r="E571" t="s">
        <v>588</v>
      </c>
      <c r="F571" t="s">
        <v>351</v>
      </c>
      <c r="G571" t="s">
        <v>7855</v>
      </c>
      <c r="H571" t="s">
        <v>10829</v>
      </c>
      <c r="I571" t="s">
        <v>11066</v>
      </c>
      <c r="J571" t="s">
        <v>3751</v>
      </c>
      <c r="L571">
        <v>10</v>
      </c>
      <c r="M571" s="134">
        <v>60000</v>
      </c>
      <c r="N571" s="134">
        <v>60000</v>
      </c>
      <c r="O571" t="s">
        <v>7124</v>
      </c>
      <c r="P571" t="s">
        <v>12759</v>
      </c>
      <c r="Q571" t="s">
        <v>29</v>
      </c>
      <c r="R571" t="s">
        <v>13397</v>
      </c>
      <c r="U571" t="s">
        <v>12344</v>
      </c>
      <c r="X571">
        <v>1</v>
      </c>
    </row>
    <row r="572" spans="1:24" x14ac:dyDescent="0.25">
      <c r="A572" s="234">
        <v>42908</v>
      </c>
      <c r="B572" t="s">
        <v>328</v>
      </c>
      <c r="C572" t="s">
        <v>603</v>
      </c>
      <c r="D572" t="s">
        <v>649</v>
      </c>
      <c r="E572" t="s">
        <v>588</v>
      </c>
      <c r="F572" t="s">
        <v>7335</v>
      </c>
      <c r="H572" t="s">
        <v>7336</v>
      </c>
      <c r="I572" t="s">
        <v>7337</v>
      </c>
      <c r="J572" t="s">
        <v>644</v>
      </c>
      <c r="L572">
        <v>10</v>
      </c>
      <c r="M572" s="134">
        <v>60000</v>
      </c>
      <c r="N572" s="134">
        <v>66000</v>
      </c>
      <c r="O572" t="s">
        <v>764</v>
      </c>
      <c r="P572" t="s">
        <v>7338</v>
      </c>
      <c r="Q572" t="s">
        <v>592</v>
      </c>
      <c r="U572" t="s">
        <v>491</v>
      </c>
      <c r="X572">
        <v>0</v>
      </c>
    </row>
    <row r="573" spans="1:24" x14ac:dyDescent="0.25">
      <c r="A573" s="234">
        <v>42649</v>
      </c>
      <c r="B573" t="s">
        <v>328</v>
      </c>
      <c r="C573" t="s">
        <v>603</v>
      </c>
      <c r="D573" t="s">
        <v>1471</v>
      </c>
      <c r="E573" t="s">
        <v>588</v>
      </c>
      <c r="F573" t="s">
        <v>4191</v>
      </c>
      <c r="H573" t="s">
        <v>1057</v>
      </c>
      <c r="I573" t="s">
        <v>4192</v>
      </c>
      <c r="J573" t="s">
        <v>3398</v>
      </c>
      <c r="L573">
        <v>3</v>
      </c>
      <c r="M573" s="134">
        <v>60000</v>
      </c>
      <c r="N573" s="134">
        <v>100000</v>
      </c>
      <c r="O573" t="s">
        <v>4193</v>
      </c>
      <c r="P573" t="s">
        <v>4194</v>
      </c>
      <c r="Q573" t="s">
        <v>1939</v>
      </c>
      <c r="R573" t="s">
        <v>4289</v>
      </c>
      <c r="U573" t="s">
        <v>491</v>
      </c>
      <c r="X573">
        <v>0</v>
      </c>
    </row>
    <row r="574" spans="1:24" x14ac:dyDescent="0.25">
      <c r="A574" s="234">
        <v>42506</v>
      </c>
      <c r="B574" t="s">
        <v>643</v>
      </c>
      <c r="C574" t="s">
        <v>644</v>
      </c>
      <c r="D574" t="s">
        <v>645</v>
      </c>
      <c r="E574" t="s">
        <v>588</v>
      </c>
      <c r="F574" t="s">
        <v>2097</v>
      </c>
      <c r="H574" t="s">
        <v>809</v>
      </c>
      <c r="I574" t="s">
        <v>2098</v>
      </c>
      <c r="M574" s="134">
        <v>60000</v>
      </c>
      <c r="N574" s="134">
        <v>110000</v>
      </c>
      <c r="O574" t="s">
        <v>2099</v>
      </c>
      <c r="P574" t="s">
        <v>2100</v>
      </c>
      <c r="Q574" t="s">
        <v>592</v>
      </c>
      <c r="R574" t="s">
        <v>2101</v>
      </c>
      <c r="U574" t="s">
        <v>491</v>
      </c>
      <c r="X574">
        <v>0</v>
      </c>
    </row>
    <row r="575" spans="1:24" x14ac:dyDescent="0.25">
      <c r="A575" s="234">
        <v>43181</v>
      </c>
      <c r="B575" t="s">
        <v>5956</v>
      </c>
      <c r="C575" t="s">
        <v>3369</v>
      </c>
      <c r="D575" t="s">
        <v>7172</v>
      </c>
      <c r="E575" t="s">
        <v>588</v>
      </c>
      <c r="F575" t="s">
        <v>10679</v>
      </c>
      <c r="G575" t="s">
        <v>10680</v>
      </c>
      <c r="H575" t="s">
        <v>607</v>
      </c>
      <c r="I575" t="s">
        <v>10681</v>
      </c>
      <c r="J575" t="s">
        <v>3369</v>
      </c>
      <c r="M575" s="134">
        <v>61000</v>
      </c>
      <c r="N575" s="134">
        <v>95000</v>
      </c>
      <c r="O575" t="s">
        <v>10762</v>
      </c>
      <c r="P575" t="s">
        <v>10682</v>
      </c>
      <c r="Q575" t="s">
        <v>29</v>
      </c>
      <c r="R575" t="s">
        <v>10683</v>
      </c>
      <c r="U575" t="s">
        <v>491</v>
      </c>
      <c r="X575">
        <v>1</v>
      </c>
    </row>
    <row r="576" spans="1:24" x14ac:dyDescent="0.25">
      <c r="A576" s="234">
        <v>42394</v>
      </c>
      <c r="B576" t="s">
        <v>643</v>
      </c>
      <c r="C576" t="s">
        <v>644</v>
      </c>
      <c r="D576" t="s">
        <v>645</v>
      </c>
      <c r="E576" t="s">
        <v>588</v>
      </c>
      <c r="F576" t="s">
        <v>808</v>
      </c>
      <c r="H576" t="s">
        <v>809</v>
      </c>
      <c r="I576" t="s">
        <v>810</v>
      </c>
      <c r="M576" s="134">
        <v>65000</v>
      </c>
      <c r="N576" s="134">
        <v>115000</v>
      </c>
      <c r="O576" t="s">
        <v>811</v>
      </c>
      <c r="P576" t="s">
        <v>812</v>
      </c>
      <c r="Q576" t="s">
        <v>592</v>
      </c>
      <c r="R576" t="s">
        <v>851</v>
      </c>
      <c r="U576" t="s">
        <v>491</v>
      </c>
      <c r="X576">
        <v>0</v>
      </c>
    </row>
    <row r="577" spans="1:24" x14ac:dyDescent="0.25">
      <c r="A577" s="234">
        <v>42892</v>
      </c>
      <c r="B577" t="s">
        <v>643</v>
      </c>
      <c r="C577" t="s">
        <v>644</v>
      </c>
      <c r="D577" t="s">
        <v>645</v>
      </c>
      <c r="E577" t="s">
        <v>588</v>
      </c>
      <c r="F577" t="s">
        <v>7084</v>
      </c>
      <c r="H577" t="s">
        <v>7085</v>
      </c>
      <c r="M577" s="134">
        <v>75000</v>
      </c>
      <c r="N577" s="134">
        <v>0</v>
      </c>
      <c r="O577" t="s">
        <v>7086</v>
      </c>
      <c r="P577" t="s">
        <v>7530</v>
      </c>
      <c r="Q577" t="s">
        <v>592</v>
      </c>
      <c r="U577" t="s">
        <v>491</v>
      </c>
      <c r="X577">
        <v>0</v>
      </c>
    </row>
    <row r="578" spans="1:24" x14ac:dyDescent="0.25">
      <c r="A578" s="234">
        <v>43396</v>
      </c>
      <c r="B578" t="s">
        <v>328</v>
      </c>
      <c r="C578" t="s">
        <v>603</v>
      </c>
      <c r="D578" t="s">
        <v>10705</v>
      </c>
      <c r="F578" t="s">
        <v>13014</v>
      </c>
      <c r="G578" t="s">
        <v>10065</v>
      </c>
      <c r="H578" t="s">
        <v>10831</v>
      </c>
      <c r="I578" t="s">
        <v>13011</v>
      </c>
      <c r="J578" t="s">
        <v>3368</v>
      </c>
      <c r="K578">
        <v>71635</v>
      </c>
      <c r="L578">
        <v>10</v>
      </c>
      <c r="M578" s="134">
        <v>75000</v>
      </c>
      <c r="N578" s="134">
        <v>85000</v>
      </c>
      <c r="O578" t="s">
        <v>7124</v>
      </c>
      <c r="P578" t="s">
        <v>13012</v>
      </c>
      <c r="Q578" t="s">
        <v>29</v>
      </c>
      <c r="R578" t="s">
        <v>13013</v>
      </c>
      <c r="U578" t="s">
        <v>12344</v>
      </c>
      <c r="X578">
        <v>1</v>
      </c>
    </row>
    <row r="579" spans="1:24" x14ac:dyDescent="0.25">
      <c r="A579" s="234">
        <v>42599</v>
      </c>
      <c r="B579" t="s">
        <v>328</v>
      </c>
      <c r="C579" t="s">
        <v>603</v>
      </c>
      <c r="D579" t="s">
        <v>1471</v>
      </c>
      <c r="E579" t="s">
        <v>588</v>
      </c>
      <c r="F579" t="s">
        <v>3473</v>
      </c>
      <c r="H579" t="s">
        <v>3095</v>
      </c>
      <c r="I579" t="s">
        <v>3477</v>
      </c>
      <c r="J579" t="s">
        <v>3373</v>
      </c>
      <c r="L579">
        <v>2</v>
      </c>
      <c r="M579" s="134">
        <v>75000</v>
      </c>
      <c r="N579" s="134">
        <v>90000</v>
      </c>
      <c r="O579" t="s">
        <v>2934</v>
      </c>
      <c r="P579" t="s">
        <v>3474</v>
      </c>
      <c r="Q579" t="s">
        <v>1939</v>
      </c>
      <c r="R579" t="s">
        <v>3475</v>
      </c>
      <c r="U579" t="s">
        <v>491</v>
      </c>
      <c r="X579">
        <v>0</v>
      </c>
    </row>
    <row r="580" spans="1:24" x14ac:dyDescent="0.25">
      <c r="A580" s="234">
        <v>42811</v>
      </c>
      <c r="B580" t="s">
        <v>328</v>
      </c>
      <c r="C580" t="s">
        <v>603</v>
      </c>
      <c r="D580" t="s">
        <v>649</v>
      </c>
      <c r="E580" t="s">
        <v>588</v>
      </c>
      <c r="F580" t="s">
        <v>6018</v>
      </c>
      <c r="H580" t="s">
        <v>1819</v>
      </c>
      <c r="I580" t="s">
        <v>6016</v>
      </c>
      <c r="J580" t="s">
        <v>6015</v>
      </c>
      <c r="L580">
        <v>6</v>
      </c>
      <c r="M580" s="134">
        <v>75000</v>
      </c>
      <c r="N580" s="134">
        <v>92500</v>
      </c>
      <c r="O580" t="s">
        <v>1120</v>
      </c>
      <c r="P580" t="s">
        <v>6019</v>
      </c>
      <c r="Q580" t="s">
        <v>1939</v>
      </c>
      <c r="R580" t="s">
        <v>6017</v>
      </c>
      <c r="U580" t="s">
        <v>1327</v>
      </c>
      <c r="X580">
        <v>0</v>
      </c>
    </row>
    <row r="581" spans="1:24" x14ac:dyDescent="0.25">
      <c r="A581" s="234">
        <v>42761</v>
      </c>
      <c r="B581" t="s">
        <v>328</v>
      </c>
      <c r="C581" t="s">
        <v>603</v>
      </c>
      <c r="D581" t="s">
        <v>1401</v>
      </c>
      <c r="E581" t="s">
        <v>588</v>
      </c>
      <c r="F581" t="s">
        <v>5455</v>
      </c>
      <c r="H581" t="s">
        <v>607</v>
      </c>
      <c r="I581" t="s">
        <v>4918</v>
      </c>
      <c r="J581" t="s">
        <v>3885</v>
      </c>
      <c r="L581" t="s">
        <v>5280</v>
      </c>
      <c r="M581" s="134">
        <v>75000</v>
      </c>
      <c r="N581" s="134">
        <v>107500</v>
      </c>
      <c r="O581" t="s">
        <v>3952</v>
      </c>
      <c r="P581" t="s">
        <v>5456</v>
      </c>
      <c r="Q581" t="s">
        <v>1939</v>
      </c>
      <c r="R581" t="s">
        <v>5457</v>
      </c>
      <c r="U581" t="s">
        <v>491</v>
      </c>
      <c r="X581">
        <v>0</v>
      </c>
    </row>
    <row r="582" spans="1:24" x14ac:dyDescent="0.25">
      <c r="A582" s="234">
        <v>42717</v>
      </c>
      <c r="B582" t="s">
        <v>328</v>
      </c>
      <c r="C582" t="s">
        <v>603</v>
      </c>
      <c r="D582" t="s">
        <v>1471</v>
      </c>
      <c r="E582" t="s">
        <v>588</v>
      </c>
      <c r="F582" t="s">
        <v>5015</v>
      </c>
      <c r="H582" t="s">
        <v>607</v>
      </c>
      <c r="I582" t="s">
        <v>5016</v>
      </c>
      <c r="J582" t="s">
        <v>3368</v>
      </c>
      <c r="L582">
        <v>2</v>
      </c>
      <c r="M582" s="134">
        <v>75000</v>
      </c>
      <c r="N582" s="134">
        <v>112500</v>
      </c>
      <c r="O582" t="s">
        <v>3107</v>
      </c>
      <c r="P582" t="s">
        <v>5017</v>
      </c>
      <c r="Q582" t="s">
        <v>1612</v>
      </c>
      <c r="R582" t="s">
        <v>5018</v>
      </c>
      <c r="S582" t="s">
        <v>5026</v>
      </c>
      <c r="X582">
        <v>0</v>
      </c>
    </row>
    <row r="583" spans="1:24" x14ac:dyDescent="0.25">
      <c r="A583" s="234">
        <v>43137</v>
      </c>
      <c r="B583" t="s">
        <v>328</v>
      </c>
      <c r="C583" t="s">
        <v>603</v>
      </c>
      <c r="D583" t="s">
        <v>649</v>
      </c>
      <c r="E583" t="s">
        <v>588</v>
      </c>
      <c r="F583" t="s">
        <v>10241</v>
      </c>
      <c r="G583" t="s">
        <v>10242</v>
      </c>
      <c r="H583" t="s">
        <v>607</v>
      </c>
      <c r="I583" t="s">
        <v>10243</v>
      </c>
      <c r="J583" t="s">
        <v>3751</v>
      </c>
      <c r="L583">
        <v>4</v>
      </c>
      <c r="M583" s="134">
        <v>75000</v>
      </c>
      <c r="N583" s="134">
        <v>125000</v>
      </c>
      <c r="O583" t="s">
        <v>4533</v>
      </c>
      <c r="P583" t="s">
        <v>10244</v>
      </c>
      <c r="Q583" t="s">
        <v>1939</v>
      </c>
      <c r="R583" t="s">
        <v>10439</v>
      </c>
      <c r="U583" t="s">
        <v>491</v>
      </c>
      <c r="X583">
        <v>0</v>
      </c>
    </row>
    <row r="584" spans="1:24" x14ac:dyDescent="0.25">
      <c r="A584" s="234">
        <v>42726</v>
      </c>
      <c r="B584" t="s">
        <v>328</v>
      </c>
      <c r="C584" t="s">
        <v>603</v>
      </c>
      <c r="D584" t="s">
        <v>672</v>
      </c>
      <c r="E584" t="s">
        <v>588</v>
      </c>
      <c r="F584" t="s">
        <v>5118</v>
      </c>
      <c r="H584" t="s">
        <v>1057</v>
      </c>
      <c r="I584" t="s">
        <v>3557</v>
      </c>
      <c r="J584" t="s">
        <v>899</v>
      </c>
      <c r="L584">
        <v>3</v>
      </c>
      <c r="M584" s="134">
        <v>75000</v>
      </c>
      <c r="N584" s="134">
        <v>195000</v>
      </c>
      <c r="O584" t="s">
        <v>695</v>
      </c>
      <c r="P584" t="s">
        <v>5119</v>
      </c>
      <c r="Q584" t="s">
        <v>1939</v>
      </c>
      <c r="R584" t="s">
        <v>5120</v>
      </c>
      <c r="U584" t="s">
        <v>491</v>
      </c>
      <c r="X584">
        <v>0</v>
      </c>
    </row>
    <row r="585" spans="1:24" x14ac:dyDescent="0.25">
      <c r="A585" s="234">
        <v>42765</v>
      </c>
      <c r="B585" t="s">
        <v>328</v>
      </c>
      <c r="C585" t="s">
        <v>603</v>
      </c>
      <c r="D585" t="s">
        <v>2397</v>
      </c>
      <c r="E585" t="s">
        <v>588</v>
      </c>
      <c r="F585" t="s">
        <v>5506</v>
      </c>
      <c r="H585" t="s">
        <v>5507</v>
      </c>
      <c r="I585" t="s">
        <v>5508</v>
      </c>
      <c r="J585" t="s">
        <v>5509</v>
      </c>
      <c r="L585" t="s">
        <v>5341</v>
      </c>
      <c r="M585" s="134">
        <v>75000</v>
      </c>
      <c r="N585" s="134">
        <v>425000</v>
      </c>
      <c r="O585" t="s">
        <v>5510</v>
      </c>
      <c r="P585" t="s">
        <v>5511</v>
      </c>
      <c r="Q585" t="s">
        <v>592</v>
      </c>
      <c r="U585" t="s">
        <v>491</v>
      </c>
      <c r="X585">
        <v>0</v>
      </c>
    </row>
    <row r="586" spans="1:24" x14ac:dyDescent="0.25">
      <c r="A586" s="234">
        <v>43040</v>
      </c>
      <c r="B586" t="s">
        <v>328</v>
      </c>
      <c r="C586" t="s">
        <v>603</v>
      </c>
      <c r="D586" t="s">
        <v>2397</v>
      </c>
      <c r="E586" t="s">
        <v>588</v>
      </c>
      <c r="F586" t="s">
        <v>9304</v>
      </c>
      <c r="G586" t="s">
        <v>9305</v>
      </c>
      <c r="H586" t="s">
        <v>1391</v>
      </c>
      <c r="J586" t="s">
        <v>5402</v>
      </c>
      <c r="L586">
        <v>10</v>
      </c>
      <c r="M586" s="134">
        <v>76000</v>
      </c>
      <c r="N586" s="134">
        <v>114000</v>
      </c>
      <c r="O586" t="s">
        <v>2886</v>
      </c>
      <c r="P586" t="s">
        <v>9306</v>
      </c>
      <c r="Q586" t="s">
        <v>592</v>
      </c>
      <c r="R586" t="s">
        <v>9307</v>
      </c>
      <c r="U586" t="s">
        <v>1327</v>
      </c>
      <c r="X586">
        <v>0</v>
      </c>
    </row>
    <row r="587" spans="1:24" x14ac:dyDescent="0.25">
      <c r="A587" s="234">
        <v>43487</v>
      </c>
      <c r="B587" t="s">
        <v>9240</v>
      </c>
      <c r="C587" t="s">
        <v>603</v>
      </c>
      <c r="D587" t="s">
        <v>7814</v>
      </c>
      <c r="F587" t="s">
        <v>9051</v>
      </c>
      <c r="G587" t="s">
        <v>7911</v>
      </c>
      <c r="H587" t="s">
        <v>607</v>
      </c>
      <c r="I587" t="s">
        <v>14079</v>
      </c>
      <c r="J587" t="s">
        <v>3368</v>
      </c>
      <c r="K587" t="s">
        <v>14080</v>
      </c>
      <c r="L587">
        <v>6</v>
      </c>
      <c r="M587" s="134">
        <v>77000</v>
      </c>
      <c r="N587" s="134">
        <v>119000</v>
      </c>
      <c r="O587" t="s">
        <v>2295</v>
      </c>
      <c r="P587" t="s">
        <v>14247</v>
      </c>
      <c r="Q587" t="s">
        <v>29</v>
      </c>
      <c r="R587" t="s">
        <v>14248</v>
      </c>
      <c r="U587" t="s">
        <v>12797</v>
      </c>
      <c r="X587">
        <v>1</v>
      </c>
    </row>
    <row r="588" spans="1:24" x14ac:dyDescent="0.25">
      <c r="A588" s="234">
        <v>42670</v>
      </c>
      <c r="B588" t="s">
        <v>1486</v>
      </c>
      <c r="C588" t="s">
        <v>1883</v>
      </c>
      <c r="D588" t="s">
        <v>595</v>
      </c>
      <c r="E588" t="s">
        <v>821</v>
      </c>
      <c r="F588" t="s">
        <v>4522</v>
      </c>
      <c r="H588" t="s">
        <v>722</v>
      </c>
      <c r="I588" t="s">
        <v>4523</v>
      </c>
      <c r="J588" t="s">
        <v>603</v>
      </c>
      <c r="M588" s="134">
        <v>80000</v>
      </c>
      <c r="N588" s="134">
        <v>0</v>
      </c>
      <c r="P588" t="s">
        <v>4524</v>
      </c>
      <c r="Q588" t="s">
        <v>620</v>
      </c>
      <c r="R588" t="s">
        <v>4525</v>
      </c>
      <c r="U588" t="s">
        <v>491</v>
      </c>
      <c r="X588">
        <v>0</v>
      </c>
    </row>
    <row r="589" spans="1:24" x14ac:dyDescent="0.25">
      <c r="A589" s="234">
        <v>42577</v>
      </c>
      <c r="B589" t="s">
        <v>643</v>
      </c>
      <c r="C589" t="s">
        <v>644</v>
      </c>
      <c r="D589" t="s">
        <v>645</v>
      </c>
      <c r="E589" t="s">
        <v>588</v>
      </c>
      <c r="F589" t="s">
        <v>3038</v>
      </c>
      <c r="H589" t="s">
        <v>722</v>
      </c>
      <c r="I589" t="s">
        <v>2062</v>
      </c>
      <c r="M589" s="134">
        <v>80000</v>
      </c>
      <c r="N589" s="134">
        <v>85000</v>
      </c>
      <c r="O589" t="s">
        <v>764</v>
      </c>
      <c r="P589" t="s">
        <v>3039</v>
      </c>
      <c r="Q589" t="s">
        <v>29</v>
      </c>
      <c r="U589" t="s">
        <v>491</v>
      </c>
      <c r="X589">
        <v>1</v>
      </c>
    </row>
    <row r="590" spans="1:24" x14ac:dyDescent="0.25">
      <c r="A590" s="234">
        <v>42886</v>
      </c>
      <c r="B590" t="s">
        <v>643</v>
      </c>
      <c r="C590" t="s">
        <v>644</v>
      </c>
      <c r="D590" t="s">
        <v>645</v>
      </c>
      <c r="E590" t="s">
        <v>588</v>
      </c>
      <c r="F590" t="s">
        <v>9743</v>
      </c>
      <c r="G590" t="s">
        <v>9744</v>
      </c>
      <c r="H590" t="s">
        <v>1391</v>
      </c>
      <c r="I590" t="s">
        <v>5165</v>
      </c>
      <c r="J590" t="s">
        <v>644</v>
      </c>
      <c r="L590">
        <v>10</v>
      </c>
      <c r="M590" s="134">
        <v>80000</v>
      </c>
      <c r="N590" s="134">
        <v>92500</v>
      </c>
      <c r="O590" t="s">
        <v>764</v>
      </c>
      <c r="P590" t="s">
        <v>6983</v>
      </c>
      <c r="Q590" t="s">
        <v>1612</v>
      </c>
      <c r="R590" t="s">
        <v>9745</v>
      </c>
      <c r="U590" t="s">
        <v>491</v>
      </c>
      <c r="X590">
        <v>0</v>
      </c>
    </row>
    <row r="591" spans="1:24" x14ac:dyDescent="0.25">
      <c r="A591" s="234">
        <v>42573</v>
      </c>
      <c r="B591" t="s">
        <v>328</v>
      </c>
      <c r="C591" t="s">
        <v>603</v>
      </c>
      <c r="D591" t="s">
        <v>1401</v>
      </c>
      <c r="E591" t="s">
        <v>588</v>
      </c>
      <c r="F591" t="s">
        <v>2995</v>
      </c>
      <c r="H591" t="s">
        <v>2999</v>
      </c>
      <c r="I591" t="s">
        <v>2996</v>
      </c>
      <c r="M591" s="134">
        <v>80000</v>
      </c>
      <c r="N591" s="134">
        <v>95000</v>
      </c>
      <c r="O591" t="s">
        <v>2680</v>
      </c>
      <c r="P591" t="s">
        <v>2997</v>
      </c>
      <c r="Q591" t="s">
        <v>29</v>
      </c>
      <c r="U591" t="s">
        <v>491</v>
      </c>
      <c r="X591">
        <v>1</v>
      </c>
    </row>
    <row r="592" spans="1:24" x14ac:dyDescent="0.25">
      <c r="A592" s="234">
        <v>42993</v>
      </c>
      <c r="B592" t="s">
        <v>328</v>
      </c>
      <c r="C592" t="s">
        <v>603</v>
      </c>
      <c r="D592" t="s">
        <v>649</v>
      </c>
      <c r="E592" t="s">
        <v>588</v>
      </c>
      <c r="F592" t="s">
        <v>7990</v>
      </c>
      <c r="G592" t="s">
        <v>8580</v>
      </c>
      <c r="H592" t="s">
        <v>607</v>
      </c>
      <c r="I592" t="s">
        <v>8581</v>
      </c>
      <c r="J592" t="s">
        <v>3533</v>
      </c>
      <c r="L592">
        <v>2</v>
      </c>
      <c r="M592" s="134">
        <v>80000</v>
      </c>
      <c r="N592" s="134">
        <v>140000</v>
      </c>
      <c r="O592" t="s">
        <v>8582</v>
      </c>
      <c r="P592" t="s">
        <v>8583</v>
      </c>
      <c r="Q592" t="s">
        <v>29</v>
      </c>
      <c r="R592" t="s">
        <v>8584</v>
      </c>
      <c r="S592" t="s">
        <v>8585</v>
      </c>
      <c r="T592">
        <v>28</v>
      </c>
      <c r="U592" t="s">
        <v>491</v>
      </c>
      <c r="X592">
        <v>1</v>
      </c>
    </row>
    <row r="593" spans="1:24" x14ac:dyDescent="0.25">
      <c r="A593" s="234">
        <v>43490</v>
      </c>
      <c r="B593" t="s">
        <v>9240</v>
      </c>
      <c r="C593" t="s">
        <v>603</v>
      </c>
      <c r="D593" t="s">
        <v>9241</v>
      </c>
      <c r="F593" t="s">
        <v>14173</v>
      </c>
      <c r="G593" t="s">
        <v>9461</v>
      </c>
      <c r="H593" t="s">
        <v>10829</v>
      </c>
      <c r="I593" t="s">
        <v>11599</v>
      </c>
      <c r="J593" t="s">
        <v>603</v>
      </c>
      <c r="K593" t="s">
        <v>14175</v>
      </c>
      <c r="L593">
        <v>9</v>
      </c>
      <c r="M593" s="134">
        <v>83000</v>
      </c>
      <c r="N593" s="134">
        <v>91300</v>
      </c>
      <c r="O593" t="s">
        <v>10763</v>
      </c>
      <c r="P593" t="s">
        <v>14174</v>
      </c>
      <c r="Q593" t="s">
        <v>620</v>
      </c>
      <c r="R593" t="s">
        <v>14252</v>
      </c>
      <c r="S593" t="s">
        <v>14253</v>
      </c>
      <c r="U593" t="s">
        <v>12797</v>
      </c>
      <c r="X593">
        <v>0</v>
      </c>
    </row>
    <row r="594" spans="1:24" x14ac:dyDescent="0.25">
      <c r="A594" s="234">
        <v>42653</v>
      </c>
      <c r="B594" t="s">
        <v>643</v>
      </c>
      <c r="C594" t="s">
        <v>4228</v>
      </c>
      <c r="D594" t="s">
        <v>625</v>
      </c>
      <c r="E594" t="s">
        <v>588</v>
      </c>
      <c r="F594" t="s">
        <v>4229</v>
      </c>
      <c r="H594" t="s">
        <v>1119</v>
      </c>
      <c r="I594" t="s">
        <v>4230</v>
      </c>
      <c r="J594" t="s">
        <v>644</v>
      </c>
      <c r="L594">
        <v>4</v>
      </c>
      <c r="M594" s="134">
        <v>84000</v>
      </c>
      <c r="N594" s="134">
        <v>0</v>
      </c>
      <c r="O594" t="s">
        <v>4231</v>
      </c>
      <c r="P594" t="s">
        <v>4232</v>
      </c>
      <c r="Q594" t="s">
        <v>29</v>
      </c>
      <c r="R594" t="s">
        <v>4233</v>
      </c>
      <c r="U594" t="s">
        <v>1327</v>
      </c>
      <c r="X594">
        <v>1</v>
      </c>
    </row>
    <row r="595" spans="1:24" x14ac:dyDescent="0.25">
      <c r="A595" s="234">
        <v>43396</v>
      </c>
      <c r="B595" t="s">
        <v>328</v>
      </c>
      <c r="C595" t="s">
        <v>603</v>
      </c>
      <c r="D595" t="s">
        <v>7595</v>
      </c>
      <c r="F595" t="s">
        <v>13002</v>
      </c>
      <c r="G595" t="s">
        <v>8891</v>
      </c>
      <c r="H595" t="s">
        <v>10831</v>
      </c>
      <c r="I595" t="s">
        <v>13004</v>
      </c>
      <c r="J595" t="s">
        <v>644</v>
      </c>
      <c r="K595">
        <v>81069</v>
      </c>
      <c r="L595">
        <v>10</v>
      </c>
      <c r="M595" s="134">
        <v>84000</v>
      </c>
      <c r="N595" s="134">
        <v>110800</v>
      </c>
      <c r="O595" t="s">
        <v>7124</v>
      </c>
      <c r="P595" t="s">
        <v>13003</v>
      </c>
      <c r="Q595" t="s">
        <v>1939</v>
      </c>
      <c r="R595" t="s">
        <v>13005</v>
      </c>
      <c r="U595" t="s">
        <v>12344</v>
      </c>
      <c r="X595">
        <v>0</v>
      </c>
    </row>
    <row r="596" spans="1:24" x14ac:dyDescent="0.25">
      <c r="A596" s="234">
        <v>42788</v>
      </c>
      <c r="B596" t="s">
        <v>328</v>
      </c>
      <c r="C596" t="s">
        <v>603</v>
      </c>
      <c r="D596" t="s">
        <v>649</v>
      </c>
      <c r="E596" t="s">
        <v>588</v>
      </c>
      <c r="F596" t="s">
        <v>5765</v>
      </c>
      <c r="H596" t="s">
        <v>607</v>
      </c>
      <c r="I596" t="s">
        <v>5766</v>
      </c>
      <c r="J596" t="s">
        <v>608</v>
      </c>
      <c r="L596">
        <v>4</v>
      </c>
      <c r="M596" s="134">
        <v>85000</v>
      </c>
      <c r="N596" s="134">
        <v>127500</v>
      </c>
      <c r="O596" t="s">
        <v>3952</v>
      </c>
      <c r="P596" t="s">
        <v>5767</v>
      </c>
      <c r="Q596" t="s">
        <v>620</v>
      </c>
      <c r="R596" t="s">
        <v>5768</v>
      </c>
      <c r="U596" t="s">
        <v>491</v>
      </c>
      <c r="X596">
        <v>0</v>
      </c>
    </row>
    <row r="597" spans="1:24" x14ac:dyDescent="0.25">
      <c r="A597" s="234">
        <v>43567</v>
      </c>
      <c r="B597" t="s">
        <v>328</v>
      </c>
      <c r="C597" t="s">
        <v>603</v>
      </c>
      <c r="D597" t="s">
        <v>2500</v>
      </c>
      <c r="F597" t="s">
        <v>13549</v>
      </c>
      <c r="G597" t="s">
        <v>10007</v>
      </c>
      <c r="H597" t="s">
        <v>607</v>
      </c>
      <c r="I597" t="s">
        <v>15076</v>
      </c>
      <c r="J597" t="s">
        <v>15077</v>
      </c>
      <c r="K597" t="s">
        <v>15078</v>
      </c>
      <c r="L597">
        <v>3</v>
      </c>
      <c r="M597" s="134">
        <v>85000</v>
      </c>
      <c r="N597" s="134">
        <v>143500</v>
      </c>
      <c r="O597" t="s">
        <v>10762</v>
      </c>
      <c r="P597" t="s">
        <v>15079</v>
      </c>
      <c r="Q597" t="s">
        <v>1939</v>
      </c>
      <c r="R597" t="s">
        <v>15081</v>
      </c>
      <c r="S597" t="s">
        <v>15080</v>
      </c>
      <c r="U597" t="s">
        <v>491</v>
      </c>
      <c r="X597">
        <v>0</v>
      </c>
    </row>
    <row r="598" spans="1:24" x14ac:dyDescent="0.25">
      <c r="A598" s="234">
        <v>42578</v>
      </c>
      <c r="B598" t="s">
        <v>328</v>
      </c>
      <c r="C598" t="s">
        <v>603</v>
      </c>
      <c r="D598" t="s">
        <v>1401</v>
      </c>
      <c r="E598" t="s">
        <v>588</v>
      </c>
      <c r="F598" t="s">
        <v>3094</v>
      </c>
      <c r="H598" t="s">
        <v>3095</v>
      </c>
      <c r="I598" t="s">
        <v>3096</v>
      </c>
      <c r="M598" s="134">
        <v>87000</v>
      </c>
      <c r="N598" s="134">
        <v>135700</v>
      </c>
      <c r="O598" t="s">
        <v>3097</v>
      </c>
      <c r="P598" t="s">
        <v>3099</v>
      </c>
      <c r="Q598" t="s">
        <v>1939</v>
      </c>
      <c r="R598" t="s">
        <v>3098</v>
      </c>
      <c r="U598" t="s">
        <v>491</v>
      </c>
      <c r="X598">
        <v>0</v>
      </c>
    </row>
    <row r="599" spans="1:24" x14ac:dyDescent="0.25">
      <c r="A599" s="234">
        <v>42794</v>
      </c>
      <c r="B599" t="s">
        <v>328</v>
      </c>
      <c r="C599" t="s">
        <v>603</v>
      </c>
      <c r="D599" t="s">
        <v>2397</v>
      </c>
      <c r="E599" t="s">
        <v>588</v>
      </c>
      <c r="F599" t="s">
        <v>5824</v>
      </c>
      <c r="H599" t="s">
        <v>1391</v>
      </c>
      <c r="I599" t="s">
        <v>5825</v>
      </c>
      <c r="J599" t="s">
        <v>3751</v>
      </c>
      <c r="M599" s="134">
        <v>87300</v>
      </c>
      <c r="N599" s="134">
        <v>193420</v>
      </c>
      <c r="O599" t="s">
        <v>3107</v>
      </c>
      <c r="P599" t="s">
        <v>5826</v>
      </c>
      <c r="Q599" t="s">
        <v>1939</v>
      </c>
      <c r="R599" t="s">
        <v>5827</v>
      </c>
      <c r="U599" t="s">
        <v>491</v>
      </c>
      <c r="X599">
        <v>0</v>
      </c>
    </row>
    <row r="600" spans="1:24" x14ac:dyDescent="0.25">
      <c r="A600" s="234">
        <v>42915</v>
      </c>
      <c r="B600" t="s">
        <v>328</v>
      </c>
      <c r="C600" t="s">
        <v>603</v>
      </c>
      <c r="D600" t="s">
        <v>5701</v>
      </c>
      <c r="E600" t="s">
        <v>588</v>
      </c>
      <c r="F600" t="s">
        <v>7437</v>
      </c>
      <c r="H600" t="s">
        <v>7247</v>
      </c>
      <c r="I600" t="s">
        <v>7438</v>
      </c>
      <c r="J600" t="s">
        <v>3733</v>
      </c>
      <c r="L600">
        <v>3</v>
      </c>
      <c r="M600" s="134">
        <v>89000</v>
      </c>
      <c r="N600" s="134">
        <v>189000</v>
      </c>
      <c r="O600" t="s">
        <v>6027</v>
      </c>
      <c r="P600" t="s">
        <v>7439</v>
      </c>
      <c r="Q600" t="s">
        <v>1939</v>
      </c>
      <c r="R600" t="s">
        <v>7440</v>
      </c>
      <c r="U600" t="s">
        <v>491</v>
      </c>
      <c r="X600">
        <v>0</v>
      </c>
    </row>
    <row r="601" spans="1:24" x14ac:dyDescent="0.25">
      <c r="A601" s="234">
        <v>42608</v>
      </c>
      <c r="B601" t="s">
        <v>328</v>
      </c>
      <c r="C601" t="s">
        <v>603</v>
      </c>
      <c r="D601" t="s">
        <v>1401</v>
      </c>
      <c r="E601" t="s">
        <v>588</v>
      </c>
      <c r="F601" t="s">
        <v>3654</v>
      </c>
      <c r="H601" t="s">
        <v>3095</v>
      </c>
      <c r="I601" t="s">
        <v>3652</v>
      </c>
      <c r="J601" t="s">
        <v>604</v>
      </c>
      <c r="M601" s="134">
        <v>90000</v>
      </c>
      <c r="N601" s="134">
        <v>94000</v>
      </c>
      <c r="O601" t="s">
        <v>3653</v>
      </c>
      <c r="P601" t="s">
        <v>3655</v>
      </c>
      <c r="Q601" t="s">
        <v>592</v>
      </c>
      <c r="U601" t="s">
        <v>491</v>
      </c>
      <c r="X601">
        <v>0</v>
      </c>
    </row>
    <row r="602" spans="1:24" x14ac:dyDescent="0.25">
      <c r="A602" s="234">
        <v>42660</v>
      </c>
      <c r="B602" t="s">
        <v>328</v>
      </c>
      <c r="C602" t="s">
        <v>603</v>
      </c>
      <c r="D602" t="s">
        <v>2397</v>
      </c>
      <c r="E602" t="s">
        <v>588</v>
      </c>
      <c r="F602" t="s">
        <v>4353</v>
      </c>
      <c r="H602" t="s">
        <v>905</v>
      </c>
      <c r="I602" t="s">
        <v>4354</v>
      </c>
      <c r="J602" t="s">
        <v>604</v>
      </c>
      <c r="L602">
        <v>6</v>
      </c>
      <c r="M602" s="134">
        <v>91000</v>
      </c>
      <c r="N602" s="134">
        <v>96000</v>
      </c>
      <c r="O602" t="s">
        <v>3107</v>
      </c>
      <c r="P602" t="s">
        <v>4355</v>
      </c>
      <c r="Q602" t="s">
        <v>620</v>
      </c>
      <c r="R602" t="s">
        <v>16006</v>
      </c>
      <c r="U602" t="s">
        <v>491</v>
      </c>
      <c r="X602">
        <v>0</v>
      </c>
    </row>
    <row r="603" spans="1:24" x14ac:dyDescent="0.25">
      <c r="A603" s="234">
        <v>43329</v>
      </c>
      <c r="B603" t="s">
        <v>328</v>
      </c>
      <c r="C603" t="s">
        <v>603</v>
      </c>
      <c r="D603" t="s">
        <v>649</v>
      </c>
      <c r="E603" t="s">
        <v>588</v>
      </c>
      <c r="F603" t="s">
        <v>12376</v>
      </c>
      <c r="G603" t="s">
        <v>12377</v>
      </c>
      <c r="H603" t="s">
        <v>10831</v>
      </c>
      <c r="J603" t="s">
        <v>603</v>
      </c>
      <c r="L603">
        <v>10</v>
      </c>
      <c r="M603" s="134">
        <v>91000</v>
      </c>
      <c r="N603" s="134">
        <v>143300</v>
      </c>
      <c r="O603" t="s">
        <v>7124</v>
      </c>
      <c r="P603" t="s">
        <v>12505</v>
      </c>
      <c r="Q603" t="s">
        <v>1939</v>
      </c>
      <c r="R603" t="s">
        <v>12378</v>
      </c>
      <c r="U603" t="s">
        <v>1327</v>
      </c>
      <c r="X603">
        <v>0</v>
      </c>
    </row>
    <row r="604" spans="1:24" x14ac:dyDescent="0.25">
      <c r="A604" s="234">
        <v>42815</v>
      </c>
      <c r="B604" t="s">
        <v>643</v>
      </c>
      <c r="C604" t="s">
        <v>644</v>
      </c>
      <c r="D604" t="s">
        <v>645</v>
      </c>
      <c r="E604" t="s">
        <v>588</v>
      </c>
      <c r="F604" t="s">
        <v>6039</v>
      </c>
      <c r="H604" t="s">
        <v>722</v>
      </c>
      <c r="I604" t="s">
        <v>5626</v>
      </c>
      <c r="J604" t="s">
        <v>644</v>
      </c>
      <c r="L604">
        <v>10</v>
      </c>
      <c r="M604" s="134">
        <v>95000</v>
      </c>
      <c r="N604" s="134">
        <v>160000</v>
      </c>
      <c r="O604" t="s">
        <v>2680</v>
      </c>
      <c r="P604" t="s">
        <v>6040</v>
      </c>
      <c r="Q604" t="s">
        <v>1939</v>
      </c>
      <c r="R604" t="s">
        <v>6041</v>
      </c>
      <c r="U604" t="s">
        <v>491</v>
      </c>
      <c r="X604">
        <v>0</v>
      </c>
    </row>
    <row r="605" spans="1:24" x14ac:dyDescent="0.25">
      <c r="A605" s="234">
        <v>42773</v>
      </c>
      <c r="B605" t="s">
        <v>328</v>
      </c>
      <c r="C605" t="s">
        <v>603</v>
      </c>
      <c r="D605" t="s">
        <v>1401</v>
      </c>
      <c r="E605" t="s">
        <v>588</v>
      </c>
      <c r="F605" t="s">
        <v>5625</v>
      </c>
      <c r="H605" t="s">
        <v>3277</v>
      </c>
      <c r="I605" t="s">
        <v>5626</v>
      </c>
      <c r="J605" t="s">
        <v>644</v>
      </c>
      <c r="L605">
        <v>5</v>
      </c>
      <c r="M605" s="134">
        <v>97000</v>
      </c>
      <c r="N605" s="134">
        <v>166100</v>
      </c>
      <c r="O605" t="s">
        <v>1120</v>
      </c>
      <c r="P605" t="s">
        <v>5627</v>
      </c>
      <c r="Q605" t="s">
        <v>592</v>
      </c>
      <c r="R605" t="s">
        <v>5628</v>
      </c>
      <c r="U605" t="s">
        <v>491</v>
      </c>
      <c r="X605">
        <v>0</v>
      </c>
    </row>
    <row r="606" spans="1:24" x14ac:dyDescent="0.25">
      <c r="A606" s="234">
        <v>42418</v>
      </c>
      <c r="B606" t="s">
        <v>328</v>
      </c>
      <c r="C606" t="s">
        <v>603</v>
      </c>
      <c r="D606" t="s">
        <v>649</v>
      </c>
      <c r="E606" t="s">
        <v>692</v>
      </c>
      <c r="F606" t="s">
        <v>1056</v>
      </c>
      <c r="H606" t="s">
        <v>1057</v>
      </c>
      <c r="I606" t="s">
        <v>1058</v>
      </c>
      <c r="M606" s="134">
        <v>98000</v>
      </c>
      <c r="N606" s="134">
        <v>192000</v>
      </c>
      <c r="O606" t="s">
        <v>1059</v>
      </c>
      <c r="P606" t="s">
        <v>1060</v>
      </c>
      <c r="Q606" t="s">
        <v>592</v>
      </c>
      <c r="R606" t="s">
        <v>1090</v>
      </c>
      <c r="U606" t="s">
        <v>491</v>
      </c>
      <c r="X606">
        <v>0</v>
      </c>
    </row>
    <row r="607" spans="1:24" x14ac:dyDescent="0.25">
      <c r="A607" s="234">
        <v>43544</v>
      </c>
      <c r="B607" t="s">
        <v>328</v>
      </c>
      <c r="C607" t="s">
        <v>603</v>
      </c>
      <c r="D607" t="s">
        <v>1401</v>
      </c>
      <c r="F607" t="s">
        <v>14785</v>
      </c>
      <c r="H607" t="s">
        <v>10831</v>
      </c>
      <c r="I607" t="s">
        <v>14786</v>
      </c>
      <c r="J607" t="s">
        <v>3733</v>
      </c>
      <c r="K607" t="s">
        <v>14787</v>
      </c>
      <c r="L607">
        <v>9</v>
      </c>
      <c r="M607" s="134">
        <v>98000</v>
      </c>
      <c r="N607" s="134">
        <v>264600</v>
      </c>
      <c r="O607" t="s">
        <v>7564</v>
      </c>
      <c r="P607" t="s">
        <v>14788</v>
      </c>
      <c r="Q607" t="s">
        <v>29</v>
      </c>
      <c r="R607" t="s">
        <v>14789</v>
      </c>
      <c r="U607" t="s">
        <v>12797</v>
      </c>
      <c r="X607">
        <v>1</v>
      </c>
    </row>
    <row r="608" spans="1:24" x14ac:dyDescent="0.25">
      <c r="A608" s="234">
        <v>42830</v>
      </c>
      <c r="B608" t="s">
        <v>328</v>
      </c>
      <c r="C608" t="s">
        <v>603</v>
      </c>
      <c r="D608" t="s">
        <v>1401</v>
      </c>
      <c r="E608" t="s">
        <v>588</v>
      </c>
      <c r="F608" t="s">
        <v>1606</v>
      </c>
      <c r="H608" t="s">
        <v>6255</v>
      </c>
      <c r="J608" t="s">
        <v>644</v>
      </c>
      <c r="L608">
        <v>10</v>
      </c>
      <c r="M608" s="134">
        <v>100000</v>
      </c>
      <c r="N608" s="134">
        <v>0</v>
      </c>
      <c r="O608" t="s">
        <v>3886</v>
      </c>
      <c r="P608" t="s">
        <v>6256</v>
      </c>
      <c r="Q608" t="s">
        <v>592</v>
      </c>
      <c r="R608" t="s">
        <v>6257</v>
      </c>
      <c r="S608" t="s">
        <v>6258</v>
      </c>
      <c r="U608" t="s">
        <v>491</v>
      </c>
      <c r="X608">
        <v>0</v>
      </c>
    </row>
    <row r="609" spans="1:24" x14ac:dyDescent="0.25">
      <c r="A609" s="234">
        <v>43327</v>
      </c>
      <c r="B609" t="s">
        <v>328</v>
      </c>
      <c r="C609" t="s">
        <v>603</v>
      </c>
      <c r="D609" t="s">
        <v>1401</v>
      </c>
      <c r="E609" t="s">
        <v>588</v>
      </c>
      <c r="F609" t="s">
        <v>12225</v>
      </c>
      <c r="G609" t="s">
        <v>12225</v>
      </c>
      <c r="H609" t="s">
        <v>809</v>
      </c>
      <c r="I609" t="s">
        <v>12226</v>
      </c>
      <c r="J609" t="s">
        <v>3733</v>
      </c>
      <c r="L609">
        <v>5</v>
      </c>
      <c r="M609" s="134">
        <v>100000</v>
      </c>
      <c r="N609" s="134">
        <v>100000</v>
      </c>
      <c r="O609" t="s">
        <v>10764</v>
      </c>
      <c r="P609" t="s">
        <v>12503</v>
      </c>
      <c r="Q609" t="s">
        <v>1939</v>
      </c>
      <c r="R609" t="s">
        <v>12227</v>
      </c>
      <c r="U609" t="s">
        <v>1327</v>
      </c>
      <c r="X609">
        <v>0</v>
      </c>
    </row>
    <row r="610" spans="1:24" x14ac:dyDescent="0.25">
      <c r="A610" s="234">
        <v>43339</v>
      </c>
      <c r="B610" t="s">
        <v>328</v>
      </c>
      <c r="C610" t="s">
        <v>603</v>
      </c>
      <c r="D610" t="s">
        <v>8941</v>
      </c>
      <c r="E610" t="s">
        <v>588</v>
      </c>
      <c r="F610" t="s">
        <v>12340</v>
      </c>
      <c r="G610" t="s">
        <v>12341</v>
      </c>
      <c r="H610" t="s">
        <v>1050</v>
      </c>
      <c r="I610" t="s">
        <v>12091</v>
      </c>
      <c r="J610" t="s">
        <v>3751</v>
      </c>
      <c r="L610">
        <v>5</v>
      </c>
      <c r="M610" s="134">
        <v>100000</v>
      </c>
      <c r="N610" s="134">
        <v>100000</v>
      </c>
      <c r="O610" t="s">
        <v>2295</v>
      </c>
      <c r="P610" t="s">
        <v>12342</v>
      </c>
      <c r="Q610" t="s">
        <v>620</v>
      </c>
      <c r="R610" t="s">
        <v>12343</v>
      </c>
      <c r="U610" t="s">
        <v>491</v>
      </c>
      <c r="X610">
        <v>0</v>
      </c>
    </row>
    <row r="611" spans="1:24" x14ac:dyDescent="0.25">
      <c r="A611" s="234">
        <v>42472</v>
      </c>
      <c r="B611" t="s">
        <v>643</v>
      </c>
      <c r="C611" t="s">
        <v>644</v>
      </c>
      <c r="D611" t="s">
        <v>645</v>
      </c>
      <c r="E611" t="s">
        <v>588</v>
      </c>
      <c r="F611" t="s">
        <v>1606</v>
      </c>
      <c r="H611" t="s">
        <v>1050</v>
      </c>
      <c r="I611" t="s">
        <v>1607</v>
      </c>
      <c r="M611" s="134">
        <v>100000</v>
      </c>
      <c r="N611" s="134">
        <v>100000</v>
      </c>
      <c r="O611" t="s">
        <v>1609</v>
      </c>
      <c r="P611" t="s">
        <v>1610</v>
      </c>
      <c r="Q611" t="s">
        <v>592</v>
      </c>
      <c r="R611" t="s">
        <v>1611</v>
      </c>
      <c r="U611" t="s">
        <v>1327</v>
      </c>
      <c r="X611">
        <v>0</v>
      </c>
    </row>
    <row r="612" spans="1:24" x14ac:dyDescent="0.25">
      <c r="A612" s="234">
        <v>43160</v>
      </c>
      <c r="B612" t="s">
        <v>328</v>
      </c>
      <c r="C612" t="s">
        <v>603</v>
      </c>
      <c r="D612" t="s">
        <v>7595</v>
      </c>
      <c r="E612" t="s">
        <v>588</v>
      </c>
      <c r="F612" t="s">
        <v>10477</v>
      </c>
      <c r="G612" t="s">
        <v>7814</v>
      </c>
      <c r="H612" t="s">
        <v>905</v>
      </c>
      <c r="J612" t="s">
        <v>3533</v>
      </c>
      <c r="L612">
        <v>5</v>
      </c>
      <c r="M612" s="134">
        <v>100000</v>
      </c>
      <c r="N612" s="134">
        <v>100500</v>
      </c>
      <c r="O612" t="s">
        <v>4533</v>
      </c>
      <c r="P612" t="s">
        <v>10752</v>
      </c>
      <c r="Q612" t="s">
        <v>1939</v>
      </c>
      <c r="R612" t="s">
        <v>10478</v>
      </c>
      <c r="U612" t="s">
        <v>1327</v>
      </c>
      <c r="X612">
        <v>0</v>
      </c>
    </row>
    <row r="613" spans="1:24" x14ac:dyDescent="0.25">
      <c r="A613" s="234">
        <v>42577</v>
      </c>
      <c r="B613" t="s">
        <v>328</v>
      </c>
      <c r="C613" t="s">
        <v>603</v>
      </c>
      <c r="D613" t="s">
        <v>587</v>
      </c>
      <c r="E613" t="s">
        <v>588</v>
      </c>
      <c r="F613" t="s">
        <v>3029</v>
      </c>
      <c r="H613" t="s">
        <v>722</v>
      </c>
      <c r="I613" t="s">
        <v>3030</v>
      </c>
      <c r="M613" s="134">
        <v>100000</v>
      </c>
      <c r="N613" s="134">
        <v>105000</v>
      </c>
      <c r="O613" t="s">
        <v>3031</v>
      </c>
      <c r="P613" t="s">
        <v>3032</v>
      </c>
      <c r="Q613" t="s">
        <v>1612</v>
      </c>
      <c r="R613" t="s">
        <v>3033</v>
      </c>
      <c r="S613" t="s">
        <v>3405</v>
      </c>
      <c r="U613" t="s">
        <v>491</v>
      </c>
      <c r="X613">
        <v>0</v>
      </c>
    </row>
    <row r="614" spans="1:24" x14ac:dyDescent="0.25">
      <c r="A614" s="234">
        <v>43300</v>
      </c>
      <c r="B614" t="s">
        <v>328</v>
      </c>
      <c r="C614" t="s">
        <v>603</v>
      </c>
      <c r="D614" t="s">
        <v>8941</v>
      </c>
      <c r="E614" t="s">
        <v>588</v>
      </c>
      <c r="F614" t="s">
        <v>11856</v>
      </c>
      <c r="G614" t="s">
        <v>11856</v>
      </c>
      <c r="H614" t="s">
        <v>10829</v>
      </c>
      <c r="I614" t="s">
        <v>11857</v>
      </c>
      <c r="J614" t="s">
        <v>899</v>
      </c>
      <c r="L614">
        <v>10</v>
      </c>
      <c r="M614" s="134">
        <v>100000</v>
      </c>
      <c r="N614" s="134">
        <v>110000</v>
      </c>
      <c r="O614" t="s">
        <v>10765</v>
      </c>
      <c r="P614" t="s">
        <v>11858</v>
      </c>
      <c r="Q614" t="s">
        <v>29</v>
      </c>
      <c r="R614" t="s">
        <v>11859</v>
      </c>
      <c r="U614" t="s">
        <v>1327</v>
      </c>
      <c r="X614">
        <v>1</v>
      </c>
    </row>
    <row r="615" spans="1:24" x14ac:dyDescent="0.25">
      <c r="A615" s="234">
        <v>43171</v>
      </c>
      <c r="B615" t="s">
        <v>328</v>
      </c>
      <c r="C615" t="s">
        <v>603</v>
      </c>
      <c r="D615" t="s">
        <v>649</v>
      </c>
      <c r="E615" t="s">
        <v>588</v>
      </c>
      <c r="F615" t="s">
        <v>10562</v>
      </c>
      <c r="G615" t="s">
        <v>8941</v>
      </c>
      <c r="H615" t="s">
        <v>607</v>
      </c>
      <c r="J615" t="s">
        <v>3751</v>
      </c>
      <c r="M615" s="134">
        <v>100000</v>
      </c>
      <c r="N615" s="134">
        <v>115000</v>
      </c>
      <c r="O615" t="s">
        <v>4533</v>
      </c>
      <c r="P615" t="s">
        <v>10756</v>
      </c>
      <c r="Q615" t="s">
        <v>1939</v>
      </c>
      <c r="R615" t="s">
        <v>10563</v>
      </c>
      <c r="U615" t="s">
        <v>1327</v>
      </c>
      <c r="X615">
        <v>0</v>
      </c>
    </row>
    <row r="616" spans="1:24" x14ac:dyDescent="0.25">
      <c r="A616" s="234">
        <v>43622</v>
      </c>
      <c r="B616" t="s">
        <v>6076</v>
      </c>
      <c r="C616" t="s">
        <v>3370</v>
      </c>
      <c r="D616" t="s">
        <v>10524</v>
      </c>
      <c r="F616" t="s">
        <v>15952</v>
      </c>
      <c r="H616" t="s">
        <v>607</v>
      </c>
      <c r="I616" t="s">
        <v>15953</v>
      </c>
      <c r="J616" t="s">
        <v>3370</v>
      </c>
      <c r="K616" t="s">
        <v>15954</v>
      </c>
      <c r="L616">
        <v>10</v>
      </c>
      <c r="M616" s="134">
        <v>100000</v>
      </c>
      <c r="N616" s="134">
        <v>120000</v>
      </c>
      <c r="O616" t="s">
        <v>7124</v>
      </c>
      <c r="P616" t="s">
        <v>15955</v>
      </c>
      <c r="Q616" t="s">
        <v>1939</v>
      </c>
      <c r="R616" t="s">
        <v>15956</v>
      </c>
      <c r="U616" t="s">
        <v>491</v>
      </c>
      <c r="X616">
        <v>0</v>
      </c>
    </row>
    <row r="617" spans="1:24" x14ac:dyDescent="0.25">
      <c r="A617" s="234">
        <v>42681</v>
      </c>
      <c r="B617" t="s">
        <v>328</v>
      </c>
      <c r="C617" t="s">
        <v>603</v>
      </c>
      <c r="D617" t="s">
        <v>2397</v>
      </c>
      <c r="E617" t="s">
        <v>588</v>
      </c>
      <c r="F617" t="s">
        <v>4618</v>
      </c>
      <c r="H617" t="s">
        <v>607</v>
      </c>
      <c r="J617" t="s">
        <v>644</v>
      </c>
      <c r="L617">
        <v>8</v>
      </c>
      <c r="M617" s="134">
        <v>100000</v>
      </c>
      <c r="N617" s="134">
        <v>125000</v>
      </c>
      <c r="O617" t="s">
        <v>4619</v>
      </c>
      <c r="P617" t="s">
        <v>4620</v>
      </c>
      <c r="Q617" t="s">
        <v>620</v>
      </c>
      <c r="R617" t="s">
        <v>4621</v>
      </c>
      <c r="U617" t="s">
        <v>491</v>
      </c>
      <c r="X617">
        <v>0</v>
      </c>
    </row>
    <row r="618" spans="1:24" x14ac:dyDescent="0.25">
      <c r="A618" s="234">
        <v>43593</v>
      </c>
      <c r="B618" t="s">
        <v>13559</v>
      </c>
      <c r="C618" t="s">
        <v>602</v>
      </c>
      <c r="D618" t="s">
        <v>14639</v>
      </c>
      <c r="F618" t="s">
        <v>9019</v>
      </c>
      <c r="G618" t="s">
        <v>9545</v>
      </c>
      <c r="H618" t="s">
        <v>10831</v>
      </c>
      <c r="I618" t="s">
        <v>15459</v>
      </c>
      <c r="J618" t="s">
        <v>602</v>
      </c>
      <c r="K618" t="s">
        <v>15460</v>
      </c>
      <c r="L618">
        <v>5</v>
      </c>
      <c r="M618" s="134">
        <v>100000</v>
      </c>
      <c r="N618" s="134">
        <v>130000</v>
      </c>
      <c r="O618" t="s">
        <v>10762</v>
      </c>
      <c r="P618" t="s">
        <v>15461</v>
      </c>
      <c r="Q618" t="s">
        <v>1939</v>
      </c>
      <c r="R618" t="s">
        <v>15462</v>
      </c>
      <c r="U618" t="s">
        <v>491</v>
      </c>
      <c r="X618">
        <v>0</v>
      </c>
    </row>
    <row r="619" spans="1:24" x14ac:dyDescent="0.25">
      <c r="A619" s="234">
        <v>43434</v>
      </c>
      <c r="B619" t="s">
        <v>12367</v>
      </c>
      <c r="C619" t="s">
        <v>5610</v>
      </c>
      <c r="D619" t="s">
        <v>11338</v>
      </c>
      <c r="F619" t="s">
        <v>12042</v>
      </c>
      <c r="G619" t="s">
        <v>13369</v>
      </c>
      <c r="H619" t="s">
        <v>2510</v>
      </c>
      <c r="I619" t="s">
        <v>13370</v>
      </c>
      <c r="J619" t="s">
        <v>3523</v>
      </c>
      <c r="K619" t="s">
        <v>13371</v>
      </c>
      <c r="L619">
        <v>4</v>
      </c>
      <c r="M619" s="134">
        <v>100000</v>
      </c>
      <c r="N619" s="134">
        <v>130000</v>
      </c>
      <c r="O619" t="s">
        <v>10765</v>
      </c>
      <c r="P619" t="s">
        <v>13373</v>
      </c>
      <c r="Q619" t="s">
        <v>1939</v>
      </c>
      <c r="R619" t="s">
        <v>13374</v>
      </c>
      <c r="U619" t="s">
        <v>491</v>
      </c>
      <c r="X619">
        <v>0</v>
      </c>
    </row>
    <row r="620" spans="1:24" x14ac:dyDescent="0.25">
      <c r="A620" s="234">
        <v>42825</v>
      </c>
      <c r="B620" t="s">
        <v>643</v>
      </c>
      <c r="C620" t="s">
        <v>644</v>
      </c>
      <c r="D620" t="s">
        <v>645</v>
      </c>
      <c r="E620" t="s">
        <v>588</v>
      </c>
      <c r="F620" t="s">
        <v>1606</v>
      </c>
      <c r="H620" t="s">
        <v>6176</v>
      </c>
      <c r="I620" t="s">
        <v>4390</v>
      </c>
      <c r="J620" t="s">
        <v>644</v>
      </c>
      <c r="L620">
        <v>10</v>
      </c>
      <c r="M620" s="134">
        <v>100000</v>
      </c>
      <c r="N620" s="134">
        <v>130000</v>
      </c>
      <c r="O620" t="s">
        <v>2680</v>
      </c>
      <c r="P620" t="s">
        <v>6177</v>
      </c>
      <c r="Q620" t="s">
        <v>1939</v>
      </c>
      <c r="R620" t="s">
        <v>6566</v>
      </c>
      <c r="U620" t="s">
        <v>491</v>
      </c>
      <c r="X620">
        <v>0</v>
      </c>
    </row>
    <row r="621" spans="1:24" x14ac:dyDescent="0.25">
      <c r="A621" s="234">
        <v>42625</v>
      </c>
      <c r="B621" t="s">
        <v>320</v>
      </c>
      <c r="C621" t="s">
        <v>3888</v>
      </c>
      <c r="D621" t="s">
        <v>1016</v>
      </c>
      <c r="E621" t="s">
        <v>588</v>
      </c>
      <c r="F621" t="s">
        <v>3889</v>
      </c>
      <c r="H621" t="s">
        <v>607</v>
      </c>
      <c r="I621" t="s">
        <v>3855</v>
      </c>
      <c r="J621" t="s">
        <v>3856</v>
      </c>
      <c r="M621" s="134">
        <v>100000</v>
      </c>
      <c r="N621" s="134">
        <v>130000</v>
      </c>
      <c r="O621" t="s">
        <v>1033</v>
      </c>
      <c r="P621" t="s">
        <v>3890</v>
      </c>
      <c r="Q621" t="s">
        <v>29</v>
      </c>
      <c r="R621" t="s">
        <v>3891</v>
      </c>
      <c r="U621" t="s">
        <v>491</v>
      </c>
      <c r="X621">
        <v>1</v>
      </c>
    </row>
    <row r="622" spans="1:24" x14ac:dyDescent="0.25">
      <c r="A622" s="234">
        <v>43145</v>
      </c>
      <c r="B622" t="s">
        <v>5176</v>
      </c>
      <c r="C622" t="s">
        <v>604</v>
      </c>
      <c r="D622" t="s">
        <v>595</v>
      </c>
      <c r="E622" t="s">
        <v>588</v>
      </c>
      <c r="F622" t="s">
        <v>10330</v>
      </c>
      <c r="H622" t="s">
        <v>905</v>
      </c>
      <c r="I622" t="s">
        <v>10331</v>
      </c>
      <c r="J622" t="s">
        <v>4684</v>
      </c>
      <c r="L622">
        <v>9</v>
      </c>
      <c r="M622" s="134">
        <v>100000</v>
      </c>
      <c r="N622" s="134">
        <v>135000</v>
      </c>
      <c r="O622" t="s">
        <v>7124</v>
      </c>
      <c r="P622" t="s">
        <v>10332</v>
      </c>
      <c r="Q622" t="s">
        <v>1939</v>
      </c>
      <c r="R622" t="s">
        <v>10333</v>
      </c>
      <c r="U622" t="s">
        <v>491</v>
      </c>
      <c r="X622">
        <v>0</v>
      </c>
    </row>
    <row r="623" spans="1:24" x14ac:dyDescent="0.25">
      <c r="A623" s="234">
        <v>43594</v>
      </c>
      <c r="B623" t="s">
        <v>328</v>
      </c>
      <c r="C623" t="s">
        <v>603</v>
      </c>
      <c r="D623" t="s">
        <v>10338</v>
      </c>
      <c r="F623" t="s">
        <v>15482</v>
      </c>
      <c r="G623" t="s">
        <v>7855</v>
      </c>
      <c r="H623" t="s">
        <v>2510</v>
      </c>
      <c r="I623" t="s">
        <v>15483</v>
      </c>
      <c r="J623" t="s">
        <v>899</v>
      </c>
      <c r="K623" t="s">
        <v>15484</v>
      </c>
      <c r="L623">
        <v>5</v>
      </c>
      <c r="M623" s="134">
        <v>100000</v>
      </c>
      <c r="N623" s="134">
        <v>150000</v>
      </c>
      <c r="O623" t="s">
        <v>49</v>
      </c>
      <c r="P623" t="s">
        <v>15485</v>
      </c>
      <c r="Q623" t="s">
        <v>1939</v>
      </c>
      <c r="R623" t="s">
        <v>15486</v>
      </c>
      <c r="S623" t="s">
        <v>15845</v>
      </c>
      <c r="U623" t="s">
        <v>491</v>
      </c>
      <c r="X623">
        <v>0</v>
      </c>
    </row>
    <row r="624" spans="1:24" x14ac:dyDescent="0.25">
      <c r="A624" s="234">
        <v>43619</v>
      </c>
      <c r="B624" t="s">
        <v>328</v>
      </c>
      <c r="C624" t="s">
        <v>603</v>
      </c>
      <c r="D624" t="s">
        <v>10338</v>
      </c>
      <c r="F624" t="s">
        <v>15482</v>
      </c>
      <c r="G624" t="s">
        <v>7855</v>
      </c>
      <c r="H624" t="s">
        <v>2510</v>
      </c>
      <c r="I624" t="s">
        <v>15483</v>
      </c>
      <c r="J624" t="s">
        <v>899</v>
      </c>
      <c r="K624" t="s">
        <v>15484</v>
      </c>
      <c r="L624">
        <v>5</v>
      </c>
      <c r="M624" s="134">
        <v>100000</v>
      </c>
      <c r="N624" s="134">
        <v>150000</v>
      </c>
      <c r="O624" t="s">
        <v>49</v>
      </c>
      <c r="P624" t="s">
        <v>15485</v>
      </c>
      <c r="Q624" t="s">
        <v>1939</v>
      </c>
      <c r="R624" t="s">
        <v>15846</v>
      </c>
      <c r="S624" t="s">
        <v>15847</v>
      </c>
      <c r="U624" t="s">
        <v>491</v>
      </c>
      <c r="X624">
        <v>0</v>
      </c>
    </row>
    <row r="625" spans="1:24" x14ac:dyDescent="0.25">
      <c r="A625" s="234">
        <v>43158</v>
      </c>
      <c r="B625" t="s">
        <v>328</v>
      </c>
      <c r="C625" t="s">
        <v>603</v>
      </c>
      <c r="D625" t="s">
        <v>7595</v>
      </c>
      <c r="E625" t="s">
        <v>588</v>
      </c>
      <c r="F625" t="s">
        <v>8193</v>
      </c>
      <c r="G625" t="s">
        <v>7855</v>
      </c>
      <c r="H625" t="s">
        <v>607</v>
      </c>
      <c r="J625" t="s">
        <v>3368</v>
      </c>
      <c r="L625">
        <v>7</v>
      </c>
      <c r="M625" s="134">
        <v>100000</v>
      </c>
      <c r="N625" s="134">
        <v>150000</v>
      </c>
      <c r="O625" t="s">
        <v>10762</v>
      </c>
      <c r="P625" t="s">
        <v>10446</v>
      </c>
      <c r="Q625" t="s">
        <v>620</v>
      </c>
      <c r="R625" t="s">
        <v>10447</v>
      </c>
      <c r="U625" t="s">
        <v>1327</v>
      </c>
      <c r="X625">
        <v>0</v>
      </c>
    </row>
    <row r="626" spans="1:24" x14ac:dyDescent="0.25">
      <c r="A626" s="234">
        <v>42829</v>
      </c>
      <c r="B626" t="s">
        <v>5176</v>
      </c>
      <c r="D626" t="s">
        <v>727</v>
      </c>
      <c r="E626" t="s">
        <v>588</v>
      </c>
      <c r="F626" t="s">
        <v>6250</v>
      </c>
      <c r="H626" t="s">
        <v>6252</v>
      </c>
      <c r="I626" t="s">
        <v>6251</v>
      </c>
      <c r="J626" t="s">
        <v>604</v>
      </c>
      <c r="M626" s="134">
        <v>100000</v>
      </c>
      <c r="N626" s="134">
        <v>150000</v>
      </c>
      <c r="O626" t="s">
        <v>5416</v>
      </c>
      <c r="P626" t="s">
        <v>6253</v>
      </c>
      <c r="Q626" t="s">
        <v>29</v>
      </c>
      <c r="R626" t="s">
        <v>6254</v>
      </c>
      <c r="U626" t="s">
        <v>491</v>
      </c>
      <c r="X626">
        <v>1</v>
      </c>
    </row>
    <row r="627" spans="1:24" x14ac:dyDescent="0.25">
      <c r="A627" s="234">
        <v>43605</v>
      </c>
      <c r="B627" t="s">
        <v>13559</v>
      </c>
      <c r="C627" t="s">
        <v>3523</v>
      </c>
      <c r="D627" t="s">
        <v>14673</v>
      </c>
      <c r="F627" t="s">
        <v>15671</v>
      </c>
      <c r="G627" t="s">
        <v>15672</v>
      </c>
      <c r="H627" t="s">
        <v>10831</v>
      </c>
      <c r="I627" t="s">
        <v>15673</v>
      </c>
      <c r="J627" t="s">
        <v>3523</v>
      </c>
      <c r="K627" t="s">
        <v>15674</v>
      </c>
      <c r="L627">
        <v>10</v>
      </c>
      <c r="M627" s="134">
        <v>100000</v>
      </c>
      <c r="N627" s="134">
        <v>170000</v>
      </c>
      <c r="O627" t="s">
        <v>10765</v>
      </c>
      <c r="P627" t="s">
        <v>15676</v>
      </c>
      <c r="Q627" t="s">
        <v>29</v>
      </c>
      <c r="R627" t="s">
        <v>15677</v>
      </c>
      <c r="S627" t="s">
        <v>15675</v>
      </c>
      <c r="U627" t="s">
        <v>491</v>
      </c>
      <c r="X627">
        <v>1</v>
      </c>
    </row>
    <row r="628" spans="1:24" x14ac:dyDescent="0.25">
      <c r="A628" s="234">
        <v>42839</v>
      </c>
      <c r="B628" t="s">
        <v>328</v>
      </c>
      <c r="C628" t="s">
        <v>603</v>
      </c>
      <c r="D628" t="s">
        <v>649</v>
      </c>
      <c r="E628" t="s">
        <v>588</v>
      </c>
      <c r="F628" t="s">
        <v>6435</v>
      </c>
      <c r="H628" t="s">
        <v>607</v>
      </c>
      <c r="I628" t="s">
        <v>6436</v>
      </c>
      <c r="J628" t="s">
        <v>3426</v>
      </c>
      <c r="M628" s="134">
        <v>100000</v>
      </c>
      <c r="N628" s="134">
        <v>170000</v>
      </c>
      <c r="O628" t="s">
        <v>3107</v>
      </c>
      <c r="P628" t="s">
        <v>6437</v>
      </c>
      <c r="Q628" t="s">
        <v>1612</v>
      </c>
      <c r="R628" t="s">
        <v>6561</v>
      </c>
      <c r="U628" t="s">
        <v>491</v>
      </c>
      <c r="X628">
        <v>0</v>
      </c>
    </row>
    <row r="629" spans="1:24" x14ac:dyDescent="0.25">
      <c r="A629" s="234">
        <v>42850</v>
      </c>
      <c r="B629" t="s">
        <v>643</v>
      </c>
      <c r="C629" t="s">
        <v>644</v>
      </c>
      <c r="D629" t="s">
        <v>645</v>
      </c>
      <c r="E629" t="s">
        <v>588</v>
      </c>
      <c r="F629" t="s">
        <v>6535</v>
      </c>
      <c r="H629" t="s">
        <v>6536</v>
      </c>
      <c r="I629" t="s">
        <v>6537</v>
      </c>
      <c r="J629" t="s">
        <v>644</v>
      </c>
      <c r="L629">
        <v>4</v>
      </c>
      <c r="M629" s="134">
        <v>100000</v>
      </c>
      <c r="N629" s="134">
        <v>170000</v>
      </c>
      <c r="O629" t="s">
        <v>560</v>
      </c>
      <c r="P629" t="s">
        <v>6538</v>
      </c>
      <c r="Q629" t="s">
        <v>592</v>
      </c>
      <c r="U629" t="s">
        <v>491</v>
      </c>
      <c r="X629">
        <v>0</v>
      </c>
    </row>
    <row r="630" spans="1:24" x14ac:dyDescent="0.25">
      <c r="A630" s="234">
        <v>43199</v>
      </c>
      <c r="B630" t="s">
        <v>328</v>
      </c>
      <c r="C630" t="s">
        <v>603</v>
      </c>
      <c r="D630" t="s">
        <v>672</v>
      </c>
      <c r="E630" t="s">
        <v>588</v>
      </c>
      <c r="F630" t="s">
        <v>10869</v>
      </c>
      <c r="G630" t="s">
        <v>10870</v>
      </c>
      <c r="H630" t="s">
        <v>607</v>
      </c>
      <c r="I630" t="s">
        <v>10868</v>
      </c>
      <c r="J630" t="s">
        <v>3751</v>
      </c>
      <c r="L630">
        <v>4</v>
      </c>
      <c r="M630" s="134">
        <v>100000</v>
      </c>
      <c r="N630" s="134">
        <v>180000</v>
      </c>
      <c r="O630" t="s">
        <v>10879</v>
      </c>
      <c r="P630" t="s">
        <v>10867</v>
      </c>
      <c r="Q630" t="s">
        <v>1939</v>
      </c>
      <c r="R630" t="s">
        <v>10866</v>
      </c>
      <c r="U630" t="s">
        <v>1327</v>
      </c>
      <c r="X630">
        <v>0</v>
      </c>
    </row>
    <row r="631" spans="1:24" x14ac:dyDescent="0.25">
      <c r="A631" s="234">
        <v>43241</v>
      </c>
      <c r="B631" t="s">
        <v>328</v>
      </c>
      <c r="C631" t="s">
        <v>603</v>
      </c>
      <c r="D631" t="s">
        <v>8941</v>
      </c>
      <c r="E631" t="s">
        <v>588</v>
      </c>
      <c r="F631" t="s">
        <v>11339</v>
      </c>
      <c r="G631" t="s">
        <v>11338</v>
      </c>
      <c r="H631" t="s">
        <v>607</v>
      </c>
      <c r="I631" t="s">
        <v>11337</v>
      </c>
      <c r="J631" t="s">
        <v>3368</v>
      </c>
      <c r="L631">
        <v>5</v>
      </c>
      <c r="M631" s="134">
        <v>100000</v>
      </c>
      <c r="N631" s="134">
        <v>180000</v>
      </c>
      <c r="O631" t="s">
        <v>4533</v>
      </c>
      <c r="P631" t="s">
        <v>11409</v>
      </c>
      <c r="Q631" t="s">
        <v>29</v>
      </c>
      <c r="R631" t="s">
        <v>11336</v>
      </c>
      <c r="U631" t="s">
        <v>1327</v>
      </c>
      <c r="X631">
        <v>1</v>
      </c>
    </row>
    <row r="632" spans="1:24" x14ac:dyDescent="0.25">
      <c r="A632" s="234">
        <v>43423</v>
      </c>
      <c r="B632" t="s">
        <v>643</v>
      </c>
      <c r="C632" t="s">
        <v>644</v>
      </c>
      <c r="D632" t="s">
        <v>645</v>
      </c>
      <c r="F632" t="s">
        <v>12856</v>
      </c>
      <c r="G632" t="s">
        <v>8662</v>
      </c>
      <c r="H632" t="s">
        <v>10831</v>
      </c>
      <c r="I632" t="s">
        <v>13206</v>
      </c>
      <c r="J632" t="s">
        <v>990</v>
      </c>
      <c r="K632" t="s">
        <v>13207</v>
      </c>
      <c r="L632">
        <v>9</v>
      </c>
      <c r="M632" s="134">
        <v>100000</v>
      </c>
      <c r="N632" s="134">
        <v>180000</v>
      </c>
      <c r="O632" t="s">
        <v>6745</v>
      </c>
      <c r="P632" t="s">
        <v>13208</v>
      </c>
      <c r="Q632" t="s">
        <v>1939</v>
      </c>
      <c r="R632" t="s">
        <v>13209</v>
      </c>
      <c r="U632" t="s">
        <v>491</v>
      </c>
      <c r="X632">
        <v>0</v>
      </c>
    </row>
    <row r="633" spans="1:24" x14ac:dyDescent="0.25">
      <c r="A633" s="234">
        <v>42815</v>
      </c>
      <c r="B633" t="s">
        <v>643</v>
      </c>
      <c r="C633" t="s">
        <v>644</v>
      </c>
      <c r="D633" t="s">
        <v>645</v>
      </c>
      <c r="E633" t="s">
        <v>588</v>
      </c>
      <c r="F633" t="s">
        <v>6042</v>
      </c>
      <c r="H633" t="s">
        <v>722</v>
      </c>
      <c r="I633" t="s">
        <v>6043</v>
      </c>
      <c r="J633" t="s">
        <v>644</v>
      </c>
      <c r="L633">
        <v>10</v>
      </c>
      <c r="M633" s="134">
        <v>100000</v>
      </c>
      <c r="N633" s="134">
        <v>180000</v>
      </c>
      <c r="O633" t="s">
        <v>6044</v>
      </c>
      <c r="P633" t="s">
        <v>6045</v>
      </c>
      <c r="Q633" t="s">
        <v>592</v>
      </c>
      <c r="U633" t="s">
        <v>491</v>
      </c>
      <c r="X633">
        <v>0</v>
      </c>
    </row>
    <row r="634" spans="1:24" x14ac:dyDescent="0.25">
      <c r="A634" s="234">
        <v>42849</v>
      </c>
      <c r="B634" t="s">
        <v>328</v>
      </c>
      <c r="C634" t="s">
        <v>603</v>
      </c>
      <c r="D634" t="s">
        <v>2397</v>
      </c>
      <c r="E634" t="s">
        <v>588</v>
      </c>
      <c r="F634" t="s">
        <v>6520</v>
      </c>
      <c r="H634" t="s">
        <v>607</v>
      </c>
      <c r="I634" t="s">
        <v>6521</v>
      </c>
      <c r="J634" t="s">
        <v>3426</v>
      </c>
      <c r="L634">
        <v>5</v>
      </c>
      <c r="M634" s="134">
        <v>100000</v>
      </c>
      <c r="N634" s="134">
        <v>180000</v>
      </c>
      <c r="O634" t="s">
        <v>6522</v>
      </c>
      <c r="P634" t="s">
        <v>6670</v>
      </c>
      <c r="Q634" t="s">
        <v>592</v>
      </c>
      <c r="R634" t="s">
        <v>6523</v>
      </c>
      <c r="S634" t="s">
        <v>7042</v>
      </c>
      <c r="U634" t="s">
        <v>491</v>
      </c>
      <c r="X634">
        <v>0</v>
      </c>
    </row>
    <row r="635" spans="1:24" x14ac:dyDescent="0.25">
      <c r="A635" s="234">
        <v>43025</v>
      </c>
      <c r="B635" t="s">
        <v>328</v>
      </c>
      <c r="C635" t="s">
        <v>603</v>
      </c>
      <c r="D635" t="s">
        <v>649</v>
      </c>
      <c r="E635" t="s">
        <v>588</v>
      </c>
      <c r="F635" t="s">
        <v>9059</v>
      </c>
      <c r="G635" t="s">
        <v>9060</v>
      </c>
      <c r="H635" t="s">
        <v>4380</v>
      </c>
      <c r="I635" t="s">
        <v>9061</v>
      </c>
      <c r="J635" t="s">
        <v>3371</v>
      </c>
      <c r="L635">
        <v>10</v>
      </c>
      <c r="M635" s="134">
        <v>100000</v>
      </c>
      <c r="N635" s="134">
        <v>180000</v>
      </c>
      <c r="O635" t="s">
        <v>9062</v>
      </c>
      <c r="P635" t="s">
        <v>9063</v>
      </c>
      <c r="Q635" t="s">
        <v>1612</v>
      </c>
      <c r="R635" t="s">
        <v>9099</v>
      </c>
      <c r="S635" t="s">
        <v>9098</v>
      </c>
      <c r="U635" t="s">
        <v>491</v>
      </c>
      <c r="X635">
        <v>0</v>
      </c>
    </row>
    <row r="636" spans="1:24" x14ac:dyDescent="0.25">
      <c r="A636" s="234">
        <v>43112</v>
      </c>
      <c r="B636" t="s">
        <v>328</v>
      </c>
      <c r="C636" t="s">
        <v>603</v>
      </c>
      <c r="D636" t="s">
        <v>1401</v>
      </c>
      <c r="E636" t="s">
        <v>588</v>
      </c>
      <c r="F636" t="s">
        <v>8366</v>
      </c>
      <c r="G636" t="s">
        <v>9973</v>
      </c>
      <c r="H636" t="s">
        <v>905</v>
      </c>
      <c r="I636" t="s">
        <v>9974</v>
      </c>
      <c r="J636" t="s">
        <v>3371</v>
      </c>
      <c r="M636" s="134">
        <v>100000</v>
      </c>
      <c r="N636" s="134">
        <v>185000</v>
      </c>
      <c r="O636" t="s">
        <v>4533</v>
      </c>
      <c r="P636" t="s">
        <v>9975</v>
      </c>
      <c r="Q636" t="s">
        <v>1939</v>
      </c>
      <c r="R636" t="s">
        <v>9976</v>
      </c>
      <c r="U636" t="s">
        <v>491</v>
      </c>
      <c r="X636">
        <v>0</v>
      </c>
    </row>
    <row r="637" spans="1:24" x14ac:dyDescent="0.25">
      <c r="A637" s="234">
        <v>43529</v>
      </c>
      <c r="B637" t="s">
        <v>328</v>
      </c>
      <c r="C637" t="s">
        <v>603</v>
      </c>
      <c r="D637" t="s">
        <v>7595</v>
      </c>
      <c r="F637" t="s">
        <v>14625</v>
      </c>
      <c r="G637" t="s">
        <v>9037</v>
      </c>
      <c r="H637" t="s">
        <v>607</v>
      </c>
      <c r="I637" t="s">
        <v>14626</v>
      </c>
      <c r="J637" t="s">
        <v>6015</v>
      </c>
      <c r="K637" t="s">
        <v>14627</v>
      </c>
      <c r="L637">
        <v>10</v>
      </c>
      <c r="M637" s="134">
        <v>100000</v>
      </c>
      <c r="N637" s="134">
        <v>192500</v>
      </c>
      <c r="O637" t="s">
        <v>7124</v>
      </c>
      <c r="P637" t="s">
        <v>14628</v>
      </c>
      <c r="Q637" t="s">
        <v>1939</v>
      </c>
      <c r="R637" t="s">
        <v>14629</v>
      </c>
      <c r="U637" t="s">
        <v>12797</v>
      </c>
      <c r="X637">
        <v>0</v>
      </c>
    </row>
    <row r="638" spans="1:24" x14ac:dyDescent="0.25">
      <c r="A638" s="234">
        <v>42621</v>
      </c>
      <c r="B638" t="s">
        <v>643</v>
      </c>
      <c r="C638" t="s">
        <v>644</v>
      </c>
      <c r="D638" t="s">
        <v>3132</v>
      </c>
      <c r="E638" t="s">
        <v>588</v>
      </c>
      <c r="F638" t="s">
        <v>3826</v>
      </c>
      <c r="H638" t="s">
        <v>3827</v>
      </c>
      <c r="I638" t="s">
        <v>3828</v>
      </c>
      <c r="J638" t="s">
        <v>644</v>
      </c>
      <c r="L638">
        <v>2</v>
      </c>
      <c r="M638" s="134">
        <v>100000</v>
      </c>
      <c r="N638" s="134">
        <v>197900</v>
      </c>
      <c r="O638" t="s">
        <v>3829</v>
      </c>
      <c r="P638" t="s">
        <v>3830</v>
      </c>
      <c r="Q638" t="s">
        <v>1939</v>
      </c>
      <c r="R638" t="s">
        <v>3831</v>
      </c>
      <c r="U638" t="s">
        <v>491</v>
      </c>
      <c r="X638">
        <v>0</v>
      </c>
    </row>
    <row r="639" spans="1:24" x14ac:dyDescent="0.25">
      <c r="A639" s="234">
        <v>43461</v>
      </c>
      <c r="B639" t="s">
        <v>328</v>
      </c>
      <c r="C639" t="s">
        <v>603</v>
      </c>
      <c r="D639" t="s">
        <v>757</v>
      </c>
      <c r="F639" t="s">
        <v>9002</v>
      </c>
      <c r="G639" t="s">
        <v>13712</v>
      </c>
      <c r="H639" t="s">
        <v>10831</v>
      </c>
      <c r="I639" t="s">
        <v>13713</v>
      </c>
      <c r="J639" t="s">
        <v>3612</v>
      </c>
      <c r="K639" t="s">
        <v>13714</v>
      </c>
      <c r="L639">
        <v>6</v>
      </c>
      <c r="M639" s="134">
        <v>100000</v>
      </c>
      <c r="N639" s="134">
        <v>200000</v>
      </c>
      <c r="O639" t="s">
        <v>10762</v>
      </c>
      <c r="P639" t="s">
        <v>13715</v>
      </c>
      <c r="Q639" t="s">
        <v>1939</v>
      </c>
      <c r="R639" t="s">
        <v>13716</v>
      </c>
      <c r="U639" t="s">
        <v>491</v>
      </c>
      <c r="X639">
        <v>0</v>
      </c>
    </row>
    <row r="640" spans="1:24" x14ac:dyDescent="0.25">
      <c r="A640" s="234">
        <v>42943</v>
      </c>
      <c r="B640" t="s">
        <v>328</v>
      </c>
      <c r="C640" t="s">
        <v>603</v>
      </c>
      <c r="D640" t="s">
        <v>672</v>
      </c>
      <c r="E640" t="s">
        <v>588</v>
      </c>
      <c r="F640" t="s">
        <v>7827</v>
      </c>
      <c r="G640" t="s">
        <v>7828</v>
      </c>
      <c r="H640" t="s">
        <v>607</v>
      </c>
      <c r="J640" t="s">
        <v>3426</v>
      </c>
      <c r="L640">
        <v>3</v>
      </c>
      <c r="M640" s="134">
        <v>100000</v>
      </c>
      <c r="N640" s="134">
        <v>200000</v>
      </c>
      <c r="O640" t="s">
        <v>3107</v>
      </c>
      <c r="P640" t="s">
        <v>7940</v>
      </c>
      <c r="Q640" t="s">
        <v>1939</v>
      </c>
      <c r="R640" t="s">
        <v>7941</v>
      </c>
      <c r="U640" t="s">
        <v>2227</v>
      </c>
      <c r="X640">
        <v>0</v>
      </c>
    </row>
    <row r="641" spans="1:24" x14ac:dyDescent="0.25">
      <c r="A641" s="234">
        <v>42978</v>
      </c>
      <c r="B641" t="s">
        <v>328</v>
      </c>
      <c r="C641" t="s">
        <v>603</v>
      </c>
      <c r="D641" t="s">
        <v>649</v>
      </c>
      <c r="E641" t="s">
        <v>588</v>
      </c>
      <c r="F641" t="s">
        <v>8382</v>
      </c>
      <c r="G641" t="s">
        <v>8383</v>
      </c>
      <c r="H641" t="s">
        <v>607</v>
      </c>
      <c r="I641" t="s">
        <v>7349</v>
      </c>
      <c r="J641" t="s">
        <v>899</v>
      </c>
      <c r="M641" s="134">
        <v>100000</v>
      </c>
      <c r="N641" s="134">
        <v>1800000</v>
      </c>
      <c r="O641" t="s">
        <v>6387</v>
      </c>
      <c r="P641" t="s">
        <v>8384</v>
      </c>
      <c r="Q641" t="s">
        <v>1939</v>
      </c>
      <c r="R641" t="s">
        <v>8385</v>
      </c>
      <c r="T641">
        <v>12</v>
      </c>
      <c r="U641" t="s">
        <v>491</v>
      </c>
      <c r="X641">
        <v>0</v>
      </c>
    </row>
    <row r="642" spans="1:24" x14ac:dyDescent="0.25">
      <c r="A642" s="234">
        <v>43479</v>
      </c>
      <c r="B642" t="s">
        <v>569</v>
      </c>
      <c r="C642" t="s">
        <v>899</v>
      </c>
      <c r="D642" t="s">
        <v>625</v>
      </c>
      <c r="F642" t="s">
        <v>13955</v>
      </c>
      <c r="H642" t="s">
        <v>607</v>
      </c>
      <c r="I642" t="s">
        <v>5557</v>
      </c>
      <c r="J642" t="s">
        <v>899</v>
      </c>
      <c r="K642" t="s">
        <v>13956</v>
      </c>
      <c r="L642">
        <v>5</v>
      </c>
      <c r="M642" s="134">
        <v>100000</v>
      </c>
      <c r="N642" s="134">
        <v>1950000</v>
      </c>
      <c r="O642" t="s">
        <v>7564</v>
      </c>
      <c r="P642" t="s">
        <v>13957</v>
      </c>
      <c r="Q642" t="s">
        <v>29</v>
      </c>
      <c r="R642" t="s">
        <v>13958</v>
      </c>
      <c r="U642" t="s">
        <v>491</v>
      </c>
      <c r="X642">
        <v>1</v>
      </c>
    </row>
    <row r="643" spans="1:24" x14ac:dyDescent="0.25">
      <c r="A643" s="234">
        <v>42767</v>
      </c>
      <c r="B643" t="s">
        <v>328</v>
      </c>
      <c r="C643" t="s">
        <v>603</v>
      </c>
      <c r="D643" t="s">
        <v>1401</v>
      </c>
      <c r="E643" t="s">
        <v>588</v>
      </c>
      <c r="F643" t="s">
        <v>5560</v>
      </c>
      <c r="H643" t="s">
        <v>607</v>
      </c>
      <c r="I643" t="s">
        <v>5561</v>
      </c>
      <c r="J643" t="s">
        <v>5562</v>
      </c>
      <c r="L643">
        <v>9</v>
      </c>
      <c r="M643" s="134">
        <v>100000</v>
      </c>
      <c r="N643" s="134">
        <v>2200000</v>
      </c>
      <c r="O643" t="s">
        <v>560</v>
      </c>
      <c r="P643" t="s">
        <v>5563</v>
      </c>
      <c r="Q643" t="s">
        <v>1939</v>
      </c>
      <c r="R643" t="s">
        <v>5564</v>
      </c>
      <c r="U643" t="s">
        <v>491</v>
      </c>
      <c r="X643">
        <v>0</v>
      </c>
    </row>
    <row r="644" spans="1:24" x14ac:dyDescent="0.25">
      <c r="A644" s="234">
        <v>42590</v>
      </c>
      <c r="B644" t="s">
        <v>643</v>
      </c>
      <c r="C644" t="s">
        <v>644</v>
      </c>
      <c r="D644" t="s">
        <v>645</v>
      </c>
      <c r="E644" t="s">
        <v>588</v>
      </c>
      <c r="F644" t="s">
        <v>3276</v>
      </c>
      <c r="H644" t="s">
        <v>3277</v>
      </c>
      <c r="I644" t="s">
        <v>3278</v>
      </c>
      <c r="J644" t="s">
        <v>644</v>
      </c>
      <c r="L644">
        <v>10</v>
      </c>
      <c r="M644" s="134">
        <v>100307</v>
      </c>
      <c r="N644" s="134">
        <v>165807</v>
      </c>
      <c r="O644" t="s">
        <v>1651</v>
      </c>
      <c r="P644" t="s">
        <v>3279</v>
      </c>
      <c r="Q644" t="s">
        <v>29</v>
      </c>
      <c r="R644" t="s">
        <v>3315</v>
      </c>
      <c r="U644" t="s">
        <v>491</v>
      </c>
      <c r="X644">
        <v>1</v>
      </c>
    </row>
    <row r="645" spans="1:24" x14ac:dyDescent="0.25">
      <c r="A645" s="234">
        <v>43395</v>
      </c>
      <c r="B645" t="s">
        <v>328</v>
      </c>
      <c r="C645" t="s">
        <v>603</v>
      </c>
      <c r="D645" t="s">
        <v>757</v>
      </c>
      <c r="F645" t="s">
        <v>12986</v>
      </c>
      <c r="G645" t="s">
        <v>8267</v>
      </c>
      <c r="H645" t="s">
        <v>607</v>
      </c>
      <c r="I645" t="s">
        <v>12987</v>
      </c>
      <c r="J645" t="s">
        <v>3751</v>
      </c>
      <c r="K645">
        <v>64469</v>
      </c>
      <c r="L645">
        <v>10</v>
      </c>
      <c r="M645" s="134">
        <v>102000</v>
      </c>
      <c r="N645" s="134">
        <v>204000</v>
      </c>
      <c r="O645" t="s">
        <v>10766</v>
      </c>
      <c r="P645" t="s">
        <v>12988</v>
      </c>
      <c r="Q645" t="s">
        <v>29</v>
      </c>
      <c r="R645" t="s">
        <v>13017</v>
      </c>
      <c r="U645" t="s">
        <v>12344</v>
      </c>
      <c r="X645">
        <v>1</v>
      </c>
    </row>
    <row r="646" spans="1:24" x14ac:dyDescent="0.25">
      <c r="A646" s="234">
        <v>43382</v>
      </c>
      <c r="B646" t="s">
        <v>643</v>
      </c>
      <c r="C646" t="s">
        <v>644</v>
      </c>
      <c r="D646" t="s">
        <v>645</v>
      </c>
      <c r="E646" t="s">
        <v>588</v>
      </c>
      <c r="F646" t="s">
        <v>12875</v>
      </c>
      <c r="H646" t="s">
        <v>905</v>
      </c>
      <c r="I646" t="s">
        <v>3646</v>
      </c>
      <c r="J646" t="s">
        <v>644</v>
      </c>
      <c r="L646">
        <v>2</v>
      </c>
      <c r="M646" s="134">
        <v>103000</v>
      </c>
      <c r="N646" s="134">
        <v>416000</v>
      </c>
      <c r="O646" t="s">
        <v>10763</v>
      </c>
      <c r="P646" t="s">
        <v>12918</v>
      </c>
      <c r="Q646" t="s">
        <v>592</v>
      </c>
      <c r="R646" t="s">
        <v>12917</v>
      </c>
      <c r="U646" t="s">
        <v>12344</v>
      </c>
      <c r="X646">
        <v>0</v>
      </c>
    </row>
    <row r="647" spans="1:24" x14ac:dyDescent="0.25">
      <c r="A647" s="234">
        <v>42398</v>
      </c>
      <c r="B647" t="s">
        <v>328</v>
      </c>
      <c r="C647" t="s">
        <v>603</v>
      </c>
      <c r="D647" t="s">
        <v>757</v>
      </c>
      <c r="E647" t="s">
        <v>821</v>
      </c>
      <c r="F647" t="s">
        <v>543</v>
      </c>
      <c r="H647" t="s">
        <v>866</v>
      </c>
      <c r="I647" t="s">
        <v>867</v>
      </c>
      <c r="M647" s="134">
        <v>104000</v>
      </c>
      <c r="N647" s="134">
        <v>114000</v>
      </c>
      <c r="O647" t="s">
        <v>868</v>
      </c>
      <c r="P647" t="s">
        <v>869</v>
      </c>
      <c r="Q647" t="s">
        <v>592</v>
      </c>
      <c r="R647" t="s">
        <v>870</v>
      </c>
      <c r="S647" t="s">
        <v>871</v>
      </c>
      <c r="U647" t="s">
        <v>491</v>
      </c>
      <c r="X647">
        <v>0</v>
      </c>
    </row>
    <row r="648" spans="1:24" x14ac:dyDescent="0.25">
      <c r="A648" s="234">
        <v>43307</v>
      </c>
      <c r="B648" t="s">
        <v>328</v>
      </c>
      <c r="C648" t="s">
        <v>603</v>
      </c>
      <c r="D648" t="s">
        <v>1401</v>
      </c>
      <c r="E648" t="s">
        <v>588</v>
      </c>
      <c r="F648" t="s">
        <v>11937</v>
      </c>
      <c r="G648" t="s">
        <v>11938</v>
      </c>
      <c r="H648" t="s">
        <v>10831</v>
      </c>
      <c r="I648" t="s">
        <v>11939</v>
      </c>
      <c r="J648" t="s">
        <v>3751</v>
      </c>
      <c r="L648">
        <v>7</v>
      </c>
      <c r="M648" s="134">
        <v>105000</v>
      </c>
      <c r="N648" s="134">
        <v>115500</v>
      </c>
      <c r="O648" t="s">
        <v>10762</v>
      </c>
      <c r="P648" t="s">
        <v>11940</v>
      </c>
      <c r="Q648" t="s">
        <v>592</v>
      </c>
      <c r="R648" t="s">
        <v>11941</v>
      </c>
      <c r="U648" t="s">
        <v>1327</v>
      </c>
      <c r="X648">
        <v>0</v>
      </c>
    </row>
    <row r="649" spans="1:24" x14ac:dyDescent="0.25">
      <c r="A649" s="234">
        <v>43321</v>
      </c>
      <c r="B649" t="s">
        <v>328</v>
      </c>
      <c r="C649" t="s">
        <v>603</v>
      </c>
      <c r="D649" t="s">
        <v>649</v>
      </c>
      <c r="E649" t="s">
        <v>588</v>
      </c>
      <c r="F649" t="s">
        <v>12125</v>
      </c>
      <c r="G649" t="s">
        <v>8490</v>
      </c>
      <c r="H649" t="s">
        <v>607</v>
      </c>
      <c r="J649" t="s">
        <v>5402</v>
      </c>
      <c r="L649">
        <v>1</v>
      </c>
      <c r="M649" s="134">
        <v>105100</v>
      </c>
      <c r="N649" s="134">
        <v>189180</v>
      </c>
      <c r="P649" t="s">
        <v>12124</v>
      </c>
      <c r="Q649" t="s">
        <v>1939</v>
      </c>
      <c r="R649" t="s">
        <v>12123</v>
      </c>
      <c r="U649" t="s">
        <v>1327</v>
      </c>
      <c r="X649">
        <v>0</v>
      </c>
    </row>
    <row r="650" spans="1:24" x14ac:dyDescent="0.25">
      <c r="A650" s="234">
        <v>43382</v>
      </c>
      <c r="B650" t="s">
        <v>328</v>
      </c>
      <c r="C650" t="s">
        <v>603</v>
      </c>
      <c r="D650" t="s">
        <v>649</v>
      </c>
      <c r="E650" t="s">
        <v>588</v>
      </c>
      <c r="F650" t="s">
        <v>12868</v>
      </c>
      <c r="G650" t="s">
        <v>10804</v>
      </c>
      <c r="H650" t="s">
        <v>10831</v>
      </c>
      <c r="I650" t="s">
        <v>12898</v>
      </c>
      <c r="J650" t="s">
        <v>3612</v>
      </c>
      <c r="L650">
        <v>10</v>
      </c>
      <c r="M650" s="134">
        <v>106000</v>
      </c>
      <c r="N650" s="134">
        <v>116000</v>
      </c>
      <c r="O650" t="s">
        <v>7124</v>
      </c>
      <c r="P650" t="s">
        <v>12899</v>
      </c>
      <c r="Q650" t="s">
        <v>1939</v>
      </c>
      <c r="R650" t="s">
        <v>13407</v>
      </c>
      <c r="U650" t="s">
        <v>12344</v>
      </c>
      <c r="X650">
        <v>0</v>
      </c>
    </row>
    <row r="651" spans="1:24" x14ac:dyDescent="0.25">
      <c r="A651" s="234">
        <v>42887</v>
      </c>
      <c r="B651" t="s">
        <v>643</v>
      </c>
      <c r="C651" t="s">
        <v>644</v>
      </c>
      <c r="D651" t="s">
        <v>645</v>
      </c>
      <c r="E651" t="s">
        <v>588</v>
      </c>
      <c r="F651" t="s">
        <v>7021</v>
      </c>
      <c r="H651" t="s">
        <v>4183</v>
      </c>
      <c r="I651" t="s">
        <v>7022</v>
      </c>
      <c r="J651" t="s">
        <v>644</v>
      </c>
      <c r="L651">
        <v>10</v>
      </c>
      <c r="M651" s="134">
        <v>106000</v>
      </c>
      <c r="N651" s="134">
        <v>147000</v>
      </c>
      <c r="O651" t="s">
        <v>7058</v>
      </c>
      <c r="P651" t="s">
        <v>7059</v>
      </c>
      <c r="Q651" t="s">
        <v>29</v>
      </c>
      <c r="R651" t="s">
        <v>7023</v>
      </c>
      <c r="U651" t="s">
        <v>1327</v>
      </c>
      <c r="X651">
        <v>1</v>
      </c>
    </row>
    <row r="652" spans="1:24" x14ac:dyDescent="0.25">
      <c r="A652" s="234">
        <v>43343</v>
      </c>
      <c r="B652" t="s">
        <v>328</v>
      </c>
      <c r="C652" t="s">
        <v>603</v>
      </c>
      <c r="D652" t="s">
        <v>7595</v>
      </c>
      <c r="E652" t="s">
        <v>588</v>
      </c>
      <c r="F652" t="s">
        <v>12466</v>
      </c>
      <c r="G652" t="s">
        <v>12467</v>
      </c>
      <c r="H652" t="s">
        <v>10831</v>
      </c>
      <c r="I652" t="s">
        <v>12468</v>
      </c>
      <c r="J652" t="s">
        <v>6015</v>
      </c>
      <c r="L652">
        <v>10</v>
      </c>
      <c r="M652" s="134">
        <v>109700</v>
      </c>
      <c r="N652" s="134">
        <v>136670</v>
      </c>
      <c r="O652" t="s">
        <v>10764</v>
      </c>
      <c r="P652" t="s">
        <v>12469</v>
      </c>
      <c r="Q652" t="s">
        <v>1939</v>
      </c>
      <c r="R652" t="s">
        <v>12470</v>
      </c>
      <c r="U652" t="s">
        <v>491</v>
      </c>
      <c r="X652">
        <v>0</v>
      </c>
    </row>
    <row r="653" spans="1:24" x14ac:dyDescent="0.25">
      <c r="A653" s="234">
        <v>42590</v>
      </c>
      <c r="B653" t="s">
        <v>328</v>
      </c>
      <c r="C653" t="s">
        <v>603</v>
      </c>
      <c r="D653" t="s">
        <v>1401</v>
      </c>
      <c r="E653" t="s">
        <v>588</v>
      </c>
      <c r="F653" t="s">
        <v>3281</v>
      </c>
      <c r="H653" t="s">
        <v>905</v>
      </c>
      <c r="I653" t="s">
        <v>3282</v>
      </c>
      <c r="J653" t="s">
        <v>3368</v>
      </c>
      <c r="L653">
        <v>10</v>
      </c>
      <c r="M653" s="134">
        <v>110000</v>
      </c>
      <c r="N653" s="134">
        <v>120000</v>
      </c>
      <c r="O653" t="s">
        <v>764</v>
      </c>
      <c r="P653" t="s">
        <v>3283</v>
      </c>
      <c r="Q653" t="s">
        <v>1939</v>
      </c>
      <c r="R653" t="s">
        <v>3291</v>
      </c>
      <c r="U653" t="s">
        <v>491</v>
      </c>
      <c r="X653">
        <v>0</v>
      </c>
    </row>
    <row r="654" spans="1:24" x14ac:dyDescent="0.25">
      <c r="A654" s="234">
        <v>42853</v>
      </c>
      <c r="B654" t="s">
        <v>328</v>
      </c>
      <c r="C654" t="s">
        <v>603</v>
      </c>
      <c r="D654" t="s">
        <v>1401</v>
      </c>
      <c r="E654" t="s">
        <v>588</v>
      </c>
      <c r="F654" t="s">
        <v>6592</v>
      </c>
      <c r="H654" t="s">
        <v>3987</v>
      </c>
      <c r="I654" t="s">
        <v>6593</v>
      </c>
      <c r="J654" t="s">
        <v>3371</v>
      </c>
      <c r="L654">
        <v>10</v>
      </c>
      <c r="M654" s="134">
        <v>110000</v>
      </c>
      <c r="N654" s="134">
        <v>121000</v>
      </c>
      <c r="O654" t="s">
        <v>764</v>
      </c>
      <c r="P654" t="s">
        <v>6594</v>
      </c>
      <c r="Q654" t="s">
        <v>620</v>
      </c>
      <c r="R654" t="s">
        <v>6614</v>
      </c>
      <c r="U654" t="s">
        <v>491</v>
      </c>
      <c r="X654">
        <v>0</v>
      </c>
    </row>
    <row r="655" spans="1:24" x14ac:dyDescent="0.25">
      <c r="A655" s="234">
        <v>43607</v>
      </c>
      <c r="B655" t="s">
        <v>328</v>
      </c>
      <c r="C655" t="s">
        <v>603</v>
      </c>
      <c r="D655" t="s">
        <v>10338</v>
      </c>
      <c r="F655" t="s">
        <v>15712</v>
      </c>
      <c r="G655" t="s">
        <v>8044</v>
      </c>
      <c r="H655" t="s">
        <v>607</v>
      </c>
      <c r="I655" t="s">
        <v>15407</v>
      </c>
      <c r="J655" t="s">
        <v>3373</v>
      </c>
      <c r="K655" t="s">
        <v>15713</v>
      </c>
      <c r="L655">
        <v>3</v>
      </c>
      <c r="M655" s="134">
        <v>110000</v>
      </c>
      <c r="N655" s="134">
        <v>171000</v>
      </c>
      <c r="O655" t="s">
        <v>4533</v>
      </c>
      <c r="P655" t="s">
        <v>15714</v>
      </c>
      <c r="Q655" t="s">
        <v>29</v>
      </c>
      <c r="R655" t="s">
        <v>15908</v>
      </c>
      <c r="S655" t="s">
        <v>15705</v>
      </c>
      <c r="U655" t="s">
        <v>491</v>
      </c>
      <c r="X655">
        <v>1</v>
      </c>
    </row>
    <row r="656" spans="1:24" x14ac:dyDescent="0.25">
      <c r="A656" s="234">
        <v>42685</v>
      </c>
      <c r="B656" t="s">
        <v>328</v>
      </c>
      <c r="C656" t="s">
        <v>603</v>
      </c>
      <c r="D656" t="s">
        <v>2397</v>
      </c>
      <c r="E656" t="s">
        <v>588</v>
      </c>
      <c r="F656" t="s">
        <v>4675</v>
      </c>
      <c r="H656" t="s">
        <v>722</v>
      </c>
      <c r="I656" t="s">
        <v>4676</v>
      </c>
      <c r="J656" t="s">
        <v>3373</v>
      </c>
      <c r="L656">
        <v>9</v>
      </c>
      <c r="M656" s="134">
        <v>110000</v>
      </c>
      <c r="N656" s="134">
        <v>214280</v>
      </c>
      <c r="O656" t="s">
        <v>1120</v>
      </c>
      <c r="P656" t="s">
        <v>4677</v>
      </c>
      <c r="Q656" t="s">
        <v>620</v>
      </c>
      <c r="R656" t="s">
        <v>4678</v>
      </c>
      <c r="U656" t="s">
        <v>491</v>
      </c>
      <c r="X656">
        <v>0</v>
      </c>
    </row>
    <row r="657" spans="1:24" x14ac:dyDescent="0.25">
      <c r="A657" s="234">
        <v>43504</v>
      </c>
      <c r="B657" t="s">
        <v>328</v>
      </c>
      <c r="C657" t="s">
        <v>603</v>
      </c>
      <c r="D657" t="s">
        <v>5701</v>
      </c>
      <c r="F657" t="s">
        <v>14323</v>
      </c>
      <c r="G657" t="s">
        <v>14324</v>
      </c>
      <c r="H657" t="s">
        <v>607</v>
      </c>
      <c r="I657" t="s">
        <v>13679</v>
      </c>
      <c r="J657" t="s">
        <v>3373</v>
      </c>
      <c r="K657" t="s">
        <v>14325</v>
      </c>
      <c r="L657">
        <v>5</v>
      </c>
      <c r="M657" s="134">
        <v>110000</v>
      </c>
      <c r="N657" s="134">
        <v>224500</v>
      </c>
      <c r="O657" t="s">
        <v>10763</v>
      </c>
      <c r="P657" t="s">
        <v>14561</v>
      </c>
      <c r="Q657" t="s">
        <v>1939</v>
      </c>
      <c r="R657" t="s">
        <v>14326</v>
      </c>
      <c r="S657" t="s">
        <v>14378</v>
      </c>
      <c r="U657" t="s">
        <v>12797</v>
      </c>
      <c r="X657">
        <v>0</v>
      </c>
    </row>
    <row r="658" spans="1:24" x14ac:dyDescent="0.25">
      <c r="A658" s="234">
        <v>42621</v>
      </c>
      <c r="B658" t="s">
        <v>328</v>
      </c>
      <c r="C658" t="s">
        <v>603</v>
      </c>
      <c r="D658" t="s">
        <v>1471</v>
      </c>
      <c r="E658" t="s">
        <v>588</v>
      </c>
      <c r="F658" t="s">
        <v>3805</v>
      </c>
      <c r="H658" t="s">
        <v>607</v>
      </c>
      <c r="I658" t="s">
        <v>3803</v>
      </c>
      <c r="J658" t="s">
        <v>3804</v>
      </c>
      <c r="L658">
        <v>9</v>
      </c>
      <c r="M658" s="134">
        <v>110000</v>
      </c>
      <c r="N658" s="134">
        <v>286000</v>
      </c>
      <c r="O658" t="s">
        <v>3806</v>
      </c>
      <c r="P658" t="s">
        <v>3807</v>
      </c>
      <c r="Q658" t="s">
        <v>592</v>
      </c>
      <c r="U658" t="s">
        <v>491</v>
      </c>
      <c r="X658">
        <v>0</v>
      </c>
    </row>
    <row r="659" spans="1:24" x14ac:dyDescent="0.25">
      <c r="A659" s="234">
        <v>42923</v>
      </c>
      <c r="B659" t="s">
        <v>328</v>
      </c>
      <c r="C659" t="s">
        <v>603</v>
      </c>
      <c r="D659" t="s">
        <v>649</v>
      </c>
      <c r="E659" t="s">
        <v>588</v>
      </c>
      <c r="F659" t="s">
        <v>6919</v>
      </c>
      <c r="H659" t="s">
        <v>607</v>
      </c>
      <c r="I659" t="s">
        <v>7517</v>
      </c>
      <c r="J659" t="s">
        <v>899</v>
      </c>
      <c r="L659">
        <v>3</v>
      </c>
      <c r="M659" s="134">
        <v>110000</v>
      </c>
      <c r="N659" s="134">
        <v>1870000</v>
      </c>
      <c r="O659" t="s">
        <v>7518</v>
      </c>
      <c r="P659" t="s">
        <v>7519</v>
      </c>
      <c r="Q659" t="s">
        <v>1939</v>
      </c>
      <c r="R659" t="s">
        <v>7520</v>
      </c>
      <c r="U659" t="s">
        <v>491</v>
      </c>
      <c r="X659">
        <v>0</v>
      </c>
    </row>
    <row r="660" spans="1:24" x14ac:dyDescent="0.25">
      <c r="A660" s="234">
        <v>42893</v>
      </c>
      <c r="B660" t="s">
        <v>320</v>
      </c>
      <c r="C660" t="s">
        <v>3888</v>
      </c>
      <c r="D660" t="s">
        <v>1229</v>
      </c>
      <c r="E660" t="s">
        <v>588</v>
      </c>
      <c r="F660" t="s">
        <v>7109</v>
      </c>
      <c r="H660" t="s">
        <v>607</v>
      </c>
      <c r="I660" t="s">
        <v>7110</v>
      </c>
      <c r="J660" t="s">
        <v>3856</v>
      </c>
      <c r="L660">
        <v>3</v>
      </c>
      <c r="M660" s="134">
        <v>113000</v>
      </c>
      <c r="N660" s="134">
        <v>173000</v>
      </c>
      <c r="O660" t="s">
        <v>666</v>
      </c>
      <c r="P660" t="s">
        <v>7111</v>
      </c>
      <c r="Q660" t="s">
        <v>29</v>
      </c>
      <c r="R660" t="s">
        <v>7112</v>
      </c>
      <c r="S660" t="s">
        <v>7113</v>
      </c>
      <c r="U660" t="s">
        <v>1327</v>
      </c>
      <c r="X660">
        <v>1</v>
      </c>
    </row>
    <row r="661" spans="1:24" x14ac:dyDescent="0.25">
      <c r="A661" s="234">
        <v>42445</v>
      </c>
      <c r="B661" t="s">
        <v>328</v>
      </c>
      <c r="C661" t="s">
        <v>603</v>
      </c>
      <c r="D661" t="s">
        <v>672</v>
      </c>
      <c r="E661" t="s">
        <v>588</v>
      </c>
      <c r="F661" t="s">
        <v>1342</v>
      </c>
      <c r="H661" t="s">
        <v>722</v>
      </c>
      <c r="I661" t="s">
        <v>1343</v>
      </c>
      <c r="M661" s="134">
        <v>113600</v>
      </c>
      <c r="N661" s="134">
        <v>227200</v>
      </c>
      <c r="O661" t="s">
        <v>1344</v>
      </c>
      <c r="P661" t="s">
        <v>1345</v>
      </c>
      <c r="Q661" t="s">
        <v>29</v>
      </c>
      <c r="R661" t="s">
        <v>1346</v>
      </c>
      <c r="U661" t="s">
        <v>491</v>
      </c>
      <c r="X661">
        <v>1</v>
      </c>
    </row>
    <row r="662" spans="1:24" x14ac:dyDescent="0.25">
      <c r="A662" s="234">
        <v>43322</v>
      </c>
      <c r="B662" t="s">
        <v>9240</v>
      </c>
      <c r="C662" t="s">
        <v>603</v>
      </c>
      <c r="D662" t="s">
        <v>9241</v>
      </c>
      <c r="E662" t="s">
        <v>588</v>
      </c>
      <c r="F662" t="s">
        <v>8290</v>
      </c>
      <c r="G662" t="s">
        <v>7855</v>
      </c>
      <c r="H662" t="s">
        <v>607</v>
      </c>
      <c r="J662" t="s">
        <v>5402</v>
      </c>
      <c r="M662" s="134">
        <v>115000</v>
      </c>
      <c r="N662" s="134">
        <v>0</v>
      </c>
      <c r="O662" t="s">
        <v>10766</v>
      </c>
      <c r="P662" t="s">
        <v>12140</v>
      </c>
      <c r="Q662" t="s">
        <v>1939</v>
      </c>
      <c r="R662" t="s">
        <v>12141</v>
      </c>
      <c r="U662" t="s">
        <v>1327</v>
      </c>
      <c r="X662">
        <v>0</v>
      </c>
    </row>
    <row r="663" spans="1:24" x14ac:dyDescent="0.25">
      <c r="A663" s="234">
        <v>43549</v>
      </c>
      <c r="B663" t="s">
        <v>328</v>
      </c>
      <c r="C663" t="s">
        <v>603</v>
      </c>
      <c r="D663" t="s">
        <v>7595</v>
      </c>
      <c r="F663" t="s">
        <v>14866</v>
      </c>
      <c r="G663" t="s">
        <v>14867</v>
      </c>
      <c r="H663" t="s">
        <v>607</v>
      </c>
      <c r="I663" t="s">
        <v>14868</v>
      </c>
      <c r="J663" t="s">
        <v>3398</v>
      </c>
      <c r="K663" t="s">
        <v>14869</v>
      </c>
      <c r="L663">
        <v>4</v>
      </c>
      <c r="M663" s="134">
        <v>115000</v>
      </c>
      <c r="N663" s="134">
        <v>176500</v>
      </c>
      <c r="O663" t="s">
        <v>10764</v>
      </c>
      <c r="P663" t="s">
        <v>14870</v>
      </c>
      <c r="Q663" t="s">
        <v>29</v>
      </c>
      <c r="R663" t="s">
        <v>14871</v>
      </c>
      <c r="U663" t="s">
        <v>12797</v>
      </c>
      <c r="X663">
        <v>1</v>
      </c>
    </row>
    <row r="664" spans="1:24" x14ac:dyDescent="0.25">
      <c r="A664" s="234">
        <v>42957</v>
      </c>
      <c r="B664" t="s">
        <v>5992</v>
      </c>
      <c r="D664" t="s">
        <v>7858</v>
      </c>
      <c r="E664" t="s">
        <v>588</v>
      </c>
      <c r="F664" t="s">
        <v>8075</v>
      </c>
      <c r="G664" t="s">
        <v>8076</v>
      </c>
      <c r="H664" t="s">
        <v>607</v>
      </c>
      <c r="I664" t="s">
        <v>8077</v>
      </c>
      <c r="J664" t="s">
        <v>608</v>
      </c>
      <c r="M664" s="134">
        <v>115000</v>
      </c>
      <c r="N664" s="134">
        <v>200000</v>
      </c>
      <c r="O664" t="s">
        <v>3107</v>
      </c>
      <c r="P664" t="s">
        <v>8078</v>
      </c>
      <c r="Q664" t="s">
        <v>620</v>
      </c>
      <c r="S664" t="s">
        <v>8079</v>
      </c>
      <c r="T664">
        <v>26</v>
      </c>
      <c r="U664" t="s">
        <v>491</v>
      </c>
      <c r="X664">
        <v>0</v>
      </c>
    </row>
    <row r="665" spans="1:24" x14ac:dyDescent="0.25">
      <c r="A665" s="234">
        <v>43299</v>
      </c>
      <c r="B665" t="s">
        <v>328</v>
      </c>
      <c r="C665" t="s">
        <v>603</v>
      </c>
      <c r="D665" t="s">
        <v>1401</v>
      </c>
      <c r="E665" t="s">
        <v>588</v>
      </c>
      <c r="F665" t="s">
        <v>11845</v>
      </c>
      <c r="G665" t="s">
        <v>9461</v>
      </c>
      <c r="H665" t="s">
        <v>10831</v>
      </c>
      <c r="I665" t="s">
        <v>314</v>
      </c>
      <c r="J665" t="s">
        <v>3501</v>
      </c>
      <c r="L665">
        <v>10</v>
      </c>
      <c r="M665" s="134">
        <v>115000</v>
      </c>
      <c r="N665" s="134">
        <v>218500</v>
      </c>
      <c r="O665" t="s">
        <v>7124</v>
      </c>
      <c r="P665" t="s">
        <v>11846</v>
      </c>
      <c r="Q665" t="s">
        <v>1939</v>
      </c>
      <c r="R665" t="s">
        <v>11863</v>
      </c>
      <c r="S665" t="s">
        <v>11847</v>
      </c>
      <c r="U665" t="s">
        <v>491</v>
      </c>
      <c r="X665">
        <v>0</v>
      </c>
    </row>
    <row r="666" spans="1:24" x14ac:dyDescent="0.25">
      <c r="A666" s="234">
        <v>43199</v>
      </c>
      <c r="B666" t="s">
        <v>9240</v>
      </c>
      <c r="C666" t="s">
        <v>603</v>
      </c>
      <c r="D666" t="s">
        <v>9849</v>
      </c>
      <c r="E666" t="s">
        <v>588</v>
      </c>
      <c r="F666" t="s">
        <v>10862</v>
      </c>
      <c r="G666" t="s">
        <v>3505</v>
      </c>
      <c r="H666" t="s">
        <v>607</v>
      </c>
      <c r="I666" t="s">
        <v>10863</v>
      </c>
      <c r="J666" t="s">
        <v>603</v>
      </c>
      <c r="M666" s="134">
        <v>115000</v>
      </c>
      <c r="N666" s="134">
        <v>241500</v>
      </c>
      <c r="O666" t="s">
        <v>4533</v>
      </c>
      <c r="P666" t="s">
        <v>10864</v>
      </c>
      <c r="Q666" t="s">
        <v>1939</v>
      </c>
      <c r="R666" t="s">
        <v>10865</v>
      </c>
      <c r="U666" t="s">
        <v>1327</v>
      </c>
      <c r="X666">
        <v>0</v>
      </c>
    </row>
    <row r="667" spans="1:24" x14ac:dyDescent="0.25">
      <c r="A667" s="234">
        <v>43537</v>
      </c>
      <c r="B667" t="s">
        <v>328</v>
      </c>
      <c r="C667" t="s">
        <v>603</v>
      </c>
      <c r="D667" t="s">
        <v>7595</v>
      </c>
      <c r="F667" t="s">
        <v>14692</v>
      </c>
      <c r="G667" t="s">
        <v>14693</v>
      </c>
      <c r="H667" t="s">
        <v>607</v>
      </c>
      <c r="I667" t="s">
        <v>14694</v>
      </c>
      <c r="J667" t="s">
        <v>3368</v>
      </c>
      <c r="K667" t="s">
        <v>14695</v>
      </c>
      <c r="L667">
        <v>1</v>
      </c>
      <c r="M667" s="134">
        <v>116000</v>
      </c>
      <c r="N667" s="134">
        <v>185600</v>
      </c>
      <c r="O667" t="s">
        <v>4533</v>
      </c>
      <c r="P667" t="s">
        <v>14828</v>
      </c>
      <c r="Q667" t="s">
        <v>1939</v>
      </c>
      <c r="R667" t="s">
        <v>14696</v>
      </c>
      <c r="U667" t="s">
        <v>12797</v>
      </c>
      <c r="X667">
        <v>0</v>
      </c>
    </row>
    <row r="668" spans="1:24" x14ac:dyDescent="0.25">
      <c r="A668" s="234">
        <v>43279</v>
      </c>
      <c r="B668" t="s">
        <v>9240</v>
      </c>
      <c r="C668" t="s">
        <v>603</v>
      </c>
      <c r="D668" t="s">
        <v>9241</v>
      </c>
      <c r="E668" t="s">
        <v>588</v>
      </c>
      <c r="F668" t="s">
        <v>8475</v>
      </c>
      <c r="G668" t="s">
        <v>11655</v>
      </c>
      <c r="H668" t="s">
        <v>607</v>
      </c>
      <c r="I668" t="s">
        <v>11656</v>
      </c>
      <c r="J668" t="s">
        <v>3368</v>
      </c>
      <c r="L668">
        <v>1</v>
      </c>
      <c r="M668" s="134">
        <v>116083</v>
      </c>
      <c r="N668" s="134">
        <v>325032</v>
      </c>
      <c r="O668" t="s">
        <v>10766</v>
      </c>
      <c r="P668" t="s">
        <v>11657</v>
      </c>
      <c r="Q668" t="s">
        <v>1939</v>
      </c>
      <c r="R668" t="s">
        <v>11658</v>
      </c>
      <c r="U668" t="s">
        <v>1327</v>
      </c>
      <c r="X668">
        <v>0</v>
      </c>
    </row>
    <row r="669" spans="1:24" x14ac:dyDescent="0.25">
      <c r="A669" s="234">
        <v>42605</v>
      </c>
      <c r="B669" t="s">
        <v>328</v>
      </c>
      <c r="C669" t="s">
        <v>603</v>
      </c>
      <c r="D669" t="s">
        <v>1471</v>
      </c>
      <c r="E669" t="s">
        <v>588</v>
      </c>
      <c r="F669" t="s">
        <v>3561</v>
      </c>
      <c r="H669" t="s">
        <v>3562</v>
      </c>
      <c r="I669" t="s">
        <v>3563</v>
      </c>
      <c r="J669" t="s">
        <v>899</v>
      </c>
      <c r="L669">
        <v>10</v>
      </c>
      <c r="M669" s="134">
        <v>117000</v>
      </c>
      <c r="N669" s="134">
        <v>117000</v>
      </c>
      <c r="O669" t="s">
        <v>764</v>
      </c>
      <c r="P669" t="s">
        <v>3564</v>
      </c>
      <c r="Q669" t="s">
        <v>592</v>
      </c>
      <c r="R669" t="s">
        <v>3565</v>
      </c>
      <c r="U669" t="s">
        <v>491</v>
      </c>
      <c r="X669">
        <v>0</v>
      </c>
    </row>
    <row r="670" spans="1:24" x14ac:dyDescent="0.25">
      <c r="A670" s="234">
        <v>42831</v>
      </c>
      <c r="B670" t="s">
        <v>328</v>
      </c>
      <c r="C670" t="s">
        <v>603</v>
      </c>
      <c r="D670" t="s">
        <v>2397</v>
      </c>
      <c r="E670" t="s">
        <v>588</v>
      </c>
      <c r="F670" t="s">
        <v>6273</v>
      </c>
      <c r="H670" t="s">
        <v>1391</v>
      </c>
      <c r="I670" t="s">
        <v>5165</v>
      </c>
      <c r="J670" t="s">
        <v>644</v>
      </c>
      <c r="L670">
        <v>10</v>
      </c>
      <c r="M670" s="134">
        <v>118000</v>
      </c>
      <c r="N670" s="134">
        <v>168000</v>
      </c>
      <c r="O670" t="s">
        <v>2680</v>
      </c>
      <c r="P670" t="s">
        <v>6274</v>
      </c>
      <c r="Q670" t="s">
        <v>29</v>
      </c>
      <c r="R670" t="s">
        <v>6275</v>
      </c>
      <c r="U670" t="s">
        <v>491</v>
      </c>
      <c r="X670">
        <v>1</v>
      </c>
    </row>
    <row r="671" spans="1:24" x14ac:dyDescent="0.25">
      <c r="A671" s="234">
        <v>43276</v>
      </c>
      <c r="B671" t="s">
        <v>328</v>
      </c>
      <c r="C671" t="s">
        <v>603</v>
      </c>
      <c r="D671" t="s">
        <v>649</v>
      </c>
      <c r="E671" t="s">
        <v>588</v>
      </c>
      <c r="F671" t="s">
        <v>11613</v>
      </c>
      <c r="G671" t="s">
        <v>11612</v>
      </c>
      <c r="H671" t="s">
        <v>10829</v>
      </c>
      <c r="I671" t="s">
        <v>11611</v>
      </c>
      <c r="J671" t="s">
        <v>3751</v>
      </c>
      <c r="L671">
        <v>6</v>
      </c>
      <c r="M671" s="134">
        <v>120000</v>
      </c>
      <c r="N671" s="134">
        <v>120000</v>
      </c>
      <c r="O671" t="s">
        <v>10762</v>
      </c>
      <c r="P671" t="s">
        <v>11610</v>
      </c>
      <c r="Q671" t="s">
        <v>592</v>
      </c>
      <c r="R671" t="s">
        <v>11609</v>
      </c>
      <c r="U671" t="s">
        <v>1327</v>
      </c>
      <c r="X671">
        <v>0</v>
      </c>
    </row>
    <row r="672" spans="1:24" x14ac:dyDescent="0.25">
      <c r="A672" s="234">
        <v>43514</v>
      </c>
      <c r="B672" t="s">
        <v>643</v>
      </c>
      <c r="C672" t="s">
        <v>644</v>
      </c>
      <c r="D672" t="s">
        <v>645</v>
      </c>
      <c r="F672" t="s">
        <v>7990</v>
      </c>
      <c r="G672" t="s">
        <v>14420</v>
      </c>
      <c r="H672" t="s">
        <v>809</v>
      </c>
      <c r="I672" t="s">
        <v>14421</v>
      </c>
      <c r="J672" t="s">
        <v>899</v>
      </c>
      <c r="K672" t="s">
        <v>14422</v>
      </c>
      <c r="L672">
        <v>10</v>
      </c>
      <c r="M672" s="134">
        <v>120000</v>
      </c>
      <c r="N672" s="134">
        <v>122500</v>
      </c>
      <c r="O672" t="s">
        <v>10762</v>
      </c>
      <c r="P672" t="s">
        <v>14423</v>
      </c>
      <c r="Q672" t="s">
        <v>592</v>
      </c>
      <c r="R672" t="s">
        <v>14424</v>
      </c>
      <c r="U672" t="s">
        <v>491</v>
      </c>
      <c r="X672">
        <v>0</v>
      </c>
    </row>
    <row r="673" spans="1:24" x14ac:dyDescent="0.25">
      <c r="A673" s="234">
        <v>43340</v>
      </c>
      <c r="B673" t="s">
        <v>328</v>
      </c>
      <c r="C673" t="s">
        <v>603</v>
      </c>
      <c r="D673" t="s">
        <v>10957</v>
      </c>
      <c r="E673" t="s">
        <v>588</v>
      </c>
      <c r="F673" t="s">
        <v>12364</v>
      </c>
      <c r="G673" t="s">
        <v>11755</v>
      </c>
      <c r="H673" t="s">
        <v>10831</v>
      </c>
      <c r="I673" t="s">
        <v>11589</v>
      </c>
      <c r="J673" t="s">
        <v>959</v>
      </c>
      <c r="L673">
        <v>4</v>
      </c>
      <c r="M673" s="134">
        <v>120000</v>
      </c>
      <c r="N673" s="134">
        <v>132000</v>
      </c>
      <c r="O673" t="s">
        <v>10764</v>
      </c>
      <c r="P673" t="s">
        <v>12365</v>
      </c>
      <c r="Q673" t="s">
        <v>1939</v>
      </c>
      <c r="R673" t="s">
        <v>12366</v>
      </c>
      <c r="U673" t="s">
        <v>12344</v>
      </c>
      <c r="X673">
        <v>0</v>
      </c>
    </row>
    <row r="674" spans="1:24" x14ac:dyDescent="0.25">
      <c r="A674" s="234">
        <v>42430</v>
      </c>
      <c r="B674" t="s">
        <v>328</v>
      </c>
      <c r="C674" t="s">
        <v>603</v>
      </c>
      <c r="D674" t="s">
        <v>672</v>
      </c>
      <c r="E674" t="s">
        <v>588</v>
      </c>
      <c r="F674" t="s">
        <v>1198</v>
      </c>
      <c r="H674" t="s">
        <v>607</v>
      </c>
      <c r="I674" t="s">
        <v>1199</v>
      </c>
      <c r="M674" s="134">
        <v>120000</v>
      </c>
      <c r="N674" s="134">
        <v>140000</v>
      </c>
      <c r="O674" t="s">
        <v>764</v>
      </c>
      <c r="P674" t="s">
        <v>1200</v>
      </c>
      <c r="Q674" t="s">
        <v>620</v>
      </c>
      <c r="R674" t="s">
        <v>1201</v>
      </c>
      <c r="U674" t="s">
        <v>491</v>
      </c>
      <c r="X674">
        <v>0</v>
      </c>
    </row>
    <row r="675" spans="1:24" x14ac:dyDescent="0.25">
      <c r="A675" s="234">
        <v>43479</v>
      </c>
      <c r="B675" t="s">
        <v>328</v>
      </c>
      <c r="C675" t="s">
        <v>603</v>
      </c>
      <c r="D675" t="s">
        <v>5701</v>
      </c>
      <c r="F675" t="s">
        <v>13981</v>
      </c>
      <c r="G675" t="s">
        <v>4615</v>
      </c>
      <c r="H675" t="s">
        <v>10831</v>
      </c>
      <c r="I675" t="s">
        <v>13982</v>
      </c>
      <c r="J675" t="s">
        <v>959</v>
      </c>
      <c r="K675" t="s">
        <v>13825</v>
      </c>
      <c r="L675">
        <v>3</v>
      </c>
      <c r="M675" s="134">
        <v>120000</v>
      </c>
      <c r="N675" s="134">
        <v>149000</v>
      </c>
      <c r="O675" t="s">
        <v>10763</v>
      </c>
      <c r="P675" t="s">
        <v>13983</v>
      </c>
      <c r="Q675" t="s">
        <v>620</v>
      </c>
      <c r="R675" t="s">
        <v>13984</v>
      </c>
      <c r="U675" t="s">
        <v>12797</v>
      </c>
      <c r="X675">
        <v>0</v>
      </c>
    </row>
    <row r="676" spans="1:24" x14ac:dyDescent="0.25">
      <c r="A676" s="234">
        <v>43299</v>
      </c>
      <c r="B676" t="s">
        <v>6076</v>
      </c>
      <c r="C676" t="s">
        <v>3370</v>
      </c>
      <c r="D676" t="s">
        <v>10524</v>
      </c>
      <c r="E676" t="s">
        <v>588</v>
      </c>
      <c r="F676" t="s">
        <v>11839</v>
      </c>
      <c r="G676" t="s">
        <v>11840</v>
      </c>
      <c r="H676" t="s">
        <v>607</v>
      </c>
      <c r="I676" t="s">
        <v>11841</v>
      </c>
      <c r="J676" t="s">
        <v>3370</v>
      </c>
      <c r="M676" s="134">
        <v>120000</v>
      </c>
      <c r="N676" s="134">
        <v>150000</v>
      </c>
      <c r="O676" t="s">
        <v>10762</v>
      </c>
      <c r="P676" t="s">
        <v>11842</v>
      </c>
      <c r="Q676" t="s">
        <v>1939</v>
      </c>
      <c r="R676" t="s">
        <v>11848</v>
      </c>
      <c r="U676" t="s">
        <v>491</v>
      </c>
      <c r="X676">
        <v>0</v>
      </c>
    </row>
    <row r="677" spans="1:24" x14ac:dyDescent="0.25">
      <c r="A677" s="234">
        <v>43332</v>
      </c>
      <c r="B677" t="s">
        <v>328</v>
      </c>
      <c r="C677" t="s">
        <v>603</v>
      </c>
      <c r="D677" t="s">
        <v>8941</v>
      </c>
      <c r="E677" t="s">
        <v>588</v>
      </c>
      <c r="F677" t="s">
        <v>12247</v>
      </c>
      <c r="G677" t="s">
        <v>7855</v>
      </c>
      <c r="H677" t="s">
        <v>607</v>
      </c>
      <c r="I677" t="s">
        <v>12248</v>
      </c>
      <c r="J677" t="s">
        <v>3368</v>
      </c>
      <c r="L677">
        <v>10</v>
      </c>
      <c r="M677" s="134">
        <v>120000</v>
      </c>
      <c r="N677" s="134">
        <v>195000</v>
      </c>
      <c r="O677" t="s">
        <v>7124</v>
      </c>
      <c r="P677" t="s">
        <v>12249</v>
      </c>
      <c r="Q677" t="s">
        <v>592</v>
      </c>
      <c r="R677" t="s">
        <v>12250</v>
      </c>
      <c r="S677" t="s">
        <v>12251</v>
      </c>
      <c r="U677" t="s">
        <v>491</v>
      </c>
      <c r="X677">
        <v>0</v>
      </c>
    </row>
    <row r="678" spans="1:24" x14ac:dyDescent="0.25">
      <c r="A678" s="234">
        <v>43164</v>
      </c>
      <c r="B678" t="s">
        <v>328</v>
      </c>
      <c r="C678" t="s">
        <v>603</v>
      </c>
      <c r="D678" t="s">
        <v>7595</v>
      </c>
      <c r="E678" t="s">
        <v>588</v>
      </c>
      <c r="F678" t="s">
        <v>10501</v>
      </c>
      <c r="G678" t="s">
        <v>10502</v>
      </c>
      <c r="H678" t="s">
        <v>10831</v>
      </c>
      <c r="J678" t="s">
        <v>3885</v>
      </c>
      <c r="L678">
        <v>10</v>
      </c>
      <c r="M678" s="134">
        <v>120000</v>
      </c>
      <c r="N678" s="134">
        <v>204000</v>
      </c>
      <c r="O678" t="s">
        <v>7124</v>
      </c>
      <c r="P678" t="s">
        <v>10503</v>
      </c>
      <c r="Q678" t="s">
        <v>1939</v>
      </c>
      <c r="R678" t="s">
        <v>10505</v>
      </c>
      <c r="U678" t="s">
        <v>1327</v>
      </c>
      <c r="X678">
        <v>0</v>
      </c>
    </row>
    <row r="679" spans="1:24" x14ac:dyDescent="0.25">
      <c r="A679" s="234">
        <v>42893</v>
      </c>
      <c r="B679" t="s">
        <v>328</v>
      </c>
      <c r="C679" t="s">
        <v>899</v>
      </c>
      <c r="D679" t="s">
        <v>672</v>
      </c>
      <c r="E679" t="s">
        <v>588</v>
      </c>
      <c r="F679" t="s">
        <v>7115</v>
      </c>
      <c r="H679" t="s">
        <v>607</v>
      </c>
      <c r="I679" t="s">
        <v>7117</v>
      </c>
      <c r="J679" t="s">
        <v>3371</v>
      </c>
      <c r="M679" s="134">
        <v>120000</v>
      </c>
      <c r="N679" s="134">
        <v>204000</v>
      </c>
      <c r="O679" t="s">
        <v>2934</v>
      </c>
      <c r="P679" t="s">
        <v>7119</v>
      </c>
      <c r="Q679" t="s">
        <v>1939</v>
      </c>
      <c r="R679" t="s">
        <v>7120</v>
      </c>
      <c r="U679" t="s">
        <v>1327</v>
      </c>
      <c r="X679">
        <v>0</v>
      </c>
    </row>
    <row r="680" spans="1:24" x14ac:dyDescent="0.25">
      <c r="A680" s="234">
        <v>42655</v>
      </c>
      <c r="B680" t="s">
        <v>328</v>
      </c>
      <c r="C680" t="s">
        <v>603</v>
      </c>
      <c r="D680" t="s">
        <v>1471</v>
      </c>
      <c r="E680" t="s">
        <v>588</v>
      </c>
      <c r="F680" t="s">
        <v>4294</v>
      </c>
      <c r="H680" t="s">
        <v>722</v>
      </c>
      <c r="I680" t="s">
        <v>4295</v>
      </c>
      <c r="J680" t="s">
        <v>644</v>
      </c>
      <c r="L680">
        <v>10</v>
      </c>
      <c r="M680" s="134">
        <v>120000</v>
      </c>
      <c r="N680" s="134">
        <v>228000</v>
      </c>
      <c r="O680" t="s">
        <v>4296</v>
      </c>
      <c r="P680" t="s">
        <v>4297</v>
      </c>
      <c r="Q680" t="s">
        <v>1939</v>
      </c>
      <c r="R680" t="s">
        <v>4298</v>
      </c>
      <c r="U680" t="s">
        <v>491</v>
      </c>
      <c r="X680">
        <v>0</v>
      </c>
    </row>
    <row r="681" spans="1:24" x14ac:dyDescent="0.25">
      <c r="A681" s="234">
        <v>43392</v>
      </c>
      <c r="B681" t="s">
        <v>328</v>
      </c>
      <c r="C681" t="s">
        <v>603</v>
      </c>
      <c r="D681" t="s">
        <v>8941</v>
      </c>
      <c r="F681" t="s">
        <v>12968</v>
      </c>
      <c r="G681" t="s">
        <v>8192</v>
      </c>
      <c r="H681" t="s">
        <v>10831</v>
      </c>
      <c r="I681" t="s">
        <v>12969</v>
      </c>
      <c r="J681" t="s">
        <v>5610</v>
      </c>
      <c r="K681">
        <v>37381</v>
      </c>
      <c r="L681">
        <v>9</v>
      </c>
      <c r="M681" s="134">
        <v>120000</v>
      </c>
      <c r="N681" s="134">
        <v>262000</v>
      </c>
      <c r="O681" t="s">
        <v>7124</v>
      </c>
      <c r="P681" t="s">
        <v>13412</v>
      </c>
      <c r="Q681" t="s">
        <v>1939</v>
      </c>
      <c r="R681" t="s">
        <v>12970</v>
      </c>
      <c r="U681" t="s">
        <v>12344</v>
      </c>
      <c r="X681">
        <v>0</v>
      </c>
    </row>
    <row r="682" spans="1:24" x14ac:dyDescent="0.25">
      <c r="A682" s="234">
        <v>42808</v>
      </c>
      <c r="B682" t="s">
        <v>328</v>
      </c>
      <c r="C682" t="s">
        <v>603</v>
      </c>
      <c r="D682" t="s">
        <v>649</v>
      </c>
      <c r="E682" t="s">
        <v>588</v>
      </c>
      <c r="F682" t="s">
        <v>5960</v>
      </c>
      <c r="H682" t="s">
        <v>722</v>
      </c>
      <c r="I682" t="s">
        <v>5962</v>
      </c>
      <c r="J682" t="s">
        <v>3370</v>
      </c>
      <c r="L682">
        <v>10</v>
      </c>
      <c r="M682" s="134">
        <v>124000</v>
      </c>
      <c r="N682" s="134">
        <v>186400</v>
      </c>
      <c r="O682" t="s">
        <v>2680</v>
      </c>
      <c r="P682" t="s">
        <v>5961</v>
      </c>
      <c r="Q682" t="s">
        <v>29</v>
      </c>
      <c r="R682" t="s">
        <v>5963</v>
      </c>
      <c r="U682" t="s">
        <v>491</v>
      </c>
      <c r="X682">
        <v>1</v>
      </c>
    </row>
    <row r="683" spans="1:24" x14ac:dyDescent="0.25">
      <c r="A683" s="234">
        <v>42517</v>
      </c>
      <c r="B683" t="s">
        <v>328</v>
      </c>
      <c r="D683" t="s">
        <v>2204</v>
      </c>
      <c r="E683" t="s">
        <v>588</v>
      </c>
      <c r="F683" t="s">
        <v>2261</v>
      </c>
      <c r="I683" t="s">
        <v>2262</v>
      </c>
      <c r="M683" s="134">
        <v>125000</v>
      </c>
      <c r="N683" s="134">
        <v>0</v>
      </c>
      <c r="O683" t="s">
        <v>2263</v>
      </c>
      <c r="P683" t="s">
        <v>2264</v>
      </c>
      <c r="Q683" t="s">
        <v>29</v>
      </c>
      <c r="R683" t="s">
        <v>2265</v>
      </c>
      <c r="U683" t="s">
        <v>633</v>
      </c>
      <c r="X683">
        <v>1</v>
      </c>
    </row>
    <row r="684" spans="1:24" x14ac:dyDescent="0.25">
      <c r="A684" s="234">
        <v>42776</v>
      </c>
      <c r="B684" t="s">
        <v>328</v>
      </c>
      <c r="C684" t="s">
        <v>603</v>
      </c>
      <c r="D684" t="s">
        <v>2397</v>
      </c>
      <c r="E684" t="s">
        <v>588</v>
      </c>
      <c r="F684" t="s">
        <v>5664</v>
      </c>
      <c r="H684" t="s">
        <v>809</v>
      </c>
      <c r="I684" t="s">
        <v>5665</v>
      </c>
      <c r="J684" t="s">
        <v>3751</v>
      </c>
      <c r="L684">
        <v>4</v>
      </c>
      <c r="M684" s="134">
        <v>125000</v>
      </c>
      <c r="N684" s="134">
        <v>125000</v>
      </c>
      <c r="O684" t="s">
        <v>3886</v>
      </c>
      <c r="P684" t="s">
        <v>5666</v>
      </c>
      <c r="Q684" t="s">
        <v>1612</v>
      </c>
      <c r="R684" t="s">
        <v>5675</v>
      </c>
      <c r="U684" t="s">
        <v>491</v>
      </c>
      <c r="X684">
        <v>0</v>
      </c>
    </row>
    <row r="685" spans="1:24" x14ac:dyDescent="0.25">
      <c r="A685" s="234">
        <v>43389</v>
      </c>
      <c r="B685" t="s">
        <v>328</v>
      </c>
      <c r="C685" t="s">
        <v>603</v>
      </c>
      <c r="D685" t="s">
        <v>8941</v>
      </c>
      <c r="F685" t="s">
        <v>12937</v>
      </c>
      <c r="G685" t="s">
        <v>4655</v>
      </c>
      <c r="H685" t="s">
        <v>607</v>
      </c>
      <c r="I685" t="s">
        <v>12938</v>
      </c>
      <c r="J685" t="s">
        <v>3733</v>
      </c>
      <c r="M685" s="134">
        <v>125000</v>
      </c>
      <c r="N685" s="134">
        <v>130000</v>
      </c>
      <c r="O685" t="s">
        <v>10763</v>
      </c>
      <c r="P685" t="s">
        <v>13409</v>
      </c>
      <c r="Q685" t="s">
        <v>1939</v>
      </c>
      <c r="R685" t="s">
        <v>12939</v>
      </c>
      <c r="U685" t="s">
        <v>12344</v>
      </c>
      <c r="X685">
        <v>0</v>
      </c>
    </row>
    <row r="686" spans="1:24" x14ac:dyDescent="0.25">
      <c r="A686" s="234">
        <v>42592</v>
      </c>
      <c r="B686" t="s">
        <v>328</v>
      </c>
      <c r="C686" t="s">
        <v>603</v>
      </c>
      <c r="D686" t="s">
        <v>672</v>
      </c>
      <c r="E686" t="s">
        <v>588</v>
      </c>
      <c r="F686" t="s">
        <v>3338</v>
      </c>
      <c r="H686" t="s">
        <v>607</v>
      </c>
      <c r="I686" t="s">
        <v>3339</v>
      </c>
      <c r="J686" t="s">
        <v>3374</v>
      </c>
      <c r="L686">
        <v>6</v>
      </c>
      <c r="M686" s="134">
        <v>125000</v>
      </c>
      <c r="N686" s="134">
        <v>140000</v>
      </c>
      <c r="O686" t="s">
        <v>3340</v>
      </c>
      <c r="P686" t="s">
        <v>3341</v>
      </c>
      <c r="Q686" t="s">
        <v>29</v>
      </c>
      <c r="R686" t="s">
        <v>3342</v>
      </c>
      <c r="U686" t="s">
        <v>491</v>
      </c>
      <c r="X686">
        <v>1</v>
      </c>
    </row>
    <row r="687" spans="1:24" x14ac:dyDescent="0.25">
      <c r="A687" s="234">
        <v>42802</v>
      </c>
      <c r="B687" t="s">
        <v>328</v>
      </c>
      <c r="C687" t="s">
        <v>603</v>
      </c>
      <c r="D687" t="s">
        <v>2397</v>
      </c>
      <c r="E687" t="s">
        <v>588</v>
      </c>
      <c r="F687" t="s">
        <v>5887</v>
      </c>
      <c r="H687" t="s">
        <v>905</v>
      </c>
      <c r="I687" t="s">
        <v>5888</v>
      </c>
      <c r="J687" t="s">
        <v>899</v>
      </c>
      <c r="L687">
        <v>2</v>
      </c>
      <c r="M687" s="134">
        <v>125000</v>
      </c>
      <c r="N687" s="134">
        <v>147500</v>
      </c>
      <c r="O687" t="s">
        <v>5889</v>
      </c>
      <c r="P687" t="s">
        <v>5890</v>
      </c>
      <c r="Q687" t="s">
        <v>592</v>
      </c>
      <c r="R687" t="s">
        <v>5891</v>
      </c>
      <c r="U687" t="s">
        <v>491</v>
      </c>
      <c r="X687">
        <v>0</v>
      </c>
    </row>
    <row r="688" spans="1:24" x14ac:dyDescent="0.25">
      <c r="A688" s="234">
        <v>43220</v>
      </c>
      <c r="B688" t="s">
        <v>328</v>
      </c>
      <c r="C688" t="s">
        <v>899</v>
      </c>
      <c r="D688" t="s">
        <v>7595</v>
      </c>
      <c r="E688" t="s">
        <v>588</v>
      </c>
      <c r="F688" t="s">
        <v>11091</v>
      </c>
      <c r="G688" t="s">
        <v>11092</v>
      </c>
      <c r="H688" t="s">
        <v>10829</v>
      </c>
      <c r="I688" t="s">
        <v>11093</v>
      </c>
      <c r="J688" t="s">
        <v>3501</v>
      </c>
      <c r="L688">
        <v>10</v>
      </c>
      <c r="M688" s="134">
        <v>125000</v>
      </c>
      <c r="N688" s="134">
        <v>155000</v>
      </c>
      <c r="O688" t="s">
        <v>10764</v>
      </c>
      <c r="P688" t="s">
        <v>11094</v>
      </c>
      <c r="Q688" t="s">
        <v>29</v>
      </c>
      <c r="R688" t="s">
        <v>11095</v>
      </c>
      <c r="U688" t="s">
        <v>1327</v>
      </c>
      <c r="X688">
        <v>1</v>
      </c>
    </row>
    <row r="689" spans="1:24" x14ac:dyDescent="0.25">
      <c r="A689" s="234">
        <v>42566</v>
      </c>
      <c r="B689" t="s">
        <v>328</v>
      </c>
      <c r="C689" t="s">
        <v>603</v>
      </c>
      <c r="D689" t="s">
        <v>2282</v>
      </c>
      <c r="E689" t="s">
        <v>588</v>
      </c>
      <c r="F689" t="s">
        <v>2895</v>
      </c>
      <c r="H689" t="s">
        <v>905</v>
      </c>
      <c r="I689" t="s">
        <v>2896</v>
      </c>
      <c r="M689" s="134">
        <v>125000</v>
      </c>
      <c r="N689" s="134">
        <v>164500</v>
      </c>
      <c r="O689" t="s">
        <v>2897</v>
      </c>
      <c r="P689" t="s">
        <v>2898</v>
      </c>
      <c r="Q689" t="s">
        <v>1939</v>
      </c>
      <c r="R689" t="s">
        <v>2899</v>
      </c>
      <c r="U689" t="s">
        <v>2227</v>
      </c>
      <c r="X689">
        <v>0</v>
      </c>
    </row>
    <row r="690" spans="1:24" x14ac:dyDescent="0.25">
      <c r="A690" s="234">
        <v>42594</v>
      </c>
      <c r="B690" t="s">
        <v>643</v>
      </c>
      <c r="C690" t="s">
        <v>644</v>
      </c>
      <c r="D690" t="s">
        <v>645</v>
      </c>
      <c r="E690" t="s">
        <v>588</v>
      </c>
      <c r="F690" t="s">
        <v>3402</v>
      </c>
      <c r="H690" t="s">
        <v>722</v>
      </c>
      <c r="J690" t="s">
        <v>644</v>
      </c>
      <c r="L690">
        <v>10</v>
      </c>
      <c r="M690" s="134">
        <v>125000</v>
      </c>
      <c r="N690" s="134">
        <v>172000</v>
      </c>
      <c r="O690" t="s">
        <v>3403</v>
      </c>
      <c r="P690" t="s">
        <v>3404</v>
      </c>
      <c r="Q690" t="s">
        <v>620</v>
      </c>
      <c r="R690" t="s">
        <v>3406</v>
      </c>
      <c r="U690" t="s">
        <v>491</v>
      </c>
      <c r="X690">
        <v>0</v>
      </c>
    </row>
    <row r="691" spans="1:24" x14ac:dyDescent="0.25">
      <c r="A691" s="234">
        <v>43340</v>
      </c>
      <c r="B691" t="s">
        <v>6076</v>
      </c>
      <c r="C691" t="s">
        <v>3370</v>
      </c>
      <c r="D691" t="s">
        <v>10524</v>
      </c>
      <c r="E691" t="s">
        <v>588</v>
      </c>
      <c r="F691" t="s">
        <v>12357</v>
      </c>
      <c r="G691" t="s">
        <v>15</v>
      </c>
      <c r="H691" t="s">
        <v>607</v>
      </c>
      <c r="I691" t="s">
        <v>12358</v>
      </c>
      <c r="J691" t="s">
        <v>3370</v>
      </c>
      <c r="M691" s="134">
        <v>125000</v>
      </c>
      <c r="N691" s="134">
        <v>175000</v>
      </c>
      <c r="O691" t="s">
        <v>4533</v>
      </c>
      <c r="P691" t="s">
        <v>12360</v>
      </c>
      <c r="Q691" t="s">
        <v>29</v>
      </c>
      <c r="R691" t="s">
        <v>12359</v>
      </c>
      <c r="U691" t="s">
        <v>491</v>
      </c>
      <c r="X691">
        <v>1</v>
      </c>
    </row>
    <row r="692" spans="1:24" x14ac:dyDescent="0.25">
      <c r="A692" s="234">
        <v>42418</v>
      </c>
      <c r="B692" t="s">
        <v>320</v>
      </c>
      <c r="D692" t="s">
        <v>1016</v>
      </c>
      <c r="E692" t="s">
        <v>588</v>
      </c>
      <c r="F692" t="s">
        <v>1022</v>
      </c>
      <c r="H692" t="s">
        <v>607</v>
      </c>
      <c r="I692" t="s">
        <v>1023</v>
      </c>
      <c r="M692" s="134">
        <v>125000</v>
      </c>
      <c r="N692" s="134">
        <v>175000</v>
      </c>
      <c r="O692" t="s">
        <v>1024</v>
      </c>
      <c r="P692" t="s">
        <v>1025</v>
      </c>
      <c r="Q692" t="s">
        <v>592</v>
      </c>
      <c r="R692" t="s">
        <v>1026</v>
      </c>
      <c r="U692" t="s">
        <v>491</v>
      </c>
      <c r="X692">
        <v>0</v>
      </c>
    </row>
    <row r="693" spans="1:24" x14ac:dyDescent="0.25">
      <c r="A693" s="234">
        <v>43564</v>
      </c>
      <c r="B693" t="s">
        <v>13559</v>
      </c>
      <c r="C693" t="s">
        <v>3523</v>
      </c>
      <c r="D693" t="s">
        <v>14673</v>
      </c>
      <c r="F693" t="s">
        <v>15021</v>
      </c>
      <c r="G693" t="s">
        <v>15022</v>
      </c>
      <c r="H693" t="s">
        <v>10832</v>
      </c>
      <c r="I693" t="s">
        <v>15023</v>
      </c>
      <c r="J693" t="s">
        <v>5610</v>
      </c>
      <c r="K693" t="s">
        <v>15024</v>
      </c>
      <c r="L693">
        <v>3</v>
      </c>
      <c r="M693" s="134">
        <v>125000</v>
      </c>
      <c r="N693" s="134">
        <v>193750</v>
      </c>
      <c r="O693" t="s">
        <v>10765</v>
      </c>
      <c r="P693" t="s">
        <v>15029</v>
      </c>
      <c r="Q693" t="s">
        <v>1939</v>
      </c>
      <c r="R693" t="s">
        <v>15025</v>
      </c>
      <c r="U693" t="s">
        <v>12797</v>
      </c>
      <c r="X693">
        <v>0</v>
      </c>
    </row>
    <row r="694" spans="1:24" x14ac:dyDescent="0.25">
      <c r="A694" s="234">
        <v>43173</v>
      </c>
      <c r="B694" t="s">
        <v>328</v>
      </c>
      <c r="C694" t="s">
        <v>603</v>
      </c>
      <c r="D694" t="s">
        <v>7595</v>
      </c>
      <c r="E694" t="s">
        <v>10290</v>
      </c>
      <c r="F694" t="s">
        <v>10590</v>
      </c>
      <c r="G694" t="s">
        <v>10590</v>
      </c>
      <c r="H694" t="s">
        <v>607</v>
      </c>
      <c r="J694" t="s">
        <v>3733</v>
      </c>
      <c r="L694">
        <v>1</v>
      </c>
      <c r="M694" s="134">
        <v>125000</v>
      </c>
      <c r="N694" s="134">
        <v>200000</v>
      </c>
      <c r="O694" t="s">
        <v>10762</v>
      </c>
      <c r="P694" t="s">
        <v>10591</v>
      </c>
      <c r="Q694" t="s">
        <v>1939</v>
      </c>
      <c r="R694" t="s">
        <v>10592</v>
      </c>
      <c r="U694" t="s">
        <v>1327</v>
      </c>
      <c r="X694">
        <v>0</v>
      </c>
    </row>
    <row r="695" spans="1:24" x14ac:dyDescent="0.25">
      <c r="A695" s="234">
        <v>42947</v>
      </c>
      <c r="B695" t="s">
        <v>328</v>
      </c>
      <c r="C695" t="s">
        <v>603</v>
      </c>
      <c r="D695" t="s">
        <v>649</v>
      </c>
      <c r="E695" t="s">
        <v>588</v>
      </c>
      <c r="F695" t="s">
        <v>7903</v>
      </c>
      <c r="G695" t="s">
        <v>7904</v>
      </c>
      <c r="H695" t="s">
        <v>607</v>
      </c>
      <c r="I695" t="s">
        <v>7905</v>
      </c>
      <c r="J695" t="s">
        <v>3885</v>
      </c>
      <c r="M695" s="134">
        <v>125000</v>
      </c>
      <c r="N695" s="134">
        <v>240000</v>
      </c>
      <c r="O695" t="s">
        <v>3107</v>
      </c>
      <c r="P695" t="s">
        <v>7906</v>
      </c>
      <c r="Q695" t="s">
        <v>620</v>
      </c>
      <c r="R695" t="s">
        <v>7907</v>
      </c>
      <c r="T695">
        <v>15</v>
      </c>
      <c r="U695" t="s">
        <v>491</v>
      </c>
      <c r="X695">
        <v>0</v>
      </c>
    </row>
    <row r="696" spans="1:24" x14ac:dyDescent="0.25">
      <c r="A696" s="234">
        <v>43011</v>
      </c>
      <c r="B696" t="s">
        <v>328</v>
      </c>
      <c r="C696" t="s">
        <v>603</v>
      </c>
      <c r="D696" t="s">
        <v>649</v>
      </c>
      <c r="E696" t="s">
        <v>588</v>
      </c>
      <c r="F696" t="s">
        <v>8826</v>
      </c>
      <c r="G696" t="s">
        <v>8827</v>
      </c>
      <c r="H696" t="s">
        <v>1057</v>
      </c>
      <c r="I696" t="s">
        <v>3929</v>
      </c>
      <c r="J696" t="s">
        <v>899</v>
      </c>
      <c r="M696" s="134">
        <v>125000</v>
      </c>
      <c r="N696" s="134">
        <v>260600</v>
      </c>
      <c r="O696" t="s">
        <v>8828</v>
      </c>
      <c r="P696" t="s">
        <v>8829</v>
      </c>
      <c r="Q696" t="s">
        <v>1939</v>
      </c>
      <c r="R696" t="s">
        <v>8830</v>
      </c>
      <c r="T696">
        <v>22</v>
      </c>
      <c r="U696" t="s">
        <v>491</v>
      </c>
      <c r="X696">
        <v>0</v>
      </c>
    </row>
    <row r="697" spans="1:24" x14ac:dyDescent="0.25">
      <c r="A697" s="234">
        <v>42524</v>
      </c>
      <c r="B697" t="s">
        <v>328</v>
      </c>
      <c r="C697" t="s">
        <v>603</v>
      </c>
      <c r="D697" t="s">
        <v>1401</v>
      </c>
      <c r="E697" t="s">
        <v>588</v>
      </c>
      <c r="F697" t="s">
        <v>2318</v>
      </c>
      <c r="H697" t="s">
        <v>710</v>
      </c>
      <c r="I697" t="s">
        <v>1552</v>
      </c>
      <c r="M697" s="134">
        <v>125000</v>
      </c>
      <c r="N697" s="134">
        <v>262500</v>
      </c>
      <c r="O697" t="s">
        <v>2319</v>
      </c>
      <c r="P697" t="s">
        <v>2320</v>
      </c>
      <c r="Q697" t="s">
        <v>620</v>
      </c>
      <c r="R697" t="s">
        <v>2321</v>
      </c>
      <c r="U697" t="s">
        <v>2227</v>
      </c>
      <c r="X697">
        <v>0</v>
      </c>
    </row>
    <row r="698" spans="1:24" x14ac:dyDescent="0.25">
      <c r="A698" s="234">
        <v>43417</v>
      </c>
      <c r="B698" t="s">
        <v>328</v>
      </c>
      <c r="C698" t="s">
        <v>603</v>
      </c>
      <c r="D698" t="s">
        <v>649</v>
      </c>
      <c r="F698" t="s">
        <v>13166</v>
      </c>
      <c r="G698" t="s">
        <v>1016</v>
      </c>
      <c r="H698" t="s">
        <v>607</v>
      </c>
      <c r="I698" t="s">
        <v>5641</v>
      </c>
      <c r="J698" t="s">
        <v>3612</v>
      </c>
      <c r="K698" t="s">
        <v>13167</v>
      </c>
      <c r="L698">
        <v>10</v>
      </c>
      <c r="M698" s="134">
        <v>125000</v>
      </c>
      <c r="N698" s="134">
        <v>650000</v>
      </c>
      <c r="O698" t="s">
        <v>7124</v>
      </c>
      <c r="P698" t="s">
        <v>13168</v>
      </c>
      <c r="Q698" t="s">
        <v>1612</v>
      </c>
      <c r="R698" t="s">
        <v>13479</v>
      </c>
      <c r="U698" t="s">
        <v>12344</v>
      </c>
      <c r="X698">
        <v>0</v>
      </c>
    </row>
    <row r="699" spans="1:24" x14ac:dyDescent="0.25">
      <c r="A699" s="234">
        <v>43241</v>
      </c>
      <c r="B699" t="s">
        <v>9240</v>
      </c>
      <c r="C699" t="s">
        <v>603</v>
      </c>
      <c r="D699" t="s">
        <v>9849</v>
      </c>
      <c r="E699" t="s">
        <v>588</v>
      </c>
      <c r="F699" t="s">
        <v>11340</v>
      </c>
      <c r="G699" t="s">
        <v>11341</v>
      </c>
      <c r="H699" t="s">
        <v>607</v>
      </c>
      <c r="I699" t="s">
        <v>6992</v>
      </c>
      <c r="J699" t="s">
        <v>603</v>
      </c>
      <c r="L699">
        <v>2</v>
      </c>
      <c r="M699" s="134">
        <v>126000</v>
      </c>
      <c r="N699" s="134">
        <v>200000</v>
      </c>
      <c r="O699" t="s">
        <v>10765</v>
      </c>
      <c r="P699" t="s">
        <v>11342</v>
      </c>
      <c r="Q699" t="s">
        <v>29</v>
      </c>
      <c r="R699" t="s">
        <v>11343</v>
      </c>
      <c r="U699" t="s">
        <v>1327</v>
      </c>
      <c r="X699">
        <v>1</v>
      </c>
    </row>
    <row r="700" spans="1:24" x14ac:dyDescent="0.25">
      <c r="A700" s="234">
        <v>42408</v>
      </c>
      <c r="B700" t="s">
        <v>328</v>
      </c>
      <c r="C700" t="s">
        <v>603</v>
      </c>
      <c r="D700" t="s">
        <v>649</v>
      </c>
      <c r="E700" t="s">
        <v>588</v>
      </c>
      <c r="F700" t="s">
        <v>946</v>
      </c>
      <c r="H700" t="s">
        <v>905</v>
      </c>
      <c r="I700" t="s">
        <v>956</v>
      </c>
      <c r="M700" s="134">
        <v>127000</v>
      </c>
      <c r="N700" s="134">
        <v>158750</v>
      </c>
      <c r="O700" t="s">
        <v>947</v>
      </c>
      <c r="P700" t="s">
        <v>948</v>
      </c>
      <c r="Q700" t="s">
        <v>592</v>
      </c>
      <c r="R700" t="s">
        <v>957</v>
      </c>
      <c r="U700" t="s">
        <v>491</v>
      </c>
      <c r="X700">
        <v>0</v>
      </c>
    </row>
    <row r="701" spans="1:24" x14ac:dyDescent="0.25">
      <c r="A701" s="234">
        <v>43474</v>
      </c>
      <c r="B701" t="s">
        <v>13559</v>
      </c>
      <c r="C701" t="s">
        <v>608</v>
      </c>
      <c r="D701" t="s">
        <v>13861</v>
      </c>
      <c r="F701" t="s">
        <v>13862</v>
      </c>
      <c r="G701" t="s">
        <v>13863</v>
      </c>
      <c r="H701" t="s">
        <v>607</v>
      </c>
      <c r="I701" t="s">
        <v>13864</v>
      </c>
      <c r="J701" t="s">
        <v>3368</v>
      </c>
      <c r="K701" t="s">
        <v>13865</v>
      </c>
      <c r="L701">
        <v>9</v>
      </c>
      <c r="M701" s="134">
        <v>128000</v>
      </c>
      <c r="N701" s="134">
        <v>230000</v>
      </c>
      <c r="O701" t="s">
        <v>10762</v>
      </c>
      <c r="P701" t="s">
        <v>13866</v>
      </c>
      <c r="Q701" t="s">
        <v>1939</v>
      </c>
      <c r="R701" t="s">
        <v>13867</v>
      </c>
      <c r="U701" t="s">
        <v>491</v>
      </c>
      <c r="X701">
        <v>0</v>
      </c>
    </row>
    <row r="702" spans="1:24" x14ac:dyDescent="0.25">
      <c r="A702" s="234">
        <v>42373</v>
      </c>
      <c r="B702" t="s">
        <v>594</v>
      </c>
      <c r="C702" t="s">
        <v>604</v>
      </c>
      <c r="D702" t="s">
        <v>595</v>
      </c>
      <c r="E702" t="s">
        <v>588</v>
      </c>
      <c r="F702" t="s">
        <v>596</v>
      </c>
      <c r="H702" t="s">
        <v>598</v>
      </c>
      <c r="I702" t="s">
        <v>599</v>
      </c>
      <c r="M702" s="134">
        <v>130000</v>
      </c>
      <c r="N702" s="134">
        <v>0</v>
      </c>
      <c r="O702" t="s">
        <v>617</v>
      </c>
      <c r="P702" t="s">
        <v>600</v>
      </c>
      <c r="Q702" t="s">
        <v>592</v>
      </c>
      <c r="R702" t="s">
        <v>601</v>
      </c>
      <c r="U702" t="s">
        <v>491</v>
      </c>
      <c r="X702">
        <v>0</v>
      </c>
    </row>
    <row r="703" spans="1:24" x14ac:dyDescent="0.25">
      <c r="A703" s="234">
        <v>42373</v>
      </c>
      <c r="B703" t="s">
        <v>328</v>
      </c>
      <c r="C703" t="s">
        <v>603</v>
      </c>
      <c r="D703" t="s">
        <v>587</v>
      </c>
      <c r="E703" t="s">
        <v>588</v>
      </c>
      <c r="F703" t="s">
        <v>589</v>
      </c>
      <c r="H703" t="s">
        <v>597</v>
      </c>
      <c r="I703" t="s">
        <v>590</v>
      </c>
      <c r="M703" s="134">
        <v>130000</v>
      </c>
      <c r="N703" s="134">
        <v>0</v>
      </c>
      <c r="O703" t="s">
        <v>616</v>
      </c>
      <c r="P703" t="s">
        <v>591</v>
      </c>
      <c r="Q703" t="s">
        <v>592</v>
      </c>
      <c r="R703" t="s">
        <v>593</v>
      </c>
      <c r="U703" t="s">
        <v>491</v>
      </c>
      <c r="X703">
        <v>0</v>
      </c>
    </row>
    <row r="704" spans="1:24" x14ac:dyDescent="0.25">
      <c r="A704" s="234">
        <v>43594</v>
      </c>
      <c r="B704" t="s">
        <v>6076</v>
      </c>
      <c r="C704" t="s">
        <v>3370</v>
      </c>
      <c r="D704" t="s">
        <v>10524</v>
      </c>
      <c r="F704" t="s">
        <v>15477</v>
      </c>
      <c r="G704" t="s">
        <v>10705</v>
      </c>
      <c r="H704" t="s">
        <v>607</v>
      </c>
      <c r="I704" t="s">
        <v>15478</v>
      </c>
      <c r="J704" t="s">
        <v>3370</v>
      </c>
      <c r="K704" t="s">
        <v>15479</v>
      </c>
      <c r="L704">
        <v>2</v>
      </c>
      <c r="M704" s="134">
        <v>130000</v>
      </c>
      <c r="N704" s="134">
        <v>150000</v>
      </c>
      <c r="O704" t="s">
        <v>10763</v>
      </c>
      <c r="P704" t="s">
        <v>15481</v>
      </c>
      <c r="Q704" t="s">
        <v>29</v>
      </c>
      <c r="R704" t="s">
        <v>15480</v>
      </c>
      <c r="S704" t="s">
        <v>15493</v>
      </c>
      <c r="U704" t="s">
        <v>491</v>
      </c>
      <c r="X704">
        <v>1</v>
      </c>
    </row>
    <row r="705" spans="1:24" x14ac:dyDescent="0.25">
      <c r="A705" s="234">
        <v>43483</v>
      </c>
      <c r="B705" t="s">
        <v>328</v>
      </c>
      <c r="C705" t="s">
        <v>603</v>
      </c>
      <c r="D705" t="s">
        <v>8941</v>
      </c>
      <c r="F705" t="s">
        <v>14061</v>
      </c>
      <c r="G705" t="s">
        <v>465</v>
      </c>
      <c r="H705" t="s">
        <v>10831</v>
      </c>
      <c r="I705" t="s">
        <v>14062</v>
      </c>
      <c r="J705" t="s">
        <v>3368</v>
      </c>
      <c r="K705" t="s">
        <v>14063</v>
      </c>
      <c r="L705">
        <v>10</v>
      </c>
      <c r="M705" s="134">
        <v>130000</v>
      </c>
      <c r="N705" s="134">
        <v>208000</v>
      </c>
      <c r="O705" t="s">
        <v>10764</v>
      </c>
      <c r="P705" t="s">
        <v>14064</v>
      </c>
      <c r="Q705" t="s">
        <v>1939</v>
      </c>
      <c r="R705" t="s">
        <v>14065</v>
      </c>
      <c r="U705" t="s">
        <v>12797</v>
      </c>
      <c r="X705">
        <v>0</v>
      </c>
    </row>
    <row r="706" spans="1:24" x14ac:dyDescent="0.25">
      <c r="A706" s="234">
        <v>42614</v>
      </c>
      <c r="B706" t="s">
        <v>328</v>
      </c>
      <c r="C706" t="s">
        <v>603</v>
      </c>
      <c r="D706" t="s">
        <v>2500</v>
      </c>
      <c r="E706" t="s">
        <v>588</v>
      </c>
      <c r="F706" t="s">
        <v>3731</v>
      </c>
      <c r="H706" t="s">
        <v>722</v>
      </c>
      <c r="I706" t="s">
        <v>3732</v>
      </c>
      <c r="J706" t="s">
        <v>3733</v>
      </c>
      <c r="L706">
        <v>10</v>
      </c>
      <c r="M706" s="134">
        <v>131000</v>
      </c>
      <c r="N706" s="134">
        <v>230000</v>
      </c>
      <c r="O706" t="s">
        <v>2560</v>
      </c>
      <c r="P706" t="s">
        <v>3735</v>
      </c>
      <c r="Q706" t="s">
        <v>29</v>
      </c>
      <c r="R706" t="s">
        <v>3736</v>
      </c>
      <c r="U706" t="s">
        <v>491</v>
      </c>
      <c r="X706">
        <v>1</v>
      </c>
    </row>
    <row r="707" spans="1:24" x14ac:dyDescent="0.25">
      <c r="A707" s="234">
        <v>43305</v>
      </c>
      <c r="B707" t="s">
        <v>328</v>
      </c>
      <c r="C707" t="s">
        <v>603</v>
      </c>
      <c r="D707" t="s">
        <v>7595</v>
      </c>
      <c r="E707" t="s">
        <v>588</v>
      </c>
      <c r="F707" t="s">
        <v>11894</v>
      </c>
      <c r="G707" t="s">
        <v>11286</v>
      </c>
      <c r="H707" t="s">
        <v>607</v>
      </c>
      <c r="J707" t="s">
        <v>5610</v>
      </c>
      <c r="L707">
        <v>10</v>
      </c>
      <c r="M707" s="134">
        <v>132000</v>
      </c>
      <c r="N707" s="134">
        <v>171600</v>
      </c>
      <c r="O707" t="s">
        <v>7124</v>
      </c>
      <c r="P707" t="s">
        <v>11895</v>
      </c>
      <c r="Q707" t="s">
        <v>1939</v>
      </c>
      <c r="R707" t="s">
        <v>11896</v>
      </c>
      <c r="U707" t="s">
        <v>1327</v>
      </c>
      <c r="X707">
        <v>0</v>
      </c>
    </row>
    <row r="708" spans="1:24" x14ac:dyDescent="0.25">
      <c r="A708" s="234">
        <v>43025</v>
      </c>
      <c r="B708" t="s">
        <v>328</v>
      </c>
      <c r="C708" t="s">
        <v>644</v>
      </c>
      <c r="D708" t="s">
        <v>672</v>
      </c>
      <c r="E708" t="s">
        <v>588</v>
      </c>
      <c r="F708" t="s">
        <v>9051</v>
      </c>
      <c r="G708" t="s">
        <v>9052</v>
      </c>
      <c r="H708" t="s">
        <v>3095</v>
      </c>
      <c r="I708" t="s">
        <v>2054</v>
      </c>
      <c r="J708" t="s">
        <v>899</v>
      </c>
      <c r="L708">
        <v>1</v>
      </c>
      <c r="M708" s="134">
        <v>132000</v>
      </c>
      <c r="N708" s="134">
        <v>264000</v>
      </c>
      <c r="O708" t="s">
        <v>9053</v>
      </c>
      <c r="P708" t="s">
        <v>9054</v>
      </c>
      <c r="Q708" t="s">
        <v>1612</v>
      </c>
      <c r="R708" t="s">
        <v>9070</v>
      </c>
      <c r="U708" t="s">
        <v>491</v>
      </c>
      <c r="X708">
        <v>0</v>
      </c>
    </row>
    <row r="709" spans="1:24" x14ac:dyDescent="0.25">
      <c r="A709" s="234">
        <v>43508</v>
      </c>
      <c r="B709" t="s">
        <v>328</v>
      </c>
      <c r="C709" t="s">
        <v>603</v>
      </c>
      <c r="D709" t="s">
        <v>7595</v>
      </c>
      <c r="F709" t="s">
        <v>14447</v>
      </c>
      <c r="G709" t="s">
        <v>14448</v>
      </c>
      <c r="H709" t="s">
        <v>607</v>
      </c>
      <c r="I709" t="s">
        <v>14449</v>
      </c>
      <c r="J709" t="s">
        <v>14074</v>
      </c>
      <c r="K709" t="s">
        <v>14450</v>
      </c>
      <c r="L709">
        <v>10</v>
      </c>
      <c r="M709" s="134">
        <v>132000</v>
      </c>
      <c r="N709" s="134">
        <v>265000</v>
      </c>
      <c r="O709" t="s">
        <v>10764</v>
      </c>
      <c r="P709" t="s">
        <v>14451</v>
      </c>
      <c r="Q709" t="s">
        <v>1939</v>
      </c>
      <c r="R709" t="s">
        <v>14452</v>
      </c>
      <c r="U709" t="s">
        <v>12797</v>
      </c>
      <c r="X709">
        <v>0</v>
      </c>
    </row>
    <row r="710" spans="1:24" x14ac:dyDescent="0.25">
      <c r="A710" s="234">
        <v>42584</v>
      </c>
      <c r="B710" t="s">
        <v>328</v>
      </c>
      <c r="C710" t="s">
        <v>603</v>
      </c>
      <c r="D710" t="s">
        <v>1401</v>
      </c>
      <c r="E710" t="s">
        <v>588</v>
      </c>
      <c r="F710" t="s">
        <v>3166</v>
      </c>
      <c r="H710" t="s">
        <v>607</v>
      </c>
      <c r="I710" t="s">
        <v>3167</v>
      </c>
      <c r="J710" t="s">
        <v>3368</v>
      </c>
      <c r="M710" s="134">
        <v>132500</v>
      </c>
      <c r="N710" s="134">
        <v>278250</v>
      </c>
      <c r="O710" t="s">
        <v>2934</v>
      </c>
      <c r="P710" t="s">
        <v>3168</v>
      </c>
      <c r="Q710" t="s">
        <v>1939</v>
      </c>
      <c r="R710" t="s">
        <v>3169</v>
      </c>
      <c r="U710" t="s">
        <v>491</v>
      </c>
      <c r="X710">
        <v>0</v>
      </c>
    </row>
    <row r="711" spans="1:24" x14ac:dyDescent="0.25">
      <c r="A711" s="234">
        <v>42887</v>
      </c>
      <c r="B711" t="s">
        <v>328</v>
      </c>
      <c r="C711" t="s">
        <v>603</v>
      </c>
      <c r="D711" t="s">
        <v>1401</v>
      </c>
      <c r="E711" t="s">
        <v>588</v>
      </c>
      <c r="F711" t="s">
        <v>7024</v>
      </c>
      <c r="H711" t="s">
        <v>6002</v>
      </c>
      <c r="I711" t="s">
        <v>7025</v>
      </c>
      <c r="J711" t="s">
        <v>3373</v>
      </c>
      <c r="L711">
        <v>3</v>
      </c>
      <c r="M711" s="134">
        <v>133000</v>
      </c>
      <c r="N711" s="134">
        <v>212000</v>
      </c>
      <c r="O711" t="s">
        <v>7026</v>
      </c>
      <c r="P711" t="s">
        <v>7027</v>
      </c>
      <c r="Q711" t="s">
        <v>1939</v>
      </c>
      <c r="R711" t="s">
        <v>7060</v>
      </c>
      <c r="U711" t="s">
        <v>1327</v>
      </c>
      <c r="X711">
        <v>0</v>
      </c>
    </row>
    <row r="712" spans="1:24" x14ac:dyDescent="0.25">
      <c r="A712" s="234">
        <v>43550</v>
      </c>
      <c r="B712" t="s">
        <v>328</v>
      </c>
      <c r="C712" t="s">
        <v>603</v>
      </c>
      <c r="D712" t="s">
        <v>10705</v>
      </c>
      <c r="F712" t="s">
        <v>14875</v>
      </c>
      <c r="H712" t="s">
        <v>10832</v>
      </c>
      <c r="I712" t="s">
        <v>10036</v>
      </c>
      <c r="J712" t="s">
        <v>3373</v>
      </c>
      <c r="K712" t="s">
        <v>14876</v>
      </c>
      <c r="L712">
        <v>10</v>
      </c>
      <c r="M712" s="134">
        <v>134418</v>
      </c>
      <c r="N712" s="134">
        <v>163860</v>
      </c>
      <c r="O712" t="s">
        <v>10763</v>
      </c>
      <c r="P712" t="s">
        <v>14877</v>
      </c>
      <c r="Q712" t="s">
        <v>592</v>
      </c>
      <c r="R712" t="s">
        <v>14948</v>
      </c>
      <c r="U712" t="s">
        <v>12797</v>
      </c>
      <c r="X712">
        <v>0</v>
      </c>
    </row>
    <row r="713" spans="1:24" x14ac:dyDescent="0.25">
      <c r="A713" s="234">
        <v>43333</v>
      </c>
      <c r="B713" t="s">
        <v>328</v>
      </c>
      <c r="C713" t="s">
        <v>603</v>
      </c>
      <c r="D713" t="s">
        <v>10338</v>
      </c>
      <c r="E713" t="s">
        <v>588</v>
      </c>
      <c r="F713" t="s">
        <v>12404</v>
      </c>
      <c r="G713" t="s">
        <v>12405</v>
      </c>
      <c r="H713" t="s">
        <v>886</v>
      </c>
      <c r="J713" t="s">
        <v>3523</v>
      </c>
      <c r="M713" s="134">
        <v>135000</v>
      </c>
      <c r="N713" s="134">
        <v>135000</v>
      </c>
      <c r="O713" t="s">
        <v>10762</v>
      </c>
      <c r="P713" t="s">
        <v>12406</v>
      </c>
      <c r="Q713" t="s">
        <v>29</v>
      </c>
      <c r="R713" t="s">
        <v>12407</v>
      </c>
      <c r="U713" t="s">
        <v>1327</v>
      </c>
      <c r="X713">
        <v>1</v>
      </c>
    </row>
    <row r="714" spans="1:24" x14ac:dyDescent="0.25">
      <c r="A714" s="234">
        <v>42857</v>
      </c>
      <c r="B714" t="s">
        <v>328</v>
      </c>
      <c r="D714" t="s">
        <v>649</v>
      </c>
      <c r="E714" t="s">
        <v>588</v>
      </c>
      <c r="F714" t="s">
        <v>6652</v>
      </c>
      <c r="H714" t="s">
        <v>4183</v>
      </c>
      <c r="J714" t="s">
        <v>3885</v>
      </c>
      <c r="M714" s="134">
        <v>135000</v>
      </c>
      <c r="N714" s="134">
        <v>148500</v>
      </c>
      <c r="O714" t="s">
        <v>6649</v>
      </c>
      <c r="P714" t="s">
        <v>6650</v>
      </c>
      <c r="Q714" t="s">
        <v>592</v>
      </c>
      <c r="R714" t="s">
        <v>6651</v>
      </c>
      <c r="U714" t="s">
        <v>1327</v>
      </c>
      <c r="X714">
        <v>0</v>
      </c>
    </row>
    <row r="715" spans="1:24" x14ac:dyDescent="0.25">
      <c r="A715" s="234">
        <v>43206</v>
      </c>
      <c r="B715" t="s">
        <v>328</v>
      </c>
      <c r="C715" t="s">
        <v>603</v>
      </c>
      <c r="D715" t="s">
        <v>5701</v>
      </c>
      <c r="E715" t="s">
        <v>588</v>
      </c>
      <c r="F715" t="s">
        <v>10956</v>
      </c>
      <c r="G715" t="s">
        <v>10957</v>
      </c>
      <c r="H715" t="s">
        <v>607</v>
      </c>
      <c r="I715" t="s">
        <v>10958</v>
      </c>
      <c r="J715" t="s">
        <v>3373</v>
      </c>
      <c r="L715">
        <v>8</v>
      </c>
      <c r="M715" s="134">
        <v>135900</v>
      </c>
      <c r="N715" s="134">
        <v>309435</v>
      </c>
      <c r="O715" t="s">
        <v>10764</v>
      </c>
      <c r="P715" t="s">
        <v>10959</v>
      </c>
      <c r="Q715" t="s">
        <v>29</v>
      </c>
      <c r="R715" t="s">
        <v>11144</v>
      </c>
      <c r="U715" t="s">
        <v>1327</v>
      </c>
      <c r="X715">
        <v>1</v>
      </c>
    </row>
    <row r="716" spans="1:24" x14ac:dyDescent="0.25">
      <c r="A716" s="234">
        <v>42983</v>
      </c>
      <c r="B716" t="s">
        <v>5992</v>
      </c>
      <c r="C716" t="s">
        <v>608</v>
      </c>
      <c r="D716" t="s">
        <v>5270</v>
      </c>
      <c r="E716" t="s">
        <v>588</v>
      </c>
      <c r="F716" t="s">
        <v>8409</v>
      </c>
      <c r="G716" t="s">
        <v>8412</v>
      </c>
      <c r="H716" t="s">
        <v>607</v>
      </c>
      <c r="I716" t="s">
        <v>8410</v>
      </c>
      <c r="J716" t="s">
        <v>608</v>
      </c>
      <c r="M716" s="134">
        <v>136000</v>
      </c>
      <c r="N716" s="134">
        <v>250000</v>
      </c>
      <c r="O716" t="s">
        <v>35</v>
      </c>
      <c r="P716" t="s">
        <v>8416</v>
      </c>
      <c r="Q716" t="s">
        <v>29</v>
      </c>
      <c r="R716" t="s">
        <v>8417</v>
      </c>
      <c r="S716" t="s">
        <v>8418</v>
      </c>
      <c r="T716">
        <v>20</v>
      </c>
      <c r="U716" t="s">
        <v>491</v>
      </c>
      <c r="X716">
        <v>1</v>
      </c>
    </row>
    <row r="717" spans="1:24" x14ac:dyDescent="0.25">
      <c r="A717" s="234">
        <v>42580</v>
      </c>
      <c r="B717" t="s">
        <v>643</v>
      </c>
      <c r="C717" t="s">
        <v>644</v>
      </c>
      <c r="D717" t="s">
        <v>3132</v>
      </c>
      <c r="E717" t="s">
        <v>588</v>
      </c>
      <c r="F717" t="s">
        <v>3133</v>
      </c>
      <c r="H717" t="s">
        <v>742</v>
      </c>
      <c r="I717" t="s">
        <v>1684</v>
      </c>
      <c r="M717" s="134">
        <v>138000</v>
      </c>
      <c r="N717" s="134">
        <v>175600</v>
      </c>
      <c r="O717" t="s">
        <v>3134</v>
      </c>
      <c r="P717" t="s">
        <v>3135</v>
      </c>
      <c r="Q717" t="s">
        <v>592</v>
      </c>
      <c r="R717" t="s">
        <v>3139</v>
      </c>
      <c r="U717" t="s">
        <v>491</v>
      </c>
      <c r="X717">
        <v>0</v>
      </c>
    </row>
    <row r="718" spans="1:24" x14ac:dyDescent="0.25">
      <c r="A718" s="234">
        <v>43111</v>
      </c>
      <c r="B718" t="s">
        <v>328</v>
      </c>
      <c r="C718" t="s">
        <v>603</v>
      </c>
      <c r="D718" t="s">
        <v>649</v>
      </c>
      <c r="E718" t="s">
        <v>588</v>
      </c>
      <c r="F718" t="s">
        <v>10013</v>
      </c>
      <c r="G718" t="s">
        <v>10013</v>
      </c>
      <c r="H718" t="s">
        <v>10831</v>
      </c>
      <c r="I718" t="s">
        <v>10014</v>
      </c>
      <c r="J718" t="s">
        <v>3733</v>
      </c>
      <c r="L718">
        <v>10</v>
      </c>
      <c r="M718" s="134">
        <v>138567</v>
      </c>
      <c r="N718" s="134">
        <v>443994</v>
      </c>
      <c r="O718" t="s">
        <v>7124</v>
      </c>
      <c r="P718" t="s">
        <v>10015</v>
      </c>
      <c r="Q718" t="s">
        <v>1939</v>
      </c>
      <c r="R718" t="s">
        <v>10016</v>
      </c>
      <c r="S718" t="s">
        <v>10210</v>
      </c>
      <c r="U718" t="s">
        <v>1327</v>
      </c>
      <c r="X718">
        <v>0</v>
      </c>
    </row>
    <row r="719" spans="1:24" x14ac:dyDescent="0.25">
      <c r="A719" s="234">
        <v>43116</v>
      </c>
      <c r="B719" t="s">
        <v>328</v>
      </c>
      <c r="C719" t="s">
        <v>603</v>
      </c>
      <c r="D719" t="s">
        <v>8941</v>
      </c>
      <c r="E719" t="s">
        <v>588</v>
      </c>
      <c r="F719" t="s">
        <v>10042</v>
      </c>
      <c r="G719" t="s">
        <v>7457</v>
      </c>
      <c r="H719" t="s">
        <v>10831</v>
      </c>
      <c r="I719" t="s">
        <v>10043</v>
      </c>
      <c r="J719" t="s">
        <v>3733</v>
      </c>
      <c r="L719">
        <v>10</v>
      </c>
      <c r="M719" s="134">
        <v>139000</v>
      </c>
      <c r="N719" s="134">
        <v>222400</v>
      </c>
      <c r="O719" t="s">
        <v>7124</v>
      </c>
      <c r="P719" t="s">
        <v>10044</v>
      </c>
      <c r="Q719" t="s">
        <v>1939</v>
      </c>
      <c r="R719" t="s">
        <v>10045</v>
      </c>
      <c r="U719" t="s">
        <v>1327</v>
      </c>
      <c r="X719">
        <v>0</v>
      </c>
    </row>
    <row r="720" spans="1:24" x14ac:dyDescent="0.25">
      <c r="A720" s="234">
        <v>42423</v>
      </c>
      <c r="B720" t="s">
        <v>110</v>
      </c>
      <c r="D720" t="s">
        <v>1070</v>
      </c>
      <c r="E720" t="s">
        <v>588</v>
      </c>
      <c r="F720" t="s">
        <v>1099</v>
      </c>
      <c r="H720" t="s">
        <v>722</v>
      </c>
      <c r="I720" t="s">
        <v>1100</v>
      </c>
      <c r="M720" s="134">
        <v>139000</v>
      </c>
      <c r="N720" s="134">
        <v>236300</v>
      </c>
      <c r="O720" t="s">
        <v>840</v>
      </c>
      <c r="P720" t="s">
        <v>1101</v>
      </c>
      <c r="Q720" t="s">
        <v>592</v>
      </c>
      <c r="R720" t="s">
        <v>1102</v>
      </c>
      <c r="U720" t="s">
        <v>491</v>
      </c>
      <c r="X720">
        <v>0</v>
      </c>
    </row>
    <row r="721" spans="1:24" x14ac:dyDescent="0.25">
      <c r="A721" s="234">
        <v>43432</v>
      </c>
      <c r="B721" t="s">
        <v>328</v>
      </c>
      <c r="C721" t="s">
        <v>603</v>
      </c>
      <c r="D721" t="s">
        <v>649</v>
      </c>
      <c r="F721" t="s">
        <v>13311</v>
      </c>
      <c r="G721" t="s">
        <v>13312</v>
      </c>
      <c r="H721" t="s">
        <v>607</v>
      </c>
      <c r="I721" t="s">
        <v>7025</v>
      </c>
      <c r="J721" t="s">
        <v>3373</v>
      </c>
      <c r="K721" t="s">
        <v>13313</v>
      </c>
      <c r="L721">
        <v>2</v>
      </c>
      <c r="M721" s="134">
        <v>139400</v>
      </c>
      <c r="N721" s="134">
        <v>300000</v>
      </c>
      <c r="O721" t="s">
        <v>4533</v>
      </c>
      <c r="P721" t="s">
        <v>13314</v>
      </c>
      <c r="Q721" t="s">
        <v>1612</v>
      </c>
      <c r="R721" t="s">
        <v>13334</v>
      </c>
      <c r="U721" t="s">
        <v>491</v>
      </c>
      <c r="X721">
        <v>0</v>
      </c>
    </row>
    <row r="722" spans="1:24" x14ac:dyDescent="0.25">
      <c r="A722" s="234">
        <v>43343</v>
      </c>
      <c r="B722" t="s">
        <v>328</v>
      </c>
      <c r="C722" t="s">
        <v>603</v>
      </c>
      <c r="D722" t="s">
        <v>672</v>
      </c>
      <c r="E722" t="s">
        <v>588</v>
      </c>
      <c r="F722" t="s">
        <v>12451</v>
      </c>
      <c r="G722" t="s">
        <v>9221</v>
      </c>
      <c r="H722" t="s">
        <v>12452</v>
      </c>
      <c r="J722" t="s">
        <v>6329</v>
      </c>
      <c r="L722">
        <v>5</v>
      </c>
      <c r="M722" s="134">
        <v>140000</v>
      </c>
      <c r="N722" s="134">
        <v>140000</v>
      </c>
      <c r="O722" t="s">
        <v>10764</v>
      </c>
      <c r="P722" t="s">
        <v>12453</v>
      </c>
      <c r="Q722" t="s">
        <v>1939</v>
      </c>
      <c r="R722" t="s">
        <v>12456</v>
      </c>
      <c r="U722" t="s">
        <v>491</v>
      </c>
      <c r="X722">
        <v>0</v>
      </c>
    </row>
    <row r="723" spans="1:24" x14ac:dyDescent="0.25">
      <c r="A723" s="234">
        <v>43518</v>
      </c>
      <c r="B723" t="s">
        <v>643</v>
      </c>
      <c r="C723" t="s">
        <v>644</v>
      </c>
      <c r="D723" t="s">
        <v>645</v>
      </c>
      <c r="F723" t="s">
        <v>14505</v>
      </c>
      <c r="G723" t="s">
        <v>14506</v>
      </c>
      <c r="H723" t="s">
        <v>905</v>
      </c>
      <c r="I723" t="s">
        <v>4390</v>
      </c>
      <c r="J723" t="s">
        <v>644</v>
      </c>
      <c r="K723" t="s">
        <v>14507</v>
      </c>
      <c r="L723">
        <v>9</v>
      </c>
      <c r="M723" s="134">
        <v>140000</v>
      </c>
      <c r="N723" s="134">
        <v>159000</v>
      </c>
      <c r="O723" t="s">
        <v>10765</v>
      </c>
      <c r="P723" t="s">
        <v>14508</v>
      </c>
      <c r="Q723" t="s">
        <v>1939</v>
      </c>
      <c r="R723" t="s">
        <v>14571</v>
      </c>
      <c r="U723" t="s">
        <v>12797</v>
      </c>
      <c r="X723">
        <v>0</v>
      </c>
    </row>
    <row r="724" spans="1:24" x14ac:dyDescent="0.25">
      <c r="A724" s="234">
        <v>43439</v>
      </c>
      <c r="B724" t="s">
        <v>5176</v>
      </c>
      <c r="C724" t="s">
        <v>899</v>
      </c>
      <c r="D724" t="s">
        <v>595</v>
      </c>
      <c r="F724" t="s">
        <v>13493</v>
      </c>
      <c r="G724" t="s">
        <v>13494</v>
      </c>
      <c r="H724" t="s">
        <v>607</v>
      </c>
      <c r="J724" t="s">
        <v>4684</v>
      </c>
      <c r="L724">
        <v>9</v>
      </c>
      <c r="M724" s="134">
        <v>140000</v>
      </c>
      <c r="N724" s="134">
        <v>218000</v>
      </c>
      <c r="O724" t="s">
        <v>49</v>
      </c>
      <c r="P724" t="s">
        <v>13495</v>
      </c>
      <c r="Q724" t="s">
        <v>1939</v>
      </c>
      <c r="R724" t="s">
        <v>13496</v>
      </c>
      <c r="U724" t="s">
        <v>491</v>
      </c>
      <c r="X724">
        <v>0</v>
      </c>
    </row>
    <row r="725" spans="1:24" x14ac:dyDescent="0.25">
      <c r="A725" s="234">
        <v>42488</v>
      </c>
      <c r="B725" t="s">
        <v>328</v>
      </c>
      <c r="D725" t="s">
        <v>1471</v>
      </c>
      <c r="E725" t="s">
        <v>588</v>
      </c>
      <c r="F725" t="s">
        <v>1872</v>
      </c>
      <c r="H725" t="s">
        <v>607</v>
      </c>
      <c r="I725" t="s">
        <v>1873</v>
      </c>
      <c r="M725" s="134">
        <v>140000</v>
      </c>
      <c r="N725" s="134">
        <v>238000</v>
      </c>
      <c r="O725" t="s">
        <v>1874</v>
      </c>
      <c r="P725" t="s">
        <v>1875</v>
      </c>
      <c r="Q725" t="s">
        <v>29</v>
      </c>
      <c r="R725" t="s">
        <v>1876</v>
      </c>
      <c r="U725" t="s">
        <v>491</v>
      </c>
      <c r="X725">
        <v>1</v>
      </c>
    </row>
    <row r="726" spans="1:24" x14ac:dyDescent="0.25">
      <c r="A726" s="234">
        <v>42404</v>
      </c>
      <c r="B726" t="s">
        <v>328</v>
      </c>
      <c r="C726" t="s">
        <v>603</v>
      </c>
      <c r="D726" t="s">
        <v>649</v>
      </c>
      <c r="E726" t="s">
        <v>588</v>
      </c>
      <c r="F726" t="s">
        <v>934</v>
      </c>
      <c r="H726" t="s">
        <v>905</v>
      </c>
      <c r="I726" t="s">
        <v>935</v>
      </c>
      <c r="M726" s="134">
        <v>140034</v>
      </c>
      <c r="N726" s="134">
        <v>153101</v>
      </c>
      <c r="O726" t="s">
        <v>936</v>
      </c>
      <c r="P726" t="s">
        <v>937</v>
      </c>
      <c r="Q726" t="s">
        <v>592</v>
      </c>
      <c r="R726" t="s">
        <v>938</v>
      </c>
      <c r="U726" t="s">
        <v>491</v>
      </c>
      <c r="X726">
        <v>0</v>
      </c>
    </row>
    <row r="727" spans="1:24" x14ac:dyDescent="0.25">
      <c r="A727" s="234">
        <v>43516</v>
      </c>
      <c r="B727" t="s">
        <v>328</v>
      </c>
      <c r="C727" t="s">
        <v>603</v>
      </c>
      <c r="D727" t="s">
        <v>5701</v>
      </c>
      <c r="F727" t="s">
        <v>328</v>
      </c>
      <c r="G727" t="s">
        <v>611</v>
      </c>
      <c r="H727" t="s">
        <v>607</v>
      </c>
      <c r="I727" t="s">
        <v>14462</v>
      </c>
      <c r="J727" t="s">
        <v>602</v>
      </c>
      <c r="K727" t="s">
        <v>14463</v>
      </c>
      <c r="L727">
        <v>1</v>
      </c>
      <c r="M727" s="134">
        <v>140900</v>
      </c>
      <c r="N727" s="134">
        <v>267710</v>
      </c>
      <c r="O727" t="s">
        <v>10766</v>
      </c>
      <c r="P727" t="s">
        <v>14568</v>
      </c>
      <c r="Q727" t="s">
        <v>1939</v>
      </c>
      <c r="R727" t="s">
        <v>14464</v>
      </c>
      <c r="U727" t="s">
        <v>12797</v>
      </c>
      <c r="X727">
        <v>0</v>
      </c>
    </row>
    <row r="728" spans="1:24" x14ac:dyDescent="0.25">
      <c r="A728" s="234">
        <v>43377</v>
      </c>
      <c r="B728" t="s">
        <v>328</v>
      </c>
      <c r="C728" t="s">
        <v>603</v>
      </c>
      <c r="D728" t="s">
        <v>7595</v>
      </c>
      <c r="E728" t="s">
        <v>588</v>
      </c>
      <c r="F728" t="s">
        <v>12838</v>
      </c>
      <c r="G728" t="s">
        <v>12839</v>
      </c>
      <c r="H728" t="s">
        <v>905</v>
      </c>
      <c r="I728" t="s">
        <v>12841</v>
      </c>
      <c r="J728" t="s">
        <v>644</v>
      </c>
      <c r="L728">
        <v>10</v>
      </c>
      <c r="M728" s="134">
        <v>141000</v>
      </c>
      <c r="N728" s="134">
        <v>216000</v>
      </c>
      <c r="O728" t="s">
        <v>7124</v>
      </c>
      <c r="P728" t="s">
        <v>12840</v>
      </c>
      <c r="Q728" t="s">
        <v>1939</v>
      </c>
      <c r="R728" t="s">
        <v>12842</v>
      </c>
      <c r="U728" t="s">
        <v>12344</v>
      </c>
      <c r="X728">
        <v>0</v>
      </c>
    </row>
    <row r="729" spans="1:24" x14ac:dyDescent="0.25">
      <c r="A729" s="234">
        <v>43210</v>
      </c>
      <c r="B729" t="s">
        <v>9240</v>
      </c>
      <c r="C729" t="s">
        <v>603</v>
      </c>
      <c r="D729" t="s">
        <v>9241</v>
      </c>
      <c r="E729" t="s">
        <v>588</v>
      </c>
      <c r="F729" t="s">
        <v>11023</v>
      </c>
      <c r="G729" t="s">
        <v>11024</v>
      </c>
      <c r="H729" t="s">
        <v>607</v>
      </c>
      <c r="I729" t="s">
        <v>11025</v>
      </c>
      <c r="J729" t="s">
        <v>603</v>
      </c>
      <c r="L729">
        <v>4</v>
      </c>
      <c r="M729" s="134">
        <v>142000</v>
      </c>
      <c r="N729" s="134">
        <v>355700</v>
      </c>
      <c r="O729" t="s">
        <v>10766</v>
      </c>
      <c r="P729" t="s">
        <v>11026</v>
      </c>
      <c r="Q729" t="s">
        <v>29</v>
      </c>
      <c r="R729" t="s">
        <v>11027</v>
      </c>
      <c r="U729" t="s">
        <v>1327</v>
      </c>
      <c r="X729">
        <v>1</v>
      </c>
    </row>
    <row r="730" spans="1:24" x14ac:dyDescent="0.25">
      <c r="A730" s="234">
        <v>42738</v>
      </c>
      <c r="B730" t="s">
        <v>328</v>
      </c>
      <c r="C730" t="s">
        <v>603</v>
      </c>
      <c r="D730" t="s">
        <v>2397</v>
      </c>
      <c r="E730" t="s">
        <v>588</v>
      </c>
      <c r="F730" t="s">
        <v>5182</v>
      </c>
      <c r="H730" t="s">
        <v>607</v>
      </c>
      <c r="I730" t="s">
        <v>5183</v>
      </c>
      <c r="J730" t="s">
        <v>3612</v>
      </c>
      <c r="L730">
        <v>2</v>
      </c>
      <c r="M730" s="134">
        <v>143000</v>
      </c>
      <c r="N730" s="134">
        <v>256100</v>
      </c>
      <c r="O730" t="s">
        <v>3107</v>
      </c>
      <c r="P730" t="s">
        <v>5184</v>
      </c>
      <c r="Q730" t="s">
        <v>1939</v>
      </c>
      <c r="R730" t="s">
        <v>5185</v>
      </c>
      <c r="U730" t="s">
        <v>491</v>
      </c>
      <c r="X730">
        <v>0</v>
      </c>
    </row>
    <row r="731" spans="1:24" x14ac:dyDescent="0.25">
      <c r="A731" s="234">
        <v>42783</v>
      </c>
      <c r="B731" t="s">
        <v>328</v>
      </c>
      <c r="C731" t="s">
        <v>603</v>
      </c>
      <c r="D731" t="s">
        <v>5701</v>
      </c>
      <c r="E731" t="s">
        <v>588</v>
      </c>
      <c r="F731" t="s">
        <v>5709</v>
      </c>
      <c r="H731" t="s">
        <v>1391</v>
      </c>
      <c r="I731" t="s">
        <v>5710</v>
      </c>
      <c r="J731" t="s">
        <v>5309</v>
      </c>
      <c r="L731">
        <v>10</v>
      </c>
      <c r="M731" s="134">
        <v>144000</v>
      </c>
      <c r="N731" s="134">
        <v>231500</v>
      </c>
      <c r="O731" t="s">
        <v>5712</v>
      </c>
      <c r="P731" t="s">
        <v>5711</v>
      </c>
      <c r="Q731" t="s">
        <v>29</v>
      </c>
      <c r="R731" t="s">
        <v>5713</v>
      </c>
      <c r="U731" t="s">
        <v>491</v>
      </c>
      <c r="X731">
        <v>1</v>
      </c>
    </row>
    <row r="732" spans="1:24" x14ac:dyDescent="0.25">
      <c r="A732" s="234">
        <v>43322</v>
      </c>
      <c r="B732" t="s">
        <v>328</v>
      </c>
      <c r="C732" t="s">
        <v>603</v>
      </c>
      <c r="D732" t="s">
        <v>649</v>
      </c>
      <c r="E732" t="s">
        <v>588</v>
      </c>
      <c r="F732" t="s">
        <v>12158</v>
      </c>
      <c r="G732" t="s">
        <v>15</v>
      </c>
      <c r="H732" t="s">
        <v>10831</v>
      </c>
      <c r="I732" t="s">
        <v>9243</v>
      </c>
      <c r="J732" t="s">
        <v>603</v>
      </c>
      <c r="L732">
        <v>10</v>
      </c>
      <c r="M732" s="134">
        <v>144000</v>
      </c>
      <c r="N732" s="134">
        <v>294000</v>
      </c>
      <c r="O732" t="s">
        <v>7124</v>
      </c>
      <c r="P732" t="s">
        <v>12159</v>
      </c>
      <c r="Q732" t="s">
        <v>592</v>
      </c>
      <c r="R732" t="s">
        <v>12160</v>
      </c>
      <c r="U732" t="s">
        <v>1327</v>
      </c>
      <c r="X732">
        <v>0</v>
      </c>
    </row>
    <row r="733" spans="1:24" x14ac:dyDescent="0.25">
      <c r="A733" s="234">
        <v>42626</v>
      </c>
      <c r="B733" t="s">
        <v>328</v>
      </c>
      <c r="C733" t="s">
        <v>603</v>
      </c>
      <c r="D733" t="s">
        <v>2500</v>
      </c>
      <c r="E733" t="s">
        <v>588</v>
      </c>
      <c r="F733" t="s">
        <v>3895</v>
      </c>
      <c r="H733" t="s">
        <v>3896</v>
      </c>
      <c r="I733" t="s">
        <v>3897</v>
      </c>
      <c r="J733" t="s">
        <v>899</v>
      </c>
      <c r="M733" s="134">
        <v>144200</v>
      </c>
      <c r="N733" s="134">
        <v>2739000</v>
      </c>
      <c r="O733" t="s">
        <v>907</v>
      </c>
      <c r="P733" t="s">
        <v>3898</v>
      </c>
      <c r="Q733" t="s">
        <v>1939</v>
      </c>
      <c r="R733" t="s">
        <v>3899</v>
      </c>
      <c r="U733" t="s">
        <v>491</v>
      </c>
      <c r="X733">
        <v>0</v>
      </c>
    </row>
    <row r="734" spans="1:24" x14ac:dyDescent="0.25">
      <c r="A734" s="234">
        <v>42816</v>
      </c>
      <c r="B734" t="s">
        <v>5176</v>
      </c>
      <c r="C734" t="s">
        <v>604</v>
      </c>
      <c r="D734" t="s">
        <v>595</v>
      </c>
      <c r="E734" t="s">
        <v>588</v>
      </c>
      <c r="H734" t="s">
        <v>886</v>
      </c>
      <c r="J734" t="s">
        <v>3368</v>
      </c>
      <c r="M734" s="134">
        <v>145000</v>
      </c>
      <c r="N734" s="134">
        <v>0</v>
      </c>
      <c r="O734" t="s">
        <v>6069</v>
      </c>
      <c r="P734" t="s">
        <v>6122</v>
      </c>
      <c r="Q734" t="s">
        <v>1612</v>
      </c>
      <c r="R734" t="s">
        <v>6309</v>
      </c>
      <c r="U734" t="s">
        <v>491</v>
      </c>
      <c r="X734">
        <v>0</v>
      </c>
    </row>
    <row r="735" spans="1:24" x14ac:dyDescent="0.25">
      <c r="A735" s="234">
        <v>42597</v>
      </c>
      <c r="B735" t="s">
        <v>328</v>
      </c>
      <c r="C735" t="s">
        <v>603</v>
      </c>
      <c r="D735" t="s">
        <v>1471</v>
      </c>
      <c r="E735" t="s">
        <v>588</v>
      </c>
      <c r="F735" t="s">
        <v>3424</v>
      </c>
      <c r="H735" t="s">
        <v>905</v>
      </c>
      <c r="I735" t="s">
        <v>3425</v>
      </c>
      <c r="J735" t="s">
        <v>3426</v>
      </c>
      <c r="M735" s="134">
        <v>145000</v>
      </c>
      <c r="N735" s="134">
        <v>175000</v>
      </c>
      <c r="O735" t="s">
        <v>3427</v>
      </c>
      <c r="P735" t="s">
        <v>3428</v>
      </c>
      <c r="Q735" t="s">
        <v>29</v>
      </c>
      <c r="R735" t="s">
        <v>3429</v>
      </c>
      <c r="U735" t="s">
        <v>491</v>
      </c>
      <c r="X735">
        <v>1</v>
      </c>
    </row>
    <row r="736" spans="1:24" x14ac:dyDescent="0.25">
      <c r="A736" s="234">
        <v>42948</v>
      </c>
      <c r="B736" t="s">
        <v>328</v>
      </c>
      <c r="C736" t="s">
        <v>603</v>
      </c>
      <c r="D736" t="s">
        <v>649</v>
      </c>
      <c r="E736" t="s">
        <v>588</v>
      </c>
      <c r="F736" t="s">
        <v>7910</v>
      </c>
      <c r="G736" t="s">
        <v>7911</v>
      </c>
      <c r="H736" t="s">
        <v>607</v>
      </c>
      <c r="J736" t="s">
        <v>3733</v>
      </c>
      <c r="M736" s="134">
        <v>145000</v>
      </c>
      <c r="N736" s="134">
        <v>265000</v>
      </c>
      <c r="O736" t="s">
        <v>7912</v>
      </c>
      <c r="P736" t="s">
        <v>7913</v>
      </c>
      <c r="Q736" t="s">
        <v>29</v>
      </c>
      <c r="R736" t="s">
        <v>7914</v>
      </c>
      <c r="T736">
        <v>10</v>
      </c>
      <c r="U736" t="s">
        <v>491</v>
      </c>
      <c r="X736">
        <v>1</v>
      </c>
    </row>
    <row r="737" spans="1:24" x14ac:dyDescent="0.25">
      <c r="A737" s="234">
        <v>43118</v>
      </c>
      <c r="B737" t="s">
        <v>328</v>
      </c>
      <c r="C737" t="s">
        <v>603</v>
      </c>
      <c r="D737" t="s">
        <v>2500</v>
      </c>
      <c r="E737" t="s">
        <v>588</v>
      </c>
      <c r="F737" t="s">
        <v>10060</v>
      </c>
      <c r="G737" t="s">
        <v>10061</v>
      </c>
      <c r="H737" t="s">
        <v>607</v>
      </c>
      <c r="I737" t="s">
        <v>5076</v>
      </c>
      <c r="J737" t="s">
        <v>3368</v>
      </c>
      <c r="L737">
        <v>5</v>
      </c>
      <c r="M737" s="134">
        <v>145000</v>
      </c>
      <c r="N737" s="134">
        <v>311000</v>
      </c>
      <c r="O737" t="s">
        <v>4533</v>
      </c>
      <c r="P737" t="s">
        <v>10062</v>
      </c>
      <c r="Q737" t="s">
        <v>1939</v>
      </c>
      <c r="R737" t="s">
        <v>10064</v>
      </c>
      <c r="U737" t="s">
        <v>1327</v>
      </c>
      <c r="X737">
        <v>0</v>
      </c>
    </row>
    <row r="738" spans="1:24" x14ac:dyDescent="0.25">
      <c r="A738" s="234">
        <v>43159</v>
      </c>
      <c r="B738" t="s">
        <v>9240</v>
      </c>
      <c r="C738" t="s">
        <v>603</v>
      </c>
      <c r="D738" t="s">
        <v>9241</v>
      </c>
      <c r="E738" t="s">
        <v>588</v>
      </c>
      <c r="F738" t="s">
        <v>10430</v>
      </c>
      <c r="G738" t="s">
        <v>10431</v>
      </c>
      <c r="H738" t="s">
        <v>607</v>
      </c>
      <c r="J738" t="s">
        <v>3612</v>
      </c>
      <c r="M738" s="134">
        <v>147000</v>
      </c>
      <c r="N738" s="134">
        <v>0</v>
      </c>
      <c r="O738" t="s">
        <v>10765</v>
      </c>
      <c r="P738" t="s">
        <v>10432</v>
      </c>
      <c r="Q738" t="s">
        <v>620</v>
      </c>
      <c r="R738" t="s">
        <v>10433</v>
      </c>
      <c r="U738" t="s">
        <v>1327</v>
      </c>
      <c r="X738">
        <v>0</v>
      </c>
    </row>
    <row r="739" spans="1:24" x14ac:dyDescent="0.25">
      <c r="A739" s="234">
        <v>43090</v>
      </c>
      <c r="B739" t="s">
        <v>9240</v>
      </c>
      <c r="C739" t="s">
        <v>603</v>
      </c>
      <c r="D739" t="s">
        <v>7814</v>
      </c>
      <c r="E739" t="s">
        <v>588</v>
      </c>
      <c r="F739" t="s">
        <v>9810</v>
      </c>
      <c r="G739" t="s">
        <v>9811</v>
      </c>
      <c r="H739" t="s">
        <v>607</v>
      </c>
      <c r="I739" t="s">
        <v>9791</v>
      </c>
      <c r="J739" t="s">
        <v>5402</v>
      </c>
      <c r="M739" s="134">
        <v>147000</v>
      </c>
      <c r="N739" s="134">
        <v>250000</v>
      </c>
      <c r="O739" t="s">
        <v>1171</v>
      </c>
      <c r="P739" t="s">
        <v>9812</v>
      </c>
      <c r="Q739" t="s">
        <v>29</v>
      </c>
      <c r="R739" t="s">
        <v>9813</v>
      </c>
      <c r="S739" t="s">
        <v>9814</v>
      </c>
      <c r="U739" t="s">
        <v>491</v>
      </c>
      <c r="X739">
        <v>1</v>
      </c>
    </row>
    <row r="740" spans="1:24" x14ac:dyDescent="0.25">
      <c r="A740" s="234">
        <v>43287</v>
      </c>
      <c r="B740" t="s">
        <v>9240</v>
      </c>
      <c r="C740" t="s">
        <v>603</v>
      </c>
      <c r="D740" t="s">
        <v>9241</v>
      </c>
      <c r="E740" t="s">
        <v>588</v>
      </c>
      <c r="F740" t="s">
        <v>8099</v>
      </c>
      <c r="G740" t="s">
        <v>11749</v>
      </c>
      <c r="H740" t="s">
        <v>905</v>
      </c>
      <c r="I740" t="s">
        <v>11750</v>
      </c>
      <c r="J740" t="s">
        <v>608</v>
      </c>
      <c r="M740" s="134">
        <v>148000</v>
      </c>
      <c r="N740" s="134">
        <v>158000</v>
      </c>
      <c r="O740" t="s">
        <v>6745</v>
      </c>
      <c r="P740" t="s">
        <v>11751</v>
      </c>
      <c r="Q740" t="s">
        <v>29</v>
      </c>
      <c r="R740" t="s">
        <v>11752</v>
      </c>
      <c r="U740" t="s">
        <v>1327</v>
      </c>
      <c r="X740">
        <v>1</v>
      </c>
    </row>
    <row r="741" spans="1:24" x14ac:dyDescent="0.25">
      <c r="A741" s="234">
        <v>42796</v>
      </c>
      <c r="B741" t="s">
        <v>328</v>
      </c>
      <c r="C741" t="s">
        <v>603</v>
      </c>
      <c r="D741" t="s">
        <v>1401</v>
      </c>
      <c r="E741" t="s">
        <v>588</v>
      </c>
      <c r="F741" t="s">
        <v>5852</v>
      </c>
      <c r="H741" t="s">
        <v>1391</v>
      </c>
      <c r="I741" t="s">
        <v>5853</v>
      </c>
      <c r="J741" t="s">
        <v>3885</v>
      </c>
      <c r="L741">
        <v>10</v>
      </c>
      <c r="M741" s="134">
        <v>148000</v>
      </c>
      <c r="N741" s="134">
        <v>626400</v>
      </c>
      <c r="O741" t="s">
        <v>2680</v>
      </c>
      <c r="P741" t="s">
        <v>5855</v>
      </c>
      <c r="Q741" t="s">
        <v>29</v>
      </c>
      <c r="R741" t="s">
        <v>5854</v>
      </c>
      <c r="U741" t="s">
        <v>491</v>
      </c>
      <c r="X741">
        <v>1</v>
      </c>
    </row>
    <row r="742" spans="1:24" x14ac:dyDescent="0.25">
      <c r="A742" s="234">
        <v>42522</v>
      </c>
      <c r="B742" t="s">
        <v>328</v>
      </c>
      <c r="D742" t="s">
        <v>2282</v>
      </c>
      <c r="E742" t="s">
        <v>588</v>
      </c>
      <c r="F742" t="s">
        <v>2283</v>
      </c>
      <c r="M742" s="134">
        <v>149000</v>
      </c>
      <c r="N742" s="134">
        <v>163900</v>
      </c>
      <c r="O742" t="s">
        <v>2284</v>
      </c>
      <c r="P742" t="s">
        <v>2285</v>
      </c>
      <c r="Q742" t="s">
        <v>592</v>
      </c>
      <c r="R742" t="s">
        <v>2286</v>
      </c>
      <c r="U742" t="s">
        <v>633</v>
      </c>
      <c r="X742">
        <v>0</v>
      </c>
    </row>
    <row r="743" spans="1:24" x14ac:dyDescent="0.25">
      <c r="A743" s="234">
        <v>43216</v>
      </c>
      <c r="B743" t="s">
        <v>328</v>
      </c>
      <c r="C743" t="s">
        <v>603</v>
      </c>
      <c r="D743" t="s">
        <v>10338</v>
      </c>
      <c r="E743" t="s">
        <v>588</v>
      </c>
      <c r="F743" t="s">
        <v>11070</v>
      </c>
      <c r="G743" t="s">
        <v>11070</v>
      </c>
      <c r="H743" t="s">
        <v>905</v>
      </c>
      <c r="I743" t="s">
        <v>11071</v>
      </c>
      <c r="J743" t="s">
        <v>5309</v>
      </c>
      <c r="M743" s="134">
        <v>149000</v>
      </c>
      <c r="N743" s="134">
        <v>178000</v>
      </c>
      <c r="O743" t="s">
        <v>7564</v>
      </c>
      <c r="P743" t="s">
        <v>11072</v>
      </c>
      <c r="Q743" t="s">
        <v>592</v>
      </c>
      <c r="R743" t="s">
        <v>11073</v>
      </c>
      <c r="U743" t="s">
        <v>1327</v>
      </c>
      <c r="X743">
        <v>0</v>
      </c>
    </row>
    <row r="744" spans="1:24" x14ac:dyDescent="0.25">
      <c r="A744" s="234">
        <v>42969</v>
      </c>
      <c r="B744" t="s">
        <v>328</v>
      </c>
      <c r="C744" t="s">
        <v>603</v>
      </c>
      <c r="D744" t="s">
        <v>649</v>
      </c>
      <c r="E744" t="s">
        <v>588</v>
      </c>
      <c r="F744" t="s">
        <v>8243</v>
      </c>
      <c r="G744" t="s">
        <v>8244</v>
      </c>
      <c r="H744" t="s">
        <v>607</v>
      </c>
      <c r="I744" t="s">
        <v>8245</v>
      </c>
      <c r="J744" t="s">
        <v>6015</v>
      </c>
      <c r="L744">
        <v>3</v>
      </c>
      <c r="M744" s="134">
        <v>149900</v>
      </c>
      <c r="N744" s="134">
        <v>300000</v>
      </c>
      <c r="O744" t="s">
        <v>8246</v>
      </c>
      <c r="P744" t="s">
        <v>8247</v>
      </c>
      <c r="Q744" t="s">
        <v>1939</v>
      </c>
      <c r="R744" t="s">
        <v>8248</v>
      </c>
      <c r="T744">
        <v>17</v>
      </c>
      <c r="U744" t="s">
        <v>491</v>
      </c>
      <c r="X744">
        <v>0</v>
      </c>
    </row>
    <row r="745" spans="1:24" x14ac:dyDescent="0.25">
      <c r="A745" s="234">
        <v>42943</v>
      </c>
      <c r="B745" t="s">
        <v>569</v>
      </c>
      <c r="D745" t="s">
        <v>930</v>
      </c>
      <c r="E745" t="s">
        <v>821</v>
      </c>
      <c r="F745" t="s">
        <v>7809</v>
      </c>
      <c r="H745" t="s">
        <v>1626</v>
      </c>
      <c r="J745" t="s">
        <v>899</v>
      </c>
      <c r="L745" t="s">
        <v>833</v>
      </c>
      <c r="M745" s="134">
        <v>150000</v>
      </c>
      <c r="N745" s="134">
        <v>0</v>
      </c>
      <c r="O745" t="s">
        <v>7826</v>
      </c>
      <c r="P745" t="s">
        <v>7810</v>
      </c>
      <c r="Q745" t="s">
        <v>592</v>
      </c>
      <c r="T745">
        <v>13</v>
      </c>
      <c r="U745" t="s">
        <v>491</v>
      </c>
      <c r="X745">
        <v>0</v>
      </c>
    </row>
    <row r="746" spans="1:24" x14ac:dyDescent="0.25">
      <c r="A746" s="234">
        <v>42445</v>
      </c>
      <c r="B746" t="s">
        <v>594</v>
      </c>
      <c r="C746" t="s">
        <v>602</v>
      </c>
      <c r="D746" t="s">
        <v>605</v>
      </c>
      <c r="E746" t="s">
        <v>588</v>
      </c>
      <c r="F746" t="s">
        <v>384</v>
      </c>
      <c r="H746" t="s">
        <v>607</v>
      </c>
      <c r="M746" s="134">
        <v>150000</v>
      </c>
      <c r="N746" s="134">
        <v>0</v>
      </c>
      <c r="O746" t="s">
        <v>1330</v>
      </c>
      <c r="P746" t="s">
        <v>1331</v>
      </c>
      <c r="Q746" t="s">
        <v>29</v>
      </c>
      <c r="R746" t="s">
        <v>1332</v>
      </c>
      <c r="U746" t="s">
        <v>491</v>
      </c>
      <c r="X746">
        <v>1</v>
      </c>
    </row>
    <row r="747" spans="1:24" x14ac:dyDescent="0.25">
      <c r="A747" s="234">
        <v>42870</v>
      </c>
      <c r="B747" t="s">
        <v>328</v>
      </c>
      <c r="C747" t="s">
        <v>603</v>
      </c>
      <c r="D747" t="s">
        <v>2397</v>
      </c>
      <c r="E747" t="s">
        <v>588</v>
      </c>
      <c r="F747" t="s">
        <v>6790</v>
      </c>
      <c r="H747" t="s">
        <v>1991</v>
      </c>
      <c r="I747" t="s">
        <v>6791</v>
      </c>
      <c r="J747" t="s">
        <v>5562</v>
      </c>
      <c r="M747" s="134">
        <v>150000</v>
      </c>
      <c r="N747" s="134">
        <v>150000</v>
      </c>
      <c r="O747" t="s">
        <v>6792</v>
      </c>
      <c r="P747" t="s">
        <v>6793</v>
      </c>
      <c r="Q747" t="s">
        <v>1939</v>
      </c>
      <c r="R747" t="s">
        <v>6794</v>
      </c>
      <c r="U747" t="s">
        <v>491</v>
      </c>
      <c r="X747">
        <v>0</v>
      </c>
    </row>
    <row r="748" spans="1:24" x14ac:dyDescent="0.25">
      <c r="A748" s="234">
        <v>42886</v>
      </c>
      <c r="B748" t="s">
        <v>5176</v>
      </c>
      <c r="C748" t="s">
        <v>604</v>
      </c>
      <c r="D748" t="s">
        <v>727</v>
      </c>
      <c r="E748" t="s">
        <v>588</v>
      </c>
      <c r="F748" t="s">
        <v>6977</v>
      </c>
      <c r="H748" t="s">
        <v>6978</v>
      </c>
      <c r="I748" t="s">
        <v>6979</v>
      </c>
      <c r="J748" t="s">
        <v>604</v>
      </c>
      <c r="M748" s="134">
        <v>150000</v>
      </c>
      <c r="N748" s="134">
        <v>150000</v>
      </c>
      <c r="O748" t="s">
        <v>6980</v>
      </c>
      <c r="P748" t="s">
        <v>6981</v>
      </c>
      <c r="Q748" t="s">
        <v>29</v>
      </c>
      <c r="R748" t="s">
        <v>6982</v>
      </c>
      <c r="U748" t="s">
        <v>491</v>
      </c>
      <c r="X748">
        <v>1</v>
      </c>
    </row>
    <row r="749" spans="1:24" x14ac:dyDescent="0.25">
      <c r="A749" s="234">
        <v>42440</v>
      </c>
      <c r="B749" t="s">
        <v>594</v>
      </c>
      <c r="C749" t="s">
        <v>959</v>
      </c>
      <c r="D749" t="s">
        <v>732</v>
      </c>
      <c r="E749" t="s">
        <v>588</v>
      </c>
      <c r="F749" t="s">
        <v>1309</v>
      </c>
      <c r="H749" t="s">
        <v>742</v>
      </c>
      <c r="I749" t="s">
        <v>1310</v>
      </c>
      <c r="M749" s="134">
        <v>150000</v>
      </c>
      <c r="N749" s="134">
        <v>150000</v>
      </c>
      <c r="O749" t="s">
        <v>1311</v>
      </c>
      <c r="P749" t="s">
        <v>1312</v>
      </c>
      <c r="Q749" t="s">
        <v>592</v>
      </c>
      <c r="R749" t="s">
        <v>1313</v>
      </c>
      <c r="U749" t="s">
        <v>491</v>
      </c>
      <c r="X749">
        <v>0</v>
      </c>
    </row>
    <row r="750" spans="1:24" x14ac:dyDescent="0.25">
      <c r="A750" s="234">
        <v>42725</v>
      </c>
      <c r="B750" t="s">
        <v>328</v>
      </c>
      <c r="C750" t="s">
        <v>603</v>
      </c>
      <c r="D750" t="s">
        <v>1471</v>
      </c>
      <c r="E750" t="s">
        <v>588</v>
      </c>
      <c r="F750" t="s">
        <v>5075</v>
      </c>
      <c r="H750" t="s">
        <v>722</v>
      </c>
      <c r="I750" t="s">
        <v>5076</v>
      </c>
      <c r="J750" t="s">
        <v>644</v>
      </c>
      <c r="L750">
        <v>10</v>
      </c>
      <c r="M750" s="134">
        <v>150000</v>
      </c>
      <c r="N750" s="134">
        <v>155000</v>
      </c>
      <c r="O750" t="s">
        <v>5077</v>
      </c>
      <c r="P750" t="s">
        <v>5078</v>
      </c>
      <c r="Q750" t="s">
        <v>620</v>
      </c>
      <c r="R750" t="s">
        <v>5079</v>
      </c>
      <c r="U750" t="s">
        <v>491</v>
      </c>
      <c r="X750">
        <v>0</v>
      </c>
    </row>
    <row r="751" spans="1:24" x14ac:dyDescent="0.25">
      <c r="A751" s="234">
        <v>42625</v>
      </c>
      <c r="B751" t="s">
        <v>643</v>
      </c>
      <c r="C751" t="s">
        <v>644</v>
      </c>
      <c r="D751" t="s">
        <v>645</v>
      </c>
      <c r="E751" t="s">
        <v>588</v>
      </c>
      <c r="F751" t="s">
        <v>3883</v>
      </c>
      <c r="H751" t="s">
        <v>3882</v>
      </c>
      <c r="I751" t="s">
        <v>3884</v>
      </c>
      <c r="J751" t="s">
        <v>3885</v>
      </c>
      <c r="L751">
        <v>7</v>
      </c>
      <c r="M751" s="134">
        <v>150000</v>
      </c>
      <c r="N751" s="134">
        <v>160000</v>
      </c>
      <c r="O751" t="s">
        <v>3886</v>
      </c>
      <c r="P751" t="s">
        <v>3887</v>
      </c>
      <c r="Q751" t="s">
        <v>592</v>
      </c>
      <c r="U751" t="s">
        <v>491</v>
      </c>
      <c r="X751">
        <v>0</v>
      </c>
    </row>
    <row r="752" spans="1:24" x14ac:dyDescent="0.25">
      <c r="A752" s="234">
        <v>42753</v>
      </c>
      <c r="B752" t="s">
        <v>643</v>
      </c>
      <c r="C752" t="s">
        <v>644</v>
      </c>
      <c r="D752" t="s">
        <v>645</v>
      </c>
      <c r="E752" t="s">
        <v>588</v>
      </c>
      <c r="F752" t="s">
        <v>5357</v>
      </c>
      <c r="H752" t="s">
        <v>722</v>
      </c>
      <c r="I752" t="s">
        <v>4042</v>
      </c>
      <c r="J752" t="s">
        <v>644</v>
      </c>
      <c r="L752" t="s">
        <v>5287</v>
      </c>
      <c r="M752" s="134">
        <v>150000</v>
      </c>
      <c r="N752" s="134">
        <v>170000</v>
      </c>
      <c r="O752" t="s">
        <v>653</v>
      </c>
      <c r="P752" t="s">
        <v>5358</v>
      </c>
      <c r="Q752" t="s">
        <v>1939</v>
      </c>
      <c r="R752" t="s">
        <v>5359</v>
      </c>
      <c r="U752" t="s">
        <v>491</v>
      </c>
      <c r="X752">
        <v>0</v>
      </c>
    </row>
    <row r="753" spans="1:24" x14ac:dyDescent="0.25">
      <c r="A753" s="234">
        <v>42654</v>
      </c>
      <c r="B753" t="s">
        <v>1486</v>
      </c>
      <c r="C753" t="s">
        <v>1363</v>
      </c>
      <c r="D753" t="s">
        <v>1495</v>
      </c>
      <c r="E753" t="s">
        <v>588</v>
      </c>
      <c r="F753" t="s">
        <v>4249</v>
      </c>
      <c r="H753" t="s">
        <v>886</v>
      </c>
      <c r="I753" t="s">
        <v>4250</v>
      </c>
      <c r="J753" t="s">
        <v>608</v>
      </c>
      <c r="M753" s="134">
        <v>150000</v>
      </c>
      <c r="N753" s="134">
        <v>175000</v>
      </c>
      <c r="O753" t="s">
        <v>4251</v>
      </c>
      <c r="P753" t="s">
        <v>4252</v>
      </c>
      <c r="Q753" t="s">
        <v>1939</v>
      </c>
      <c r="R753" t="s">
        <v>4253</v>
      </c>
      <c r="U753" t="s">
        <v>491</v>
      </c>
      <c r="X753">
        <v>0</v>
      </c>
    </row>
    <row r="754" spans="1:24" x14ac:dyDescent="0.25">
      <c r="A754" s="234">
        <v>42682</v>
      </c>
      <c r="B754" t="s">
        <v>643</v>
      </c>
      <c r="C754" t="s">
        <v>644</v>
      </c>
      <c r="D754" t="s">
        <v>645</v>
      </c>
      <c r="E754" t="s">
        <v>588</v>
      </c>
      <c r="F754" t="s">
        <v>4639</v>
      </c>
      <c r="H754" t="s">
        <v>3987</v>
      </c>
      <c r="I754" t="s">
        <v>4640</v>
      </c>
      <c r="J754" t="s">
        <v>644</v>
      </c>
      <c r="L754">
        <v>10</v>
      </c>
      <c r="M754" s="134">
        <v>150000</v>
      </c>
      <c r="N754" s="134">
        <v>177000</v>
      </c>
      <c r="O754" t="s">
        <v>4642</v>
      </c>
      <c r="P754" t="s">
        <v>4643</v>
      </c>
      <c r="Q754" t="s">
        <v>1939</v>
      </c>
      <c r="R754" t="s">
        <v>4644</v>
      </c>
      <c r="U754" t="s">
        <v>491</v>
      </c>
      <c r="X754">
        <v>0</v>
      </c>
    </row>
    <row r="755" spans="1:24" x14ac:dyDescent="0.25">
      <c r="A755" s="234">
        <v>43622</v>
      </c>
      <c r="B755" t="s">
        <v>328</v>
      </c>
      <c r="C755" t="s">
        <v>603</v>
      </c>
      <c r="D755" t="s">
        <v>10705</v>
      </c>
      <c r="F755" t="s">
        <v>15946</v>
      </c>
      <c r="G755" t="s">
        <v>15947</v>
      </c>
      <c r="H755" t="s">
        <v>607</v>
      </c>
      <c r="I755" t="s">
        <v>15948</v>
      </c>
      <c r="J755" t="s">
        <v>608</v>
      </c>
      <c r="K755" t="s">
        <v>15949</v>
      </c>
      <c r="L755">
        <v>9</v>
      </c>
      <c r="M755" s="134">
        <v>150000</v>
      </c>
      <c r="N755" s="134">
        <v>205000</v>
      </c>
      <c r="O755" t="s">
        <v>7124</v>
      </c>
      <c r="P755" t="s">
        <v>15950</v>
      </c>
      <c r="Q755" t="s">
        <v>592</v>
      </c>
      <c r="R755" t="s">
        <v>15951</v>
      </c>
      <c r="U755" t="s">
        <v>491</v>
      </c>
      <c r="X755">
        <v>0</v>
      </c>
    </row>
    <row r="756" spans="1:24" x14ac:dyDescent="0.25">
      <c r="A756" s="234">
        <v>42430</v>
      </c>
      <c r="B756" t="s">
        <v>328</v>
      </c>
      <c r="C756" t="s">
        <v>603</v>
      </c>
      <c r="D756" t="s">
        <v>649</v>
      </c>
      <c r="E756" t="s">
        <v>588</v>
      </c>
      <c r="F756" t="s">
        <v>1176</v>
      </c>
      <c r="H756" t="s">
        <v>607</v>
      </c>
      <c r="I756" t="s">
        <v>1177</v>
      </c>
      <c r="M756" s="134">
        <v>150000</v>
      </c>
      <c r="N756" s="134">
        <v>208000</v>
      </c>
      <c r="O756" t="s">
        <v>1178</v>
      </c>
      <c r="P756" t="s">
        <v>1222</v>
      </c>
      <c r="Q756" t="s">
        <v>592</v>
      </c>
      <c r="R756" t="s">
        <v>833</v>
      </c>
      <c r="U756" t="s">
        <v>491</v>
      </c>
      <c r="X756">
        <v>0</v>
      </c>
    </row>
    <row r="757" spans="1:24" x14ac:dyDescent="0.25">
      <c r="A757" s="234">
        <v>42663</v>
      </c>
      <c r="B757" t="s">
        <v>328</v>
      </c>
      <c r="C757" t="s">
        <v>603</v>
      </c>
      <c r="D757" t="s">
        <v>1471</v>
      </c>
      <c r="E757" t="s">
        <v>588</v>
      </c>
      <c r="F757" t="s">
        <v>4426</v>
      </c>
      <c r="H757" t="s">
        <v>607</v>
      </c>
      <c r="I757" t="s">
        <v>4427</v>
      </c>
      <c r="J757" t="s">
        <v>3501</v>
      </c>
      <c r="L757">
        <v>9</v>
      </c>
      <c r="M757" s="134">
        <v>150000</v>
      </c>
      <c r="N757" s="134">
        <v>210000</v>
      </c>
      <c r="O757" t="s">
        <v>4047</v>
      </c>
      <c r="P757" t="s">
        <v>4428</v>
      </c>
      <c r="Q757" t="s">
        <v>1612</v>
      </c>
      <c r="R757" t="s">
        <v>4447</v>
      </c>
      <c r="U757" t="s">
        <v>491</v>
      </c>
      <c r="X757">
        <v>0</v>
      </c>
    </row>
    <row r="758" spans="1:24" x14ac:dyDescent="0.25">
      <c r="A758" s="234">
        <v>42754</v>
      </c>
      <c r="B758" t="s">
        <v>328</v>
      </c>
      <c r="C758" t="s">
        <v>603</v>
      </c>
      <c r="D758" t="s">
        <v>2397</v>
      </c>
      <c r="E758" t="s">
        <v>588</v>
      </c>
      <c r="F758" t="s">
        <v>5368</v>
      </c>
      <c r="H758" t="s">
        <v>607</v>
      </c>
      <c r="I758" t="s">
        <v>5372</v>
      </c>
      <c r="J758" t="s">
        <v>3751</v>
      </c>
      <c r="L758" t="s">
        <v>5369</v>
      </c>
      <c r="M758" s="134">
        <v>150000</v>
      </c>
      <c r="N758" s="134">
        <v>215000</v>
      </c>
      <c r="O758" t="s">
        <v>5370</v>
      </c>
      <c r="P758" t="s">
        <v>5371</v>
      </c>
      <c r="Q758" t="s">
        <v>1939</v>
      </c>
      <c r="R758" t="s">
        <v>8723</v>
      </c>
      <c r="U758" t="s">
        <v>491</v>
      </c>
      <c r="X758">
        <v>0</v>
      </c>
    </row>
    <row r="759" spans="1:24" x14ac:dyDescent="0.25">
      <c r="A759" s="234">
        <v>42969</v>
      </c>
      <c r="B759" t="s">
        <v>328</v>
      </c>
      <c r="C759" t="s">
        <v>603</v>
      </c>
      <c r="D759" t="s">
        <v>649</v>
      </c>
      <c r="E759" t="s">
        <v>588</v>
      </c>
      <c r="F759" t="s">
        <v>8253</v>
      </c>
      <c r="G759" t="s">
        <v>8254</v>
      </c>
      <c r="H759" t="s">
        <v>607</v>
      </c>
      <c r="I759" t="s">
        <v>8256</v>
      </c>
      <c r="J759" t="s">
        <v>3612</v>
      </c>
      <c r="L759">
        <v>10</v>
      </c>
      <c r="M759" s="134">
        <v>150000</v>
      </c>
      <c r="N759" s="134">
        <v>250000</v>
      </c>
      <c r="O759" t="s">
        <v>3107</v>
      </c>
      <c r="P759" t="s">
        <v>8257</v>
      </c>
      <c r="Q759" t="s">
        <v>1939</v>
      </c>
      <c r="R759" t="s">
        <v>8258</v>
      </c>
      <c r="T759">
        <v>31</v>
      </c>
      <c r="U759" t="s">
        <v>491</v>
      </c>
      <c r="V759" t="s">
        <v>3985</v>
      </c>
      <c r="W759" t="s">
        <v>8255</v>
      </c>
      <c r="X759">
        <v>0</v>
      </c>
    </row>
    <row r="760" spans="1:24" x14ac:dyDescent="0.25">
      <c r="A760" s="234">
        <v>42396</v>
      </c>
      <c r="B760" t="s">
        <v>110</v>
      </c>
      <c r="C760" t="s">
        <v>833</v>
      </c>
      <c r="D760" t="s">
        <v>715</v>
      </c>
      <c r="E760" t="s">
        <v>588</v>
      </c>
      <c r="F760" t="s">
        <v>834</v>
      </c>
      <c r="H760" t="s">
        <v>607</v>
      </c>
      <c r="I760" t="s">
        <v>835</v>
      </c>
      <c r="M760" s="134">
        <v>150000</v>
      </c>
      <c r="N760" s="134">
        <v>250000</v>
      </c>
      <c r="O760" t="s">
        <v>764</v>
      </c>
      <c r="P760" t="s">
        <v>836</v>
      </c>
      <c r="Q760" t="s">
        <v>592</v>
      </c>
      <c r="R760" t="s">
        <v>837</v>
      </c>
      <c r="U760" t="s">
        <v>491</v>
      </c>
      <c r="X760">
        <v>0</v>
      </c>
    </row>
    <row r="761" spans="1:24" x14ac:dyDescent="0.25">
      <c r="A761" s="234">
        <v>42397</v>
      </c>
      <c r="B761" t="s">
        <v>643</v>
      </c>
      <c r="C761" t="s">
        <v>644</v>
      </c>
      <c r="D761" t="s">
        <v>645</v>
      </c>
      <c r="E761" t="s">
        <v>588</v>
      </c>
      <c r="F761" t="s">
        <v>849</v>
      </c>
      <c r="H761" t="s">
        <v>809</v>
      </c>
      <c r="I761" t="s">
        <v>850</v>
      </c>
      <c r="M761" s="134">
        <v>150000</v>
      </c>
      <c r="N761" s="134">
        <v>250000</v>
      </c>
      <c r="O761" t="s">
        <v>811</v>
      </c>
      <c r="P761" t="s">
        <v>854</v>
      </c>
      <c r="Q761" t="s">
        <v>592</v>
      </c>
      <c r="R761" t="s">
        <v>865</v>
      </c>
      <c r="U761" t="s">
        <v>491</v>
      </c>
      <c r="X761">
        <v>0</v>
      </c>
    </row>
    <row r="762" spans="1:24" x14ac:dyDescent="0.25">
      <c r="A762" s="234">
        <v>43571</v>
      </c>
      <c r="B762" t="s">
        <v>13559</v>
      </c>
      <c r="C762" t="s">
        <v>3523</v>
      </c>
      <c r="D762" t="s">
        <v>9545</v>
      </c>
      <c r="F762" t="s">
        <v>15101</v>
      </c>
      <c r="G762" t="s">
        <v>9635</v>
      </c>
      <c r="H762" t="s">
        <v>10831</v>
      </c>
      <c r="I762" t="s">
        <v>15102</v>
      </c>
      <c r="J762" t="s">
        <v>3523</v>
      </c>
      <c r="K762" t="s">
        <v>15103</v>
      </c>
      <c r="M762" s="134">
        <v>150000</v>
      </c>
      <c r="N762" s="134">
        <v>255000</v>
      </c>
      <c r="O762" t="s">
        <v>10765</v>
      </c>
      <c r="P762" t="s">
        <v>15104</v>
      </c>
      <c r="Q762" t="s">
        <v>1612</v>
      </c>
      <c r="R762" t="s">
        <v>15193</v>
      </c>
      <c r="U762" t="s">
        <v>491</v>
      </c>
      <c r="X762">
        <v>0</v>
      </c>
    </row>
    <row r="763" spans="1:24" x14ac:dyDescent="0.25">
      <c r="A763" s="234">
        <v>43385</v>
      </c>
      <c r="B763" t="s">
        <v>328</v>
      </c>
      <c r="C763" t="s">
        <v>603</v>
      </c>
      <c r="D763" t="s">
        <v>649</v>
      </c>
      <c r="F763" t="s">
        <v>9733</v>
      </c>
      <c r="G763" t="s">
        <v>1877</v>
      </c>
      <c r="H763" t="s">
        <v>607</v>
      </c>
      <c r="I763" t="s">
        <v>12463</v>
      </c>
      <c r="J763" t="s">
        <v>5610</v>
      </c>
      <c r="K763">
        <v>37214</v>
      </c>
      <c r="L763">
        <v>4</v>
      </c>
      <c r="M763" s="134">
        <v>150000</v>
      </c>
      <c r="N763" s="134">
        <v>255000</v>
      </c>
      <c r="O763" t="s">
        <v>10766</v>
      </c>
      <c r="P763" t="s">
        <v>12966</v>
      </c>
      <c r="Q763" t="s">
        <v>1939</v>
      </c>
      <c r="R763" t="s">
        <v>12967</v>
      </c>
      <c r="U763" t="s">
        <v>12344</v>
      </c>
      <c r="X763">
        <v>0</v>
      </c>
    </row>
    <row r="764" spans="1:24" x14ac:dyDescent="0.25">
      <c r="A764" s="234">
        <v>43395</v>
      </c>
      <c r="B764" t="s">
        <v>328</v>
      </c>
      <c r="C764" t="s">
        <v>603</v>
      </c>
      <c r="D764" t="s">
        <v>5701</v>
      </c>
      <c r="F764" t="s">
        <v>5096</v>
      </c>
      <c r="G764" t="s">
        <v>10128</v>
      </c>
      <c r="H764" t="s">
        <v>607</v>
      </c>
      <c r="I764" t="s">
        <v>12983</v>
      </c>
      <c r="J764" t="s">
        <v>3751</v>
      </c>
      <c r="K764">
        <v>63650</v>
      </c>
      <c r="L764">
        <v>10</v>
      </c>
      <c r="M764" s="134">
        <v>150000</v>
      </c>
      <c r="N764" s="134">
        <v>255000</v>
      </c>
      <c r="O764" t="s">
        <v>7124</v>
      </c>
      <c r="P764" t="s">
        <v>12981</v>
      </c>
      <c r="Q764" t="s">
        <v>29</v>
      </c>
      <c r="R764" t="s">
        <v>12982</v>
      </c>
      <c r="U764" t="s">
        <v>12344</v>
      </c>
      <c r="X764">
        <v>1</v>
      </c>
    </row>
    <row r="765" spans="1:24" x14ac:dyDescent="0.25">
      <c r="A765" s="234">
        <v>43398</v>
      </c>
      <c r="B765" t="s">
        <v>328</v>
      </c>
      <c r="C765" t="s">
        <v>603</v>
      </c>
      <c r="D765" t="s">
        <v>1401</v>
      </c>
      <c r="F765" t="s">
        <v>13030</v>
      </c>
      <c r="G765" t="s">
        <v>13031</v>
      </c>
      <c r="H765" t="s">
        <v>607</v>
      </c>
      <c r="I765" t="s">
        <v>13032</v>
      </c>
      <c r="J765" t="s">
        <v>5402</v>
      </c>
      <c r="K765">
        <v>44044</v>
      </c>
      <c r="L765">
        <v>6</v>
      </c>
      <c r="M765" s="134">
        <v>150000</v>
      </c>
      <c r="N765" s="134">
        <v>255000</v>
      </c>
      <c r="O765" t="s">
        <v>10766</v>
      </c>
      <c r="P765" t="s">
        <v>13051</v>
      </c>
      <c r="Q765" t="s">
        <v>1612</v>
      </c>
      <c r="R765" t="s">
        <v>13050</v>
      </c>
      <c r="U765" t="s">
        <v>12344</v>
      </c>
      <c r="X765">
        <v>0</v>
      </c>
    </row>
    <row r="766" spans="1:24" x14ac:dyDescent="0.25">
      <c r="A766" s="234">
        <v>42912</v>
      </c>
      <c r="B766" t="s">
        <v>328</v>
      </c>
      <c r="C766" t="s">
        <v>603</v>
      </c>
      <c r="D766" t="s">
        <v>1401</v>
      </c>
      <c r="E766" t="s">
        <v>588</v>
      </c>
      <c r="F766" t="s">
        <v>7366</v>
      </c>
      <c r="H766" t="s">
        <v>607</v>
      </c>
      <c r="I766" t="s">
        <v>7367</v>
      </c>
      <c r="J766" t="s">
        <v>3373</v>
      </c>
      <c r="M766" s="134">
        <v>150000</v>
      </c>
      <c r="N766" s="134">
        <v>255000</v>
      </c>
      <c r="O766" t="s">
        <v>7368</v>
      </c>
      <c r="P766" t="s">
        <v>7369</v>
      </c>
      <c r="Q766" t="s">
        <v>1612</v>
      </c>
      <c r="R766" t="s">
        <v>7400</v>
      </c>
      <c r="U766" t="s">
        <v>491</v>
      </c>
      <c r="X766">
        <v>0</v>
      </c>
    </row>
    <row r="767" spans="1:24" x14ac:dyDescent="0.25">
      <c r="A767" s="234">
        <v>42916</v>
      </c>
      <c r="B767" t="s">
        <v>328</v>
      </c>
      <c r="C767" t="s">
        <v>603</v>
      </c>
      <c r="D767" t="s">
        <v>672</v>
      </c>
      <c r="E767" t="s">
        <v>588</v>
      </c>
      <c r="F767" t="s">
        <v>7479</v>
      </c>
      <c r="H767" t="s">
        <v>607</v>
      </c>
      <c r="I767" t="s">
        <v>7480</v>
      </c>
      <c r="J767" t="s">
        <v>3733</v>
      </c>
      <c r="L767">
        <v>4</v>
      </c>
      <c r="M767" s="134">
        <v>150000</v>
      </c>
      <c r="N767" s="134">
        <v>255000</v>
      </c>
      <c r="O767" t="s">
        <v>6522</v>
      </c>
      <c r="P767" t="s">
        <v>7482</v>
      </c>
      <c r="Q767" t="s">
        <v>1939</v>
      </c>
      <c r="R767" t="s">
        <v>7481</v>
      </c>
      <c r="U767" t="s">
        <v>491</v>
      </c>
      <c r="X767">
        <v>0</v>
      </c>
    </row>
    <row r="768" spans="1:24" x14ac:dyDescent="0.25">
      <c r="A768" s="234">
        <v>42578</v>
      </c>
      <c r="B768" t="s">
        <v>328</v>
      </c>
      <c r="C768" t="s">
        <v>603</v>
      </c>
      <c r="D768" t="s">
        <v>1401</v>
      </c>
      <c r="E768" t="s">
        <v>588</v>
      </c>
      <c r="F768" t="s">
        <v>3084</v>
      </c>
      <c r="H768" t="s">
        <v>607</v>
      </c>
      <c r="I768" t="s">
        <v>3085</v>
      </c>
      <c r="M768" s="134">
        <v>150000</v>
      </c>
      <c r="N768" s="134">
        <v>255000</v>
      </c>
      <c r="O768" t="s">
        <v>3086</v>
      </c>
      <c r="P768" t="s">
        <v>3087</v>
      </c>
      <c r="Q768" t="s">
        <v>1939</v>
      </c>
      <c r="R768" t="s">
        <v>3088</v>
      </c>
      <c r="U768" t="s">
        <v>491</v>
      </c>
      <c r="X768">
        <v>0</v>
      </c>
    </row>
    <row r="769" spans="1:24" x14ac:dyDescent="0.25">
      <c r="A769" s="234">
        <v>42655</v>
      </c>
      <c r="B769" t="s">
        <v>643</v>
      </c>
      <c r="C769" t="s">
        <v>644</v>
      </c>
      <c r="D769" t="s">
        <v>645</v>
      </c>
      <c r="E769" t="s">
        <v>588</v>
      </c>
      <c r="F769" t="s">
        <v>4270</v>
      </c>
      <c r="H769" t="s">
        <v>607</v>
      </c>
      <c r="I769" t="s">
        <v>4271</v>
      </c>
      <c r="J769" t="s">
        <v>644</v>
      </c>
      <c r="L769">
        <v>9</v>
      </c>
      <c r="M769" s="134">
        <v>150000</v>
      </c>
      <c r="N769" s="134">
        <v>261060</v>
      </c>
      <c r="O769" t="s">
        <v>4272</v>
      </c>
      <c r="P769" t="s">
        <v>4273</v>
      </c>
      <c r="Q769" t="s">
        <v>29</v>
      </c>
      <c r="R769" t="s">
        <v>4274</v>
      </c>
      <c r="U769" t="s">
        <v>491</v>
      </c>
      <c r="X769">
        <v>1</v>
      </c>
    </row>
    <row r="770" spans="1:24" x14ac:dyDescent="0.25">
      <c r="A770" s="234">
        <v>42703</v>
      </c>
      <c r="B770" t="s">
        <v>643</v>
      </c>
      <c r="C770" t="s">
        <v>644</v>
      </c>
      <c r="D770" t="s">
        <v>645</v>
      </c>
      <c r="E770" t="s">
        <v>588</v>
      </c>
      <c r="F770" t="s">
        <v>4840</v>
      </c>
      <c r="H770" t="s">
        <v>607</v>
      </c>
      <c r="I770" t="s">
        <v>3814</v>
      </c>
      <c r="J770" t="s">
        <v>644</v>
      </c>
      <c r="L770">
        <v>2</v>
      </c>
      <c r="M770" s="134">
        <v>150000</v>
      </c>
      <c r="N770" s="134">
        <v>264000</v>
      </c>
      <c r="O770" t="s">
        <v>4841</v>
      </c>
      <c r="P770" t="s">
        <v>4842</v>
      </c>
      <c r="Q770" t="s">
        <v>29</v>
      </c>
      <c r="R770" t="s">
        <v>4843</v>
      </c>
      <c r="U770" t="s">
        <v>491</v>
      </c>
      <c r="X770">
        <v>1</v>
      </c>
    </row>
    <row r="771" spans="1:24" x14ac:dyDescent="0.25">
      <c r="A771" s="234">
        <v>43096</v>
      </c>
      <c r="B771" t="s">
        <v>9240</v>
      </c>
      <c r="C771" t="s">
        <v>603</v>
      </c>
      <c r="D771" t="s">
        <v>9849</v>
      </c>
      <c r="E771" t="s">
        <v>588</v>
      </c>
      <c r="F771" t="s">
        <v>9850</v>
      </c>
      <c r="G771" t="s">
        <v>9851</v>
      </c>
      <c r="H771" t="s">
        <v>607</v>
      </c>
      <c r="I771" t="s">
        <v>1363</v>
      </c>
      <c r="J771" t="s">
        <v>608</v>
      </c>
      <c r="L771">
        <v>1</v>
      </c>
      <c r="M771" s="134">
        <v>150000</v>
      </c>
      <c r="N771" s="134">
        <v>270000</v>
      </c>
      <c r="O771" t="s">
        <v>666</v>
      </c>
      <c r="P771" t="s">
        <v>9855</v>
      </c>
      <c r="Q771" t="s">
        <v>1939</v>
      </c>
      <c r="R771" t="s">
        <v>9857</v>
      </c>
      <c r="U771" t="s">
        <v>491</v>
      </c>
      <c r="X771">
        <v>0</v>
      </c>
    </row>
    <row r="772" spans="1:24" x14ac:dyDescent="0.25">
      <c r="A772" s="234">
        <v>42467</v>
      </c>
      <c r="B772" t="s">
        <v>378</v>
      </c>
      <c r="C772" t="s">
        <v>610</v>
      </c>
      <c r="D772" t="s">
        <v>732</v>
      </c>
      <c r="E772" t="s">
        <v>588</v>
      </c>
      <c r="F772" t="s">
        <v>1579</v>
      </c>
      <c r="H772" t="s">
        <v>1391</v>
      </c>
      <c r="I772" t="s">
        <v>1580</v>
      </c>
      <c r="M772" s="134">
        <v>150000</v>
      </c>
      <c r="N772" s="134">
        <v>270000</v>
      </c>
      <c r="O772" t="s">
        <v>1581</v>
      </c>
      <c r="P772" t="s">
        <v>15994</v>
      </c>
      <c r="Q772" t="s">
        <v>29</v>
      </c>
      <c r="R772" t="s">
        <v>1582</v>
      </c>
      <c r="X772">
        <v>1</v>
      </c>
    </row>
    <row r="773" spans="1:24" x14ac:dyDescent="0.25">
      <c r="A773" s="234">
        <v>42578</v>
      </c>
      <c r="B773" t="s">
        <v>328</v>
      </c>
      <c r="C773" t="s">
        <v>603</v>
      </c>
      <c r="D773" t="s">
        <v>1401</v>
      </c>
      <c r="E773" t="s">
        <v>588</v>
      </c>
      <c r="F773" t="s">
        <v>3079</v>
      </c>
      <c r="H773" t="s">
        <v>607</v>
      </c>
      <c r="I773" t="s">
        <v>3080</v>
      </c>
      <c r="M773" s="134">
        <v>150000</v>
      </c>
      <c r="N773" s="134">
        <v>270000</v>
      </c>
      <c r="O773" t="s">
        <v>3081</v>
      </c>
      <c r="P773" t="s">
        <v>3082</v>
      </c>
      <c r="Q773" t="s">
        <v>29</v>
      </c>
      <c r="R773" t="s">
        <v>3083</v>
      </c>
      <c r="U773" t="s">
        <v>491</v>
      </c>
      <c r="X773">
        <v>1</v>
      </c>
    </row>
    <row r="774" spans="1:24" x14ac:dyDescent="0.25">
      <c r="A774" s="234">
        <v>42671</v>
      </c>
      <c r="B774" t="s">
        <v>328</v>
      </c>
      <c r="C774" t="s">
        <v>603</v>
      </c>
      <c r="D774" t="s">
        <v>2397</v>
      </c>
      <c r="E774" t="s">
        <v>588</v>
      </c>
      <c r="F774" t="s">
        <v>4540</v>
      </c>
      <c r="H774" t="s">
        <v>886</v>
      </c>
      <c r="I774" t="s">
        <v>4532</v>
      </c>
      <c r="J774" t="s">
        <v>3373</v>
      </c>
      <c r="L774">
        <v>6</v>
      </c>
      <c r="M774" s="134">
        <v>150000</v>
      </c>
      <c r="N774" s="134">
        <v>285000</v>
      </c>
      <c r="O774" t="s">
        <v>4533</v>
      </c>
      <c r="P774" t="s">
        <v>4541</v>
      </c>
      <c r="Q774" t="s">
        <v>1939</v>
      </c>
      <c r="R774" t="s">
        <v>4561</v>
      </c>
      <c r="U774" t="s">
        <v>491</v>
      </c>
      <c r="X774">
        <v>0</v>
      </c>
    </row>
    <row r="775" spans="1:24" x14ac:dyDescent="0.25">
      <c r="A775" s="234">
        <v>43476</v>
      </c>
      <c r="B775" t="s">
        <v>328</v>
      </c>
      <c r="C775" t="s">
        <v>603</v>
      </c>
      <c r="D775" t="s">
        <v>2500</v>
      </c>
      <c r="F775" t="s">
        <v>9852</v>
      </c>
      <c r="G775" t="s">
        <v>7714</v>
      </c>
      <c r="H775" t="s">
        <v>607</v>
      </c>
      <c r="I775" t="s">
        <v>11705</v>
      </c>
      <c r="J775" t="s">
        <v>3368</v>
      </c>
      <c r="K775" t="s">
        <v>13943</v>
      </c>
      <c r="L775">
        <v>1</v>
      </c>
      <c r="M775" s="134">
        <v>150000</v>
      </c>
      <c r="N775" s="134">
        <v>300000</v>
      </c>
      <c r="O775" t="s">
        <v>4533</v>
      </c>
      <c r="P775" t="s">
        <v>13944</v>
      </c>
      <c r="Q775" t="s">
        <v>29</v>
      </c>
      <c r="R775" t="s">
        <v>13945</v>
      </c>
      <c r="U775" t="s">
        <v>491</v>
      </c>
      <c r="X775">
        <v>1</v>
      </c>
    </row>
    <row r="776" spans="1:24" x14ac:dyDescent="0.25">
      <c r="A776" s="234">
        <v>43613</v>
      </c>
      <c r="B776" t="s">
        <v>9240</v>
      </c>
      <c r="C776" t="s">
        <v>603</v>
      </c>
      <c r="D776" t="s">
        <v>7814</v>
      </c>
      <c r="F776" t="s">
        <v>15748</v>
      </c>
      <c r="G776" t="s">
        <v>15749</v>
      </c>
      <c r="H776" t="s">
        <v>10831</v>
      </c>
      <c r="I776" t="s">
        <v>15750</v>
      </c>
      <c r="J776" t="s">
        <v>3612</v>
      </c>
      <c r="K776" t="s">
        <v>15751</v>
      </c>
      <c r="L776">
        <v>10</v>
      </c>
      <c r="M776" s="134">
        <v>150000</v>
      </c>
      <c r="N776" s="134">
        <v>300000</v>
      </c>
      <c r="O776" t="s">
        <v>4533</v>
      </c>
      <c r="P776" t="s">
        <v>15752</v>
      </c>
      <c r="Q776" t="s">
        <v>620</v>
      </c>
      <c r="R776" t="s">
        <v>15753</v>
      </c>
      <c r="U776" t="s">
        <v>491</v>
      </c>
      <c r="X776">
        <v>0</v>
      </c>
    </row>
    <row r="777" spans="1:24" x14ac:dyDescent="0.25">
      <c r="A777" s="234">
        <v>43000</v>
      </c>
      <c r="B777" t="s">
        <v>328</v>
      </c>
      <c r="C777" t="s">
        <v>603</v>
      </c>
      <c r="D777" t="s">
        <v>649</v>
      </c>
      <c r="E777" t="s">
        <v>588</v>
      </c>
      <c r="F777" t="s">
        <v>8666</v>
      </c>
      <c r="G777" t="s">
        <v>8667</v>
      </c>
      <c r="H777" t="s">
        <v>607</v>
      </c>
      <c r="I777" t="s">
        <v>8668</v>
      </c>
      <c r="J777" t="s">
        <v>3398</v>
      </c>
      <c r="L777">
        <v>3</v>
      </c>
      <c r="M777" s="134">
        <v>150000</v>
      </c>
      <c r="N777" s="134">
        <v>300000</v>
      </c>
      <c r="O777" t="s">
        <v>3107</v>
      </c>
      <c r="P777" t="s">
        <v>8669</v>
      </c>
      <c r="Q777" t="s">
        <v>1612</v>
      </c>
      <c r="R777" t="s">
        <v>8698</v>
      </c>
      <c r="T777">
        <v>38</v>
      </c>
      <c r="U777" t="s">
        <v>491</v>
      </c>
      <c r="X777">
        <v>0</v>
      </c>
    </row>
    <row r="778" spans="1:24" x14ac:dyDescent="0.25">
      <c r="A778" s="234">
        <v>42871</v>
      </c>
      <c r="B778" t="s">
        <v>328</v>
      </c>
      <c r="C778" t="s">
        <v>603</v>
      </c>
      <c r="D778" t="s">
        <v>672</v>
      </c>
      <c r="E778" t="s">
        <v>588</v>
      </c>
      <c r="F778" t="s">
        <v>6804</v>
      </c>
      <c r="H778" t="s">
        <v>607</v>
      </c>
      <c r="J778" t="s">
        <v>3733</v>
      </c>
      <c r="L778">
        <v>2</v>
      </c>
      <c r="M778" s="134">
        <v>150000</v>
      </c>
      <c r="N778" s="134">
        <v>330000</v>
      </c>
      <c r="O778" t="s">
        <v>6522</v>
      </c>
      <c r="P778" t="s">
        <v>6805</v>
      </c>
      <c r="Q778" t="s">
        <v>1939</v>
      </c>
      <c r="R778" t="s">
        <v>6819</v>
      </c>
      <c r="U778" t="s">
        <v>491</v>
      </c>
      <c r="X778">
        <v>0</v>
      </c>
    </row>
    <row r="779" spans="1:24" x14ac:dyDescent="0.25">
      <c r="A779" s="234">
        <v>42867</v>
      </c>
      <c r="B779" t="s">
        <v>328</v>
      </c>
      <c r="C779" t="s">
        <v>603</v>
      </c>
      <c r="D779" t="s">
        <v>5701</v>
      </c>
      <c r="E779" t="s">
        <v>588</v>
      </c>
      <c r="F779" t="s">
        <v>6765</v>
      </c>
      <c r="H779" t="s">
        <v>1057</v>
      </c>
      <c r="L779">
        <v>1</v>
      </c>
      <c r="M779" s="134">
        <v>150000</v>
      </c>
      <c r="N779" s="134">
        <v>660000</v>
      </c>
      <c r="O779" t="s">
        <v>1171</v>
      </c>
      <c r="P779" t="s">
        <v>6766</v>
      </c>
      <c r="Q779" t="s">
        <v>1939</v>
      </c>
      <c r="R779" t="s">
        <v>6771</v>
      </c>
      <c r="U779" t="s">
        <v>491</v>
      </c>
      <c r="X779">
        <v>0</v>
      </c>
    </row>
    <row r="780" spans="1:24" x14ac:dyDescent="0.25">
      <c r="A780" s="234">
        <v>42828</v>
      </c>
      <c r="B780" t="s">
        <v>5176</v>
      </c>
      <c r="C780" t="s">
        <v>604</v>
      </c>
      <c r="D780" t="s">
        <v>2186</v>
      </c>
      <c r="E780" t="s">
        <v>588</v>
      </c>
      <c r="F780" t="s">
        <v>6219</v>
      </c>
      <c r="H780" t="s">
        <v>722</v>
      </c>
      <c r="I780" t="s">
        <v>6220</v>
      </c>
      <c r="J780" t="s">
        <v>608</v>
      </c>
      <c r="L780">
        <v>9</v>
      </c>
      <c r="M780" s="134">
        <v>150838</v>
      </c>
      <c r="N780" s="134">
        <v>160838</v>
      </c>
      <c r="O780" t="s">
        <v>6221</v>
      </c>
      <c r="P780" t="s">
        <v>6223</v>
      </c>
      <c r="Q780" t="s">
        <v>1939</v>
      </c>
      <c r="R780" t="s">
        <v>6222</v>
      </c>
      <c r="U780" t="s">
        <v>491</v>
      </c>
      <c r="X780">
        <v>0</v>
      </c>
    </row>
    <row r="781" spans="1:24" x14ac:dyDescent="0.25">
      <c r="A781" s="234">
        <v>43480</v>
      </c>
      <c r="B781" t="s">
        <v>1788</v>
      </c>
      <c r="C781" t="s">
        <v>3369</v>
      </c>
      <c r="D781" t="s">
        <v>9849</v>
      </c>
      <c r="F781" t="s">
        <v>13990</v>
      </c>
      <c r="G781" t="s">
        <v>13991</v>
      </c>
      <c r="H781" t="s">
        <v>10831</v>
      </c>
      <c r="I781" t="s">
        <v>9788</v>
      </c>
      <c r="J781" t="s">
        <v>602</v>
      </c>
      <c r="K781" t="s">
        <v>13992</v>
      </c>
      <c r="M781" s="134">
        <v>151000</v>
      </c>
      <c r="N781" s="134">
        <v>256700</v>
      </c>
      <c r="O781" t="s">
        <v>10763</v>
      </c>
      <c r="P781" t="s">
        <v>13993</v>
      </c>
      <c r="Q781" t="s">
        <v>29</v>
      </c>
      <c r="R781" t="s">
        <v>14237</v>
      </c>
      <c r="U781" t="s">
        <v>12797</v>
      </c>
      <c r="X781">
        <v>1</v>
      </c>
    </row>
    <row r="782" spans="1:24" x14ac:dyDescent="0.25">
      <c r="A782" s="234">
        <v>43250</v>
      </c>
      <c r="B782" t="s">
        <v>328</v>
      </c>
      <c r="C782" t="s">
        <v>603</v>
      </c>
      <c r="D782" t="s">
        <v>757</v>
      </c>
      <c r="E782" t="s">
        <v>11363</v>
      </c>
      <c r="F782" t="s">
        <v>6046</v>
      </c>
      <c r="G782" t="s">
        <v>11048</v>
      </c>
      <c r="H782" t="s">
        <v>607</v>
      </c>
      <c r="J782" t="s">
        <v>3751</v>
      </c>
      <c r="L782">
        <v>3</v>
      </c>
      <c r="M782" s="134">
        <v>152000</v>
      </c>
      <c r="N782" s="134">
        <v>273600</v>
      </c>
      <c r="O782" t="s">
        <v>4533</v>
      </c>
      <c r="P782" t="s">
        <v>11362</v>
      </c>
      <c r="Q782" t="s">
        <v>1939</v>
      </c>
      <c r="R782" t="s">
        <v>11361</v>
      </c>
      <c r="U782" t="s">
        <v>1327</v>
      </c>
      <c r="X782">
        <v>0</v>
      </c>
    </row>
    <row r="783" spans="1:24" x14ac:dyDescent="0.25">
      <c r="A783" s="234">
        <v>43264</v>
      </c>
      <c r="B783" t="s">
        <v>328</v>
      </c>
      <c r="C783" t="s">
        <v>603</v>
      </c>
      <c r="D783" t="s">
        <v>10338</v>
      </c>
      <c r="E783" t="s">
        <v>588</v>
      </c>
      <c r="F783" t="s">
        <v>11487</v>
      </c>
      <c r="G783" t="s">
        <v>11488</v>
      </c>
      <c r="H783" t="s">
        <v>905</v>
      </c>
      <c r="I783" t="s">
        <v>8581</v>
      </c>
      <c r="J783" t="s">
        <v>3533</v>
      </c>
      <c r="M783" s="134">
        <v>153000</v>
      </c>
      <c r="N783" s="134">
        <v>210000</v>
      </c>
      <c r="O783" t="s">
        <v>4533</v>
      </c>
      <c r="P783" t="s">
        <v>11489</v>
      </c>
      <c r="Q783" t="s">
        <v>592</v>
      </c>
      <c r="R783" t="s">
        <v>11498</v>
      </c>
      <c r="S783" t="s">
        <v>11499</v>
      </c>
      <c r="U783" t="s">
        <v>491</v>
      </c>
      <c r="X783">
        <v>0</v>
      </c>
    </row>
    <row r="784" spans="1:24" x14ac:dyDescent="0.25">
      <c r="A784" s="234">
        <v>42872</v>
      </c>
      <c r="B784" t="s">
        <v>328</v>
      </c>
      <c r="C784" t="s">
        <v>603</v>
      </c>
      <c r="D784" t="s">
        <v>5701</v>
      </c>
      <c r="E784" t="s">
        <v>588</v>
      </c>
      <c r="F784" t="s">
        <v>6821</v>
      </c>
      <c r="H784" t="s">
        <v>607</v>
      </c>
      <c r="I784" t="s">
        <v>6822</v>
      </c>
      <c r="J784" t="s">
        <v>3371</v>
      </c>
      <c r="L784">
        <v>5</v>
      </c>
      <c r="M784" s="134">
        <v>153000</v>
      </c>
      <c r="N784" s="134">
        <v>238900</v>
      </c>
      <c r="O784" t="s">
        <v>2934</v>
      </c>
      <c r="P784" t="s">
        <v>6823</v>
      </c>
      <c r="Q784" t="s">
        <v>1939</v>
      </c>
      <c r="R784" t="s">
        <v>6824</v>
      </c>
      <c r="U784" t="s">
        <v>491</v>
      </c>
      <c r="V784" t="s">
        <v>3985</v>
      </c>
      <c r="W784" t="s">
        <v>7877</v>
      </c>
      <c r="X784">
        <v>0</v>
      </c>
    </row>
    <row r="785" spans="1:24" x14ac:dyDescent="0.25">
      <c r="A785" s="234">
        <v>42835</v>
      </c>
      <c r="B785" t="s">
        <v>5176</v>
      </c>
      <c r="C785" t="s">
        <v>604</v>
      </c>
      <c r="D785" t="s">
        <v>727</v>
      </c>
      <c r="E785" t="s">
        <v>588</v>
      </c>
      <c r="F785" t="s">
        <v>6349</v>
      </c>
      <c r="H785" t="s">
        <v>722</v>
      </c>
      <c r="I785" t="s">
        <v>6350</v>
      </c>
      <c r="J785" t="s">
        <v>4684</v>
      </c>
      <c r="L785">
        <v>9</v>
      </c>
      <c r="M785" s="134">
        <v>153000</v>
      </c>
      <c r="N785" s="134">
        <v>267900</v>
      </c>
      <c r="O785" t="s">
        <v>2680</v>
      </c>
      <c r="P785" t="s">
        <v>6351</v>
      </c>
      <c r="Q785" t="s">
        <v>592</v>
      </c>
      <c r="U785" t="s">
        <v>491</v>
      </c>
      <c r="X785">
        <v>0</v>
      </c>
    </row>
    <row r="786" spans="1:24" x14ac:dyDescent="0.25">
      <c r="A786" s="234">
        <v>42691</v>
      </c>
      <c r="B786" t="s">
        <v>110</v>
      </c>
      <c r="D786" t="s">
        <v>1070</v>
      </c>
      <c r="E786" t="s">
        <v>588</v>
      </c>
      <c r="F786" t="s">
        <v>4735</v>
      </c>
      <c r="H786" t="s">
        <v>722</v>
      </c>
      <c r="I786" t="s">
        <v>4736</v>
      </c>
      <c r="J786" t="s">
        <v>761</v>
      </c>
      <c r="L786">
        <v>10</v>
      </c>
      <c r="M786" s="134">
        <v>153500</v>
      </c>
      <c r="N786" s="134">
        <v>260950</v>
      </c>
      <c r="O786" t="s">
        <v>764</v>
      </c>
      <c r="P786" t="s">
        <v>4737</v>
      </c>
      <c r="Q786" t="s">
        <v>1939</v>
      </c>
      <c r="R786" t="s">
        <v>4738</v>
      </c>
      <c r="U786" t="s">
        <v>491</v>
      </c>
      <c r="X786">
        <v>0</v>
      </c>
    </row>
    <row r="787" spans="1:24" x14ac:dyDescent="0.25">
      <c r="A787" s="234">
        <v>42947</v>
      </c>
      <c r="B787" t="s">
        <v>110</v>
      </c>
      <c r="C787" t="s">
        <v>761</v>
      </c>
      <c r="D787" t="s">
        <v>715</v>
      </c>
      <c r="E787" t="s">
        <v>588</v>
      </c>
      <c r="F787" t="s">
        <v>7884</v>
      </c>
      <c r="G787" t="s">
        <v>7883</v>
      </c>
      <c r="H787" t="s">
        <v>607</v>
      </c>
      <c r="I787" t="s">
        <v>7885</v>
      </c>
      <c r="J787" t="s">
        <v>4785</v>
      </c>
      <c r="L787">
        <v>10</v>
      </c>
      <c r="M787" s="134">
        <v>154000</v>
      </c>
      <c r="N787" s="134">
        <v>261800</v>
      </c>
      <c r="O787" t="s">
        <v>3665</v>
      </c>
      <c r="P787" t="s">
        <v>7887</v>
      </c>
      <c r="Q787" t="s">
        <v>1612</v>
      </c>
      <c r="R787" t="s">
        <v>7908</v>
      </c>
      <c r="T787">
        <v>43</v>
      </c>
      <c r="U787" t="s">
        <v>491</v>
      </c>
      <c r="X787">
        <v>0</v>
      </c>
    </row>
    <row r="788" spans="1:24" x14ac:dyDescent="0.25">
      <c r="A788" s="234">
        <v>42578</v>
      </c>
      <c r="B788" t="s">
        <v>1486</v>
      </c>
      <c r="C788" t="s">
        <v>1883</v>
      </c>
      <c r="D788" t="s">
        <v>595</v>
      </c>
      <c r="E788" t="s">
        <v>821</v>
      </c>
      <c r="F788" t="s">
        <v>543</v>
      </c>
      <c r="H788" t="s">
        <v>607</v>
      </c>
      <c r="I788" t="s">
        <v>3059</v>
      </c>
      <c r="M788" s="134">
        <v>155000</v>
      </c>
      <c r="N788" s="134">
        <v>0</v>
      </c>
      <c r="O788" t="s">
        <v>3060</v>
      </c>
      <c r="P788" t="s">
        <v>3061</v>
      </c>
      <c r="Q788" t="s">
        <v>1939</v>
      </c>
      <c r="R788" t="s">
        <v>3062</v>
      </c>
      <c r="U788" t="s">
        <v>491</v>
      </c>
      <c r="X788">
        <v>0</v>
      </c>
    </row>
    <row r="789" spans="1:24" x14ac:dyDescent="0.25">
      <c r="A789" s="234">
        <v>42991</v>
      </c>
      <c r="B789" t="s">
        <v>328</v>
      </c>
      <c r="C789" t="s">
        <v>603</v>
      </c>
      <c r="D789" t="s">
        <v>1401</v>
      </c>
      <c r="E789" t="s">
        <v>588</v>
      </c>
      <c r="F789" t="s">
        <v>467</v>
      </c>
      <c r="G789" t="s">
        <v>8534</v>
      </c>
      <c r="H789" t="s">
        <v>6252</v>
      </c>
      <c r="I789" t="s">
        <v>8535</v>
      </c>
      <c r="J789" t="s">
        <v>3751</v>
      </c>
      <c r="M789" s="134">
        <v>155000</v>
      </c>
      <c r="N789" s="134">
        <v>159000</v>
      </c>
      <c r="O789" t="s">
        <v>8536</v>
      </c>
      <c r="P789" t="s">
        <v>8537</v>
      </c>
      <c r="Q789" t="s">
        <v>1939</v>
      </c>
      <c r="R789" t="s">
        <v>8538</v>
      </c>
      <c r="T789">
        <v>19</v>
      </c>
      <c r="U789" t="s">
        <v>491</v>
      </c>
      <c r="X789">
        <v>0</v>
      </c>
    </row>
    <row r="790" spans="1:24" x14ac:dyDescent="0.25">
      <c r="A790" s="234">
        <v>42913</v>
      </c>
      <c r="B790" t="s">
        <v>110</v>
      </c>
      <c r="C790" t="s">
        <v>761</v>
      </c>
      <c r="D790" t="s">
        <v>715</v>
      </c>
      <c r="E790" t="s">
        <v>588</v>
      </c>
      <c r="F790" t="s">
        <v>7401</v>
      </c>
      <c r="H790" t="s">
        <v>905</v>
      </c>
      <c r="I790" t="s">
        <v>7402</v>
      </c>
      <c r="J790" t="s">
        <v>761</v>
      </c>
      <c r="L790">
        <v>10</v>
      </c>
      <c r="M790" s="134">
        <v>155000</v>
      </c>
      <c r="N790" s="134">
        <v>186000</v>
      </c>
      <c r="O790" t="s">
        <v>764</v>
      </c>
      <c r="P790" t="s">
        <v>7403</v>
      </c>
      <c r="Q790" t="s">
        <v>620</v>
      </c>
      <c r="R790" t="s">
        <v>7404</v>
      </c>
      <c r="U790" t="s">
        <v>491</v>
      </c>
      <c r="X790">
        <v>0</v>
      </c>
    </row>
    <row r="791" spans="1:24" x14ac:dyDescent="0.25">
      <c r="A791" s="234">
        <v>42821</v>
      </c>
      <c r="B791" t="s">
        <v>569</v>
      </c>
      <c r="C791" t="s">
        <v>899</v>
      </c>
      <c r="D791" t="s">
        <v>732</v>
      </c>
      <c r="E791" t="s">
        <v>588</v>
      </c>
      <c r="F791" t="s">
        <v>6149</v>
      </c>
      <c r="H791" t="s">
        <v>607</v>
      </c>
      <c r="I791" t="s">
        <v>6150</v>
      </c>
      <c r="J791" t="s">
        <v>899</v>
      </c>
      <c r="L791">
        <v>4</v>
      </c>
      <c r="M791" s="134">
        <v>155000</v>
      </c>
      <c r="N791" s="134">
        <v>278000</v>
      </c>
      <c r="O791" t="s">
        <v>3107</v>
      </c>
      <c r="P791" t="s">
        <v>6151</v>
      </c>
      <c r="Q791" t="s">
        <v>1939</v>
      </c>
      <c r="R791" t="s">
        <v>6310</v>
      </c>
      <c r="U791" t="s">
        <v>1327</v>
      </c>
      <c r="X791">
        <v>0</v>
      </c>
    </row>
    <row r="792" spans="1:24" x14ac:dyDescent="0.25">
      <c r="A792" s="234">
        <v>42654</v>
      </c>
      <c r="B792" t="s">
        <v>320</v>
      </c>
      <c r="C792" t="s">
        <v>1228</v>
      </c>
      <c r="D792" t="s">
        <v>1229</v>
      </c>
      <c r="E792" t="s">
        <v>588</v>
      </c>
      <c r="F792" t="s">
        <v>4263</v>
      </c>
      <c r="H792" t="s">
        <v>607</v>
      </c>
      <c r="I792" t="s">
        <v>4264</v>
      </c>
      <c r="J792" t="s">
        <v>3856</v>
      </c>
      <c r="M792" s="134">
        <v>156000</v>
      </c>
      <c r="N792" s="134">
        <v>180000</v>
      </c>
      <c r="O792" t="s">
        <v>4265</v>
      </c>
      <c r="P792" t="s">
        <v>4266</v>
      </c>
      <c r="Q792" t="s">
        <v>29</v>
      </c>
      <c r="R792" t="s">
        <v>4267</v>
      </c>
      <c r="U792" t="s">
        <v>491</v>
      </c>
      <c r="X792">
        <v>1</v>
      </c>
    </row>
    <row r="793" spans="1:24" x14ac:dyDescent="0.25">
      <c r="A793" s="234">
        <v>42999</v>
      </c>
      <c r="B793" t="s">
        <v>328</v>
      </c>
      <c r="C793" t="s">
        <v>603</v>
      </c>
      <c r="D793" t="s">
        <v>649</v>
      </c>
      <c r="E793" t="s">
        <v>588</v>
      </c>
      <c r="F793" t="s">
        <v>8644</v>
      </c>
      <c r="G793" t="s">
        <v>8645</v>
      </c>
      <c r="H793" t="s">
        <v>5514</v>
      </c>
      <c r="I793" t="s">
        <v>5212</v>
      </c>
      <c r="J793" t="s">
        <v>644</v>
      </c>
      <c r="M793" s="134">
        <v>156000</v>
      </c>
      <c r="N793" s="134">
        <v>320000</v>
      </c>
      <c r="O793" t="s">
        <v>1171</v>
      </c>
      <c r="P793" t="s">
        <v>8646</v>
      </c>
      <c r="Q793" t="s">
        <v>592</v>
      </c>
      <c r="T793">
        <v>18</v>
      </c>
      <c r="U793" t="s">
        <v>491</v>
      </c>
      <c r="X793">
        <v>0</v>
      </c>
    </row>
    <row r="794" spans="1:24" x14ac:dyDescent="0.25">
      <c r="A794" s="234">
        <v>42837</v>
      </c>
      <c r="B794" t="s">
        <v>328</v>
      </c>
      <c r="C794" t="s">
        <v>6015</v>
      </c>
      <c r="D794" t="s">
        <v>5701</v>
      </c>
      <c r="E794" t="s">
        <v>588</v>
      </c>
      <c r="F794" t="s">
        <v>6400</v>
      </c>
      <c r="H794" t="s">
        <v>607</v>
      </c>
      <c r="I794" t="s">
        <v>6016</v>
      </c>
      <c r="J794" t="s">
        <v>6015</v>
      </c>
      <c r="L794">
        <v>3</v>
      </c>
      <c r="M794" s="134">
        <v>156213</v>
      </c>
      <c r="N794" s="134">
        <v>281183</v>
      </c>
      <c r="O794" t="s">
        <v>2934</v>
      </c>
      <c r="P794" t="s">
        <v>6401</v>
      </c>
      <c r="Q794" t="s">
        <v>1939</v>
      </c>
      <c r="R794" t="s">
        <v>6402</v>
      </c>
      <c r="U794" t="s">
        <v>491</v>
      </c>
      <c r="X794">
        <v>0</v>
      </c>
    </row>
    <row r="795" spans="1:24" x14ac:dyDescent="0.25">
      <c r="A795" s="234">
        <v>42461</v>
      </c>
      <c r="B795" t="s">
        <v>1486</v>
      </c>
      <c r="C795" t="s">
        <v>604</v>
      </c>
      <c r="D795" t="s">
        <v>595</v>
      </c>
      <c r="E795" t="s">
        <v>588</v>
      </c>
      <c r="F795" t="s">
        <v>1491</v>
      </c>
      <c r="H795" t="s">
        <v>886</v>
      </c>
      <c r="I795" t="s">
        <v>1492</v>
      </c>
      <c r="M795" s="134">
        <v>158000</v>
      </c>
      <c r="N795" s="134">
        <v>300200</v>
      </c>
      <c r="O795" t="s">
        <v>1493</v>
      </c>
      <c r="P795" t="s">
        <v>1494</v>
      </c>
      <c r="Q795" t="s">
        <v>1612</v>
      </c>
      <c r="R795" t="s">
        <v>1525</v>
      </c>
      <c r="U795" t="s">
        <v>491</v>
      </c>
      <c r="X795">
        <v>0</v>
      </c>
    </row>
    <row r="796" spans="1:24" x14ac:dyDescent="0.25">
      <c r="A796" s="234">
        <v>42810</v>
      </c>
      <c r="B796" t="s">
        <v>5992</v>
      </c>
      <c r="C796" t="s">
        <v>608</v>
      </c>
      <c r="D796" t="s">
        <v>5270</v>
      </c>
      <c r="E796" t="s">
        <v>588</v>
      </c>
      <c r="F796" t="s">
        <v>5993</v>
      </c>
      <c r="H796" t="s">
        <v>607</v>
      </c>
      <c r="I796" t="s">
        <v>5630</v>
      </c>
      <c r="J796" t="s">
        <v>608</v>
      </c>
      <c r="L796">
        <v>5</v>
      </c>
      <c r="M796" s="134">
        <v>158300</v>
      </c>
      <c r="N796" s="134">
        <v>284940</v>
      </c>
      <c r="O796" t="s">
        <v>5994</v>
      </c>
      <c r="P796" t="s">
        <v>5995</v>
      </c>
      <c r="Q796" t="s">
        <v>592</v>
      </c>
      <c r="R796" t="s">
        <v>5996</v>
      </c>
      <c r="U796" t="s">
        <v>491</v>
      </c>
      <c r="X796">
        <v>0</v>
      </c>
    </row>
    <row r="797" spans="1:24" x14ac:dyDescent="0.25">
      <c r="A797" s="234">
        <v>43343</v>
      </c>
      <c r="B797" t="s">
        <v>328</v>
      </c>
      <c r="C797" t="s">
        <v>603</v>
      </c>
      <c r="D797" t="s">
        <v>649</v>
      </c>
      <c r="E797" t="s">
        <v>588</v>
      </c>
      <c r="F797" t="s">
        <v>12462</v>
      </c>
      <c r="H797" t="s">
        <v>10829</v>
      </c>
      <c r="I797" t="s">
        <v>12463</v>
      </c>
      <c r="J797" t="s">
        <v>3612</v>
      </c>
      <c r="L797">
        <v>10</v>
      </c>
      <c r="M797" s="134">
        <v>160000</v>
      </c>
      <c r="N797" s="134">
        <v>160000</v>
      </c>
      <c r="O797" t="s">
        <v>7124</v>
      </c>
      <c r="P797" t="s">
        <v>12464</v>
      </c>
      <c r="Q797" t="s">
        <v>1939</v>
      </c>
      <c r="R797" t="s">
        <v>12465</v>
      </c>
      <c r="U797" t="s">
        <v>491</v>
      </c>
      <c r="X797">
        <v>0</v>
      </c>
    </row>
    <row r="798" spans="1:24" x14ac:dyDescent="0.25">
      <c r="A798" s="234">
        <v>42971</v>
      </c>
      <c r="B798" t="s">
        <v>328</v>
      </c>
      <c r="C798" t="s">
        <v>603</v>
      </c>
      <c r="D798" t="s">
        <v>672</v>
      </c>
      <c r="E798" t="s">
        <v>588</v>
      </c>
      <c r="F798" t="s">
        <v>8288</v>
      </c>
      <c r="G798" t="s">
        <v>8289</v>
      </c>
      <c r="H798" t="s">
        <v>722</v>
      </c>
      <c r="I798" t="s">
        <v>8290</v>
      </c>
      <c r="J798" t="s">
        <v>3533</v>
      </c>
      <c r="L798">
        <v>10</v>
      </c>
      <c r="M798" s="134">
        <v>160000</v>
      </c>
      <c r="N798" s="134">
        <v>160000</v>
      </c>
      <c r="O798" t="s">
        <v>2680</v>
      </c>
      <c r="P798" t="s">
        <v>8291</v>
      </c>
      <c r="Q798" t="s">
        <v>1939</v>
      </c>
      <c r="R798" t="s">
        <v>8292</v>
      </c>
      <c r="T798">
        <v>33</v>
      </c>
      <c r="U798" t="s">
        <v>491</v>
      </c>
      <c r="X798">
        <v>0</v>
      </c>
    </row>
    <row r="799" spans="1:24" x14ac:dyDescent="0.25">
      <c r="A799" s="234">
        <v>43448</v>
      </c>
      <c r="B799" t="s">
        <v>328</v>
      </c>
      <c r="C799" t="s">
        <v>603</v>
      </c>
      <c r="D799" t="s">
        <v>649</v>
      </c>
      <c r="F799" t="s">
        <v>13650</v>
      </c>
      <c r="G799" t="s">
        <v>7761</v>
      </c>
      <c r="H799" t="s">
        <v>809</v>
      </c>
      <c r="I799" t="s">
        <v>13651</v>
      </c>
      <c r="J799" t="s">
        <v>899</v>
      </c>
      <c r="K799" t="s">
        <v>13652</v>
      </c>
      <c r="L799">
        <v>3</v>
      </c>
      <c r="M799" s="134">
        <v>160000</v>
      </c>
      <c r="N799" s="134">
        <v>170000</v>
      </c>
      <c r="O799" t="s">
        <v>10765</v>
      </c>
      <c r="P799" t="s">
        <v>13761</v>
      </c>
      <c r="Q799" t="s">
        <v>29</v>
      </c>
      <c r="R799" t="s">
        <v>13653</v>
      </c>
      <c r="U799" t="s">
        <v>12797</v>
      </c>
      <c r="X799">
        <v>1</v>
      </c>
    </row>
    <row r="800" spans="1:24" x14ac:dyDescent="0.25">
      <c r="A800" s="234">
        <v>42895</v>
      </c>
      <c r="B800" t="s">
        <v>5176</v>
      </c>
      <c r="D800" t="s">
        <v>2454</v>
      </c>
      <c r="E800" t="s">
        <v>588</v>
      </c>
      <c r="F800" t="s">
        <v>7126</v>
      </c>
      <c r="H800" t="s">
        <v>905</v>
      </c>
      <c r="I800" t="s">
        <v>7127</v>
      </c>
      <c r="J800" t="s">
        <v>3369</v>
      </c>
      <c r="M800" s="134">
        <v>160000</v>
      </c>
      <c r="N800" s="134">
        <v>180000</v>
      </c>
      <c r="O800" t="s">
        <v>7128</v>
      </c>
      <c r="P800" t="s">
        <v>7129</v>
      </c>
      <c r="Q800" t="s">
        <v>1939</v>
      </c>
      <c r="R800" t="s">
        <v>7130</v>
      </c>
      <c r="U800" t="s">
        <v>491</v>
      </c>
      <c r="X800">
        <v>0</v>
      </c>
    </row>
    <row r="801" spans="1:24" x14ac:dyDescent="0.25">
      <c r="A801" s="234">
        <v>43355</v>
      </c>
      <c r="B801" t="s">
        <v>569</v>
      </c>
      <c r="C801" t="s">
        <v>899</v>
      </c>
      <c r="D801" t="s">
        <v>624</v>
      </c>
      <c r="E801" t="s">
        <v>588</v>
      </c>
      <c r="F801" t="s">
        <v>12582</v>
      </c>
      <c r="G801" t="s">
        <v>12581</v>
      </c>
      <c r="H801" t="s">
        <v>607</v>
      </c>
      <c r="I801" t="s">
        <v>12584</v>
      </c>
      <c r="J801" t="s">
        <v>899</v>
      </c>
      <c r="L801">
        <v>2</v>
      </c>
      <c r="M801" s="134">
        <v>160000</v>
      </c>
      <c r="N801" s="134">
        <v>225000</v>
      </c>
      <c r="O801" t="s">
        <v>10763</v>
      </c>
      <c r="P801" t="s">
        <v>12583</v>
      </c>
      <c r="Q801" t="s">
        <v>1939</v>
      </c>
      <c r="R801" t="s">
        <v>12588</v>
      </c>
      <c r="U801" t="s">
        <v>12344</v>
      </c>
      <c r="X801">
        <v>0</v>
      </c>
    </row>
    <row r="802" spans="1:24" x14ac:dyDescent="0.25">
      <c r="A802" s="234">
        <v>43075</v>
      </c>
      <c r="B802" t="s">
        <v>328</v>
      </c>
      <c r="C802" t="s">
        <v>603</v>
      </c>
      <c r="D802" t="s">
        <v>7595</v>
      </c>
      <c r="E802" t="s">
        <v>588</v>
      </c>
      <c r="F802" t="s">
        <v>9687</v>
      </c>
      <c r="G802" t="s">
        <v>9687</v>
      </c>
      <c r="H802" t="s">
        <v>4132</v>
      </c>
      <c r="I802" t="s">
        <v>4042</v>
      </c>
      <c r="J802" t="s">
        <v>899</v>
      </c>
      <c r="L802">
        <v>10</v>
      </c>
      <c r="M802" s="134">
        <v>160000</v>
      </c>
      <c r="N802" s="134">
        <v>272000</v>
      </c>
      <c r="O802" t="s">
        <v>9685</v>
      </c>
      <c r="P802" t="s">
        <v>9686</v>
      </c>
      <c r="Q802" t="s">
        <v>1939</v>
      </c>
      <c r="R802" t="s">
        <v>9684</v>
      </c>
      <c r="U802" t="s">
        <v>1327</v>
      </c>
      <c r="X802">
        <v>0</v>
      </c>
    </row>
    <row r="803" spans="1:24" x14ac:dyDescent="0.25">
      <c r="A803" s="234">
        <v>42796</v>
      </c>
      <c r="B803" t="s">
        <v>328</v>
      </c>
      <c r="C803" t="s">
        <v>603</v>
      </c>
      <c r="D803" t="s">
        <v>1401</v>
      </c>
      <c r="E803" t="s">
        <v>588</v>
      </c>
      <c r="F803" t="s">
        <v>5848</v>
      </c>
      <c r="H803" t="s">
        <v>1391</v>
      </c>
      <c r="I803" t="s">
        <v>5846</v>
      </c>
      <c r="J803" t="s">
        <v>5309</v>
      </c>
      <c r="L803">
        <v>11</v>
      </c>
      <c r="M803" s="134">
        <v>160000</v>
      </c>
      <c r="N803" s="134">
        <v>288000</v>
      </c>
      <c r="O803" t="s">
        <v>1111</v>
      </c>
      <c r="P803" t="s">
        <v>6290</v>
      </c>
      <c r="Q803" t="s">
        <v>29</v>
      </c>
      <c r="R803" t="s">
        <v>5847</v>
      </c>
      <c r="U803" t="s">
        <v>491</v>
      </c>
      <c r="X803">
        <v>1</v>
      </c>
    </row>
    <row r="804" spans="1:24" x14ac:dyDescent="0.25">
      <c r="A804" s="234">
        <v>43159</v>
      </c>
      <c r="B804" t="s">
        <v>328</v>
      </c>
      <c r="C804" t="s">
        <v>603</v>
      </c>
      <c r="D804" t="s">
        <v>7595</v>
      </c>
      <c r="E804" t="s">
        <v>588</v>
      </c>
      <c r="F804" t="s">
        <v>10435</v>
      </c>
      <c r="G804" t="s">
        <v>9000</v>
      </c>
      <c r="H804" t="s">
        <v>607</v>
      </c>
      <c r="J804" t="s">
        <v>3368</v>
      </c>
      <c r="L804">
        <v>10</v>
      </c>
      <c r="M804" s="134">
        <v>160000</v>
      </c>
      <c r="N804" s="134">
        <v>320000</v>
      </c>
      <c r="O804" t="s">
        <v>7124</v>
      </c>
      <c r="P804" t="s">
        <v>10436</v>
      </c>
      <c r="Q804" t="s">
        <v>1939</v>
      </c>
      <c r="R804" t="s">
        <v>10434</v>
      </c>
      <c r="U804" t="s">
        <v>1327</v>
      </c>
      <c r="X804">
        <v>0</v>
      </c>
    </row>
    <row r="805" spans="1:24" x14ac:dyDescent="0.25">
      <c r="A805" s="234">
        <v>42881</v>
      </c>
      <c r="B805" t="s">
        <v>328</v>
      </c>
      <c r="D805" t="s">
        <v>672</v>
      </c>
      <c r="E805" t="s">
        <v>588</v>
      </c>
      <c r="F805" t="s">
        <v>6933</v>
      </c>
      <c r="H805" t="s">
        <v>607</v>
      </c>
      <c r="I805" t="s">
        <v>3536</v>
      </c>
      <c r="J805" t="s">
        <v>899</v>
      </c>
      <c r="L805">
        <v>1</v>
      </c>
      <c r="M805" s="134">
        <v>160000</v>
      </c>
      <c r="N805" s="134">
        <v>3080000</v>
      </c>
      <c r="O805" t="s">
        <v>560</v>
      </c>
      <c r="P805" t="s">
        <v>6934</v>
      </c>
      <c r="Q805" t="s">
        <v>592</v>
      </c>
      <c r="U805" t="s">
        <v>491</v>
      </c>
      <c r="X805">
        <v>0</v>
      </c>
    </row>
    <row r="806" spans="1:24" x14ac:dyDescent="0.25">
      <c r="A806" s="234">
        <v>43559</v>
      </c>
      <c r="B806" t="s">
        <v>328</v>
      </c>
      <c r="C806" t="s">
        <v>603</v>
      </c>
      <c r="D806" t="s">
        <v>2500</v>
      </c>
      <c r="F806" t="s">
        <v>14980</v>
      </c>
      <c r="G806" t="s">
        <v>12203</v>
      </c>
      <c r="H806" t="s">
        <v>607</v>
      </c>
      <c r="I806" t="s">
        <v>14981</v>
      </c>
      <c r="J806" t="s">
        <v>3372</v>
      </c>
      <c r="K806" t="s">
        <v>14982</v>
      </c>
      <c r="L806">
        <v>2</v>
      </c>
      <c r="M806" s="134">
        <v>161000</v>
      </c>
      <c r="N806" s="134">
        <v>305900</v>
      </c>
      <c r="O806" t="s">
        <v>10766</v>
      </c>
      <c r="P806" t="s">
        <v>15328</v>
      </c>
      <c r="Q806" t="s">
        <v>29</v>
      </c>
      <c r="R806" t="s">
        <v>14983</v>
      </c>
      <c r="S806" t="s">
        <v>14984</v>
      </c>
      <c r="U806" t="s">
        <v>491</v>
      </c>
      <c r="X806">
        <v>1</v>
      </c>
    </row>
    <row r="807" spans="1:24" x14ac:dyDescent="0.25">
      <c r="A807" s="234">
        <v>42613</v>
      </c>
      <c r="B807" t="s">
        <v>328</v>
      </c>
      <c r="C807" t="s">
        <v>603</v>
      </c>
      <c r="D807" t="s">
        <v>2500</v>
      </c>
      <c r="E807" t="s">
        <v>692</v>
      </c>
      <c r="F807" t="s">
        <v>3702</v>
      </c>
      <c r="H807" t="s">
        <v>607</v>
      </c>
      <c r="I807" t="s">
        <v>3703</v>
      </c>
      <c r="J807" t="s">
        <v>604</v>
      </c>
      <c r="L807">
        <v>6</v>
      </c>
      <c r="M807" s="134">
        <v>161415</v>
      </c>
      <c r="N807" s="134">
        <v>270000</v>
      </c>
      <c r="O807" t="s">
        <v>3704</v>
      </c>
      <c r="P807" t="s">
        <v>3705</v>
      </c>
      <c r="Q807" t="s">
        <v>1939</v>
      </c>
      <c r="R807" t="s">
        <v>3706</v>
      </c>
      <c r="U807" t="s">
        <v>491</v>
      </c>
      <c r="X807">
        <v>0</v>
      </c>
    </row>
    <row r="808" spans="1:24" x14ac:dyDescent="0.25">
      <c r="A808" s="234">
        <v>42633</v>
      </c>
      <c r="B808" t="s">
        <v>643</v>
      </c>
      <c r="C808" t="s">
        <v>644</v>
      </c>
      <c r="D808" t="s">
        <v>645</v>
      </c>
      <c r="E808" t="s">
        <v>588</v>
      </c>
      <c r="F808" t="s">
        <v>3986</v>
      </c>
      <c r="H808" t="s">
        <v>3987</v>
      </c>
      <c r="I808" t="s">
        <v>3988</v>
      </c>
      <c r="J808" t="s">
        <v>644</v>
      </c>
      <c r="L808">
        <v>10</v>
      </c>
      <c r="M808" s="134">
        <v>163200</v>
      </c>
      <c r="N808" s="134">
        <v>244800</v>
      </c>
      <c r="O808" t="s">
        <v>3886</v>
      </c>
      <c r="P808" t="s">
        <v>3989</v>
      </c>
      <c r="Q808" t="s">
        <v>592</v>
      </c>
      <c r="U808" t="s">
        <v>491</v>
      </c>
      <c r="X808">
        <v>0</v>
      </c>
    </row>
    <row r="809" spans="1:24" x14ac:dyDescent="0.25">
      <c r="A809" s="234">
        <v>43608</v>
      </c>
      <c r="B809" t="s">
        <v>13559</v>
      </c>
      <c r="C809" t="s">
        <v>3370</v>
      </c>
      <c r="D809" t="s">
        <v>14656</v>
      </c>
      <c r="F809" t="s">
        <v>15730</v>
      </c>
      <c r="G809" t="s">
        <v>15731</v>
      </c>
      <c r="H809" t="s">
        <v>905</v>
      </c>
      <c r="I809" t="s">
        <v>6796</v>
      </c>
      <c r="J809" t="s">
        <v>3370</v>
      </c>
      <c r="K809" t="s">
        <v>15732</v>
      </c>
      <c r="L809">
        <v>3</v>
      </c>
      <c r="M809" s="134">
        <v>165000</v>
      </c>
      <c r="N809" s="134">
        <v>240000</v>
      </c>
      <c r="O809" t="s">
        <v>10766</v>
      </c>
      <c r="P809" t="s">
        <v>15733</v>
      </c>
      <c r="Q809" t="s">
        <v>620</v>
      </c>
      <c r="R809" t="s">
        <v>15735</v>
      </c>
      <c r="S809" t="s">
        <v>15734</v>
      </c>
      <c r="U809" t="s">
        <v>491</v>
      </c>
      <c r="X809">
        <v>0</v>
      </c>
    </row>
    <row r="810" spans="1:24" x14ac:dyDescent="0.25">
      <c r="A810" s="234">
        <v>43223</v>
      </c>
      <c r="B810" t="s">
        <v>9240</v>
      </c>
      <c r="C810" t="s">
        <v>603</v>
      </c>
      <c r="D810" t="s">
        <v>7814</v>
      </c>
      <c r="E810" t="s">
        <v>588</v>
      </c>
      <c r="F810" t="s">
        <v>11099</v>
      </c>
      <c r="G810" t="s">
        <v>8198</v>
      </c>
      <c r="H810" t="s">
        <v>607</v>
      </c>
      <c r="I810" t="s">
        <v>11100</v>
      </c>
      <c r="J810" t="s">
        <v>608</v>
      </c>
      <c r="L810">
        <v>1</v>
      </c>
      <c r="M810" s="134">
        <v>165000</v>
      </c>
      <c r="N810" s="134">
        <v>240000</v>
      </c>
      <c r="O810" t="s">
        <v>49</v>
      </c>
      <c r="P810" t="s">
        <v>11101</v>
      </c>
      <c r="Q810" t="s">
        <v>29</v>
      </c>
      <c r="R810" t="s">
        <v>11102</v>
      </c>
      <c r="U810" t="s">
        <v>491</v>
      </c>
      <c r="X810">
        <v>1</v>
      </c>
    </row>
    <row r="811" spans="1:24" x14ac:dyDescent="0.25">
      <c r="A811" s="234">
        <v>42513</v>
      </c>
      <c r="B811" t="s">
        <v>328</v>
      </c>
      <c r="D811" t="s">
        <v>649</v>
      </c>
      <c r="E811" t="s">
        <v>2200</v>
      </c>
      <c r="F811" t="s">
        <v>2201</v>
      </c>
      <c r="H811" t="s">
        <v>607</v>
      </c>
      <c r="I811" t="s">
        <v>2202</v>
      </c>
      <c r="M811" s="134">
        <v>165000</v>
      </c>
      <c r="N811" s="134">
        <v>264500</v>
      </c>
      <c r="O811" t="s">
        <v>666</v>
      </c>
      <c r="P811" t="s">
        <v>2203</v>
      </c>
      <c r="Q811" t="s">
        <v>29</v>
      </c>
      <c r="R811" t="s">
        <v>2363</v>
      </c>
      <c r="U811" t="s">
        <v>633</v>
      </c>
      <c r="X811">
        <v>1</v>
      </c>
    </row>
    <row r="812" spans="1:24" x14ac:dyDescent="0.25">
      <c r="A812" s="234">
        <v>42843</v>
      </c>
      <c r="B812" t="s">
        <v>5176</v>
      </c>
      <c r="D812" t="s">
        <v>595</v>
      </c>
      <c r="E812" t="s">
        <v>588</v>
      </c>
      <c r="F812" t="s">
        <v>6459</v>
      </c>
      <c r="H812" t="s">
        <v>607</v>
      </c>
      <c r="I812" t="s">
        <v>6460</v>
      </c>
      <c r="J812" t="s">
        <v>959</v>
      </c>
      <c r="M812" s="134">
        <v>165000</v>
      </c>
      <c r="N812" s="134">
        <v>356000</v>
      </c>
      <c r="O812" t="s">
        <v>35</v>
      </c>
      <c r="P812" t="s">
        <v>6461</v>
      </c>
      <c r="Q812" t="s">
        <v>29</v>
      </c>
      <c r="R812" t="s">
        <v>6462</v>
      </c>
      <c r="U812" t="s">
        <v>491</v>
      </c>
      <c r="X812">
        <v>1</v>
      </c>
    </row>
    <row r="813" spans="1:24" x14ac:dyDescent="0.25">
      <c r="A813" s="234">
        <v>42789</v>
      </c>
      <c r="B813" t="s">
        <v>328</v>
      </c>
      <c r="C813" t="s">
        <v>603</v>
      </c>
      <c r="D813" t="s">
        <v>649</v>
      </c>
      <c r="E813" t="s">
        <v>588</v>
      </c>
      <c r="F813" t="s">
        <v>5790</v>
      </c>
      <c r="H813" t="s">
        <v>607</v>
      </c>
      <c r="I813" t="s">
        <v>5791</v>
      </c>
      <c r="J813" t="s">
        <v>3368</v>
      </c>
      <c r="L813">
        <v>3</v>
      </c>
      <c r="M813" s="134">
        <v>166967</v>
      </c>
      <c r="N813" s="134">
        <v>350000</v>
      </c>
      <c r="O813" t="s">
        <v>3107</v>
      </c>
      <c r="P813" t="s">
        <v>5792</v>
      </c>
      <c r="Q813" t="s">
        <v>1939</v>
      </c>
      <c r="R813" t="s">
        <v>5805</v>
      </c>
      <c r="U813" t="s">
        <v>491</v>
      </c>
      <c r="X813">
        <v>0</v>
      </c>
    </row>
    <row r="814" spans="1:24" x14ac:dyDescent="0.25">
      <c r="A814" s="234">
        <v>43615</v>
      </c>
      <c r="B814" t="s">
        <v>13559</v>
      </c>
      <c r="C814" t="s">
        <v>3370</v>
      </c>
      <c r="D814" t="s">
        <v>14656</v>
      </c>
      <c r="F814" t="s">
        <v>15877</v>
      </c>
      <c r="G814" t="s">
        <v>15878</v>
      </c>
      <c r="H814" t="s">
        <v>10831</v>
      </c>
      <c r="I814" t="s">
        <v>7367</v>
      </c>
      <c r="J814" t="s">
        <v>3370</v>
      </c>
      <c r="K814" t="s">
        <v>15879</v>
      </c>
      <c r="L814">
        <v>10</v>
      </c>
      <c r="M814" s="134">
        <v>170000</v>
      </c>
      <c r="N814" s="134">
        <v>170000</v>
      </c>
      <c r="O814" t="s">
        <v>7124</v>
      </c>
      <c r="P814" t="s">
        <v>15880</v>
      </c>
      <c r="Q814" t="s">
        <v>592</v>
      </c>
      <c r="R814" t="s">
        <v>15881</v>
      </c>
      <c r="U814" t="s">
        <v>12797</v>
      </c>
      <c r="X814">
        <v>0</v>
      </c>
    </row>
    <row r="815" spans="1:24" x14ac:dyDescent="0.25">
      <c r="A815" s="234">
        <v>43258</v>
      </c>
      <c r="B815" t="s">
        <v>569</v>
      </c>
      <c r="C815" t="s">
        <v>899</v>
      </c>
      <c r="D815" t="s">
        <v>624</v>
      </c>
      <c r="E815" t="s">
        <v>588</v>
      </c>
      <c r="F815" t="s">
        <v>11252</v>
      </c>
      <c r="H815" t="s">
        <v>905</v>
      </c>
      <c r="I815" t="s">
        <v>8144</v>
      </c>
      <c r="J815" t="s">
        <v>899</v>
      </c>
      <c r="L815">
        <v>1</v>
      </c>
      <c r="M815" s="134">
        <v>170000</v>
      </c>
      <c r="N815" s="134">
        <v>187000</v>
      </c>
      <c r="O815" t="s">
        <v>10762</v>
      </c>
      <c r="P815" t="s">
        <v>11422</v>
      </c>
      <c r="Q815" t="s">
        <v>29</v>
      </c>
      <c r="R815" t="s">
        <v>11423</v>
      </c>
      <c r="U815" t="s">
        <v>491</v>
      </c>
      <c r="X815">
        <v>1</v>
      </c>
    </row>
    <row r="816" spans="1:24" x14ac:dyDescent="0.25">
      <c r="A816" s="234">
        <v>43363</v>
      </c>
      <c r="B816" t="s">
        <v>328</v>
      </c>
      <c r="C816" t="s">
        <v>603</v>
      </c>
      <c r="D816" t="s">
        <v>7595</v>
      </c>
      <c r="E816" t="s">
        <v>588</v>
      </c>
      <c r="F816" t="s">
        <v>12698</v>
      </c>
      <c r="G816" t="s">
        <v>12699</v>
      </c>
      <c r="H816" t="s">
        <v>1050</v>
      </c>
      <c r="I816" t="s">
        <v>12700</v>
      </c>
      <c r="J816" t="s">
        <v>4031</v>
      </c>
      <c r="L816">
        <v>2</v>
      </c>
      <c r="M816" s="134">
        <v>170000</v>
      </c>
      <c r="N816" s="134">
        <v>187000</v>
      </c>
      <c r="O816" t="s">
        <v>10766</v>
      </c>
      <c r="P816" t="s">
        <v>13394</v>
      </c>
      <c r="Q816" t="s">
        <v>1939</v>
      </c>
      <c r="R816" t="s">
        <v>12743</v>
      </c>
      <c r="U816" t="s">
        <v>12344</v>
      </c>
      <c r="X816">
        <v>0</v>
      </c>
    </row>
    <row r="817" spans="1:24" x14ac:dyDescent="0.25">
      <c r="A817" s="234">
        <v>42885</v>
      </c>
      <c r="B817" t="s">
        <v>110</v>
      </c>
      <c r="C817" t="s">
        <v>761</v>
      </c>
      <c r="D817" t="s">
        <v>715</v>
      </c>
      <c r="E817" t="s">
        <v>588</v>
      </c>
      <c r="F817" t="s">
        <v>6945</v>
      </c>
      <c r="H817" t="s">
        <v>607</v>
      </c>
      <c r="I817" t="s">
        <v>6946</v>
      </c>
      <c r="J817" t="s">
        <v>761</v>
      </c>
      <c r="L817">
        <v>9</v>
      </c>
      <c r="M817" s="134">
        <v>170000</v>
      </c>
      <c r="N817" s="134">
        <v>289000</v>
      </c>
      <c r="O817" t="s">
        <v>2680</v>
      </c>
      <c r="P817" t="s">
        <v>6947</v>
      </c>
      <c r="Q817" t="s">
        <v>592</v>
      </c>
      <c r="U817" t="s">
        <v>491</v>
      </c>
      <c r="X817">
        <v>0</v>
      </c>
    </row>
    <row r="818" spans="1:24" x14ac:dyDescent="0.25">
      <c r="A818" s="234">
        <v>42900</v>
      </c>
      <c r="B818" t="s">
        <v>110</v>
      </c>
      <c r="C818" t="s">
        <v>761</v>
      </c>
      <c r="D818" t="s">
        <v>715</v>
      </c>
      <c r="E818" t="s">
        <v>588</v>
      </c>
      <c r="F818" t="s">
        <v>7181</v>
      </c>
      <c r="H818" t="s">
        <v>607</v>
      </c>
      <c r="I818" t="s">
        <v>3059</v>
      </c>
      <c r="J818" t="s">
        <v>761</v>
      </c>
      <c r="L818">
        <v>10</v>
      </c>
      <c r="M818" s="134">
        <v>170000</v>
      </c>
      <c r="N818" s="134">
        <v>289000</v>
      </c>
      <c r="O818" t="s">
        <v>764</v>
      </c>
      <c r="P818" t="s">
        <v>7182</v>
      </c>
      <c r="Q818" t="s">
        <v>1612</v>
      </c>
      <c r="R818" t="s">
        <v>7211</v>
      </c>
      <c r="U818" t="s">
        <v>491</v>
      </c>
      <c r="X818">
        <v>0</v>
      </c>
    </row>
    <row r="819" spans="1:24" x14ac:dyDescent="0.25">
      <c r="A819" s="234">
        <v>42663</v>
      </c>
      <c r="B819" t="s">
        <v>378</v>
      </c>
      <c r="C819" t="s">
        <v>623</v>
      </c>
      <c r="D819" t="s">
        <v>625</v>
      </c>
      <c r="E819" t="s">
        <v>588</v>
      </c>
      <c r="F819" t="s">
        <v>4414</v>
      </c>
      <c r="H819" t="s">
        <v>905</v>
      </c>
      <c r="I819" t="s">
        <v>4415</v>
      </c>
      <c r="J819" t="s">
        <v>899</v>
      </c>
      <c r="L819">
        <v>3</v>
      </c>
      <c r="M819" s="134">
        <v>170000</v>
      </c>
      <c r="N819" s="134">
        <v>306000</v>
      </c>
      <c r="O819" t="s">
        <v>4416</v>
      </c>
      <c r="P819" t="s">
        <v>4417</v>
      </c>
      <c r="Q819" t="s">
        <v>1939</v>
      </c>
      <c r="R819" t="s">
        <v>4418</v>
      </c>
      <c r="U819" t="s">
        <v>491</v>
      </c>
      <c r="X819">
        <v>0</v>
      </c>
    </row>
    <row r="820" spans="1:24" x14ac:dyDescent="0.25">
      <c r="A820" s="234">
        <v>43361</v>
      </c>
      <c r="B820" t="s">
        <v>328</v>
      </c>
      <c r="C820" t="s">
        <v>603</v>
      </c>
      <c r="D820" t="s">
        <v>649</v>
      </c>
      <c r="E820" t="s">
        <v>588</v>
      </c>
      <c r="F820" t="s">
        <v>12634</v>
      </c>
      <c r="G820" t="s">
        <v>12635</v>
      </c>
      <c r="H820" t="s">
        <v>1963</v>
      </c>
      <c r="I820" t="s">
        <v>12636</v>
      </c>
      <c r="J820" t="s">
        <v>3751</v>
      </c>
      <c r="L820">
        <v>8</v>
      </c>
      <c r="M820" s="134">
        <v>170000</v>
      </c>
      <c r="N820" s="134">
        <v>395000</v>
      </c>
      <c r="O820" t="s">
        <v>4533</v>
      </c>
      <c r="P820" t="s">
        <v>12637</v>
      </c>
      <c r="Q820" t="s">
        <v>29</v>
      </c>
      <c r="R820" t="s">
        <v>12638</v>
      </c>
      <c r="U820" t="s">
        <v>12344</v>
      </c>
      <c r="X820">
        <v>1</v>
      </c>
    </row>
    <row r="821" spans="1:24" x14ac:dyDescent="0.25">
      <c r="A821" s="234">
        <v>42948</v>
      </c>
      <c r="B821" t="s">
        <v>328</v>
      </c>
      <c r="C821" t="s">
        <v>603</v>
      </c>
      <c r="D821" t="s">
        <v>7595</v>
      </c>
      <c r="E821" t="s">
        <v>588</v>
      </c>
      <c r="F821" t="s">
        <v>7951</v>
      </c>
      <c r="G821" t="s">
        <v>7946</v>
      </c>
      <c r="H821" t="s">
        <v>607</v>
      </c>
      <c r="I821" t="s">
        <v>7947</v>
      </c>
      <c r="J821" t="s">
        <v>603</v>
      </c>
      <c r="L821">
        <v>1</v>
      </c>
      <c r="M821" s="134">
        <v>171910</v>
      </c>
      <c r="N821" s="134">
        <v>317910</v>
      </c>
      <c r="O821" t="s">
        <v>7948</v>
      </c>
      <c r="P821" t="s">
        <v>7949</v>
      </c>
      <c r="Q821" t="s">
        <v>1939</v>
      </c>
      <c r="R821" t="s">
        <v>7950</v>
      </c>
      <c r="T821">
        <v>10</v>
      </c>
      <c r="U821" t="s">
        <v>491</v>
      </c>
      <c r="X821">
        <v>0</v>
      </c>
    </row>
    <row r="822" spans="1:24" x14ac:dyDescent="0.25">
      <c r="A822" s="234">
        <v>42955</v>
      </c>
      <c r="B822" t="s">
        <v>569</v>
      </c>
      <c r="D822" t="s">
        <v>930</v>
      </c>
      <c r="E822" t="s">
        <v>1707</v>
      </c>
      <c r="F822" t="s">
        <v>8032</v>
      </c>
      <c r="G822" t="s">
        <v>8135</v>
      </c>
      <c r="H822" t="s">
        <v>1626</v>
      </c>
      <c r="I822" t="s">
        <v>8136</v>
      </c>
      <c r="J822" t="s">
        <v>899</v>
      </c>
      <c r="L822">
        <v>4</v>
      </c>
      <c r="M822" s="134">
        <v>172000</v>
      </c>
      <c r="N822" s="134">
        <v>216000</v>
      </c>
      <c r="O822" t="s">
        <v>35</v>
      </c>
      <c r="P822" t="s">
        <v>8033</v>
      </c>
      <c r="Q822" t="s">
        <v>1612</v>
      </c>
      <c r="R822" t="s">
        <v>8403</v>
      </c>
      <c r="T822">
        <v>21</v>
      </c>
      <c r="U822" t="s">
        <v>491</v>
      </c>
      <c r="X822">
        <v>0</v>
      </c>
    </row>
    <row r="823" spans="1:24" x14ac:dyDescent="0.25">
      <c r="A823" s="234">
        <v>43607</v>
      </c>
      <c r="B823" t="s">
        <v>328</v>
      </c>
      <c r="C823" t="s">
        <v>603</v>
      </c>
      <c r="D823" t="s">
        <v>1401</v>
      </c>
      <c r="F823" t="s">
        <v>15701</v>
      </c>
      <c r="G823" t="s">
        <v>8383</v>
      </c>
      <c r="H823" t="s">
        <v>607</v>
      </c>
      <c r="I823" t="s">
        <v>11104</v>
      </c>
      <c r="J823" t="s">
        <v>3751</v>
      </c>
      <c r="K823" t="s">
        <v>15702</v>
      </c>
      <c r="L823">
        <v>3</v>
      </c>
      <c r="M823" s="134">
        <v>172514</v>
      </c>
      <c r="N823" s="134">
        <v>350000</v>
      </c>
      <c r="O823" t="s">
        <v>4533</v>
      </c>
      <c r="P823" t="s">
        <v>15703</v>
      </c>
      <c r="Q823" t="s">
        <v>29</v>
      </c>
      <c r="R823" t="s">
        <v>15704</v>
      </c>
      <c r="S823" t="s">
        <v>15705</v>
      </c>
      <c r="U823" t="s">
        <v>491</v>
      </c>
      <c r="X823">
        <v>1</v>
      </c>
    </row>
    <row r="824" spans="1:24" x14ac:dyDescent="0.25">
      <c r="A824" s="234">
        <v>42506</v>
      </c>
      <c r="B824" t="s">
        <v>643</v>
      </c>
      <c r="C824" t="s">
        <v>644</v>
      </c>
      <c r="D824" t="s">
        <v>645</v>
      </c>
      <c r="E824" t="s">
        <v>588</v>
      </c>
      <c r="F824" t="s">
        <v>2111</v>
      </c>
      <c r="H824" t="s">
        <v>607</v>
      </c>
      <c r="I824" t="s">
        <v>2112</v>
      </c>
      <c r="M824" s="134">
        <v>173000</v>
      </c>
      <c r="N824" s="134">
        <v>200400</v>
      </c>
      <c r="O824" t="s">
        <v>1539</v>
      </c>
      <c r="P824" t="s">
        <v>2113</v>
      </c>
      <c r="Q824" t="s">
        <v>592</v>
      </c>
      <c r="R824" t="s">
        <v>2114</v>
      </c>
      <c r="U824" t="s">
        <v>491</v>
      </c>
      <c r="X824">
        <v>0</v>
      </c>
    </row>
    <row r="825" spans="1:24" x14ac:dyDescent="0.25">
      <c r="A825" s="234">
        <v>43318</v>
      </c>
      <c r="B825" t="s">
        <v>328</v>
      </c>
      <c r="C825" t="s">
        <v>603</v>
      </c>
      <c r="D825" t="s">
        <v>7595</v>
      </c>
      <c r="E825" t="s">
        <v>588</v>
      </c>
      <c r="F825" t="s">
        <v>12087</v>
      </c>
      <c r="G825" t="s">
        <v>8777</v>
      </c>
      <c r="H825" t="s">
        <v>905</v>
      </c>
      <c r="J825" t="s">
        <v>5562</v>
      </c>
      <c r="L825">
        <v>5</v>
      </c>
      <c r="M825" s="134">
        <v>173000</v>
      </c>
      <c r="N825" s="134">
        <v>242200</v>
      </c>
      <c r="O825" t="s">
        <v>4533</v>
      </c>
      <c r="P825" t="s">
        <v>12492</v>
      </c>
      <c r="Q825" t="s">
        <v>1939</v>
      </c>
      <c r="R825" t="s">
        <v>12088</v>
      </c>
      <c r="U825" t="s">
        <v>1327</v>
      </c>
      <c r="X825">
        <v>0</v>
      </c>
    </row>
    <row r="826" spans="1:24" x14ac:dyDescent="0.25">
      <c r="A826" s="234">
        <v>43425</v>
      </c>
      <c r="B826" t="s">
        <v>328</v>
      </c>
      <c r="C826" t="s">
        <v>603</v>
      </c>
      <c r="D826" t="s">
        <v>7595</v>
      </c>
      <c r="F826" t="s">
        <v>13255</v>
      </c>
      <c r="G826" t="s">
        <v>256</v>
      </c>
      <c r="H826" t="s">
        <v>607</v>
      </c>
      <c r="I826" t="s">
        <v>13256</v>
      </c>
      <c r="J826" t="s">
        <v>3367</v>
      </c>
      <c r="K826" t="s">
        <v>13257</v>
      </c>
      <c r="L826">
        <v>4</v>
      </c>
      <c r="M826" s="134">
        <v>173000</v>
      </c>
      <c r="N826" s="134">
        <v>370950</v>
      </c>
      <c r="O826" t="s">
        <v>4533</v>
      </c>
      <c r="P826" t="s">
        <v>13258</v>
      </c>
      <c r="Q826" t="s">
        <v>620</v>
      </c>
      <c r="R826" t="s">
        <v>13259</v>
      </c>
      <c r="U826" t="s">
        <v>491</v>
      </c>
      <c r="X826">
        <v>0</v>
      </c>
    </row>
    <row r="827" spans="1:24" x14ac:dyDescent="0.25">
      <c r="A827" s="234">
        <v>42492</v>
      </c>
      <c r="B827" t="s">
        <v>328</v>
      </c>
      <c r="C827" t="s">
        <v>603</v>
      </c>
      <c r="D827" t="s">
        <v>649</v>
      </c>
      <c r="E827" t="s">
        <v>588</v>
      </c>
      <c r="F827" t="s">
        <v>1918</v>
      </c>
      <c r="H827" t="s">
        <v>607</v>
      </c>
      <c r="I827" t="s">
        <v>1919</v>
      </c>
      <c r="M827" s="134">
        <v>173403</v>
      </c>
      <c r="N827" s="134">
        <v>294785</v>
      </c>
      <c r="O827" t="s">
        <v>1920</v>
      </c>
      <c r="P827" t="s">
        <v>1921</v>
      </c>
      <c r="Q827" t="s">
        <v>1612</v>
      </c>
      <c r="R827" t="s">
        <v>1922</v>
      </c>
      <c r="S827" t="s">
        <v>1961</v>
      </c>
      <c r="U827" t="s">
        <v>491</v>
      </c>
      <c r="X827">
        <v>0</v>
      </c>
    </row>
    <row r="828" spans="1:24" x14ac:dyDescent="0.25">
      <c r="A828" s="234">
        <v>42615</v>
      </c>
      <c r="B828" t="s">
        <v>328</v>
      </c>
      <c r="C828" t="s">
        <v>603</v>
      </c>
      <c r="D828" t="s">
        <v>1471</v>
      </c>
      <c r="E828" t="s">
        <v>588</v>
      </c>
      <c r="F828" t="s">
        <v>3754</v>
      </c>
      <c r="H828" t="s">
        <v>3742</v>
      </c>
      <c r="I828" t="s">
        <v>3755</v>
      </c>
      <c r="J828" t="s">
        <v>3373</v>
      </c>
      <c r="L828">
        <v>8</v>
      </c>
      <c r="M828" s="134">
        <v>173492</v>
      </c>
      <c r="N828" s="134">
        <v>294936</v>
      </c>
      <c r="O828" t="s">
        <v>3107</v>
      </c>
      <c r="P828" t="s">
        <v>3756</v>
      </c>
      <c r="Q828" t="s">
        <v>1939</v>
      </c>
      <c r="R828" t="s">
        <v>3782</v>
      </c>
      <c r="U828" t="s">
        <v>491</v>
      </c>
      <c r="X828">
        <v>0</v>
      </c>
    </row>
    <row r="829" spans="1:24" x14ac:dyDescent="0.25">
      <c r="A829" s="234">
        <v>43391</v>
      </c>
      <c r="B829" t="s">
        <v>328</v>
      </c>
      <c r="C829" t="s">
        <v>603</v>
      </c>
      <c r="D829" t="s">
        <v>10338</v>
      </c>
      <c r="F829" t="s">
        <v>12951</v>
      </c>
      <c r="G829" t="s">
        <v>12952</v>
      </c>
      <c r="H829" t="s">
        <v>607</v>
      </c>
      <c r="I829" t="s">
        <v>12953</v>
      </c>
      <c r="J829" t="s">
        <v>5402</v>
      </c>
      <c r="K829">
        <v>45804</v>
      </c>
      <c r="L829">
        <v>4</v>
      </c>
      <c r="M829" s="134">
        <v>174000</v>
      </c>
      <c r="N829" s="134">
        <v>295800</v>
      </c>
      <c r="O829" t="s">
        <v>10766</v>
      </c>
      <c r="P829" t="s">
        <v>12955</v>
      </c>
      <c r="Q829" t="s">
        <v>1939</v>
      </c>
      <c r="R829" t="s">
        <v>12956</v>
      </c>
      <c r="U829" t="s">
        <v>12344</v>
      </c>
      <c r="X829">
        <v>0</v>
      </c>
    </row>
    <row r="830" spans="1:24" x14ac:dyDescent="0.25">
      <c r="A830" s="234">
        <v>43110</v>
      </c>
      <c r="B830" t="s">
        <v>643</v>
      </c>
      <c r="C830" t="s">
        <v>644</v>
      </c>
      <c r="D830" t="s">
        <v>645</v>
      </c>
      <c r="E830" t="s">
        <v>588</v>
      </c>
      <c r="F830" t="s">
        <v>10003</v>
      </c>
      <c r="G830" t="s">
        <v>8156</v>
      </c>
      <c r="H830" t="s">
        <v>905</v>
      </c>
      <c r="I830" t="s">
        <v>5212</v>
      </c>
      <c r="J830" t="s">
        <v>644</v>
      </c>
      <c r="L830">
        <v>2</v>
      </c>
      <c r="M830" s="134">
        <v>175000</v>
      </c>
      <c r="N830" s="134">
        <v>180000</v>
      </c>
      <c r="O830" t="s">
        <v>10765</v>
      </c>
      <c r="P830" t="s">
        <v>10004</v>
      </c>
      <c r="Q830" t="s">
        <v>1939</v>
      </c>
      <c r="R830" t="s">
        <v>10005</v>
      </c>
      <c r="U830" t="s">
        <v>1327</v>
      </c>
      <c r="X830">
        <v>0</v>
      </c>
    </row>
    <row r="831" spans="1:24" x14ac:dyDescent="0.25">
      <c r="A831" s="234">
        <v>43566</v>
      </c>
      <c r="B831" t="s">
        <v>328</v>
      </c>
      <c r="C831" t="s">
        <v>603</v>
      </c>
      <c r="D831" t="s">
        <v>10705</v>
      </c>
      <c r="F831" t="s">
        <v>15043</v>
      </c>
      <c r="G831" t="s">
        <v>10007</v>
      </c>
      <c r="H831" t="s">
        <v>905</v>
      </c>
      <c r="I831" t="s">
        <v>11520</v>
      </c>
      <c r="J831" t="s">
        <v>3373</v>
      </c>
      <c r="K831" t="s">
        <v>15044</v>
      </c>
      <c r="L831">
        <v>10</v>
      </c>
      <c r="M831" s="134">
        <v>175000</v>
      </c>
      <c r="N831" s="134">
        <v>185000</v>
      </c>
      <c r="O831" t="s">
        <v>7124</v>
      </c>
      <c r="P831" t="s">
        <v>15045</v>
      </c>
      <c r="Q831" t="s">
        <v>1939</v>
      </c>
      <c r="R831" t="s">
        <v>15046</v>
      </c>
      <c r="U831" t="s">
        <v>491</v>
      </c>
      <c r="X831">
        <v>0</v>
      </c>
    </row>
    <row r="832" spans="1:24" x14ac:dyDescent="0.25">
      <c r="A832" s="234">
        <v>42849</v>
      </c>
      <c r="B832" t="s">
        <v>110</v>
      </c>
      <c r="C832" t="s">
        <v>761</v>
      </c>
      <c r="D832" t="s">
        <v>4782</v>
      </c>
      <c r="E832" t="s">
        <v>588</v>
      </c>
      <c r="F832" t="s">
        <v>6529</v>
      </c>
      <c r="H832" t="s">
        <v>905</v>
      </c>
      <c r="I832" t="s">
        <v>6530</v>
      </c>
      <c r="J832" t="s">
        <v>761</v>
      </c>
      <c r="L832">
        <v>5</v>
      </c>
      <c r="M832" s="134">
        <v>175000</v>
      </c>
      <c r="N832" s="134">
        <v>210000</v>
      </c>
      <c r="O832" t="s">
        <v>1171</v>
      </c>
      <c r="P832" t="s">
        <v>6532</v>
      </c>
      <c r="Q832" t="s">
        <v>1939</v>
      </c>
      <c r="R832" t="s">
        <v>6531</v>
      </c>
      <c r="U832" t="s">
        <v>491</v>
      </c>
      <c r="X832">
        <v>0</v>
      </c>
    </row>
    <row r="833" spans="1:24" x14ac:dyDescent="0.25">
      <c r="A833" s="234">
        <v>43580</v>
      </c>
      <c r="B833" t="s">
        <v>328</v>
      </c>
      <c r="C833" t="s">
        <v>603</v>
      </c>
      <c r="D833" t="s">
        <v>649</v>
      </c>
      <c r="F833" t="s">
        <v>15226</v>
      </c>
      <c r="G833" t="s">
        <v>15227</v>
      </c>
      <c r="H833" t="s">
        <v>10831</v>
      </c>
      <c r="I833" t="s">
        <v>15228</v>
      </c>
      <c r="J833" t="s">
        <v>3398</v>
      </c>
      <c r="K833" t="s">
        <v>15229</v>
      </c>
      <c r="L833">
        <v>10</v>
      </c>
      <c r="M833" s="134">
        <v>175000</v>
      </c>
      <c r="N833" s="134">
        <v>230000</v>
      </c>
      <c r="O833" t="s">
        <v>7124</v>
      </c>
      <c r="P833" t="s">
        <v>15230</v>
      </c>
      <c r="Q833" t="s">
        <v>592</v>
      </c>
      <c r="R833" t="s">
        <v>15689</v>
      </c>
      <c r="S833" t="s">
        <v>15231</v>
      </c>
      <c r="U833" t="s">
        <v>491</v>
      </c>
      <c r="X833">
        <v>0</v>
      </c>
    </row>
    <row r="834" spans="1:24" x14ac:dyDescent="0.25">
      <c r="A834" s="234">
        <v>42492</v>
      </c>
      <c r="B834" t="s">
        <v>378</v>
      </c>
      <c r="C834" t="s">
        <v>610</v>
      </c>
      <c r="D834" t="s">
        <v>732</v>
      </c>
      <c r="E834" t="s">
        <v>588</v>
      </c>
      <c r="F834" t="s">
        <v>1900</v>
      </c>
      <c r="H834" t="s">
        <v>905</v>
      </c>
      <c r="I834" t="s">
        <v>1901</v>
      </c>
      <c r="M834" s="134">
        <v>175000</v>
      </c>
      <c r="N834" s="134">
        <v>235000</v>
      </c>
      <c r="O834" t="s">
        <v>1902</v>
      </c>
      <c r="P834" t="s">
        <v>1903</v>
      </c>
      <c r="Q834" t="s">
        <v>29</v>
      </c>
      <c r="R834" t="s">
        <v>1904</v>
      </c>
      <c r="U834" t="s">
        <v>491</v>
      </c>
      <c r="X834">
        <v>1</v>
      </c>
    </row>
    <row r="835" spans="1:24" x14ac:dyDescent="0.25">
      <c r="A835" s="234">
        <v>42712</v>
      </c>
      <c r="B835" t="s">
        <v>1486</v>
      </c>
      <c r="C835" t="s">
        <v>1883</v>
      </c>
      <c r="D835" t="s">
        <v>2454</v>
      </c>
      <c r="E835" t="s">
        <v>588</v>
      </c>
      <c r="F835" t="s">
        <v>4962</v>
      </c>
      <c r="H835" t="s">
        <v>4132</v>
      </c>
      <c r="I835" t="s">
        <v>15</v>
      </c>
      <c r="J835" t="s">
        <v>4684</v>
      </c>
      <c r="L835">
        <v>7</v>
      </c>
      <c r="M835" s="134">
        <v>175000</v>
      </c>
      <c r="N835" s="134">
        <v>236000</v>
      </c>
      <c r="O835" t="s">
        <v>4963</v>
      </c>
      <c r="P835" t="s">
        <v>4964</v>
      </c>
      <c r="Q835" t="s">
        <v>1612</v>
      </c>
      <c r="R835" t="s">
        <v>4965</v>
      </c>
      <c r="S835" t="s">
        <v>5022</v>
      </c>
      <c r="U835" t="s">
        <v>491</v>
      </c>
      <c r="X835">
        <v>0</v>
      </c>
    </row>
    <row r="836" spans="1:24" x14ac:dyDescent="0.25">
      <c r="A836" s="234">
        <v>42803</v>
      </c>
      <c r="B836" t="s">
        <v>643</v>
      </c>
      <c r="C836" t="s">
        <v>644</v>
      </c>
      <c r="D836" t="s">
        <v>645</v>
      </c>
      <c r="E836" t="s">
        <v>588</v>
      </c>
      <c r="F836" t="s">
        <v>5924</v>
      </c>
      <c r="H836" t="s">
        <v>1050</v>
      </c>
      <c r="I836" t="s">
        <v>5925</v>
      </c>
      <c r="J836" t="s">
        <v>644</v>
      </c>
      <c r="L836">
        <v>2</v>
      </c>
      <c r="M836" s="134">
        <v>175000</v>
      </c>
      <c r="N836" s="134">
        <v>247500</v>
      </c>
      <c r="O836" t="s">
        <v>5926</v>
      </c>
      <c r="P836" t="s">
        <v>5927</v>
      </c>
      <c r="Q836" t="s">
        <v>592</v>
      </c>
      <c r="U836" t="s">
        <v>491</v>
      </c>
      <c r="X836">
        <v>0</v>
      </c>
    </row>
    <row r="837" spans="1:24" x14ac:dyDescent="0.25">
      <c r="A837" s="234">
        <v>43577</v>
      </c>
      <c r="B837" t="s">
        <v>13559</v>
      </c>
      <c r="C837" t="s">
        <v>3523</v>
      </c>
      <c r="D837" t="s">
        <v>14673</v>
      </c>
      <c r="F837" t="s">
        <v>13549</v>
      </c>
      <c r="G837" t="s">
        <v>15165</v>
      </c>
      <c r="H837" t="s">
        <v>607</v>
      </c>
      <c r="I837" t="s">
        <v>15166</v>
      </c>
      <c r="J837" t="s">
        <v>3523</v>
      </c>
      <c r="K837" t="s">
        <v>15167</v>
      </c>
      <c r="L837">
        <v>5</v>
      </c>
      <c r="M837" s="134">
        <v>175000</v>
      </c>
      <c r="N837" s="134">
        <v>250000</v>
      </c>
      <c r="O837" t="s">
        <v>6745</v>
      </c>
      <c r="P837" t="s">
        <v>15168</v>
      </c>
      <c r="Q837" t="s">
        <v>1939</v>
      </c>
      <c r="R837" t="s">
        <v>15169</v>
      </c>
      <c r="U837" t="s">
        <v>491</v>
      </c>
      <c r="X837">
        <v>0</v>
      </c>
    </row>
    <row r="838" spans="1:24" x14ac:dyDescent="0.25">
      <c r="A838" s="234">
        <v>42837</v>
      </c>
      <c r="B838" t="s">
        <v>5176</v>
      </c>
      <c r="C838" t="s">
        <v>959</v>
      </c>
      <c r="D838" t="s">
        <v>732</v>
      </c>
      <c r="E838" t="s">
        <v>588</v>
      </c>
      <c r="F838" t="s">
        <v>6407</v>
      </c>
      <c r="H838" t="s">
        <v>607</v>
      </c>
      <c r="I838" t="s">
        <v>6408</v>
      </c>
      <c r="J838" t="s">
        <v>959</v>
      </c>
      <c r="M838" s="134">
        <v>175000</v>
      </c>
      <c r="N838" s="134">
        <v>289500</v>
      </c>
      <c r="O838" t="s">
        <v>1033</v>
      </c>
      <c r="P838" t="s">
        <v>6409</v>
      </c>
      <c r="Q838" t="s">
        <v>1612</v>
      </c>
      <c r="R838" t="s">
        <v>6666</v>
      </c>
      <c r="U838" t="s">
        <v>491</v>
      </c>
      <c r="X838">
        <v>0</v>
      </c>
    </row>
    <row r="839" spans="1:24" x14ac:dyDescent="0.25">
      <c r="A839" s="234">
        <v>43334</v>
      </c>
      <c r="B839" t="s">
        <v>328</v>
      </c>
      <c r="C839" t="s">
        <v>603</v>
      </c>
      <c r="D839" t="s">
        <v>672</v>
      </c>
      <c r="E839" t="s">
        <v>588</v>
      </c>
      <c r="F839" t="s">
        <v>8013</v>
      </c>
      <c r="G839" t="s">
        <v>12265</v>
      </c>
      <c r="H839" t="s">
        <v>607</v>
      </c>
      <c r="I839" t="s">
        <v>8784</v>
      </c>
      <c r="J839" t="s">
        <v>959</v>
      </c>
      <c r="L839">
        <v>9</v>
      </c>
      <c r="M839" s="134">
        <v>175000</v>
      </c>
      <c r="N839" s="134">
        <v>297500</v>
      </c>
      <c r="O839" t="s">
        <v>10765</v>
      </c>
      <c r="P839" t="s">
        <v>12266</v>
      </c>
      <c r="Q839" t="s">
        <v>29</v>
      </c>
      <c r="R839" t="s">
        <v>12268</v>
      </c>
      <c r="U839" t="s">
        <v>491</v>
      </c>
      <c r="X839">
        <v>1</v>
      </c>
    </row>
    <row r="840" spans="1:24" x14ac:dyDescent="0.25">
      <c r="A840" s="234">
        <v>42845</v>
      </c>
      <c r="B840" t="s">
        <v>328</v>
      </c>
      <c r="C840" t="s">
        <v>603</v>
      </c>
      <c r="D840" t="s">
        <v>1401</v>
      </c>
      <c r="E840" t="s">
        <v>588</v>
      </c>
      <c r="F840" t="s">
        <v>6481</v>
      </c>
      <c r="H840" t="s">
        <v>607</v>
      </c>
      <c r="I840" t="s">
        <v>6482</v>
      </c>
      <c r="J840" t="s">
        <v>3751</v>
      </c>
      <c r="L840">
        <v>6</v>
      </c>
      <c r="M840" s="134">
        <v>175000</v>
      </c>
      <c r="N840" s="134">
        <v>297500</v>
      </c>
      <c r="O840" t="s">
        <v>3107</v>
      </c>
      <c r="P840" t="s">
        <v>6484</v>
      </c>
      <c r="Q840" t="s">
        <v>592</v>
      </c>
      <c r="R840" t="s">
        <v>6483</v>
      </c>
      <c r="U840" t="s">
        <v>491</v>
      </c>
      <c r="X840">
        <v>0</v>
      </c>
    </row>
    <row r="841" spans="1:24" x14ac:dyDescent="0.25">
      <c r="A841" s="234">
        <v>42387</v>
      </c>
      <c r="B841" t="s">
        <v>110</v>
      </c>
      <c r="C841" t="s">
        <v>761</v>
      </c>
      <c r="D841" t="s">
        <v>715</v>
      </c>
      <c r="E841" t="s">
        <v>588</v>
      </c>
      <c r="F841" t="s">
        <v>762</v>
      </c>
      <c r="H841" t="s">
        <v>722</v>
      </c>
      <c r="I841" t="s">
        <v>763</v>
      </c>
      <c r="M841" s="134">
        <v>175000</v>
      </c>
      <c r="N841" s="134">
        <v>297500</v>
      </c>
      <c r="O841" t="s">
        <v>764</v>
      </c>
      <c r="P841" t="s">
        <v>765</v>
      </c>
      <c r="Q841" t="s">
        <v>592</v>
      </c>
      <c r="R841" t="s">
        <v>770</v>
      </c>
      <c r="U841" t="s">
        <v>491</v>
      </c>
      <c r="X841">
        <v>0</v>
      </c>
    </row>
    <row r="842" spans="1:24" x14ac:dyDescent="0.25">
      <c r="A842" s="234">
        <v>42915</v>
      </c>
      <c r="B842" t="s">
        <v>328</v>
      </c>
      <c r="C842" t="s">
        <v>603</v>
      </c>
      <c r="D842" t="s">
        <v>5701</v>
      </c>
      <c r="E842" t="s">
        <v>588</v>
      </c>
      <c r="F842" t="s">
        <v>7433</v>
      </c>
      <c r="H842" t="s">
        <v>722</v>
      </c>
      <c r="I842" t="s">
        <v>7434</v>
      </c>
      <c r="J842" t="s">
        <v>3501</v>
      </c>
      <c r="L842">
        <v>10</v>
      </c>
      <c r="M842" s="134">
        <v>175000</v>
      </c>
      <c r="N842" s="134">
        <v>315000</v>
      </c>
      <c r="O842" t="s">
        <v>764</v>
      </c>
      <c r="P842" t="s">
        <v>7436</v>
      </c>
      <c r="Q842" t="s">
        <v>1939</v>
      </c>
      <c r="R842" t="s">
        <v>7435</v>
      </c>
      <c r="U842" t="s">
        <v>491</v>
      </c>
      <c r="X842">
        <v>0</v>
      </c>
    </row>
    <row r="843" spans="1:24" x14ac:dyDescent="0.25">
      <c r="A843" s="234">
        <v>43221</v>
      </c>
      <c r="B843" t="s">
        <v>328</v>
      </c>
      <c r="C843" t="s">
        <v>603</v>
      </c>
      <c r="D843" t="s">
        <v>7595</v>
      </c>
      <c r="E843" t="s">
        <v>588</v>
      </c>
      <c r="F843" t="s">
        <v>11169</v>
      </c>
      <c r="G843" t="s">
        <v>11170</v>
      </c>
      <c r="H843" t="s">
        <v>607</v>
      </c>
      <c r="J843" t="s">
        <v>603</v>
      </c>
      <c r="M843" s="134">
        <v>175000</v>
      </c>
      <c r="N843" s="134">
        <v>332500</v>
      </c>
      <c r="O843" t="s">
        <v>4533</v>
      </c>
      <c r="P843" t="s">
        <v>11392</v>
      </c>
      <c r="Q843" t="s">
        <v>1939</v>
      </c>
      <c r="R843" t="s">
        <v>11171</v>
      </c>
      <c r="U843" t="s">
        <v>1327</v>
      </c>
      <c r="X843">
        <v>0</v>
      </c>
    </row>
    <row r="844" spans="1:24" x14ac:dyDescent="0.25">
      <c r="A844" s="234">
        <v>43419</v>
      </c>
      <c r="B844" t="s">
        <v>328</v>
      </c>
      <c r="C844" t="s">
        <v>603</v>
      </c>
      <c r="D844" t="s">
        <v>10705</v>
      </c>
      <c r="E844" t="s">
        <v>588</v>
      </c>
      <c r="F844" t="s">
        <v>10069</v>
      </c>
      <c r="G844" t="s">
        <v>12763</v>
      </c>
      <c r="H844" t="s">
        <v>607</v>
      </c>
      <c r="I844" t="s">
        <v>6685</v>
      </c>
      <c r="J844" t="s">
        <v>3612</v>
      </c>
      <c r="M844" s="134">
        <v>175000</v>
      </c>
      <c r="N844" s="134">
        <v>333500</v>
      </c>
      <c r="O844" t="s">
        <v>4533</v>
      </c>
      <c r="P844" t="s">
        <v>7046</v>
      </c>
      <c r="Q844" t="s">
        <v>592</v>
      </c>
      <c r="T844" t="s">
        <v>491</v>
      </c>
      <c r="U844" t="s">
        <v>12344</v>
      </c>
      <c r="X844">
        <v>0</v>
      </c>
    </row>
    <row r="845" spans="1:24" x14ac:dyDescent="0.25">
      <c r="A845" s="234">
        <v>42859</v>
      </c>
      <c r="B845" t="s">
        <v>328</v>
      </c>
      <c r="C845" t="s">
        <v>603</v>
      </c>
      <c r="D845" t="s">
        <v>649</v>
      </c>
      <c r="E845" t="s">
        <v>588</v>
      </c>
      <c r="F845" t="s">
        <v>6684</v>
      </c>
      <c r="H845" t="s">
        <v>607</v>
      </c>
      <c r="I845" t="s">
        <v>6685</v>
      </c>
      <c r="J845" t="s">
        <v>3612</v>
      </c>
      <c r="M845" s="134">
        <v>175000</v>
      </c>
      <c r="N845" s="134">
        <v>333500</v>
      </c>
      <c r="O845" t="s">
        <v>6686</v>
      </c>
      <c r="P845" t="s">
        <v>7046</v>
      </c>
      <c r="Q845" t="s">
        <v>1939</v>
      </c>
      <c r="R845" t="s">
        <v>6687</v>
      </c>
      <c r="U845" t="s">
        <v>491</v>
      </c>
      <c r="X845">
        <v>0</v>
      </c>
    </row>
    <row r="846" spans="1:24" x14ac:dyDescent="0.25">
      <c r="A846" s="234">
        <v>43382</v>
      </c>
      <c r="B846" t="s">
        <v>328</v>
      </c>
      <c r="C846" t="s">
        <v>603</v>
      </c>
      <c r="D846" t="s">
        <v>8941</v>
      </c>
      <c r="E846" t="s">
        <v>588</v>
      </c>
      <c r="F846" t="s">
        <v>3505</v>
      </c>
      <c r="G846" t="s">
        <v>7714</v>
      </c>
      <c r="H846" t="s">
        <v>607</v>
      </c>
      <c r="I846" t="s">
        <v>3452</v>
      </c>
      <c r="J846" t="s">
        <v>899</v>
      </c>
      <c r="L846">
        <v>10</v>
      </c>
      <c r="M846" s="134">
        <v>175000</v>
      </c>
      <c r="N846" s="134">
        <v>341500</v>
      </c>
      <c r="O846" t="s">
        <v>10765</v>
      </c>
      <c r="P846" t="s">
        <v>12909</v>
      </c>
      <c r="Q846" t="s">
        <v>29</v>
      </c>
      <c r="R846" t="s">
        <v>12910</v>
      </c>
      <c r="U846" t="s">
        <v>289</v>
      </c>
      <c r="X846">
        <v>1</v>
      </c>
    </row>
    <row r="847" spans="1:24" x14ac:dyDescent="0.25">
      <c r="A847" s="234">
        <v>43383</v>
      </c>
      <c r="B847" t="s">
        <v>328</v>
      </c>
      <c r="C847" t="s">
        <v>603</v>
      </c>
      <c r="D847" t="s">
        <v>8941</v>
      </c>
      <c r="E847" t="s">
        <v>588</v>
      </c>
      <c r="F847" t="s">
        <v>3505</v>
      </c>
      <c r="G847" t="s">
        <v>7714</v>
      </c>
      <c r="H847" t="s">
        <v>607</v>
      </c>
      <c r="I847" t="s">
        <v>3452</v>
      </c>
      <c r="J847" t="s">
        <v>899</v>
      </c>
      <c r="L847">
        <v>10</v>
      </c>
      <c r="M847" s="134">
        <v>175000</v>
      </c>
      <c r="N847" s="134">
        <v>341500</v>
      </c>
      <c r="O847" t="s">
        <v>7124</v>
      </c>
      <c r="P847" t="s">
        <v>12882</v>
      </c>
      <c r="Q847" t="s">
        <v>29</v>
      </c>
      <c r="R847" t="s">
        <v>12883</v>
      </c>
      <c r="U847" t="s">
        <v>289</v>
      </c>
      <c r="X847">
        <v>1</v>
      </c>
    </row>
    <row r="848" spans="1:24" x14ac:dyDescent="0.25">
      <c r="A848" s="234">
        <v>43014</v>
      </c>
      <c r="B848" t="s">
        <v>643</v>
      </c>
      <c r="C848" t="s">
        <v>644</v>
      </c>
      <c r="D848" t="s">
        <v>625</v>
      </c>
      <c r="E848" t="s">
        <v>588</v>
      </c>
      <c r="F848" t="s">
        <v>6443</v>
      </c>
      <c r="G848" t="s">
        <v>6443</v>
      </c>
      <c r="H848" t="s">
        <v>8944</v>
      </c>
      <c r="I848" t="s">
        <v>7022</v>
      </c>
      <c r="J848" t="s">
        <v>644</v>
      </c>
      <c r="L848">
        <v>4</v>
      </c>
      <c r="M848" s="134">
        <v>175000</v>
      </c>
      <c r="N848" s="134">
        <v>350000</v>
      </c>
      <c r="O848" t="s">
        <v>8945</v>
      </c>
      <c r="P848" t="s">
        <v>8947</v>
      </c>
      <c r="Q848" t="s">
        <v>29</v>
      </c>
      <c r="R848" t="s">
        <v>8946</v>
      </c>
      <c r="U848" t="s">
        <v>1327</v>
      </c>
      <c r="X848">
        <v>1</v>
      </c>
    </row>
    <row r="849" spans="1:24" x14ac:dyDescent="0.25">
      <c r="A849" s="234">
        <v>43171</v>
      </c>
      <c r="B849" t="s">
        <v>569</v>
      </c>
      <c r="C849" t="s">
        <v>899</v>
      </c>
      <c r="D849" t="s">
        <v>625</v>
      </c>
      <c r="E849" t="s">
        <v>588</v>
      </c>
      <c r="F849" t="s">
        <v>10558</v>
      </c>
      <c r="G849" t="s">
        <v>10559</v>
      </c>
      <c r="H849" t="s">
        <v>905</v>
      </c>
      <c r="I849" t="s">
        <v>10560</v>
      </c>
      <c r="J849" t="s">
        <v>899</v>
      </c>
      <c r="M849" s="134">
        <v>175000</v>
      </c>
      <c r="N849" s="134">
        <v>2134000</v>
      </c>
      <c r="O849" t="s">
        <v>10766</v>
      </c>
      <c r="P849" t="s">
        <v>10561</v>
      </c>
      <c r="Q849" t="s">
        <v>1939</v>
      </c>
      <c r="R849" t="s">
        <v>10561</v>
      </c>
      <c r="U849" t="s">
        <v>1327</v>
      </c>
      <c r="X849">
        <v>0</v>
      </c>
    </row>
    <row r="850" spans="1:24" x14ac:dyDescent="0.25">
      <c r="A850" s="234">
        <v>43325</v>
      </c>
      <c r="B850" t="s">
        <v>328</v>
      </c>
      <c r="C850" t="s">
        <v>603</v>
      </c>
      <c r="D850" t="s">
        <v>8941</v>
      </c>
      <c r="E850" t="s">
        <v>588</v>
      </c>
      <c r="F850" t="s">
        <v>12171</v>
      </c>
      <c r="G850" t="s">
        <v>10007</v>
      </c>
      <c r="H850" t="s">
        <v>607</v>
      </c>
      <c r="I850" t="s">
        <v>12170</v>
      </c>
      <c r="J850" t="s">
        <v>3501</v>
      </c>
      <c r="L850">
        <v>4</v>
      </c>
      <c r="M850" s="134">
        <v>175900</v>
      </c>
      <c r="N850" s="134">
        <v>0</v>
      </c>
      <c r="O850" t="s">
        <v>10766</v>
      </c>
      <c r="P850" t="s">
        <v>12169</v>
      </c>
      <c r="Q850" t="s">
        <v>1939</v>
      </c>
      <c r="R850" t="s">
        <v>12168</v>
      </c>
      <c r="U850" t="s">
        <v>1327</v>
      </c>
      <c r="X850">
        <v>0</v>
      </c>
    </row>
    <row r="851" spans="1:24" x14ac:dyDescent="0.25">
      <c r="A851" s="234">
        <v>43511</v>
      </c>
      <c r="B851" t="s">
        <v>9240</v>
      </c>
      <c r="C851" t="s">
        <v>603</v>
      </c>
      <c r="D851" t="s">
        <v>7814</v>
      </c>
      <c r="F851" t="s">
        <v>6744</v>
      </c>
      <c r="G851" t="s">
        <v>14404</v>
      </c>
      <c r="H851" t="s">
        <v>607</v>
      </c>
      <c r="I851" t="s">
        <v>14405</v>
      </c>
      <c r="J851" t="s">
        <v>4031</v>
      </c>
      <c r="K851" t="s">
        <v>14406</v>
      </c>
      <c r="M851" s="134">
        <v>176107</v>
      </c>
      <c r="N851" s="134">
        <v>380000</v>
      </c>
      <c r="O851" t="s">
        <v>10766</v>
      </c>
      <c r="P851" t="s">
        <v>14407</v>
      </c>
      <c r="Q851" t="s">
        <v>29</v>
      </c>
      <c r="R851" t="s">
        <v>14438</v>
      </c>
      <c r="U851" t="s">
        <v>491</v>
      </c>
      <c r="X851">
        <v>1</v>
      </c>
    </row>
    <row r="852" spans="1:24" x14ac:dyDescent="0.25">
      <c r="A852" s="234">
        <v>43272</v>
      </c>
      <c r="B852" t="s">
        <v>6076</v>
      </c>
      <c r="C852" t="s">
        <v>3370</v>
      </c>
      <c r="D852" t="s">
        <v>10524</v>
      </c>
      <c r="E852" t="s">
        <v>588</v>
      </c>
      <c r="F852" t="s">
        <v>11587</v>
      </c>
      <c r="G852" t="s">
        <v>11588</v>
      </c>
      <c r="H852" t="s">
        <v>607</v>
      </c>
      <c r="I852" t="s">
        <v>11589</v>
      </c>
      <c r="J852" t="s">
        <v>3370</v>
      </c>
      <c r="M852" s="134">
        <v>176600</v>
      </c>
      <c r="N852" s="134">
        <v>333000</v>
      </c>
      <c r="O852" t="s">
        <v>7564</v>
      </c>
      <c r="P852" t="s">
        <v>11590</v>
      </c>
      <c r="Q852" t="s">
        <v>620</v>
      </c>
      <c r="R852" t="s">
        <v>11368</v>
      </c>
      <c r="U852" t="s">
        <v>1327</v>
      </c>
      <c r="X852">
        <v>0</v>
      </c>
    </row>
    <row r="853" spans="1:24" x14ac:dyDescent="0.25">
      <c r="A853" s="234">
        <v>42972</v>
      </c>
      <c r="B853" t="s">
        <v>5992</v>
      </c>
      <c r="C853" t="s">
        <v>608</v>
      </c>
      <c r="D853" t="s">
        <v>5270</v>
      </c>
      <c r="E853" t="s">
        <v>588</v>
      </c>
      <c r="F853" t="s">
        <v>8324</v>
      </c>
      <c r="G853" t="s">
        <v>256</v>
      </c>
      <c r="H853" t="s">
        <v>6559</v>
      </c>
      <c r="J853" t="s">
        <v>608</v>
      </c>
      <c r="M853" s="134">
        <v>177000</v>
      </c>
      <c r="N853" s="134">
        <v>0</v>
      </c>
      <c r="O853" t="s">
        <v>666</v>
      </c>
      <c r="P853" t="s">
        <v>8325</v>
      </c>
      <c r="Q853" t="s">
        <v>1939</v>
      </c>
      <c r="R853" t="s">
        <v>8326</v>
      </c>
      <c r="T853">
        <v>12</v>
      </c>
      <c r="U853" t="s">
        <v>491</v>
      </c>
      <c r="X853">
        <v>0</v>
      </c>
    </row>
    <row r="854" spans="1:24" x14ac:dyDescent="0.25">
      <c r="A854" s="234">
        <v>43325</v>
      </c>
      <c r="B854" t="s">
        <v>328</v>
      </c>
      <c r="C854" t="s">
        <v>603</v>
      </c>
      <c r="D854" t="s">
        <v>7595</v>
      </c>
      <c r="E854" t="s">
        <v>588</v>
      </c>
      <c r="F854" t="s">
        <v>12165</v>
      </c>
      <c r="G854" t="s">
        <v>12166</v>
      </c>
      <c r="H854" t="s">
        <v>607</v>
      </c>
      <c r="J854" t="s">
        <v>3533</v>
      </c>
      <c r="M854" s="134">
        <v>178000</v>
      </c>
      <c r="N854" s="134">
        <v>302600</v>
      </c>
      <c r="O854" t="s">
        <v>10766</v>
      </c>
      <c r="P854" t="s">
        <v>12498</v>
      </c>
      <c r="Q854" t="s">
        <v>29</v>
      </c>
      <c r="R854" t="s">
        <v>12167</v>
      </c>
      <c r="U854" t="s">
        <v>1327</v>
      </c>
      <c r="X854">
        <v>1</v>
      </c>
    </row>
    <row r="855" spans="1:24" x14ac:dyDescent="0.25">
      <c r="A855" s="234">
        <v>42661</v>
      </c>
      <c r="B855" t="s">
        <v>328</v>
      </c>
      <c r="C855" t="s">
        <v>603</v>
      </c>
      <c r="D855" t="s">
        <v>1471</v>
      </c>
      <c r="E855" t="s">
        <v>588</v>
      </c>
      <c r="F855" t="s">
        <v>4376</v>
      </c>
      <c r="H855" t="s">
        <v>4380</v>
      </c>
      <c r="I855" t="s">
        <v>4377</v>
      </c>
      <c r="J855" t="s">
        <v>604</v>
      </c>
      <c r="L855">
        <v>9</v>
      </c>
      <c r="M855" s="134">
        <v>178000</v>
      </c>
      <c r="N855" s="134">
        <v>337600</v>
      </c>
      <c r="O855" t="s">
        <v>4378</v>
      </c>
      <c r="P855" t="s">
        <v>4379</v>
      </c>
      <c r="Q855" t="s">
        <v>1939</v>
      </c>
      <c r="R855" t="s">
        <v>4393</v>
      </c>
      <c r="U855" t="s">
        <v>491</v>
      </c>
      <c r="X855">
        <v>0</v>
      </c>
    </row>
    <row r="856" spans="1:24" x14ac:dyDescent="0.25">
      <c r="A856" s="234">
        <v>42543</v>
      </c>
      <c r="B856" t="s">
        <v>594</v>
      </c>
      <c r="C856" t="s">
        <v>1883</v>
      </c>
      <c r="D856" t="s">
        <v>727</v>
      </c>
      <c r="E856" t="s">
        <v>588</v>
      </c>
      <c r="F856" t="s">
        <v>2639</v>
      </c>
      <c r="H856" t="s">
        <v>607</v>
      </c>
      <c r="I856" t="s">
        <v>2640</v>
      </c>
      <c r="M856" s="134">
        <v>178000</v>
      </c>
      <c r="N856" s="134">
        <v>423800</v>
      </c>
      <c r="O856" t="s">
        <v>35</v>
      </c>
      <c r="P856" t="s">
        <v>2641</v>
      </c>
      <c r="Q856" t="s">
        <v>29</v>
      </c>
      <c r="R856" t="s">
        <v>2646</v>
      </c>
      <c r="U856" t="s">
        <v>491</v>
      </c>
      <c r="X856">
        <v>1</v>
      </c>
    </row>
    <row r="857" spans="1:24" x14ac:dyDescent="0.25">
      <c r="A857" s="234">
        <v>42507</v>
      </c>
      <c r="B857" t="s">
        <v>1486</v>
      </c>
      <c r="C857" t="s">
        <v>1883</v>
      </c>
      <c r="D857" t="s">
        <v>595</v>
      </c>
      <c r="E857" t="s">
        <v>588</v>
      </c>
      <c r="F857" t="s">
        <v>2129</v>
      </c>
      <c r="H857" t="s">
        <v>607</v>
      </c>
      <c r="I857" t="s">
        <v>2130</v>
      </c>
      <c r="M857" s="134">
        <v>178324</v>
      </c>
      <c r="N857" s="134">
        <v>499306</v>
      </c>
      <c r="O857" t="s">
        <v>2131</v>
      </c>
      <c r="P857" t="s">
        <v>2132</v>
      </c>
      <c r="Q857" t="s">
        <v>592</v>
      </c>
      <c r="R857" t="s">
        <v>2133</v>
      </c>
      <c r="S857" t="s">
        <v>2144</v>
      </c>
      <c r="U857" t="s">
        <v>491</v>
      </c>
      <c r="X857">
        <v>0</v>
      </c>
    </row>
    <row r="858" spans="1:24" x14ac:dyDescent="0.25">
      <c r="A858" s="234">
        <v>43377</v>
      </c>
      <c r="B858" t="s">
        <v>328</v>
      </c>
      <c r="C858" t="s">
        <v>603</v>
      </c>
      <c r="D858" t="s">
        <v>757</v>
      </c>
      <c r="E858" t="s">
        <v>588</v>
      </c>
      <c r="F858" t="s">
        <v>12852</v>
      </c>
      <c r="G858" t="s">
        <v>8383</v>
      </c>
      <c r="H858" t="s">
        <v>607</v>
      </c>
      <c r="I858" t="s">
        <v>12853</v>
      </c>
      <c r="J858" t="s">
        <v>3368</v>
      </c>
      <c r="L858">
        <v>4</v>
      </c>
      <c r="M858" s="134">
        <v>179000</v>
      </c>
      <c r="N858" s="134">
        <v>366700</v>
      </c>
      <c r="O858" t="s">
        <v>4533</v>
      </c>
      <c r="P858" t="s">
        <v>12854</v>
      </c>
      <c r="Q858" t="s">
        <v>29</v>
      </c>
      <c r="R858" t="s">
        <v>12855</v>
      </c>
      <c r="U858" t="s">
        <v>12797</v>
      </c>
      <c r="X858">
        <v>1</v>
      </c>
    </row>
    <row r="859" spans="1:24" x14ac:dyDescent="0.25">
      <c r="A859" s="234">
        <v>42424</v>
      </c>
      <c r="B859" t="s">
        <v>594</v>
      </c>
      <c r="C859" t="s">
        <v>604</v>
      </c>
      <c r="D859" t="s">
        <v>595</v>
      </c>
      <c r="E859" t="s">
        <v>588</v>
      </c>
      <c r="F859" t="s">
        <v>1113</v>
      </c>
      <c r="H859" t="s">
        <v>607</v>
      </c>
      <c r="I859" t="s">
        <v>1115</v>
      </c>
      <c r="M859" s="134">
        <v>180000</v>
      </c>
      <c r="N859" s="134">
        <v>0</v>
      </c>
      <c r="O859" t="s">
        <v>1116</v>
      </c>
      <c r="P859" t="s">
        <v>1117</v>
      </c>
      <c r="Q859" t="s">
        <v>29</v>
      </c>
      <c r="U859" t="s">
        <v>491</v>
      </c>
      <c r="X859">
        <v>1</v>
      </c>
    </row>
    <row r="860" spans="1:24" x14ac:dyDescent="0.25">
      <c r="A860" s="234">
        <v>42726</v>
      </c>
      <c r="B860" t="s">
        <v>643</v>
      </c>
      <c r="C860" t="s">
        <v>644</v>
      </c>
      <c r="D860" t="s">
        <v>3132</v>
      </c>
      <c r="E860" t="s">
        <v>588</v>
      </c>
      <c r="F860" t="s">
        <v>5091</v>
      </c>
      <c r="H860" t="s">
        <v>3277</v>
      </c>
      <c r="I860" t="s">
        <v>5092</v>
      </c>
      <c r="J860" t="s">
        <v>959</v>
      </c>
      <c r="L860">
        <v>10</v>
      </c>
      <c r="M860" s="134">
        <v>180000</v>
      </c>
      <c r="N860" s="134">
        <v>236000</v>
      </c>
      <c r="O860" t="s">
        <v>5093</v>
      </c>
      <c r="P860" t="s">
        <v>5094</v>
      </c>
      <c r="Q860" t="s">
        <v>1939</v>
      </c>
      <c r="R860" t="s">
        <v>5095</v>
      </c>
      <c r="U860" t="s">
        <v>491</v>
      </c>
      <c r="X860">
        <v>0</v>
      </c>
    </row>
    <row r="861" spans="1:24" x14ac:dyDescent="0.25">
      <c r="A861" s="234">
        <v>42587</v>
      </c>
      <c r="B861" t="s">
        <v>328</v>
      </c>
      <c r="C861" t="s">
        <v>603</v>
      </c>
      <c r="D861" t="s">
        <v>1471</v>
      </c>
      <c r="E861" t="s">
        <v>588</v>
      </c>
      <c r="F861" t="s">
        <v>3266</v>
      </c>
      <c r="H861" t="s">
        <v>607</v>
      </c>
      <c r="I861" t="s">
        <v>3267</v>
      </c>
      <c r="J861" t="s">
        <v>899</v>
      </c>
      <c r="L861">
        <v>6</v>
      </c>
      <c r="M861" s="134">
        <v>180000</v>
      </c>
      <c r="N861" s="134">
        <v>263000</v>
      </c>
      <c r="O861" t="s">
        <v>3268</v>
      </c>
      <c r="P861" t="s">
        <v>3269</v>
      </c>
      <c r="Q861" t="s">
        <v>1612</v>
      </c>
      <c r="R861" t="s">
        <v>3270</v>
      </c>
      <c r="S861" t="s">
        <v>3280</v>
      </c>
      <c r="U861" t="s">
        <v>491</v>
      </c>
      <c r="X861">
        <v>0</v>
      </c>
    </row>
    <row r="862" spans="1:24" x14ac:dyDescent="0.25">
      <c r="A862" s="234">
        <v>42426</v>
      </c>
      <c r="B862" t="s">
        <v>110</v>
      </c>
      <c r="D862" t="s">
        <v>1070</v>
      </c>
      <c r="E862" t="s">
        <v>588</v>
      </c>
      <c r="F862" t="s">
        <v>1150</v>
      </c>
      <c r="H862" t="s">
        <v>722</v>
      </c>
      <c r="I862" t="s">
        <v>1151</v>
      </c>
      <c r="M862" s="134">
        <v>180000</v>
      </c>
      <c r="N862" s="134">
        <v>306000</v>
      </c>
      <c r="O862" t="s">
        <v>764</v>
      </c>
      <c r="P862" t="s">
        <v>1152</v>
      </c>
      <c r="Q862" t="s">
        <v>592</v>
      </c>
      <c r="R862" t="s">
        <v>1153</v>
      </c>
      <c r="U862" t="s">
        <v>491</v>
      </c>
      <c r="X862">
        <v>0</v>
      </c>
    </row>
    <row r="863" spans="1:24" x14ac:dyDescent="0.25">
      <c r="A863" s="234">
        <v>42495</v>
      </c>
      <c r="B863" t="s">
        <v>110</v>
      </c>
      <c r="D863" t="s">
        <v>715</v>
      </c>
      <c r="E863" t="s">
        <v>588</v>
      </c>
      <c r="F863" t="s">
        <v>1956</v>
      </c>
      <c r="H863" t="s">
        <v>607</v>
      </c>
      <c r="I863" t="s">
        <v>1957</v>
      </c>
      <c r="M863" s="134">
        <v>180000</v>
      </c>
      <c r="N863" s="134">
        <v>306000</v>
      </c>
      <c r="O863" t="s">
        <v>1958</v>
      </c>
      <c r="P863" t="s">
        <v>1959</v>
      </c>
      <c r="Q863" t="s">
        <v>29</v>
      </c>
      <c r="U863" t="s">
        <v>491</v>
      </c>
      <c r="X863">
        <v>1</v>
      </c>
    </row>
    <row r="864" spans="1:24" x14ac:dyDescent="0.25">
      <c r="A864" s="234">
        <v>43332</v>
      </c>
      <c r="B864" t="s">
        <v>5956</v>
      </c>
      <c r="C864" t="s">
        <v>3369</v>
      </c>
      <c r="D864" t="s">
        <v>8126</v>
      </c>
      <c r="E864" t="s">
        <v>588</v>
      </c>
      <c r="F864" t="s">
        <v>12398</v>
      </c>
      <c r="G864" t="s">
        <v>10768</v>
      </c>
      <c r="H864" t="s">
        <v>607</v>
      </c>
      <c r="J864" t="s">
        <v>4825</v>
      </c>
      <c r="L864">
        <v>4</v>
      </c>
      <c r="M864" s="134">
        <v>180000</v>
      </c>
      <c r="N864" s="134">
        <v>324000</v>
      </c>
      <c r="O864" t="s">
        <v>10766</v>
      </c>
      <c r="P864" t="s">
        <v>12399</v>
      </c>
      <c r="Q864" t="s">
        <v>1939</v>
      </c>
      <c r="R864" t="s">
        <v>12400</v>
      </c>
      <c r="U864" t="s">
        <v>1327</v>
      </c>
      <c r="X864">
        <v>0</v>
      </c>
    </row>
    <row r="865" spans="1:24" x14ac:dyDescent="0.25">
      <c r="A865" s="234">
        <v>42829</v>
      </c>
      <c r="B865" t="s">
        <v>328</v>
      </c>
      <c r="C865" t="s">
        <v>603</v>
      </c>
      <c r="D865" t="s">
        <v>2397</v>
      </c>
      <c r="E865" t="s">
        <v>588</v>
      </c>
      <c r="F865" t="s">
        <v>6243</v>
      </c>
      <c r="H865" t="s">
        <v>607</v>
      </c>
      <c r="J865" t="s">
        <v>3426</v>
      </c>
      <c r="L865">
        <v>4</v>
      </c>
      <c r="M865" s="134">
        <v>180000</v>
      </c>
      <c r="N865" s="134">
        <v>324000</v>
      </c>
      <c r="O865" t="s">
        <v>6244</v>
      </c>
      <c r="P865" t="s">
        <v>6245</v>
      </c>
      <c r="Q865" t="s">
        <v>1939</v>
      </c>
      <c r="R865" t="s">
        <v>6246</v>
      </c>
      <c r="U865" t="s">
        <v>491</v>
      </c>
      <c r="X865">
        <v>0</v>
      </c>
    </row>
    <row r="866" spans="1:24" x14ac:dyDescent="0.25">
      <c r="A866" s="234">
        <v>42947</v>
      </c>
      <c r="B866" t="s">
        <v>328</v>
      </c>
      <c r="C866" t="s">
        <v>603</v>
      </c>
      <c r="D866" t="s">
        <v>2397</v>
      </c>
      <c r="E866" t="s">
        <v>588</v>
      </c>
      <c r="F866" t="s">
        <v>7899</v>
      </c>
      <c r="G866" t="s">
        <v>7900</v>
      </c>
      <c r="H866" t="s">
        <v>607</v>
      </c>
      <c r="I866" t="s">
        <v>7312</v>
      </c>
      <c r="J866" t="s">
        <v>3612</v>
      </c>
      <c r="L866">
        <v>3</v>
      </c>
      <c r="M866" s="134">
        <v>180000</v>
      </c>
      <c r="N866" s="134">
        <v>360000</v>
      </c>
      <c r="O866" t="s">
        <v>2934</v>
      </c>
      <c r="P866" t="s">
        <v>7901</v>
      </c>
      <c r="Q866" t="s">
        <v>1939</v>
      </c>
      <c r="R866" t="s">
        <v>7902</v>
      </c>
      <c r="T866">
        <v>12</v>
      </c>
      <c r="U866" t="s">
        <v>491</v>
      </c>
      <c r="X866">
        <v>0</v>
      </c>
    </row>
    <row r="867" spans="1:24" x14ac:dyDescent="0.25">
      <c r="A867" s="234">
        <v>43060</v>
      </c>
      <c r="B867" t="s">
        <v>643</v>
      </c>
      <c r="C867" t="s">
        <v>644</v>
      </c>
      <c r="D867" t="s">
        <v>645</v>
      </c>
      <c r="E867" t="s">
        <v>588</v>
      </c>
      <c r="F867" t="s">
        <v>9538</v>
      </c>
      <c r="G867" t="s">
        <v>9538</v>
      </c>
      <c r="H867" t="s">
        <v>4132</v>
      </c>
      <c r="I867" t="s">
        <v>8122</v>
      </c>
      <c r="J867" t="s">
        <v>644</v>
      </c>
      <c r="L867">
        <v>4</v>
      </c>
      <c r="M867" s="134">
        <v>180450</v>
      </c>
      <c r="N867" s="134">
        <v>322630</v>
      </c>
      <c r="O867" t="s">
        <v>666</v>
      </c>
      <c r="P867" t="s">
        <v>9621</v>
      </c>
      <c r="Q867" t="s">
        <v>1939</v>
      </c>
      <c r="R867" t="s">
        <v>9622</v>
      </c>
      <c r="U867" t="s">
        <v>1327</v>
      </c>
      <c r="X867">
        <v>0</v>
      </c>
    </row>
    <row r="868" spans="1:24" x14ac:dyDescent="0.25">
      <c r="A868" s="234">
        <v>43124</v>
      </c>
      <c r="B868" t="s">
        <v>110</v>
      </c>
      <c r="C868" t="s">
        <v>761</v>
      </c>
      <c r="D868" t="s">
        <v>715</v>
      </c>
      <c r="E868" t="s">
        <v>588</v>
      </c>
      <c r="F868" t="s">
        <v>9394</v>
      </c>
      <c r="G868" t="s">
        <v>9072</v>
      </c>
      <c r="H868" t="s">
        <v>10831</v>
      </c>
      <c r="I868" t="s">
        <v>10167</v>
      </c>
      <c r="J868" t="s">
        <v>761</v>
      </c>
      <c r="L868">
        <v>9</v>
      </c>
      <c r="M868" s="134">
        <v>181000</v>
      </c>
      <c r="N868" s="134">
        <v>307700</v>
      </c>
      <c r="O868" t="s">
        <v>7124</v>
      </c>
      <c r="P868" t="s">
        <v>10168</v>
      </c>
      <c r="Q868" t="s">
        <v>620</v>
      </c>
      <c r="R868" t="s">
        <v>10200</v>
      </c>
      <c r="U868" t="s">
        <v>1327</v>
      </c>
      <c r="X868">
        <v>0</v>
      </c>
    </row>
    <row r="869" spans="1:24" x14ac:dyDescent="0.25">
      <c r="A869" s="234">
        <v>42706</v>
      </c>
      <c r="B869" t="s">
        <v>110</v>
      </c>
      <c r="D869" t="s">
        <v>715</v>
      </c>
      <c r="E869" t="s">
        <v>588</v>
      </c>
      <c r="F869" t="s">
        <v>4906</v>
      </c>
      <c r="H869" t="s">
        <v>607</v>
      </c>
      <c r="I869" t="s">
        <v>4907</v>
      </c>
      <c r="J869" t="s">
        <v>761</v>
      </c>
      <c r="L869">
        <v>5</v>
      </c>
      <c r="M869" s="134">
        <v>182000</v>
      </c>
      <c r="N869" s="134">
        <v>309400</v>
      </c>
      <c r="O869" t="s">
        <v>2837</v>
      </c>
      <c r="P869" t="s">
        <v>4908</v>
      </c>
      <c r="Q869" t="s">
        <v>29</v>
      </c>
      <c r="R869" t="s">
        <v>4909</v>
      </c>
      <c r="U869" t="s">
        <v>491</v>
      </c>
      <c r="X869">
        <v>1</v>
      </c>
    </row>
    <row r="870" spans="1:24" x14ac:dyDescent="0.25">
      <c r="A870" s="234">
        <v>43440</v>
      </c>
      <c r="B870" t="s">
        <v>5360</v>
      </c>
      <c r="C870" t="s">
        <v>899</v>
      </c>
      <c r="D870" t="s">
        <v>732</v>
      </c>
      <c r="F870" t="s">
        <v>13521</v>
      </c>
      <c r="G870" t="s">
        <v>13522</v>
      </c>
      <c r="H870" t="s">
        <v>607</v>
      </c>
      <c r="I870" t="s">
        <v>13519</v>
      </c>
      <c r="J870" t="s">
        <v>13470</v>
      </c>
      <c r="K870" t="s">
        <v>13520</v>
      </c>
      <c r="L870">
        <v>4</v>
      </c>
      <c r="M870" s="134">
        <v>182000</v>
      </c>
      <c r="N870" s="134">
        <v>364000</v>
      </c>
      <c r="O870" t="s">
        <v>10766</v>
      </c>
      <c r="P870" t="s">
        <v>13523</v>
      </c>
      <c r="Q870" t="s">
        <v>1939</v>
      </c>
      <c r="R870" t="s">
        <v>13524</v>
      </c>
      <c r="U870" t="s">
        <v>491</v>
      </c>
      <c r="X870">
        <v>0</v>
      </c>
    </row>
    <row r="871" spans="1:24" x14ac:dyDescent="0.25">
      <c r="A871" s="234">
        <v>42440</v>
      </c>
      <c r="B871" t="s">
        <v>110</v>
      </c>
      <c r="D871" t="s">
        <v>715</v>
      </c>
      <c r="E871" t="s">
        <v>588</v>
      </c>
      <c r="F871" t="s">
        <v>1284</v>
      </c>
      <c r="H871" t="s">
        <v>607</v>
      </c>
      <c r="I871" t="s">
        <v>1285</v>
      </c>
      <c r="M871" s="134">
        <v>184000</v>
      </c>
      <c r="N871" s="134">
        <v>312800</v>
      </c>
      <c r="O871" t="s">
        <v>764</v>
      </c>
      <c r="P871" t="s">
        <v>1286</v>
      </c>
      <c r="Q871" t="s">
        <v>620</v>
      </c>
      <c r="R871" t="s">
        <v>1287</v>
      </c>
      <c r="U871" t="s">
        <v>491</v>
      </c>
      <c r="X871">
        <v>0</v>
      </c>
    </row>
    <row r="872" spans="1:24" x14ac:dyDescent="0.25">
      <c r="A872" s="234">
        <v>43283</v>
      </c>
      <c r="B872" t="s">
        <v>328</v>
      </c>
      <c r="C872" t="s">
        <v>603</v>
      </c>
      <c r="D872" t="s">
        <v>5701</v>
      </c>
      <c r="E872" t="s">
        <v>588</v>
      </c>
      <c r="F872" t="s">
        <v>11158</v>
      </c>
      <c r="G872" t="s">
        <v>11704</v>
      </c>
      <c r="H872" t="s">
        <v>1050</v>
      </c>
      <c r="I872" t="s">
        <v>11705</v>
      </c>
      <c r="J872" t="s">
        <v>3368</v>
      </c>
      <c r="L872">
        <v>1</v>
      </c>
      <c r="M872" s="134">
        <v>185000</v>
      </c>
      <c r="N872" s="134">
        <v>206500</v>
      </c>
      <c r="O872" t="s">
        <v>2295</v>
      </c>
      <c r="P872" t="s">
        <v>11706</v>
      </c>
      <c r="Q872" t="s">
        <v>1939</v>
      </c>
      <c r="R872" t="s">
        <v>11707</v>
      </c>
      <c r="U872" t="s">
        <v>1327</v>
      </c>
      <c r="X872">
        <v>0</v>
      </c>
    </row>
    <row r="873" spans="1:24" x14ac:dyDescent="0.25">
      <c r="A873" s="234">
        <v>43488</v>
      </c>
      <c r="B873" t="s">
        <v>5956</v>
      </c>
      <c r="C873" t="s">
        <v>3369</v>
      </c>
      <c r="D873" t="s">
        <v>8040</v>
      </c>
      <c r="F873" t="s">
        <v>14111</v>
      </c>
      <c r="G873" t="s">
        <v>14112</v>
      </c>
      <c r="H873" t="s">
        <v>905</v>
      </c>
      <c r="I873" t="s">
        <v>14113</v>
      </c>
      <c r="J873" t="s">
        <v>14114</v>
      </c>
      <c r="K873" t="s">
        <v>14115</v>
      </c>
      <c r="L873">
        <v>5</v>
      </c>
      <c r="M873" s="134">
        <v>185000</v>
      </c>
      <c r="N873" s="134">
        <v>212750</v>
      </c>
      <c r="O873" t="s">
        <v>10766</v>
      </c>
      <c r="P873" t="s">
        <v>14116</v>
      </c>
      <c r="Q873" t="s">
        <v>29</v>
      </c>
      <c r="R873" t="s">
        <v>14117</v>
      </c>
      <c r="S873" t="s">
        <v>14118</v>
      </c>
      <c r="U873" t="s">
        <v>12797</v>
      </c>
      <c r="X873">
        <v>1</v>
      </c>
    </row>
    <row r="874" spans="1:24" x14ac:dyDescent="0.25">
      <c r="A874" s="234">
        <v>42383</v>
      </c>
      <c r="B874" t="s">
        <v>643</v>
      </c>
      <c r="C874" t="s">
        <v>644</v>
      </c>
      <c r="D874" t="s">
        <v>645</v>
      </c>
      <c r="E874" t="s">
        <v>588</v>
      </c>
      <c r="F874" t="s">
        <v>721</v>
      </c>
      <c r="H874" t="s">
        <v>722</v>
      </c>
      <c r="I874" t="s">
        <v>723</v>
      </c>
      <c r="M874" s="134">
        <v>185000</v>
      </c>
      <c r="N874" s="134">
        <v>246000</v>
      </c>
      <c r="O874" t="s">
        <v>724</v>
      </c>
      <c r="P874" t="s">
        <v>726</v>
      </c>
      <c r="Q874" t="s">
        <v>592</v>
      </c>
      <c r="R874" t="s">
        <v>725</v>
      </c>
      <c r="U874" t="s">
        <v>491</v>
      </c>
      <c r="X874">
        <v>0</v>
      </c>
    </row>
    <row r="875" spans="1:24" x14ac:dyDescent="0.25">
      <c r="A875" s="234">
        <v>42459</v>
      </c>
      <c r="B875" t="s">
        <v>328</v>
      </c>
      <c r="C875" t="s">
        <v>603</v>
      </c>
      <c r="D875" t="s">
        <v>587</v>
      </c>
      <c r="E875" t="s">
        <v>588</v>
      </c>
      <c r="F875" t="s">
        <v>1456</v>
      </c>
      <c r="H875" t="s">
        <v>1391</v>
      </c>
      <c r="I875" t="s">
        <v>1460</v>
      </c>
      <c r="M875" s="134">
        <v>185000</v>
      </c>
      <c r="N875" s="134">
        <v>290500</v>
      </c>
      <c r="O875" t="s">
        <v>1457</v>
      </c>
      <c r="P875" t="s">
        <v>1458</v>
      </c>
      <c r="Q875" t="s">
        <v>592</v>
      </c>
      <c r="R875" t="s">
        <v>1459</v>
      </c>
      <c r="U875" t="s">
        <v>491</v>
      </c>
      <c r="X875">
        <v>0</v>
      </c>
    </row>
    <row r="876" spans="1:24" x14ac:dyDescent="0.25">
      <c r="A876" s="234">
        <v>42895</v>
      </c>
      <c r="B876" t="s">
        <v>328</v>
      </c>
      <c r="C876" t="s">
        <v>603</v>
      </c>
      <c r="D876" t="s">
        <v>672</v>
      </c>
      <c r="E876" t="s">
        <v>588</v>
      </c>
      <c r="F876" t="s">
        <v>7146</v>
      </c>
      <c r="H876" t="s">
        <v>607</v>
      </c>
      <c r="I876" t="s">
        <v>7147</v>
      </c>
      <c r="J876" t="s">
        <v>5402</v>
      </c>
      <c r="L876">
        <v>3</v>
      </c>
      <c r="M876" s="134">
        <v>185000</v>
      </c>
      <c r="N876" s="134">
        <v>370000</v>
      </c>
      <c r="O876" t="s">
        <v>6522</v>
      </c>
      <c r="P876" t="s">
        <v>7148</v>
      </c>
      <c r="Q876" t="s">
        <v>1939</v>
      </c>
      <c r="R876" t="s">
        <v>7149</v>
      </c>
      <c r="U876" t="s">
        <v>491</v>
      </c>
      <c r="X876">
        <v>0</v>
      </c>
    </row>
    <row r="877" spans="1:24" x14ac:dyDescent="0.25">
      <c r="A877" s="234">
        <v>42971</v>
      </c>
      <c r="B877" t="s">
        <v>328</v>
      </c>
      <c r="C877" t="s">
        <v>603</v>
      </c>
      <c r="D877" t="s">
        <v>649</v>
      </c>
      <c r="E877" t="s">
        <v>588</v>
      </c>
      <c r="F877" t="s">
        <v>8309</v>
      </c>
      <c r="G877" t="s">
        <v>6161</v>
      </c>
      <c r="H877" t="s">
        <v>607</v>
      </c>
      <c r="J877" t="s">
        <v>3751</v>
      </c>
      <c r="L877">
        <v>3</v>
      </c>
      <c r="M877" s="134">
        <v>185600</v>
      </c>
      <c r="N877" s="134">
        <v>370000</v>
      </c>
      <c r="O877" t="s">
        <v>3952</v>
      </c>
      <c r="P877" t="s">
        <v>8310</v>
      </c>
      <c r="Q877" t="s">
        <v>620</v>
      </c>
      <c r="R877" t="s">
        <v>8311</v>
      </c>
      <c r="T877">
        <v>17</v>
      </c>
      <c r="U877" t="s">
        <v>491</v>
      </c>
      <c r="X877">
        <v>0</v>
      </c>
    </row>
    <row r="878" spans="1:24" x14ac:dyDescent="0.25">
      <c r="A878" s="234">
        <v>43489</v>
      </c>
      <c r="B878" t="s">
        <v>9240</v>
      </c>
      <c r="C878" t="s">
        <v>603</v>
      </c>
      <c r="D878" t="s">
        <v>9241</v>
      </c>
      <c r="F878" t="s">
        <v>14169</v>
      </c>
      <c r="G878" t="s">
        <v>14170</v>
      </c>
      <c r="H878" t="s">
        <v>905</v>
      </c>
      <c r="I878" t="s">
        <v>14171</v>
      </c>
      <c r="J878" t="s">
        <v>603</v>
      </c>
      <c r="K878" t="s">
        <v>14172</v>
      </c>
      <c r="L878">
        <v>6</v>
      </c>
      <c r="M878" s="134">
        <v>187000</v>
      </c>
      <c r="N878" s="134">
        <v>236400</v>
      </c>
      <c r="O878" t="s">
        <v>10766</v>
      </c>
      <c r="P878" t="s">
        <v>14251</v>
      </c>
      <c r="Q878" t="s">
        <v>1612</v>
      </c>
      <c r="R878" t="s">
        <v>14442</v>
      </c>
      <c r="U878" t="s">
        <v>491</v>
      </c>
      <c r="X878">
        <v>0</v>
      </c>
    </row>
    <row r="879" spans="1:24" x14ac:dyDescent="0.25">
      <c r="A879" s="234">
        <v>42807</v>
      </c>
      <c r="B879" t="s">
        <v>5360</v>
      </c>
      <c r="D879" t="s">
        <v>732</v>
      </c>
      <c r="E879" t="s">
        <v>588</v>
      </c>
      <c r="F879" t="s">
        <v>5942</v>
      </c>
      <c r="H879" t="s">
        <v>607</v>
      </c>
      <c r="I879" t="s">
        <v>4042</v>
      </c>
      <c r="J879" t="s">
        <v>899</v>
      </c>
      <c r="L879">
        <v>9</v>
      </c>
      <c r="M879" s="134">
        <v>187000</v>
      </c>
      <c r="N879" s="134">
        <v>502900</v>
      </c>
      <c r="O879" t="s">
        <v>840</v>
      </c>
      <c r="P879" t="s">
        <v>5943</v>
      </c>
      <c r="Q879" t="s">
        <v>1939</v>
      </c>
      <c r="R879" t="s">
        <v>5944</v>
      </c>
      <c r="U879" t="s">
        <v>491</v>
      </c>
      <c r="X879">
        <v>0</v>
      </c>
    </row>
    <row r="880" spans="1:24" x14ac:dyDescent="0.25">
      <c r="A880" s="234">
        <v>42373</v>
      </c>
      <c r="B880" t="s">
        <v>594</v>
      </c>
      <c r="C880" t="s">
        <v>602</v>
      </c>
      <c r="D880" t="s">
        <v>605</v>
      </c>
      <c r="E880" t="s">
        <v>588</v>
      </c>
      <c r="F880" t="s">
        <v>606</v>
      </c>
      <c r="H880" t="s">
        <v>607</v>
      </c>
      <c r="I880" t="s">
        <v>608</v>
      </c>
      <c r="M880" s="134">
        <v>188000</v>
      </c>
      <c r="N880" s="134">
        <v>0</v>
      </c>
      <c r="O880" t="s">
        <v>618</v>
      </c>
      <c r="P880" t="s">
        <v>609</v>
      </c>
      <c r="Q880" t="s">
        <v>29</v>
      </c>
      <c r="R880" t="s">
        <v>1183</v>
      </c>
      <c r="U880" t="s">
        <v>491</v>
      </c>
      <c r="X880">
        <v>1</v>
      </c>
    </row>
    <row r="881" spans="1:24" x14ac:dyDescent="0.25">
      <c r="A881" s="234">
        <v>43473</v>
      </c>
      <c r="B881" t="s">
        <v>9240</v>
      </c>
      <c r="C881" t="s">
        <v>603</v>
      </c>
      <c r="D881" t="s">
        <v>7814</v>
      </c>
      <c r="F881" t="s">
        <v>13852</v>
      </c>
      <c r="G881" t="s">
        <v>13853</v>
      </c>
      <c r="H881" t="s">
        <v>809</v>
      </c>
      <c r="M881" s="134">
        <v>188000</v>
      </c>
      <c r="N881" s="134">
        <v>247000</v>
      </c>
      <c r="O881" t="s">
        <v>4533</v>
      </c>
      <c r="P881" t="s">
        <v>13854</v>
      </c>
      <c r="Q881" t="s">
        <v>1939</v>
      </c>
      <c r="R881" t="s">
        <v>13855</v>
      </c>
      <c r="U881" t="s">
        <v>491</v>
      </c>
      <c r="X881">
        <v>0</v>
      </c>
    </row>
    <row r="882" spans="1:24" x14ac:dyDescent="0.25">
      <c r="A882" s="234">
        <v>43397</v>
      </c>
      <c r="B882" t="s">
        <v>328</v>
      </c>
      <c r="C882" t="s">
        <v>603</v>
      </c>
      <c r="D882" t="s">
        <v>10338</v>
      </c>
      <c r="F882" t="s">
        <v>13022</v>
      </c>
      <c r="G882" t="s">
        <v>12384</v>
      </c>
      <c r="H882" t="s">
        <v>607</v>
      </c>
      <c r="I882" t="s">
        <v>8581</v>
      </c>
      <c r="J882" t="s">
        <v>3533</v>
      </c>
      <c r="K882">
        <v>53221</v>
      </c>
      <c r="L882">
        <v>3</v>
      </c>
      <c r="M882" s="134">
        <v>188000</v>
      </c>
      <c r="N882" s="134">
        <v>337600</v>
      </c>
      <c r="O882" t="s">
        <v>10766</v>
      </c>
      <c r="P882" t="s">
        <v>13023</v>
      </c>
      <c r="Q882" t="s">
        <v>29</v>
      </c>
      <c r="R882" t="s">
        <v>13024</v>
      </c>
      <c r="U882" t="s">
        <v>12344</v>
      </c>
      <c r="X882">
        <v>1</v>
      </c>
    </row>
    <row r="883" spans="1:24" x14ac:dyDescent="0.25">
      <c r="A883" s="234">
        <v>42601</v>
      </c>
      <c r="B883" t="s">
        <v>328</v>
      </c>
      <c r="C883" t="s">
        <v>603</v>
      </c>
      <c r="D883" t="s">
        <v>1401</v>
      </c>
      <c r="E883" t="s">
        <v>588</v>
      </c>
      <c r="F883" t="s">
        <v>3526</v>
      </c>
      <c r="H883" t="s">
        <v>607</v>
      </c>
      <c r="I883" t="s">
        <v>3527</v>
      </c>
      <c r="J883" t="s">
        <v>3528</v>
      </c>
      <c r="L883">
        <v>10</v>
      </c>
      <c r="M883" s="134">
        <v>188000</v>
      </c>
      <c r="N883" s="134">
        <v>383600</v>
      </c>
      <c r="O883" t="s">
        <v>3529</v>
      </c>
      <c r="P883" t="s">
        <v>3531</v>
      </c>
      <c r="Q883" t="s">
        <v>29</v>
      </c>
      <c r="R883" t="s">
        <v>3530</v>
      </c>
      <c r="U883" t="s">
        <v>491</v>
      </c>
      <c r="X883">
        <v>1</v>
      </c>
    </row>
    <row r="884" spans="1:24" x14ac:dyDescent="0.25">
      <c r="A884" s="234">
        <v>42748</v>
      </c>
      <c r="B884" t="s">
        <v>5176</v>
      </c>
      <c r="D884" t="s">
        <v>595</v>
      </c>
      <c r="E884" t="s">
        <v>692</v>
      </c>
      <c r="F884" t="s">
        <v>5328</v>
      </c>
      <c r="H884" t="s">
        <v>607</v>
      </c>
      <c r="I884" t="s">
        <v>5329</v>
      </c>
      <c r="J884" t="s">
        <v>4684</v>
      </c>
      <c r="M884" s="134">
        <v>189000</v>
      </c>
      <c r="N884" s="134">
        <v>0</v>
      </c>
      <c r="O884" t="s">
        <v>3972</v>
      </c>
      <c r="P884" t="s">
        <v>5330</v>
      </c>
      <c r="Q884" t="s">
        <v>1612</v>
      </c>
      <c r="R884" t="s">
        <v>5331</v>
      </c>
      <c r="S884" t="s">
        <v>5337</v>
      </c>
      <c r="U884" t="s">
        <v>491</v>
      </c>
      <c r="X884">
        <v>0</v>
      </c>
    </row>
    <row r="885" spans="1:24" x14ac:dyDescent="0.25">
      <c r="A885" s="234">
        <v>43591</v>
      </c>
      <c r="B885" t="s">
        <v>6076</v>
      </c>
      <c r="C885" t="s">
        <v>3370</v>
      </c>
      <c r="D885" t="s">
        <v>10524</v>
      </c>
      <c r="F885" t="s">
        <v>15392</v>
      </c>
      <c r="G885" t="s">
        <v>15393</v>
      </c>
      <c r="H885" t="s">
        <v>607</v>
      </c>
      <c r="I885" t="s">
        <v>15394</v>
      </c>
      <c r="J885" t="s">
        <v>3370</v>
      </c>
      <c r="K885" t="s">
        <v>15395</v>
      </c>
      <c r="L885">
        <v>2</v>
      </c>
      <c r="M885" s="134">
        <v>189000</v>
      </c>
      <c r="N885" s="134">
        <v>330000</v>
      </c>
      <c r="O885" t="s">
        <v>6745</v>
      </c>
      <c r="P885" t="s">
        <v>15396</v>
      </c>
      <c r="Q885" t="s">
        <v>1939</v>
      </c>
      <c r="R885" t="s">
        <v>15397</v>
      </c>
      <c r="U885" t="s">
        <v>491</v>
      </c>
      <c r="X885">
        <v>0</v>
      </c>
    </row>
    <row r="886" spans="1:24" x14ac:dyDescent="0.25">
      <c r="A886" s="234">
        <v>43545</v>
      </c>
      <c r="B886" t="s">
        <v>13559</v>
      </c>
      <c r="C886" t="s">
        <v>4031</v>
      </c>
      <c r="D886" t="s">
        <v>13560</v>
      </c>
      <c r="F886" t="s">
        <v>13452</v>
      </c>
      <c r="G886" t="s">
        <v>14792</v>
      </c>
      <c r="H886" t="s">
        <v>607</v>
      </c>
      <c r="I886" t="s">
        <v>6730</v>
      </c>
      <c r="J886" t="s">
        <v>4031</v>
      </c>
      <c r="K886" t="s">
        <v>14793</v>
      </c>
      <c r="L886">
        <v>6</v>
      </c>
      <c r="M886" s="134">
        <v>189175</v>
      </c>
      <c r="N886" s="134">
        <v>264593</v>
      </c>
      <c r="O886" t="s">
        <v>10765</v>
      </c>
      <c r="P886" t="s">
        <v>14842</v>
      </c>
      <c r="Q886" t="s">
        <v>29</v>
      </c>
      <c r="R886" t="s">
        <v>14794</v>
      </c>
      <c r="S886" t="s">
        <v>14843</v>
      </c>
      <c r="U886" t="s">
        <v>12797</v>
      </c>
      <c r="X886">
        <v>1</v>
      </c>
    </row>
    <row r="887" spans="1:24" x14ac:dyDescent="0.25">
      <c r="A887" s="234">
        <v>43434</v>
      </c>
      <c r="B887" t="s">
        <v>328</v>
      </c>
      <c r="C887" t="s">
        <v>603</v>
      </c>
      <c r="D887" t="s">
        <v>5701</v>
      </c>
      <c r="F887" t="s">
        <v>12440</v>
      </c>
      <c r="G887" t="s">
        <v>13360</v>
      </c>
      <c r="H887" t="s">
        <v>1050</v>
      </c>
      <c r="I887" t="s">
        <v>9550</v>
      </c>
      <c r="J887" t="s">
        <v>3733</v>
      </c>
      <c r="K887" t="s">
        <v>13361</v>
      </c>
      <c r="L887">
        <v>1</v>
      </c>
      <c r="M887" s="134">
        <v>190000</v>
      </c>
      <c r="N887" s="134">
        <v>190000</v>
      </c>
      <c r="O887" t="s">
        <v>10765</v>
      </c>
      <c r="P887" t="s">
        <v>13363</v>
      </c>
      <c r="Q887" t="s">
        <v>1939</v>
      </c>
      <c r="R887" t="s">
        <v>13362</v>
      </c>
      <c r="U887" t="s">
        <v>491</v>
      </c>
      <c r="X887">
        <v>0</v>
      </c>
    </row>
    <row r="888" spans="1:24" x14ac:dyDescent="0.25">
      <c r="A888" s="234">
        <v>42768</v>
      </c>
      <c r="B888" t="s">
        <v>5360</v>
      </c>
      <c r="D888" t="s">
        <v>611</v>
      </c>
      <c r="E888" t="s">
        <v>588</v>
      </c>
      <c r="F888" t="s">
        <v>5591</v>
      </c>
      <c r="H888" t="s">
        <v>905</v>
      </c>
      <c r="I888" t="s">
        <v>3635</v>
      </c>
      <c r="J888" t="s">
        <v>899</v>
      </c>
      <c r="M888" s="134">
        <v>190000</v>
      </c>
      <c r="N888" s="134">
        <v>191900</v>
      </c>
      <c r="O888" t="s">
        <v>2753</v>
      </c>
      <c r="P888" t="s">
        <v>5592</v>
      </c>
      <c r="Q888" t="s">
        <v>29</v>
      </c>
      <c r="R888" t="s">
        <v>5593</v>
      </c>
      <c r="U888" t="s">
        <v>491</v>
      </c>
      <c r="X888">
        <v>1</v>
      </c>
    </row>
    <row r="889" spans="1:24" x14ac:dyDescent="0.25">
      <c r="A889" s="234">
        <v>43202</v>
      </c>
      <c r="B889" t="s">
        <v>5992</v>
      </c>
      <c r="C889" t="s">
        <v>608</v>
      </c>
      <c r="D889" t="s">
        <v>10897</v>
      </c>
      <c r="E889" t="s">
        <v>588</v>
      </c>
      <c r="F889" t="s">
        <v>10898</v>
      </c>
      <c r="G889" t="s">
        <v>15</v>
      </c>
      <c r="H889" t="s">
        <v>10831</v>
      </c>
      <c r="I889" t="s">
        <v>6193</v>
      </c>
      <c r="J889" t="s">
        <v>608</v>
      </c>
      <c r="M889" s="134">
        <v>190000</v>
      </c>
      <c r="N889" s="134">
        <v>350000</v>
      </c>
      <c r="O889" t="s">
        <v>49</v>
      </c>
      <c r="P889" t="s">
        <v>10899</v>
      </c>
      <c r="Q889" t="s">
        <v>592</v>
      </c>
      <c r="R889" t="s">
        <v>10900</v>
      </c>
      <c r="S889" t="s">
        <v>10901</v>
      </c>
      <c r="U889" t="s">
        <v>491</v>
      </c>
      <c r="X889">
        <v>0</v>
      </c>
    </row>
    <row r="890" spans="1:24" x14ac:dyDescent="0.25">
      <c r="A890" s="234">
        <v>42438</v>
      </c>
      <c r="B890" t="s">
        <v>378</v>
      </c>
      <c r="C890" t="s">
        <v>623</v>
      </c>
      <c r="D890" t="s">
        <v>800</v>
      </c>
      <c r="E890" t="s">
        <v>588</v>
      </c>
      <c r="F890" t="s">
        <v>1256</v>
      </c>
      <c r="H890" t="s">
        <v>607</v>
      </c>
      <c r="I890" t="s">
        <v>1257</v>
      </c>
      <c r="M890" s="134">
        <v>190000</v>
      </c>
      <c r="N890" s="134">
        <v>388000</v>
      </c>
      <c r="O890" t="s">
        <v>1258</v>
      </c>
      <c r="P890" t="s">
        <v>1259</v>
      </c>
      <c r="Q890" t="s">
        <v>620</v>
      </c>
      <c r="R890" t="s">
        <v>1260</v>
      </c>
      <c r="U890" t="s">
        <v>491</v>
      </c>
      <c r="X890">
        <v>0</v>
      </c>
    </row>
    <row r="891" spans="1:24" x14ac:dyDescent="0.25">
      <c r="A891" s="234">
        <v>43256</v>
      </c>
      <c r="B891" t="s">
        <v>328</v>
      </c>
      <c r="C891" t="s">
        <v>603</v>
      </c>
      <c r="D891" t="s">
        <v>7595</v>
      </c>
      <c r="E891" t="s">
        <v>588</v>
      </c>
      <c r="F891" t="s">
        <v>11453</v>
      </c>
      <c r="G891" t="s">
        <v>757</v>
      </c>
      <c r="H891" t="s">
        <v>607</v>
      </c>
      <c r="I891" t="s">
        <v>4449</v>
      </c>
      <c r="J891" t="s">
        <v>644</v>
      </c>
      <c r="L891">
        <v>10</v>
      </c>
      <c r="M891" s="134">
        <v>191000</v>
      </c>
      <c r="N891" s="134">
        <v>291500</v>
      </c>
      <c r="O891" t="s">
        <v>7124</v>
      </c>
      <c r="P891" t="s">
        <v>11452</v>
      </c>
      <c r="Q891" t="s">
        <v>1939</v>
      </c>
      <c r="R891" t="s">
        <v>11451</v>
      </c>
      <c r="U891" t="s">
        <v>1327</v>
      </c>
      <c r="X891">
        <v>0</v>
      </c>
    </row>
    <row r="892" spans="1:24" x14ac:dyDescent="0.25">
      <c r="A892" s="234">
        <v>42991</v>
      </c>
      <c r="B892" t="s">
        <v>328</v>
      </c>
      <c r="C892" t="s">
        <v>603</v>
      </c>
      <c r="D892" t="s">
        <v>649</v>
      </c>
      <c r="E892" t="s">
        <v>588</v>
      </c>
      <c r="F892" t="s">
        <v>8523</v>
      </c>
      <c r="G892" t="s">
        <v>8524</v>
      </c>
      <c r="H892" t="s">
        <v>607</v>
      </c>
      <c r="I892" t="s">
        <v>6360</v>
      </c>
      <c r="J892" t="s">
        <v>3733</v>
      </c>
      <c r="L892">
        <v>4</v>
      </c>
      <c r="M892" s="134">
        <v>191000</v>
      </c>
      <c r="N892" s="134">
        <v>360000</v>
      </c>
      <c r="O892" t="s">
        <v>1844</v>
      </c>
      <c r="P892" t="s">
        <v>8525</v>
      </c>
      <c r="Q892" t="s">
        <v>29</v>
      </c>
      <c r="R892" t="s">
        <v>8526</v>
      </c>
      <c r="T892">
        <v>22</v>
      </c>
      <c r="U892" t="s">
        <v>491</v>
      </c>
      <c r="X892">
        <v>1</v>
      </c>
    </row>
    <row r="893" spans="1:24" x14ac:dyDescent="0.25">
      <c r="A893" s="234">
        <v>43327</v>
      </c>
      <c r="B893" t="s">
        <v>9240</v>
      </c>
      <c r="C893" t="s">
        <v>603</v>
      </c>
      <c r="D893" t="s">
        <v>9241</v>
      </c>
      <c r="E893" t="s">
        <v>588</v>
      </c>
      <c r="F893" t="s">
        <v>12223</v>
      </c>
      <c r="G893" t="s">
        <v>12222</v>
      </c>
      <c r="H893" t="s">
        <v>607</v>
      </c>
      <c r="I893" t="s">
        <v>12221</v>
      </c>
      <c r="J893" t="s">
        <v>3751</v>
      </c>
      <c r="L893">
        <v>2</v>
      </c>
      <c r="M893" s="134">
        <v>191900</v>
      </c>
      <c r="N893" s="134">
        <v>307040</v>
      </c>
      <c r="O893" t="s">
        <v>10766</v>
      </c>
      <c r="P893" t="s">
        <v>12220</v>
      </c>
      <c r="Q893" t="s">
        <v>1939</v>
      </c>
      <c r="R893" t="s">
        <v>12224</v>
      </c>
      <c r="U893" t="s">
        <v>1327</v>
      </c>
      <c r="X893">
        <v>0</v>
      </c>
    </row>
    <row r="894" spans="1:24" x14ac:dyDescent="0.25">
      <c r="A894" s="234">
        <v>42929</v>
      </c>
      <c r="B894" t="s">
        <v>328</v>
      </c>
      <c r="D894" t="s">
        <v>7595</v>
      </c>
      <c r="E894" t="s">
        <v>588</v>
      </c>
      <c r="F894" t="s">
        <v>7594</v>
      </c>
      <c r="H894" t="s">
        <v>6002</v>
      </c>
      <c r="I894" t="s">
        <v>7593</v>
      </c>
      <c r="J894" t="s">
        <v>3426</v>
      </c>
      <c r="L894">
        <v>5</v>
      </c>
      <c r="M894" s="134">
        <v>192000</v>
      </c>
      <c r="N894" s="134">
        <v>393600</v>
      </c>
      <c r="O894" t="s">
        <v>7592</v>
      </c>
      <c r="P894" t="s">
        <v>7943</v>
      </c>
      <c r="Q894" t="s">
        <v>1939</v>
      </c>
      <c r="R894" t="s">
        <v>7591</v>
      </c>
      <c r="S894" t="s">
        <v>9678</v>
      </c>
      <c r="U894" t="s">
        <v>2227</v>
      </c>
      <c r="X894">
        <v>0</v>
      </c>
    </row>
    <row r="895" spans="1:24" x14ac:dyDescent="0.25">
      <c r="A895" s="234">
        <v>42796</v>
      </c>
      <c r="B895" t="s">
        <v>110</v>
      </c>
      <c r="D895" t="s">
        <v>4782</v>
      </c>
      <c r="E895" t="s">
        <v>588</v>
      </c>
      <c r="F895" t="s">
        <v>5857</v>
      </c>
      <c r="H895" t="s">
        <v>607</v>
      </c>
      <c r="I895" t="s">
        <v>5858</v>
      </c>
      <c r="J895" t="s">
        <v>4785</v>
      </c>
      <c r="L895">
        <v>10</v>
      </c>
      <c r="M895" s="134">
        <v>192446</v>
      </c>
      <c r="N895" s="134">
        <v>479136</v>
      </c>
      <c r="O895" t="s">
        <v>5859</v>
      </c>
      <c r="P895" t="s">
        <v>5860</v>
      </c>
      <c r="Q895" t="s">
        <v>29</v>
      </c>
      <c r="U895" t="s">
        <v>491</v>
      </c>
      <c r="X895">
        <v>1</v>
      </c>
    </row>
    <row r="896" spans="1:24" x14ac:dyDescent="0.25">
      <c r="A896" s="234">
        <v>43546</v>
      </c>
      <c r="B896" t="s">
        <v>328</v>
      </c>
      <c r="C896" t="s">
        <v>603</v>
      </c>
      <c r="D896" t="s">
        <v>1401</v>
      </c>
      <c r="F896" t="s">
        <v>14855</v>
      </c>
      <c r="G896" t="s">
        <v>9000</v>
      </c>
      <c r="H896" t="s">
        <v>905</v>
      </c>
      <c r="I896" t="s">
        <v>3646</v>
      </c>
      <c r="J896" t="s">
        <v>644</v>
      </c>
      <c r="K896" t="s">
        <v>14856</v>
      </c>
      <c r="L896">
        <v>2</v>
      </c>
      <c r="M896" s="134">
        <v>193000</v>
      </c>
      <c r="N896" s="134">
        <v>255900</v>
      </c>
      <c r="O896" t="s">
        <v>10766</v>
      </c>
      <c r="P896" t="s">
        <v>14944</v>
      </c>
      <c r="Q896" t="s">
        <v>29</v>
      </c>
      <c r="R896" t="s">
        <v>14857</v>
      </c>
      <c r="U896" t="s">
        <v>12797</v>
      </c>
      <c r="X896">
        <v>1</v>
      </c>
    </row>
    <row r="897" spans="1:24" x14ac:dyDescent="0.25">
      <c r="A897" s="234">
        <v>43168</v>
      </c>
      <c r="B897" t="s">
        <v>328</v>
      </c>
      <c r="C897" t="s">
        <v>603</v>
      </c>
      <c r="D897" t="s">
        <v>2397</v>
      </c>
      <c r="E897" t="s">
        <v>588</v>
      </c>
      <c r="F897" t="s">
        <v>8366</v>
      </c>
      <c r="G897" t="s">
        <v>10548</v>
      </c>
      <c r="H897" t="s">
        <v>607</v>
      </c>
      <c r="J897" t="s">
        <v>3374</v>
      </c>
      <c r="L897">
        <v>5</v>
      </c>
      <c r="M897" s="134">
        <v>193800</v>
      </c>
      <c r="N897" s="134">
        <v>415410</v>
      </c>
      <c r="O897" t="s">
        <v>4533</v>
      </c>
      <c r="P897" t="s">
        <v>10547</v>
      </c>
      <c r="Q897" t="s">
        <v>1939</v>
      </c>
      <c r="R897" t="s">
        <v>10546</v>
      </c>
      <c r="U897" t="s">
        <v>1327</v>
      </c>
      <c r="X897">
        <v>0</v>
      </c>
    </row>
    <row r="898" spans="1:24" x14ac:dyDescent="0.25">
      <c r="A898" s="234">
        <v>43347</v>
      </c>
      <c r="B898" t="s">
        <v>328</v>
      </c>
      <c r="C898" t="s">
        <v>603</v>
      </c>
      <c r="D898" t="s">
        <v>7595</v>
      </c>
      <c r="E898" t="s">
        <v>588</v>
      </c>
      <c r="F898" t="s">
        <v>12473</v>
      </c>
      <c r="G898" t="s">
        <v>7880</v>
      </c>
      <c r="H898" t="s">
        <v>905</v>
      </c>
      <c r="I898" t="s">
        <v>9154</v>
      </c>
      <c r="J898" t="s">
        <v>604</v>
      </c>
      <c r="L898">
        <v>6</v>
      </c>
      <c r="M898" s="134">
        <v>194000</v>
      </c>
      <c r="N898" s="134">
        <v>204080</v>
      </c>
      <c r="O898" t="s">
        <v>10766</v>
      </c>
      <c r="P898" t="s">
        <v>12474</v>
      </c>
      <c r="Q898" t="s">
        <v>592</v>
      </c>
      <c r="R898" t="s">
        <v>12475</v>
      </c>
      <c r="U898" t="s">
        <v>1327</v>
      </c>
      <c r="X898">
        <v>0</v>
      </c>
    </row>
    <row r="899" spans="1:24" x14ac:dyDescent="0.25">
      <c r="A899" s="234">
        <v>42613</v>
      </c>
      <c r="B899" t="s">
        <v>110</v>
      </c>
      <c r="C899" t="s">
        <v>761</v>
      </c>
      <c r="D899" t="s">
        <v>3713</v>
      </c>
      <c r="E899" t="s">
        <v>588</v>
      </c>
      <c r="F899" t="s">
        <v>3714</v>
      </c>
      <c r="H899" t="s">
        <v>722</v>
      </c>
      <c r="I899" t="s">
        <v>3715</v>
      </c>
      <c r="J899" t="s">
        <v>761</v>
      </c>
      <c r="L899">
        <v>10</v>
      </c>
      <c r="M899" s="134">
        <v>194000</v>
      </c>
      <c r="N899" s="134">
        <v>329800</v>
      </c>
      <c r="O899" t="s">
        <v>764</v>
      </c>
      <c r="P899" t="s">
        <v>3716</v>
      </c>
      <c r="Q899" t="s">
        <v>592</v>
      </c>
      <c r="U899" t="s">
        <v>491</v>
      </c>
      <c r="X899">
        <v>0</v>
      </c>
    </row>
    <row r="900" spans="1:24" x14ac:dyDescent="0.25">
      <c r="A900" s="234">
        <v>42594</v>
      </c>
      <c r="B900" t="s">
        <v>328</v>
      </c>
      <c r="C900" t="s">
        <v>603</v>
      </c>
      <c r="D900" t="s">
        <v>1401</v>
      </c>
      <c r="E900" t="s">
        <v>588</v>
      </c>
      <c r="F900" t="s">
        <v>3407</v>
      </c>
      <c r="H900" t="s">
        <v>607</v>
      </c>
      <c r="I900" t="s">
        <v>3408</v>
      </c>
      <c r="J900" t="s">
        <v>3371</v>
      </c>
      <c r="L900">
        <v>4</v>
      </c>
      <c r="M900" s="134">
        <v>194000</v>
      </c>
      <c r="N900" s="134">
        <v>388000</v>
      </c>
      <c r="O900" t="s">
        <v>3409</v>
      </c>
      <c r="P900" t="s">
        <v>3410</v>
      </c>
      <c r="Q900" t="s">
        <v>620</v>
      </c>
      <c r="R900" t="s">
        <v>3411</v>
      </c>
      <c r="U900" t="s">
        <v>491</v>
      </c>
      <c r="X900">
        <v>0</v>
      </c>
    </row>
    <row r="901" spans="1:24" x14ac:dyDescent="0.25">
      <c r="A901" s="234">
        <v>43318</v>
      </c>
      <c r="B901" t="s">
        <v>9240</v>
      </c>
      <c r="C901" t="s">
        <v>603</v>
      </c>
      <c r="D901" t="s">
        <v>9241</v>
      </c>
      <c r="E901" t="s">
        <v>588</v>
      </c>
      <c r="F901" t="s">
        <v>12042</v>
      </c>
      <c r="G901" t="s">
        <v>12043</v>
      </c>
      <c r="H901" t="s">
        <v>607</v>
      </c>
      <c r="I901" t="s">
        <v>11495</v>
      </c>
      <c r="J901" t="s">
        <v>608</v>
      </c>
      <c r="M901" s="134">
        <v>194000</v>
      </c>
      <c r="N901" s="134">
        <v>391000</v>
      </c>
      <c r="O901" t="s">
        <v>10763</v>
      </c>
      <c r="P901" t="s">
        <v>12491</v>
      </c>
      <c r="Q901" t="s">
        <v>29</v>
      </c>
      <c r="R901" t="s">
        <v>12044</v>
      </c>
      <c r="U901" t="s">
        <v>491</v>
      </c>
      <c r="X901">
        <v>1</v>
      </c>
    </row>
    <row r="902" spans="1:24" x14ac:dyDescent="0.25">
      <c r="A902" s="234">
        <v>42436</v>
      </c>
      <c r="B902" t="s">
        <v>320</v>
      </c>
      <c r="C902" t="s">
        <v>1228</v>
      </c>
      <c r="D902" t="s">
        <v>1229</v>
      </c>
      <c r="E902" t="s">
        <v>588</v>
      </c>
      <c r="F902" t="s">
        <v>1230</v>
      </c>
      <c r="H902" t="s">
        <v>1231</v>
      </c>
      <c r="I902" t="s">
        <v>1232</v>
      </c>
      <c r="M902" s="134">
        <v>194800</v>
      </c>
      <c r="N902" s="134">
        <v>350640</v>
      </c>
      <c r="O902" t="s">
        <v>1233</v>
      </c>
      <c r="P902" t="s">
        <v>1234</v>
      </c>
      <c r="Q902" t="s">
        <v>592</v>
      </c>
      <c r="R902" t="s">
        <v>1235</v>
      </c>
      <c r="U902" t="s">
        <v>491</v>
      </c>
      <c r="X902">
        <v>0</v>
      </c>
    </row>
    <row r="903" spans="1:24" x14ac:dyDescent="0.25">
      <c r="A903" s="234">
        <v>43375</v>
      </c>
      <c r="B903" t="s">
        <v>328</v>
      </c>
      <c r="C903" t="s">
        <v>603</v>
      </c>
      <c r="D903" t="s">
        <v>10705</v>
      </c>
      <c r="E903" t="s">
        <v>588</v>
      </c>
      <c r="F903" t="s">
        <v>12795</v>
      </c>
      <c r="G903" t="s">
        <v>12796</v>
      </c>
      <c r="H903" t="s">
        <v>607</v>
      </c>
      <c r="I903" t="s">
        <v>5862</v>
      </c>
      <c r="J903" t="s">
        <v>3751</v>
      </c>
      <c r="L903">
        <v>2</v>
      </c>
      <c r="M903" s="134">
        <v>195000</v>
      </c>
      <c r="N903" s="134">
        <v>331500</v>
      </c>
      <c r="O903" t="s">
        <v>4533</v>
      </c>
      <c r="P903" t="s">
        <v>13399</v>
      </c>
      <c r="Q903" t="s">
        <v>1939</v>
      </c>
      <c r="R903" t="s">
        <v>12798</v>
      </c>
      <c r="U903" t="s">
        <v>12797</v>
      </c>
      <c r="X903">
        <v>0</v>
      </c>
    </row>
    <row r="904" spans="1:24" x14ac:dyDescent="0.25">
      <c r="A904" s="234">
        <v>42422</v>
      </c>
      <c r="B904" t="s">
        <v>110</v>
      </c>
      <c r="D904" t="s">
        <v>1070</v>
      </c>
      <c r="E904" t="s">
        <v>588</v>
      </c>
      <c r="F904" t="s">
        <v>1071</v>
      </c>
      <c r="H904" t="s">
        <v>607</v>
      </c>
      <c r="I904" t="s">
        <v>1072</v>
      </c>
      <c r="M904" s="134">
        <v>195000</v>
      </c>
      <c r="N904" s="134">
        <v>331500</v>
      </c>
      <c r="O904" t="s">
        <v>1073</v>
      </c>
      <c r="P904" t="s">
        <v>1074</v>
      </c>
      <c r="Q904" t="s">
        <v>592</v>
      </c>
      <c r="R904" t="s">
        <v>1075</v>
      </c>
      <c r="U904" t="s">
        <v>491</v>
      </c>
      <c r="X904">
        <v>0</v>
      </c>
    </row>
    <row r="905" spans="1:24" x14ac:dyDescent="0.25">
      <c r="A905" s="234">
        <v>43276</v>
      </c>
      <c r="B905" t="s">
        <v>328</v>
      </c>
      <c r="C905" t="s">
        <v>603</v>
      </c>
      <c r="D905" t="s">
        <v>8941</v>
      </c>
      <c r="E905" t="s">
        <v>588</v>
      </c>
      <c r="F905" t="s">
        <v>10966</v>
      </c>
      <c r="G905" t="s">
        <v>11614</v>
      </c>
      <c r="H905" t="s">
        <v>607</v>
      </c>
      <c r="I905" t="s">
        <v>11615</v>
      </c>
      <c r="J905" t="s">
        <v>3373</v>
      </c>
      <c r="L905">
        <v>5</v>
      </c>
      <c r="M905" s="134">
        <v>195000</v>
      </c>
      <c r="N905" s="134">
        <v>364500</v>
      </c>
      <c r="O905" t="s">
        <v>10766</v>
      </c>
      <c r="P905" t="s">
        <v>11698</v>
      </c>
      <c r="Q905" t="s">
        <v>1939</v>
      </c>
      <c r="R905" t="s">
        <v>11616</v>
      </c>
      <c r="U905" t="s">
        <v>1327</v>
      </c>
      <c r="X905">
        <v>0</v>
      </c>
    </row>
    <row r="906" spans="1:24" x14ac:dyDescent="0.25">
      <c r="A906" s="234">
        <v>43490</v>
      </c>
      <c r="B906" t="s">
        <v>9240</v>
      </c>
      <c r="C906" t="s">
        <v>603</v>
      </c>
      <c r="D906" t="s">
        <v>7814</v>
      </c>
      <c r="F906" t="s">
        <v>240</v>
      </c>
      <c r="G906" t="s">
        <v>14121</v>
      </c>
      <c r="H906" t="s">
        <v>607</v>
      </c>
      <c r="I906" t="s">
        <v>13262</v>
      </c>
      <c r="J906" t="s">
        <v>1555</v>
      </c>
      <c r="K906" t="s">
        <v>13263</v>
      </c>
      <c r="L906" t="s">
        <v>14122</v>
      </c>
      <c r="M906" s="134">
        <v>195500</v>
      </c>
      <c r="N906" s="134">
        <v>400000</v>
      </c>
      <c r="O906" t="s">
        <v>10762</v>
      </c>
      <c r="P906" t="s">
        <v>14123</v>
      </c>
      <c r="Q906" t="s">
        <v>29</v>
      </c>
      <c r="R906" t="s">
        <v>14124</v>
      </c>
      <c r="U906" t="s">
        <v>491</v>
      </c>
      <c r="X906">
        <v>1</v>
      </c>
    </row>
    <row r="907" spans="1:24" x14ac:dyDescent="0.25">
      <c r="A907" s="234">
        <v>43518</v>
      </c>
      <c r="B907" t="s">
        <v>328</v>
      </c>
      <c r="C907" t="s">
        <v>603</v>
      </c>
      <c r="D907" t="s">
        <v>649</v>
      </c>
      <c r="F907" t="s">
        <v>14500</v>
      </c>
      <c r="G907" t="s">
        <v>14501</v>
      </c>
      <c r="H907" t="s">
        <v>607</v>
      </c>
      <c r="I907" t="s">
        <v>9769</v>
      </c>
      <c r="J907" t="s">
        <v>3885</v>
      </c>
      <c r="K907" t="s">
        <v>14502</v>
      </c>
      <c r="L907">
        <v>3</v>
      </c>
      <c r="M907" s="134">
        <v>195700</v>
      </c>
      <c r="N907" s="134">
        <v>352260</v>
      </c>
      <c r="O907" t="s">
        <v>4533</v>
      </c>
      <c r="P907" t="s">
        <v>14503</v>
      </c>
      <c r="Q907" t="s">
        <v>592</v>
      </c>
      <c r="R907" t="s">
        <v>14504</v>
      </c>
      <c r="U907" t="s">
        <v>12797</v>
      </c>
      <c r="X907">
        <v>0</v>
      </c>
    </row>
    <row r="908" spans="1:24" x14ac:dyDescent="0.25">
      <c r="A908" s="234">
        <v>42524</v>
      </c>
      <c r="B908" t="s">
        <v>328</v>
      </c>
      <c r="C908" t="s">
        <v>603</v>
      </c>
      <c r="D908" t="s">
        <v>1401</v>
      </c>
      <c r="E908" t="s">
        <v>588</v>
      </c>
      <c r="F908" t="s">
        <v>2329</v>
      </c>
      <c r="H908" t="s">
        <v>710</v>
      </c>
      <c r="I908" t="s">
        <v>2330</v>
      </c>
      <c r="M908" s="134">
        <v>196000</v>
      </c>
      <c r="N908" s="134">
        <v>0</v>
      </c>
      <c r="O908" t="s">
        <v>2328</v>
      </c>
      <c r="P908" t="s">
        <v>2327</v>
      </c>
      <c r="Q908" t="s">
        <v>29</v>
      </c>
      <c r="R908" t="s">
        <v>2326</v>
      </c>
      <c r="U908" t="s">
        <v>2227</v>
      </c>
      <c r="X908">
        <v>1</v>
      </c>
    </row>
    <row r="909" spans="1:24" x14ac:dyDescent="0.25">
      <c r="A909" s="234">
        <v>43606</v>
      </c>
      <c r="B909" t="s">
        <v>328</v>
      </c>
      <c r="C909" t="s">
        <v>603</v>
      </c>
      <c r="D909" t="s">
        <v>10338</v>
      </c>
      <c r="F909" t="s">
        <v>15690</v>
      </c>
      <c r="G909" t="s">
        <v>7814</v>
      </c>
      <c r="H909" t="s">
        <v>607</v>
      </c>
      <c r="I909" t="s">
        <v>15692</v>
      </c>
      <c r="J909" t="s">
        <v>3733</v>
      </c>
      <c r="K909" t="s">
        <v>15693</v>
      </c>
      <c r="L909">
        <v>3</v>
      </c>
      <c r="M909" s="134">
        <v>196000</v>
      </c>
      <c r="N909" s="134">
        <v>260000</v>
      </c>
      <c r="O909" t="s">
        <v>6745</v>
      </c>
      <c r="P909" t="s">
        <v>15694</v>
      </c>
      <c r="Q909" t="s">
        <v>1939</v>
      </c>
      <c r="R909" t="s">
        <v>15695</v>
      </c>
      <c r="S909" t="s">
        <v>15691</v>
      </c>
      <c r="U909" t="s">
        <v>491</v>
      </c>
      <c r="X909">
        <v>0</v>
      </c>
    </row>
    <row r="910" spans="1:24" x14ac:dyDescent="0.25">
      <c r="A910" s="234">
        <v>43284</v>
      </c>
      <c r="B910" t="s">
        <v>328</v>
      </c>
      <c r="C910" t="s">
        <v>603</v>
      </c>
      <c r="D910" t="s">
        <v>649</v>
      </c>
      <c r="E910" t="s">
        <v>588</v>
      </c>
      <c r="F910" t="s">
        <v>11712</v>
      </c>
      <c r="G910" t="s">
        <v>7880</v>
      </c>
      <c r="H910" t="s">
        <v>607</v>
      </c>
      <c r="I910" t="s">
        <v>11713</v>
      </c>
      <c r="J910" t="s">
        <v>3751</v>
      </c>
      <c r="L910">
        <v>4</v>
      </c>
      <c r="M910" s="134">
        <v>196000</v>
      </c>
      <c r="N910" s="134">
        <v>400000</v>
      </c>
      <c r="O910" t="s">
        <v>4533</v>
      </c>
      <c r="P910" t="s">
        <v>11714</v>
      </c>
      <c r="Q910" t="s">
        <v>1939</v>
      </c>
      <c r="R910" t="s">
        <v>11715</v>
      </c>
      <c r="U910" t="s">
        <v>491</v>
      </c>
      <c r="X910">
        <v>0</v>
      </c>
    </row>
    <row r="911" spans="1:24" x14ac:dyDescent="0.25">
      <c r="A911" s="234">
        <v>42377</v>
      </c>
      <c r="B911" t="s">
        <v>328</v>
      </c>
      <c r="C911" t="s">
        <v>603</v>
      </c>
      <c r="D911" t="s">
        <v>672</v>
      </c>
      <c r="E911" t="s">
        <v>588</v>
      </c>
      <c r="F911" t="s">
        <v>673</v>
      </c>
      <c r="H911" t="s">
        <v>627</v>
      </c>
      <c r="I911" t="s">
        <v>674</v>
      </c>
      <c r="M911" s="134">
        <v>197000</v>
      </c>
      <c r="N911" s="134">
        <v>0</v>
      </c>
      <c r="O911" t="s">
        <v>675</v>
      </c>
      <c r="P911" t="s">
        <v>676</v>
      </c>
      <c r="Q911" t="s">
        <v>620</v>
      </c>
      <c r="R911" t="s">
        <v>677</v>
      </c>
      <c r="U911" t="s">
        <v>491</v>
      </c>
      <c r="X911">
        <v>0</v>
      </c>
    </row>
    <row r="912" spans="1:24" x14ac:dyDescent="0.25">
      <c r="A912" s="234">
        <v>43616</v>
      </c>
      <c r="B912" t="s">
        <v>328</v>
      </c>
      <c r="C912" t="s">
        <v>603</v>
      </c>
      <c r="D912" t="s">
        <v>649</v>
      </c>
      <c r="F912" t="s">
        <v>7962</v>
      </c>
      <c r="G912" t="s">
        <v>11933</v>
      </c>
      <c r="H912" t="s">
        <v>607</v>
      </c>
      <c r="I912" t="s">
        <v>15891</v>
      </c>
      <c r="J912" t="s">
        <v>6015</v>
      </c>
      <c r="K912" t="s">
        <v>15892</v>
      </c>
      <c r="L912">
        <v>5</v>
      </c>
      <c r="M912" s="134">
        <v>197000</v>
      </c>
      <c r="N912" s="134">
        <v>394000</v>
      </c>
      <c r="O912" t="s">
        <v>4533</v>
      </c>
      <c r="P912" t="s">
        <v>15893</v>
      </c>
      <c r="Q912" t="s">
        <v>620</v>
      </c>
      <c r="R912" t="s">
        <v>15935</v>
      </c>
      <c r="U912" t="s">
        <v>12797</v>
      </c>
      <c r="X912">
        <v>0</v>
      </c>
    </row>
    <row r="913" spans="1:24" x14ac:dyDescent="0.25">
      <c r="A913" s="234">
        <v>43577</v>
      </c>
      <c r="B913" t="s">
        <v>13559</v>
      </c>
      <c r="C913" t="s">
        <v>3523</v>
      </c>
      <c r="D913" t="s">
        <v>14673</v>
      </c>
      <c r="F913" t="s">
        <v>15148</v>
      </c>
      <c r="G913" t="s">
        <v>256</v>
      </c>
      <c r="H913" t="s">
        <v>886</v>
      </c>
      <c r="I913" t="s">
        <v>15149</v>
      </c>
      <c r="J913" t="s">
        <v>3523</v>
      </c>
      <c r="K913" t="s">
        <v>15150</v>
      </c>
      <c r="L913">
        <v>4</v>
      </c>
      <c r="M913" s="134">
        <v>198000</v>
      </c>
      <c r="N913" s="134">
        <v>280000</v>
      </c>
      <c r="O913" t="s">
        <v>10766</v>
      </c>
      <c r="P913" t="s">
        <v>15151</v>
      </c>
      <c r="Q913" t="s">
        <v>29</v>
      </c>
      <c r="R913" t="s">
        <v>15152</v>
      </c>
      <c r="U913" t="s">
        <v>491</v>
      </c>
      <c r="X913">
        <v>1</v>
      </c>
    </row>
    <row r="914" spans="1:24" x14ac:dyDescent="0.25">
      <c r="A914" s="234">
        <v>43571</v>
      </c>
      <c r="B914" t="s">
        <v>328</v>
      </c>
      <c r="C914" t="s">
        <v>603</v>
      </c>
      <c r="D914" t="s">
        <v>1401</v>
      </c>
      <c r="F914" t="s">
        <v>645</v>
      </c>
      <c r="G914" t="s">
        <v>15086</v>
      </c>
      <c r="H914" t="s">
        <v>607</v>
      </c>
      <c r="I914" t="s">
        <v>15087</v>
      </c>
      <c r="J914" t="s">
        <v>3612</v>
      </c>
      <c r="K914" t="s">
        <v>15088</v>
      </c>
      <c r="M914" s="134">
        <v>198000</v>
      </c>
      <c r="N914" s="134">
        <v>340000</v>
      </c>
      <c r="O914" t="s">
        <v>10762</v>
      </c>
      <c r="P914" t="s">
        <v>15089</v>
      </c>
      <c r="Q914" t="s">
        <v>1939</v>
      </c>
      <c r="R914" t="s">
        <v>15090</v>
      </c>
      <c r="S914" t="s">
        <v>15080</v>
      </c>
      <c r="U914" t="s">
        <v>491</v>
      </c>
      <c r="X914">
        <v>0</v>
      </c>
    </row>
    <row r="915" spans="1:24" x14ac:dyDescent="0.25">
      <c r="A915" s="234">
        <v>43126</v>
      </c>
      <c r="B915" t="s">
        <v>328</v>
      </c>
      <c r="C915" t="s">
        <v>603</v>
      </c>
      <c r="D915" t="s">
        <v>7595</v>
      </c>
      <c r="E915" t="s">
        <v>588</v>
      </c>
      <c r="F915" t="s">
        <v>10134</v>
      </c>
      <c r="G915" t="s">
        <v>7714</v>
      </c>
      <c r="H915" t="s">
        <v>607</v>
      </c>
      <c r="I915" t="s">
        <v>10133</v>
      </c>
      <c r="J915" t="s">
        <v>3751</v>
      </c>
      <c r="L915">
        <v>5</v>
      </c>
      <c r="M915" s="134">
        <v>198283</v>
      </c>
      <c r="N915" s="134">
        <v>356909</v>
      </c>
      <c r="O915" t="s">
        <v>4533</v>
      </c>
      <c r="P915" t="s">
        <v>10132</v>
      </c>
      <c r="Q915" t="s">
        <v>1939</v>
      </c>
      <c r="R915" t="s">
        <v>10131</v>
      </c>
      <c r="U915" t="s">
        <v>1327</v>
      </c>
      <c r="X915">
        <v>0</v>
      </c>
    </row>
    <row r="916" spans="1:24" x14ac:dyDescent="0.25">
      <c r="A916" s="234">
        <v>42495</v>
      </c>
      <c r="B916" t="s">
        <v>328</v>
      </c>
      <c r="C916" t="s">
        <v>603</v>
      </c>
      <c r="D916" t="s">
        <v>1471</v>
      </c>
      <c r="E916" t="s">
        <v>588</v>
      </c>
      <c r="F916" t="s">
        <v>1948</v>
      </c>
      <c r="H916" t="s">
        <v>905</v>
      </c>
      <c r="I916" t="s">
        <v>1949</v>
      </c>
      <c r="M916" s="134">
        <v>199000</v>
      </c>
      <c r="N916" s="134">
        <v>238800</v>
      </c>
      <c r="O916" t="s">
        <v>1950</v>
      </c>
      <c r="P916" t="s">
        <v>1951</v>
      </c>
      <c r="Q916" t="s">
        <v>1612</v>
      </c>
      <c r="R916" t="s">
        <v>1952</v>
      </c>
      <c r="S916" t="s">
        <v>2041</v>
      </c>
      <c r="U916" t="s">
        <v>491</v>
      </c>
      <c r="X916">
        <v>0</v>
      </c>
    </row>
    <row r="917" spans="1:24" x14ac:dyDescent="0.25">
      <c r="A917" s="234">
        <v>42839</v>
      </c>
      <c r="B917" t="s">
        <v>5176</v>
      </c>
      <c r="D917" t="s">
        <v>595</v>
      </c>
      <c r="E917" t="s">
        <v>692</v>
      </c>
      <c r="F917" t="s">
        <v>6438</v>
      </c>
      <c r="H917" t="s">
        <v>905</v>
      </c>
      <c r="I917" t="s">
        <v>106</v>
      </c>
      <c r="J917" t="s">
        <v>761</v>
      </c>
      <c r="L917">
        <v>2</v>
      </c>
      <c r="M917" s="134">
        <v>200000</v>
      </c>
      <c r="N917" s="134">
        <v>0</v>
      </c>
      <c r="O917" t="s">
        <v>1171</v>
      </c>
      <c r="P917" t="s">
        <v>6439</v>
      </c>
      <c r="Q917" t="s">
        <v>620</v>
      </c>
      <c r="R917" t="s">
        <v>6440</v>
      </c>
      <c r="U917" t="s">
        <v>491</v>
      </c>
      <c r="X917">
        <v>0</v>
      </c>
    </row>
    <row r="918" spans="1:24" x14ac:dyDescent="0.25">
      <c r="A918" s="234">
        <v>43343</v>
      </c>
      <c r="B918" t="s">
        <v>328</v>
      </c>
      <c r="C918" t="s">
        <v>603</v>
      </c>
      <c r="D918" t="s">
        <v>8941</v>
      </c>
      <c r="E918" t="s">
        <v>588</v>
      </c>
      <c r="F918" t="s">
        <v>12447</v>
      </c>
      <c r="G918" t="s">
        <v>4118</v>
      </c>
      <c r="H918" t="s">
        <v>10831</v>
      </c>
      <c r="I918" t="s">
        <v>12448</v>
      </c>
      <c r="J918" t="s">
        <v>6329</v>
      </c>
      <c r="L918">
        <v>10</v>
      </c>
      <c r="M918" s="134">
        <v>200000</v>
      </c>
      <c r="N918" s="134">
        <v>200000</v>
      </c>
      <c r="O918" t="s">
        <v>7124</v>
      </c>
      <c r="P918" t="s">
        <v>12449</v>
      </c>
      <c r="Q918" t="s">
        <v>592</v>
      </c>
      <c r="R918" t="s">
        <v>12450</v>
      </c>
      <c r="U918" t="s">
        <v>491</v>
      </c>
      <c r="X918">
        <v>0</v>
      </c>
    </row>
    <row r="919" spans="1:24" x14ac:dyDescent="0.25">
      <c r="A919" s="234">
        <v>42794</v>
      </c>
      <c r="B919" t="s">
        <v>569</v>
      </c>
      <c r="D919" t="s">
        <v>625</v>
      </c>
      <c r="E919" t="s">
        <v>588</v>
      </c>
      <c r="F919" t="s">
        <v>5815</v>
      </c>
      <c r="H919" t="s">
        <v>809</v>
      </c>
      <c r="I919" t="s">
        <v>2054</v>
      </c>
      <c r="J919" t="s">
        <v>899</v>
      </c>
      <c r="L919">
        <v>2</v>
      </c>
      <c r="M919" s="134">
        <v>200000</v>
      </c>
      <c r="N919" s="134">
        <v>200000</v>
      </c>
      <c r="O919" t="s">
        <v>5816</v>
      </c>
      <c r="P919" t="s">
        <v>5817</v>
      </c>
      <c r="Q919" t="s">
        <v>1939</v>
      </c>
      <c r="R919" t="s">
        <v>5818</v>
      </c>
      <c r="U919" t="s">
        <v>491</v>
      </c>
      <c r="X919">
        <v>0</v>
      </c>
    </row>
    <row r="920" spans="1:24" x14ac:dyDescent="0.25">
      <c r="A920" s="234">
        <v>42956</v>
      </c>
      <c r="B920" t="s">
        <v>643</v>
      </c>
      <c r="C920" t="s">
        <v>644</v>
      </c>
      <c r="D920" t="s">
        <v>645</v>
      </c>
      <c r="E920" t="s">
        <v>588</v>
      </c>
      <c r="F920" t="s">
        <v>497</v>
      </c>
      <c r="G920" t="s">
        <v>8069</v>
      </c>
      <c r="H920" t="s">
        <v>886</v>
      </c>
      <c r="I920" t="s">
        <v>8070</v>
      </c>
      <c r="J920" t="s">
        <v>644</v>
      </c>
      <c r="M920" s="134">
        <v>200000</v>
      </c>
      <c r="N920" s="134">
        <v>200000</v>
      </c>
      <c r="O920" t="s">
        <v>5234</v>
      </c>
      <c r="P920" t="s">
        <v>8405</v>
      </c>
      <c r="Q920" t="s">
        <v>29</v>
      </c>
      <c r="R920" t="s">
        <v>8071</v>
      </c>
      <c r="T920">
        <v>30</v>
      </c>
      <c r="U920" t="s">
        <v>491</v>
      </c>
      <c r="X920">
        <v>1</v>
      </c>
    </row>
    <row r="921" spans="1:24" x14ac:dyDescent="0.25">
      <c r="A921" s="234">
        <v>42437</v>
      </c>
      <c r="B921" t="s">
        <v>594</v>
      </c>
      <c r="C921" t="s">
        <v>604</v>
      </c>
      <c r="D921" t="s">
        <v>727</v>
      </c>
      <c r="E921" t="s">
        <v>588</v>
      </c>
      <c r="F921" t="s">
        <v>1236</v>
      </c>
      <c r="H921" t="s">
        <v>1050</v>
      </c>
      <c r="I921" t="s">
        <v>1237</v>
      </c>
      <c r="M921" s="134">
        <v>200000</v>
      </c>
      <c r="N921" s="134">
        <v>200000</v>
      </c>
      <c r="O921" t="s">
        <v>1238</v>
      </c>
      <c r="P921" t="s">
        <v>1239</v>
      </c>
      <c r="Q921" t="s">
        <v>592</v>
      </c>
      <c r="R921" t="s">
        <v>1245</v>
      </c>
      <c r="U921" t="s">
        <v>491</v>
      </c>
      <c r="X921">
        <v>0</v>
      </c>
    </row>
    <row r="922" spans="1:24" x14ac:dyDescent="0.25">
      <c r="A922" s="234">
        <v>42893</v>
      </c>
      <c r="B922" t="s">
        <v>328</v>
      </c>
      <c r="C922" t="s">
        <v>603</v>
      </c>
      <c r="D922" t="s">
        <v>1401</v>
      </c>
      <c r="E922" t="s">
        <v>588</v>
      </c>
      <c r="F922" t="s">
        <v>7099</v>
      </c>
      <c r="H922" t="s">
        <v>3095</v>
      </c>
      <c r="I922" t="s">
        <v>3776</v>
      </c>
      <c r="J922" t="s">
        <v>3373</v>
      </c>
      <c r="M922" s="134">
        <v>200000</v>
      </c>
      <c r="N922" s="134">
        <v>210000</v>
      </c>
      <c r="O922" t="s">
        <v>6522</v>
      </c>
      <c r="P922" t="s">
        <v>7100</v>
      </c>
      <c r="Q922" t="s">
        <v>592</v>
      </c>
      <c r="R922" t="s">
        <v>7114</v>
      </c>
      <c r="U922" t="s">
        <v>491</v>
      </c>
      <c r="X922">
        <v>0</v>
      </c>
    </row>
    <row r="923" spans="1:24" x14ac:dyDescent="0.25">
      <c r="A923" s="234">
        <v>42761</v>
      </c>
      <c r="B923" t="s">
        <v>5176</v>
      </c>
      <c r="D923" t="s">
        <v>732</v>
      </c>
      <c r="E923" t="s">
        <v>588</v>
      </c>
      <c r="F923" t="s">
        <v>5476</v>
      </c>
      <c r="H923" t="s">
        <v>5477</v>
      </c>
      <c r="I923" t="s">
        <v>5478</v>
      </c>
      <c r="J923" t="s">
        <v>959</v>
      </c>
      <c r="L923" t="s">
        <v>5302</v>
      </c>
      <c r="M923" s="134">
        <v>200000</v>
      </c>
      <c r="N923" s="134">
        <v>220000</v>
      </c>
      <c r="O923" t="s">
        <v>5479</v>
      </c>
      <c r="P923" t="s">
        <v>5480</v>
      </c>
      <c r="Q923" t="s">
        <v>1939</v>
      </c>
      <c r="R923" t="s">
        <v>5481</v>
      </c>
      <c r="U923" t="s">
        <v>491</v>
      </c>
      <c r="X923">
        <v>0</v>
      </c>
    </row>
    <row r="924" spans="1:24" x14ac:dyDescent="0.25">
      <c r="A924" s="234">
        <v>42886</v>
      </c>
      <c r="B924" t="s">
        <v>328</v>
      </c>
      <c r="C924" t="s">
        <v>603</v>
      </c>
      <c r="D924" t="s">
        <v>2397</v>
      </c>
      <c r="E924" t="s">
        <v>588</v>
      </c>
      <c r="F924" t="s">
        <v>6991</v>
      </c>
      <c r="H924" t="s">
        <v>905</v>
      </c>
      <c r="I924" t="s">
        <v>6992</v>
      </c>
      <c r="J924" t="s">
        <v>603</v>
      </c>
      <c r="L924">
        <v>3</v>
      </c>
      <c r="M924" s="134">
        <v>200000</v>
      </c>
      <c r="N924" s="134">
        <v>220000</v>
      </c>
      <c r="O924" t="s">
        <v>6993</v>
      </c>
      <c r="P924" t="s">
        <v>6994</v>
      </c>
      <c r="Q924" t="s">
        <v>29</v>
      </c>
      <c r="U924" t="s">
        <v>491</v>
      </c>
      <c r="X924">
        <v>1</v>
      </c>
    </row>
    <row r="925" spans="1:24" x14ac:dyDescent="0.25">
      <c r="A925" s="234">
        <v>42934</v>
      </c>
      <c r="B925" t="s">
        <v>328</v>
      </c>
      <c r="C925" t="s">
        <v>603</v>
      </c>
      <c r="D925" t="s">
        <v>649</v>
      </c>
      <c r="E925" t="s">
        <v>588</v>
      </c>
      <c r="F925" t="s">
        <v>7707</v>
      </c>
      <c r="G925" t="s">
        <v>7708</v>
      </c>
      <c r="H925" t="s">
        <v>905</v>
      </c>
      <c r="I925" t="s">
        <v>7659</v>
      </c>
      <c r="J925" t="s">
        <v>5610</v>
      </c>
      <c r="L925">
        <v>10</v>
      </c>
      <c r="M925" s="134">
        <v>200000</v>
      </c>
      <c r="N925" s="134">
        <v>220000</v>
      </c>
      <c r="O925" t="s">
        <v>7656</v>
      </c>
      <c r="P925" t="s">
        <v>7660</v>
      </c>
      <c r="Q925" t="s">
        <v>29</v>
      </c>
      <c r="R925" t="s">
        <v>7709</v>
      </c>
      <c r="U925" t="s">
        <v>491</v>
      </c>
      <c r="X925">
        <v>1</v>
      </c>
    </row>
    <row r="926" spans="1:24" x14ac:dyDescent="0.25">
      <c r="A926" s="234">
        <v>43059</v>
      </c>
      <c r="B926" t="s">
        <v>328</v>
      </c>
      <c r="C926" t="s">
        <v>603</v>
      </c>
      <c r="D926" t="s">
        <v>5701</v>
      </c>
      <c r="E926" t="s">
        <v>588</v>
      </c>
      <c r="F926" t="s">
        <v>9517</v>
      </c>
      <c r="G926" t="s">
        <v>5096</v>
      </c>
      <c r="H926" t="s">
        <v>905</v>
      </c>
      <c r="I926" t="s">
        <v>9518</v>
      </c>
      <c r="J926" t="s">
        <v>3751</v>
      </c>
      <c r="L926">
        <v>6</v>
      </c>
      <c r="M926" s="134">
        <v>200000</v>
      </c>
      <c r="N926" s="134">
        <v>220000</v>
      </c>
      <c r="O926" t="s">
        <v>33</v>
      </c>
      <c r="P926" t="s">
        <v>9519</v>
      </c>
      <c r="Q926" t="s">
        <v>1939</v>
      </c>
      <c r="R926" t="s">
        <v>9520</v>
      </c>
      <c r="U926" t="s">
        <v>1327</v>
      </c>
      <c r="X926">
        <v>0</v>
      </c>
    </row>
    <row r="927" spans="1:24" x14ac:dyDescent="0.25">
      <c r="A927" s="234">
        <v>43013</v>
      </c>
      <c r="B927" t="s">
        <v>328</v>
      </c>
      <c r="C927" t="s">
        <v>899</v>
      </c>
      <c r="D927" t="s">
        <v>649</v>
      </c>
      <c r="E927" t="s">
        <v>588</v>
      </c>
      <c r="F927" t="s">
        <v>8900</v>
      </c>
      <c r="H927" t="s">
        <v>8901</v>
      </c>
      <c r="I927" t="s">
        <v>8902</v>
      </c>
      <c r="J927" t="s">
        <v>4785</v>
      </c>
      <c r="L927">
        <v>6</v>
      </c>
      <c r="M927" s="134">
        <v>200000</v>
      </c>
      <c r="N927" s="134">
        <v>225000</v>
      </c>
      <c r="O927" t="s">
        <v>754</v>
      </c>
      <c r="P927" t="s">
        <v>8904</v>
      </c>
      <c r="Q927" t="s">
        <v>592</v>
      </c>
      <c r="R927" t="s">
        <v>833</v>
      </c>
      <c r="S927" t="s">
        <v>8903</v>
      </c>
      <c r="T927">
        <v>24</v>
      </c>
      <c r="U927" t="s">
        <v>491</v>
      </c>
      <c r="X927">
        <v>0</v>
      </c>
    </row>
    <row r="928" spans="1:24" x14ac:dyDescent="0.25">
      <c r="A928" s="234">
        <v>42804</v>
      </c>
      <c r="B928" t="s">
        <v>328</v>
      </c>
      <c r="C928" t="s">
        <v>603</v>
      </c>
      <c r="D928" t="s">
        <v>1401</v>
      </c>
      <c r="E928" t="s">
        <v>588</v>
      </c>
      <c r="F928" t="s">
        <v>5931</v>
      </c>
      <c r="H928" t="s">
        <v>2206</v>
      </c>
      <c r="I928" t="s">
        <v>5932</v>
      </c>
      <c r="J928" t="s">
        <v>604</v>
      </c>
      <c r="L928">
        <v>3</v>
      </c>
      <c r="M928" s="134">
        <v>200000</v>
      </c>
      <c r="N928" s="134">
        <v>240000</v>
      </c>
      <c r="O928" t="s">
        <v>5934</v>
      </c>
      <c r="P928" t="s">
        <v>5938</v>
      </c>
      <c r="Q928" t="s">
        <v>1939</v>
      </c>
      <c r="R928" t="s">
        <v>5933</v>
      </c>
      <c r="U928" t="s">
        <v>2227</v>
      </c>
      <c r="X928">
        <v>0</v>
      </c>
    </row>
    <row r="929" spans="1:24" x14ac:dyDescent="0.25">
      <c r="A929" s="234">
        <v>42649</v>
      </c>
      <c r="B929" t="s">
        <v>1486</v>
      </c>
      <c r="C929" t="s">
        <v>1883</v>
      </c>
      <c r="D929" t="s">
        <v>595</v>
      </c>
      <c r="E929" t="s">
        <v>588</v>
      </c>
      <c r="F929" t="s">
        <v>4199</v>
      </c>
      <c r="H929" t="s">
        <v>886</v>
      </c>
      <c r="I929" t="s">
        <v>4200</v>
      </c>
      <c r="J929" t="s">
        <v>959</v>
      </c>
      <c r="L929">
        <v>4</v>
      </c>
      <c r="M929" s="134">
        <v>200000</v>
      </c>
      <c r="N929" s="134">
        <v>290000</v>
      </c>
      <c r="O929" t="s">
        <v>4201</v>
      </c>
      <c r="P929" t="s">
        <v>4202</v>
      </c>
      <c r="Q929" t="s">
        <v>592</v>
      </c>
      <c r="U929" t="s">
        <v>491</v>
      </c>
      <c r="X929">
        <v>0</v>
      </c>
    </row>
    <row r="930" spans="1:24" x14ac:dyDescent="0.25">
      <c r="A930" s="234">
        <v>43348</v>
      </c>
      <c r="B930" t="s">
        <v>328</v>
      </c>
      <c r="C930" t="s">
        <v>603</v>
      </c>
      <c r="D930" t="s">
        <v>1401</v>
      </c>
      <c r="E930" t="s">
        <v>588</v>
      </c>
      <c r="F930" t="s">
        <v>12521</v>
      </c>
      <c r="G930" t="s">
        <v>256</v>
      </c>
      <c r="H930" t="s">
        <v>10832</v>
      </c>
      <c r="I930" t="s">
        <v>12522</v>
      </c>
      <c r="J930" t="s">
        <v>4458</v>
      </c>
      <c r="L930">
        <v>10</v>
      </c>
      <c r="M930" s="134">
        <v>200000</v>
      </c>
      <c r="N930" s="134">
        <v>295000</v>
      </c>
      <c r="O930" t="s">
        <v>7124</v>
      </c>
      <c r="P930" t="s">
        <v>12524</v>
      </c>
      <c r="Q930" t="s">
        <v>620</v>
      </c>
      <c r="R930" t="s">
        <v>12523</v>
      </c>
      <c r="U930" t="s">
        <v>12344</v>
      </c>
      <c r="X930">
        <v>0</v>
      </c>
    </row>
    <row r="931" spans="1:24" x14ac:dyDescent="0.25">
      <c r="A931" s="234">
        <v>43304</v>
      </c>
      <c r="B931" t="s">
        <v>328</v>
      </c>
      <c r="C931" t="s">
        <v>603</v>
      </c>
      <c r="D931" t="s">
        <v>1401</v>
      </c>
      <c r="E931" t="s">
        <v>588</v>
      </c>
      <c r="F931" t="s">
        <v>5096</v>
      </c>
      <c r="G931" t="s">
        <v>10007</v>
      </c>
      <c r="H931" t="s">
        <v>10831</v>
      </c>
      <c r="I931" t="s">
        <v>11867</v>
      </c>
      <c r="J931" t="s">
        <v>8194</v>
      </c>
      <c r="L931">
        <v>10</v>
      </c>
      <c r="M931" s="134">
        <v>200000</v>
      </c>
      <c r="N931" s="134">
        <v>298000</v>
      </c>
      <c r="O931" t="s">
        <v>7124</v>
      </c>
      <c r="P931" t="s">
        <v>12012</v>
      </c>
      <c r="Q931" t="s">
        <v>1939</v>
      </c>
      <c r="R931" t="s">
        <v>11868</v>
      </c>
      <c r="U931" t="s">
        <v>1327</v>
      </c>
      <c r="X931">
        <v>0</v>
      </c>
    </row>
    <row r="932" spans="1:24" x14ac:dyDescent="0.25">
      <c r="A932" s="234">
        <v>42949</v>
      </c>
      <c r="B932" t="s">
        <v>328</v>
      </c>
      <c r="C932" t="s">
        <v>603</v>
      </c>
      <c r="D932" t="s">
        <v>1401</v>
      </c>
      <c r="E932" t="s">
        <v>588</v>
      </c>
      <c r="F932" t="s">
        <v>7962</v>
      </c>
      <c r="G932" t="s">
        <v>2346</v>
      </c>
      <c r="H932" t="s">
        <v>722</v>
      </c>
      <c r="I932" t="s">
        <v>3518</v>
      </c>
      <c r="J932" t="s">
        <v>899</v>
      </c>
      <c r="L932">
        <v>6</v>
      </c>
      <c r="M932" s="134">
        <v>200000</v>
      </c>
      <c r="N932" s="134">
        <v>300000</v>
      </c>
      <c r="O932" t="s">
        <v>560</v>
      </c>
      <c r="P932" t="s">
        <v>7963</v>
      </c>
      <c r="Q932" t="s">
        <v>592</v>
      </c>
      <c r="S932" t="s">
        <v>7964</v>
      </c>
      <c r="T932">
        <v>15</v>
      </c>
      <c r="U932" t="s">
        <v>491</v>
      </c>
      <c r="X932">
        <v>0</v>
      </c>
    </row>
    <row r="933" spans="1:24" x14ac:dyDescent="0.25">
      <c r="A933" s="234">
        <v>43215</v>
      </c>
      <c r="B933" t="s">
        <v>5176</v>
      </c>
      <c r="C933" t="s">
        <v>604</v>
      </c>
      <c r="D933" t="s">
        <v>727</v>
      </c>
      <c r="E933" t="s">
        <v>588</v>
      </c>
      <c r="F933" t="s">
        <v>11055</v>
      </c>
      <c r="G933" t="s">
        <v>11056</v>
      </c>
      <c r="H933" t="s">
        <v>607</v>
      </c>
      <c r="I933" t="s">
        <v>11057</v>
      </c>
      <c r="J933" t="s">
        <v>4684</v>
      </c>
      <c r="L933">
        <v>9</v>
      </c>
      <c r="M933" s="134">
        <v>200000</v>
      </c>
      <c r="N933" s="134">
        <v>303000</v>
      </c>
      <c r="O933" t="s">
        <v>7124</v>
      </c>
      <c r="P933" t="s">
        <v>11058</v>
      </c>
      <c r="Q933" t="s">
        <v>1939</v>
      </c>
      <c r="R933" t="s">
        <v>11059</v>
      </c>
      <c r="U933" t="s">
        <v>1327</v>
      </c>
      <c r="X933">
        <v>0</v>
      </c>
    </row>
    <row r="934" spans="1:24" x14ac:dyDescent="0.25">
      <c r="A934" s="234">
        <v>43374</v>
      </c>
      <c r="B934" t="s">
        <v>569</v>
      </c>
      <c r="C934" t="s">
        <v>899</v>
      </c>
      <c r="D934" t="s">
        <v>625</v>
      </c>
      <c r="E934" t="s">
        <v>588</v>
      </c>
      <c r="F934" t="s">
        <v>351</v>
      </c>
      <c r="G934" t="s">
        <v>12784</v>
      </c>
      <c r="H934" t="s">
        <v>607</v>
      </c>
      <c r="I934" t="s">
        <v>3947</v>
      </c>
      <c r="J934" t="s">
        <v>899</v>
      </c>
      <c r="L934">
        <v>3</v>
      </c>
      <c r="M934" s="134">
        <v>200000</v>
      </c>
      <c r="N934" s="134">
        <v>320000</v>
      </c>
      <c r="O934" t="s">
        <v>10763</v>
      </c>
      <c r="P934" t="s">
        <v>12786</v>
      </c>
      <c r="Q934" t="s">
        <v>620</v>
      </c>
      <c r="R934" t="s">
        <v>12785</v>
      </c>
      <c r="U934" t="s">
        <v>12344</v>
      </c>
      <c r="X934">
        <v>0</v>
      </c>
    </row>
    <row r="935" spans="1:24" x14ac:dyDescent="0.25">
      <c r="A935" s="234">
        <v>42661</v>
      </c>
      <c r="B935" t="s">
        <v>643</v>
      </c>
      <c r="C935" t="s">
        <v>644</v>
      </c>
      <c r="D935" t="s">
        <v>3132</v>
      </c>
      <c r="E935" t="s">
        <v>588</v>
      </c>
      <c r="F935" t="s">
        <v>4364</v>
      </c>
      <c r="H935" t="s">
        <v>722</v>
      </c>
      <c r="I935" t="s">
        <v>4365</v>
      </c>
      <c r="J935" t="s">
        <v>644</v>
      </c>
      <c r="L935">
        <v>10</v>
      </c>
      <c r="M935" s="134">
        <v>200000</v>
      </c>
      <c r="N935" s="134">
        <v>320000</v>
      </c>
      <c r="O935" t="s">
        <v>4366</v>
      </c>
      <c r="P935" t="s">
        <v>4367</v>
      </c>
      <c r="Q935" t="s">
        <v>1939</v>
      </c>
      <c r="R935" t="s">
        <v>4422</v>
      </c>
      <c r="U935" t="s">
        <v>491</v>
      </c>
      <c r="X935">
        <v>0</v>
      </c>
    </row>
    <row r="936" spans="1:24" x14ac:dyDescent="0.25">
      <c r="A936" s="234">
        <v>43514</v>
      </c>
      <c r="B936" t="s">
        <v>328</v>
      </c>
      <c r="C936" t="s">
        <v>603</v>
      </c>
      <c r="D936" t="s">
        <v>10705</v>
      </c>
      <c r="F936" t="s">
        <v>8573</v>
      </c>
      <c r="G936" t="s">
        <v>10194</v>
      </c>
      <c r="H936" t="s">
        <v>607</v>
      </c>
      <c r="I936" t="s">
        <v>14415</v>
      </c>
      <c r="J936" t="s">
        <v>3373</v>
      </c>
      <c r="K936" t="s">
        <v>14416</v>
      </c>
      <c r="L936">
        <v>5</v>
      </c>
      <c r="M936" s="134">
        <v>200000</v>
      </c>
      <c r="N936" s="134">
        <v>340000</v>
      </c>
      <c r="O936" t="s">
        <v>10766</v>
      </c>
      <c r="P936" t="s">
        <v>14417</v>
      </c>
      <c r="Q936" t="s">
        <v>620</v>
      </c>
      <c r="R936" t="s">
        <v>14418</v>
      </c>
      <c r="S936" t="s">
        <v>14419</v>
      </c>
      <c r="U936" t="s">
        <v>491</v>
      </c>
      <c r="X936">
        <v>0</v>
      </c>
    </row>
    <row r="937" spans="1:24" x14ac:dyDescent="0.25">
      <c r="A937" s="234">
        <v>43070</v>
      </c>
      <c r="B937" t="s">
        <v>328</v>
      </c>
      <c r="C937" t="s">
        <v>603</v>
      </c>
      <c r="D937" t="s">
        <v>649</v>
      </c>
      <c r="E937" t="s">
        <v>588</v>
      </c>
      <c r="F937" t="s">
        <v>9595</v>
      </c>
      <c r="G937" t="s">
        <v>9596</v>
      </c>
      <c r="H937" t="s">
        <v>607</v>
      </c>
      <c r="J937" t="s">
        <v>3528</v>
      </c>
      <c r="L937">
        <v>6</v>
      </c>
      <c r="M937" s="134">
        <v>200000</v>
      </c>
      <c r="N937" s="134">
        <v>340000</v>
      </c>
      <c r="O937" t="s">
        <v>1844</v>
      </c>
      <c r="P937" t="s">
        <v>9597</v>
      </c>
      <c r="Q937" t="s">
        <v>1939</v>
      </c>
      <c r="R937" t="s">
        <v>9598</v>
      </c>
      <c r="U937" t="s">
        <v>1327</v>
      </c>
      <c r="X937">
        <v>0</v>
      </c>
    </row>
    <row r="938" spans="1:24" x14ac:dyDescent="0.25">
      <c r="A938" s="234">
        <v>42457</v>
      </c>
      <c r="B938" t="s">
        <v>328</v>
      </c>
      <c r="C938" t="s">
        <v>603</v>
      </c>
      <c r="D938" t="s">
        <v>649</v>
      </c>
      <c r="E938" t="s">
        <v>588</v>
      </c>
      <c r="F938" t="s">
        <v>1420</v>
      </c>
      <c r="H938" t="s">
        <v>607</v>
      </c>
      <c r="I938" t="s">
        <v>1421</v>
      </c>
      <c r="M938" s="134">
        <v>200000</v>
      </c>
      <c r="N938" s="134">
        <v>340000</v>
      </c>
      <c r="O938" t="s">
        <v>1422</v>
      </c>
      <c r="P938" t="s">
        <v>1423</v>
      </c>
      <c r="Q938" t="s">
        <v>592</v>
      </c>
      <c r="U938" t="s">
        <v>491</v>
      </c>
      <c r="X938">
        <v>0</v>
      </c>
    </row>
    <row r="939" spans="1:24" x14ac:dyDescent="0.25">
      <c r="A939" s="234">
        <v>43613</v>
      </c>
      <c r="B939" t="s">
        <v>13559</v>
      </c>
      <c r="C939" t="s">
        <v>3523</v>
      </c>
      <c r="D939" t="s">
        <v>14673</v>
      </c>
      <c r="F939" t="s">
        <v>15774</v>
      </c>
      <c r="G939" t="s">
        <v>9477</v>
      </c>
      <c r="H939" t="s">
        <v>607</v>
      </c>
      <c r="I939" t="s">
        <v>15775</v>
      </c>
      <c r="J939" t="s">
        <v>3523</v>
      </c>
      <c r="K939" t="s">
        <v>15776</v>
      </c>
      <c r="L939">
        <v>1</v>
      </c>
      <c r="M939" s="134">
        <v>200000</v>
      </c>
      <c r="N939" s="134">
        <v>344000</v>
      </c>
      <c r="O939" t="s">
        <v>10763</v>
      </c>
      <c r="P939" t="s">
        <v>15786</v>
      </c>
      <c r="Q939" t="s">
        <v>620</v>
      </c>
      <c r="R939" t="s">
        <v>15787</v>
      </c>
      <c r="U939" t="s">
        <v>491</v>
      </c>
      <c r="X939">
        <v>0</v>
      </c>
    </row>
    <row r="940" spans="1:24" x14ac:dyDescent="0.25">
      <c r="A940" s="234">
        <v>42576</v>
      </c>
      <c r="B940" t="s">
        <v>110</v>
      </c>
      <c r="C940" t="s">
        <v>833</v>
      </c>
      <c r="D940" t="s">
        <v>715</v>
      </c>
      <c r="E940" t="s">
        <v>588</v>
      </c>
      <c r="F940" t="s">
        <v>3005</v>
      </c>
      <c r="H940" t="s">
        <v>722</v>
      </c>
      <c r="I940" t="s">
        <v>3006</v>
      </c>
      <c r="M940" s="134">
        <v>200000</v>
      </c>
      <c r="N940" s="134">
        <v>360000</v>
      </c>
      <c r="O940" t="s">
        <v>840</v>
      </c>
      <c r="P940" t="s">
        <v>3007</v>
      </c>
      <c r="Q940" t="s">
        <v>1939</v>
      </c>
      <c r="R940" t="s">
        <v>3008</v>
      </c>
      <c r="U940" t="s">
        <v>491</v>
      </c>
      <c r="X940">
        <v>0</v>
      </c>
    </row>
    <row r="941" spans="1:24" x14ac:dyDescent="0.25">
      <c r="A941" s="234">
        <v>43517</v>
      </c>
      <c r="B941" t="s">
        <v>328</v>
      </c>
      <c r="C941" t="s">
        <v>603</v>
      </c>
      <c r="D941" t="s">
        <v>10705</v>
      </c>
      <c r="F941" t="s">
        <v>14472</v>
      </c>
      <c r="G941" t="s">
        <v>8263</v>
      </c>
      <c r="H941" t="s">
        <v>607</v>
      </c>
      <c r="I941" t="s">
        <v>14473</v>
      </c>
      <c r="J941" t="s">
        <v>603</v>
      </c>
      <c r="K941" t="s">
        <v>14474</v>
      </c>
      <c r="L941">
        <v>4</v>
      </c>
      <c r="M941" s="134">
        <v>200000</v>
      </c>
      <c r="N941" s="134">
        <v>380000</v>
      </c>
      <c r="O941" t="s">
        <v>4533</v>
      </c>
      <c r="P941" t="s">
        <v>14475</v>
      </c>
      <c r="Q941" t="s">
        <v>620</v>
      </c>
      <c r="R941" t="s">
        <v>14476</v>
      </c>
      <c r="U941" t="s">
        <v>12797</v>
      </c>
      <c r="X941">
        <v>0</v>
      </c>
    </row>
    <row r="942" spans="1:24" x14ac:dyDescent="0.25">
      <c r="A942" s="234">
        <v>42808</v>
      </c>
      <c r="B942" t="s">
        <v>328</v>
      </c>
      <c r="C942" t="s">
        <v>603</v>
      </c>
      <c r="D942" t="s">
        <v>5701</v>
      </c>
      <c r="E942" t="s">
        <v>588</v>
      </c>
      <c r="F942" t="s">
        <v>5945</v>
      </c>
      <c r="H942" t="s">
        <v>607</v>
      </c>
      <c r="I942" t="s">
        <v>5946</v>
      </c>
      <c r="J942" t="s">
        <v>3612</v>
      </c>
      <c r="L942">
        <v>5</v>
      </c>
      <c r="M942" s="134">
        <v>200000</v>
      </c>
      <c r="N942" s="134">
        <v>400000</v>
      </c>
      <c r="O942" t="s">
        <v>3107</v>
      </c>
      <c r="P942" t="s">
        <v>5947</v>
      </c>
      <c r="Q942" t="s">
        <v>1939</v>
      </c>
      <c r="R942" t="s">
        <v>5948</v>
      </c>
      <c r="U942" t="s">
        <v>491</v>
      </c>
      <c r="X942">
        <v>0</v>
      </c>
    </row>
    <row r="943" spans="1:24" x14ac:dyDescent="0.25">
      <c r="A943" s="234">
        <v>43209</v>
      </c>
      <c r="B943" t="s">
        <v>9240</v>
      </c>
      <c r="C943" t="s">
        <v>603</v>
      </c>
      <c r="D943" t="s">
        <v>9241</v>
      </c>
      <c r="E943" t="s">
        <v>588</v>
      </c>
      <c r="F943" t="s">
        <v>11005</v>
      </c>
      <c r="G943" t="s">
        <v>11004</v>
      </c>
      <c r="H943" t="s">
        <v>5321</v>
      </c>
      <c r="J943" t="s">
        <v>603</v>
      </c>
      <c r="L943">
        <v>4</v>
      </c>
      <c r="M943" s="134">
        <v>200000</v>
      </c>
      <c r="N943" s="134">
        <v>409275</v>
      </c>
      <c r="O943" t="s">
        <v>10766</v>
      </c>
      <c r="P943" t="s">
        <v>11003</v>
      </c>
      <c r="Q943" t="s">
        <v>1939</v>
      </c>
      <c r="R943" t="s">
        <v>11002</v>
      </c>
      <c r="U943" t="s">
        <v>1327</v>
      </c>
      <c r="X943">
        <v>0</v>
      </c>
    </row>
    <row r="944" spans="1:24" x14ac:dyDescent="0.25">
      <c r="A944" s="234">
        <v>42545</v>
      </c>
      <c r="B944" t="s">
        <v>328</v>
      </c>
      <c r="C944" t="s">
        <v>603</v>
      </c>
      <c r="D944" t="s">
        <v>1471</v>
      </c>
      <c r="E944" t="s">
        <v>588</v>
      </c>
      <c r="F944" t="s">
        <v>2665</v>
      </c>
      <c r="H944" t="s">
        <v>607</v>
      </c>
      <c r="I944" t="s">
        <v>2666</v>
      </c>
      <c r="M944" s="134">
        <v>200000</v>
      </c>
      <c r="N944" s="134">
        <v>410000</v>
      </c>
      <c r="O944" t="s">
        <v>2667</v>
      </c>
      <c r="P944" t="s">
        <v>2668</v>
      </c>
      <c r="Q944" t="s">
        <v>29</v>
      </c>
      <c r="U944" t="s">
        <v>491</v>
      </c>
      <c r="X944">
        <v>1</v>
      </c>
    </row>
    <row r="945" spans="1:24" x14ac:dyDescent="0.25">
      <c r="A945" s="234">
        <v>43152</v>
      </c>
      <c r="B945" t="s">
        <v>328</v>
      </c>
      <c r="C945" t="s">
        <v>603</v>
      </c>
      <c r="D945" t="s">
        <v>2204</v>
      </c>
      <c r="E945" t="s">
        <v>588</v>
      </c>
      <c r="F945" t="s">
        <v>134</v>
      </c>
      <c r="G945" t="s">
        <v>8126</v>
      </c>
      <c r="H945" t="s">
        <v>607</v>
      </c>
      <c r="J945" t="s">
        <v>3751</v>
      </c>
      <c r="L945">
        <v>9</v>
      </c>
      <c r="M945" s="134">
        <v>200000</v>
      </c>
      <c r="N945" s="134">
        <v>490000</v>
      </c>
      <c r="O945" t="s">
        <v>4533</v>
      </c>
      <c r="P945" t="s">
        <v>10387</v>
      </c>
      <c r="Q945" t="s">
        <v>1939</v>
      </c>
      <c r="R945" t="s">
        <v>10388</v>
      </c>
      <c r="U945" t="s">
        <v>1327</v>
      </c>
      <c r="X945">
        <v>0</v>
      </c>
    </row>
    <row r="946" spans="1:24" x14ac:dyDescent="0.25">
      <c r="A946" s="234">
        <v>42390</v>
      </c>
      <c r="B946" t="s">
        <v>328</v>
      </c>
      <c r="C946" t="s">
        <v>603</v>
      </c>
      <c r="D946" t="s">
        <v>649</v>
      </c>
      <c r="E946" t="s">
        <v>692</v>
      </c>
      <c r="F946" t="s">
        <v>793</v>
      </c>
      <c r="H946" t="s">
        <v>722</v>
      </c>
      <c r="I946" t="s">
        <v>794</v>
      </c>
      <c r="M946" s="134">
        <v>200000</v>
      </c>
      <c r="N946" s="134">
        <v>520000</v>
      </c>
      <c r="O946" t="s">
        <v>795</v>
      </c>
      <c r="P946" t="s">
        <v>796</v>
      </c>
      <c r="Q946" t="s">
        <v>592</v>
      </c>
      <c r="R946" t="s">
        <v>1188</v>
      </c>
      <c r="U946" t="s">
        <v>491</v>
      </c>
      <c r="X946">
        <v>0</v>
      </c>
    </row>
    <row r="947" spans="1:24" x14ac:dyDescent="0.25">
      <c r="A947" s="234">
        <v>43238</v>
      </c>
      <c r="B947" t="s">
        <v>1788</v>
      </c>
      <c r="C947" t="s">
        <v>3369</v>
      </c>
      <c r="D947" t="s">
        <v>1789</v>
      </c>
      <c r="E947" t="s">
        <v>588</v>
      </c>
      <c r="F947" t="s">
        <v>11262</v>
      </c>
      <c r="H947" t="s">
        <v>607</v>
      </c>
      <c r="I947" t="s">
        <v>11263</v>
      </c>
      <c r="J947" t="s">
        <v>3617</v>
      </c>
      <c r="M947" s="134">
        <v>200000</v>
      </c>
      <c r="N947" s="134">
        <v>560000</v>
      </c>
      <c r="O947" t="s">
        <v>4533</v>
      </c>
      <c r="P947" t="s">
        <v>11264</v>
      </c>
      <c r="Q947" t="s">
        <v>29</v>
      </c>
      <c r="R947" t="s">
        <v>11265</v>
      </c>
      <c r="U947" t="s">
        <v>491</v>
      </c>
      <c r="X947">
        <v>1</v>
      </c>
    </row>
    <row r="948" spans="1:24" x14ac:dyDescent="0.25">
      <c r="A948" s="234">
        <v>42958</v>
      </c>
      <c r="B948" t="s">
        <v>643</v>
      </c>
      <c r="C948" t="s">
        <v>644</v>
      </c>
      <c r="D948" t="s">
        <v>645</v>
      </c>
      <c r="E948" t="s">
        <v>588</v>
      </c>
      <c r="F948" t="s">
        <v>8120</v>
      </c>
      <c r="G948" t="s">
        <v>8121</v>
      </c>
      <c r="H948" t="s">
        <v>6536</v>
      </c>
      <c r="I948" t="s">
        <v>8122</v>
      </c>
      <c r="J948" t="s">
        <v>644</v>
      </c>
      <c r="L948">
        <v>3</v>
      </c>
      <c r="M948" s="134">
        <v>200000</v>
      </c>
      <c r="N948" s="134">
        <v>3000000</v>
      </c>
      <c r="O948" t="s">
        <v>560</v>
      </c>
      <c r="P948" t="s">
        <v>8123</v>
      </c>
      <c r="Q948" t="s">
        <v>1939</v>
      </c>
      <c r="R948" t="s">
        <v>8124</v>
      </c>
      <c r="S948" t="s">
        <v>8125</v>
      </c>
      <c r="T948">
        <v>32</v>
      </c>
      <c r="U948" t="s">
        <v>491</v>
      </c>
      <c r="X948">
        <v>0</v>
      </c>
    </row>
    <row r="949" spans="1:24" x14ac:dyDescent="0.25">
      <c r="A949" s="234">
        <v>42992</v>
      </c>
      <c r="B949" t="s">
        <v>643</v>
      </c>
      <c r="C949" t="s">
        <v>644</v>
      </c>
      <c r="D949" t="s">
        <v>3132</v>
      </c>
      <c r="E949" t="s">
        <v>588</v>
      </c>
      <c r="F949" t="s">
        <v>8560</v>
      </c>
      <c r="H949" t="s">
        <v>607</v>
      </c>
      <c r="I949" t="s">
        <v>3649</v>
      </c>
      <c r="J949" t="s">
        <v>899</v>
      </c>
      <c r="L949">
        <v>4</v>
      </c>
      <c r="M949" s="134">
        <v>200000</v>
      </c>
      <c r="N949" s="134">
        <v>3150000</v>
      </c>
      <c r="O949" t="s">
        <v>560</v>
      </c>
      <c r="P949" t="s">
        <v>8561</v>
      </c>
      <c r="Q949" t="s">
        <v>592</v>
      </c>
      <c r="T949">
        <v>21</v>
      </c>
      <c r="U949" t="s">
        <v>491</v>
      </c>
      <c r="X949">
        <v>0</v>
      </c>
    </row>
    <row r="950" spans="1:24" x14ac:dyDescent="0.25">
      <c r="A950" s="234">
        <v>42927</v>
      </c>
      <c r="B950" t="s">
        <v>328</v>
      </c>
      <c r="C950" t="s">
        <v>603</v>
      </c>
      <c r="D950" t="s">
        <v>649</v>
      </c>
      <c r="E950" t="s">
        <v>588</v>
      </c>
      <c r="F950" t="s">
        <v>7576</v>
      </c>
      <c r="H950" t="s">
        <v>607</v>
      </c>
      <c r="I950" t="s">
        <v>5888</v>
      </c>
      <c r="J950" t="s">
        <v>3373</v>
      </c>
      <c r="L950">
        <v>5</v>
      </c>
      <c r="M950" s="134">
        <v>200000</v>
      </c>
      <c r="N950" s="134">
        <v>3600000</v>
      </c>
      <c r="O950" t="s">
        <v>560</v>
      </c>
      <c r="P950" t="s">
        <v>7575</v>
      </c>
      <c r="Q950" t="s">
        <v>1939</v>
      </c>
      <c r="R950" t="s">
        <v>7574</v>
      </c>
      <c r="U950" t="s">
        <v>2227</v>
      </c>
      <c r="X950">
        <v>0</v>
      </c>
    </row>
    <row r="951" spans="1:24" x14ac:dyDescent="0.25">
      <c r="A951" s="234">
        <v>43006</v>
      </c>
      <c r="B951" t="s">
        <v>643</v>
      </c>
      <c r="C951" t="s">
        <v>644</v>
      </c>
      <c r="D951" t="s">
        <v>645</v>
      </c>
      <c r="E951" t="s">
        <v>588</v>
      </c>
      <c r="F951" t="s">
        <v>8789</v>
      </c>
      <c r="G951" t="s">
        <v>7814</v>
      </c>
      <c r="H951" t="s">
        <v>1391</v>
      </c>
      <c r="I951" t="s">
        <v>4002</v>
      </c>
      <c r="J951" t="s">
        <v>644</v>
      </c>
      <c r="L951">
        <v>10</v>
      </c>
      <c r="M951" s="134">
        <v>200000</v>
      </c>
      <c r="N951" s="134">
        <v>4440000</v>
      </c>
      <c r="O951" t="s">
        <v>560</v>
      </c>
      <c r="P951" t="s">
        <v>8790</v>
      </c>
      <c r="Q951" t="s">
        <v>592</v>
      </c>
      <c r="R951" t="s">
        <v>8791</v>
      </c>
      <c r="T951">
        <v>50</v>
      </c>
      <c r="U951" t="s">
        <v>491</v>
      </c>
      <c r="X951">
        <v>0</v>
      </c>
    </row>
    <row r="952" spans="1:24" x14ac:dyDescent="0.25">
      <c r="A952" s="234">
        <v>43216</v>
      </c>
      <c r="B952" t="s">
        <v>328</v>
      </c>
      <c r="C952" t="s">
        <v>603</v>
      </c>
      <c r="D952" t="s">
        <v>10338</v>
      </c>
      <c r="E952" t="s">
        <v>588</v>
      </c>
      <c r="F952" t="s">
        <v>11064</v>
      </c>
      <c r="G952" t="s">
        <v>11065</v>
      </c>
      <c r="H952" t="s">
        <v>607</v>
      </c>
      <c r="I952" t="s">
        <v>11066</v>
      </c>
      <c r="J952" t="s">
        <v>3751</v>
      </c>
      <c r="L952">
        <v>4</v>
      </c>
      <c r="M952" s="134">
        <v>201000</v>
      </c>
      <c r="N952" s="134">
        <v>402000</v>
      </c>
      <c r="O952" t="s">
        <v>4533</v>
      </c>
      <c r="P952" t="s">
        <v>11148</v>
      </c>
      <c r="Q952" t="s">
        <v>1939</v>
      </c>
      <c r="R952" t="s">
        <v>11067</v>
      </c>
      <c r="U952" t="s">
        <v>1327</v>
      </c>
      <c r="X952">
        <v>0</v>
      </c>
    </row>
    <row r="953" spans="1:24" x14ac:dyDescent="0.25">
      <c r="A953" s="234">
        <v>43125</v>
      </c>
      <c r="B953" t="s">
        <v>328</v>
      </c>
      <c r="C953" t="s">
        <v>603</v>
      </c>
      <c r="D953" t="s">
        <v>2397</v>
      </c>
      <c r="E953" t="s">
        <v>588</v>
      </c>
      <c r="F953" t="s">
        <v>8867</v>
      </c>
      <c r="G953" t="s">
        <v>10098</v>
      </c>
      <c r="H953" t="s">
        <v>809</v>
      </c>
      <c r="I953" t="s">
        <v>10099</v>
      </c>
      <c r="J953" t="s">
        <v>3612</v>
      </c>
      <c r="L953">
        <v>10</v>
      </c>
      <c r="M953" s="134">
        <v>202000</v>
      </c>
      <c r="N953" s="134">
        <v>202000</v>
      </c>
      <c r="O953" t="s">
        <v>10762</v>
      </c>
      <c r="P953" t="s">
        <v>10100</v>
      </c>
      <c r="Q953" t="s">
        <v>1939</v>
      </c>
      <c r="R953" t="s">
        <v>10101</v>
      </c>
      <c r="U953" t="s">
        <v>1327</v>
      </c>
      <c r="X953">
        <v>0</v>
      </c>
    </row>
    <row r="954" spans="1:24" x14ac:dyDescent="0.25">
      <c r="A954" s="234">
        <v>42440</v>
      </c>
      <c r="B954" t="s">
        <v>110</v>
      </c>
      <c r="D954" t="s">
        <v>715</v>
      </c>
      <c r="E954" t="s">
        <v>588</v>
      </c>
      <c r="F954" t="s">
        <v>1288</v>
      </c>
      <c r="H954" t="s">
        <v>607</v>
      </c>
      <c r="I954" t="s">
        <v>1289</v>
      </c>
      <c r="M954" s="134">
        <v>203000</v>
      </c>
      <c r="N954" s="134">
        <v>343600</v>
      </c>
      <c r="O954" t="s">
        <v>1290</v>
      </c>
      <c r="P954" t="s">
        <v>1291</v>
      </c>
      <c r="Q954" t="s">
        <v>620</v>
      </c>
      <c r="R954" t="s">
        <v>1287</v>
      </c>
      <c r="U954" t="s">
        <v>491</v>
      </c>
      <c r="X954">
        <v>0</v>
      </c>
    </row>
    <row r="955" spans="1:24" x14ac:dyDescent="0.25">
      <c r="A955" s="234">
        <v>43098</v>
      </c>
      <c r="B955" t="s">
        <v>328</v>
      </c>
      <c r="C955" t="s">
        <v>603</v>
      </c>
      <c r="D955" t="s">
        <v>2500</v>
      </c>
      <c r="E955" t="s">
        <v>588</v>
      </c>
      <c r="F955" t="s">
        <v>9903</v>
      </c>
      <c r="G955" t="s">
        <v>7855</v>
      </c>
      <c r="H955" t="s">
        <v>809</v>
      </c>
      <c r="I955" t="s">
        <v>9904</v>
      </c>
      <c r="J955" t="s">
        <v>644</v>
      </c>
      <c r="L955">
        <v>4</v>
      </c>
      <c r="M955" s="134">
        <v>203100</v>
      </c>
      <c r="N955" s="134">
        <v>203100</v>
      </c>
      <c r="O955" t="s">
        <v>754</v>
      </c>
      <c r="P955" t="s">
        <v>9905</v>
      </c>
      <c r="Q955" t="s">
        <v>1939</v>
      </c>
      <c r="R955" t="s">
        <v>9906</v>
      </c>
      <c r="U955" t="s">
        <v>491</v>
      </c>
      <c r="X955">
        <v>0</v>
      </c>
    </row>
    <row r="956" spans="1:24" x14ac:dyDescent="0.25">
      <c r="A956" s="234">
        <v>43048</v>
      </c>
      <c r="B956" t="s">
        <v>5176</v>
      </c>
      <c r="C956" t="s">
        <v>604</v>
      </c>
      <c r="D956" t="s">
        <v>595</v>
      </c>
      <c r="E956" t="s">
        <v>588</v>
      </c>
      <c r="F956" t="s">
        <v>9395</v>
      </c>
      <c r="G956" t="s">
        <v>9394</v>
      </c>
      <c r="H956" t="s">
        <v>607</v>
      </c>
      <c r="J956" t="s">
        <v>959</v>
      </c>
      <c r="M956" s="134">
        <v>204000</v>
      </c>
      <c r="N956" s="134">
        <v>269800</v>
      </c>
      <c r="O956" t="s">
        <v>1844</v>
      </c>
      <c r="P956" t="s">
        <v>9393</v>
      </c>
      <c r="Q956" t="s">
        <v>592</v>
      </c>
      <c r="R956" t="s">
        <v>9392</v>
      </c>
      <c r="U956" t="s">
        <v>1327</v>
      </c>
      <c r="X956">
        <v>0</v>
      </c>
    </row>
    <row r="957" spans="1:24" x14ac:dyDescent="0.25">
      <c r="A957" s="234">
        <v>42524</v>
      </c>
      <c r="B957" t="s">
        <v>110</v>
      </c>
      <c r="E957" t="s">
        <v>588</v>
      </c>
      <c r="F957" t="s">
        <v>2322</v>
      </c>
      <c r="H957" t="s">
        <v>710</v>
      </c>
      <c r="I957" t="s">
        <v>2323</v>
      </c>
      <c r="M957" s="134">
        <v>205000</v>
      </c>
      <c r="N957" s="134">
        <v>0</v>
      </c>
      <c r="O957" t="s">
        <v>2324</v>
      </c>
      <c r="P957" t="s">
        <v>2325</v>
      </c>
      <c r="Q957" t="s">
        <v>592</v>
      </c>
      <c r="R957" t="s">
        <v>2331</v>
      </c>
      <c r="S957" t="s">
        <v>2332</v>
      </c>
      <c r="U957" t="s">
        <v>2227</v>
      </c>
      <c r="X957">
        <v>0</v>
      </c>
    </row>
    <row r="958" spans="1:24" x14ac:dyDescent="0.25">
      <c r="A958" s="234">
        <v>43343</v>
      </c>
      <c r="B958" t="s">
        <v>5360</v>
      </c>
      <c r="C958" t="s">
        <v>899</v>
      </c>
      <c r="D958" t="s">
        <v>732</v>
      </c>
      <c r="E958" t="s">
        <v>588</v>
      </c>
      <c r="F958" t="s">
        <v>12458</v>
      </c>
      <c r="G958" t="s">
        <v>7814</v>
      </c>
      <c r="H958" t="s">
        <v>886</v>
      </c>
      <c r="I958" t="s">
        <v>12459</v>
      </c>
      <c r="J958" t="s">
        <v>899</v>
      </c>
      <c r="L958">
        <v>6</v>
      </c>
      <c r="M958" s="134">
        <v>205000</v>
      </c>
      <c r="N958" s="134">
        <v>215000</v>
      </c>
      <c r="O958" t="s">
        <v>2295</v>
      </c>
      <c r="P958" t="s">
        <v>12460</v>
      </c>
      <c r="Q958" t="s">
        <v>592</v>
      </c>
      <c r="R958" t="s">
        <v>12461</v>
      </c>
      <c r="U958" t="s">
        <v>491</v>
      </c>
      <c r="X958">
        <v>0</v>
      </c>
    </row>
    <row r="959" spans="1:24" x14ac:dyDescent="0.25">
      <c r="A959" s="234">
        <v>43591</v>
      </c>
      <c r="B959" t="s">
        <v>328</v>
      </c>
      <c r="C959" t="s">
        <v>603</v>
      </c>
      <c r="D959" t="s">
        <v>649</v>
      </c>
      <c r="F959" t="s">
        <v>15398</v>
      </c>
      <c r="G959" t="s">
        <v>256</v>
      </c>
      <c r="H959" t="s">
        <v>607</v>
      </c>
      <c r="I959" t="s">
        <v>15399</v>
      </c>
      <c r="J959" t="s">
        <v>3751</v>
      </c>
      <c r="K959" t="s">
        <v>15400</v>
      </c>
      <c r="L959">
        <v>6</v>
      </c>
      <c r="M959" s="134">
        <v>205800</v>
      </c>
      <c r="N959" s="134">
        <v>370000</v>
      </c>
      <c r="O959" t="s">
        <v>4533</v>
      </c>
      <c r="P959" t="s">
        <v>15401</v>
      </c>
      <c r="Q959" t="s">
        <v>1939</v>
      </c>
      <c r="R959" t="s">
        <v>15402</v>
      </c>
      <c r="U959" t="s">
        <v>491</v>
      </c>
      <c r="X959">
        <v>0</v>
      </c>
    </row>
    <row r="960" spans="1:24" x14ac:dyDescent="0.25">
      <c r="A960" s="234">
        <v>43231</v>
      </c>
      <c r="B960" t="s">
        <v>328</v>
      </c>
      <c r="C960" t="s">
        <v>603</v>
      </c>
      <c r="D960" t="s">
        <v>7595</v>
      </c>
      <c r="E960" t="s">
        <v>692</v>
      </c>
      <c r="F960" t="s">
        <v>11158</v>
      </c>
      <c r="G960" t="s">
        <v>11159</v>
      </c>
      <c r="H960" t="s">
        <v>905</v>
      </c>
      <c r="J960" t="s">
        <v>3371</v>
      </c>
      <c r="L960">
        <v>4</v>
      </c>
      <c r="M960" s="134">
        <v>206000</v>
      </c>
      <c r="N960" s="134">
        <v>213200</v>
      </c>
      <c r="O960" t="s">
        <v>4533</v>
      </c>
      <c r="P960" t="s">
        <v>11160</v>
      </c>
      <c r="Q960" t="s">
        <v>29</v>
      </c>
      <c r="R960" t="s">
        <v>11161</v>
      </c>
      <c r="U960" t="s">
        <v>491</v>
      </c>
      <c r="X960">
        <v>1</v>
      </c>
    </row>
    <row r="961" spans="1:24" x14ac:dyDescent="0.25">
      <c r="A961" s="234">
        <v>43294</v>
      </c>
      <c r="B961" t="s">
        <v>569</v>
      </c>
      <c r="C961" t="s">
        <v>899</v>
      </c>
      <c r="D961" t="s">
        <v>3505</v>
      </c>
      <c r="E961" t="s">
        <v>588</v>
      </c>
      <c r="F961" t="s">
        <v>11737</v>
      </c>
      <c r="G961" t="s">
        <v>11738</v>
      </c>
      <c r="H961" t="s">
        <v>607</v>
      </c>
      <c r="I961" t="s">
        <v>10930</v>
      </c>
      <c r="J961" t="s">
        <v>899</v>
      </c>
      <c r="L961">
        <v>3</v>
      </c>
      <c r="M961" s="134">
        <v>206000</v>
      </c>
      <c r="N961" s="134">
        <v>390000</v>
      </c>
      <c r="O961" t="s">
        <v>10766</v>
      </c>
      <c r="P961" t="s">
        <v>11739</v>
      </c>
      <c r="Q961" t="s">
        <v>1939</v>
      </c>
      <c r="R961" t="s">
        <v>11740</v>
      </c>
      <c r="U961" t="s">
        <v>491</v>
      </c>
      <c r="V961" t="s">
        <v>833</v>
      </c>
      <c r="X961">
        <v>0</v>
      </c>
    </row>
    <row r="962" spans="1:24" x14ac:dyDescent="0.25">
      <c r="A962" s="234">
        <v>42955</v>
      </c>
      <c r="B962" t="s">
        <v>110</v>
      </c>
      <c r="C962" t="s">
        <v>761</v>
      </c>
      <c r="D962" t="s">
        <v>4782</v>
      </c>
      <c r="E962" t="s">
        <v>588</v>
      </c>
      <c r="F962" t="s">
        <v>8013</v>
      </c>
      <c r="G962" t="s">
        <v>7880</v>
      </c>
      <c r="H962" t="s">
        <v>607</v>
      </c>
      <c r="I962" t="s">
        <v>8014</v>
      </c>
      <c r="J962" t="s">
        <v>761</v>
      </c>
      <c r="L962">
        <v>10</v>
      </c>
      <c r="M962" s="134">
        <v>206215</v>
      </c>
      <c r="N962" s="134">
        <v>350567</v>
      </c>
      <c r="O962" t="s">
        <v>2680</v>
      </c>
      <c r="P962" t="s">
        <v>8015</v>
      </c>
      <c r="Q962" t="s">
        <v>1939</v>
      </c>
      <c r="R962" t="s">
        <v>8016</v>
      </c>
      <c r="T962">
        <v>16</v>
      </c>
      <c r="U962" t="s">
        <v>491</v>
      </c>
      <c r="X962">
        <v>0</v>
      </c>
    </row>
    <row r="963" spans="1:24" x14ac:dyDescent="0.25">
      <c r="A963" s="234">
        <v>42622</v>
      </c>
      <c r="B963" t="s">
        <v>320</v>
      </c>
      <c r="C963" t="s">
        <v>1228</v>
      </c>
      <c r="D963" t="s">
        <v>1229</v>
      </c>
      <c r="E963" t="s">
        <v>588</v>
      </c>
      <c r="F963" t="s">
        <v>3854</v>
      </c>
      <c r="H963" t="s">
        <v>607</v>
      </c>
      <c r="I963" t="s">
        <v>3855</v>
      </c>
      <c r="J963" t="s">
        <v>3856</v>
      </c>
      <c r="M963" s="134">
        <v>207000</v>
      </c>
      <c r="N963" s="134">
        <v>297000</v>
      </c>
      <c r="O963" t="s">
        <v>3857</v>
      </c>
      <c r="P963" t="s">
        <v>3858</v>
      </c>
      <c r="Q963" t="s">
        <v>592</v>
      </c>
      <c r="R963" t="s">
        <v>3859</v>
      </c>
      <c r="U963" t="s">
        <v>491</v>
      </c>
      <c r="X963">
        <v>0</v>
      </c>
    </row>
    <row r="964" spans="1:24" x14ac:dyDescent="0.25">
      <c r="A964" s="234">
        <v>43223</v>
      </c>
      <c r="B964" t="s">
        <v>328</v>
      </c>
      <c r="C964" t="s">
        <v>603</v>
      </c>
      <c r="D964" t="s">
        <v>7595</v>
      </c>
      <c r="E964" t="s">
        <v>588</v>
      </c>
      <c r="F964" t="s">
        <v>11111</v>
      </c>
      <c r="G964" t="s">
        <v>10400</v>
      </c>
      <c r="H964" t="s">
        <v>607</v>
      </c>
      <c r="I964" t="s">
        <v>8324</v>
      </c>
      <c r="J964" t="s">
        <v>603</v>
      </c>
      <c r="L964">
        <v>5</v>
      </c>
      <c r="M964" s="134">
        <v>208000</v>
      </c>
      <c r="N964" s="134">
        <v>436000</v>
      </c>
      <c r="O964" t="s">
        <v>10762</v>
      </c>
      <c r="P964" t="s">
        <v>11112</v>
      </c>
      <c r="Q964" t="s">
        <v>1939</v>
      </c>
      <c r="R964" t="s">
        <v>11113</v>
      </c>
      <c r="U964" t="s">
        <v>491</v>
      </c>
      <c r="X964">
        <v>0</v>
      </c>
    </row>
    <row r="965" spans="1:24" x14ac:dyDescent="0.25">
      <c r="A965" s="234">
        <v>43587</v>
      </c>
      <c r="B965" t="s">
        <v>13559</v>
      </c>
      <c r="C965" t="s">
        <v>3733</v>
      </c>
      <c r="D965" t="s">
        <v>15202</v>
      </c>
      <c r="F965" t="s">
        <v>15358</v>
      </c>
      <c r="G965" t="s">
        <v>7786</v>
      </c>
      <c r="H965" t="s">
        <v>607</v>
      </c>
      <c r="I965" t="s">
        <v>15359</v>
      </c>
      <c r="J965" t="s">
        <v>4684</v>
      </c>
      <c r="K965" t="s">
        <v>15360</v>
      </c>
      <c r="L965">
        <v>5</v>
      </c>
      <c r="M965" s="134">
        <v>209682</v>
      </c>
      <c r="N965" s="134">
        <v>308682</v>
      </c>
      <c r="O965" t="s">
        <v>10766</v>
      </c>
      <c r="P965" t="s">
        <v>15361</v>
      </c>
      <c r="Q965" t="s">
        <v>620</v>
      </c>
      <c r="R965" t="s">
        <v>15362</v>
      </c>
      <c r="S965" t="s">
        <v>15363</v>
      </c>
      <c r="U965" t="s">
        <v>491</v>
      </c>
      <c r="X965">
        <v>0</v>
      </c>
    </row>
    <row r="966" spans="1:24" x14ac:dyDescent="0.25">
      <c r="A966" s="234">
        <v>42955</v>
      </c>
      <c r="B966" t="s">
        <v>569</v>
      </c>
      <c r="D966" t="s">
        <v>625</v>
      </c>
      <c r="E966" t="s">
        <v>821</v>
      </c>
      <c r="F966" t="s">
        <v>8053</v>
      </c>
      <c r="H966" t="s">
        <v>722</v>
      </c>
      <c r="I966" t="s">
        <v>3925</v>
      </c>
      <c r="J966" t="s">
        <v>899</v>
      </c>
      <c r="M966" s="134">
        <v>210000</v>
      </c>
      <c r="N966" s="134">
        <v>0</v>
      </c>
      <c r="O966" t="s">
        <v>8034</v>
      </c>
      <c r="P966" t="s">
        <v>8404</v>
      </c>
      <c r="Q966" t="s">
        <v>1939</v>
      </c>
      <c r="R966" t="s">
        <v>8035</v>
      </c>
      <c r="T966">
        <v>27</v>
      </c>
      <c r="U966" t="s">
        <v>491</v>
      </c>
      <c r="X966">
        <v>0</v>
      </c>
    </row>
    <row r="967" spans="1:24" x14ac:dyDescent="0.25">
      <c r="A967" s="234">
        <v>43335</v>
      </c>
      <c r="B967" t="s">
        <v>9240</v>
      </c>
      <c r="C967" t="s">
        <v>603</v>
      </c>
      <c r="D967" t="s">
        <v>7814</v>
      </c>
      <c r="E967" t="s">
        <v>588</v>
      </c>
      <c r="F967" t="s">
        <v>12290</v>
      </c>
      <c r="G967" t="s">
        <v>12291</v>
      </c>
      <c r="H967" t="s">
        <v>905</v>
      </c>
      <c r="I967" t="s">
        <v>6992</v>
      </c>
      <c r="J967" t="s">
        <v>603</v>
      </c>
      <c r="L967">
        <v>4</v>
      </c>
      <c r="M967" s="134">
        <v>210000</v>
      </c>
      <c r="N967" s="134">
        <v>215000</v>
      </c>
      <c r="O967" t="s">
        <v>6745</v>
      </c>
      <c r="P967" t="s">
        <v>12292</v>
      </c>
      <c r="Q967" t="s">
        <v>29</v>
      </c>
      <c r="R967" t="s">
        <v>12293</v>
      </c>
      <c r="U967" t="s">
        <v>491</v>
      </c>
      <c r="X967">
        <v>1</v>
      </c>
    </row>
    <row r="968" spans="1:24" x14ac:dyDescent="0.25">
      <c r="A968" s="234">
        <v>42436</v>
      </c>
      <c r="B968" t="s">
        <v>328</v>
      </c>
      <c r="C968" t="s">
        <v>603</v>
      </c>
      <c r="D968" t="s">
        <v>757</v>
      </c>
      <c r="E968" t="s">
        <v>588</v>
      </c>
      <c r="F968" t="s">
        <v>1223</v>
      </c>
      <c r="H968" t="s">
        <v>722</v>
      </c>
      <c r="I968" t="s">
        <v>1224</v>
      </c>
      <c r="M968" s="134">
        <v>210000</v>
      </c>
      <c r="N968" s="134">
        <v>399070</v>
      </c>
      <c r="O968" t="s">
        <v>1225</v>
      </c>
      <c r="P968" t="s">
        <v>1226</v>
      </c>
      <c r="Q968" t="s">
        <v>592</v>
      </c>
      <c r="R968" t="s">
        <v>1227</v>
      </c>
      <c r="U968" t="s">
        <v>491</v>
      </c>
      <c r="X968">
        <v>0</v>
      </c>
    </row>
    <row r="969" spans="1:24" x14ac:dyDescent="0.25">
      <c r="A969" s="234">
        <v>43230</v>
      </c>
      <c r="B969" t="s">
        <v>328</v>
      </c>
      <c r="C969" t="s">
        <v>603</v>
      </c>
      <c r="D969" t="s">
        <v>10338</v>
      </c>
      <c r="E969" t="s">
        <v>2200</v>
      </c>
      <c r="F969" t="s">
        <v>11225</v>
      </c>
      <c r="G969" t="s">
        <v>1789</v>
      </c>
      <c r="H969" t="s">
        <v>10831</v>
      </c>
      <c r="I969" t="s">
        <v>11224</v>
      </c>
      <c r="J969" t="s">
        <v>3501</v>
      </c>
      <c r="L969">
        <v>10</v>
      </c>
      <c r="M969" s="134">
        <v>210000</v>
      </c>
      <c r="N969" s="134">
        <v>420000</v>
      </c>
      <c r="O969" t="s">
        <v>7124</v>
      </c>
      <c r="P969" t="s">
        <v>11223</v>
      </c>
      <c r="Q969" t="s">
        <v>1939</v>
      </c>
      <c r="R969" t="s">
        <v>11222</v>
      </c>
      <c r="U969" t="s">
        <v>1327</v>
      </c>
      <c r="X969">
        <v>0</v>
      </c>
    </row>
    <row r="970" spans="1:24" x14ac:dyDescent="0.25">
      <c r="A970" s="234">
        <v>42446</v>
      </c>
      <c r="B970" t="s">
        <v>378</v>
      </c>
      <c r="C970" t="s">
        <v>623</v>
      </c>
      <c r="D970" t="s">
        <v>625</v>
      </c>
      <c r="E970" t="s">
        <v>588</v>
      </c>
      <c r="F970" t="s">
        <v>1358</v>
      </c>
      <c r="H970" t="s">
        <v>607</v>
      </c>
      <c r="I970" t="s">
        <v>1359</v>
      </c>
      <c r="M970" s="134">
        <v>211000</v>
      </c>
      <c r="N970" s="134">
        <v>253400</v>
      </c>
      <c r="O970" t="s">
        <v>1360</v>
      </c>
      <c r="P970" t="s">
        <v>1361</v>
      </c>
      <c r="Q970" t="s">
        <v>29</v>
      </c>
      <c r="R970" t="s">
        <v>1362</v>
      </c>
      <c r="U970" t="s">
        <v>491</v>
      </c>
      <c r="X970">
        <v>1</v>
      </c>
    </row>
    <row r="971" spans="1:24" x14ac:dyDescent="0.25">
      <c r="A971" s="234">
        <v>42999</v>
      </c>
      <c r="B971" t="s">
        <v>328</v>
      </c>
      <c r="C971" t="s">
        <v>603</v>
      </c>
      <c r="D971" t="s">
        <v>649</v>
      </c>
      <c r="E971" t="s">
        <v>588</v>
      </c>
      <c r="F971" t="s">
        <v>8653</v>
      </c>
      <c r="H971" t="s">
        <v>4162</v>
      </c>
      <c r="I971" t="s">
        <v>8654</v>
      </c>
      <c r="J971" t="s">
        <v>3523</v>
      </c>
      <c r="M971" s="134">
        <v>211000</v>
      </c>
      <c r="N971" s="134">
        <v>265000</v>
      </c>
      <c r="O971" t="s">
        <v>5622</v>
      </c>
      <c r="P971" t="s">
        <v>8655</v>
      </c>
      <c r="Q971" t="s">
        <v>1939</v>
      </c>
      <c r="R971" t="s">
        <v>8656</v>
      </c>
      <c r="T971">
        <v>24</v>
      </c>
      <c r="U971" t="s">
        <v>491</v>
      </c>
      <c r="X971">
        <v>0</v>
      </c>
    </row>
    <row r="972" spans="1:24" x14ac:dyDescent="0.25">
      <c r="A972" s="234">
        <v>43532</v>
      </c>
      <c r="B972" t="s">
        <v>328</v>
      </c>
      <c r="C972" t="s">
        <v>603</v>
      </c>
      <c r="D972" t="s">
        <v>10705</v>
      </c>
      <c r="F972" t="s">
        <v>14662</v>
      </c>
      <c r="G972" t="s">
        <v>11902</v>
      </c>
      <c r="H972" t="s">
        <v>607</v>
      </c>
      <c r="I972" t="s">
        <v>14664</v>
      </c>
      <c r="J972" t="s">
        <v>4458</v>
      </c>
      <c r="K972" t="s">
        <v>14663</v>
      </c>
      <c r="L972">
        <v>10</v>
      </c>
      <c r="M972" s="134">
        <v>211200</v>
      </c>
      <c r="N972" s="134">
        <v>401240</v>
      </c>
      <c r="O972" t="s">
        <v>7124</v>
      </c>
      <c r="P972" t="s">
        <v>14665</v>
      </c>
      <c r="Q972" t="s">
        <v>1939</v>
      </c>
      <c r="R972" t="s">
        <v>14666</v>
      </c>
      <c r="U972" t="s">
        <v>491</v>
      </c>
      <c r="X972">
        <v>0</v>
      </c>
    </row>
    <row r="973" spans="1:24" x14ac:dyDescent="0.25">
      <c r="A973" s="234">
        <v>42495</v>
      </c>
      <c r="B973" t="s">
        <v>320</v>
      </c>
      <c r="C973" t="s">
        <v>1228</v>
      </c>
      <c r="D973" t="s">
        <v>1229</v>
      </c>
      <c r="E973" t="s">
        <v>588</v>
      </c>
      <c r="F973" t="s">
        <v>1945</v>
      </c>
      <c r="H973" t="s">
        <v>607</v>
      </c>
      <c r="I973" t="s">
        <v>1018</v>
      </c>
      <c r="M973" s="134">
        <v>212000</v>
      </c>
      <c r="N973" s="134">
        <v>274000</v>
      </c>
      <c r="O973" t="s">
        <v>1946</v>
      </c>
      <c r="P973" t="s">
        <v>1960</v>
      </c>
      <c r="Q973" t="s">
        <v>29</v>
      </c>
      <c r="R973" t="s">
        <v>1947</v>
      </c>
      <c r="U973" t="s">
        <v>491</v>
      </c>
      <c r="X973">
        <v>1</v>
      </c>
    </row>
    <row r="974" spans="1:24" x14ac:dyDescent="0.25">
      <c r="A974" s="234">
        <v>43146</v>
      </c>
      <c r="B974" t="s">
        <v>328</v>
      </c>
      <c r="C974" t="s">
        <v>603</v>
      </c>
      <c r="D974" t="s">
        <v>8941</v>
      </c>
      <c r="E974" t="s">
        <v>588</v>
      </c>
      <c r="F974" t="s">
        <v>10343</v>
      </c>
      <c r="G974" t="s">
        <v>256</v>
      </c>
      <c r="H974" t="s">
        <v>607</v>
      </c>
      <c r="I974" t="s">
        <v>10344</v>
      </c>
      <c r="J974" t="s">
        <v>3368</v>
      </c>
      <c r="L974">
        <v>5</v>
      </c>
      <c r="M974" s="134">
        <v>212800</v>
      </c>
      <c r="N974" s="134">
        <v>425600</v>
      </c>
      <c r="O974" t="s">
        <v>4533</v>
      </c>
      <c r="P974" t="s">
        <v>10345</v>
      </c>
      <c r="Q974" t="s">
        <v>1939</v>
      </c>
      <c r="R974" t="s">
        <v>10346</v>
      </c>
      <c r="U974" t="s">
        <v>1327</v>
      </c>
      <c r="X974">
        <v>0</v>
      </c>
    </row>
    <row r="975" spans="1:24" x14ac:dyDescent="0.25">
      <c r="A975" s="234">
        <v>43444</v>
      </c>
      <c r="B975" t="s">
        <v>13559</v>
      </c>
      <c r="C975" t="s">
        <v>4031</v>
      </c>
      <c r="D975" t="s">
        <v>13560</v>
      </c>
      <c r="F975" t="s">
        <v>13561</v>
      </c>
      <c r="G975" t="s">
        <v>10355</v>
      </c>
      <c r="H975" t="s">
        <v>607</v>
      </c>
      <c r="I975" t="s">
        <v>13562</v>
      </c>
      <c r="J975" t="s">
        <v>3371</v>
      </c>
      <c r="K975" t="s">
        <v>13563</v>
      </c>
      <c r="L975">
        <v>6</v>
      </c>
      <c r="M975" s="134">
        <v>214000</v>
      </c>
      <c r="N975" s="134">
        <v>395900</v>
      </c>
      <c r="O975" t="s">
        <v>4533</v>
      </c>
      <c r="P975" t="s">
        <v>13566</v>
      </c>
      <c r="Q975" t="s">
        <v>1939</v>
      </c>
      <c r="R975" t="s">
        <v>13567</v>
      </c>
      <c r="U975" t="s">
        <v>12797</v>
      </c>
      <c r="X975">
        <v>0</v>
      </c>
    </row>
    <row r="976" spans="1:24" x14ac:dyDescent="0.25">
      <c r="A976" s="234">
        <v>43293</v>
      </c>
      <c r="B976" t="s">
        <v>328</v>
      </c>
      <c r="C976" t="s">
        <v>603</v>
      </c>
      <c r="D976" t="s">
        <v>672</v>
      </c>
      <c r="E976" t="s">
        <v>588</v>
      </c>
      <c r="F976" t="s">
        <v>11786</v>
      </c>
      <c r="G976" t="s">
        <v>11787</v>
      </c>
      <c r="H976" t="s">
        <v>607</v>
      </c>
      <c r="J976" t="s">
        <v>11788</v>
      </c>
      <c r="M976" s="134">
        <v>214000</v>
      </c>
      <c r="N976" s="134">
        <v>428000</v>
      </c>
      <c r="O976" t="s">
        <v>10766</v>
      </c>
      <c r="P976" t="s">
        <v>11789</v>
      </c>
      <c r="Q976" t="s">
        <v>1939</v>
      </c>
      <c r="R976" t="s">
        <v>11790</v>
      </c>
      <c r="U976" t="s">
        <v>1327</v>
      </c>
      <c r="X976">
        <v>0</v>
      </c>
    </row>
    <row r="977" spans="1:24" x14ac:dyDescent="0.25">
      <c r="A977" s="234">
        <v>43581</v>
      </c>
      <c r="B977" t="s">
        <v>328</v>
      </c>
      <c r="C977" t="s">
        <v>603</v>
      </c>
      <c r="D977" t="s">
        <v>7595</v>
      </c>
      <c r="F977" t="s">
        <v>521</v>
      </c>
      <c r="G977" t="s">
        <v>15456</v>
      </c>
      <c r="H977" t="s">
        <v>886</v>
      </c>
      <c r="J977" t="s">
        <v>3398</v>
      </c>
      <c r="M977" s="134">
        <v>215000</v>
      </c>
      <c r="N977" s="134">
        <v>236500</v>
      </c>
      <c r="O977" t="s">
        <v>10766</v>
      </c>
      <c r="P977" t="s">
        <v>15457</v>
      </c>
      <c r="Q977" t="s">
        <v>29</v>
      </c>
      <c r="R977" t="s">
        <v>15458</v>
      </c>
      <c r="S977" t="s">
        <v>15238</v>
      </c>
      <c r="U977" t="s">
        <v>12797</v>
      </c>
      <c r="X977">
        <v>1</v>
      </c>
    </row>
    <row r="978" spans="1:24" x14ac:dyDescent="0.25">
      <c r="A978" s="234">
        <v>42578</v>
      </c>
      <c r="B978" t="s">
        <v>1486</v>
      </c>
      <c r="C978" t="s">
        <v>1883</v>
      </c>
      <c r="D978" t="s">
        <v>595</v>
      </c>
      <c r="E978" t="s">
        <v>821</v>
      </c>
      <c r="F978" t="s">
        <v>3058</v>
      </c>
      <c r="H978" t="s">
        <v>607</v>
      </c>
      <c r="I978" t="s">
        <v>3090</v>
      </c>
      <c r="M978" s="134">
        <v>215000</v>
      </c>
      <c r="N978" s="134">
        <v>305500</v>
      </c>
      <c r="O978" t="s">
        <v>3063</v>
      </c>
      <c r="P978" t="s">
        <v>3091</v>
      </c>
      <c r="Q978" t="s">
        <v>29</v>
      </c>
      <c r="R978" t="s">
        <v>3092</v>
      </c>
      <c r="U978" t="s">
        <v>491</v>
      </c>
      <c r="X978">
        <v>1</v>
      </c>
    </row>
    <row r="979" spans="1:24" x14ac:dyDescent="0.25">
      <c r="A979" s="234">
        <v>42880</v>
      </c>
      <c r="B979" t="s">
        <v>328</v>
      </c>
      <c r="C979" t="s">
        <v>603</v>
      </c>
      <c r="D979" t="s">
        <v>649</v>
      </c>
      <c r="E979" t="s">
        <v>588</v>
      </c>
      <c r="F979" t="s">
        <v>6915</v>
      </c>
      <c r="H979" t="s">
        <v>4108</v>
      </c>
      <c r="I979" t="s">
        <v>6916</v>
      </c>
      <c r="J979" t="s">
        <v>899</v>
      </c>
      <c r="L979">
        <v>10</v>
      </c>
      <c r="M979" s="134">
        <v>215000</v>
      </c>
      <c r="N979" s="134">
        <v>325000</v>
      </c>
      <c r="O979" t="s">
        <v>2680</v>
      </c>
      <c r="P979" t="s">
        <v>6917</v>
      </c>
      <c r="Q979" t="s">
        <v>1939</v>
      </c>
      <c r="R979" t="s">
        <v>6918</v>
      </c>
      <c r="U979" t="s">
        <v>491</v>
      </c>
      <c r="X979">
        <v>0</v>
      </c>
    </row>
    <row r="980" spans="1:24" x14ac:dyDescent="0.25">
      <c r="A980" s="234">
        <v>42536</v>
      </c>
      <c r="B980" t="s">
        <v>110</v>
      </c>
      <c r="C980" t="s">
        <v>833</v>
      </c>
      <c r="D980" t="s">
        <v>715</v>
      </c>
      <c r="E980" t="s">
        <v>588</v>
      </c>
      <c r="F980" t="s">
        <v>2512</v>
      </c>
      <c r="H980" t="s">
        <v>607</v>
      </c>
      <c r="I980" t="s">
        <v>2513</v>
      </c>
      <c r="M980" s="134">
        <v>215000</v>
      </c>
      <c r="N980" s="134">
        <v>345000</v>
      </c>
      <c r="O980" t="s">
        <v>1033</v>
      </c>
      <c r="P980" t="s">
        <v>2514</v>
      </c>
      <c r="Q980" t="s">
        <v>29</v>
      </c>
      <c r="U980" t="s">
        <v>491</v>
      </c>
      <c r="X980">
        <v>1</v>
      </c>
    </row>
    <row r="981" spans="1:24" x14ac:dyDescent="0.25">
      <c r="A981" s="234">
        <v>43538</v>
      </c>
      <c r="B981" t="s">
        <v>9240</v>
      </c>
      <c r="C981" t="s">
        <v>603</v>
      </c>
      <c r="D981" t="s">
        <v>9241</v>
      </c>
      <c r="F981" t="s">
        <v>14458</v>
      </c>
      <c r="G981" t="s">
        <v>11187</v>
      </c>
      <c r="H981" t="s">
        <v>10831</v>
      </c>
      <c r="I981" t="s">
        <v>14399</v>
      </c>
      <c r="J981" t="s">
        <v>4031</v>
      </c>
      <c r="K981" t="s">
        <v>14709</v>
      </c>
      <c r="L981">
        <v>4</v>
      </c>
      <c r="M981" s="134">
        <v>215000</v>
      </c>
      <c r="N981" s="134">
        <v>387000</v>
      </c>
      <c r="O981" t="s">
        <v>10763</v>
      </c>
      <c r="P981" t="s">
        <v>14710</v>
      </c>
      <c r="Q981" t="s">
        <v>1939</v>
      </c>
      <c r="R981" t="s">
        <v>14833</v>
      </c>
      <c r="U981" t="s">
        <v>12797</v>
      </c>
      <c r="X981">
        <v>0</v>
      </c>
    </row>
    <row r="982" spans="1:24" x14ac:dyDescent="0.25">
      <c r="A982" s="234">
        <v>42986</v>
      </c>
      <c r="B982" t="s">
        <v>110</v>
      </c>
      <c r="C982" t="s">
        <v>761</v>
      </c>
      <c r="D982" t="s">
        <v>4782</v>
      </c>
      <c r="E982" t="s">
        <v>588</v>
      </c>
      <c r="F982" t="s">
        <v>7831</v>
      </c>
      <c r="G982" t="s">
        <v>8474</v>
      </c>
      <c r="H982" t="s">
        <v>607</v>
      </c>
      <c r="I982" t="s">
        <v>8475</v>
      </c>
      <c r="J982" t="s">
        <v>4785</v>
      </c>
      <c r="L982">
        <v>5</v>
      </c>
      <c r="M982" s="134">
        <v>215000</v>
      </c>
      <c r="N982" s="134">
        <v>408000</v>
      </c>
      <c r="O982" t="s">
        <v>2934</v>
      </c>
      <c r="P982" t="s">
        <v>8476</v>
      </c>
      <c r="Q982" t="s">
        <v>1939</v>
      </c>
      <c r="R982" t="s">
        <v>8477</v>
      </c>
      <c r="T982">
        <v>25</v>
      </c>
      <c r="U982" t="s">
        <v>491</v>
      </c>
      <c r="X982">
        <v>0</v>
      </c>
    </row>
    <row r="983" spans="1:24" x14ac:dyDescent="0.25">
      <c r="A983" s="234">
        <v>43321</v>
      </c>
      <c r="B983" t="s">
        <v>5176</v>
      </c>
      <c r="C983" t="s">
        <v>604</v>
      </c>
      <c r="D983" t="s">
        <v>595</v>
      </c>
      <c r="E983" t="s">
        <v>588</v>
      </c>
      <c r="F983" t="s">
        <v>12073</v>
      </c>
      <c r="G983" t="s">
        <v>12074</v>
      </c>
      <c r="H983" t="s">
        <v>607</v>
      </c>
      <c r="I983" t="s">
        <v>12075</v>
      </c>
      <c r="J983" t="s">
        <v>959</v>
      </c>
      <c r="M983" s="134">
        <v>215000</v>
      </c>
      <c r="N983" s="134">
        <v>415000</v>
      </c>
      <c r="O983" t="s">
        <v>10766</v>
      </c>
      <c r="P983" t="s">
        <v>12076</v>
      </c>
      <c r="Q983" t="s">
        <v>29</v>
      </c>
      <c r="R983" t="s">
        <v>12077</v>
      </c>
      <c r="S983" t="s">
        <v>12078</v>
      </c>
      <c r="U983" t="s">
        <v>491</v>
      </c>
      <c r="X983">
        <v>1</v>
      </c>
    </row>
    <row r="984" spans="1:24" x14ac:dyDescent="0.25">
      <c r="A984" s="234">
        <v>42593</v>
      </c>
      <c r="B984" t="s">
        <v>378</v>
      </c>
      <c r="C984" t="s">
        <v>623</v>
      </c>
      <c r="D984" t="s">
        <v>930</v>
      </c>
      <c r="E984" t="s">
        <v>821</v>
      </c>
      <c r="H984" t="s">
        <v>607</v>
      </c>
      <c r="J984" t="s">
        <v>899</v>
      </c>
      <c r="M984" s="134">
        <v>216000</v>
      </c>
      <c r="N984" s="134">
        <v>0</v>
      </c>
      <c r="O984" t="s">
        <v>3375</v>
      </c>
      <c r="P984" t="s">
        <v>3376</v>
      </c>
      <c r="Q984" t="s">
        <v>29</v>
      </c>
      <c r="R984" t="s">
        <v>3377</v>
      </c>
      <c r="U984" t="s">
        <v>491</v>
      </c>
      <c r="X984">
        <v>1</v>
      </c>
    </row>
    <row r="985" spans="1:24" x14ac:dyDescent="0.25">
      <c r="A985" s="234">
        <v>43600</v>
      </c>
      <c r="B985" t="s">
        <v>643</v>
      </c>
      <c r="C985" t="s">
        <v>644</v>
      </c>
      <c r="D985" t="s">
        <v>645</v>
      </c>
      <c r="F985" t="s">
        <v>15577</v>
      </c>
      <c r="G985" t="s">
        <v>15578</v>
      </c>
      <c r="H985" t="s">
        <v>10829</v>
      </c>
      <c r="I985" t="s">
        <v>15579</v>
      </c>
      <c r="J985" t="s">
        <v>644</v>
      </c>
      <c r="K985" t="s">
        <v>13163</v>
      </c>
      <c r="L985">
        <v>4</v>
      </c>
      <c r="M985" s="134">
        <v>216000</v>
      </c>
      <c r="N985" s="134">
        <v>350000</v>
      </c>
      <c r="O985" t="s">
        <v>6745</v>
      </c>
      <c r="P985" t="s">
        <v>15580</v>
      </c>
      <c r="Q985" t="s">
        <v>1612</v>
      </c>
      <c r="R985" t="s">
        <v>15973</v>
      </c>
      <c r="S985" t="s">
        <v>15581</v>
      </c>
      <c r="U985" t="s">
        <v>491</v>
      </c>
      <c r="X985">
        <v>0</v>
      </c>
    </row>
    <row r="986" spans="1:24" x14ac:dyDescent="0.25">
      <c r="A986" s="234">
        <v>42887</v>
      </c>
      <c r="B986" t="s">
        <v>643</v>
      </c>
      <c r="C986" t="s">
        <v>644</v>
      </c>
      <c r="D986" t="s">
        <v>645</v>
      </c>
      <c r="E986" t="s">
        <v>588</v>
      </c>
      <c r="F986" t="s">
        <v>7017</v>
      </c>
      <c r="H986" t="s">
        <v>6002</v>
      </c>
      <c r="I986" t="s">
        <v>4230</v>
      </c>
      <c r="J986" t="s">
        <v>644</v>
      </c>
      <c r="L986">
        <v>3</v>
      </c>
      <c r="M986" s="134">
        <v>216700</v>
      </c>
      <c r="N986" s="134">
        <v>455100</v>
      </c>
      <c r="O986" t="s">
        <v>2315</v>
      </c>
      <c r="P986" t="s">
        <v>7018</v>
      </c>
      <c r="Q986" t="s">
        <v>29</v>
      </c>
      <c r="R986" t="s">
        <v>7019</v>
      </c>
      <c r="U986" t="s">
        <v>1327</v>
      </c>
      <c r="X986">
        <v>1</v>
      </c>
    </row>
    <row r="987" spans="1:24" x14ac:dyDescent="0.25">
      <c r="A987" s="234">
        <v>42899</v>
      </c>
      <c r="B987" t="s">
        <v>328</v>
      </c>
      <c r="C987" t="s">
        <v>603</v>
      </c>
      <c r="D987" t="s">
        <v>649</v>
      </c>
      <c r="E987" t="s">
        <v>588</v>
      </c>
      <c r="F987" t="s">
        <v>7169</v>
      </c>
      <c r="H987" t="s">
        <v>905</v>
      </c>
      <c r="I987" t="s">
        <v>5366</v>
      </c>
      <c r="J987" t="s">
        <v>899</v>
      </c>
      <c r="L987">
        <v>9</v>
      </c>
      <c r="M987" s="134">
        <v>216800</v>
      </c>
      <c r="N987" s="134">
        <v>242800</v>
      </c>
      <c r="O987" t="s">
        <v>2680</v>
      </c>
      <c r="P987" t="s">
        <v>7170</v>
      </c>
      <c r="Q987" t="s">
        <v>1939</v>
      </c>
      <c r="R987" t="s">
        <v>7171</v>
      </c>
      <c r="U987" t="s">
        <v>491</v>
      </c>
      <c r="X987">
        <v>0</v>
      </c>
    </row>
    <row r="988" spans="1:24" x14ac:dyDescent="0.25">
      <c r="A988" s="234">
        <v>42514</v>
      </c>
      <c r="B988" t="s">
        <v>328</v>
      </c>
      <c r="C988" t="s">
        <v>603</v>
      </c>
      <c r="D988" t="s">
        <v>649</v>
      </c>
      <c r="E988" t="s">
        <v>588</v>
      </c>
      <c r="F988" t="s">
        <v>2238</v>
      </c>
      <c r="H988" t="s">
        <v>1831</v>
      </c>
      <c r="I988" t="s">
        <v>2239</v>
      </c>
      <c r="M988" s="134">
        <v>217000</v>
      </c>
      <c r="N988" s="134">
        <v>0</v>
      </c>
      <c r="O988" t="s">
        <v>2240</v>
      </c>
      <c r="P988" t="s">
        <v>2241</v>
      </c>
      <c r="Q988" t="s">
        <v>29</v>
      </c>
      <c r="R988" t="s">
        <v>2242</v>
      </c>
      <c r="S988" t="s">
        <v>16001</v>
      </c>
      <c r="U988" t="s">
        <v>491</v>
      </c>
      <c r="X988">
        <v>1</v>
      </c>
    </row>
    <row r="989" spans="1:24" x14ac:dyDescent="0.25">
      <c r="A989" s="234">
        <v>43592</v>
      </c>
      <c r="B989" t="s">
        <v>328</v>
      </c>
      <c r="C989" t="s">
        <v>603</v>
      </c>
      <c r="D989" t="s">
        <v>10338</v>
      </c>
      <c r="E989" t="s">
        <v>588</v>
      </c>
      <c r="F989" t="s">
        <v>11457</v>
      </c>
      <c r="G989" t="s">
        <v>11458</v>
      </c>
      <c r="H989" t="s">
        <v>607</v>
      </c>
      <c r="I989" t="s">
        <v>7662</v>
      </c>
      <c r="J989" t="s">
        <v>3533</v>
      </c>
      <c r="K989" t="s">
        <v>15418</v>
      </c>
      <c r="L989">
        <v>1</v>
      </c>
      <c r="M989" s="134">
        <v>217000</v>
      </c>
      <c r="N989" s="134">
        <v>289000</v>
      </c>
      <c r="O989" t="s">
        <v>4533</v>
      </c>
      <c r="P989" t="s">
        <v>11460</v>
      </c>
      <c r="Q989" t="s">
        <v>620</v>
      </c>
      <c r="R989" t="s">
        <v>15419</v>
      </c>
      <c r="U989" t="s">
        <v>491</v>
      </c>
      <c r="X989">
        <v>0</v>
      </c>
    </row>
    <row r="990" spans="1:24" x14ac:dyDescent="0.25">
      <c r="A990" s="234">
        <v>43206</v>
      </c>
      <c r="B990" t="s">
        <v>5176</v>
      </c>
      <c r="C990" t="s">
        <v>604</v>
      </c>
      <c r="D990" t="s">
        <v>595</v>
      </c>
      <c r="E990" t="s">
        <v>588</v>
      </c>
      <c r="F990" t="s">
        <v>10943</v>
      </c>
      <c r="G990" t="s">
        <v>10944</v>
      </c>
      <c r="H990" t="s">
        <v>886</v>
      </c>
      <c r="I990" t="s">
        <v>10945</v>
      </c>
      <c r="J990" t="s">
        <v>959</v>
      </c>
      <c r="M990" s="134">
        <v>218000</v>
      </c>
      <c r="N990" s="134">
        <v>0</v>
      </c>
      <c r="O990" t="s">
        <v>6745</v>
      </c>
      <c r="P990" t="s">
        <v>10946</v>
      </c>
      <c r="Q990" t="s">
        <v>29</v>
      </c>
      <c r="R990" t="s">
        <v>10947</v>
      </c>
      <c r="U990" t="s">
        <v>491</v>
      </c>
      <c r="X990">
        <v>1</v>
      </c>
    </row>
    <row r="991" spans="1:24" x14ac:dyDescent="0.25">
      <c r="A991" s="234">
        <v>42600</v>
      </c>
      <c r="B991" t="s">
        <v>328</v>
      </c>
      <c r="C991" t="s">
        <v>603</v>
      </c>
      <c r="D991" t="s">
        <v>1471</v>
      </c>
      <c r="E991" t="s">
        <v>588</v>
      </c>
      <c r="F991" t="s">
        <v>3476</v>
      </c>
      <c r="H991" t="s">
        <v>905</v>
      </c>
      <c r="I991" t="s">
        <v>3478</v>
      </c>
      <c r="J991" t="s">
        <v>899</v>
      </c>
      <c r="L991">
        <v>10</v>
      </c>
      <c r="M991" s="134">
        <v>218900</v>
      </c>
      <c r="N991" s="134">
        <v>437620</v>
      </c>
      <c r="O991" t="s">
        <v>3479</v>
      </c>
      <c r="P991" t="s">
        <v>3480</v>
      </c>
      <c r="Q991" t="s">
        <v>29</v>
      </c>
      <c r="R991" t="s">
        <v>3481</v>
      </c>
      <c r="U991" t="s">
        <v>491</v>
      </c>
      <c r="X991">
        <v>1</v>
      </c>
    </row>
    <row r="992" spans="1:24" x14ac:dyDescent="0.25">
      <c r="A992" s="234">
        <v>43552</v>
      </c>
      <c r="B992" t="s">
        <v>328</v>
      </c>
      <c r="C992" t="s">
        <v>603</v>
      </c>
      <c r="D992" t="s">
        <v>5701</v>
      </c>
      <c r="F992" t="s">
        <v>14924</v>
      </c>
      <c r="G992" t="s">
        <v>9843</v>
      </c>
      <c r="H992" t="s">
        <v>809</v>
      </c>
      <c r="I992" t="s">
        <v>14925</v>
      </c>
      <c r="J992" t="s">
        <v>3885</v>
      </c>
      <c r="K992" t="s">
        <v>14926</v>
      </c>
      <c r="L992">
        <v>1</v>
      </c>
      <c r="M992" s="134">
        <v>219000</v>
      </c>
      <c r="N992" s="134">
        <v>243900</v>
      </c>
      <c r="O992" t="s">
        <v>10763</v>
      </c>
      <c r="P992" t="s">
        <v>14951</v>
      </c>
      <c r="Q992" t="s">
        <v>592</v>
      </c>
      <c r="R992" t="s">
        <v>14952</v>
      </c>
      <c r="U992" t="s">
        <v>12797</v>
      </c>
      <c r="X992">
        <v>0</v>
      </c>
    </row>
    <row r="993" spans="1:24" x14ac:dyDescent="0.25">
      <c r="A993" s="234">
        <v>42704</v>
      </c>
      <c r="B993" t="s">
        <v>328</v>
      </c>
      <c r="C993" t="s">
        <v>603</v>
      </c>
      <c r="D993" t="s">
        <v>2397</v>
      </c>
      <c r="E993" t="s">
        <v>588</v>
      </c>
      <c r="F993" t="s">
        <v>4863</v>
      </c>
      <c r="H993" t="s">
        <v>905</v>
      </c>
      <c r="I993" t="s">
        <v>4864</v>
      </c>
      <c r="J993" t="s">
        <v>899</v>
      </c>
      <c r="L993">
        <v>4</v>
      </c>
      <c r="M993" s="134">
        <v>219561</v>
      </c>
      <c r="N993" s="134">
        <v>265000</v>
      </c>
      <c r="O993" t="s">
        <v>4865</v>
      </c>
      <c r="P993" t="s">
        <v>4866</v>
      </c>
      <c r="Q993" t="s">
        <v>592</v>
      </c>
      <c r="U993" t="s">
        <v>491</v>
      </c>
      <c r="X993">
        <v>0</v>
      </c>
    </row>
    <row r="994" spans="1:24" x14ac:dyDescent="0.25">
      <c r="A994" s="234">
        <v>43056</v>
      </c>
      <c r="B994" t="s">
        <v>328</v>
      </c>
      <c r="C994" t="s">
        <v>603</v>
      </c>
      <c r="D994" t="s">
        <v>649</v>
      </c>
      <c r="E994" t="s">
        <v>588</v>
      </c>
      <c r="F994" t="s">
        <v>9495</v>
      </c>
      <c r="G994" t="s">
        <v>9494</v>
      </c>
      <c r="H994" t="s">
        <v>5167</v>
      </c>
      <c r="J994" t="s">
        <v>959</v>
      </c>
      <c r="L994">
        <v>4</v>
      </c>
      <c r="M994" s="134">
        <v>220000</v>
      </c>
      <c r="N994" s="134">
        <v>220000</v>
      </c>
      <c r="O994" t="s">
        <v>2455</v>
      </c>
      <c r="P994" t="s">
        <v>9496</v>
      </c>
      <c r="Q994" t="s">
        <v>29</v>
      </c>
      <c r="R994" t="s">
        <v>9493</v>
      </c>
      <c r="U994" t="s">
        <v>1327</v>
      </c>
      <c r="X994">
        <v>1</v>
      </c>
    </row>
    <row r="995" spans="1:24" x14ac:dyDescent="0.25">
      <c r="A995" s="234">
        <v>42577</v>
      </c>
      <c r="B995" t="s">
        <v>328</v>
      </c>
      <c r="C995" t="s">
        <v>603</v>
      </c>
      <c r="D995" t="s">
        <v>587</v>
      </c>
      <c r="E995" t="s">
        <v>588</v>
      </c>
      <c r="F995" t="s">
        <v>3034</v>
      </c>
      <c r="H995" t="s">
        <v>607</v>
      </c>
      <c r="I995" t="s">
        <v>3035</v>
      </c>
      <c r="M995" s="134">
        <v>220000</v>
      </c>
      <c r="N995" s="134">
        <v>220000</v>
      </c>
      <c r="O995" t="s">
        <v>3036</v>
      </c>
      <c r="P995" t="s">
        <v>3037</v>
      </c>
      <c r="Q995" t="s">
        <v>592</v>
      </c>
      <c r="U995" t="s">
        <v>491</v>
      </c>
      <c r="X995">
        <v>0</v>
      </c>
    </row>
    <row r="996" spans="1:24" x14ac:dyDescent="0.25">
      <c r="A996" s="234">
        <v>43196</v>
      </c>
      <c r="B996" t="s">
        <v>328</v>
      </c>
      <c r="C996" t="s">
        <v>603</v>
      </c>
      <c r="D996" t="s">
        <v>7595</v>
      </c>
      <c r="E996" t="s">
        <v>588</v>
      </c>
      <c r="F996" t="s">
        <v>10833</v>
      </c>
      <c r="G996" t="s">
        <v>10834</v>
      </c>
      <c r="H996" t="s">
        <v>905</v>
      </c>
      <c r="I996" t="s">
        <v>8668</v>
      </c>
      <c r="J996" t="s">
        <v>3398</v>
      </c>
      <c r="L996">
        <v>4</v>
      </c>
      <c r="M996" s="134">
        <v>220000</v>
      </c>
      <c r="N996" s="134">
        <v>267000</v>
      </c>
      <c r="O996" t="s">
        <v>10762</v>
      </c>
      <c r="P996" t="s">
        <v>10835</v>
      </c>
      <c r="Q996" t="s">
        <v>592</v>
      </c>
      <c r="R996" t="s">
        <v>10836</v>
      </c>
      <c r="U996" t="s">
        <v>491</v>
      </c>
      <c r="X996">
        <v>0</v>
      </c>
    </row>
    <row r="997" spans="1:24" x14ac:dyDescent="0.25">
      <c r="A997" s="234">
        <v>42850</v>
      </c>
      <c r="B997" t="s">
        <v>643</v>
      </c>
      <c r="C997" t="s">
        <v>644</v>
      </c>
      <c r="D997" t="s">
        <v>645</v>
      </c>
      <c r="E997" t="s">
        <v>588</v>
      </c>
      <c r="F997" t="s">
        <v>6539</v>
      </c>
      <c r="H997" t="s">
        <v>6536</v>
      </c>
      <c r="I997" t="s">
        <v>4444</v>
      </c>
      <c r="J997" t="s">
        <v>644</v>
      </c>
      <c r="L997">
        <v>6</v>
      </c>
      <c r="M997" s="134">
        <v>220000</v>
      </c>
      <c r="N997" s="134">
        <v>270000</v>
      </c>
      <c r="O997" t="s">
        <v>560</v>
      </c>
      <c r="P997" t="s">
        <v>6538</v>
      </c>
      <c r="Q997" t="s">
        <v>592</v>
      </c>
      <c r="U997" t="s">
        <v>491</v>
      </c>
      <c r="X997">
        <v>0</v>
      </c>
    </row>
    <row r="998" spans="1:24" x14ac:dyDescent="0.25">
      <c r="A998" s="234">
        <v>42732</v>
      </c>
      <c r="B998" t="s">
        <v>328</v>
      </c>
      <c r="C998" t="s">
        <v>603</v>
      </c>
      <c r="D998" t="s">
        <v>1471</v>
      </c>
      <c r="E998" t="s">
        <v>588</v>
      </c>
      <c r="F998" t="s">
        <v>5140</v>
      </c>
      <c r="H998" t="s">
        <v>1057</v>
      </c>
      <c r="I998" t="s">
        <v>5141</v>
      </c>
      <c r="J998" t="s">
        <v>644</v>
      </c>
      <c r="L998">
        <v>4</v>
      </c>
      <c r="M998" s="134">
        <v>220000</v>
      </c>
      <c r="N998" s="134">
        <v>282000</v>
      </c>
      <c r="O998" t="s">
        <v>5142</v>
      </c>
      <c r="P998" t="s">
        <v>5143</v>
      </c>
      <c r="Q998" t="s">
        <v>1939</v>
      </c>
      <c r="R998" t="s">
        <v>5144</v>
      </c>
      <c r="U998" t="s">
        <v>1327</v>
      </c>
      <c r="X998">
        <v>0</v>
      </c>
    </row>
    <row r="999" spans="1:24" x14ac:dyDescent="0.25">
      <c r="A999" s="234">
        <v>43348</v>
      </c>
      <c r="B999" t="s">
        <v>9240</v>
      </c>
      <c r="C999" t="s">
        <v>603</v>
      </c>
      <c r="D999" t="s">
        <v>7814</v>
      </c>
      <c r="E999" t="s">
        <v>588</v>
      </c>
      <c r="F999" t="s">
        <v>12515</v>
      </c>
      <c r="G999" t="s">
        <v>12516</v>
      </c>
      <c r="H999" t="s">
        <v>607</v>
      </c>
      <c r="I999" t="s">
        <v>266</v>
      </c>
      <c r="J999" t="s">
        <v>3888</v>
      </c>
      <c r="L999">
        <v>6</v>
      </c>
      <c r="M999" s="134">
        <v>220000</v>
      </c>
      <c r="N999" s="134">
        <v>300000</v>
      </c>
      <c r="O999" t="s">
        <v>10766</v>
      </c>
      <c r="P999" t="s">
        <v>12517</v>
      </c>
      <c r="Q999" t="s">
        <v>620</v>
      </c>
      <c r="R999" t="s">
        <v>12518</v>
      </c>
      <c r="U999" t="s">
        <v>491</v>
      </c>
      <c r="X999">
        <v>0</v>
      </c>
    </row>
    <row r="1000" spans="1:24" x14ac:dyDescent="0.25">
      <c r="A1000" s="234">
        <v>42493</v>
      </c>
      <c r="B1000" t="s">
        <v>320</v>
      </c>
      <c r="D1000" t="s">
        <v>1016</v>
      </c>
      <c r="E1000" t="s">
        <v>588</v>
      </c>
      <c r="F1000" t="s">
        <v>1929</v>
      </c>
      <c r="H1000" t="s">
        <v>607</v>
      </c>
      <c r="I1000" t="s">
        <v>1930</v>
      </c>
      <c r="M1000" s="134">
        <v>220000</v>
      </c>
      <c r="N1000" s="134">
        <v>320000</v>
      </c>
      <c r="O1000" t="s">
        <v>1931</v>
      </c>
      <c r="P1000" t="s">
        <v>1932</v>
      </c>
      <c r="Q1000" t="s">
        <v>592</v>
      </c>
      <c r="U1000" t="s">
        <v>491</v>
      </c>
      <c r="X1000">
        <v>0</v>
      </c>
    </row>
    <row r="1001" spans="1:24" x14ac:dyDescent="0.25">
      <c r="A1001" s="234">
        <v>43196</v>
      </c>
      <c r="B1001" t="s">
        <v>328</v>
      </c>
      <c r="C1001" t="s">
        <v>603</v>
      </c>
      <c r="D1001" t="s">
        <v>7595</v>
      </c>
      <c r="E1001" t="s">
        <v>588</v>
      </c>
      <c r="F1001" t="s">
        <v>10367</v>
      </c>
      <c r="G1001" t="s">
        <v>10839</v>
      </c>
      <c r="H1001" t="s">
        <v>607</v>
      </c>
      <c r="I1001" t="s">
        <v>10840</v>
      </c>
      <c r="J1001" t="s">
        <v>3533</v>
      </c>
      <c r="L1001">
        <v>2</v>
      </c>
      <c r="M1001" s="134">
        <v>220000</v>
      </c>
      <c r="N1001" s="134">
        <v>352000</v>
      </c>
      <c r="O1001" t="s">
        <v>4533</v>
      </c>
      <c r="P1001" t="s">
        <v>10841</v>
      </c>
      <c r="Q1001" t="s">
        <v>29</v>
      </c>
      <c r="R1001" t="s">
        <v>10950</v>
      </c>
      <c r="U1001" t="s">
        <v>491</v>
      </c>
      <c r="X1001">
        <v>1</v>
      </c>
    </row>
    <row r="1002" spans="1:24" x14ac:dyDescent="0.25">
      <c r="A1002" s="234">
        <v>42836</v>
      </c>
      <c r="B1002" t="s">
        <v>328</v>
      </c>
      <c r="C1002" t="s">
        <v>603</v>
      </c>
      <c r="D1002" t="s">
        <v>2397</v>
      </c>
      <c r="E1002" t="s">
        <v>588</v>
      </c>
      <c r="F1002" t="s">
        <v>6370</v>
      </c>
      <c r="H1002" t="s">
        <v>607</v>
      </c>
      <c r="I1002" t="s">
        <v>6371</v>
      </c>
      <c r="J1002" t="s">
        <v>644</v>
      </c>
      <c r="L1002">
        <v>10</v>
      </c>
      <c r="M1002" s="134">
        <v>220000</v>
      </c>
      <c r="N1002" s="134">
        <v>364000</v>
      </c>
      <c r="O1002" t="s">
        <v>2680</v>
      </c>
      <c r="P1002" t="s">
        <v>6665</v>
      </c>
      <c r="Q1002" t="s">
        <v>620</v>
      </c>
      <c r="R1002" t="s">
        <v>6372</v>
      </c>
      <c r="U1002" t="s">
        <v>491</v>
      </c>
      <c r="X1002">
        <v>0</v>
      </c>
    </row>
    <row r="1003" spans="1:24" x14ac:dyDescent="0.25">
      <c r="A1003" s="234">
        <v>43025</v>
      </c>
      <c r="B1003" t="s">
        <v>328</v>
      </c>
      <c r="C1003" t="s">
        <v>603</v>
      </c>
      <c r="D1003" t="s">
        <v>649</v>
      </c>
      <c r="E1003" t="s">
        <v>588</v>
      </c>
      <c r="F1003" t="s">
        <v>9066</v>
      </c>
      <c r="G1003" t="s">
        <v>8515</v>
      </c>
      <c r="H1003" t="s">
        <v>1391</v>
      </c>
      <c r="I1003" t="s">
        <v>9067</v>
      </c>
      <c r="J1003" t="s">
        <v>5509</v>
      </c>
      <c r="L1003">
        <v>10</v>
      </c>
      <c r="M1003" s="134">
        <v>220000</v>
      </c>
      <c r="N1003" s="134">
        <v>364000</v>
      </c>
      <c r="O1003" t="s">
        <v>2680</v>
      </c>
      <c r="P1003" t="s">
        <v>9068</v>
      </c>
      <c r="Q1003" t="s">
        <v>1939</v>
      </c>
      <c r="R1003" t="s">
        <v>9069</v>
      </c>
      <c r="U1003" t="s">
        <v>491</v>
      </c>
      <c r="X1003">
        <v>0</v>
      </c>
    </row>
    <row r="1004" spans="1:24" x14ac:dyDescent="0.25">
      <c r="A1004" s="234">
        <v>43098</v>
      </c>
      <c r="B1004" t="s">
        <v>328</v>
      </c>
      <c r="C1004" t="s">
        <v>603</v>
      </c>
      <c r="D1004" t="s">
        <v>2397</v>
      </c>
      <c r="E1004" t="s">
        <v>588</v>
      </c>
      <c r="F1004" t="s">
        <v>9066</v>
      </c>
      <c r="G1004" t="s">
        <v>8515</v>
      </c>
      <c r="H1004" t="s">
        <v>905</v>
      </c>
      <c r="I1004" t="s">
        <v>9067</v>
      </c>
      <c r="J1004" t="s">
        <v>5509</v>
      </c>
      <c r="L1004">
        <v>10</v>
      </c>
      <c r="M1004" s="134">
        <v>220000</v>
      </c>
      <c r="N1004" s="134">
        <v>364000</v>
      </c>
      <c r="O1004" t="s">
        <v>2680</v>
      </c>
      <c r="P1004" t="s">
        <v>9900</v>
      </c>
      <c r="Q1004" t="s">
        <v>1939</v>
      </c>
      <c r="R1004" t="s">
        <v>9901</v>
      </c>
      <c r="U1004" t="s">
        <v>491</v>
      </c>
      <c r="X1004">
        <v>0</v>
      </c>
    </row>
    <row r="1005" spans="1:24" x14ac:dyDescent="0.25">
      <c r="A1005" s="234">
        <v>42415</v>
      </c>
      <c r="B1005" t="s">
        <v>110</v>
      </c>
      <c r="C1005" t="s">
        <v>761</v>
      </c>
      <c r="D1005" t="s">
        <v>715</v>
      </c>
      <c r="E1005" t="s">
        <v>588</v>
      </c>
      <c r="F1005" t="s">
        <v>986</v>
      </c>
      <c r="H1005" t="s">
        <v>607</v>
      </c>
      <c r="I1005" t="s">
        <v>987</v>
      </c>
      <c r="M1005" s="134">
        <v>220000</v>
      </c>
      <c r="N1005" s="134">
        <v>374000</v>
      </c>
      <c r="O1005" t="s">
        <v>840</v>
      </c>
      <c r="P1005" t="s">
        <v>988</v>
      </c>
      <c r="Q1005" t="s">
        <v>592</v>
      </c>
      <c r="U1005" t="s">
        <v>491</v>
      </c>
      <c r="X1005">
        <v>0</v>
      </c>
    </row>
    <row r="1006" spans="1:24" x14ac:dyDescent="0.25">
      <c r="A1006" s="234">
        <v>42510</v>
      </c>
      <c r="B1006" t="s">
        <v>328</v>
      </c>
      <c r="C1006" t="s">
        <v>603</v>
      </c>
      <c r="D1006" t="s">
        <v>649</v>
      </c>
      <c r="E1006" t="s">
        <v>588</v>
      </c>
      <c r="F1006" t="s">
        <v>2168</v>
      </c>
      <c r="H1006" t="s">
        <v>607</v>
      </c>
      <c r="I1006" t="s">
        <v>2166</v>
      </c>
      <c r="M1006" s="134">
        <v>220000</v>
      </c>
      <c r="N1006" s="134">
        <v>374000</v>
      </c>
      <c r="O1006" t="s">
        <v>974</v>
      </c>
      <c r="P1006" t="s">
        <v>2167</v>
      </c>
      <c r="Q1006" t="s">
        <v>1612</v>
      </c>
      <c r="R1006" t="s">
        <v>15999</v>
      </c>
      <c r="S1006" t="s">
        <v>16000</v>
      </c>
      <c r="U1006" t="s">
        <v>491</v>
      </c>
      <c r="X1006">
        <v>0</v>
      </c>
    </row>
    <row r="1007" spans="1:24" x14ac:dyDescent="0.25">
      <c r="A1007" s="234">
        <v>42892</v>
      </c>
      <c r="B1007" t="s">
        <v>569</v>
      </c>
      <c r="D1007" t="s">
        <v>625</v>
      </c>
      <c r="E1007" t="s">
        <v>588</v>
      </c>
      <c r="F1007" t="s">
        <v>7072</v>
      </c>
      <c r="H1007" t="s">
        <v>607</v>
      </c>
      <c r="I1007" t="s">
        <v>7073</v>
      </c>
      <c r="J1007" t="s">
        <v>899</v>
      </c>
      <c r="M1007" s="134">
        <v>220000</v>
      </c>
      <c r="N1007" s="134">
        <v>384000</v>
      </c>
      <c r="O1007" t="s">
        <v>7074</v>
      </c>
      <c r="P1007" t="s">
        <v>7075</v>
      </c>
      <c r="Q1007" t="s">
        <v>1939</v>
      </c>
      <c r="R1007" t="s">
        <v>7076</v>
      </c>
      <c r="U1007" t="s">
        <v>491</v>
      </c>
      <c r="X1007">
        <v>0</v>
      </c>
    </row>
    <row r="1008" spans="1:24" x14ac:dyDescent="0.25">
      <c r="A1008" s="234">
        <v>43306</v>
      </c>
      <c r="B1008" t="s">
        <v>9240</v>
      </c>
      <c r="C1008" t="s">
        <v>603</v>
      </c>
      <c r="D1008" t="s">
        <v>9241</v>
      </c>
      <c r="E1008" t="s">
        <v>588</v>
      </c>
      <c r="F1008" t="s">
        <v>11932</v>
      </c>
      <c r="G1008" t="s">
        <v>11933</v>
      </c>
      <c r="H1008" t="s">
        <v>607</v>
      </c>
      <c r="I1008" t="s">
        <v>11934</v>
      </c>
      <c r="J1008" t="s">
        <v>5402</v>
      </c>
      <c r="M1008" s="134">
        <v>220000</v>
      </c>
      <c r="N1008" s="134">
        <v>396000</v>
      </c>
      <c r="O1008" t="s">
        <v>10766</v>
      </c>
      <c r="P1008" t="s">
        <v>11935</v>
      </c>
      <c r="Q1008" t="s">
        <v>592</v>
      </c>
      <c r="R1008" t="s">
        <v>11936</v>
      </c>
      <c r="U1008" t="s">
        <v>1327</v>
      </c>
      <c r="X1008">
        <v>0</v>
      </c>
    </row>
    <row r="1009" spans="1:24" x14ac:dyDescent="0.25">
      <c r="A1009" s="234">
        <v>43126</v>
      </c>
      <c r="B1009" t="s">
        <v>328</v>
      </c>
      <c r="C1009" t="s">
        <v>603</v>
      </c>
      <c r="D1009" t="s">
        <v>2204</v>
      </c>
      <c r="E1009" t="s">
        <v>588</v>
      </c>
      <c r="F1009" t="s">
        <v>10126</v>
      </c>
      <c r="G1009" t="s">
        <v>10127</v>
      </c>
      <c r="H1009" t="s">
        <v>607</v>
      </c>
      <c r="I1009" t="s">
        <v>10128</v>
      </c>
      <c r="J1009" t="s">
        <v>3733</v>
      </c>
      <c r="L1009">
        <v>6</v>
      </c>
      <c r="M1009" s="134">
        <v>220000</v>
      </c>
      <c r="N1009" s="134">
        <v>440000</v>
      </c>
      <c r="O1009" t="s">
        <v>4533</v>
      </c>
      <c r="P1009" t="s">
        <v>10130</v>
      </c>
      <c r="Q1009" t="s">
        <v>1939</v>
      </c>
      <c r="R1009" t="s">
        <v>10129</v>
      </c>
      <c r="U1009" t="s">
        <v>1327</v>
      </c>
      <c r="X1009">
        <v>0</v>
      </c>
    </row>
    <row r="1010" spans="1:24" x14ac:dyDescent="0.25">
      <c r="A1010" s="234">
        <v>43342</v>
      </c>
      <c r="B1010" t="s">
        <v>9240</v>
      </c>
      <c r="C1010" t="s">
        <v>603</v>
      </c>
      <c r="D1010" t="s">
        <v>9241</v>
      </c>
      <c r="E1010" t="s">
        <v>588</v>
      </c>
      <c r="F1010" t="s">
        <v>12426</v>
      </c>
      <c r="G1010" t="s">
        <v>12427</v>
      </c>
      <c r="H1010" t="s">
        <v>607</v>
      </c>
      <c r="I1010" t="s">
        <v>12430</v>
      </c>
      <c r="J1010" t="s">
        <v>5610</v>
      </c>
      <c r="L1010">
        <v>2</v>
      </c>
      <c r="M1010" s="134">
        <v>220000</v>
      </c>
      <c r="N1010" s="134">
        <v>440000</v>
      </c>
      <c r="O1010" t="s">
        <v>10765</v>
      </c>
      <c r="P1010" t="s">
        <v>12428</v>
      </c>
      <c r="Q1010" t="s">
        <v>29</v>
      </c>
      <c r="R1010" t="s">
        <v>12429</v>
      </c>
      <c r="U1010" t="s">
        <v>491</v>
      </c>
      <c r="X1010">
        <v>1</v>
      </c>
    </row>
    <row r="1011" spans="1:24" x14ac:dyDescent="0.25">
      <c r="A1011" s="234">
        <v>43559</v>
      </c>
      <c r="B1011" t="s">
        <v>328</v>
      </c>
      <c r="C1011" t="s">
        <v>603</v>
      </c>
      <c r="D1011" t="s">
        <v>649</v>
      </c>
      <c r="F1011" t="s">
        <v>14991</v>
      </c>
      <c r="G1011" t="s">
        <v>14992</v>
      </c>
      <c r="H1011" t="s">
        <v>607</v>
      </c>
      <c r="I1011" t="s">
        <v>8668</v>
      </c>
      <c r="J1011" t="s">
        <v>3398</v>
      </c>
      <c r="K1011" t="s">
        <v>14993</v>
      </c>
      <c r="L1011">
        <v>2</v>
      </c>
      <c r="M1011" s="134">
        <v>220000</v>
      </c>
      <c r="N1011" s="134">
        <v>450000</v>
      </c>
      <c r="O1011" t="s">
        <v>4533</v>
      </c>
      <c r="P1011" t="s">
        <v>14994</v>
      </c>
      <c r="Q1011" t="s">
        <v>29</v>
      </c>
      <c r="R1011" t="s">
        <v>14996</v>
      </c>
      <c r="S1011" t="s">
        <v>14995</v>
      </c>
      <c r="U1011" t="s">
        <v>491</v>
      </c>
      <c r="X1011">
        <v>1</v>
      </c>
    </row>
    <row r="1012" spans="1:24" x14ac:dyDescent="0.25">
      <c r="A1012" s="234">
        <v>42510</v>
      </c>
      <c r="B1012" t="s">
        <v>328</v>
      </c>
      <c r="C1012" t="s">
        <v>603</v>
      </c>
      <c r="D1012" t="s">
        <v>649</v>
      </c>
      <c r="E1012" t="s">
        <v>588</v>
      </c>
      <c r="F1012" t="s">
        <v>2169</v>
      </c>
      <c r="H1012" t="s">
        <v>607</v>
      </c>
      <c r="I1012" t="s">
        <v>2170</v>
      </c>
      <c r="M1012" s="134">
        <v>220800</v>
      </c>
      <c r="N1012" s="134">
        <v>351500</v>
      </c>
      <c r="O1012" t="s">
        <v>2171</v>
      </c>
      <c r="P1012" t="s">
        <v>2172</v>
      </c>
      <c r="Q1012" t="s">
        <v>592</v>
      </c>
      <c r="U1012" t="s">
        <v>491</v>
      </c>
      <c r="X1012">
        <v>0</v>
      </c>
    </row>
    <row r="1013" spans="1:24" x14ac:dyDescent="0.25">
      <c r="A1013" s="234">
        <v>43039</v>
      </c>
      <c r="B1013" t="s">
        <v>5176</v>
      </c>
      <c r="C1013" t="s">
        <v>604</v>
      </c>
      <c r="D1013" t="s">
        <v>595</v>
      </c>
      <c r="E1013" t="s">
        <v>588</v>
      </c>
      <c r="F1013" t="s">
        <v>9260</v>
      </c>
      <c r="G1013" t="s">
        <v>9261</v>
      </c>
      <c r="H1013" t="s">
        <v>9262</v>
      </c>
      <c r="I1013" t="s">
        <v>228</v>
      </c>
      <c r="J1013" t="s">
        <v>4785</v>
      </c>
      <c r="L1013">
        <v>3</v>
      </c>
      <c r="M1013" s="134">
        <v>221000</v>
      </c>
      <c r="N1013" s="134">
        <v>226000</v>
      </c>
      <c r="O1013" t="s">
        <v>639</v>
      </c>
      <c r="P1013" t="s">
        <v>9263</v>
      </c>
      <c r="Q1013" t="s">
        <v>29</v>
      </c>
      <c r="R1013" t="s">
        <v>9264</v>
      </c>
      <c r="U1013" t="s">
        <v>491</v>
      </c>
      <c r="X1013">
        <v>1</v>
      </c>
    </row>
    <row r="1014" spans="1:24" x14ac:dyDescent="0.25">
      <c r="A1014" s="234">
        <v>43474</v>
      </c>
      <c r="B1014" t="s">
        <v>328</v>
      </c>
      <c r="C1014" t="s">
        <v>603</v>
      </c>
      <c r="D1014" t="s">
        <v>10338</v>
      </c>
      <c r="F1014" t="s">
        <v>13895</v>
      </c>
      <c r="G1014" t="s">
        <v>13896</v>
      </c>
      <c r="H1014" t="s">
        <v>607</v>
      </c>
      <c r="I1014" t="s">
        <v>8662</v>
      </c>
      <c r="J1014" t="s">
        <v>6015</v>
      </c>
      <c r="K1014" t="s">
        <v>13897</v>
      </c>
      <c r="L1014">
        <v>2</v>
      </c>
      <c r="M1014" s="134">
        <v>221000</v>
      </c>
      <c r="N1014" s="134">
        <v>419900</v>
      </c>
      <c r="O1014" t="s">
        <v>4533</v>
      </c>
      <c r="P1014" t="s">
        <v>13898</v>
      </c>
      <c r="Q1014" t="s">
        <v>1939</v>
      </c>
      <c r="R1014" t="s">
        <v>13899</v>
      </c>
      <c r="U1014" t="s">
        <v>12797</v>
      </c>
      <c r="X1014">
        <v>0</v>
      </c>
    </row>
    <row r="1015" spans="1:24" x14ac:dyDescent="0.25">
      <c r="A1015" s="234">
        <v>42622</v>
      </c>
      <c r="B1015" t="s">
        <v>378</v>
      </c>
      <c r="C1015" t="s">
        <v>623</v>
      </c>
      <c r="D1015" t="s">
        <v>625</v>
      </c>
      <c r="E1015" t="s">
        <v>1707</v>
      </c>
      <c r="F1015" t="s">
        <v>3860</v>
      </c>
      <c r="H1015" t="s">
        <v>886</v>
      </c>
      <c r="I1015" t="s">
        <v>3861</v>
      </c>
      <c r="J1015" t="s">
        <v>899</v>
      </c>
      <c r="L1015">
        <v>3</v>
      </c>
      <c r="M1015" s="134">
        <v>221300</v>
      </c>
      <c r="N1015" s="134">
        <v>398000</v>
      </c>
      <c r="O1015" t="s">
        <v>3851</v>
      </c>
      <c r="P1015" t="s">
        <v>3862</v>
      </c>
      <c r="Q1015" t="s">
        <v>620</v>
      </c>
      <c r="R1015" t="s">
        <v>3863</v>
      </c>
      <c r="U1015" t="s">
        <v>491</v>
      </c>
      <c r="X1015">
        <v>0</v>
      </c>
    </row>
    <row r="1016" spans="1:24" x14ac:dyDescent="0.25">
      <c r="A1016" s="234">
        <v>42870</v>
      </c>
      <c r="B1016" t="s">
        <v>328</v>
      </c>
      <c r="C1016" t="s">
        <v>603</v>
      </c>
      <c r="D1016" t="s">
        <v>1401</v>
      </c>
      <c r="E1016" t="s">
        <v>588</v>
      </c>
      <c r="F1016" t="s">
        <v>6786</v>
      </c>
      <c r="H1016" t="s">
        <v>607</v>
      </c>
      <c r="I1016" t="s">
        <v>6787</v>
      </c>
      <c r="J1016" t="s">
        <v>3371</v>
      </c>
      <c r="M1016" s="134">
        <v>221600</v>
      </c>
      <c r="N1016" s="134">
        <v>465360</v>
      </c>
      <c r="O1016" t="s">
        <v>3952</v>
      </c>
      <c r="P1016" t="s">
        <v>6788</v>
      </c>
      <c r="Q1016" t="s">
        <v>592</v>
      </c>
      <c r="R1016" t="s">
        <v>6789</v>
      </c>
      <c r="U1016" t="s">
        <v>491</v>
      </c>
      <c r="X1016">
        <v>0</v>
      </c>
    </row>
    <row r="1017" spans="1:24" x14ac:dyDescent="0.25">
      <c r="A1017" s="234">
        <v>43327</v>
      </c>
      <c r="B1017" t="s">
        <v>9240</v>
      </c>
      <c r="C1017" t="s">
        <v>603</v>
      </c>
      <c r="D1017" t="s">
        <v>9849</v>
      </c>
      <c r="E1017" t="s">
        <v>588</v>
      </c>
      <c r="F1017" t="s">
        <v>12208</v>
      </c>
      <c r="G1017" t="s">
        <v>12208</v>
      </c>
      <c r="H1017" t="s">
        <v>607</v>
      </c>
      <c r="I1017" t="s">
        <v>9791</v>
      </c>
      <c r="J1017" t="s">
        <v>4031</v>
      </c>
      <c r="L1017">
        <v>2</v>
      </c>
      <c r="M1017" s="134">
        <v>222000</v>
      </c>
      <c r="N1017" s="134">
        <v>421800</v>
      </c>
      <c r="O1017" t="s">
        <v>10766</v>
      </c>
      <c r="P1017" t="s">
        <v>12502</v>
      </c>
      <c r="Q1017" t="s">
        <v>1939</v>
      </c>
      <c r="R1017" t="s">
        <v>12209</v>
      </c>
      <c r="U1017" t="s">
        <v>1327</v>
      </c>
      <c r="X1017">
        <v>0</v>
      </c>
    </row>
    <row r="1018" spans="1:24" x14ac:dyDescent="0.25">
      <c r="A1018" s="234">
        <v>43018</v>
      </c>
      <c r="B1018" t="s">
        <v>328</v>
      </c>
      <c r="C1018" t="s">
        <v>603</v>
      </c>
      <c r="D1018" t="s">
        <v>649</v>
      </c>
      <c r="E1018" t="s">
        <v>588</v>
      </c>
      <c r="F1018" t="s">
        <v>8955</v>
      </c>
      <c r="G1018" t="s">
        <v>8044</v>
      </c>
      <c r="H1018" t="s">
        <v>607</v>
      </c>
      <c r="J1018" t="s">
        <v>5562</v>
      </c>
      <c r="M1018" s="134">
        <v>223400</v>
      </c>
      <c r="N1018" s="134">
        <v>446800</v>
      </c>
      <c r="O1018" t="s">
        <v>4533</v>
      </c>
      <c r="P1018" t="s">
        <v>9273</v>
      </c>
      <c r="Q1018" t="s">
        <v>29</v>
      </c>
      <c r="R1018" t="s">
        <v>8956</v>
      </c>
      <c r="U1018" t="s">
        <v>491</v>
      </c>
      <c r="X1018">
        <v>1</v>
      </c>
    </row>
    <row r="1019" spans="1:24" x14ac:dyDescent="0.25">
      <c r="A1019" s="234">
        <v>42765</v>
      </c>
      <c r="B1019" t="s">
        <v>328</v>
      </c>
      <c r="C1019" t="s">
        <v>603</v>
      </c>
      <c r="D1019" t="s">
        <v>649</v>
      </c>
      <c r="E1019" t="s">
        <v>588</v>
      </c>
      <c r="F1019" t="s">
        <v>5535</v>
      </c>
      <c r="H1019" t="s">
        <v>742</v>
      </c>
      <c r="I1019" t="s">
        <v>3929</v>
      </c>
      <c r="J1019" t="s">
        <v>899</v>
      </c>
      <c r="M1019" s="134">
        <v>225000</v>
      </c>
      <c r="N1019" s="134">
        <v>0</v>
      </c>
      <c r="O1019" t="s">
        <v>3886</v>
      </c>
      <c r="P1019" t="s">
        <v>5536</v>
      </c>
      <c r="Q1019" t="s">
        <v>592</v>
      </c>
      <c r="R1019" t="s">
        <v>5537</v>
      </c>
      <c r="U1019" t="s">
        <v>491</v>
      </c>
      <c r="X1019">
        <v>0</v>
      </c>
    </row>
    <row r="1020" spans="1:24" x14ac:dyDescent="0.25">
      <c r="A1020" s="234">
        <v>42534</v>
      </c>
      <c r="B1020" t="s">
        <v>378</v>
      </c>
      <c r="C1020" t="s">
        <v>610</v>
      </c>
      <c r="D1020" t="s">
        <v>1027</v>
      </c>
      <c r="E1020" t="s">
        <v>588</v>
      </c>
      <c r="F1020" t="s">
        <v>2473</v>
      </c>
      <c r="H1020" t="s">
        <v>607</v>
      </c>
      <c r="I1020" t="s">
        <v>2474</v>
      </c>
      <c r="M1020" s="134">
        <v>225000</v>
      </c>
      <c r="N1020" s="134">
        <v>0</v>
      </c>
      <c r="O1020" t="s">
        <v>2475</v>
      </c>
      <c r="P1020" t="s">
        <v>2476</v>
      </c>
      <c r="Q1020" t="s">
        <v>1939</v>
      </c>
      <c r="R1020" t="s">
        <v>2477</v>
      </c>
      <c r="U1020" t="s">
        <v>491</v>
      </c>
      <c r="X1020">
        <v>0</v>
      </c>
    </row>
    <row r="1021" spans="1:24" x14ac:dyDescent="0.25">
      <c r="A1021" s="234">
        <v>42613</v>
      </c>
      <c r="B1021" t="s">
        <v>378</v>
      </c>
      <c r="C1021" t="s">
        <v>623</v>
      </c>
      <c r="D1021" t="s">
        <v>625</v>
      </c>
      <c r="E1021" t="s">
        <v>588</v>
      </c>
      <c r="H1021" t="s">
        <v>607</v>
      </c>
      <c r="I1021" t="s">
        <v>3721</v>
      </c>
      <c r="J1021" t="s">
        <v>899</v>
      </c>
      <c r="M1021" s="134">
        <v>225000</v>
      </c>
      <c r="N1021" s="134">
        <v>0</v>
      </c>
      <c r="P1021" t="s">
        <v>3722</v>
      </c>
      <c r="Q1021" t="s">
        <v>29</v>
      </c>
      <c r="R1021" t="s">
        <v>3723</v>
      </c>
      <c r="U1021" t="s">
        <v>491</v>
      </c>
      <c r="X1021">
        <v>1</v>
      </c>
    </row>
    <row r="1022" spans="1:24" x14ac:dyDescent="0.25">
      <c r="A1022" s="234">
        <v>42759</v>
      </c>
      <c r="B1022" t="s">
        <v>5176</v>
      </c>
      <c r="D1022" t="s">
        <v>2454</v>
      </c>
      <c r="E1022" t="s">
        <v>588</v>
      </c>
      <c r="F1022" t="s">
        <v>5430</v>
      </c>
      <c r="H1022" t="s">
        <v>809</v>
      </c>
      <c r="I1022" t="s">
        <v>4942</v>
      </c>
      <c r="J1022" t="s">
        <v>959</v>
      </c>
      <c r="M1022" s="134">
        <v>225000</v>
      </c>
      <c r="N1022" s="134">
        <v>225000</v>
      </c>
      <c r="O1022" t="s">
        <v>5431</v>
      </c>
      <c r="P1022" t="s">
        <v>5432</v>
      </c>
      <c r="Q1022" t="s">
        <v>1939</v>
      </c>
      <c r="R1022" t="s">
        <v>5433</v>
      </c>
      <c r="U1022" t="s">
        <v>491</v>
      </c>
      <c r="X1022">
        <v>0</v>
      </c>
    </row>
    <row r="1023" spans="1:24" x14ac:dyDescent="0.25">
      <c r="A1023" s="234">
        <v>42541</v>
      </c>
      <c r="B1023" t="s">
        <v>328</v>
      </c>
      <c r="C1023" t="s">
        <v>603</v>
      </c>
      <c r="D1023" t="s">
        <v>1471</v>
      </c>
      <c r="E1023" t="s">
        <v>588</v>
      </c>
      <c r="F1023" t="s">
        <v>2597</v>
      </c>
      <c r="H1023" t="s">
        <v>722</v>
      </c>
      <c r="I1023" t="s">
        <v>2600</v>
      </c>
      <c r="M1023" s="134">
        <v>225000</v>
      </c>
      <c r="N1023" s="134">
        <v>265000</v>
      </c>
      <c r="O1023" t="s">
        <v>2598</v>
      </c>
      <c r="P1023" t="s">
        <v>2602</v>
      </c>
      <c r="Q1023" t="s">
        <v>1612</v>
      </c>
      <c r="R1023" t="s">
        <v>2601</v>
      </c>
      <c r="S1023" t="s">
        <v>2690</v>
      </c>
      <c r="U1023" t="s">
        <v>491</v>
      </c>
      <c r="X1023">
        <v>0</v>
      </c>
    </row>
    <row r="1024" spans="1:24" x14ac:dyDescent="0.25">
      <c r="A1024" s="234">
        <v>43545</v>
      </c>
      <c r="B1024" t="s">
        <v>328</v>
      </c>
      <c r="C1024" t="s">
        <v>603</v>
      </c>
      <c r="D1024" t="s">
        <v>5701</v>
      </c>
      <c r="F1024" t="s">
        <v>14795</v>
      </c>
      <c r="G1024" t="s">
        <v>14796</v>
      </c>
      <c r="H1024" t="s">
        <v>809</v>
      </c>
      <c r="I1024" t="s">
        <v>8687</v>
      </c>
      <c r="J1024" t="s">
        <v>3373</v>
      </c>
      <c r="K1024" t="s">
        <v>14797</v>
      </c>
      <c r="L1024">
        <v>9</v>
      </c>
      <c r="M1024" s="134">
        <v>225000</v>
      </c>
      <c r="N1024" s="134">
        <v>275000</v>
      </c>
      <c r="O1024" t="s">
        <v>10766</v>
      </c>
      <c r="P1024" t="s">
        <v>14798</v>
      </c>
      <c r="Q1024" t="s">
        <v>29</v>
      </c>
      <c r="R1024" t="s">
        <v>14844</v>
      </c>
      <c r="S1024" t="s">
        <v>833</v>
      </c>
      <c r="U1024" t="s">
        <v>491</v>
      </c>
      <c r="X1024">
        <v>1</v>
      </c>
    </row>
    <row r="1025" spans="1:24" x14ac:dyDescent="0.25">
      <c r="A1025" s="234">
        <v>42951</v>
      </c>
      <c r="B1025" t="s">
        <v>328</v>
      </c>
      <c r="C1025" t="s">
        <v>603</v>
      </c>
      <c r="D1025" t="s">
        <v>5701</v>
      </c>
      <c r="E1025" t="s">
        <v>588</v>
      </c>
      <c r="F1025" t="s">
        <v>7985</v>
      </c>
      <c r="G1025" t="s">
        <v>7986</v>
      </c>
      <c r="H1025" t="s">
        <v>905</v>
      </c>
      <c r="I1025" t="s">
        <v>7987</v>
      </c>
      <c r="J1025" t="s">
        <v>644</v>
      </c>
      <c r="L1025">
        <v>2</v>
      </c>
      <c r="M1025" s="134">
        <v>225000</v>
      </c>
      <c r="N1025" s="134">
        <v>275000</v>
      </c>
      <c r="O1025" t="s">
        <v>5502</v>
      </c>
      <c r="P1025" t="s">
        <v>7988</v>
      </c>
      <c r="Q1025" t="s">
        <v>1612</v>
      </c>
      <c r="R1025" t="s">
        <v>7995</v>
      </c>
      <c r="S1025" t="s">
        <v>7989</v>
      </c>
      <c r="T1025">
        <v>38</v>
      </c>
      <c r="U1025" t="s">
        <v>491</v>
      </c>
      <c r="X1025">
        <v>0</v>
      </c>
    </row>
    <row r="1026" spans="1:24" x14ac:dyDescent="0.25">
      <c r="A1026" s="234">
        <v>43327</v>
      </c>
      <c r="B1026" t="s">
        <v>569</v>
      </c>
      <c r="C1026" t="s">
        <v>899</v>
      </c>
      <c r="D1026" t="s">
        <v>611</v>
      </c>
      <c r="E1026" t="s">
        <v>588</v>
      </c>
      <c r="F1026" t="s">
        <v>12116</v>
      </c>
      <c r="G1026" t="s">
        <v>7714</v>
      </c>
      <c r="H1026" t="s">
        <v>607</v>
      </c>
      <c r="I1026" t="s">
        <v>2054</v>
      </c>
      <c r="J1026" t="s">
        <v>899</v>
      </c>
      <c r="M1026" s="134">
        <v>225000</v>
      </c>
      <c r="N1026" s="134">
        <v>280000</v>
      </c>
      <c r="O1026" t="s">
        <v>10766</v>
      </c>
      <c r="P1026" t="s">
        <v>12117</v>
      </c>
      <c r="Q1026" t="s">
        <v>1939</v>
      </c>
      <c r="R1026" t="s">
        <v>12118</v>
      </c>
      <c r="U1026" t="s">
        <v>491</v>
      </c>
      <c r="X1026">
        <v>0</v>
      </c>
    </row>
    <row r="1027" spans="1:24" x14ac:dyDescent="0.25">
      <c r="A1027" s="234">
        <v>43256</v>
      </c>
      <c r="B1027" t="s">
        <v>328</v>
      </c>
      <c r="C1027" t="s">
        <v>603</v>
      </c>
      <c r="D1027" t="s">
        <v>649</v>
      </c>
      <c r="E1027" t="s">
        <v>588</v>
      </c>
      <c r="F1027" t="s">
        <v>11457</v>
      </c>
      <c r="G1027" t="s">
        <v>11458</v>
      </c>
      <c r="H1027" t="s">
        <v>607</v>
      </c>
      <c r="I1027" t="s">
        <v>7662</v>
      </c>
      <c r="J1027" t="s">
        <v>3533</v>
      </c>
      <c r="L1027">
        <v>1</v>
      </c>
      <c r="M1027" s="134">
        <v>225000</v>
      </c>
      <c r="N1027" s="134">
        <v>325000</v>
      </c>
      <c r="O1027" t="s">
        <v>4533</v>
      </c>
      <c r="P1027" t="s">
        <v>11460</v>
      </c>
      <c r="Q1027" t="s">
        <v>1939</v>
      </c>
      <c r="R1027" t="s">
        <v>11459</v>
      </c>
      <c r="U1027" t="s">
        <v>1327</v>
      </c>
      <c r="X1027">
        <v>0</v>
      </c>
    </row>
    <row r="1028" spans="1:24" x14ac:dyDescent="0.25">
      <c r="A1028" s="234">
        <v>42396</v>
      </c>
      <c r="B1028" t="s">
        <v>110</v>
      </c>
      <c r="D1028" t="s">
        <v>715</v>
      </c>
      <c r="E1028" t="s">
        <v>588</v>
      </c>
      <c r="F1028" t="s">
        <v>838</v>
      </c>
      <c r="H1028" t="s">
        <v>607</v>
      </c>
      <c r="I1028" t="s">
        <v>839</v>
      </c>
      <c r="M1028" s="134">
        <v>225000</v>
      </c>
      <c r="N1028" s="134">
        <v>382500</v>
      </c>
      <c r="O1028" t="s">
        <v>840</v>
      </c>
      <c r="P1028" t="s">
        <v>841</v>
      </c>
      <c r="Q1028" t="s">
        <v>592</v>
      </c>
      <c r="U1028" t="s">
        <v>491</v>
      </c>
      <c r="X1028">
        <v>0</v>
      </c>
    </row>
    <row r="1029" spans="1:24" x14ac:dyDescent="0.25">
      <c r="A1029" s="234">
        <v>43446</v>
      </c>
      <c r="B1029" t="s">
        <v>328</v>
      </c>
      <c r="C1029" t="s">
        <v>603</v>
      </c>
      <c r="D1029" t="s">
        <v>8941</v>
      </c>
      <c r="F1029" t="s">
        <v>13599</v>
      </c>
      <c r="G1029" t="s">
        <v>13600</v>
      </c>
      <c r="H1029" t="s">
        <v>607</v>
      </c>
      <c r="I1029" t="s">
        <v>11492</v>
      </c>
      <c r="J1029" t="s">
        <v>3523</v>
      </c>
      <c r="K1029" t="s">
        <v>13601</v>
      </c>
      <c r="L1029">
        <v>4</v>
      </c>
      <c r="M1029" s="134">
        <v>225000</v>
      </c>
      <c r="N1029" s="134">
        <v>387000</v>
      </c>
      <c r="O1029" t="s">
        <v>4533</v>
      </c>
      <c r="P1029" t="s">
        <v>13602</v>
      </c>
      <c r="Q1029" t="s">
        <v>1939</v>
      </c>
      <c r="R1029" t="s">
        <v>13603</v>
      </c>
      <c r="S1029" t="s">
        <v>13604</v>
      </c>
      <c r="U1029" t="s">
        <v>491</v>
      </c>
      <c r="X1029">
        <v>0</v>
      </c>
    </row>
    <row r="1030" spans="1:24" x14ac:dyDescent="0.25">
      <c r="A1030" s="234">
        <v>42843</v>
      </c>
      <c r="B1030" t="s">
        <v>328</v>
      </c>
      <c r="C1030" t="s">
        <v>603</v>
      </c>
      <c r="D1030" t="s">
        <v>649</v>
      </c>
      <c r="E1030" t="s">
        <v>588</v>
      </c>
      <c r="F1030" t="s">
        <v>6463</v>
      </c>
      <c r="H1030" t="s">
        <v>607</v>
      </c>
      <c r="I1030" t="s">
        <v>6464</v>
      </c>
      <c r="J1030" t="s">
        <v>3733</v>
      </c>
      <c r="L1030">
        <v>10</v>
      </c>
      <c r="M1030" s="134">
        <v>225000</v>
      </c>
      <c r="N1030" s="134">
        <v>400000</v>
      </c>
      <c r="O1030" t="s">
        <v>2680</v>
      </c>
      <c r="P1030" t="s">
        <v>6465</v>
      </c>
      <c r="Q1030" t="s">
        <v>1939</v>
      </c>
      <c r="R1030" t="s">
        <v>6466</v>
      </c>
      <c r="U1030" t="s">
        <v>491</v>
      </c>
      <c r="X1030">
        <v>0</v>
      </c>
    </row>
    <row r="1031" spans="1:24" x14ac:dyDescent="0.25">
      <c r="A1031" s="234">
        <v>43487</v>
      </c>
      <c r="B1031" t="s">
        <v>328</v>
      </c>
      <c r="C1031" t="s">
        <v>603</v>
      </c>
      <c r="D1031" t="s">
        <v>10705</v>
      </c>
      <c r="F1031" t="s">
        <v>14081</v>
      </c>
      <c r="G1031" t="s">
        <v>9461</v>
      </c>
      <c r="H1031" t="s">
        <v>607</v>
      </c>
      <c r="I1031" t="s">
        <v>4192</v>
      </c>
      <c r="J1031" t="s">
        <v>3398</v>
      </c>
      <c r="K1031" t="s">
        <v>14082</v>
      </c>
      <c r="L1031">
        <v>1</v>
      </c>
      <c r="M1031" s="134">
        <v>225000</v>
      </c>
      <c r="N1031" s="134">
        <v>471500</v>
      </c>
      <c r="O1031" t="s">
        <v>4533</v>
      </c>
      <c r="P1031" t="s">
        <v>14249</v>
      </c>
      <c r="Q1031" t="s">
        <v>1939</v>
      </c>
      <c r="R1031" t="s">
        <v>14083</v>
      </c>
      <c r="U1031" t="s">
        <v>12797</v>
      </c>
      <c r="X1031">
        <v>0</v>
      </c>
    </row>
    <row r="1032" spans="1:24" x14ac:dyDescent="0.25">
      <c r="A1032" s="234">
        <v>43577</v>
      </c>
      <c r="B1032" t="s">
        <v>328</v>
      </c>
      <c r="C1032" t="s">
        <v>603</v>
      </c>
      <c r="D1032" t="s">
        <v>5701</v>
      </c>
      <c r="E1032" t="s">
        <v>588</v>
      </c>
      <c r="F1032" t="s">
        <v>11359</v>
      </c>
      <c r="G1032" t="s">
        <v>7714</v>
      </c>
      <c r="H1032" t="s">
        <v>607</v>
      </c>
      <c r="I1032" t="s">
        <v>15161</v>
      </c>
      <c r="J1032" t="s">
        <v>3751</v>
      </c>
      <c r="K1032" t="s">
        <v>15162</v>
      </c>
      <c r="L1032">
        <v>9</v>
      </c>
      <c r="M1032" s="134">
        <v>225000</v>
      </c>
      <c r="N1032" s="134">
        <v>472500</v>
      </c>
      <c r="O1032" t="s">
        <v>4533</v>
      </c>
      <c r="P1032" t="s">
        <v>15163</v>
      </c>
      <c r="Q1032" t="s">
        <v>1612</v>
      </c>
      <c r="R1032" t="s">
        <v>15341</v>
      </c>
      <c r="S1032" t="s">
        <v>15164</v>
      </c>
      <c r="U1032" t="s">
        <v>491</v>
      </c>
      <c r="X1032">
        <v>0</v>
      </c>
    </row>
    <row r="1033" spans="1:24" x14ac:dyDescent="0.25">
      <c r="A1033" s="234">
        <v>43249</v>
      </c>
      <c r="B1033" t="s">
        <v>328</v>
      </c>
      <c r="C1033" t="s">
        <v>603</v>
      </c>
      <c r="D1033" t="s">
        <v>757</v>
      </c>
      <c r="E1033" t="s">
        <v>588</v>
      </c>
      <c r="F1033" t="s">
        <v>11359</v>
      </c>
      <c r="G1033" t="s">
        <v>7714</v>
      </c>
      <c r="H1033" t="s">
        <v>607</v>
      </c>
      <c r="J1033" t="s">
        <v>3751</v>
      </c>
      <c r="L1033">
        <v>9</v>
      </c>
      <c r="M1033" s="134">
        <v>225000</v>
      </c>
      <c r="N1033" s="134">
        <v>472500</v>
      </c>
      <c r="O1033" t="s">
        <v>4533</v>
      </c>
      <c r="P1033" t="s">
        <v>11413</v>
      </c>
      <c r="Q1033" t="s">
        <v>1939</v>
      </c>
      <c r="R1033" t="s">
        <v>11360</v>
      </c>
      <c r="U1033" t="s">
        <v>1327</v>
      </c>
      <c r="X1033">
        <v>0</v>
      </c>
    </row>
    <row r="1034" spans="1:24" x14ac:dyDescent="0.25">
      <c r="A1034" s="234">
        <v>43027</v>
      </c>
      <c r="B1034" t="s">
        <v>328</v>
      </c>
      <c r="C1034" t="s">
        <v>603</v>
      </c>
      <c r="D1034" t="s">
        <v>672</v>
      </c>
      <c r="E1034" t="s">
        <v>588</v>
      </c>
      <c r="F1034" t="s">
        <v>9094</v>
      </c>
      <c r="G1034" t="s">
        <v>9091</v>
      </c>
      <c r="H1034" t="s">
        <v>1391</v>
      </c>
      <c r="I1034" t="s">
        <v>9092</v>
      </c>
      <c r="J1034" t="s">
        <v>3733</v>
      </c>
      <c r="L1034">
        <v>10</v>
      </c>
      <c r="M1034" s="134">
        <v>226728</v>
      </c>
      <c r="N1034" s="134">
        <v>527970</v>
      </c>
      <c r="O1034" t="s">
        <v>2680</v>
      </c>
      <c r="P1034" t="s">
        <v>9275</v>
      </c>
      <c r="Q1034" t="s">
        <v>1939</v>
      </c>
      <c r="R1034" t="s">
        <v>9413</v>
      </c>
      <c r="S1034" t="s">
        <v>9093</v>
      </c>
      <c r="U1034" t="s">
        <v>491</v>
      </c>
      <c r="X1034">
        <v>0</v>
      </c>
    </row>
    <row r="1035" spans="1:24" x14ac:dyDescent="0.25">
      <c r="A1035" s="234">
        <v>42669</v>
      </c>
      <c r="B1035" t="s">
        <v>643</v>
      </c>
      <c r="C1035" t="s">
        <v>644</v>
      </c>
      <c r="D1035" t="s">
        <v>645</v>
      </c>
      <c r="E1035" t="s">
        <v>588</v>
      </c>
      <c r="F1035" t="s">
        <v>4483</v>
      </c>
      <c r="H1035" t="s">
        <v>905</v>
      </c>
      <c r="I1035" t="s">
        <v>4484</v>
      </c>
      <c r="J1035" t="s">
        <v>644</v>
      </c>
      <c r="L1035">
        <v>10</v>
      </c>
      <c r="M1035" s="134">
        <v>227000</v>
      </c>
      <c r="N1035" s="134">
        <v>272400</v>
      </c>
      <c r="O1035" t="s">
        <v>4485</v>
      </c>
      <c r="P1035" t="s">
        <v>4486</v>
      </c>
      <c r="Q1035" t="s">
        <v>1939</v>
      </c>
      <c r="R1035" t="s">
        <v>4487</v>
      </c>
      <c r="U1035" t="s">
        <v>491</v>
      </c>
      <c r="X1035">
        <v>0</v>
      </c>
    </row>
    <row r="1036" spans="1:24" x14ac:dyDescent="0.25">
      <c r="A1036" s="234">
        <v>42773</v>
      </c>
      <c r="B1036" t="s">
        <v>5992</v>
      </c>
      <c r="C1036" t="s">
        <v>608</v>
      </c>
      <c r="D1036" t="s">
        <v>5419</v>
      </c>
      <c r="E1036" t="s">
        <v>588</v>
      </c>
      <c r="F1036" t="s">
        <v>5629</v>
      </c>
      <c r="H1036" t="s">
        <v>607</v>
      </c>
      <c r="I1036" t="s">
        <v>5630</v>
      </c>
      <c r="J1036" t="s">
        <v>608</v>
      </c>
      <c r="L1036" t="s">
        <v>833</v>
      </c>
      <c r="M1036" s="134">
        <v>227600</v>
      </c>
      <c r="N1036" s="134">
        <v>455200</v>
      </c>
      <c r="O1036" t="s">
        <v>5631</v>
      </c>
      <c r="P1036" t="s">
        <v>5633</v>
      </c>
      <c r="Q1036" t="s">
        <v>1939</v>
      </c>
      <c r="R1036" t="s">
        <v>5632</v>
      </c>
      <c r="U1036" t="s">
        <v>491</v>
      </c>
      <c r="X1036">
        <v>0</v>
      </c>
    </row>
    <row r="1037" spans="1:24" x14ac:dyDescent="0.25">
      <c r="A1037" s="234">
        <v>42809</v>
      </c>
      <c r="B1037" t="s">
        <v>328</v>
      </c>
      <c r="C1037" t="s">
        <v>603</v>
      </c>
      <c r="D1037" t="s">
        <v>5701</v>
      </c>
      <c r="E1037" t="s">
        <v>588</v>
      </c>
      <c r="F1037" t="s">
        <v>5964</v>
      </c>
      <c r="H1037" t="s">
        <v>607</v>
      </c>
      <c r="J1037" t="s">
        <v>899</v>
      </c>
      <c r="L1037">
        <v>9</v>
      </c>
      <c r="M1037" s="134">
        <v>227614</v>
      </c>
      <c r="N1037" s="134">
        <v>341375</v>
      </c>
      <c r="O1037" t="s">
        <v>5965</v>
      </c>
      <c r="P1037" t="s">
        <v>6305</v>
      </c>
      <c r="Q1037" t="s">
        <v>620</v>
      </c>
      <c r="R1037" t="s">
        <v>5986</v>
      </c>
      <c r="U1037" t="s">
        <v>491</v>
      </c>
      <c r="X1037">
        <v>0</v>
      </c>
    </row>
    <row r="1038" spans="1:24" x14ac:dyDescent="0.25">
      <c r="A1038" s="234">
        <v>42702</v>
      </c>
      <c r="B1038" t="s">
        <v>1486</v>
      </c>
      <c r="C1038" t="s">
        <v>1883</v>
      </c>
      <c r="D1038" t="s">
        <v>2454</v>
      </c>
      <c r="E1038" t="s">
        <v>588</v>
      </c>
      <c r="F1038" t="s">
        <v>4823</v>
      </c>
      <c r="H1038" t="s">
        <v>809</v>
      </c>
      <c r="I1038" t="s">
        <v>4824</v>
      </c>
      <c r="J1038" t="s">
        <v>4825</v>
      </c>
      <c r="M1038" s="134">
        <v>228000</v>
      </c>
      <c r="N1038" s="134">
        <v>0</v>
      </c>
      <c r="O1038" t="s">
        <v>4826</v>
      </c>
      <c r="P1038" t="s">
        <v>4827</v>
      </c>
      <c r="Q1038" t="s">
        <v>1939</v>
      </c>
      <c r="R1038" t="s">
        <v>4924</v>
      </c>
      <c r="U1038" t="s">
        <v>491</v>
      </c>
      <c r="V1038" t="s">
        <v>3985</v>
      </c>
      <c r="X1038">
        <v>0</v>
      </c>
    </row>
    <row r="1039" spans="1:24" x14ac:dyDescent="0.25">
      <c r="A1039" s="234">
        <v>43321</v>
      </c>
      <c r="B1039" t="s">
        <v>328</v>
      </c>
      <c r="C1039" t="s">
        <v>603</v>
      </c>
      <c r="D1039" t="s">
        <v>7595</v>
      </c>
      <c r="E1039" t="s">
        <v>588</v>
      </c>
      <c r="F1039" t="s">
        <v>12119</v>
      </c>
      <c r="G1039" t="s">
        <v>12120</v>
      </c>
      <c r="H1039" t="s">
        <v>905</v>
      </c>
      <c r="J1039" t="s">
        <v>608</v>
      </c>
      <c r="L1039">
        <v>4</v>
      </c>
      <c r="M1039" s="134">
        <v>228000</v>
      </c>
      <c r="N1039" s="134">
        <v>270800</v>
      </c>
      <c r="O1039" t="s">
        <v>49</v>
      </c>
      <c r="P1039" t="s">
        <v>12121</v>
      </c>
      <c r="Q1039" t="s">
        <v>1939</v>
      </c>
      <c r="R1039" t="s">
        <v>12122</v>
      </c>
      <c r="U1039" t="s">
        <v>1327</v>
      </c>
      <c r="X1039">
        <v>0</v>
      </c>
    </row>
    <row r="1040" spans="1:24" x14ac:dyDescent="0.25">
      <c r="A1040" s="234">
        <v>43472</v>
      </c>
      <c r="B1040" t="s">
        <v>9240</v>
      </c>
      <c r="C1040" t="s">
        <v>603</v>
      </c>
      <c r="D1040" t="s">
        <v>9241</v>
      </c>
      <c r="F1040" t="s">
        <v>13833</v>
      </c>
      <c r="G1040" t="s">
        <v>13834</v>
      </c>
      <c r="H1040" t="s">
        <v>607</v>
      </c>
      <c r="I1040" t="s">
        <v>13835</v>
      </c>
      <c r="J1040" t="s">
        <v>5309</v>
      </c>
      <c r="K1040" t="s">
        <v>13836</v>
      </c>
      <c r="L1040">
        <v>8</v>
      </c>
      <c r="M1040" s="134">
        <v>228000</v>
      </c>
      <c r="N1040" s="134">
        <v>390000</v>
      </c>
      <c r="O1040" t="s">
        <v>4533</v>
      </c>
      <c r="P1040" t="s">
        <v>13837</v>
      </c>
      <c r="Q1040" t="s">
        <v>1939</v>
      </c>
      <c r="R1040" t="s">
        <v>13838</v>
      </c>
      <c r="U1040" t="s">
        <v>491</v>
      </c>
      <c r="X1040">
        <v>0</v>
      </c>
    </row>
    <row r="1041" spans="1:24" x14ac:dyDescent="0.25">
      <c r="A1041" s="234">
        <v>42885</v>
      </c>
      <c r="B1041" t="s">
        <v>328</v>
      </c>
      <c r="C1041" t="s">
        <v>603</v>
      </c>
      <c r="D1041" t="s">
        <v>672</v>
      </c>
      <c r="E1041" t="s">
        <v>588</v>
      </c>
      <c r="F1041" t="s">
        <v>6964</v>
      </c>
      <c r="H1041" t="s">
        <v>607</v>
      </c>
      <c r="I1041" t="s">
        <v>6965</v>
      </c>
      <c r="J1041" t="s">
        <v>3371</v>
      </c>
      <c r="L1041">
        <v>5</v>
      </c>
      <c r="M1041" s="134">
        <v>228900</v>
      </c>
      <c r="N1041" s="134">
        <v>351680</v>
      </c>
      <c r="O1041" t="s">
        <v>2934</v>
      </c>
      <c r="P1041" t="s">
        <v>6966</v>
      </c>
      <c r="Q1041" t="s">
        <v>1939</v>
      </c>
      <c r="R1041" t="s">
        <v>6967</v>
      </c>
      <c r="U1041" t="s">
        <v>491</v>
      </c>
      <c r="X1041">
        <v>0</v>
      </c>
    </row>
    <row r="1042" spans="1:24" x14ac:dyDescent="0.25">
      <c r="A1042" s="234">
        <v>42793</v>
      </c>
      <c r="B1042" t="s">
        <v>569</v>
      </c>
      <c r="D1042" t="s">
        <v>624</v>
      </c>
      <c r="E1042" t="s">
        <v>588</v>
      </c>
      <c r="F1042" t="s">
        <v>5813</v>
      </c>
      <c r="H1042" t="s">
        <v>4132</v>
      </c>
      <c r="I1042" t="s">
        <v>5083</v>
      </c>
      <c r="J1042" t="s">
        <v>899</v>
      </c>
      <c r="L1042">
        <v>3</v>
      </c>
      <c r="M1042" s="134">
        <v>229000</v>
      </c>
      <c r="N1042" s="134">
        <v>248000</v>
      </c>
      <c r="O1042" t="s">
        <v>3785</v>
      </c>
      <c r="P1042" t="s">
        <v>5814</v>
      </c>
      <c r="Q1042" t="s">
        <v>1939</v>
      </c>
      <c r="R1042" t="s">
        <v>5839</v>
      </c>
      <c r="U1042" t="s">
        <v>491</v>
      </c>
      <c r="X1042">
        <v>0</v>
      </c>
    </row>
    <row r="1043" spans="1:24" x14ac:dyDescent="0.25">
      <c r="A1043" s="234">
        <v>42558</v>
      </c>
      <c r="B1043" t="s">
        <v>328</v>
      </c>
      <c r="C1043" t="s">
        <v>603</v>
      </c>
      <c r="D1043" t="s">
        <v>1471</v>
      </c>
      <c r="E1043" t="s">
        <v>588</v>
      </c>
      <c r="F1043" t="s">
        <v>2773</v>
      </c>
      <c r="H1043" t="s">
        <v>809</v>
      </c>
      <c r="I1043" t="s">
        <v>2774</v>
      </c>
      <c r="M1043" s="134">
        <v>229130</v>
      </c>
      <c r="N1043" s="134">
        <v>435347</v>
      </c>
      <c r="O1043" t="s">
        <v>2775</v>
      </c>
      <c r="P1043" t="s">
        <v>2776</v>
      </c>
      <c r="Q1043" t="s">
        <v>1939</v>
      </c>
      <c r="R1043" t="s">
        <v>2777</v>
      </c>
      <c r="U1043" t="s">
        <v>491</v>
      </c>
      <c r="X1043">
        <v>0</v>
      </c>
    </row>
    <row r="1044" spans="1:24" x14ac:dyDescent="0.25">
      <c r="A1044" s="234">
        <v>42905</v>
      </c>
      <c r="B1044" t="s">
        <v>5360</v>
      </c>
      <c r="D1044" t="s">
        <v>732</v>
      </c>
      <c r="E1044" t="s">
        <v>588</v>
      </c>
      <c r="F1044" t="s">
        <v>7255</v>
      </c>
      <c r="H1044" t="s">
        <v>905</v>
      </c>
      <c r="I1044" t="s">
        <v>7251</v>
      </c>
      <c r="J1044" t="s">
        <v>899</v>
      </c>
      <c r="M1044" s="134">
        <v>230000</v>
      </c>
      <c r="N1044" s="134">
        <v>0</v>
      </c>
      <c r="O1044" t="s">
        <v>5622</v>
      </c>
      <c r="P1044" t="s">
        <v>7252</v>
      </c>
      <c r="Q1044" t="s">
        <v>592</v>
      </c>
      <c r="U1044" t="s">
        <v>491</v>
      </c>
      <c r="X1044">
        <v>0</v>
      </c>
    </row>
    <row r="1045" spans="1:24" x14ac:dyDescent="0.25">
      <c r="A1045" s="234">
        <v>42573</v>
      </c>
      <c r="B1045" t="s">
        <v>378</v>
      </c>
      <c r="C1045" t="s">
        <v>610</v>
      </c>
      <c r="D1045" t="s">
        <v>732</v>
      </c>
      <c r="E1045" t="s">
        <v>588</v>
      </c>
      <c r="F1045" t="s">
        <v>2998</v>
      </c>
      <c r="H1045" t="s">
        <v>905</v>
      </c>
      <c r="I1045" t="s">
        <v>1501</v>
      </c>
      <c r="M1045" s="134">
        <v>230000</v>
      </c>
      <c r="N1045" s="134">
        <v>258000</v>
      </c>
      <c r="O1045" t="s">
        <v>2978</v>
      </c>
      <c r="P1045" t="s">
        <v>3000</v>
      </c>
      <c r="Q1045" t="s">
        <v>1612</v>
      </c>
      <c r="R1045" t="s">
        <v>3001</v>
      </c>
      <c r="U1045" t="s">
        <v>491</v>
      </c>
      <c r="X1045">
        <v>0</v>
      </c>
    </row>
    <row r="1046" spans="1:24" x14ac:dyDescent="0.25">
      <c r="A1046" s="234">
        <v>43185</v>
      </c>
      <c r="B1046" t="s">
        <v>328</v>
      </c>
      <c r="C1046" t="s">
        <v>603</v>
      </c>
      <c r="D1046" t="s">
        <v>5701</v>
      </c>
      <c r="E1046" t="s">
        <v>588</v>
      </c>
      <c r="F1046" t="s">
        <v>10700</v>
      </c>
      <c r="G1046" t="s">
        <v>256</v>
      </c>
      <c r="H1046" t="s">
        <v>607</v>
      </c>
      <c r="I1046" t="s">
        <v>10701</v>
      </c>
      <c r="J1046" t="s">
        <v>899</v>
      </c>
      <c r="L1046">
        <v>5</v>
      </c>
      <c r="M1046" s="134">
        <v>230000</v>
      </c>
      <c r="N1046" s="134">
        <v>414000</v>
      </c>
      <c r="O1046" t="s">
        <v>4533</v>
      </c>
      <c r="P1046" t="s">
        <v>10702</v>
      </c>
      <c r="Q1046" t="s">
        <v>592</v>
      </c>
      <c r="R1046" t="s">
        <v>10703</v>
      </c>
      <c r="U1046" t="s">
        <v>1327</v>
      </c>
      <c r="X1046">
        <v>0</v>
      </c>
    </row>
    <row r="1047" spans="1:24" x14ac:dyDescent="0.25">
      <c r="A1047" s="234">
        <v>42954</v>
      </c>
      <c r="B1047" t="s">
        <v>5992</v>
      </c>
      <c r="C1047" t="s">
        <v>608</v>
      </c>
      <c r="D1047" t="s">
        <v>5270</v>
      </c>
      <c r="E1047" t="s">
        <v>588</v>
      </c>
      <c r="F1047" t="s">
        <v>8003</v>
      </c>
      <c r="G1047" t="s">
        <v>8004</v>
      </c>
      <c r="H1047" t="s">
        <v>5991</v>
      </c>
      <c r="I1047" t="s">
        <v>8005</v>
      </c>
      <c r="J1047" t="s">
        <v>608</v>
      </c>
      <c r="L1047">
        <v>4</v>
      </c>
      <c r="M1047" s="134">
        <v>230000</v>
      </c>
      <c r="N1047" s="134">
        <v>414000</v>
      </c>
      <c r="O1047" t="s">
        <v>3086</v>
      </c>
      <c r="P1047" t="s">
        <v>8006</v>
      </c>
      <c r="Q1047" t="s">
        <v>592</v>
      </c>
      <c r="R1047" t="s">
        <v>8007</v>
      </c>
      <c r="S1047" t="s">
        <v>8008</v>
      </c>
      <c r="T1047">
        <v>14</v>
      </c>
      <c r="U1047" t="s">
        <v>491</v>
      </c>
      <c r="X1047">
        <v>0</v>
      </c>
    </row>
    <row r="1048" spans="1:24" x14ac:dyDescent="0.25">
      <c r="A1048" s="234">
        <v>43223</v>
      </c>
      <c r="B1048" t="s">
        <v>328</v>
      </c>
      <c r="C1048" t="s">
        <v>603</v>
      </c>
      <c r="D1048" t="s">
        <v>5701</v>
      </c>
      <c r="E1048" t="s">
        <v>588</v>
      </c>
      <c r="F1048" t="s">
        <v>10006</v>
      </c>
      <c r="G1048" t="s">
        <v>11096</v>
      </c>
      <c r="H1048" t="s">
        <v>607</v>
      </c>
      <c r="J1048" t="s">
        <v>3398</v>
      </c>
      <c r="L1048">
        <v>3</v>
      </c>
      <c r="M1048" s="134">
        <v>230000</v>
      </c>
      <c r="N1048" s="134">
        <v>457000</v>
      </c>
      <c r="O1048" t="s">
        <v>4533</v>
      </c>
      <c r="P1048" t="s">
        <v>11097</v>
      </c>
      <c r="Q1048" t="s">
        <v>1939</v>
      </c>
      <c r="R1048" t="s">
        <v>11098</v>
      </c>
      <c r="U1048" t="s">
        <v>491</v>
      </c>
      <c r="X1048">
        <v>0</v>
      </c>
    </row>
    <row r="1049" spans="1:24" x14ac:dyDescent="0.25">
      <c r="A1049" s="234">
        <v>43195</v>
      </c>
      <c r="B1049" t="s">
        <v>328</v>
      </c>
      <c r="C1049" t="s">
        <v>603</v>
      </c>
      <c r="D1049" t="s">
        <v>2397</v>
      </c>
      <c r="E1049" t="s">
        <v>588</v>
      </c>
      <c r="F1049" t="s">
        <v>10820</v>
      </c>
      <c r="G1049" t="s">
        <v>10821</v>
      </c>
      <c r="H1049" t="s">
        <v>607</v>
      </c>
      <c r="I1049" t="s">
        <v>10822</v>
      </c>
      <c r="J1049" t="s">
        <v>4031</v>
      </c>
      <c r="L1049">
        <v>3</v>
      </c>
      <c r="M1049" s="134">
        <v>230000</v>
      </c>
      <c r="N1049" s="134">
        <v>494500</v>
      </c>
      <c r="O1049" t="s">
        <v>10766</v>
      </c>
      <c r="P1049" t="s">
        <v>10823</v>
      </c>
      <c r="Q1049" t="s">
        <v>1939</v>
      </c>
      <c r="R1049" t="s">
        <v>10824</v>
      </c>
      <c r="U1049" t="s">
        <v>491</v>
      </c>
      <c r="X1049">
        <v>0</v>
      </c>
    </row>
    <row r="1050" spans="1:24" x14ac:dyDescent="0.25">
      <c r="A1050" s="234">
        <v>42654</v>
      </c>
      <c r="B1050" t="s">
        <v>643</v>
      </c>
      <c r="C1050" t="s">
        <v>644</v>
      </c>
      <c r="D1050" t="s">
        <v>645</v>
      </c>
      <c r="E1050" t="s">
        <v>588</v>
      </c>
      <c r="F1050" t="s">
        <v>4260</v>
      </c>
      <c r="H1050" t="s">
        <v>4261</v>
      </c>
      <c r="I1050" t="s">
        <v>3814</v>
      </c>
      <c r="J1050" t="s">
        <v>644</v>
      </c>
      <c r="L1050">
        <v>3</v>
      </c>
      <c r="M1050" s="134">
        <v>230500</v>
      </c>
      <c r="N1050" s="134">
        <v>419850</v>
      </c>
      <c r="O1050" t="s">
        <v>3116</v>
      </c>
      <c r="P1050" t="s">
        <v>4262</v>
      </c>
      <c r="Q1050" t="s">
        <v>592</v>
      </c>
      <c r="U1050" t="s">
        <v>491</v>
      </c>
      <c r="X1050">
        <v>0</v>
      </c>
    </row>
    <row r="1051" spans="1:24" x14ac:dyDescent="0.25">
      <c r="A1051" s="234">
        <v>43236</v>
      </c>
      <c r="B1051" t="s">
        <v>9240</v>
      </c>
      <c r="C1051" t="s">
        <v>603</v>
      </c>
      <c r="D1051" t="s">
        <v>9849</v>
      </c>
      <c r="E1051" t="s">
        <v>588</v>
      </c>
      <c r="F1051" t="s">
        <v>11316</v>
      </c>
      <c r="G1051" t="s">
        <v>11315</v>
      </c>
      <c r="H1051" t="s">
        <v>607</v>
      </c>
      <c r="I1051" t="s">
        <v>11314</v>
      </c>
      <c r="J1051" t="s">
        <v>608</v>
      </c>
      <c r="L1051">
        <v>6</v>
      </c>
      <c r="M1051" s="134">
        <v>231764</v>
      </c>
      <c r="N1051" s="134">
        <v>417176</v>
      </c>
      <c r="O1051" t="s">
        <v>10763</v>
      </c>
      <c r="P1051" t="s">
        <v>11313</v>
      </c>
      <c r="Q1051" t="s">
        <v>592</v>
      </c>
      <c r="R1051" t="s">
        <v>11312</v>
      </c>
      <c r="U1051" t="s">
        <v>1327</v>
      </c>
      <c r="X1051">
        <v>0</v>
      </c>
    </row>
    <row r="1052" spans="1:24" x14ac:dyDescent="0.25">
      <c r="A1052" s="234">
        <v>43574</v>
      </c>
      <c r="B1052" t="s">
        <v>328</v>
      </c>
      <c r="C1052" t="s">
        <v>603</v>
      </c>
      <c r="D1052" t="s">
        <v>1401</v>
      </c>
      <c r="F1052" t="s">
        <v>15140</v>
      </c>
      <c r="G1052" t="s">
        <v>9350</v>
      </c>
      <c r="H1052" t="s">
        <v>607</v>
      </c>
      <c r="I1052" t="s">
        <v>8662</v>
      </c>
      <c r="J1052" t="s">
        <v>6015</v>
      </c>
      <c r="K1052" t="s">
        <v>15141</v>
      </c>
      <c r="L1052">
        <v>2</v>
      </c>
      <c r="M1052" s="134">
        <v>231800</v>
      </c>
      <c r="N1052" s="134">
        <v>490000</v>
      </c>
      <c r="O1052" t="s">
        <v>10766</v>
      </c>
      <c r="P1052" t="s">
        <v>15142</v>
      </c>
      <c r="Q1052" t="s">
        <v>29</v>
      </c>
      <c r="R1052" t="s">
        <v>15143</v>
      </c>
      <c r="S1052" t="s">
        <v>15185</v>
      </c>
      <c r="U1052" t="s">
        <v>491</v>
      </c>
      <c r="X1052">
        <v>1</v>
      </c>
    </row>
    <row r="1053" spans="1:24" x14ac:dyDescent="0.25">
      <c r="A1053" s="234">
        <v>43418</v>
      </c>
      <c r="B1053" t="s">
        <v>569</v>
      </c>
      <c r="C1053" t="s">
        <v>899</v>
      </c>
      <c r="D1053" t="s">
        <v>9981</v>
      </c>
      <c r="F1053" t="s">
        <v>13187</v>
      </c>
      <c r="G1053" t="s">
        <v>6974</v>
      </c>
      <c r="H1053" t="s">
        <v>607</v>
      </c>
      <c r="I1053" t="s">
        <v>2054</v>
      </c>
      <c r="J1053" t="s">
        <v>899</v>
      </c>
      <c r="K1053" t="s">
        <v>13188</v>
      </c>
      <c r="L1053">
        <v>2</v>
      </c>
      <c r="M1053" s="134">
        <v>232000</v>
      </c>
      <c r="N1053" s="134">
        <v>0</v>
      </c>
      <c r="O1053" t="s">
        <v>10766</v>
      </c>
      <c r="P1053" t="s">
        <v>13189</v>
      </c>
      <c r="Q1053" t="s">
        <v>1939</v>
      </c>
      <c r="R1053" t="s">
        <v>13190</v>
      </c>
      <c r="U1053" t="s">
        <v>12344</v>
      </c>
      <c r="X1053">
        <v>0</v>
      </c>
    </row>
    <row r="1054" spans="1:24" x14ac:dyDescent="0.25">
      <c r="A1054" s="234">
        <v>42529</v>
      </c>
      <c r="B1054" t="s">
        <v>328</v>
      </c>
      <c r="C1054" t="s">
        <v>603</v>
      </c>
      <c r="D1054" t="s">
        <v>2397</v>
      </c>
      <c r="E1054" t="s">
        <v>588</v>
      </c>
      <c r="F1054" t="s">
        <v>2395</v>
      </c>
      <c r="H1054" t="s">
        <v>905</v>
      </c>
      <c r="I1054" t="s">
        <v>2396</v>
      </c>
      <c r="M1054" s="134">
        <v>232000</v>
      </c>
      <c r="N1054" s="134">
        <v>280400</v>
      </c>
      <c r="O1054" t="s">
        <v>2398</v>
      </c>
      <c r="P1054" t="s">
        <v>2399</v>
      </c>
      <c r="Q1054" t="s">
        <v>620</v>
      </c>
      <c r="R1054" t="s">
        <v>2400</v>
      </c>
      <c r="S1054" t="s">
        <v>2430</v>
      </c>
      <c r="U1054" t="s">
        <v>491</v>
      </c>
      <c r="X1054">
        <v>0</v>
      </c>
    </row>
    <row r="1055" spans="1:24" x14ac:dyDescent="0.25">
      <c r="A1055" s="234">
        <v>43593</v>
      </c>
      <c r="B1055" t="s">
        <v>13559</v>
      </c>
      <c r="C1055" t="s">
        <v>604</v>
      </c>
      <c r="D1055" t="s">
        <v>813</v>
      </c>
      <c r="F1055" t="s">
        <v>15720</v>
      </c>
      <c r="G1055" t="s">
        <v>15721</v>
      </c>
      <c r="H1055" t="s">
        <v>607</v>
      </c>
      <c r="I1055" t="s">
        <v>15722</v>
      </c>
      <c r="J1055" t="s">
        <v>5402</v>
      </c>
      <c r="K1055" t="s">
        <v>15723</v>
      </c>
      <c r="L1055">
        <v>5</v>
      </c>
      <c r="M1055" s="134">
        <v>232000</v>
      </c>
      <c r="N1055" s="134">
        <v>400000</v>
      </c>
      <c r="O1055" t="s">
        <v>4533</v>
      </c>
      <c r="P1055" t="s">
        <v>15473</v>
      </c>
      <c r="Q1055" t="s">
        <v>29</v>
      </c>
      <c r="R1055" t="s">
        <v>15725</v>
      </c>
      <c r="S1055" t="s">
        <v>15724</v>
      </c>
      <c r="U1055" t="s">
        <v>491</v>
      </c>
      <c r="X1055">
        <v>1</v>
      </c>
    </row>
    <row r="1056" spans="1:24" x14ac:dyDescent="0.25">
      <c r="A1056" s="234">
        <v>43571</v>
      </c>
      <c r="B1056" t="s">
        <v>9240</v>
      </c>
      <c r="C1056" t="s">
        <v>603</v>
      </c>
      <c r="D1056" t="s">
        <v>7814</v>
      </c>
      <c r="F1056" t="s">
        <v>9852</v>
      </c>
      <c r="G1056" t="s">
        <v>15091</v>
      </c>
      <c r="H1056" t="s">
        <v>607</v>
      </c>
      <c r="I1056" t="s">
        <v>15092</v>
      </c>
      <c r="J1056" t="s">
        <v>603</v>
      </c>
      <c r="K1056" t="s">
        <v>15093</v>
      </c>
      <c r="L1056">
        <v>5</v>
      </c>
      <c r="M1056" s="134">
        <v>232000</v>
      </c>
      <c r="N1056" s="134">
        <v>420000</v>
      </c>
      <c r="O1056" t="s">
        <v>10765</v>
      </c>
      <c r="P1056" t="s">
        <v>15095</v>
      </c>
      <c r="Q1056" t="s">
        <v>29</v>
      </c>
      <c r="R1056" t="s">
        <v>15096</v>
      </c>
      <c r="S1056" t="s">
        <v>15094</v>
      </c>
      <c r="U1056" t="s">
        <v>491</v>
      </c>
      <c r="X1056">
        <v>1</v>
      </c>
    </row>
    <row r="1057" spans="1:24" x14ac:dyDescent="0.25">
      <c r="A1057" s="234">
        <v>43150</v>
      </c>
      <c r="B1057" t="s">
        <v>9240</v>
      </c>
      <c r="C1057" t="s">
        <v>603</v>
      </c>
      <c r="D1057" t="s">
        <v>9849</v>
      </c>
      <c r="E1057" t="s">
        <v>588</v>
      </c>
      <c r="F1057" t="s">
        <v>10367</v>
      </c>
      <c r="G1057" t="s">
        <v>9202</v>
      </c>
      <c r="H1057" t="s">
        <v>607</v>
      </c>
      <c r="I1057" t="s">
        <v>10368</v>
      </c>
      <c r="J1057" t="s">
        <v>5402</v>
      </c>
      <c r="L1057">
        <v>3</v>
      </c>
      <c r="M1057" s="134">
        <v>232000</v>
      </c>
      <c r="N1057" s="134">
        <v>522000</v>
      </c>
      <c r="O1057" t="s">
        <v>10766</v>
      </c>
      <c r="P1057" t="s">
        <v>10369</v>
      </c>
      <c r="Q1057" t="s">
        <v>620</v>
      </c>
      <c r="R1057" t="s">
        <v>10370</v>
      </c>
      <c r="U1057" t="s">
        <v>1327</v>
      </c>
      <c r="X1057">
        <v>0</v>
      </c>
    </row>
    <row r="1058" spans="1:24" x14ac:dyDescent="0.25">
      <c r="A1058" s="234">
        <v>42537</v>
      </c>
      <c r="B1058" t="s">
        <v>328</v>
      </c>
      <c r="C1058" t="s">
        <v>603</v>
      </c>
      <c r="D1058" t="s">
        <v>1401</v>
      </c>
      <c r="E1058" t="s">
        <v>588</v>
      </c>
      <c r="F1058" t="s">
        <v>2517</v>
      </c>
      <c r="H1058" t="s">
        <v>722</v>
      </c>
      <c r="I1058" t="s">
        <v>1654</v>
      </c>
      <c r="M1058" s="134">
        <v>232560</v>
      </c>
      <c r="N1058" s="134">
        <v>348840</v>
      </c>
      <c r="O1058" t="s">
        <v>2518</v>
      </c>
      <c r="P1058" t="s">
        <v>2519</v>
      </c>
      <c r="Q1058" t="s">
        <v>1939</v>
      </c>
      <c r="R1058" t="s">
        <v>2520</v>
      </c>
      <c r="S1058" t="s">
        <v>2931</v>
      </c>
      <c r="U1058" t="s">
        <v>491</v>
      </c>
      <c r="X1058">
        <v>0</v>
      </c>
    </row>
    <row r="1059" spans="1:24" x14ac:dyDescent="0.25">
      <c r="A1059" s="234">
        <v>42543</v>
      </c>
      <c r="B1059" t="s">
        <v>320</v>
      </c>
      <c r="D1059" t="s">
        <v>1229</v>
      </c>
      <c r="E1059" t="s">
        <v>588</v>
      </c>
      <c r="F1059" t="s">
        <v>2627</v>
      </c>
      <c r="H1059" t="s">
        <v>905</v>
      </c>
      <c r="I1059" t="s">
        <v>2628</v>
      </c>
      <c r="M1059" s="134">
        <v>233166</v>
      </c>
      <c r="N1059" s="134">
        <v>255155</v>
      </c>
      <c r="O1059" t="s">
        <v>666</v>
      </c>
      <c r="P1059" t="s">
        <v>2630</v>
      </c>
      <c r="Q1059" t="s">
        <v>1939</v>
      </c>
      <c r="R1059" t="s">
        <v>2629</v>
      </c>
      <c r="U1059" t="s">
        <v>491</v>
      </c>
      <c r="X1059">
        <v>0</v>
      </c>
    </row>
    <row r="1060" spans="1:24" x14ac:dyDescent="0.25">
      <c r="A1060" s="234">
        <v>43137</v>
      </c>
      <c r="B1060" t="s">
        <v>328</v>
      </c>
      <c r="C1060" t="s">
        <v>603</v>
      </c>
      <c r="D1060" t="s">
        <v>672</v>
      </c>
      <c r="E1060" t="s">
        <v>588</v>
      </c>
      <c r="F1060" t="s">
        <v>10298</v>
      </c>
      <c r="G1060" t="s">
        <v>7757</v>
      </c>
      <c r="H1060" t="s">
        <v>905</v>
      </c>
      <c r="J1060" t="s">
        <v>644</v>
      </c>
      <c r="L1060">
        <v>9</v>
      </c>
      <c r="M1060" s="134">
        <v>233467</v>
      </c>
      <c r="N1060" s="134">
        <v>253467</v>
      </c>
      <c r="O1060" t="s">
        <v>7124</v>
      </c>
      <c r="P1060" t="s">
        <v>10299</v>
      </c>
      <c r="Q1060" t="s">
        <v>29</v>
      </c>
      <c r="R1060" t="s">
        <v>10733</v>
      </c>
      <c r="U1060" t="s">
        <v>1327</v>
      </c>
      <c r="X1060">
        <v>1</v>
      </c>
    </row>
    <row r="1061" spans="1:24" x14ac:dyDescent="0.25">
      <c r="A1061" s="234">
        <v>43357</v>
      </c>
      <c r="B1061" t="s">
        <v>9240</v>
      </c>
      <c r="C1061" t="s">
        <v>603</v>
      </c>
      <c r="D1061" t="s">
        <v>9849</v>
      </c>
      <c r="E1061" t="s">
        <v>588</v>
      </c>
      <c r="F1061" t="s">
        <v>12604</v>
      </c>
      <c r="H1061" t="s">
        <v>809</v>
      </c>
      <c r="I1061" t="s">
        <v>6464</v>
      </c>
      <c r="J1061" t="s">
        <v>4031</v>
      </c>
      <c r="M1061" s="134">
        <v>233700</v>
      </c>
      <c r="N1061" s="134">
        <v>520000</v>
      </c>
      <c r="O1061" t="s">
        <v>10766</v>
      </c>
      <c r="P1061" t="s">
        <v>12605</v>
      </c>
      <c r="Q1061" t="s">
        <v>29</v>
      </c>
      <c r="R1061" t="s">
        <v>12606</v>
      </c>
      <c r="U1061" t="s">
        <v>491</v>
      </c>
      <c r="X1061">
        <v>1</v>
      </c>
    </row>
    <row r="1062" spans="1:24" x14ac:dyDescent="0.25">
      <c r="A1062" s="234">
        <v>43035</v>
      </c>
      <c r="B1062" t="s">
        <v>328</v>
      </c>
      <c r="C1062" t="s">
        <v>899</v>
      </c>
      <c r="D1062" t="s">
        <v>649</v>
      </c>
      <c r="E1062" t="s">
        <v>588</v>
      </c>
      <c r="F1062" t="s">
        <v>9216</v>
      </c>
      <c r="G1062" t="s">
        <v>9217</v>
      </c>
      <c r="H1062" t="s">
        <v>1391</v>
      </c>
      <c r="L1062">
        <v>9</v>
      </c>
      <c r="M1062" s="134">
        <v>234000</v>
      </c>
      <c r="N1062" s="134">
        <v>330800</v>
      </c>
      <c r="O1062" t="s">
        <v>9218</v>
      </c>
      <c r="P1062" t="s">
        <v>9219</v>
      </c>
      <c r="Q1062" t="s">
        <v>29</v>
      </c>
      <c r="R1062" t="s">
        <v>9220</v>
      </c>
      <c r="U1062" t="s">
        <v>491</v>
      </c>
      <c r="X1062">
        <v>1</v>
      </c>
    </row>
    <row r="1063" spans="1:24" x14ac:dyDescent="0.25">
      <c r="A1063" s="234">
        <v>43347</v>
      </c>
      <c r="B1063" t="s">
        <v>328</v>
      </c>
      <c r="C1063" t="s">
        <v>603</v>
      </c>
      <c r="D1063" t="s">
        <v>10338</v>
      </c>
      <c r="E1063" t="s">
        <v>588</v>
      </c>
      <c r="F1063" t="s">
        <v>12486</v>
      </c>
      <c r="G1063" t="s">
        <v>7714</v>
      </c>
      <c r="H1063" t="s">
        <v>10831</v>
      </c>
      <c r="I1063" t="s">
        <v>12487</v>
      </c>
      <c r="J1063" t="s">
        <v>3617</v>
      </c>
      <c r="L1063">
        <v>6</v>
      </c>
      <c r="M1063" s="134">
        <v>234000</v>
      </c>
      <c r="N1063" s="134">
        <v>397800</v>
      </c>
      <c r="O1063" t="s">
        <v>10764</v>
      </c>
      <c r="P1063" t="s">
        <v>12488</v>
      </c>
      <c r="Q1063" t="s">
        <v>1939</v>
      </c>
      <c r="R1063" t="s">
        <v>12525</v>
      </c>
      <c r="U1063" t="s">
        <v>12344</v>
      </c>
      <c r="X1063">
        <v>0</v>
      </c>
    </row>
    <row r="1064" spans="1:24" x14ac:dyDescent="0.25">
      <c r="A1064" s="234">
        <v>43382</v>
      </c>
      <c r="B1064" t="s">
        <v>12367</v>
      </c>
      <c r="C1064" t="s">
        <v>5610</v>
      </c>
      <c r="D1064" t="s">
        <v>9461</v>
      </c>
      <c r="E1064" t="s">
        <v>588</v>
      </c>
      <c r="F1064" t="s">
        <v>12873</v>
      </c>
      <c r="H1064" t="s">
        <v>905</v>
      </c>
      <c r="I1064" t="s">
        <v>12911</v>
      </c>
      <c r="J1064" t="s">
        <v>3523</v>
      </c>
      <c r="L1064">
        <v>3</v>
      </c>
      <c r="M1064" s="134">
        <v>234600</v>
      </c>
      <c r="N1064" s="134">
        <v>262200</v>
      </c>
      <c r="O1064" t="s">
        <v>7564</v>
      </c>
      <c r="P1064" t="s">
        <v>12914</v>
      </c>
      <c r="Q1064" t="s">
        <v>29</v>
      </c>
      <c r="R1064" t="s">
        <v>12913</v>
      </c>
      <c r="U1064" t="s">
        <v>12344</v>
      </c>
      <c r="X1064">
        <v>1</v>
      </c>
    </row>
    <row r="1065" spans="1:24" x14ac:dyDescent="0.25">
      <c r="A1065" s="234">
        <v>42935</v>
      </c>
      <c r="B1065" t="s">
        <v>328</v>
      </c>
      <c r="C1065" t="s">
        <v>603</v>
      </c>
      <c r="D1065" t="s">
        <v>672</v>
      </c>
      <c r="E1065" t="s">
        <v>588</v>
      </c>
      <c r="F1065" t="s">
        <v>7678</v>
      </c>
      <c r="H1065" t="s">
        <v>905</v>
      </c>
      <c r="I1065" t="s">
        <v>7676</v>
      </c>
      <c r="J1065" t="s">
        <v>3612</v>
      </c>
      <c r="L1065">
        <v>10</v>
      </c>
      <c r="M1065" s="134">
        <v>234674</v>
      </c>
      <c r="N1065" s="134">
        <v>350000</v>
      </c>
      <c r="O1065" t="s">
        <v>7677</v>
      </c>
      <c r="P1065" t="s">
        <v>7679</v>
      </c>
      <c r="Q1065" t="s">
        <v>29</v>
      </c>
      <c r="R1065" t="s">
        <v>7680</v>
      </c>
      <c r="U1065" t="s">
        <v>491</v>
      </c>
      <c r="X1065">
        <v>1</v>
      </c>
    </row>
    <row r="1066" spans="1:24" x14ac:dyDescent="0.25">
      <c r="A1066" s="234">
        <v>42893</v>
      </c>
      <c r="B1066" t="s">
        <v>328</v>
      </c>
      <c r="C1066" t="s">
        <v>603</v>
      </c>
      <c r="D1066" t="s">
        <v>5701</v>
      </c>
      <c r="E1066" t="s">
        <v>588</v>
      </c>
      <c r="F1066" t="s">
        <v>7101</v>
      </c>
      <c r="H1066" t="s">
        <v>607</v>
      </c>
      <c r="I1066" t="s">
        <v>7102</v>
      </c>
      <c r="J1066" t="s">
        <v>3612</v>
      </c>
      <c r="L1066" t="s">
        <v>833</v>
      </c>
      <c r="M1066" s="134">
        <v>235000</v>
      </c>
      <c r="N1066" s="134">
        <v>0</v>
      </c>
      <c r="O1066" t="s">
        <v>7103</v>
      </c>
      <c r="P1066" t="s">
        <v>7104</v>
      </c>
      <c r="Q1066" t="s">
        <v>592</v>
      </c>
      <c r="S1066" t="s">
        <v>7105</v>
      </c>
      <c r="U1066" t="s">
        <v>491</v>
      </c>
      <c r="V1066" t="s">
        <v>3985</v>
      </c>
      <c r="W1066" t="s">
        <v>7878</v>
      </c>
      <c r="X1066">
        <v>0</v>
      </c>
    </row>
    <row r="1067" spans="1:24" x14ac:dyDescent="0.25">
      <c r="A1067" s="234">
        <v>43054</v>
      </c>
      <c r="B1067" t="s">
        <v>5176</v>
      </c>
      <c r="C1067" t="s">
        <v>604</v>
      </c>
      <c r="D1067" t="s">
        <v>595</v>
      </c>
      <c r="E1067" t="s">
        <v>821</v>
      </c>
      <c r="F1067" t="s">
        <v>8966</v>
      </c>
      <c r="H1067" t="s">
        <v>905</v>
      </c>
      <c r="I1067" t="s">
        <v>9470</v>
      </c>
      <c r="J1067" t="s">
        <v>604</v>
      </c>
      <c r="M1067" s="134">
        <v>235000</v>
      </c>
      <c r="N1067" s="134">
        <v>0</v>
      </c>
      <c r="O1067" t="s">
        <v>639</v>
      </c>
      <c r="P1067" t="s">
        <v>9471</v>
      </c>
      <c r="Q1067" t="s">
        <v>1939</v>
      </c>
      <c r="R1067" t="s">
        <v>9472</v>
      </c>
      <c r="U1067" t="s">
        <v>491</v>
      </c>
      <c r="X1067">
        <v>0</v>
      </c>
    </row>
    <row r="1068" spans="1:24" x14ac:dyDescent="0.25">
      <c r="A1068" s="234">
        <v>43608</v>
      </c>
      <c r="B1068" t="s">
        <v>328</v>
      </c>
      <c r="C1068" t="s">
        <v>603</v>
      </c>
      <c r="D1068" t="s">
        <v>649</v>
      </c>
      <c r="F1068" t="s">
        <v>15726</v>
      </c>
      <c r="G1068" t="s">
        <v>10338</v>
      </c>
      <c r="H1068" t="s">
        <v>886</v>
      </c>
      <c r="I1068" t="s">
        <v>10858</v>
      </c>
      <c r="J1068" t="s">
        <v>3373</v>
      </c>
      <c r="K1068" t="s">
        <v>15727</v>
      </c>
      <c r="L1068" t="s">
        <v>14122</v>
      </c>
      <c r="M1068" s="134">
        <v>235000</v>
      </c>
      <c r="N1068" s="134">
        <v>270000</v>
      </c>
      <c r="O1068" t="s">
        <v>2295</v>
      </c>
      <c r="P1068" t="s">
        <v>15728</v>
      </c>
      <c r="Q1068" t="s">
        <v>620</v>
      </c>
      <c r="R1068" t="s">
        <v>15729</v>
      </c>
      <c r="U1068" t="s">
        <v>491</v>
      </c>
      <c r="X1068">
        <v>0</v>
      </c>
    </row>
    <row r="1069" spans="1:24" x14ac:dyDescent="0.25">
      <c r="A1069" s="234">
        <v>43609</v>
      </c>
      <c r="B1069" t="s">
        <v>643</v>
      </c>
      <c r="C1069" t="s">
        <v>644</v>
      </c>
      <c r="D1069" t="s">
        <v>645</v>
      </c>
      <c r="F1069" t="s">
        <v>15742</v>
      </c>
      <c r="G1069" t="s">
        <v>7757</v>
      </c>
      <c r="H1069" t="s">
        <v>607</v>
      </c>
      <c r="I1069" t="s">
        <v>3646</v>
      </c>
      <c r="J1069" t="s">
        <v>644</v>
      </c>
      <c r="K1069" t="s">
        <v>14856</v>
      </c>
      <c r="L1069">
        <v>2</v>
      </c>
      <c r="M1069" s="134">
        <v>235000</v>
      </c>
      <c r="N1069" s="134">
        <v>375000</v>
      </c>
      <c r="O1069" t="s">
        <v>10766</v>
      </c>
      <c r="P1069" t="s">
        <v>15743</v>
      </c>
      <c r="Q1069" t="s">
        <v>592</v>
      </c>
      <c r="R1069" t="s">
        <v>15777</v>
      </c>
      <c r="U1069" t="s">
        <v>491</v>
      </c>
      <c r="X1069">
        <v>0</v>
      </c>
    </row>
    <row r="1070" spans="1:24" x14ac:dyDescent="0.25">
      <c r="A1070" s="234">
        <v>43306</v>
      </c>
      <c r="B1070" t="s">
        <v>328</v>
      </c>
      <c r="C1070" t="s">
        <v>603</v>
      </c>
      <c r="D1070" t="s">
        <v>757</v>
      </c>
      <c r="E1070" t="s">
        <v>588</v>
      </c>
      <c r="F1070" t="s">
        <v>11931</v>
      </c>
      <c r="G1070" t="s">
        <v>11930</v>
      </c>
      <c r="H1070" t="s">
        <v>607</v>
      </c>
      <c r="I1070" t="s">
        <v>11929</v>
      </c>
      <c r="J1070" t="s">
        <v>3533</v>
      </c>
      <c r="L1070">
        <v>6</v>
      </c>
      <c r="M1070" s="134">
        <v>235000</v>
      </c>
      <c r="N1070" s="134">
        <v>434750</v>
      </c>
      <c r="O1070" t="s">
        <v>7124</v>
      </c>
      <c r="P1070" t="s">
        <v>11928</v>
      </c>
      <c r="Q1070" t="s">
        <v>29</v>
      </c>
      <c r="R1070" t="s">
        <v>11927</v>
      </c>
      <c r="U1070" t="s">
        <v>1327</v>
      </c>
      <c r="X1070">
        <v>1</v>
      </c>
    </row>
    <row r="1071" spans="1:24" x14ac:dyDescent="0.25">
      <c r="A1071" s="234">
        <v>43021</v>
      </c>
      <c r="B1071" t="s">
        <v>328</v>
      </c>
      <c r="C1071" t="s">
        <v>603</v>
      </c>
      <c r="D1071" t="s">
        <v>649</v>
      </c>
      <c r="E1071" t="s">
        <v>588</v>
      </c>
      <c r="F1071" t="s">
        <v>9012</v>
      </c>
      <c r="G1071" t="s">
        <v>9013</v>
      </c>
      <c r="H1071" t="s">
        <v>9008</v>
      </c>
      <c r="I1071" t="s">
        <v>8780</v>
      </c>
      <c r="J1071" t="s">
        <v>3751</v>
      </c>
      <c r="L1071">
        <v>5</v>
      </c>
      <c r="M1071" s="134">
        <v>235000</v>
      </c>
      <c r="N1071" s="134">
        <v>578000</v>
      </c>
      <c r="O1071" t="s">
        <v>4533</v>
      </c>
      <c r="P1071" t="s">
        <v>9014</v>
      </c>
      <c r="Q1071" t="s">
        <v>1939</v>
      </c>
      <c r="R1071" t="s">
        <v>9015</v>
      </c>
      <c r="U1071" t="s">
        <v>1327</v>
      </c>
      <c r="X1071">
        <v>0</v>
      </c>
    </row>
    <row r="1072" spans="1:24" x14ac:dyDescent="0.25">
      <c r="A1072" s="234">
        <v>43020</v>
      </c>
      <c r="B1072" t="s">
        <v>328</v>
      </c>
      <c r="C1072" t="s">
        <v>603</v>
      </c>
      <c r="D1072" t="s">
        <v>649</v>
      </c>
      <c r="E1072" t="s">
        <v>588</v>
      </c>
      <c r="F1072" t="s">
        <v>8996</v>
      </c>
      <c r="G1072" t="s">
        <v>8997</v>
      </c>
      <c r="H1072" t="s">
        <v>607</v>
      </c>
      <c r="J1072" t="s">
        <v>3533</v>
      </c>
      <c r="L1072">
        <v>6</v>
      </c>
      <c r="M1072" s="134">
        <v>235489</v>
      </c>
      <c r="N1072" s="134">
        <v>400329</v>
      </c>
      <c r="O1072" t="s">
        <v>8992</v>
      </c>
      <c r="P1072" t="s">
        <v>8994</v>
      </c>
      <c r="Q1072" t="s">
        <v>29</v>
      </c>
      <c r="R1072" t="s">
        <v>8993</v>
      </c>
      <c r="S1072" t="s">
        <v>8995</v>
      </c>
      <c r="U1072" t="s">
        <v>1327</v>
      </c>
      <c r="X1072">
        <v>1</v>
      </c>
    </row>
    <row r="1073" spans="1:24" x14ac:dyDescent="0.25">
      <c r="A1073" s="234">
        <v>43209</v>
      </c>
      <c r="B1073" t="s">
        <v>6076</v>
      </c>
      <c r="C1073" t="s">
        <v>3370</v>
      </c>
      <c r="D1073" t="s">
        <v>10524</v>
      </c>
      <c r="E1073" t="s">
        <v>588</v>
      </c>
      <c r="F1073" t="s">
        <v>9894</v>
      </c>
      <c r="G1073" t="s">
        <v>10986</v>
      </c>
      <c r="H1073" t="s">
        <v>607</v>
      </c>
      <c r="M1073" s="134">
        <v>236000</v>
      </c>
      <c r="N1073" s="134">
        <v>0</v>
      </c>
      <c r="O1073" t="s">
        <v>10763</v>
      </c>
      <c r="P1073" t="s">
        <v>10987</v>
      </c>
      <c r="Q1073" t="s">
        <v>29</v>
      </c>
      <c r="R1073" t="s">
        <v>10989</v>
      </c>
      <c r="S1073" t="s">
        <v>10988</v>
      </c>
      <c r="U1073" t="s">
        <v>491</v>
      </c>
      <c r="X1073">
        <v>1</v>
      </c>
    </row>
    <row r="1074" spans="1:24" x14ac:dyDescent="0.25">
      <c r="A1074" s="234">
        <v>43067</v>
      </c>
      <c r="B1074" t="s">
        <v>328</v>
      </c>
      <c r="C1074" t="s">
        <v>603</v>
      </c>
      <c r="D1074" t="s">
        <v>649</v>
      </c>
      <c r="E1074" t="s">
        <v>588</v>
      </c>
      <c r="F1074" t="s">
        <v>5096</v>
      </c>
      <c r="G1074" t="s">
        <v>757</v>
      </c>
      <c r="H1074" t="s">
        <v>1391</v>
      </c>
      <c r="I1074" t="s">
        <v>9555</v>
      </c>
      <c r="J1074" t="s">
        <v>3367</v>
      </c>
      <c r="L1074">
        <v>10</v>
      </c>
      <c r="M1074" s="134">
        <v>236664</v>
      </c>
      <c r="N1074" s="134">
        <v>256664</v>
      </c>
      <c r="O1074" t="s">
        <v>9556</v>
      </c>
      <c r="P1074" t="s">
        <v>9557</v>
      </c>
      <c r="Q1074" t="s">
        <v>1939</v>
      </c>
      <c r="R1074" t="s">
        <v>9558</v>
      </c>
      <c r="S1074" t="s">
        <v>9650</v>
      </c>
      <c r="U1074" t="s">
        <v>491</v>
      </c>
      <c r="X1074">
        <v>0</v>
      </c>
    </row>
    <row r="1075" spans="1:24" x14ac:dyDescent="0.25">
      <c r="A1075" s="234">
        <v>42751</v>
      </c>
      <c r="B1075" t="s">
        <v>328</v>
      </c>
      <c r="C1075" t="s">
        <v>603</v>
      </c>
      <c r="D1075" t="s">
        <v>1471</v>
      </c>
      <c r="E1075" t="s">
        <v>588</v>
      </c>
      <c r="F1075" t="s">
        <v>5332</v>
      </c>
      <c r="H1075" t="s">
        <v>5333</v>
      </c>
      <c r="I1075" t="s">
        <v>5334</v>
      </c>
      <c r="J1075" t="s">
        <v>604</v>
      </c>
      <c r="L1075" t="s">
        <v>5280</v>
      </c>
      <c r="M1075" s="134">
        <v>237000</v>
      </c>
      <c r="N1075" s="134">
        <v>402900</v>
      </c>
      <c r="O1075" t="s">
        <v>639</v>
      </c>
      <c r="P1075" t="s">
        <v>5335</v>
      </c>
      <c r="Q1075" t="s">
        <v>1939</v>
      </c>
      <c r="R1075" t="s">
        <v>5336</v>
      </c>
      <c r="U1075" t="s">
        <v>491</v>
      </c>
      <c r="X1075">
        <v>0</v>
      </c>
    </row>
    <row r="1076" spans="1:24" x14ac:dyDescent="0.25">
      <c r="A1076" s="234">
        <v>42629</v>
      </c>
      <c r="B1076" t="s">
        <v>328</v>
      </c>
      <c r="C1076" t="s">
        <v>603</v>
      </c>
      <c r="D1076" t="s">
        <v>1471</v>
      </c>
      <c r="E1076" t="s">
        <v>588</v>
      </c>
      <c r="F1076" t="s">
        <v>3931</v>
      </c>
      <c r="H1076" t="s">
        <v>607</v>
      </c>
      <c r="I1076" t="s">
        <v>3932</v>
      </c>
      <c r="J1076" t="s">
        <v>3372</v>
      </c>
      <c r="L1076">
        <v>3</v>
      </c>
      <c r="M1076" s="134">
        <v>237000</v>
      </c>
      <c r="N1076" s="134">
        <v>402900</v>
      </c>
      <c r="O1076" t="s">
        <v>3933</v>
      </c>
      <c r="P1076" t="s">
        <v>3934</v>
      </c>
      <c r="Q1076" t="s">
        <v>29</v>
      </c>
      <c r="R1076" t="s">
        <v>3935</v>
      </c>
      <c r="U1076" t="s">
        <v>491</v>
      </c>
      <c r="X1076">
        <v>1</v>
      </c>
    </row>
    <row r="1077" spans="1:24" x14ac:dyDescent="0.25">
      <c r="A1077" s="234">
        <v>43327</v>
      </c>
      <c r="B1077" t="s">
        <v>328</v>
      </c>
      <c r="C1077" t="s">
        <v>603</v>
      </c>
      <c r="D1077" t="s">
        <v>10338</v>
      </c>
      <c r="E1077" t="s">
        <v>588</v>
      </c>
      <c r="F1077" t="s">
        <v>12210</v>
      </c>
      <c r="G1077" t="s">
        <v>5310</v>
      </c>
      <c r="H1077" t="s">
        <v>10829</v>
      </c>
      <c r="J1077" t="s">
        <v>899</v>
      </c>
      <c r="L1077">
        <v>9</v>
      </c>
      <c r="M1077" s="134">
        <v>237000</v>
      </c>
      <c r="N1077" s="134">
        <v>426600</v>
      </c>
      <c r="O1077" t="s">
        <v>4533</v>
      </c>
      <c r="P1077" t="s">
        <v>12211</v>
      </c>
      <c r="Q1077" t="s">
        <v>592</v>
      </c>
      <c r="R1077" t="s">
        <v>12212</v>
      </c>
      <c r="U1077" t="s">
        <v>1327</v>
      </c>
      <c r="X1077">
        <v>0</v>
      </c>
    </row>
    <row r="1078" spans="1:24" x14ac:dyDescent="0.25">
      <c r="A1078" s="234">
        <v>43382</v>
      </c>
      <c r="B1078" t="s">
        <v>12367</v>
      </c>
      <c r="C1078" t="s">
        <v>5610</v>
      </c>
      <c r="D1078" t="s">
        <v>9461</v>
      </c>
      <c r="E1078" t="s">
        <v>588</v>
      </c>
      <c r="F1078" t="s">
        <v>12873</v>
      </c>
      <c r="H1078" t="s">
        <v>905</v>
      </c>
      <c r="I1078" t="s">
        <v>12911</v>
      </c>
      <c r="J1078" t="s">
        <v>3523</v>
      </c>
      <c r="L1078">
        <v>3</v>
      </c>
      <c r="M1078" s="134">
        <v>239757</v>
      </c>
      <c r="N1078" s="134">
        <v>377657</v>
      </c>
      <c r="O1078" t="s">
        <v>7564</v>
      </c>
      <c r="P1078" t="s">
        <v>12912</v>
      </c>
      <c r="Q1078" t="s">
        <v>29</v>
      </c>
      <c r="R1078" t="s">
        <v>12913</v>
      </c>
      <c r="U1078" t="s">
        <v>12344</v>
      </c>
      <c r="X1078">
        <v>1</v>
      </c>
    </row>
    <row r="1079" spans="1:24" x14ac:dyDescent="0.25">
      <c r="A1079" s="234">
        <v>42810</v>
      </c>
      <c r="B1079" t="s">
        <v>328</v>
      </c>
      <c r="C1079" t="s">
        <v>603</v>
      </c>
      <c r="D1079" t="s">
        <v>2397</v>
      </c>
      <c r="E1079" t="s">
        <v>588</v>
      </c>
      <c r="F1079" t="s">
        <v>5990</v>
      </c>
      <c r="H1079" t="s">
        <v>5991</v>
      </c>
      <c r="J1079" t="s">
        <v>899</v>
      </c>
      <c r="L1079" t="s">
        <v>833</v>
      </c>
      <c r="M1079" s="134">
        <v>240000</v>
      </c>
      <c r="N1079" s="134">
        <v>360000</v>
      </c>
      <c r="O1079" t="s">
        <v>5965</v>
      </c>
      <c r="Q1079" t="s">
        <v>620</v>
      </c>
      <c r="R1079" t="s">
        <v>5986</v>
      </c>
      <c r="U1079" t="s">
        <v>491</v>
      </c>
      <c r="X1079">
        <v>0</v>
      </c>
    </row>
    <row r="1080" spans="1:24" x14ac:dyDescent="0.25">
      <c r="A1080" s="234">
        <v>43447</v>
      </c>
      <c r="B1080" t="s">
        <v>569</v>
      </c>
      <c r="C1080" t="s">
        <v>899</v>
      </c>
      <c r="D1080" t="s">
        <v>11031</v>
      </c>
      <c r="F1080" t="s">
        <v>13630</v>
      </c>
      <c r="G1080" t="s">
        <v>13631</v>
      </c>
      <c r="H1080" t="s">
        <v>607</v>
      </c>
      <c r="I1080" t="s">
        <v>13632</v>
      </c>
      <c r="J1080" t="s">
        <v>899</v>
      </c>
      <c r="K1080" t="s">
        <v>13633</v>
      </c>
      <c r="L1080">
        <v>5</v>
      </c>
      <c r="M1080" s="134">
        <v>240000</v>
      </c>
      <c r="N1080" s="134">
        <v>408000</v>
      </c>
      <c r="O1080" t="s">
        <v>7564</v>
      </c>
      <c r="P1080" t="s">
        <v>13757</v>
      </c>
      <c r="Q1080" t="s">
        <v>1939</v>
      </c>
      <c r="R1080" t="s">
        <v>13646</v>
      </c>
      <c r="U1080" t="s">
        <v>12797</v>
      </c>
      <c r="X1080">
        <v>0</v>
      </c>
    </row>
    <row r="1081" spans="1:24" x14ac:dyDescent="0.25">
      <c r="A1081" s="234">
        <v>42741</v>
      </c>
      <c r="B1081" t="s">
        <v>5176</v>
      </c>
      <c r="C1081" t="s">
        <v>1810</v>
      </c>
      <c r="D1081" t="s">
        <v>2454</v>
      </c>
      <c r="E1081" t="s">
        <v>588</v>
      </c>
      <c r="F1081" t="s">
        <v>5225</v>
      </c>
      <c r="H1081" t="s">
        <v>607</v>
      </c>
      <c r="I1081" t="s">
        <v>5226</v>
      </c>
      <c r="J1081" t="s">
        <v>4684</v>
      </c>
      <c r="L1081">
        <v>6</v>
      </c>
      <c r="M1081" s="134">
        <v>240000</v>
      </c>
      <c r="N1081" s="134">
        <v>408000</v>
      </c>
      <c r="O1081" t="s">
        <v>3625</v>
      </c>
      <c r="P1081" t="s">
        <v>5227</v>
      </c>
      <c r="Q1081" t="s">
        <v>29</v>
      </c>
      <c r="R1081" t="s">
        <v>5228</v>
      </c>
      <c r="U1081" t="s">
        <v>491</v>
      </c>
      <c r="X1081">
        <v>1</v>
      </c>
    </row>
    <row r="1082" spans="1:24" x14ac:dyDescent="0.25">
      <c r="A1082" s="234">
        <v>42846</v>
      </c>
      <c r="B1082" t="s">
        <v>110</v>
      </c>
      <c r="C1082" t="s">
        <v>761</v>
      </c>
      <c r="D1082" t="s">
        <v>715</v>
      </c>
      <c r="E1082" t="s">
        <v>588</v>
      </c>
      <c r="F1082" t="s">
        <v>6513</v>
      </c>
      <c r="H1082" t="s">
        <v>607</v>
      </c>
      <c r="I1082" t="s">
        <v>6514</v>
      </c>
      <c r="J1082" t="s">
        <v>4785</v>
      </c>
      <c r="M1082" s="134">
        <v>240000</v>
      </c>
      <c r="N1082" s="134">
        <v>408000</v>
      </c>
      <c r="O1082" t="s">
        <v>840</v>
      </c>
      <c r="P1082" t="s">
        <v>6515</v>
      </c>
      <c r="Q1082" t="s">
        <v>592</v>
      </c>
      <c r="U1082" t="s">
        <v>491</v>
      </c>
      <c r="X1082">
        <v>0</v>
      </c>
    </row>
    <row r="1083" spans="1:24" x14ac:dyDescent="0.25">
      <c r="A1083" s="234">
        <v>42677</v>
      </c>
      <c r="B1083" t="s">
        <v>378</v>
      </c>
      <c r="C1083" t="s">
        <v>610</v>
      </c>
      <c r="D1083" t="s">
        <v>732</v>
      </c>
      <c r="E1083" t="s">
        <v>588</v>
      </c>
      <c r="F1083" t="s">
        <v>4587</v>
      </c>
      <c r="H1083" t="s">
        <v>607</v>
      </c>
      <c r="I1083" t="s">
        <v>3710</v>
      </c>
      <c r="J1083" t="s">
        <v>899</v>
      </c>
      <c r="L1083">
        <v>4</v>
      </c>
      <c r="M1083" s="134">
        <v>240000</v>
      </c>
      <c r="N1083" s="134">
        <v>408000</v>
      </c>
      <c r="O1083" t="s">
        <v>4588</v>
      </c>
      <c r="P1083" t="s">
        <v>4589</v>
      </c>
      <c r="Q1083" t="s">
        <v>1939</v>
      </c>
      <c r="R1083" t="s">
        <v>4631</v>
      </c>
      <c r="U1083" t="s">
        <v>491</v>
      </c>
      <c r="X1083">
        <v>0</v>
      </c>
    </row>
    <row r="1084" spans="1:24" x14ac:dyDescent="0.25">
      <c r="A1084" s="234">
        <v>42416</v>
      </c>
      <c r="B1084" t="s">
        <v>328</v>
      </c>
      <c r="C1084" t="s">
        <v>603</v>
      </c>
      <c r="D1084" t="s">
        <v>672</v>
      </c>
      <c r="E1084" t="s">
        <v>588</v>
      </c>
      <c r="F1084" t="s">
        <v>998</v>
      </c>
      <c r="H1084" t="s">
        <v>607</v>
      </c>
      <c r="I1084" t="s">
        <v>999</v>
      </c>
      <c r="M1084" s="134">
        <v>240000</v>
      </c>
      <c r="N1084" s="134">
        <v>473000</v>
      </c>
      <c r="O1084" t="s">
        <v>1000</v>
      </c>
      <c r="P1084" t="s">
        <v>1001</v>
      </c>
      <c r="Q1084" t="s">
        <v>592</v>
      </c>
      <c r="R1084" t="s">
        <v>1002</v>
      </c>
      <c r="U1084" t="s">
        <v>491</v>
      </c>
      <c r="X1084">
        <v>0</v>
      </c>
    </row>
    <row r="1085" spans="1:24" x14ac:dyDescent="0.25">
      <c r="A1085" s="234">
        <v>43483</v>
      </c>
      <c r="B1085" t="s">
        <v>13559</v>
      </c>
      <c r="C1085" t="s">
        <v>608</v>
      </c>
      <c r="D1085" t="s">
        <v>7337</v>
      </c>
      <c r="F1085" t="s">
        <v>14043</v>
      </c>
      <c r="G1085" t="s">
        <v>14044</v>
      </c>
      <c r="H1085" t="s">
        <v>607</v>
      </c>
      <c r="I1085" t="s">
        <v>14045</v>
      </c>
      <c r="J1085" t="s">
        <v>5402</v>
      </c>
      <c r="K1085" t="s">
        <v>14046</v>
      </c>
      <c r="L1085">
        <v>4</v>
      </c>
      <c r="M1085" s="134">
        <v>240000</v>
      </c>
      <c r="N1085" s="134">
        <v>480000</v>
      </c>
      <c r="O1085" t="s">
        <v>10766</v>
      </c>
      <c r="P1085" t="s">
        <v>14047</v>
      </c>
      <c r="Q1085" t="s">
        <v>620</v>
      </c>
      <c r="R1085" t="s">
        <v>14048</v>
      </c>
      <c r="S1085" t="s">
        <v>13884</v>
      </c>
      <c r="U1085" t="s">
        <v>491</v>
      </c>
      <c r="X1085">
        <v>0</v>
      </c>
    </row>
    <row r="1086" spans="1:24" x14ac:dyDescent="0.25">
      <c r="A1086" s="234">
        <v>43039</v>
      </c>
      <c r="B1086" t="s">
        <v>9240</v>
      </c>
      <c r="C1086" t="s">
        <v>603</v>
      </c>
      <c r="D1086" t="s">
        <v>9241</v>
      </c>
      <c r="E1086" t="s">
        <v>588</v>
      </c>
      <c r="F1086" t="s">
        <v>9242</v>
      </c>
      <c r="G1086" t="s">
        <v>7953</v>
      </c>
      <c r="H1086" t="s">
        <v>607</v>
      </c>
      <c r="I1086" t="s">
        <v>9243</v>
      </c>
      <c r="J1086" t="s">
        <v>603</v>
      </c>
      <c r="M1086" s="134">
        <v>240000</v>
      </c>
      <c r="N1086" s="134">
        <v>480000</v>
      </c>
      <c r="O1086" t="s">
        <v>9244</v>
      </c>
      <c r="P1086" t="s">
        <v>9245</v>
      </c>
      <c r="Q1086" t="s">
        <v>1939</v>
      </c>
      <c r="R1086" t="s">
        <v>9246</v>
      </c>
      <c r="U1086" t="s">
        <v>491</v>
      </c>
      <c r="X1086">
        <v>0</v>
      </c>
    </row>
    <row r="1087" spans="1:24" x14ac:dyDescent="0.25">
      <c r="A1087" s="234">
        <v>42417</v>
      </c>
      <c r="B1087" t="s">
        <v>328</v>
      </c>
      <c r="C1087" t="s">
        <v>603</v>
      </c>
      <c r="D1087" t="s">
        <v>587</v>
      </c>
      <c r="E1087" t="s">
        <v>588</v>
      </c>
      <c r="F1087" t="s">
        <v>1003</v>
      </c>
      <c r="H1087" t="s">
        <v>607</v>
      </c>
      <c r="I1087" t="s">
        <v>1004</v>
      </c>
      <c r="M1087" s="134">
        <v>240000</v>
      </c>
      <c r="N1087" s="134">
        <v>722000</v>
      </c>
      <c r="O1087" t="s">
        <v>754</v>
      </c>
      <c r="P1087" t="s">
        <v>1088</v>
      </c>
      <c r="Q1087" t="s">
        <v>592</v>
      </c>
      <c r="R1087" t="s">
        <v>1005</v>
      </c>
      <c r="S1087" t="s">
        <v>1089</v>
      </c>
      <c r="U1087" t="s">
        <v>491</v>
      </c>
      <c r="X1087">
        <v>0</v>
      </c>
    </row>
    <row r="1088" spans="1:24" x14ac:dyDescent="0.25">
      <c r="A1088" s="234">
        <v>43126</v>
      </c>
      <c r="B1088" t="s">
        <v>328</v>
      </c>
      <c r="C1088" t="s">
        <v>603</v>
      </c>
      <c r="D1088" t="s">
        <v>649</v>
      </c>
      <c r="E1088" t="s">
        <v>588</v>
      </c>
      <c r="F1088" t="s">
        <v>10140</v>
      </c>
      <c r="G1088" t="s">
        <v>7792</v>
      </c>
      <c r="H1088" t="s">
        <v>607</v>
      </c>
      <c r="I1088" t="s">
        <v>10141</v>
      </c>
      <c r="J1088" t="s">
        <v>3533</v>
      </c>
      <c r="L1088">
        <v>9</v>
      </c>
      <c r="M1088" s="134">
        <v>240898</v>
      </c>
      <c r="N1088" s="134">
        <v>409527</v>
      </c>
      <c r="O1088" t="s">
        <v>4533</v>
      </c>
      <c r="P1088" t="s">
        <v>10143</v>
      </c>
      <c r="Q1088" t="s">
        <v>1939</v>
      </c>
      <c r="R1088" t="s">
        <v>10142</v>
      </c>
      <c r="U1088" t="s">
        <v>1327</v>
      </c>
      <c r="X1088">
        <v>0</v>
      </c>
    </row>
    <row r="1089" spans="1:24" x14ac:dyDescent="0.25">
      <c r="A1089" s="234">
        <v>42563</v>
      </c>
      <c r="B1089" t="s">
        <v>643</v>
      </c>
      <c r="C1089" t="s">
        <v>644</v>
      </c>
      <c r="D1089" t="s">
        <v>645</v>
      </c>
      <c r="E1089" t="s">
        <v>588</v>
      </c>
      <c r="F1089" t="s">
        <v>2848</v>
      </c>
      <c r="H1089" t="s">
        <v>607</v>
      </c>
      <c r="I1089" t="s">
        <v>1180</v>
      </c>
      <c r="M1089" s="134">
        <v>240993</v>
      </c>
      <c r="N1089" s="134">
        <v>240993</v>
      </c>
      <c r="O1089" t="s">
        <v>2849</v>
      </c>
      <c r="P1089" t="s">
        <v>2850</v>
      </c>
      <c r="Q1089" t="s">
        <v>1612</v>
      </c>
      <c r="R1089" t="s">
        <v>2851</v>
      </c>
      <c r="S1089" t="s">
        <v>2865</v>
      </c>
      <c r="U1089" t="s">
        <v>491</v>
      </c>
      <c r="X1089">
        <v>0</v>
      </c>
    </row>
    <row r="1090" spans="1:24" x14ac:dyDescent="0.25">
      <c r="A1090" s="234">
        <v>42607</v>
      </c>
      <c r="B1090" t="s">
        <v>1486</v>
      </c>
      <c r="C1090" t="s">
        <v>1883</v>
      </c>
      <c r="D1090" t="s">
        <v>2454</v>
      </c>
      <c r="E1090" t="s">
        <v>588</v>
      </c>
      <c r="F1090" t="s">
        <v>3615</v>
      </c>
      <c r="H1090" t="s">
        <v>905</v>
      </c>
      <c r="I1090" t="s">
        <v>3616</v>
      </c>
      <c r="J1090" t="s">
        <v>3617</v>
      </c>
      <c r="M1090" s="134">
        <v>241000</v>
      </c>
      <c r="N1090" s="134">
        <v>0</v>
      </c>
      <c r="O1090" t="s">
        <v>2392</v>
      </c>
      <c r="P1090" t="s">
        <v>3618</v>
      </c>
      <c r="Q1090" t="s">
        <v>620</v>
      </c>
      <c r="R1090" t="s">
        <v>3633</v>
      </c>
      <c r="U1090" t="s">
        <v>491</v>
      </c>
      <c r="X1090">
        <v>0</v>
      </c>
    </row>
    <row r="1091" spans="1:24" x14ac:dyDescent="0.25">
      <c r="A1091" s="234">
        <v>43126</v>
      </c>
      <c r="B1091" t="s">
        <v>328</v>
      </c>
      <c r="C1091" t="s">
        <v>603</v>
      </c>
      <c r="D1091" t="s">
        <v>649</v>
      </c>
      <c r="E1091" t="s">
        <v>588</v>
      </c>
      <c r="F1091" t="s">
        <v>10135</v>
      </c>
      <c r="G1091" t="s">
        <v>10136</v>
      </c>
      <c r="H1091" t="s">
        <v>10831</v>
      </c>
      <c r="I1091" t="s">
        <v>10137</v>
      </c>
      <c r="J1091" t="s">
        <v>5610</v>
      </c>
      <c r="L1091">
        <v>5</v>
      </c>
      <c r="M1091" s="134">
        <v>241000</v>
      </c>
      <c r="N1091" s="134">
        <v>475820</v>
      </c>
      <c r="O1091" t="s">
        <v>4533</v>
      </c>
      <c r="P1091" t="s">
        <v>10139</v>
      </c>
      <c r="Q1091" t="s">
        <v>1939</v>
      </c>
      <c r="R1091" t="s">
        <v>10138</v>
      </c>
      <c r="U1091" t="s">
        <v>1327</v>
      </c>
      <c r="X1091">
        <v>0</v>
      </c>
    </row>
    <row r="1092" spans="1:24" x14ac:dyDescent="0.25">
      <c r="A1092" s="234">
        <v>43585</v>
      </c>
      <c r="B1092" t="s">
        <v>328</v>
      </c>
      <c r="C1092" t="s">
        <v>603</v>
      </c>
      <c r="D1092" t="s">
        <v>10338</v>
      </c>
      <c r="F1092" t="s">
        <v>15299</v>
      </c>
      <c r="G1092" t="s">
        <v>15300</v>
      </c>
      <c r="H1092" t="s">
        <v>607</v>
      </c>
      <c r="I1092" t="s">
        <v>15301</v>
      </c>
      <c r="J1092" t="s">
        <v>603</v>
      </c>
      <c r="K1092" t="s">
        <v>15302</v>
      </c>
      <c r="L1092">
        <v>10</v>
      </c>
      <c r="M1092" s="134">
        <v>241400</v>
      </c>
      <c r="N1092" s="134">
        <v>458660</v>
      </c>
      <c r="O1092" t="s">
        <v>4533</v>
      </c>
      <c r="P1092" t="s">
        <v>15303</v>
      </c>
      <c r="Q1092" t="s">
        <v>1939</v>
      </c>
      <c r="R1092" t="s">
        <v>15304</v>
      </c>
      <c r="U1092" t="s">
        <v>491</v>
      </c>
      <c r="X1092">
        <v>0</v>
      </c>
    </row>
    <row r="1093" spans="1:24" x14ac:dyDescent="0.25">
      <c r="A1093" s="234">
        <v>43060</v>
      </c>
      <c r="B1093" t="s">
        <v>328</v>
      </c>
      <c r="C1093" t="s">
        <v>899</v>
      </c>
      <c r="D1093" t="s">
        <v>649</v>
      </c>
      <c r="E1093" t="s">
        <v>588</v>
      </c>
      <c r="F1093" t="s">
        <v>453</v>
      </c>
      <c r="G1093" t="s">
        <v>9525</v>
      </c>
      <c r="H1093" t="s">
        <v>607</v>
      </c>
      <c r="I1093" t="s">
        <v>9526</v>
      </c>
      <c r="J1093" t="s">
        <v>3751</v>
      </c>
      <c r="L1093">
        <v>4</v>
      </c>
      <c r="M1093" s="134">
        <v>242000</v>
      </c>
      <c r="N1093" s="134">
        <v>411200</v>
      </c>
      <c r="O1093" t="s">
        <v>4533</v>
      </c>
      <c r="P1093" t="s">
        <v>9620</v>
      </c>
      <c r="Q1093" t="s">
        <v>592</v>
      </c>
      <c r="R1093" t="s">
        <v>9527</v>
      </c>
      <c r="U1093" t="s">
        <v>1327</v>
      </c>
      <c r="X1093">
        <v>0</v>
      </c>
    </row>
    <row r="1094" spans="1:24" x14ac:dyDescent="0.25">
      <c r="A1094" s="234">
        <v>42885</v>
      </c>
      <c r="B1094" t="s">
        <v>110</v>
      </c>
      <c r="C1094" t="s">
        <v>761</v>
      </c>
      <c r="D1094" t="s">
        <v>715</v>
      </c>
      <c r="E1094" t="s">
        <v>588</v>
      </c>
      <c r="F1094" t="s">
        <v>6948</v>
      </c>
      <c r="H1094" t="s">
        <v>722</v>
      </c>
      <c r="I1094" t="s">
        <v>6949</v>
      </c>
      <c r="J1094" t="s">
        <v>761</v>
      </c>
      <c r="L1094">
        <v>10</v>
      </c>
      <c r="M1094" s="134">
        <v>242000</v>
      </c>
      <c r="N1094" s="134">
        <v>411400</v>
      </c>
      <c r="O1094" t="s">
        <v>764</v>
      </c>
      <c r="P1094" t="s">
        <v>6950</v>
      </c>
      <c r="Q1094" t="s">
        <v>29</v>
      </c>
      <c r="R1094" t="s">
        <v>6951</v>
      </c>
      <c r="U1094" t="s">
        <v>491</v>
      </c>
      <c r="X1094">
        <v>1</v>
      </c>
    </row>
    <row r="1095" spans="1:24" x14ac:dyDescent="0.25">
      <c r="A1095" s="234">
        <v>43532</v>
      </c>
      <c r="B1095" t="s">
        <v>13559</v>
      </c>
      <c r="C1095" t="s">
        <v>3370</v>
      </c>
      <c r="D1095" t="s">
        <v>14656</v>
      </c>
      <c r="F1095" t="s">
        <v>9308</v>
      </c>
      <c r="G1095" t="s">
        <v>14657</v>
      </c>
      <c r="H1095" t="s">
        <v>607</v>
      </c>
      <c r="I1095" t="s">
        <v>14658</v>
      </c>
      <c r="J1095" t="s">
        <v>3370</v>
      </c>
      <c r="K1095" t="s">
        <v>14659</v>
      </c>
      <c r="L1095">
        <v>5</v>
      </c>
      <c r="M1095" s="134">
        <v>242700</v>
      </c>
      <c r="N1095" s="134">
        <v>480000</v>
      </c>
      <c r="O1095" t="s">
        <v>6745</v>
      </c>
      <c r="P1095" t="s">
        <v>14661</v>
      </c>
      <c r="Q1095" t="s">
        <v>1939</v>
      </c>
      <c r="R1095" t="s">
        <v>14660</v>
      </c>
      <c r="U1095" t="s">
        <v>491</v>
      </c>
      <c r="X1095">
        <v>0</v>
      </c>
    </row>
    <row r="1096" spans="1:24" x14ac:dyDescent="0.25">
      <c r="A1096" s="234">
        <v>43509</v>
      </c>
      <c r="B1096" t="s">
        <v>5956</v>
      </c>
      <c r="C1096" t="s">
        <v>3369</v>
      </c>
      <c r="D1096" t="s">
        <v>8126</v>
      </c>
      <c r="F1096" t="s">
        <v>14359</v>
      </c>
      <c r="G1096" t="s">
        <v>14360</v>
      </c>
      <c r="H1096" t="s">
        <v>905</v>
      </c>
      <c r="I1096" t="s">
        <v>14364</v>
      </c>
      <c r="J1096" t="s">
        <v>4825</v>
      </c>
      <c r="K1096" t="s">
        <v>14365</v>
      </c>
      <c r="M1096" s="134">
        <v>243000</v>
      </c>
      <c r="N1096" s="134">
        <v>267300</v>
      </c>
      <c r="O1096" t="s">
        <v>10766</v>
      </c>
      <c r="P1096" t="s">
        <v>14361</v>
      </c>
      <c r="Q1096" t="s">
        <v>592</v>
      </c>
      <c r="R1096" t="s">
        <v>14362</v>
      </c>
      <c r="S1096" t="s">
        <v>14378</v>
      </c>
      <c r="U1096" t="s">
        <v>491</v>
      </c>
      <c r="X1096">
        <v>0</v>
      </c>
    </row>
    <row r="1097" spans="1:24" x14ac:dyDescent="0.25">
      <c r="A1097" s="234">
        <v>42947</v>
      </c>
      <c r="B1097" t="s">
        <v>110</v>
      </c>
      <c r="C1097" t="s">
        <v>761</v>
      </c>
      <c r="D1097" t="s">
        <v>715</v>
      </c>
      <c r="E1097" t="s">
        <v>588</v>
      </c>
      <c r="F1097" t="s">
        <v>7879</v>
      </c>
      <c r="G1097" t="s">
        <v>7880</v>
      </c>
      <c r="H1097" t="s">
        <v>607</v>
      </c>
      <c r="I1097" t="s">
        <v>7881</v>
      </c>
      <c r="J1097" t="s">
        <v>761</v>
      </c>
      <c r="L1097">
        <v>10</v>
      </c>
      <c r="M1097" s="134">
        <v>243000</v>
      </c>
      <c r="N1097" s="134">
        <v>291400</v>
      </c>
      <c r="O1097" t="s">
        <v>3665</v>
      </c>
      <c r="P1097" t="s">
        <v>7886</v>
      </c>
      <c r="Q1097" t="s">
        <v>1612</v>
      </c>
      <c r="R1097" t="s">
        <v>7928</v>
      </c>
      <c r="T1097">
        <v>41</v>
      </c>
      <c r="U1097" t="s">
        <v>491</v>
      </c>
      <c r="X1097">
        <v>0</v>
      </c>
    </row>
    <row r="1098" spans="1:24" x14ac:dyDescent="0.25">
      <c r="A1098" s="234">
        <v>42906</v>
      </c>
      <c r="B1098" t="s">
        <v>328</v>
      </c>
      <c r="C1098" t="s">
        <v>603</v>
      </c>
      <c r="D1098" t="s">
        <v>649</v>
      </c>
      <c r="E1098" t="s">
        <v>588</v>
      </c>
      <c r="F1098" t="s">
        <v>2517</v>
      </c>
      <c r="H1098" t="s">
        <v>1391</v>
      </c>
      <c r="I1098" t="s">
        <v>7268</v>
      </c>
      <c r="J1098" t="s">
        <v>899</v>
      </c>
      <c r="L1098">
        <v>10</v>
      </c>
      <c r="M1098" s="134">
        <v>243000</v>
      </c>
      <c r="N1098" s="134">
        <v>359280</v>
      </c>
      <c r="O1098" t="s">
        <v>7269</v>
      </c>
      <c r="P1098" t="s">
        <v>7270</v>
      </c>
      <c r="Q1098" t="s">
        <v>1939</v>
      </c>
      <c r="R1098" t="s">
        <v>7271</v>
      </c>
      <c r="U1098" t="s">
        <v>491</v>
      </c>
      <c r="X1098">
        <v>0</v>
      </c>
    </row>
    <row r="1099" spans="1:24" x14ac:dyDescent="0.25">
      <c r="A1099" s="234">
        <v>43367</v>
      </c>
      <c r="B1099" t="s">
        <v>328</v>
      </c>
      <c r="C1099" t="s">
        <v>603</v>
      </c>
      <c r="D1099" t="s">
        <v>7595</v>
      </c>
      <c r="E1099" t="s">
        <v>588</v>
      </c>
      <c r="F1099" t="s">
        <v>12690</v>
      </c>
      <c r="G1099" t="s">
        <v>12691</v>
      </c>
      <c r="H1099" t="s">
        <v>886</v>
      </c>
      <c r="I1099" t="s">
        <v>3861</v>
      </c>
      <c r="J1099" t="s">
        <v>899</v>
      </c>
      <c r="L1099">
        <v>2</v>
      </c>
      <c r="M1099" s="134">
        <v>243000</v>
      </c>
      <c r="N1099" s="134">
        <v>437400</v>
      </c>
      <c r="O1099" t="s">
        <v>10766</v>
      </c>
      <c r="P1099" t="s">
        <v>12695</v>
      </c>
      <c r="Q1099" t="s">
        <v>1939</v>
      </c>
      <c r="R1099" t="s">
        <v>12696</v>
      </c>
      <c r="U1099" t="s">
        <v>12344</v>
      </c>
      <c r="X1099">
        <v>0</v>
      </c>
    </row>
    <row r="1100" spans="1:24" x14ac:dyDescent="0.25">
      <c r="A1100" s="234">
        <v>42501</v>
      </c>
      <c r="B1100" t="s">
        <v>328</v>
      </c>
      <c r="C1100" t="s">
        <v>603</v>
      </c>
      <c r="D1100" t="s">
        <v>1471</v>
      </c>
      <c r="E1100" t="s">
        <v>588</v>
      </c>
      <c r="F1100" t="s">
        <v>2047</v>
      </c>
      <c r="H1100" t="s">
        <v>722</v>
      </c>
      <c r="I1100" t="s">
        <v>2048</v>
      </c>
      <c r="M1100" s="134">
        <v>244000</v>
      </c>
      <c r="N1100" s="134">
        <v>463600</v>
      </c>
      <c r="O1100" t="s">
        <v>2049</v>
      </c>
      <c r="P1100" t="s">
        <v>2361</v>
      </c>
      <c r="Q1100" t="s">
        <v>1612</v>
      </c>
      <c r="R1100" t="s">
        <v>2050</v>
      </c>
      <c r="S1100" t="s">
        <v>2065</v>
      </c>
      <c r="U1100" t="s">
        <v>491</v>
      </c>
      <c r="X1100">
        <v>0</v>
      </c>
    </row>
    <row r="1101" spans="1:24" x14ac:dyDescent="0.25">
      <c r="A1101" s="234">
        <v>43060</v>
      </c>
      <c r="B1101" t="s">
        <v>5992</v>
      </c>
      <c r="C1101" t="s">
        <v>608</v>
      </c>
      <c r="D1101" t="s">
        <v>7858</v>
      </c>
      <c r="E1101" t="s">
        <v>588</v>
      </c>
      <c r="F1101" t="s">
        <v>9533</v>
      </c>
      <c r="G1101" t="s">
        <v>9533</v>
      </c>
      <c r="H1101" t="s">
        <v>607</v>
      </c>
      <c r="I1101" t="s">
        <v>6202</v>
      </c>
      <c r="J1101" t="s">
        <v>608</v>
      </c>
      <c r="M1101" s="134">
        <v>244300</v>
      </c>
      <c r="N1101" s="134">
        <v>439740</v>
      </c>
      <c r="O1101" t="s">
        <v>9534</v>
      </c>
      <c r="P1101" t="s">
        <v>9536</v>
      </c>
      <c r="Q1101" t="s">
        <v>592</v>
      </c>
      <c r="R1101" t="s">
        <v>9535</v>
      </c>
      <c r="U1101" t="s">
        <v>1327</v>
      </c>
      <c r="X1101">
        <v>0</v>
      </c>
    </row>
    <row r="1102" spans="1:24" x14ac:dyDescent="0.25">
      <c r="A1102" s="234">
        <v>43334</v>
      </c>
      <c r="B1102" t="s">
        <v>328</v>
      </c>
      <c r="C1102" t="s">
        <v>603</v>
      </c>
      <c r="D1102" t="s">
        <v>5701</v>
      </c>
      <c r="E1102" t="s">
        <v>588</v>
      </c>
      <c r="F1102" t="s">
        <v>12269</v>
      </c>
      <c r="G1102" t="s">
        <v>12270</v>
      </c>
      <c r="H1102" t="s">
        <v>607</v>
      </c>
      <c r="I1102" t="s">
        <v>12271</v>
      </c>
      <c r="J1102" t="s">
        <v>3751</v>
      </c>
      <c r="M1102" s="134">
        <v>244644</v>
      </c>
      <c r="N1102" s="134">
        <v>489286</v>
      </c>
      <c r="O1102" t="s">
        <v>10766</v>
      </c>
      <c r="P1102" t="s">
        <v>12272</v>
      </c>
      <c r="Q1102" t="s">
        <v>592</v>
      </c>
      <c r="R1102" t="s">
        <v>12273</v>
      </c>
      <c r="U1102" t="s">
        <v>491</v>
      </c>
      <c r="X1102">
        <v>0</v>
      </c>
    </row>
    <row r="1103" spans="1:24" x14ac:dyDescent="0.25">
      <c r="A1103" s="234">
        <v>42821</v>
      </c>
      <c r="B1103" t="s">
        <v>110</v>
      </c>
      <c r="C1103" t="s">
        <v>761</v>
      </c>
      <c r="D1103" t="s">
        <v>715</v>
      </c>
      <c r="E1103" t="s">
        <v>588</v>
      </c>
      <c r="F1103" t="s">
        <v>6141</v>
      </c>
      <c r="H1103" t="s">
        <v>607</v>
      </c>
      <c r="I1103" t="s">
        <v>6142</v>
      </c>
      <c r="J1103" t="s">
        <v>761</v>
      </c>
      <c r="L1103">
        <v>10</v>
      </c>
      <c r="M1103" s="134">
        <v>245000</v>
      </c>
      <c r="N1103" s="134">
        <v>295000</v>
      </c>
      <c r="O1103" t="s">
        <v>2886</v>
      </c>
      <c r="P1103" t="s">
        <v>6143</v>
      </c>
      <c r="Q1103" t="s">
        <v>592</v>
      </c>
      <c r="U1103" t="s">
        <v>1327</v>
      </c>
      <c r="X1103">
        <v>0</v>
      </c>
    </row>
    <row r="1104" spans="1:24" x14ac:dyDescent="0.25">
      <c r="A1104" s="234">
        <v>42849</v>
      </c>
      <c r="B1104" t="s">
        <v>5176</v>
      </c>
      <c r="D1104" t="s">
        <v>727</v>
      </c>
      <c r="E1104" t="s">
        <v>588</v>
      </c>
      <c r="F1104" t="s">
        <v>6516</v>
      </c>
      <c r="H1104" t="s">
        <v>1391</v>
      </c>
      <c r="I1104" t="s">
        <v>6517</v>
      </c>
      <c r="J1104" t="s">
        <v>959</v>
      </c>
      <c r="L1104">
        <v>9</v>
      </c>
      <c r="M1104" s="134">
        <v>245000</v>
      </c>
      <c r="N1104" s="134">
        <v>315000</v>
      </c>
      <c r="O1104" t="s">
        <v>6518</v>
      </c>
      <c r="P1104" t="s">
        <v>6519</v>
      </c>
      <c r="Q1104" t="s">
        <v>592</v>
      </c>
      <c r="U1104" t="s">
        <v>491</v>
      </c>
      <c r="X1104">
        <v>0</v>
      </c>
    </row>
    <row r="1105" spans="1:24" x14ac:dyDescent="0.25">
      <c r="A1105" s="234">
        <v>43593</v>
      </c>
      <c r="B1105" t="s">
        <v>328</v>
      </c>
      <c r="C1105" t="s">
        <v>603</v>
      </c>
      <c r="D1105" t="s">
        <v>10338</v>
      </c>
      <c r="F1105" t="s">
        <v>15449</v>
      </c>
      <c r="G1105" t="s">
        <v>15450</v>
      </c>
      <c r="H1105" t="s">
        <v>607</v>
      </c>
      <c r="I1105" t="s">
        <v>15451</v>
      </c>
      <c r="J1105" t="s">
        <v>3373</v>
      </c>
      <c r="K1105" t="s">
        <v>15452</v>
      </c>
      <c r="L1105">
        <v>4</v>
      </c>
      <c r="M1105" s="134">
        <v>245000</v>
      </c>
      <c r="N1105" s="134">
        <v>425000</v>
      </c>
      <c r="O1105" t="s">
        <v>4533</v>
      </c>
      <c r="P1105" t="s">
        <v>15453</v>
      </c>
      <c r="Q1105" t="s">
        <v>1939</v>
      </c>
      <c r="R1105" t="s">
        <v>15455</v>
      </c>
      <c r="S1105" t="s">
        <v>15454</v>
      </c>
      <c r="U1105" t="s">
        <v>491</v>
      </c>
      <c r="X1105">
        <v>0</v>
      </c>
    </row>
    <row r="1106" spans="1:24" x14ac:dyDescent="0.25">
      <c r="A1106" s="234">
        <v>42422</v>
      </c>
      <c r="B1106" t="s">
        <v>328</v>
      </c>
      <c r="C1106" t="s">
        <v>603</v>
      </c>
      <c r="D1106" t="s">
        <v>649</v>
      </c>
      <c r="E1106" t="s">
        <v>588</v>
      </c>
      <c r="F1106" t="s">
        <v>1079</v>
      </c>
      <c r="H1106" t="s">
        <v>905</v>
      </c>
      <c r="I1106" t="s">
        <v>1080</v>
      </c>
      <c r="M1106" s="134">
        <v>245000</v>
      </c>
      <c r="N1106" s="134">
        <v>480500</v>
      </c>
      <c r="O1106" t="s">
        <v>969</v>
      </c>
      <c r="P1106" t="s">
        <v>1081</v>
      </c>
      <c r="Q1106" t="s">
        <v>592</v>
      </c>
      <c r="R1106" t="s">
        <v>1082</v>
      </c>
      <c r="U1106" t="s">
        <v>491</v>
      </c>
      <c r="X1106">
        <v>0</v>
      </c>
    </row>
    <row r="1107" spans="1:24" x14ac:dyDescent="0.25">
      <c r="A1107" s="234">
        <v>42923</v>
      </c>
      <c r="B1107" t="s">
        <v>328</v>
      </c>
      <c r="C1107" t="s">
        <v>603</v>
      </c>
      <c r="D1107" t="s">
        <v>649</v>
      </c>
      <c r="E1107" t="s">
        <v>588</v>
      </c>
      <c r="F1107" t="s">
        <v>7521</v>
      </c>
      <c r="H1107" t="s">
        <v>607</v>
      </c>
      <c r="I1107" t="s">
        <v>7522</v>
      </c>
      <c r="J1107" t="s">
        <v>3373</v>
      </c>
      <c r="L1107">
        <v>9</v>
      </c>
      <c r="M1107" s="134">
        <v>246000</v>
      </c>
      <c r="N1107" s="134">
        <v>470600</v>
      </c>
      <c r="O1107" t="s">
        <v>6522</v>
      </c>
      <c r="P1107" t="s">
        <v>7523</v>
      </c>
      <c r="Q1107" t="s">
        <v>1939</v>
      </c>
      <c r="R1107" t="s">
        <v>7930</v>
      </c>
      <c r="S1107" t="s">
        <v>7570</v>
      </c>
      <c r="U1107" t="s">
        <v>491</v>
      </c>
      <c r="X1107">
        <v>0</v>
      </c>
    </row>
    <row r="1108" spans="1:24" x14ac:dyDescent="0.25">
      <c r="A1108" s="234">
        <v>42408</v>
      </c>
      <c r="B1108" t="s">
        <v>328</v>
      </c>
      <c r="C1108" t="s">
        <v>603</v>
      </c>
      <c r="D1108" t="s">
        <v>587</v>
      </c>
      <c r="E1108" t="s">
        <v>588</v>
      </c>
      <c r="F1108" t="s">
        <v>949</v>
      </c>
      <c r="H1108" t="s">
        <v>607</v>
      </c>
      <c r="I1108" t="s">
        <v>781</v>
      </c>
      <c r="M1108" s="134">
        <v>247000</v>
      </c>
      <c r="N1108" s="134">
        <v>469300</v>
      </c>
      <c r="O1108" t="s">
        <v>950</v>
      </c>
      <c r="P1108" t="s">
        <v>951</v>
      </c>
      <c r="Q1108" t="s">
        <v>592</v>
      </c>
      <c r="R1108" t="s">
        <v>1190</v>
      </c>
      <c r="U1108" t="s">
        <v>491</v>
      </c>
      <c r="X1108">
        <v>0</v>
      </c>
    </row>
    <row r="1109" spans="1:24" x14ac:dyDescent="0.25">
      <c r="A1109" s="234">
        <v>43293</v>
      </c>
      <c r="B1109" t="s">
        <v>569</v>
      </c>
      <c r="C1109" t="s">
        <v>899</v>
      </c>
      <c r="D1109" t="s">
        <v>11286</v>
      </c>
      <c r="E1109" t="s">
        <v>588</v>
      </c>
      <c r="F1109" t="s">
        <v>11779</v>
      </c>
      <c r="G1109" t="s">
        <v>9332</v>
      </c>
      <c r="H1109" t="s">
        <v>607</v>
      </c>
      <c r="I1109" t="s">
        <v>8520</v>
      </c>
      <c r="J1109" t="s">
        <v>899</v>
      </c>
      <c r="M1109" s="134">
        <v>247700</v>
      </c>
      <c r="N1109" s="134">
        <v>317000</v>
      </c>
      <c r="O1109" t="s">
        <v>7564</v>
      </c>
      <c r="P1109" t="s">
        <v>12000</v>
      </c>
      <c r="Q1109" t="s">
        <v>1939</v>
      </c>
      <c r="R1109" t="s">
        <v>11780</v>
      </c>
      <c r="U1109" t="s">
        <v>1327</v>
      </c>
      <c r="X1109">
        <v>0</v>
      </c>
    </row>
    <row r="1110" spans="1:24" x14ac:dyDescent="0.25">
      <c r="A1110" s="234">
        <v>42936</v>
      </c>
      <c r="B1110" t="s">
        <v>5176</v>
      </c>
      <c r="D1110" t="s">
        <v>595</v>
      </c>
      <c r="E1110" t="s">
        <v>588</v>
      </c>
      <c r="F1110" t="s">
        <v>7702</v>
      </c>
      <c r="G1110" t="s">
        <v>7703</v>
      </c>
      <c r="H1110" t="s">
        <v>607</v>
      </c>
      <c r="I1110" t="s">
        <v>6974</v>
      </c>
      <c r="J1110" t="s">
        <v>959</v>
      </c>
      <c r="M1110" s="134">
        <v>250000</v>
      </c>
      <c r="N1110" s="134">
        <v>0</v>
      </c>
      <c r="O1110" t="s">
        <v>7704</v>
      </c>
      <c r="P1110" t="s">
        <v>7705</v>
      </c>
      <c r="Q1110" t="s">
        <v>29</v>
      </c>
      <c r="R1110" t="s">
        <v>7706</v>
      </c>
      <c r="U1110" t="s">
        <v>491</v>
      </c>
      <c r="X1110">
        <v>1</v>
      </c>
    </row>
    <row r="1111" spans="1:24" x14ac:dyDescent="0.25">
      <c r="A1111" s="234">
        <v>43052</v>
      </c>
      <c r="B1111" t="s">
        <v>5992</v>
      </c>
      <c r="C1111" t="s">
        <v>608</v>
      </c>
      <c r="D1111" t="s">
        <v>5270</v>
      </c>
      <c r="E1111" t="s">
        <v>588</v>
      </c>
      <c r="F1111" t="s">
        <v>9418</v>
      </c>
      <c r="G1111" t="s">
        <v>9419</v>
      </c>
      <c r="H1111" t="s">
        <v>607</v>
      </c>
      <c r="I1111" t="s">
        <v>9420</v>
      </c>
      <c r="J1111" t="s">
        <v>608</v>
      </c>
      <c r="L1111">
        <v>5</v>
      </c>
      <c r="M1111" s="134">
        <v>250000</v>
      </c>
      <c r="N1111" s="134">
        <v>0</v>
      </c>
      <c r="O1111" t="s">
        <v>9421</v>
      </c>
      <c r="P1111" t="s">
        <v>9422</v>
      </c>
      <c r="Q1111" t="s">
        <v>1939</v>
      </c>
      <c r="R1111" t="s">
        <v>9423</v>
      </c>
      <c r="U1111" t="s">
        <v>491</v>
      </c>
      <c r="X1111">
        <v>0</v>
      </c>
    </row>
    <row r="1112" spans="1:24" x14ac:dyDescent="0.25">
      <c r="A1112" s="234">
        <v>42429</v>
      </c>
      <c r="B1112" t="s">
        <v>594</v>
      </c>
      <c r="C1112" t="s">
        <v>604</v>
      </c>
      <c r="D1112" t="s">
        <v>595</v>
      </c>
      <c r="E1112" t="s">
        <v>588</v>
      </c>
      <c r="F1112" t="s">
        <v>1169</v>
      </c>
      <c r="H1112" t="s">
        <v>1057</v>
      </c>
      <c r="I1112" t="s">
        <v>1170</v>
      </c>
      <c r="M1112" s="134">
        <v>250000</v>
      </c>
      <c r="N1112" s="134">
        <v>0</v>
      </c>
      <c r="O1112" t="s">
        <v>1171</v>
      </c>
      <c r="P1112" t="s">
        <v>1172</v>
      </c>
      <c r="Q1112" t="s">
        <v>620</v>
      </c>
      <c r="R1112" t="s">
        <v>1173</v>
      </c>
      <c r="U1112" t="s">
        <v>491</v>
      </c>
      <c r="X1112">
        <v>0</v>
      </c>
    </row>
    <row r="1113" spans="1:24" x14ac:dyDescent="0.25">
      <c r="A1113" s="234">
        <v>42538</v>
      </c>
      <c r="B1113" t="s">
        <v>378</v>
      </c>
      <c r="C1113" t="s">
        <v>623</v>
      </c>
      <c r="D1113" t="s">
        <v>930</v>
      </c>
      <c r="E1113" t="s">
        <v>821</v>
      </c>
      <c r="H1113" t="s">
        <v>607</v>
      </c>
      <c r="M1113" s="134">
        <v>250000</v>
      </c>
      <c r="N1113" s="134">
        <v>0</v>
      </c>
      <c r="O1113" t="s">
        <v>35</v>
      </c>
      <c r="P1113" t="s">
        <v>2582</v>
      </c>
      <c r="Q1113" t="s">
        <v>29</v>
      </c>
      <c r="U1113" t="s">
        <v>491</v>
      </c>
      <c r="X1113">
        <v>1</v>
      </c>
    </row>
    <row r="1114" spans="1:24" x14ac:dyDescent="0.25">
      <c r="A1114" s="234">
        <v>43243</v>
      </c>
      <c r="B1114" t="s">
        <v>328</v>
      </c>
      <c r="C1114" t="s">
        <v>603</v>
      </c>
      <c r="D1114" t="s">
        <v>11282</v>
      </c>
      <c r="E1114" t="s">
        <v>588</v>
      </c>
      <c r="F1114" t="s">
        <v>11283</v>
      </c>
      <c r="G1114" t="s">
        <v>9375</v>
      </c>
      <c r="H1114" t="s">
        <v>905</v>
      </c>
      <c r="I1114" t="s">
        <v>8144</v>
      </c>
      <c r="J1114" t="s">
        <v>899</v>
      </c>
      <c r="L1114">
        <v>2</v>
      </c>
      <c r="M1114" s="134">
        <v>250000</v>
      </c>
      <c r="N1114" s="134">
        <v>250000</v>
      </c>
      <c r="O1114" t="s">
        <v>4533</v>
      </c>
      <c r="P1114" t="s">
        <v>11284</v>
      </c>
      <c r="Q1114" t="s">
        <v>1939</v>
      </c>
      <c r="R1114" t="s">
        <v>11285</v>
      </c>
      <c r="U1114" t="s">
        <v>491</v>
      </c>
      <c r="X1114">
        <v>0</v>
      </c>
    </row>
    <row r="1115" spans="1:24" x14ac:dyDescent="0.25">
      <c r="A1115" s="234">
        <v>43327</v>
      </c>
      <c r="B1115" t="s">
        <v>328</v>
      </c>
      <c r="C1115" t="s">
        <v>603</v>
      </c>
      <c r="D1115" t="s">
        <v>757</v>
      </c>
      <c r="E1115" t="s">
        <v>588</v>
      </c>
      <c r="F1115" t="s">
        <v>12202</v>
      </c>
      <c r="G1115" t="s">
        <v>12203</v>
      </c>
      <c r="H1115" t="s">
        <v>1050</v>
      </c>
      <c r="I1115" t="s">
        <v>7593</v>
      </c>
      <c r="J1115" t="s">
        <v>3426</v>
      </c>
      <c r="L1115">
        <v>3</v>
      </c>
      <c r="M1115" s="134">
        <v>250000</v>
      </c>
      <c r="N1115" s="134">
        <v>250000</v>
      </c>
      <c r="O1115" t="s">
        <v>10766</v>
      </c>
      <c r="P1115" t="s">
        <v>12500</v>
      </c>
      <c r="Q1115" t="s">
        <v>592</v>
      </c>
      <c r="R1115" t="s">
        <v>12204</v>
      </c>
      <c r="U1115" t="s">
        <v>1327</v>
      </c>
      <c r="X1115">
        <v>0</v>
      </c>
    </row>
    <row r="1116" spans="1:24" x14ac:dyDescent="0.25">
      <c r="A1116" s="234">
        <v>42479</v>
      </c>
      <c r="B1116" t="s">
        <v>1486</v>
      </c>
      <c r="C1116" t="s">
        <v>604</v>
      </c>
      <c r="D1116" t="s">
        <v>727</v>
      </c>
      <c r="E1116" t="s">
        <v>588</v>
      </c>
      <c r="F1116" t="s">
        <v>1734</v>
      </c>
      <c r="H1116" t="s">
        <v>1050</v>
      </c>
      <c r="I1116" t="s">
        <v>1740</v>
      </c>
      <c r="M1116" s="134">
        <v>250000</v>
      </c>
      <c r="N1116" s="134">
        <v>250000</v>
      </c>
      <c r="O1116">
        <v>280000</v>
      </c>
      <c r="P1116" t="s">
        <v>1735</v>
      </c>
      <c r="Q1116" t="s">
        <v>1612</v>
      </c>
      <c r="R1116" t="s">
        <v>1741</v>
      </c>
      <c r="U1116" t="s">
        <v>491</v>
      </c>
      <c r="X1116">
        <v>0</v>
      </c>
    </row>
    <row r="1117" spans="1:24" x14ac:dyDescent="0.25">
      <c r="A1117" s="234">
        <v>42586</v>
      </c>
      <c r="B1117" t="s">
        <v>378</v>
      </c>
      <c r="C1117" t="s">
        <v>623</v>
      </c>
      <c r="D1117" t="s">
        <v>625</v>
      </c>
      <c r="E1117" t="s">
        <v>588</v>
      </c>
      <c r="F1117" t="s">
        <v>3225</v>
      </c>
      <c r="H1117" t="s">
        <v>607</v>
      </c>
      <c r="I1117" t="s">
        <v>2830</v>
      </c>
      <c r="J1117" t="s">
        <v>899</v>
      </c>
      <c r="L1117">
        <v>4</v>
      </c>
      <c r="M1117" s="134">
        <v>250000</v>
      </c>
      <c r="N1117" s="134">
        <v>250000</v>
      </c>
      <c r="O1117" t="s">
        <v>3226</v>
      </c>
      <c r="P1117" t="s">
        <v>3227</v>
      </c>
      <c r="Q1117" t="s">
        <v>1939</v>
      </c>
      <c r="R1117" t="s">
        <v>3228</v>
      </c>
      <c r="U1117" t="s">
        <v>491</v>
      </c>
      <c r="X1117">
        <v>0</v>
      </c>
    </row>
    <row r="1118" spans="1:24" x14ac:dyDescent="0.25">
      <c r="A1118" s="234">
        <v>43570</v>
      </c>
      <c r="B1118" t="s">
        <v>328</v>
      </c>
      <c r="C1118" t="s">
        <v>603</v>
      </c>
      <c r="D1118" t="s">
        <v>672</v>
      </c>
      <c r="F1118" t="s">
        <v>15245</v>
      </c>
      <c r="G1118" t="s">
        <v>15246</v>
      </c>
      <c r="H1118" t="s">
        <v>10831</v>
      </c>
      <c r="I1118" t="s">
        <v>15247</v>
      </c>
      <c r="J1118" t="s">
        <v>3368</v>
      </c>
      <c r="K1118" t="s">
        <v>15248</v>
      </c>
      <c r="L1118">
        <v>10</v>
      </c>
      <c r="M1118" s="134">
        <v>250000</v>
      </c>
      <c r="N1118" s="134">
        <v>260000</v>
      </c>
      <c r="O1118" t="s">
        <v>10763</v>
      </c>
      <c r="P1118" t="s">
        <v>15249</v>
      </c>
      <c r="Q1118" t="s">
        <v>1939</v>
      </c>
      <c r="R1118" t="s">
        <v>15334</v>
      </c>
      <c r="U1118" t="s">
        <v>12797</v>
      </c>
      <c r="X1118">
        <v>0</v>
      </c>
    </row>
    <row r="1119" spans="1:24" x14ac:dyDescent="0.25">
      <c r="A1119" s="234">
        <v>43448</v>
      </c>
      <c r="B1119" t="s">
        <v>13559</v>
      </c>
      <c r="C1119" t="s">
        <v>4031</v>
      </c>
      <c r="D1119" t="s">
        <v>13639</v>
      </c>
      <c r="F1119" t="s">
        <v>13640</v>
      </c>
      <c r="G1119" t="s">
        <v>13641</v>
      </c>
      <c r="H1119" t="s">
        <v>905</v>
      </c>
      <c r="I1119" t="s">
        <v>13642</v>
      </c>
      <c r="J1119" t="s">
        <v>3523</v>
      </c>
      <c r="K1119" t="s">
        <v>13643</v>
      </c>
      <c r="M1119" s="134">
        <v>250000</v>
      </c>
      <c r="N1119" s="134">
        <v>275000</v>
      </c>
      <c r="O1119" t="s">
        <v>10762</v>
      </c>
      <c r="P1119" t="s">
        <v>13644</v>
      </c>
      <c r="Q1119" t="s">
        <v>1939</v>
      </c>
      <c r="R1119" t="s">
        <v>13645</v>
      </c>
      <c r="U1119" t="s">
        <v>491</v>
      </c>
      <c r="X1119">
        <v>0</v>
      </c>
    </row>
    <row r="1120" spans="1:24" x14ac:dyDescent="0.25">
      <c r="A1120" s="234">
        <v>42870</v>
      </c>
      <c r="B1120" t="s">
        <v>328</v>
      </c>
      <c r="C1120" t="s">
        <v>603</v>
      </c>
      <c r="D1120" t="s">
        <v>587</v>
      </c>
      <c r="E1120" t="s">
        <v>588</v>
      </c>
      <c r="F1120" t="s">
        <v>6777</v>
      </c>
      <c r="H1120" t="s">
        <v>886</v>
      </c>
      <c r="I1120" t="s">
        <v>6780</v>
      </c>
      <c r="J1120" t="s">
        <v>3371</v>
      </c>
      <c r="M1120" s="134">
        <v>250000</v>
      </c>
      <c r="N1120" s="134">
        <v>278000</v>
      </c>
      <c r="O1120" t="s">
        <v>6779</v>
      </c>
      <c r="P1120" t="s">
        <v>6778</v>
      </c>
      <c r="Q1120" t="s">
        <v>29</v>
      </c>
      <c r="R1120" t="s">
        <v>6782</v>
      </c>
      <c r="S1120" t="s">
        <v>6781</v>
      </c>
      <c r="U1120" t="s">
        <v>491</v>
      </c>
      <c r="X1120">
        <v>1</v>
      </c>
    </row>
    <row r="1121" spans="1:24" x14ac:dyDescent="0.25">
      <c r="A1121" s="234">
        <v>43039</v>
      </c>
      <c r="B1121" t="s">
        <v>569</v>
      </c>
      <c r="C1121" t="s">
        <v>899</v>
      </c>
      <c r="D1121" t="s">
        <v>930</v>
      </c>
      <c r="E1121" t="s">
        <v>821</v>
      </c>
      <c r="F1121" t="s">
        <v>9255</v>
      </c>
      <c r="G1121" t="s">
        <v>9072</v>
      </c>
      <c r="H1121" t="s">
        <v>1050</v>
      </c>
      <c r="I1121" t="s">
        <v>9256</v>
      </c>
      <c r="J1121" t="s">
        <v>899</v>
      </c>
      <c r="M1121" s="134">
        <v>250000</v>
      </c>
      <c r="N1121" s="134">
        <v>280000</v>
      </c>
      <c r="O1121" t="s">
        <v>9257</v>
      </c>
      <c r="P1121" t="s">
        <v>9258</v>
      </c>
      <c r="Q1121" t="s">
        <v>1939</v>
      </c>
      <c r="R1121" t="s">
        <v>9265</v>
      </c>
      <c r="U1121" t="s">
        <v>491</v>
      </c>
      <c r="X1121">
        <v>0</v>
      </c>
    </row>
    <row r="1122" spans="1:24" x14ac:dyDescent="0.25">
      <c r="A1122" s="234">
        <v>42600</v>
      </c>
      <c r="B1122" t="s">
        <v>328</v>
      </c>
      <c r="C1122" t="s">
        <v>603</v>
      </c>
      <c r="D1122" t="s">
        <v>1471</v>
      </c>
      <c r="E1122" t="s">
        <v>588</v>
      </c>
      <c r="F1122" t="s">
        <v>3491</v>
      </c>
      <c r="H1122" t="s">
        <v>3494</v>
      </c>
      <c r="I1122" t="s">
        <v>3492</v>
      </c>
      <c r="J1122" t="s">
        <v>899</v>
      </c>
      <c r="L1122">
        <v>3</v>
      </c>
      <c r="M1122" s="134">
        <v>250000</v>
      </c>
      <c r="N1122" s="134">
        <v>296000</v>
      </c>
      <c r="O1122" t="s">
        <v>3493</v>
      </c>
      <c r="P1122" t="s">
        <v>3495</v>
      </c>
      <c r="Q1122" t="s">
        <v>592</v>
      </c>
      <c r="R1122" t="s">
        <v>3496</v>
      </c>
      <c r="U1122" t="s">
        <v>491</v>
      </c>
      <c r="X1122">
        <v>0</v>
      </c>
    </row>
    <row r="1123" spans="1:24" x14ac:dyDescent="0.25">
      <c r="A1123" s="234">
        <v>43619</v>
      </c>
      <c r="B1123" t="s">
        <v>5956</v>
      </c>
      <c r="C1123" t="s">
        <v>3369</v>
      </c>
      <c r="D1123" t="s">
        <v>7721</v>
      </c>
      <c r="F1123" t="s">
        <v>15820</v>
      </c>
      <c r="G1123" t="s">
        <v>15821</v>
      </c>
      <c r="H1123" t="s">
        <v>905</v>
      </c>
      <c r="I1123" t="s">
        <v>15822</v>
      </c>
      <c r="J1123" t="s">
        <v>3369</v>
      </c>
      <c r="K1123" t="s">
        <v>15823</v>
      </c>
      <c r="L1123">
        <v>5</v>
      </c>
      <c r="M1123" s="134">
        <v>250000</v>
      </c>
      <c r="N1123" s="134">
        <v>300000</v>
      </c>
      <c r="O1123" t="s">
        <v>10766</v>
      </c>
      <c r="P1123" t="s">
        <v>15824</v>
      </c>
      <c r="Q1123" t="s">
        <v>29</v>
      </c>
      <c r="R1123" t="s">
        <v>15825</v>
      </c>
      <c r="U1123" t="s">
        <v>491</v>
      </c>
      <c r="X1123">
        <v>1</v>
      </c>
    </row>
    <row r="1124" spans="1:24" x14ac:dyDescent="0.25">
      <c r="A1124" s="234">
        <v>42892</v>
      </c>
      <c r="B1124" t="s">
        <v>5176</v>
      </c>
      <c r="C1124" t="s">
        <v>604</v>
      </c>
      <c r="D1124" t="s">
        <v>595</v>
      </c>
      <c r="E1124" t="s">
        <v>588</v>
      </c>
      <c r="F1124" t="s">
        <v>7061</v>
      </c>
      <c r="H1124" t="s">
        <v>905</v>
      </c>
      <c r="I1124" t="s">
        <v>6460</v>
      </c>
      <c r="J1124" t="s">
        <v>959</v>
      </c>
      <c r="M1124" s="134">
        <v>250000</v>
      </c>
      <c r="N1124" s="134">
        <v>300000</v>
      </c>
      <c r="O1124" t="s">
        <v>639</v>
      </c>
      <c r="P1124" t="s">
        <v>7062</v>
      </c>
      <c r="Q1124" t="s">
        <v>1939</v>
      </c>
      <c r="R1124" t="s">
        <v>7063</v>
      </c>
      <c r="U1124" t="s">
        <v>491</v>
      </c>
      <c r="X1124">
        <v>0</v>
      </c>
    </row>
    <row r="1125" spans="1:24" x14ac:dyDescent="0.25">
      <c r="A1125" s="234">
        <v>42487</v>
      </c>
      <c r="B1125" t="s">
        <v>328</v>
      </c>
      <c r="D1125" t="s">
        <v>672</v>
      </c>
      <c r="E1125" t="s">
        <v>588</v>
      </c>
      <c r="F1125" t="s">
        <v>1848</v>
      </c>
      <c r="H1125" t="s">
        <v>1849</v>
      </c>
      <c r="I1125" t="s">
        <v>1850</v>
      </c>
      <c r="M1125" s="134">
        <v>250000</v>
      </c>
      <c r="N1125" s="134">
        <v>300000</v>
      </c>
      <c r="O1125" t="s">
        <v>1847</v>
      </c>
      <c r="P1125" t="s">
        <v>1851</v>
      </c>
      <c r="Q1125" t="s">
        <v>29</v>
      </c>
      <c r="R1125" t="s">
        <v>1852</v>
      </c>
      <c r="S1125" t="s">
        <v>1928</v>
      </c>
      <c r="U1125" t="s">
        <v>1629</v>
      </c>
      <c r="X1125">
        <v>1</v>
      </c>
    </row>
    <row r="1126" spans="1:24" x14ac:dyDescent="0.25">
      <c r="A1126" s="234">
        <v>42629</v>
      </c>
      <c r="B1126" t="s">
        <v>320</v>
      </c>
      <c r="C1126" t="s">
        <v>1228</v>
      </c>
      <c r="D1126" t="s">
        <v>1229</v>
      </c>
      <c r="E1126" t="s">
        <v>588</v>
      </c>
      <c r="F1126" t="s">
        <v>3936</v>
      </c>
      <c r="H1126" t="s">
        <v>607</v>
      </c>
      <c r="I1126" t="s">
        <v>3937</v>
      </c>
      <c r="J1126" t="s">
        <v>3856</v>
      </c>
      <c r="L1126">
        <v>6</v>
      </c>
      <c r="M1126" s="134">
        <v>250000</v>
      </c>
      <c r="N1126" s="134">
        <v>320000</v>
      </c>
      <c r="O1126" t="s">
        <v>1033</v>
      </c>
      <c r="P1126" t="s">
        <v>3938</v>
      </c>
      <c r="Q1126" t="s">
        <v>29</v>
      </c>
      <c r="R1126" t="s">
        <v>3939</v>
      </c>
      <c r="U1126" t="s">
        <v>491</v>
      </c>
      <c r="X1126">
        <v>1</v>
      </c>
    </row>
    <row r="1127" spans="1:24" x14ac:dyDescent="0.25">
      <c r="A1127" s="234">
        <v>43482</v>
      </c>
      <c r="B1127" t="s">
        <v>328</v>
      </c>
      <c r="C1127" t="s">
        <v>603</v>
      </c>
      <c r="D1127" t="s">
        <v>649</v>
      </c>
      <c r="F1127" t="s">
        <v>14030</v>
      </c>
      <c r="G1127" t="s">
        <v>9332</v>
      </c>
      <c r="H1127" t="s">
        <v>10829</v>
      </c>
      <c r="I1127" t="s">
        <v>14031</v>
      </c>
      <c r="J1127" t="s">
        <v>8194</v>
      </c>
      <c r="K1127" t="s">
        <v>14032</v>
      </c>
      <c r="L1127">
        <v>2</v>
      </c>
      <c r="M1127" s="134">
        <v>250000</v>
      </c>
      <c r="N1127" s="134">
        <v>345000</v>
      </c>
      <c r="O1127" t="s">
        <v>6745</v>
      </c>
      <c r="P1127" t="s">
        <v>14240</v>
      </c>
      <c r="Q1127" t="s">
        <v>1939</v>
      </c>
      <c r="R1127" t="s">
        <v>14241</v>
      </c>
      <c r="U1127" t="s">
        <v>12797</v>
      </c>
      <c r="X1127">
        <v>0</v>
      </c>
    </row>
    <row r="1128" spans="1:24" x14ac:dyDescent="0.25">
      <c r="A1128" s="234">
        <v>42640</v>
      </c>
      <c r="B1128" t="s">
        <v>328</v>
      </c>
      <c r="C1128" t="s">
        <v>899</v>
      </c>
      <c r="D1128" t="s">
        <v>2282</v>
      </c>
      <c r="E1128" t="s">
        <v>588</v>
      </c>
      <c r="F1128" t="s">
        <v>4094</v>
      </c>
      <c r="H1128" t="s">
        <v>4041</v>
      </c>
      <c r="I1128" t="s">
        <v>4095</v>
      </c>
      <c r="J1128" t="s">
        <v>3523</v>
      </c>
      <c r="L1128">
        <v>9</v>
      </c>
      <c r="M1128" s="134">
        <v>250000</v>
      </c>
      <c r="N1128" s="134">
        <v>345000</v>
      </c>
      <c r="O1128" t="s">
        <v>4096</v>
      </c>
      <c r="P1128" t="s">
        <v>4097</v>
      </c>
      <c r="Q1128" t="s">
        <v>1939</v>
      </c>
      <c r="R1128" t="s">
        <v>4098</v>
      </c>
      <c r="U1128" t="s">
        <v>4089</v>
      </c>
      <c r="X1128">
        <v>0</v>
      </c>
    </row>
    <row r="1129" spans="1:24" x14ac:dyDescent="0.25">
      <c r="A1129" s="234">
        <v>43090</v>
      </c>
      <c r="B1129" t="s">
        <v>569</v>
      </c>
      <c r="C1129" t="s">
        <v>899</v>
      </c>
      <c r="D1129" t="s">
        <v>624</v>
      </c>
      <c r="E1129" t="s">
        <v>588</v>
      </c>
      <c r="F1129" t="s">
        <v>9835</v>
      </c>
      <c r="G1129" t="s">
        <v>9836</v>
      </c>
      <c r="H1129" t="s">
        <v>886</v>
      </c>
      <c r="I1129" t="s">
        <v>5621</v>
      </c>
      <c r="J1129" t="s">
        <v>899</v>
      </c>
      <c r="M1129" s="134">
        <v>250000</v>
      </c>
      <c r="N1129" s="134">
        <v>350000</v>
      </c>
      <c r="O1129" t="s">
        <v>9837</v>
      </c>
      <c r="P1129" t="s">
        <v>9838</v>
      </c>
      <c r="Q1129" t="s">
        <v>1939</v>
      </c>
      <c r="R1129" t="s">
        <v>9839</v>
      </c>
      <c r="U1129" t="s">
        <v>1327</v>
      </c>
      <c r="X1129">
        <v>0</v>
      </c>
    </row>
    <row r="1130" spans="1:24" x14ac:dyDescent="0.25">
      <c r="A1130" s="234">
        <v>43003</v>
      </c>
      <c r="B1130" t="s">
        <v>328</v>
      </c>
      <c r="C1130" t="s">
        <v>603</v>
      </c>
      <c r="D1130" t="s">
        <v>2500</v>
      </c>
      <c r="E1130" t="s">
        <v>588</v>
      </c>
      <c r="F1130" t="s">
        <v>8699</v>
      </c>
      <c r="H1130" t="s">
        <v>3827</v>
      </c>
      <c r="I1130" t="s">
        <v>5888</v>
      </c>
      <c r="J1130" t="s">
        <v>3373</v>
      </c>
      <c r="M1130" s="134">
        <v>250000</v>
      </c>
      <c r="N1130" s="134">
        <v>359000</v>
      </c>
      <c r="O1130" t="s">
        <v>639</v>
      </c>
      <c r="P1130" t="s">
        <v>8700</v>
      </c>
      <c r="Q1130" t="s">
        <v>1939</v>
      </c>
      <c r="R1130" t="s">
        <v>8701</v>
      </c>
      <c r="S1130" t="s">
        <v>8702</v>
      </c>
      <c r="T1130">
        <v>22</v>
      </c>
      <c r="U1130" t="s">
        <v>491</v>
      </c>
      <c r="X1130">
        <v>0</v>
      </c>
    </row>
    <row r="1131" spans="1:24" x14ac:dyDescent="0.25">
      <c r="A1131" s="234">
        <v>42950</v>
      </c>
      <c r="B1131" t="s">
        <v>320</v>
      </c>
      <c r="D1131" t="s">
        <v>1229</v>
      </c>
      <c r="E1131" t="s">
        <v>692</v>
      </c>
      <c r="F1131" t="s">
        <v>7977</v>
      </c>
      <c r="G1131" t="s">
        <v>7978</v>
      </c>
      <c r="H1131" t="s">
        <v>607</v>
      </c>
      <c r="I1131" t="s">
        <v>3937</v>
      </c>
      <c r="J1131" t="s">
        <v>3856</v>
      </c>
      <c r="M1131" s="134">
        <v>250000</v>
      </c>
      <c r="N1131" s="134">
        <v>370000</v>
      </c>
      <c r="O1131" t="s">
        <v>7979</v>
      </c>
      <c r="P1131" t="s">
        <v>7980</v>
      </c>
      <c r="Q1131" t="s">
        <v>1939</v>
      </c>
      <c r="R1131" t="s">
        <v>7981</v>
      </c>
      <c r="T1131">
        <v>34</v>
      </c>
      <c r="U1131" t="s">
        <v>491</v>
      </c>
      <c r="X1131">
        <v>0</v>
      </c>
    </row>
    <row r="1132" spans="1:24" x14ac:dyDescent="0.25">
      <c r="A1132" s="234">
        <v>43598</v>
      </c>
      <c r="B1132" t="s">
        <v>328</v>
      </c>
      <c r="C1132" t="s">
        <v>603</v>
      </c>
      <c r="D1132" t="s">
        <v>10705</v>
      </c>
      <c r="F1132" t="s">
        <v>7698</v>
      </c>
      <c r="G1132" t="s">
        <v>7828</v>
      </c>
      <c r="H1132" t="s">
        <v>607</v>
      </c>
      <c r="I1132" t="s">
        <v>15149</v>
      </c>
      <c r="J1132" t="s">
        <v>3523</v>
      </c>
      <c r="K1132" t="s">
        <v>15522</v>
      </c>
      <c r="L1132">
        <v>4</v>
      </c>
      <c r="M1132" s="134">
        <v>250000</v>
      </c>
      <c r="N1132" s="134">
        <v>375000</v>
      </c>
      <c r="O1132" t="s">
        <v>10765</v>
      </c>
      <c r="P1132" t="s">
        <v>15523</v>
      </c>
      <c r="Q1132" t="s">
        <v>29</v>
      </c>
      <c r="R1132" t="s">
        <v>15525</v>
      </c>
      <c r="S1132" t="s">
        <v>15524</v>
      </c>
      <c r="U1132" t="s">
        <v>491</v>
      </c>
      <c r="X1132">
        <v>1</v>
      </c>
    </row>
    <row r="1133" spans="1:24" x14ac:dyDescent="0.25">
      <c r="A1133" s="234">
        <v>42935</v>
      </c>
      <c r="B1133" t="s">
        <v>569</v>
      </c>
      <c r="D1133" t="s">
        <v>930</v>
      </c>
      <c r="E1133" t="s">
        <v>588</v>
      </c>
      <c r="F1133" t="s">
        <v>7681</v>
      </c>
      <c r="H1133" t="s">
        <v>1391</v>
      </c>
      <c r="I1133" t="s">
        <v>7682</v>
      </c>
      <c r="J1133" t="s">
        <v>899</v>
      </c>
      <c r="L1133">
        <v>4</v>
      </c>
      <c r="M1133" s="134">
        <v>250000</v>
      </c>
      <c r="N1133" s="134">
        <v>375000</v>
      </c>
      <c r="O1133" t="s">
        <v>7683</v>
      </c>
      <c r="P1133" t="s">
        <v>7727</v>
      </c>
      <c r="Q1133" t="s">
        <v>1612</v>
      </c>
      <c r="R1133" t="s">
        <v>9483</v>
      </c>
      <c r="U1133" t="s">
        <v>491</v>
      </c>
      <c r="V1133" t="s">
        <v>3985</v>
      </c>
      <c r="W1133" t="s">
        <v>7731</v>
      </c>
      <c r="X1133">
        <v>0</v>
      </c>
    </row>
    <row r="1134" spans="1:24" x14ac:dyDescent="0.25">
      <c r="A1134" s="234">
        <v>43566</v>
      </c>
      <c r="B1134" t="s">
        <v>13559</v>
      </c>
      <c r="C1134" t="s">
        <v>3523</v>
      </c>
      <c r="D1134" t="s">
        <v>15049</v>
      </c>
      <c r="F1134" t="s">
        <v>15050</v>
      </c>
      <c r="G1134" t="s">
        <v>15051</v>
      </c>
      <c r="H1134" t="s">
        <v>607</v>
      </c>
      <c r="I1134" t="s">
        <v>15052</v>
      </c>
      <c r="J1134" t="s">
        <v>3523</v>
      </c>
      <c r="K1134" t="s">
        <v>15053</v>
      </c>
      <c r="L1134">
        <v>3</v>
      </c>
      <c r="M1134" s="134">
        <v>250000</v>
      </c>
      <c r="N1134" s="134">
        <v>402500</v>
      </c>
      <c r="O1134" t="s">
        <v>10766</v>
      </c>
      <c r="P1134" t="s">
        <v>15054</v>
      </c>
      <c r="Q1134" t="s">
        <v>1612</v>
      </c>
      <c r="R1134" t="s">
        <v>15332</v>
      </c>
      <c r="U1134" t="s">
        <v>12797</v>
      </c>
      <c r="X1134">
        <v>0</v>
      </c>
    </row>
    <row r="1135" spans="1:24" x14ac:dyDescent="0.25">
      <c r="A1135" s="234">
        <v>42537</v>
      </c>
      <c r="B1135" t="s">
        <v>320</v>
      </c>
      <c r="D1135" t="s">
        <v>1229</v>
      </c>
      <c r="E1135" t="s">
        <v>588</v>
      </c>
      <c r="F1135" t="s">
        <v>2525</v>
      </c>
      <c r="H1135" t="s">
        <v>1774</v>
      </c>
      <c r="I1135" t="s">
        <v>2526</v>
      </c>
      <c r="M1135" s="134">
        <v>250000</v>
      </c>
      <c r="N1135" s="134">
        <v>410000</v>
      </c>
      <c r="O1135" t="s">
        <v>2527</v>
      </c>
      <c r="P1135" t="s">
        <v>2533</v>
      </c>
      <c r="Q1135" t="s">
        <v>1939</v>
      </c>
      <c r="R1135" t="s">
        <v>2528</v>
      </c>
      <c r="U1135" t="s">
        <v>491</v>
      </c>
      <c r="X1135">
        <v>0</v>
      </c>
    </row>
    <row r="1136" spans="1:24" x14ac:dyDescent="0.25">
      <c r="A1136" s="234">
        <v>43573</v>
      </c>
      <c r="B1136" t="s">
        <v>328</v>
      </c>
      <c r="C1136" t="s">
        <v>603</v>
      </c>
      <c r="D1136" t="s">
        <v>649</v>
      </c>
      <c r="F1136" t="s">
        <v>15128</v>
      </c>
      <c r="G1136" t="s">
        <v>15129</v>
      </c>
      <c r="H1136" t="s">
        <v>607</v>
      </c>
      <c r="I1136" t="s">
        <v>15130</v>
      </c>
      <c r="J1136" t="s">
        <v>3523</v>
      </c>
      <c r="K1136" t="s">
        <v>15131</v>
      </c>
      <c r="L1136">
        <v>4</v>
      </c>
      <c r="M1136" s="134">
        <v>250000</v>
      </c>
      <c r="N1136" s="134">
        <v>425000</v>
      </c>
      <c r="O1136" t="s">
        <v>4533</v>
      </c>
      <c r="P1136" t="s">
        <v>15132</v>
      </c>
      <c r="Q1136" t="s">
        <v>1939</v>
      </c>
      <c r="R1136" t="s">
        <v>15133</v>
      </c>
      <c r="U1136" t="s">
        <v>491</v>
      </c>
      <c r="X1136">
        <v>0</v>
      </c>
    </row>
    <row r="1137" spans="1:24" x14ac:dyDescent="0.25">
      <c r="A1137" s="234">
        <v>43591</v>
      </c>
      <c r="B1137" t="s">
        <v>13559</v>
      </c>
      <c r="C1137" t="s">
        <v>3523</v>
      </c>
      <c r="D1137" t="s">
        <v>14673</v>
      </c>
      <c r="F1137" t="s">
        <v>12661</v>
      </c>
      <c r="G1137" t="s">
        <v>15412</v>
      </c>
      <c r="H1137" t="s">
        <v>10831</v>
      </c>
      <c r="I1137" t="s">
        <v>15413</v>
      </c>
      <c r="J1137" t="s">
        <v>3523</v>
      </c>
      <c r="K1137" t="s">
        <v>15414</v>
      </c>
      <c r="L1137">
        <v>10</v>
      </c>
      <c r="M1137" s="134">
        <v>250000</v>
      </c>
      <c r="N1137" s="134">
        <v>425000</v>
      </c>
      <c r="O1137" t="s">
        <v>10765</v>
      </c>
      <c r="P1137" t="s">
        <v>15415</v>
      </c>
      <c r="Q1137" t="s">
        <v>1939</v>
      </c>
      <c r="R1137" t="s">
        <v>15416</v>
      </c>
      <c r="U1137" t="s">
        <v>491</v>
      </c>
      <c r="X1137">
        <v>0</v>
      </c>
    </row>
    <row r="1138" spans="1:24" x14ac:dyDescent="0.25">
      <c r="A1138" s="234">
        <v>43178</v>
      </c>
      <c r="B1138" t="s">
        <v>328</v>
      </c>
      <c r="C1138" t="s">
        <v>603</v>
      </c>
      <c r="D1138" t="s">
        <v>2500</v>
      </c>
      <c r="E1138" t="s">
        <v>588</v>
      </c>
      <c r="F1138" t="s">
        <v>10645</v>
      </c>
      <c r="G1138" t="s">
        <v>10645</v>
      </c>
      <c r="H1138" t="s">
        <v>607</v>
      </c>
      <c r="I1138" t="s">
        <v>10646</v>
      </c>
      <c r="J1138" t="s">
        <v>3533</v>
      </c>
      <c r="L1138">
        <v>4</v>
      </c>
      <c r="M1138" s="134">
        <v>250000</v>
      </c>
      <c r="N1138" s="134">
        <v>425000</v>
      </c>
      <c r="O1138" t="s">
        <v>4533</v>
      </c>
      <c r="P1138" t="s">
        <v>10745</v>
      </c>
      <c r="Q1138" t="s">
        <v>1939</v>
      </c>
      <c r="R1138" t="s">
        <v>10647</v>
      </c>
      <c r="U1138" t="s">
        <v>1327</v>
      </c>
      <c r="X1138">
        <v>0</v>
      </c>
    </row>
    <row r="1139" spans="1:24" x14ac:dyDescent="0.25">
      <c r="A1139" s="234">
        <v>43382</v>
      </c>
      <c r="B1139" t="s">
        <v>5360</v>
      </c>
      <c r="C1139" t="s">
        <v>899</v>
      </c>
      <c r="D1139" t="s">
        <v>732</v>
      </c>
      <c r="E1139" t="s">
        <v>588</v>
      </c>
      <c r="F1139" t="s">
        <v>11487</v>
      </c>
      <c r="G1139" t="s">
        <v>7757</v>
      </c>
      <c r="H1139" t="s">
        <v>886</v>
      </c>
      <c r="J1139" t="s">
        <v>899</v>
      </c>
      <c r="L1139">
        <v>4</v>
      </c>
      <c r="M1139" s="134">
        <v>250000</v>
      </c>
      <c r="N1139" s="134">
        <v>425000</v>
      </c>
      <c r="O1139" t="s">
        <v>10763</v>
      </c>
      <c r="P1139" t="s">
        <v>12900</v>
      </c>
      <c r="Q1139" t="s">
        <v>1939</v>
      </c>
      <c r="R1139" t="s">
        <v>12901</v>
      </c>
      <c r="U1139" t="s">
        <v>12344</v>
      </c>
      <c r="X1139">
        <v>0</v>
      </c>
    </row>
    <row r="1140" spans="1:24" x14ac:dyDescent="0.25">
      <c r="A1140" s="234">
        <v>42969</v>
      </c>
      <c r="B1140" t="s">
        <v>328</v>
      </c>
      <c r="C1140" t="s">
        <v>603</v>
      </c>
      <c r="D1140" t="s">
        <v>649</v>
      </c>
      <c r="E1140" t="s">
        <v>588</v>
      </c>
      <c r="F1140" t="s">
        <v>8233</v>
      </c>
      <c r="G1140" t="s">
        <v>8234</v>
      </c>
      <c r="H1140" t="s">
        <v>607</v>
      </c>
      <c r="I1140" t="s">
        <v>2054</v>
      </c>
      <c r="J1140" t="s">
        <v>899</v>
      </c>
      <c r="L1140">
        <v>1</v>
      </c>
      <c r="M1140" s="134">
        <v>250000</v>
      </c>
      <c r="N1140" s="134">
        <v>425000</v>
      </c>
      <c r="O1140" t="s">
        <v>695</v>
      </c>
      <c r="P1140" t="s">
        <v>8235</v>
      </c>
      <c r="Q1140" t="s">
        <v>1612</v>
      </c>
      <c r="R1140" t="s">
        <v>8287</v>
      </c>
      <c r="S1140" t="s">
        <v>8236</v>
      </c>
      <c r="T1140">
        <v>23</v>
      </c>
      <c r="U1140" t="s">
        <v>491</v>
      </c>
      <c r="X1140">
        <v>0</v>
      </c>
    </row>
    <row r="1141" spans="1:24" x14ac:dyDescent="0.25">
      <c r="A1141" s="234">
        <v>43013</v>
      </c>
      <c r="B1141" t="s">
        <v>328</v>
      </c>
      <c r="C1141" t="s">
        <v>899</v>
      </c>
      <c r="D1141" t="s">
        <v>7595</v>
      </c>
      <c r="E1141" t="s">
        <v>588</v>
      </c>
      <c r="F1141" t="s">
        <v>8891</v>
      </c>
      <c r="G1141" t="s">
        <v>8892</v>
      </c>
      <c r="H1141" t="s">
        <v>1391</v>
      </c>
      <c r="I1141" t="s">
        <v>8893</v>
      </c>
      <c r="J1141" t="s">
        <v>959</v>
      </c>
      <c r="L1141">
        <v>3</v>
      </c>
      <c r="M1141" s="134">
        <v>250000</v>
      </c>
      <c r="N1141" s="134">
        <v>425000</v>
      </c>
      <c r="O1141" t="s">
        <v>695</v>
      </c>
      <c r="P1141" t="s">
        <v>8894</v>
      </c>
      <c r="Q1141" t="s">
        <v>1939</v>
      </c>
      <c r="R1141" t="s">
        <v>8896</v>
      </c>
      <c r="S1141" t="s">
        <v>8895</v>
      </c>
      <c r="T1141">
        <v>30</v>
      </c>
      <c r="U1141" t="s">
        <v>491</v>
      </c>
      <c r="X1141">
        <v>0</v>
      </c>
    </row>
    <row r="1142" spans="1:24" x14ac:dyDescent="0.25">
      <c r="A1142" s="234">
        <v>42509</v>
      </c>
      <c r="B1142" t="s">
        <v>328</v>
      </c>
      <c r="C1142" t="s">
        <v>603</v>
      </c>
      <c r="D1142" t="s">
        <v>587</v>
      </c>
      <c r="E1142" t="s">
        <v>588</v>
      </c>
      <c r="F1142" t="s">
        <v>2150</v>
      </c>
      <c r="H1142" t="s">
        <v>607</v>
      </c>
      <c r="I1142" t="s">
        <v>2151</v>
      </c>
      <c r="M1142" s="134">
        <v>250000</v>
      </c>
      <c r="N1142" s="134">
        <v>440000</v>
      </c>
      <c r="O1142" t="s">
        <v>2152</v>
      </c>
      <c r="P1142" t="s">
        <v>2153</v>
      </c>
      <c r="Q1142" t="s">
        <v>1939</v>
      </c>
      <c r="R1142" t="s">
        <v>2154</v>
      </c>
      <c r="U1142" t="s">
        <v>491</v>
      </c>
      <c r="X1142">
        <v>0</v>
      </c>
    </row>
    <row r="1143" spans="1:24" x14ac:dyDescent="0.25">
      <c r="A1143" s="234">
        <v>43521</v>
      </c>
      <c r="B1143" t="s">
        <v>12367</v>
      </c>
      <c r="C1143" t="s">
        <v>5610</v>
      </c>
      <c r="D1143" t="s">
        <v>11795</v>
      </c>
      <c r="F1143" t="s">
        <v>7924</v>
      </c>
      <c r="G1143" t="s">
        <v>14509</v>
      </c>
      <c r="H1143" t="s">
        <v>607</v>
      </c>
      <c r="I1143" t="s">
        <v>8733</v>
      </c>
      <c r="J1143" t="s">
        <v>602</v>
      </c>
      <c r="K1143" t="s">
        <v>14510</v>
      </c>
      <c r="L1143">
        <v>2</v>
      </c>
      <c r="M1143" s="134">
        <v>250000</v>
      </c>
      <c r="N1143" s="134">
        <v>450000</v>
      </c>
      <c r="O1143" t="s">
        <v>10766</v>
      </c>
      <c r="P1143" t="s">
        <v>14511</v>
      </c>
      <c r="Q1143" t="s">
        <v>592</v>
      </c>
      <c r="R1143" t="s">
        <v>14512</v>
      </c>
      <c r="U1143" t="s">
        <v>12797</v>
      </c>
      <c r="X1143">
        <v>0</v>
      </c>
    </row>
    <row r="1144" spans="1:24" x14ac:dyDescent="0.25">
      <c r="A1144" s="234">
        <v>43522</v>
      </c>
      <c r="B1144" t="s">
        <v>13559</v>
      </c>
      <c r="C1144" t="s">
        <v>3523</v>
      </c>
      <c r="D1144" t="s">
        <v>9545</v>
      </c>
      <c r="F1144" t="s">
        <v>14533</v>
      </c>
      <c r="G1144" t="s">
        <v>9170</v>
      </c>
      <c r="H1144" t="s">
        <v>607</v>
      </c>
      <c r="I1144" t="s">
        <v>14534</v>
      </c>
      <c r="J1144" t="s">
        <v>3523</v>
      </c>
      <c r="K1144" t="s">
        <v>14535</v>
      </c>
      <c r="L1144">
        <v>8</v>
      </c>
      <c r="M1144" s="134">
        <v>250000</v>
      </c>
      <c r="N1144" s="134">
        <v>450000</v>
      </c>
      <c r="O1144" t="s">
        <v>10763</v>
      </c>
      <c r="P1144" t="s">
        <v>14573</v>
      </c>
      <c r="Q1144" t="s">
        <v>1939</v>
      </c>
      <c r="R1144" t="s">
        <v>14574</v>
      </c>
      <c r="U1144" t="s">
        <v>12797</v>
      </c>
      <c r="X1144">
        <v>0</v>
      </c>
    </row>
    <row r="1145" spans="1:24" x14ac:dyDescent="0.25">
      <c r="A1145" s="234">
        <v>43132</v>
      </c>
      <c r="B1145" t="s">
        <v>5360</v>
      </c>
      <c r="C1145" t="s">
        <v>899</v>
      </c>
      <c r="D1145" t="s">
        <v>1027</v>
      </c>
      <c r="E1145" t="s">
        <v>588</v>
      </c>
      <c r="F1145" t="s">
        <v>10254</v>
      </c>
      <c r="G1145" t="s">
        <v>10255</v>
      </c>
      <c r="H1145" t="s">
        <v>607</v>
      </c>
      <c r="I1145" t="s">
        <v>3710</v>
      </c>
      <c r="J1145" t="s">
        <v>899</v>
      </c>
      <c r="L1145">
        <v>9</v>
      </c>
      <c r="M1145" s="134">
        <v>250000</v>
      </c>
      <c r="N1145" s="134">
        <v>450000</v>
      </c>
      <c r="O1145" t="s">
        <v>10766</v>
      </c>
      <c r="P1145" t="s">
        <v>10256</v>
      </c>
      <c r="Q1145" t="s">
        <v>620</v>
      </c>
      <c r="R1145" t="s">
        <v>10257</v>
      </c>
      <c r="U1145" t="s">
        <v>1327</v>
      </c>
      <c r="X1145">
        <v>0</v>
      </c>
    </row>
    <row r="1146" spans="1:24" x14ac:dyDescent="0.25">
      <c r="A1146" s="234">
        <v>43291</v>
      </c>
      <c r="B1146" t="s">
        <v>328</v>
      </c>
      <c r="C1146" t="s">
        <v>603</v>
      </c>
      <c r="D1146" t="s">
        <v>7595</v>
      </c>
      <c r="E1146" t="s">
        <v>588</v>
      </c>
      <c r="F1146" t="s">
        <v>11768</v>
      </c>
      <c r="G1146" t="s">
        <v>11155</v>
      </c>
      <c r="H1146" t="s">
        <v>607</v>
      </c>
      <c r="I1146" t="s">
        <v>9318</v>
      </c>
      <c r="J1146" t="s">
        <v>3751</v>
      </c>
      <c r="L1146">
        <v>3</v>
      </c>
      <c r="M1146" s="134">
        <v>250000</v>
      </c>
      <c r="N1146" s="134">
        <v>450000</v>
      </c>
      <c r="O1146" t="s">
        <v>4533</v>
      </c>
      <c r="P1146" t="s">
        <v>11767</v>
      </c>
      <c r="Q1146" t="s">
        <v>1939</v>
      </c>
      <c r="R1146" t="s">
        <v>11766</v>
      </c>
      <c r="U1146" t="s">
        <v>1327</v>
      </c>
      <c r="X1146">
        <v>0</v>
      </c>
    </row>
    <row r="1147" spans="1:24" x14ac:dyDescent="0.25">
      <c r="A1147" s="234">
        <v>42746</v>
      </c>
      <c r="B1147" t="s">
        <v>5992</v>
      </c>
      <c r="C1147" t="s">
        <v>608</v>
      </c>
      <c r="D1147" t="s">
        <v>5270</v>
      </c>
      <c r="E1147" t="s">
        <v>692</v>
      </c>
      <c r="F1147" t="s">
        <v>5271</v>
      </c>
      <c r="H1147" t="s">
        <v>607</v>
      </c>
      <c r="I1147" t="s">
        <v>5272</v>
      </c>
      <c r="J1147" t="s">
        <v>608</v>
      </c>
      <c r="L1147" t="s">
        <v>5273</v>
      </c>
      <c r="M1147" s="134">
        <v>250000</v>
      </c>
      <c r="N1147" s="134">
        <v>450000</v>
      </c>
      <c r="O1147" t="s">
        <v>5274</v>
      </c>
      <c r="P1147" t="s">
        <v>5275</v>
      </c>
      <c r="Q1147" t="s">
        <v>1612</v>
      </c>
      <c r="R1147" t="s">
        <v>5289</v>
      </c>
      <c r="U1147" t="s">
        <v>491</v>
      </c>
      <c r="X1147">
        <v>0</v>
      </c>
    </row>
    <row r="1148" spans="1:24" x14ac:dyDescent="0.25">
      <c r="A1148" s="234">
        <v>42958</v>
      </c>
      <c r="B1148" t="s">
        <v>328</v>
      </c>
      <c r="C1148" t="s">
        <v>603</v>
      </c>
      <c r="D1148" t="s">
        <v>1401</v>
      </c>
      <c r="E1148" t="s">
        <v>588</v>
      </c>
      <c r="F1148" t="s">
        <v>8147</v>
      </c>
      <c r="G1148" t="s">
        <v>8148</v>
      </c>
      <c r="H1148" t="s">
        <v>607</v>
      </c>
      <c r="I1148" t="s">
        <v>8149</v>
      </c>
      <c r="J1148" t="s">
        <v>3374</v>
      </c>
      <c r="M1148" s="134">
        <v>250000</v>
      </c>
      <c r="N1148" s="134">
        <v>450000</v>
      </c>
      <c r="O1148">
        <v>4</v>
      </c>
      <c r="P1148" t="s">
        <v>8150</v>
      </c>
      <c r="Q1148" t="s">
        <v>620</v>
      </c>
      <c r="R1148" t="s">
        <v>8151</v>
      </c>
      <c r="T1148">
        <v>21</v>
      </c>
      <c r="U1148" t="s">
        <v>491</v>
      </c>
      <c r="X1148">
        <v>0</v>
      </c>
    </row>
    <row r="1149" spans="1:24" x14ac:dyDescent="0.25">
      <c r="A1149" s="234">
        <v>43486</v>
      </c>
      <c r="B1149" t="s">
        <v>328</v>
      </c>
      <c r="C1149" t="s">
        <v>603</v>
      </c>
      <c r="D1149" t="s">
        <v>10705</v>
      </c>
      <c r="F1149" t="s">
        <v>14052</v>
      </c>
      <c r="G1149" t="s">
        <v>14053</v>
      </c>
      <c r="H1149" t="s">
        <v>607</v>
      </c>
      <c r="I1149" t="s">
        <v>14054</v>
      </c>
      <c r="J1149" t="s">
        <v>899</v>
      </c>
      <c r="K1149" t="s">
        <v>14055</v>
      </c>
      <c r="L1149">
        <v>10</v>
      </c>
      <c r="M1149" s="134">
        <v>250000</v>
      </c>
      <c r="N1149" s="134">
        <v>475000</v>
      </c>
      <c r="O1149" t="s">
        <v>7124</v>
      </c>
      <c r="P1149" t="s">
        <v>14246</v>
      </c>
      <c r="Q1149" t="s">
        <v>592</v>
      </c>
      <c r="R1149" t="s">
        <v>14056</v>
      </c>
      <c r="U1149" t="s">
        <v>491</v>
      </c>
      <c r="X1149">
        <v>0</v>
      </c>
    </row>
    <row r="1150" spans="1:24" x14ac:dyDescent="0.25">
      <c r="A1150" s="234">
        <v>43073</v>
      </c>
      <c r="B1150" t="s">
        <v>328</v>
      </c>
      <c r="C1150" t="s">
        <v>603</v>
      </c>
      <c r="D1150" t="s">
        <v>7595</v>
      </c>
      <c r="E1150" t="s">
        <v>588</v>
      </c>
      <c r="F1150" t="s">
        <v>9623</v>
      </c>
      <c r="H1150" t="s">
        <v>905</v>
      </c>
      <c r="I1150" t="s">
        <v>6142</v>
      </c>
      <c r="J1150" t="s">
        <v>3374</v>
      </c>
      <c r="M1150" s="134">
        <v>250000</v>
      </c>
      <c r="N1150" s="134">
        <v>475000</v>
      </c>
      <c r="O1150" t="s">
        <v>639</v>
      </c>
      <c r="P1150" t="s">
        <v>9624</v>
      </c>
      <c r="Q1150" t="s">
        <v>29</v>
      </c>
      <c r="R1150" t="s">
        <v>9625</v>
      </c>
      <c r="U1150" t="s">
        <v>491</v>
      </c>
      <c r="X1150">
        <v>1</v>
      </c>
    </row>
    <row r="1151" spans="1:24" x14ac:dyDescent="0.25">
      <c r="A1151" s="234">
        <v>43601</v>
      </c>
      <c r="B1151" t="s">
        <v>328</v>
      </c>
      <c r="C1151" t="s">
        <v>603</v>
      </c>
      <c r="D1151" t="s">
        <v>10705</v>
      </c>
      <c r="F1151" t="s">
        <v>15612</v>
      </c>
      <c r="G1151" t="s">
        <v>8263</v>
      </c>
      <c r="H1151" t="s">
        <v>809</v>
      </c>
      <c r="I1151" t="s">
        <v>15613</v>
      </c>
      <c r="J1151" t="s">
        <v>6015</v>
      </c>
      <c r="K1151" t="s">
        <v>15614</v>
      </c>
      <c r="L1151">
        <v>3</v>
      </c>
      <c r="M1151" s="134">
        <v>250000</v>
      </c>
      <c r="N1151" s="134">
        <v>500000</v>
      </c>
      <c r="O1151" t="s">
        <v>10762</v>
      </c>
      <c r="P1151" t="s">
        <v>15615</v>
      </c>
      <c r="Q1151" t="s">
        <v>29</v>
      </c>
      <c r="R1151" t="s">
        <v>15617</v>
      </c>
      <c r="S1151" t="s">
        <v>15616</v>
      </c>
      <c r="U1151" t="s">
        <v>491</v>
      </c>
      <c r="X1151">
        <v>1</v>
      </c>
    </row>
    <row r="1152" spans="1:24" x14ac:dyDescent="0.25">
      <c r="A1152" s="234">
        <v>42857</v>
      </c>
      <c r="B1152" t="s">
        <v>643</v>
      </c>
      <c r="C1152" t="s">
        <v>644</v>
      </c>
      <c r="D1152" t="s">
        <v>645</v>
      </c>
      <c r="E1152" t="s">
        <v>588</v>
      </c>
      <c r="F1152" t="s">
        <v>6634</v>
      </c>
      <c r="H1152" t="s">
        <v>4183</v>
      </c>
      <c r="I1152" t="s">
        <v>6636</v>
      </c>
      <c r="J1152" t="s">
        <v>644</v>
      </c>
      <c r="L1152">
        <v>10</v>
      </c>
      <c r="M1152" s="134">
        <v>250000</v>
      </c>
      <c r="N1152" s="134">
        <v>500000</v>
      </c>
      <c r="O1152" t="s">
        <v>6635</v>
      </c>
      <c r="P1152" t="s">
        <v>6637</v>
      </c>
      <c r="Q1152" t="s">
        <v>1939</v>
      </c>
      <c r="R1152" t="s">
        <v>7044</v>
      </c>
      <c r="U1152" t="s">
        <v>1327</v>
      </c>
      <c r="X1152">
        <v>0</v>
      </c>
    </row>
    <row r="1153" spans="1:24" x14ac:dyDescent="0.25">
      <c r="A1153" s="234">
        <v>42466</v>
      </c>
      <c r="B1153" t="s">
        <v>328</v>
      </c>
      <c r="C1153" t="s">
        <v>603</v>
      </c>
      <c r="D1153" t="s">
        <v>672</v>
      </c>
      <c r="E1153" t="s">
        <v>588</v>
      </c>
      <c r="F1153" t="s">
        <v>1568</v>
      </c>
      <c r="H1153" t="s">
        <v>722</v>
      </c>
      <c r="I1153" t="s">
        <v>1569</v>
      </c>
      <c r="M1153" s="134">
        <v>250000</v>
      </c>
      <c r="N1153" s="134">
        <v>525000</v>
      </c>
      <c r="O1153" t="s">
        <v>1570</v>
      </c>
      <c r="P1153" t="s">
        <v>15992</v>
      </c>
      <c r="Q1153" t="s">
        <v>29</v>
      </c>
      <c r="R1153" t="s">
        <v>1572</v>
      </c>
      <c r="U1153" t="s">
        <v>491</v>
      </c>
      <c r="X1153">
        <v>1</v>
      </c>
    </row>
    <row r="1154" spans="1:24" x14ac:dyDescent="0.25">
      <c r="A1154" s="234">
        <v>42647</v>
      </c>
      <c r="B1154" t="s">
        <v>328</v>
      </c>
      <c r="C1154" t="s">
        <v>603</v>
      </c>
      <c r="D1154" t="s">
        <v>1471</v>
      </c>
      <c r="E1154" t="s">
        <v>588</v>
      </c>
      <c r="F1154" t="s">
        <v>4171</v>
      </c>
      <c r="H1154" t="s">
        <v>905</v>
      </c>
      <c r="I1154" t="s">
        <v>4172</v>
      </c>
      <c r="J1154" t="s">
        <v>3533</v>
      </c>
      <c r="L1154">
        <v>3</v>
      </c>
      <c r="M1154" s="134">
        <v>250000</v>
      </c>
      <c r="N1154" s="134">
        <v>528000</v>
      </c>
      <c r="O1154" t="s">
        <v>4175</v>
      </c>
      <c r="P1154" t="s">
        <v>4174</v>
      </c>
      <c r="Q1154" t="s">
        <v>1939</v>
      </c>
      <c r="R1154" t="s">
        <v>4173</v>
      </c>
      <c r="U1154" t="s">
        <v>491</v>
      </c>
      <c r="X1154">
        <v>0</v>
      </c>
    </row>
    <row r="1155" spans="1:24" x14ac:dyDescent="0.25">
      <c r="A1155" s="234">
        <v>42934</v>
      </c>
      <c r="B1155" t="s">
        <v>328</v>
      </c>
      <c r="C1155" t="s">
        <v>603</v>
      </c>
      <c r="D1155" t="s">
        <v>649</v>
      </c>
      <c r="E1155" t="s">
        <v>588</v>
      </c>
      <c r="F1155" t="s">
        <v>7665</v>
      </c>
      <c r="H1155" t="s">
        <v>5514</v>
      </c>
      <c r="I1155" t="s">
        <v>7666</v>
      </c>
      <c r="J1155" t="s">
        <v>5562</v>
      </c>
      <c r="L1155">
        <v>6</v>
      </c>
      <c r="M1155" s="134">
        <v>250000</v>
      </c>
      <c r="N1155" s="134">
        <v>535000</v>
      </c>
      <c r="O1155" t="s">
        <v>6522</v>
      </c>
      <c r="P1155" t="s">
        <v>7667</v>
      </c>
      <c r="Q1155" t="s">
        <v>1612</v>
      </c>
      <c r="R1155" t="s">
        <v>7726</v>
      </c>
      <c r="U1155" t="s">
        <v>491</v>
      </c>
      <c r="X1155">
        <v>0</v>
      </c>
    </row>
    <row r="1156" spans="1:24" x14ac:dyDescent="0.25">
      <c r="A1156" s="234">
        <v>43374</v>
      </c>
      <c r="B1156" t="s">
        <v>5956</v>
      </c>
      <c r="C1156" t="s">
        <v>3369</v>
      </c>
      <c r="D1156" t="s">
        <v>8126</v>
      </c>
      <c r="E1156" t="s">
        <v>588</v>
      </c>
      <c r="F1156" t="s">
        <v>12780</v>
      </c>
      <c r="G1156" t="s">
        <v>9375</v>
      </c>
      <c r="H1156" t="s">
        <v>607</v>
      </c>
      <c r="I1156" t="s">
        <v>12781</v>
      </c>
      <c r="J1156" t="s">
        <v>4825</v>
      </c>
      <c r="L1156">
        <v>5</v>
      </c>
      <c r="M1156" s="134">
        <v>250000</v>
      </c>
      <c r="N1156" s="134">
        <v>805000</v>
      </c>
      <c r="O1156" t="s">
        <v>10766</v>
      </c>
      <c r="P1156" t="s">
        <v>12782</v>
      </c>
      <c r="Q1156" t="s">
        <v>1939</v>
      </c>
      <c r="R1156" t="s">
        <v>12783</v>
      </c>
      <c r="U1156" t="s">
        <v>12344</v>
      </c>
      <c r="X1156">
        <v>0</v>
      </c>
    </row>
    <row r="1157" spans="1:24" x14ac:dyDescent="0.25">
      <c r="A1157" s="234">
        <v>43243</v>
      </c>
      <c r="B1157" t="s">
        <v>569</v>
      </c>
      <c r="C1157" t="s">
        <v>899</v>
      </c>
      <c r="D1157" t="s">
        <v>3505</v>
      </c>
      <c r="E1157" t="s">
        <v>588</v>
      </c>
      <c r="F1157" t="s">
        <v>11274</v>
      </c>
      <c r="G1157" t="s">
        <v>11275</v>
      </c>
      <c r="H1157" t="s">
        <v>607</v>
      </c>
      <c r="I1157" t="s">
        <v>3649</v>
      </c>
      <c r="J1157" t="s">
        <v>899</v>
      </c>
      <c r="L1157">
        <v>4</v>
      </c>
      <c r="M1157" s="134">
        <v>250000</v>
      </c>
      <c r="N1157" s="134">
        <v>3450000</v>
      </c>
      <c r="O1157" t="s">
        <v>560</v>
      </c>
      <c r="P1157" t="s">
        <v>11276</v>
      </c>
      <c r="Q1157" t="s">
        <v>592</v>
      </c>
      <c r="R1157" t="s">
        <v>11281</v>
      </c>
      <c r="U1157" t="s">
        <v>491</v>
      </c>
      <c r="X1157">
        <v>0</v>
      </c>
    </row>
    <row r="1158" spans="1:24" x14ac:dyDescent="0.25">
      <c r="A1158" s="234">
        <v>42537</v>
      </c>
      <c r="B1158" t="s">
        <v>328</v>
      </c>
      <c r="C1158" t="s">
        <v>603</v>
      </c>
      <c r="D1158" t="s">
        <v>1401</v>
      </c>
      <c r="E1158" t="s">
        <v>588</v>
      </c>
      <c r="F1158" t="s">
        <v>2564</v>
      </c>
      <c r="H1158" t="s">
        <v>1626</v>
      </c>
      <c r="I1158" t="s">
        <v>2565</v>
      </c>
      <c r="M1158" s="134">
        <v>250100</v>
      </c>
      <c r="N1158" s="134">
        <v>300120</v>
      </c>
      <c r="O1158" t="s">
        <v>2566</v>
      </c>
      <c r="P1158" t="s">
        <v>2567</v>
      </c>
      <c r="Q1158" t="s">
        <v>1939</v>
      </c>
      <c r="R1158" t="s">
        <v>2568</v>
      </c>
      <c r="U1158" t="s">
        <v>491</v>
      </c>
      <c r="X1158">
        <v>0</v>
      </c>
    </row>
    <row r="1159" spans="1:24" x14ac:dyDescent="0.25">
      <c r="A1159" s="234">
        <v>43251</v>
      </c>
      <c r="B1159" t="s">
        <v>9240</v>
      </c>
      <c r="C1159" t="s">
        <v>603</v>
      </c>
      <c r="D1159" t="s">
        <v>9849</v>
      </c>
      <c r="E1159" t="s">
        <v>588</v>
      </c>
      <c r="F1159" t="s">
        <v>10404</v>
      </c>
      <c r="G1159" t="s">
        <v>11373</v>
      </c>
      <c r="H1159" t="s">
        <v>607</v>
      </c>
      <c r="I1159" t="s">
        <v>11374</v>
      </c>
      <c r="J1159" t="s">
        <v>5402</v>
      </c>
      <c r="M1159" s="134">
        <v>250100</v>
      </c>
      <c r="N1159" s="134">
        <v>501600</v>
      </c>
      <c r="O1159" t="s">
        <v>10766</v>
      </c>
      <c r="P1159" t="s">
        <v>11375</v>
      </c>
      <c r="Q1159" t="s">
        <v>1939</v>
      </c>
      <c r="R1159" t="s">
        <v>11376</v>
      </c>
      <c r="U1159" t="s">
        <v>1327</v>
      </c>
      <c r="X1159">
        <v>0</v>
      </c>
    </row>
    <row r="1160" spans="1:24" x14ac:dyDescent="0.25">
      <c r="A1160" s="234">
        <v>42376</v>
      </c>
      <c r="B1160" t="s">
        <v>328</v>
      </c>
      <c r="C1160" t="s">
        <v>603</v>
      </c>
      <c r="D1160" t="s">
        <v>649</v>
      </c>
      <c r="E1160" t="s">
        <v>588</v>
      </c>
      <c r="F1160" t="s">
        <v>655</v>
      </c>
      <c r="H1160" t="s">
        <v>607</v>
      </c>
      <c r="I1160" t="s">
        <v>657</v>
      </c>
      <c r="M1160" s="134">
        <v>251000</v>
      </c>
      <c r="N1160" s="134">
        <v>0</v>
      </c>
      <c r="O1160" t="s">
        <v>656</v>
      </c>
      <c r="P1160" t="s">
        <v>662</v>
      </c>
      <c r="Q1160" t="s">
        <v>592</v>
      </c>
      <c r="R1160" t="s">
        <v>663</v>
      </c>
      <c r="U1160" t="s">
        <v>491</v>
      </c>
      <c r="X1160">
        <v>0</v>
      </c>
    </row>
    <row r="1161" spans="1:24" x14ac:dyDescent="0.25">
      <c r="A1161" s="234">
        <v>42380</v>
      </c>
      <c r="B1161" t="s">
        <v>643</v>
      </c>
      <c r="C1161" t="s">
        <v>644</v>
      </c>
      <c r="D1161" t="s">
        <v>645</v>
      </c>
      <c r="E1161" t="s">
        <v>588</v>
      </c>
      <c r="F1161" t="s">
        <v>698</v>
      </c>
      <c r="H1161" t="s">
        <v>627</v>
      </c>
      <c r="I1161" t="s">
        <v>699</v>
      </c>
      <c r="M1161" s="134">
        <v>252000</v>
      </c>
      <c r="N1161" s="134">
        <v>0</v>
      </c>
      <c r="O1161" t="s">
        <v>700</v>
      </c>
      <c r="P1161" t="s">
        <v>701</v>
      </c>
      <c r="Q1161" t="s">
        <v>592</v>
      </c>
      <c r="R1161" t="s">
        <v>702</v>
      </c>
      <c r="U1161" t="s">
        <v>491</v>
      </c>
      <c r="X1161">
        <v>0</v>
      </c>
    </row>
    <row r="1162" spans="1:24" x14ac:dyDescent="0.25">
      <c r="A1162" s="234">
        <v>42773</v>
      </c>
      <c r="B1162" t="s">
        <v>569</v>
      </c>
      <c r="D1162" t="s">
        <v>624</v>
      </c>
      <c r="E1162" t="s">
        <v>588</v>
      </c>
      <c r="F1162" t="s">
        <v>5620</v>
      </c>
      <c r="H1162" t="s">
        <v>905</v>
      </c>
      <c r="I1162" t="s">
        <v>5621</v>
      </c>
      <c r="J1162" t="s">
        <v>899</v>
      </c>
      <c r="L1162">
        <v>3</v>
      </c>
      <c r="M1162" s="134">
        <v>252000</v>
      </c>
      <c r="N1162" s="134">
        <v>347400</v>
      </c>
      <c r="O1162" t="s">
        <v>5622</v>
      </c>
      <c r="P1162" t="s">
        <v>5623</v>
      </c>
      <c r="Q1162" t="s">
        <v>1939</v>
      </c>
      <c r="R1162" t="s">
        <v>5624</v>
      </c>
      <c r="U1162" t="s">
        <v>491</v>
      </c>
      <c r="X1162">
        <v>0</v>
      </c>
    </row>
    <row r="1163" spans="1:24" x14ac:dyDescent="0.25">
      <c r="A1163" s="234">
        <v>43313</v>
      </c>
      <c r="B1163" t="s">
        <v>5956</v>
      </c>
      <c r="C1163" t="s">
        <v>3369</v>
      </c>
      <c r="D1163" t="s">
        <v>8126</v>
      </c>
      <c r="E1163" t="s">
        <v>588</v>
      </c>
      <c r="F1163" t="s">
        <v>11982</v>
      </c>
      <c r="G1163" t="s">
        <v>11981</v>
      </c>
      <c r="H1163" t="s">
        <v>607</v>
      </c>
      <c r="I1163" t="s">
        <v>11589</v>
      </c>
      <c r="J1163" t="s">
        <v>4825</v>
      </c>
      <c r="L1163">
        <v>9</v>
      </c>
      <c r="M1163" s="134">
        <v>252290</v>
      </c>
      <c r="N1163" s="134">
        <v>504581</v>
      </c>
      <c r="O1163" t="s">
        <v>10766</v>
      </c>
      <c r="P1163" t="s">
        <v>11980</v>
      </c>
      <c r="Q1163" t="s">
        <v>592</v>
      </c>
      <c r="R1163" t="s">
        <v>10860</v>
      </c>
      <c r="U1163" t="s">
        <v>1327</v>
      </c>
      <c r="X1163">
        <v>0</v>
      </c>
    </row>
    <row r="1164" spans="1:24" x14ac:dyDescent="0.25">
      <c r="A1164" s="234">
        <v>43368</v>
      </c>
      <c r="B1164" t="s">
        <v>328</v>
      </c>
      <c r="C1164" t="s">
        <v>603</v>
      </c>
      <c r="D1164" t="s">
        <v>649</v>
      </c>
      <c r="E1164" t="s">
        <v>588</v>
      </c>
      <c r="F1164" t="s">
        <v>12718</v>
      </c>
      <c r="G1164" t="s">
        <v>9977</v>
      </c>
      <c r="H1164" t="s">
        <v>607</v>
      </c>
      <c r="I1164" t="s">
        <v>12719</v>
      </c>
      <c r="J1164" t="s">
        <v>5610</v>
      </c>
      <c r="L1164">
        <v>2</v>
      </c>
      <c r="M1164" s="134">
        <v>252500</v>
      </c>
      <c r="N1164" s="134">
        <v>428900</v>
      </c>
      <c r="O1164" t="s">
        <v>6745</v>
      </c>
      <c r="P1164" t="s">
        <v>12720</v>
      </c>
      <c r="Q1164" t="s">
        <v>1939</v>
      </c>
      <c r="R1164" t="s">
        <v>12721</v>
      </c>
      <c r="U1164" t="s">
        <v>12344</v>
      </c>
      <c r="X1164">
        <v>0</v>
      </c>
    </row>
    <row r="1165" spans="1:24" x14ac:dyDescent="0.25">
      <c r="A1165" s="234">
        <v>43228</v>
      </c>
      <c r="B1165" t="s">
        <v>328</v>
      </c>
      <c r="C1165" t="s">
        <v>603</v>
      </c>
      <c r="D1165" t="s">
        <v>649</v>
      </c>
      <c r="E1165" t="s">
        <v>588</v>
      </c>
      <c r="F1165" t="s">
        <v>4449</v>
      </c>
      <c r="G1165" t="s">
        <v>7814</v>
      </c>
      <c r="H1165" t="s">
        <v>607</v>
      </c>
      <c r="I1165" t="s">
        <v>11211</v>
      </c>
      <c r="J1165" t="s">
        <v>3888</v>
      </c>
      <c r="L1165">
        <v>5</v>
      </c>
      <c r="M1165" s="134">
        <v>252816</v>
      </c>
      <c r="N1165" s="134">
        <v>455072</v>
      </c>
      <c r="O1165" t="s">
        <v>4533</v>
      </c>
      <c r="P1165" t="s">
        <v>11210</v>
      </c>
      <c r="Q1165" t="s">
        <v>592</v>
      </c>
      <c r="R1165" t="s">
        <v>11209</v>
      </c>
      <c r="U1165" t="s">
        <v>1327</v>
      </c>
      <c r="X1165">
        <v>0</v>
      </c>
    </row>
    <row r="1166" spans="1:24" x14ac:dyDescent="0.25">
      <c r="A1166" s="234">
        <v>42695</v>
      </c>
      <c r="B1166" t="s">
        <v>110</v>
      </c>
      <c r="C1166" t="s">
        <v>761</v>
      </c>
      <c r="D1166" t="s">
        <v>4782</v>
      </c>
      <c r="E1166" t="s">
        <v>588</v>
      </c>
      <c r="F1166" t="s">
        <v>4783</v>
      </c>
      <c r="H1166" t="s">
        <v>4056</v>
      </c>
      <c r="I1166" t="s">
        <v>4784</v>
      </c>
      <c r="J1166" t="s">
        <v>4785</v>
      </c>
      <c r="L1166">
        <v>5</v>
      </c>
      <c r="M1166" s="134">
        <v>253000</v>
      </c>
      <c r="N1166" s="134">
        <v>0</v>
      </c>
      <c r="O1166" t="s">
        <v>4786</v>
      </c>
      <c r="P1166" t="s">
        <v>4787</v>
      </c>
      <c r="Q1166" t="s">
        <v>592</v>
      </c>
      <c r="R1166" t="s">
        <v>4788</v>
      </c>
      <c r="U1166" t="s">
        <v>1327</v>
      </c>
      <c r="X1166">
        <v>0</v>
      </c>
    </row>
    <row r="1167" spans="1:24" x14ac:dyDescent="0.25">
      <c r="A1167" s="234">
        <v>43203</v>
      </c>
      <c r="B1167" t="s">
        <v>9240</v>
      </c>
      <c r="C1167" t="s">
        <v>603</v>
      </c>
      <c r="D1167" t="s">
        <v>7814</v>
      </c>
      <c r="E1167" t="s">
        <v>588</v>
      </c>
      <c r="F1167" t="s">
        <v>10918</v>
      </c>
      <c r="G1167" t="s">
        <v>10007</v>
      </c>
      <c r="H1167" t="s">
        <v>607</v>
      </c>
      <c r="I1167" t="s">
        <v>6137</v>
      </c>
      <c r="J1167" t="s">
        <v>3533</v>
      </c>
      <c r="L1167">
        <v>9</v>
      </c>
      <c r="M1167" s="134">
        <v>253000</v>
      </c>
      <c r="N1167" s="134">
        <v>253000</v>
      </c>
      <c r="O1167" t="s">
        <v>10762</v>
      </c>
      <c r="P1167" t="s">
        <v>10919</v>
      </c>
      <c r="Q1167" t="s">
        <v>1939</v>
      </c>
      <c r="R1167" t="s">
        <v>10920</v>
      </c>
      <c r="U1167" t="s">
        <v>491</v>
      </c>
      <c r="X1167">
        <v>0</v>
      </c>
    </row>
    <row r="1168" spans="1:24" x14ac:dyDescent="0.25">
      <c r="A1168" s="234">
        <v>43014</v>
      </c>
      <c r="B1168" t="s">
        <v>328</v>
      </c>
      <c r="C1168" t="s">
        <v>603</v>
      </c>
      <c r="D1168" t="s">
        <v>649</v>
      </c>
      <c r="E1168" t="s">
        <v>588</v>
      </c>
      <c r="F1168" t="s">
        <v>8933</v>
      </c>
      <c r="G1168" t="s">
        <v>8931</v>
      </c>
      <c r="H1168" t="s">
        <v>5991</v>
      </c>
      <c r="I1168" t="s">
        <v>8932</v>
      </c>
      <c r="J1168" t="s">
        <v>899</v>
      </c>
      <c r="L1168">
        <v>10</v>
      </c>
      <c r="M1168" s="134">
        <v>253000</v>
      </c>
      <c r="N1168" s="134">
        <v>450000</v>
      </c>
      <c r="O1168" t="s">
        <v>2680</v>
      </c>
      <c r="P1168" t="s">
        <v>8934</v>
      </c>
      <c r="Q1168" t="s">
        <v>29</v>
      </c>
      <c r="R1168" t="s">
        <v>8935</v>
      </c>
      <c r="T1168">
        <v>23</v>
      </c>
      <c r="U1168" t="s">
        <v>491</v>
      </c>
      <c r="X1168">
        <v>1</v>
      </c>
    </row>
    <row r="1169" spans="1:24" x14ac:dyDescent="0.25">
      <c r="A1169" s="234">
        <v>43342</v>
      </c>
      <c r="B1169" t="s">
        <v>328</v>
      </c>
      <c r="C1169" t="s">
        <v>603</v>
      </c>
      <c r="D1169" t="s">
        <v>8941</v>
      </c>
      <c r="E1169" t="s">
        <v>588</v>
      </c>
      <c r="F1169" t="s">
        <v>12431</v>
      </c>
      <c r="G1169" t="s">
        <v>9395</v>
      </c>
      <c r="H1169" t="s">
        <v>607</v>
      </c>
      <c r="I1169" t="s">
        <v>11055</v>
      </c>
      <c r="J1169" t="s">
        <v>5402</v>
      </c>
      <c r="L1169">
        <v>10</v>
      </c>
      <c r="M1169" s="134">
        <v>253000</v>
      </c>
      <c r="N1169" s="134">
        <v>500000</v>
      </c>
      <c r="O1169" t="s">
        <v>10766</v>
      </c>
      <c r="P1169" t="s">
        <v>12432</v>
      </c>
      <c r="Q1169" t="s">
        <v>29</v>
      </c>
      <c r="R1169" t="s">
        <v>12433</v>
      </c>
      <c r="U1169" t="s">
        <v>491</v>
      </c>
      <c r="X1169">
        <v>1</v>
      </c>
    </row>
    <row r="1170" spans="1:24" x14ac:dyDescent="0.25">
      <c r="A1170" s="234">
        <v>42510</v>
      </c>
      <c r="B1170" t="s">
        <v>378</v>
      </c>
      <c r="C1170" t="s">
        <v>610</v>
      </c>
      <c r="D1170" t="s">
        <v>732</v>
      </c>
      <c r="E1170" t="s">
        <v>588</v>
      </c>
      <c r="F1170" t="s">
        <v>2192</v>
      </c>
      <c r="H1170" t="s">
        <v>607</v>
      </c>
      <c r="I1170" t="s">
        <v>1725</v>
      </c>
      <c r="M1170" s="134">
        <v>253000</v>
      </c>
      <c r="N1170" s="134">
        <v>518650</v>
      </c>
      <c r="O1170" t="s">
        <v>666</v>
      </c>
      <c r="P1170" t="s">
        <v>2193</v>
      </c>
      <c r="Q1170" t="s">
        <v>1939</v>
      </c>
      <c r="R1170" t="s">
        <v>2194</v>
      </c>
      <c r="U1170" t="s">
        <v>491</v>
      </c>
      <c r="X1170">
        <v>0</v>
      </c>
    </row>
    <row r="1171" spans="1:24" x14ac:dyDescent="0.25">
      <c r="A1171" s="234">
        <v>43045</v>
      </c>
      <c r="B1171" t="s">
        <v>328</v>
      </c>
      <c r="C1171" t="s">
        <v>9368</v>
      </c>
      <c r="D1171" t="s">
        <v>2500</v>
      </c>
      <c r="E1171" t="s">
        <v>588</v>
      </c>
      <c r="F1171" t="s">
        <v>9303</v>
      </c>
      <c r="G1171" t="s">
        <v>7855</v>
      </c>
      <c r="H1171" t="s">
        <v>607</v>
      </c>
      <c r="J1171" t="s">
        <v>3371</v>
      </c>
      <c r="M1171" s="134">
        <v>254826</v>
      </c>
      <c r="N1171" s="134">
        <v>433203</v>
      </c>
      <c r="O1171" t="s">
        <v>7617</v>
      </c>
      <c r="P1171" t="s">
        <v>9610</v>
      </c>
      <c r="Q1171" t="s">
        <v>592</v>
      </c>
      <c r="R1171" t="s">
        <v>9369</v>
      </c>
      <c r="U1171" t="s">
        <v>1327</v>
      </c>
      <c r="X1171">
        <v>0</v>
      </c>
    </row>
    <row r="1172" spans="1:24" x14ac:dyDescent="0.25">
      <c r="A1172" s="234">
        <v>42738</v>
      </c>
      <c r="B1172" t="s">
        <v>328</v>
      </c>
      <c r="C1172" t="s">
        <v>603</v>
      </c>
      <c r="D1172" t="s">
        <v>2397</v>
      </c>
      <c r="E1172" t="s">
        <v>588</v>
      </c>
      <c r="F1172" t="s">
        <v>5186</v>
      </c>
      <c r="H1172" t="s">
        <v>607</v>
      </c>
      <c r="I1172" t="s">
        <v>5187</v>
      </c>
      <c r="J1172" t="s">
        <v>1228</v>
      </c>
      <c r="M1172" s="134">
        <v>255000</v>
      </c>
      <c r="N1172" s="134">
        <v>0</v>
      </c>
      <c r="O1172" t="s">
        <v>5190</v>
      </c>
      <c r="P1172" t="s">
        <v>5188</v>
      </c>
      <c r="Q1172" t="s">
        <v>1939</v>
      </c>
      <c r="R1172" t="s">
        <v>5189</v>
      </c>
      <c r="U1172" t="s">
        <v>491</v>
      </c>
      <c r="X1172">
        <v>0</v>
      </c>
    </row>
    <row r="1173" spans="1:24" x14ac:dyDescent="0.25">
      <c r="A1173" s="234">
        <v>43391</v>
      </c>
      <c r="B1173" t="s">
        <v>5360</v>
      </c>
      <c r="C1173" t="s">
        <v>899</v>
      </c>
      <c r="D1173" t="s">
        <v>732</v>
      </c>
      <c r="F1173" t="s">
        <v>12957</v>
      </c>
      <c r="G1173" t="s">
        <v>7953</v>
      </c>
      <c r="H1173" t="s">
        <v>607</v>
      </c>
      <c r="I1173" t="s">
        <v>7073</v>
      </c>
      <c r="J1173" t="s">
        <v>899</v>
      </c>
      <c r="K1173">
        <v>95682</v>
      </c>
      <c r="L1173">
        <v>4</v>
      </c>
      <c r="M1173" s="134">
        <v>256000</v>
      </c>
      <c r="N1173" s="134">
        <v>512000</v>
      </c>
      <c r="O1173" t="s">
        <v>10765</v>
      </c>
      <c r="P1173" t="s">
        <v>12958</v>
      </c>
      <c r="Q1173" t="s">
        <v>1939</v>
      </c>
      <c r="R1173" t="s">
        <v>12959</v>
      </c>
      <c r="U1173" t="s">
        <v>12344</v>
      </c>
      <c r="X1173">
        <v>0</v>
      </c>
    </row>
    <row r="1174" spans="1:24" x14ac:dyDescent="0.25">
      <c r="A1174" s="234">
        <v>43160</v>
      </c>
      <c r="B1174" t="s">
        <v>5176</v>
      </c>
      <c r="C1174" t="s">
        <v>604</v>
      </c>
      <c r="D1174" t="s">
        <v>6995</v>
      </c>
      <c r="E1174" t="s">
        <v>588</v>
      </c>
      <c r="F1174" t="s">
        <v>10479</v>
      </c>
      <c r="G1174" t="s">
        <v>10480</v>
      </c>
      <c r="H1174" t="s">
        <v>809</v>
      </c>
      <c r="I1174" t="s">
        <v>8806</v>
      </c>
      <c r="J1174" t="s">
        <v>959</v>
      </c>
      <c r="L1174">
        <v>4</v>
      </c>
      <c r="M1174" s="134">
        <v>257000</v>
      </c>
      <c r="N1174" s="134">
        <v>290700</v>
      </c>
      <c r="O1174" t="s">
        <v>10765</v>
      </c>
      <c r="P1174" t="s">
        <v>10481</v>
      </c>
      <c r="Q1174" t="s">
        <v>29</v>
      </c>
      <c r="R1174" t="s">
        <v>10482</v>
      </c>
      <c r="S1174" t="s">
        <v>10483</v>
      </c>
      <c r="U1174" t="s">
        <v>1327</v>
      </c>
      <c r="X1174">
        <v>1</v>
      </c>
    </row>
    <row r="1175" spans="1:24" x14ac:dyDescent="0.25">
      <c r="A1175" s="234">
        <v>43621</v>
      </c>
      <c r="B1175" t="s">
        <v>13559</v>
      </c>
      <c r="C1175" t="s">
        <v>604</v>
      </c>
      <c r="D1175" t="s">
        <v>7814</v>
      </c>
      <c r="F1175" t="s">
        <v>15922</v>
      </c>
      <c r="G1175" t="s">
        <v>15923</v>
      </c>
      <c r="H1175" t="s">
        <v>2510</v>
      </c>
      <c r="I1175" t="s">
        <v>15924</v>
      </c>
      <c r="J1175" t="s">
        <v>4785</v>
      </c>
      <c r="K1175" t="s">
        <v>15925</v>
      </c>
      <c r="L1175">
        <v>5</v>
      </c>
      <c r="M1175" s="134">
        <v>257000</v>
      </c>
      <c r="N1175" s="134">
        <v>300000</v>
      </c>
      <c r="O1175" t="s">
        <v>10765</v>
      </c>
      <c r="P1175" t="s">
        <v>15926</v>
      </c>
      <c r="Q1175" t="s">
        <v>1939</v>
      </c>
      <c r="R1175" t="s">
        <v>15927</v>
      </c>
      <c r="S1175" t="s">
        <v>15928</v>
      </c>
      <c r="U1175" t="s">
        <v>491</v>
      </c>
      <c r="X1175">
        <v>0</v>
      </c>
    </row>
    <row r="1176" spans="1:24" x14ac:dyDescent="0.25">
      <c r="A1176" s="234">
        <v>43388</v>
      </c>
      <c r="B1176" t="s">
        <v>328</v>
      </c>
      <c r="C1176" t="s">
        <v>603</v>
      </c>
      <c r="D1176" t="s">
        <v>757</v>
      </c>
      <c r="F1176" t="s">
        <v>328</v>
      </c>
      <c r="G1176" t="s">
        <v>8044</v>
      </c>
      <c r="H1176" t="s">
        <v>10831</v>
      </c>
      <c r="I1176" t="s">
        <v>12936</v>
      </c>
      <c r="J1176" t="s">
        <v>644</v>
      </c>
      <c r="L1176">
        <v>9</v>
      </c>
      <c r="M1176" s="134">
        <v>257000</v>
      </c>
      <c r="N1176" s="134">
        <v>436900</v>
      </c>
      <c r="O1176" t="s">
        <v>10763</v>
      </c>
      <c r="P1176" t="s">
        <v>12948</v>
      </c>
      <c r="Q1176" t="s">
        <v>1612</v>
      </c>
      <c r="R1176" t="s">
        <v>12965</v>
      </c>
      <c r="U1176" t="s">
        <v>12344</v>
      </c>
      <c r="X1176">
        <v>0</v>
      </c>
    </row>
    <row r="1177" spans="1:24" x14ac:dyDescent="0.25">
      <c r="A1177" s="234">
        <v>43391</v>
      </c>
      <c r="B1177" t="s">
        <v>9240</v>
      </c>
      <c r="C1177" t="s">
        <v>603</v>
      </c>
      <c r="D1177" t="s">
        <v>12924</v>
      </c>
      <c r="F1177" t="s">
        <v>12962</v>
      </c>
      <c r="G1177" t="s">
        <v>11981</v>
      </c>
      <c r="H1177" t="s">
        <v>607</v>
      </c>
      <c r="I1177" t="s">
        <v>12963</v>
      </c>
      <c r="J1177" t="s">
        <v>5402</v>
      </c>
      <c r="K1177">
        <v>43074</v>
      </c>
      <c r="L1177">
        <v>6</v>
      </c>
      <c r="M1177" s="134">
        <v>257000</v>
      </c>
      <c r="N1177" s="134">
        <v>514000</v>
      </c>
      <c r="O1177" t="s">
        <v>10766</v>
      </c>
      <c r="P1177" t="s">
        <v>12964</v>
      </c>
      <c r="Q1177" t="s">
        <v>1612</v>
      </c>
      <c r="R1177" t="s">
        <v>13095</v>
      </c>
      <c r="U1177" t="s">
        <v>12344</v>
      </c>
      <c r="X1177">
        <v>0</v>
      </c>
    </row>
    <row r="1178" spans="1:24" x14ac:dyDescent="0.25">
      <c r="A1178" s="234">
        <v>43486</v>
      </c>
      <c r="B1178" t="s">
        <v>569</v>
      </c>
      <c r="C1178" t="s">
        <v>899</v>
      </c>
      <c r="D1178" t="s">
        <v>625</v>
      </c>
      <c r="F1178" t="s">
        <v>14077</v>
      </c>
      <c r="H1178" t="s">
        <v>809</v>
      </c>
      <c r="I1178" t="s">
        <v>4064</v>
      </c>
      <c r="J1178" t="s">
        <v>899</v>
      </c>
      <c r="K1178" t="s">
        <v>14078</v>
      </c>
      <c r="M1178" s="134">
        <v>258000</v>
      </c>
      <c r="N1178" s="134">
        <v>0</v>
      </c>
      <c r="O1178" t="s">
        <v>10762</v>
      </c>
      <c r="P1178" t="s">
        <v>14119</v>
      </c>
      <c r="Q1178" t="s">
        <v>1612</v>
      </c>
      <c r="R1178" t="s">
        <v>14120</v>
      </c>
      <c r="U1178" t="s">
        <v>491</v>
      </c>
      <c r="X1178">
        <v>0</v>
      </c>
    </row>
    <row r="1179" spans="1:24" x14ac:dyDescent="0.25">
      <c r="A1179" s="234">
        <v>43472</v>
      </c>
      <c r="B1179" t="s">
        <v>5956</v>
      </c>
      <c r="C1179" t="s">
        <v>3369</v>
      </c>
      <c r="D1179" t="s">
        <v>8126</v>
      </c>
      <c r="F1179" t="s">
        <v>13823</v>
      </c>
      <c r="G1179" t="s">
        <v>13824</v>
      </c>
      <c r="H1179" t="s">
        <v>809</v>
      </c>
      <c r="I1179" t="s">
        <v>8784</v>
      </c>
      <c r="J1179" t="s">
        <v>959</v>
      </c>
      <c r="K1179" t="s">
        <v>13825</v>
      </c>
      <c r="L1179">
        <v>5</v>
      </c>
      <c r="M1179" s="134">
        <v>258000</v>
      </c>
      <c r="N1179" s="134">
        <v>258000</v>
      </c>
      <c r="O1179" t="s">
        <v>2295</v>
      </c>
      <c r="P1179" t="s">
        <v>13826</v>
      </c>
      <c r="Q1179" t="s">
        <v>29</v>
      </c>
      <c r="R1179" t="s">
        <v>14003</v>
      </c>
      <c r="U1179" t="s">
        <v>491</v>
      </c>
      <c r="X1179">
        <v>1</v>
      </c>
    </row>
    <row r="1180" spans="1:24" x14ac:dyDescent="0.25">
      <c r="A1180" s="234">
        <v>42662</v>
      </c>
      <c r="B1180" t="s">
        <v>378</v>
      </c>
      <c r="C1180" t="s">
        <v>899</v>
      </c>
      <c r="D1180" t="s">
        <v>624</v>
      </c>
      <c r="E1180" t="s">
        <v>588</v>
      </c>
      <c r="F1180" t="s">
        <v>4394</v>
      </c>
      <c r="H1180" t="s">
        <v>607</v>
      </c>
      <c r="I1180" t="s">
        <v>4395</v>
      </c>
      <c r="J1180" t="s">
        <v>899</v>
      </c>
      <c r="L1180">
        <v>2</v>
      </c>
      <c r="M1180" s="134">
        <v>258500</v>
      </c>
      <c r="N1180" s="134">
        <v>478000</v>
      </c>
      <c r="O1180" t="s">
        <v>35</v>
      </c>
      <c r="P1180" t="s">
        <v>4396</v>
      </c>
      <c r="Q1180" t="s">
        <v>592</v>
      </c>
      <c r="R1180" t="s">
        <v>4397</v>
      </c>
      <c r="U1180" t="s">
        <v>1327</v>
      </c>
      <c r="X1180">
        <v>0</v>
      </c>
    </row>
    <row r="1181" spans="1:24" x14ac:dyDescent="0.25">
      <c r="A1181" s="234">
        <v>43208</v>
      </c>
      <c r="B1181" t="s">
        <v>569</v>
      </c>
      <c r="C1181" t="s">
        <v>899</v>
      </c>
      <c r="D1181" t="s">
        <v>625</v>
      </c>
      <c r="E1181" t="s">
        <v>588</v>
      </c>
      <c r="F1181" t="s">
        <v>10979</v>
      </c>
      <c r="G1181" t="s">
        <v>10980</v>
      </c>
      <c r="H1181" t="s">
        <v>607</v>
      </c>
      <c r="I1181" t="s">
        <v>5770</v>
      </c>
      <c r="J1181" t="s">
        <v>899</v>
      </c>
      <c r="L1181">
        <v>4</v>
      </c>
      <c r="M1181" s="134">
        <v>259875</v>
      </c>
      <c r="N1181" s="134">
        <v>518429</v>
      </c>
      <c r="O1181" t="s">
        <v>10766</v>
      </c>
      <c r="P1181" t="s">
        <v>10981</v>
      </c>
      <c r="Q1181" t="s">
        <v>1939</v>
      </c>
      <c r="R1181" t="s">
        <v>10982</v>
      </c>
      <c r="U1181" t="s">
        <v>1327</v>
      </c>
      <c r="X1181">
        <v>0</v>
      </c>
    </row>
    <row r="1182" spans="1:24" x14ac:dyDescent="0.25">
      <c r="A1182" s="234">
        <v>43194</v>
      </c>
      <c r="B1182" t="s">
        <v>328</v>
      </c>
      <c r="C1182" t="s">
        <v>603</v>
      </c>
      <c r="D1182" t="s">
        <v>7595</v>
      </c>
      <c r="E1182" t="s">
        <v>588</v>
      </c>
      <c r="F1182" t="s">
        <v>10792</v>
      </c>
      <c r="H1182" t="s">
        <v>10832</v>
      </c>
      <c r="I1182" t="s">
        <v>10793</v>
      </c>
      <c r="J1182" t="s">
        <v>3856</v>
      </c>
      <c r="L1182">
        <v>10</v>
      </c>
      <c r="M1182" s="134">
        <v>260000</v>
      </c>
      <c r="N1182" s="134">
        <v>290000</v>
      </c>
      <c r="O1182" t="s">
        <v>7124</v>
      </c>
      <c r="P1182" t="s">
        <v>10890</v>
      </c>
      <c r="Q1182" t="s">
        <v>1612</v>
      </c>
      <c r="R1182" t="s">
        <v>10891</v>
      </c>
      <c r="S1182" t="s">
        <v>10794</v>
      </c>
      <c r="U1182" t="s">
        <v>491</v>
      </c>
      <c r="X1182">
        <v>0</v>
      </c>
    </row>
    <row r="1183" spans="1:24" x14ac:dyDescent="0.25">
      <c r="A1183" s="234">
        <v>43417</v>
      </c>
      <c r="B1183" t="s">
        <v>328</v>
      </c>
      <c r="C1183" t="s">
        <v>899</v>
      </c>
      <c r="D1183" t="s">
        <v>7595</v>
      </c>
      <c r="F1183" t="s">
        <v>13178</v>
      </c>
      <c r="G1183" t="s">
        <v>13179</v>
      </c>
      <c r="H1183" t="s">
        <v>607</v>
      </c>
      <c r="I1183" t="s">
        <v>6016</v>
      </c>
      <c r="J1183" t="s">
        <v>6015</v>
      </c>
      <c r="K1183" t="s">
        <v>13180</v>
      </c>
      <c r="M1183" s="134">
        <v>260000</v>
      </c>
      <c r="N1183" s="134">
        <v>442000</v>
      </c>
      <c r="O1183" t="s">
        <v>10766</v>
      </c>
      <c r="P1183" t="s">
        <v>13181</v>
      </c>
      <c r="Q1183" t="s">
        <v>1612</v>
      </c>
      <c r="R1183" t="s">
        <v>13182</v>
      </c>
      <c r="U1183" t="s">
        <v>12344</v>
      </c>
      <c r="X1183">
        <v>0</v>
      </c>
    </row>
    <row r="1184" spans="1:24" x14ac:dyDescent="0.25">
      <c r="A1184" s="234">
        <v>42879</v>
      </c>
      <c r="B1184" t="s">
        <v>110</v>
      </c>
      <c r="C1184" t="s">
        <v>761</v>
      </c>
      <c r="D1184" t="s">
        <v>715</v>
      </c>
      <c r="E1184" t="s">
        <v>588</v>
      </c>
      <c r="F1184" t="s">
        <v>6877</v>
      </c>
      <c r="H1184" t="s">
        <v>1391</v>
      </c>
      <c r="I1184" t="s">
        <v>6881</v>
      </c>
      <c r="J1184" t="s">
        <v>761</v>
      </c>
      <c r="L1184">
        <v>9</v>
      </c>
      <c r="M1184" s="134">
        <v>260000</v>
      </c>
      <c r="N1184" s="134">
        <v>442000</v>
      </c>
      <c r="O1184" t="s">
        <v>840</v>
      </c>
      <c r="P1184" t="s">
        <v>6882</v>
      </c>
      <c r="Q1184" t="s">
        <v>1939</v>
      </c>
      <c r="R1184" t="s">
        <v>6883</v>
      </c>
      <c r="U1184" t="s">
        <v>1327</v>
      </c>
      <c r="X1184">
        <v>0</v>
      </c>
    </row>
    <row r="1185" spans="1:24" x14ac:dyDescent="0.25">
      <c r="A1185" s="234">
        <v>43335</v>
      </c>
      <c r="B1185" t="s">
        <v>328</v>
      </c>
      <c r="C1185" t="s">
        <v>603</v>
      </c>
      <c r="D1185" t="s">
        <v>649</v>
      </c>
      <c r="E1185" t="s">
        <v>588</v>
      </c>
      <c r="F1185" t="s">
        <v>9465</v>
      </c>
      <c r="G1185" t="s">
        <v>12300</v>
      </c>
      <c r="H1185" t="s">
        <v>607</v>
      </c>
      <c r="I1185" t="s">
        <v>12301</v>
      </c>
      <c r="J1185" t="s">
        <v>3733</v>
      </c>
      <c r="L1185">
        <v>4</v>
      </c>
      <c r="M1185" s="134">
        <v>260000</v>
      </c>
      <c r="N1185" s="134">
        <v>490000</v>
      </c>
      <c r="O1185" t="s">
        <v>4533</v>
      </c>
      <c r="P1185" t="s">
        <v>12302</v>
      </c>
      <c r="Q1185" t="s">
        <v>29</v>
      </c>
      <c r="R1185" t="s">
        <v>12303</v>
      </c>
      <c r="U1185" t="s">
        <v>491</v>
      </c>
      <c r="X1185">
        <v>1</v>
      </c>
    </row>
    <row r="1186" spans="1:24" x14ac:dyDescent="0.25">
      <c r="A1186" s="234">
        <v>42450</v>
      </c>
      <c r="B1186" t="s">
        <v>328</v>
      </c>
      <c r="C1186" t="s">
        <v>603</v>
      </c>
      <c r="D1186" t="s">
        <v>587</v>
      </c>
      <c r="E1186" t="s">
        <v>588</v>
      </c>
      <c r="F1186" t="s">
        <v>1386</v>
      </c>
      <c r="H1186" t="s">
        <v>607</v>
      </c>
      <c r="I1186" t="s">
        <v>1387</v>
      </c>
      <c r="M1186" s="134">
        <v>260000</v>
      </c>
      <c r="N1186" s="134">
        <v>492000</v>
      </c>
      <c r="O1186" t="s">
        <v>1388</v>
      </c>
      <c r="P1186" t="s">
        <v>1389</v>
      </c>
      <c r="Q1186" t="s">
        <v>29</v>
      </c>
      <c r="R1186" t="s">
        <v>1483</v>
      </c>
      <c r="U1186" t="s">
        <v>491</v>
      </c>
      <c r="X1186">
        <v>1</v>
      </c>
    </row>
    <row r="1187" spans="1:24" x14ac:dyDescent="0.25">
      <c r="A1187" s="234">
        <v>43130</v>
      </c>
      <c r="B1187" t="s">
        <v>328</v>
      </c>
      <c r="C1187" t="s">
        <v>603</v>
      </c>
      <c r="D1187" t="s">
        <v>2397</v>
      </c>
      <c r="E1187" t="s">
        <v>588</v>
      </c>
      <c r="F1187" t="s">
        <v>10155</v>
      </c>
      <c r="G1187" t="s">
        <v>10080</v>
      </c>
      <c r="H1187" t="s">
        <v>607</v>
      </c>
      <c r="J1187" t="s">
        <v>3888</v>
      </c>
      <c r="L1187">
        <v>10</v>
      </c>
      <c r="M1187" s="134">
        <v>260000</v>
      </c>
      <c r="N1187" s="134">
        <v>507000</v>
      </c>
      <c r="O1187" t="s">
        <v>4533</v>
      </c>
      <c r="P1187" t="s">
        <v>10187</v>
      </c>
      <c r="Q1187" t="s">
        <v>1939</v>
      </c>
      <c r="R1187" t="s">
        <v>10212</v>
      </c>
      <c r="U1187" t="s">
        <v>1327</v>
      </c>
      <c r="X1187">
        <v>0</v>
      </c>
    </row>
    <row r="1188" spans="1:24" x14ac:dyDescent="0.25">
      <c r="A1188" s="234">
        <v>43264</v>
      </c>
      <c r="B1188" t="s">
        <v>328</v>
      </c>
      <c r="C1188" t="s">
        <v>603</v>
      </c>
      <c r="D1188" t="s">
        <v>10338</v>
      </c>
      <c r="E1188" t="s">
        <v>588</v>
      </c>
      <c r="F1188" t="s">
        <v>11482</v>
      </c>
      <c r="G1188" t="s">
        <v>11483</v>
      </c>
      <c r="H1188" t="s">
        <v>607</v>
      </c>
      <c r="I1188" t="s">
        <v>11484</v>
      </c>
      <c r="J1188" t="s">
        <v>3398</v>
      </c>
      <c r="L1188">
        <v>2</v>
      </c>
      <c r="M1188" s="134">
        <v>260000</v>
      </c>
      <c r="N1188" s="134">
        <v>525000</v>
      </c>
      <c r="O1188" t="s">
        <v>4533</v>
      </c>
      <c r="P1188" t="s">
        <v>11485</v>
      </c>
      <c r="Q1188" t="s">
        <v>1939</v>
      </c>
      <c r="R1188" t="s">
        <v>11486</v>
      </c>
      <c r="U1188" t="s">
        <v>491</v>
      </c>
      <c r="X1188">
        <v>0</v>
      </c>
    </row>
    <row r="1189" spans="1:24" x14ac:dyDescent="0.25">
      <c r="A1189" s="234">
        <v>43311</v>
      </c>
      <c r="B1189" t="s">
        <v>328</v>
      </c>
      <c r="C1189" t="s">
        <v>603</v>
      </c>
      <c r="D1189" t="s">
        <v>8941</v>
      </c>
      <c r="E1189" t="s">
        <v>588</v>
      </c>
      <c r="F1189" t="s">
        <v>11968</v>
      </c>
      <c r="G1189" t="s">
        <v>11967</v>
      </c>
      <c r="H1189" t="s">
        <v>10831</v>
      </c>
      <c r="I1189" t="s">
        <v>7457</v>
      </c>
      <c r="J1189" t="s">
        <v>644</v>
      </c>
      <c r="L1189">
        <v>10</v>
      </c>
      <c r="M1189" s="134">
        <v>260034</v>
      </c>
      <c r="N1189" s="134">
        <v>412040</v>
      </c>
      <c r="O1189" t="s">
        <v>7124</v>
      </c>
      <c r="P1189" t="s">
        <v>11970</v>
      </c>
      <c r="Q1189" t="s">
        <v>1939</v>
      </c>
      <c r="R1189" t="s">
        <v>11966</v>
      </c>
      <c r="U1189" t="s">
        <v>1327</v>
      </c>
      <c r="X1189">
        <v>0</v>
      </c>
    </row>
    <row r="1190" spans="1:24" x14ac:dyDescent="0.25">
      <c r="A1190" s="234">
        <v>43311</v>
      </c>
      <c r="B1190" t="s">
        <v>328</v>
      </c>
      <c r="C1190" t="s">
        <v>603</v>
      </c>
      <c r="D1190" t="s">
        <v>8941</v>
      </c>
      <c r="E1190" t="s">
        <v>588</v>
      </c>
      <c r="F1190" t="s">
        <v>11968</v>
      </c>
      <c r="G1190" t="s">
        <v>11967</v>
      </c>
      <c r="H1190" t="s">
        <v>10831</v>
      </c>
      <c r="I1190" t="s">
        <v>7457</v>
      </c>
      <c r="J1190" t="s">
        <v>644</v>
      </c>
      <c r="L1190">
        <v>10</v>
      </c>
      <c r="M1190" s="134">
        <v>260034</v>
      </c>
      <c r="N1190" s="134">
        <v>412040</v>
      </c>
      <c r="O1190" t="s">
        <v>7124</v>
      </c>
      <c r="P1190" t="s">
        <v>11969</v>
      </c>
      <c r="Q1190" t="s">
        <v>1939</v>
      </c>
      <c r="R1190" t="s">
        <v>11966</v>
      </c>
      <c r="U1190" t="s">
        <v>1327</v>
      </c>
      <c r="X1190">
        <v>0</v>
      </c>
    </row>
    <row r="1191" spans="1:24" x14ac:dyDescent="0.25">
      <c r="A1191" s="234">
        <v>43616</v>
      </c>
      <c r="B1191" t="s">
        <v>328</v>
      </c>
      <c r="C1191" t="s">
        <v>644</v>
      </c>
      <c r="D1191" t="s">
        <v>1401</v>
      </c>
      <c r="F1191" t="s">
        <v>15815</v>
      </c>
      <c r="G1191" t="s">
        <v>7714</v>
      </c>
      <c r="H1191" t="s">
        <v>607</v>
      </c>
      <c r="I1191" t="s">
        <v>15816</v>
      </c>
      <c r="J1191" t="s">
        <v>644</v>
      </c>
      <c r="K1191" t="s">
        <v>15817</v>
      </c>
      <c r="L1191">
        <v>9</v>
      </c>
      <c r="M1191" s="134">
        <v>261000</v>
      </c>
      <c r="N1191" s="134">
        <v>470000</v>
      </c>
      <c r="O1191" t="s">
        <v>7124</v>
      </c>
      <c r="P1191" t="s">
        <v>15913</v>
      </c>
      <c r="Q1191" t="s">
        <v>29</v>
      </c>
      <c r="R1191" t="s">
        <v>15818</v>
      </c>
      <c r="S1191" t="s">
        <v>15819</v>
      </c>
      <c r="U1191" t="s">
        <v>15812</v>
      </c>
      <c r="X1191">
        <v>1</v>
      </c>
    </row>
    <row r="1192" spans="1:24" x14ac:dyDescent="0.25">
      <c r="A1192" s="234">
        <v>43474</v>
      </c>
      <c r="B1192" t="s">
        <v>9240</v>
      </c>
      <c r="C1192" t="s">
        <v>603</v>
      </c>
      <c r="D1192" t="s">
        <v>9849</v>
      </c>
      <c r="F1192" t="s">
        <v>13885</v>
      </c>
      <c r="G1192" t="s">
        <v>13886</v>
      </c>
      <c r="H1192" t="s">
        <v>607</v>
      </c>
      <c r="I1192" t="s">
        <v>13887</v>
      </c>
      <c r="J1192" t="s">
        <v>5402</v>
      </c>
      <c r="K1192" t="s">
        <v>13888</v>
      </c>
      <c r="L1192">
        <v>3</v>
      </c>
      <c r="M1192" s="134">
        <v>261000</v>
      </c>
      <c r="N1192" s="134">
        <v>507600</v>
      </c>
      <c r="O1192" t="s">
        <v>10766</v>
      </c>
      <c r="P1192" t="s">
        <v>13889</v>
      </c>
      <c r="Q1192" t="s">
        <v>1939</v>
      </c>
      <c r="R1192" t="s">
        <v>13890</v>
      </c>
      <c r="S1192" t="s">
        <v>13891</v>
      </c>
      <c r="U1192" t="s">
        <v>12797</v>
      </c>
      <c r="X1192">
        <v>0</v>
      </c>
    </row>
    <row r="1193" spans="1:24" x14ac:dyDescent="0.25">
      <c r="A1193" s="234">
        <v>42726</v>
      </c>
      <c r="B1193" t="s">
        <v>1486</v>
      </c>
      <c r="C1193" t="s">
        <v>1883</v>
      </c>
      <c r="D1193" t="s">
        <v>2454</v>
      </c>
      <c r="E1193" t="s">
        <v>588</v>
      </c>
      <c r="F1193" t="s">
        <v>5114</v>
      </c>
      <c r="H1193" t="s">
        <v>809</v>
      </c>
      <c r="M1193" s="134">
        <v>261100</v>
      </c>
      <c r="N1193" s="134">
        <v>288200</v>
      </c>
      <c r="O1193" t="s">
        <v>5115</v>
      </c>
      <c r="P1193" t="s">
        <v>5116</v>
      </c>
      <c r="Q1193" t="s">
        <v>1939</v>
      </c>
      <c r="R1193" t="s">
        <v>5117</v>
      </c>
      <c r="U1193" t="s">
        <v>491</v>
      </c>
      <c r="X1193">
        <v>0</v>
      </c>
    </row>
    <row r="1194" spans="1:24" x14ac:dyDescent="0.25">
      <c r="A1194" s="234">
        <v>42458</v>
      </c>
      <c r="B1194" t="s">
        <v>110</v>
      </c>
      <c r="D1194" t="s">
        <v>1070</v>
      </c>
      <c r="E1194" t="s">
        <v>588</v>
      </c>
      <c r="F1194" t="s">
        <v>1428</v>
      </c>
      <c r="H1194" t="s">
        <v>607</v>
      </c>
      <c r="I1194" t="s">
        <v>1429</v>
      </c>
      <c r="M1194" s="134">
        <v>261999</v>
      </c>
      <c r="N1194" s="134">
        <v>524999</v>
      </c>
      <c r="O1194" t="s">
        <v>1033</v>
      </c>
      <c r="P1194" t="s">
        <v>1438</v>
      </c>
      <c r="Q1194" t="s">
        <v>1612</v>
      </c>
      <c r="R1194" t="s">
        <v>1565</v>
      </c>
      <c r="U1194" t="s">
        <v>491</v>
      </c>
      <c r="X1194">
        <v>0</v>
      </c>
    </row>
    <row r="1195" spans="1:24" x14ac:dyDescent="0.25">
      <c r="A1195" s="234">
        <v>42485</v>
      </c>
      <c r="B1195" t="s">
        <v>328</v>
      </c>
      <c r="D1195" t="s">
        <v>587</v>
      </c>
      <c r="E1195" t="s">
        <v>588</v>
      </c>
      <c r="F1195" t="s">
        <v>1811</v>
      </c>
      <c r="H1195" t="s">
        <v>607</v>
      </c>
      <c r="I1195" t="s">
        <v>1812</v>
      </c>
      <c r="M1195" s="134">
        <v>262000</v>
      </c>
      <c r="N1195" s="134">
        <v>0</v>
      </c>
      <c r="O1195" t="s">
        <v>686</v>
      </c>
      <c r="P1195" t="s">
        <v>1813</v>
      </c>
      <c r="Q1195" t="s">
        <v>620</v>
      </c>
      <c r="R1195" t="s">
        <v>1814</v>
      </c>
      <c r="U1195" t="s">
        <v>633</v>
      </c>
      <c r="X1195">
        <v>0</v>
      </c>
    </row>
    <row r="1196" spans="1:24" x14ac:dyDescent="0.25">
      <c r="A1196" s="234">
        <v>42880</v>
      </c>
      <c r="B1196" t="s">
        <v>110</v>
      </c>
      <c r="C1196" t="s">
        <v>761</v>
      </c>
      <c r="D1196" t="s">
        <v>715</v>
      </c>
      <c r="E1196" t="s">
        <v>588</v>
      </c>
      <c r="F1196" t="s">
        <v>6903</v>
      </c>
      <c r="H1196" t="s">
        <v>607</v>
      </c>
      <c r="I1196" t="s">
        <v>6904</v>
      </c>
      <c r="J1196" t="s">
        <v>3523</v>
      </c>
      <c r="M1196" s="134">
        <v>262000</v>
      </c>
      <c r="N1196" s="134">
        <v>471600</v>
      </c>
      <c r="O1196" t="s">
        <v>764</v>
      </c>
      <c r="P1196" t="s">
        <v>6905</v>
      </c>
      <c r="Q1196" t="s">
        <v>29</v>
      </c>
      <c r="R1196" t="s">
        <v>6906</v>
      </c>
      <c r="U1196" t="s">
        <v>491</v>
      </c>
      <c r="X1196">
        <v>1</v>
      </c>
    </row>
    <row r="1197" spans="1:24" x14ac:dyDescent="0.25">
      <c r="A1197" s="234">
        <v>43594</v>
      </c>
      <c r="B1197" t="s">
        <v>328</v>
      </c>
      <c r="C1197" t="s">
        <v>603</v>
      </c>
      <c r="D1197" t="s">
        <v>10338</v>
      </c>
      <c r="F1197" t="s">
        <v>11356</v>
      </c>
      <c r="G1197" t="s">
        <v>14668</v>
      </c>
      <c r="H1197" t="s">
        <v>607</v>
      </c>
      <c r="I1197" t="s">
        <v>15474</v>
      </c>
      <c r="J1197" t="s">
        <v>3751</v>
      </c>
      <c r="K1197" t="s">
        <v>15475</v>
      </c>
      <c r="L1197">
        <v>2</v>
      </c>
      <c r="M1197" s="134">
        <v>262500</v>
      </c>
      <c r="N1197" s="134">
        <v>600000</v>
      </c>
      <c r="O1197" t="s">
        <v>4533</v>
      </c>
      <c r="P1197" t="s">
        <v>15476</v>
      </c>
      <c r="Q1197" t="s">
        <v>1939</v>
      </c>
      <c r="R1197" t="s">
        <v>15526</v>
      </c>
      <c r="U1197" t="s">
        <v>491</v>
      </c>
      <c r="X1197">
        <v>0</v>
      </c>
    </row>
    <row r="1198" spans="1:24" x14ac:dyDescent="0.25">
      <c r="A1198" s="234">
        <v>42488</v>
      </c>
      <c r="B1198" t="s">
        <v>643</v>
      </c>
      <c r="C1198" t="s">
        <v>644</v>
      </c>
      <c r="D1198" t="s">
        <v>645</v>
      </c>
      <c r="E1198" t="s">
        <v>588</v>
      </c>
      <c r="F1198" t="s">
        <v>1861</v>
      </c>
      <c r="H1198" t="s">
        <v>722</v>
      </c>
      <c r="I1198" t="s">
        <v>1862</v>
      </c>
      <c r="M1198" s="134">
        <v>263000</v>
      </c>
      <c r="N1198" s="134">
        <v>402000</v>
      </c>
      <c r="O1198" t="s">
        <v>764</v>
      </c>
      <c r="P1198" t="s">
        <v>1870</v>
      </c>
      <c r="Q1198" t="s">
        <v>592</v>
      </c>
      <c r="R1198" t="s">
        <v>1863</v>
      </c>
      <c r="U1198" t="s">
        <v>491</v>
      </c>
      <c r="X1198">
        <v>0</v>
      </c>
    </row>
    <row r="1199" spans="1:24" x14ac:dyDescent="0.25">
      <c r="A1199" s="234">
        <v>42881</v>
      </c>
      <c r="B1199" t="s">
        <v>569</v>
      </c>
      <c r="D1199" t="s">
        <v>930</v>
      </c>
      <c r="E1199" t="s">
        <v>821</v>
      </c>
      <c r="F1199" t="s">
        <v>6940</v>
      </c>
      <c r="H1199" t="s">
        <v>607</v>
      </c>
      <c r="I1199" t="s">
        <v>6941</v>
      </c>
      <c r="J1199" t="s">
        <v>899</v>
      </c>
      <c r="M1199" s="134">
        <v>263000</v>
      </c>
      <c r="N1199" s="134">
        <v>474000</v>
      </c>
      <c r="O1199" t="s">
        <v>6942</v>
      </c>
      <c r="P1199" t="s">
        <v>6943</v>
      </c>
      <c r="Q1199" t="s">
        <v>592</v>
      </c>
      <c r="R1199" t="s">
        <v>6944</v>
      </c>
      <c r="U1199" t="s">
        <v>491</v>
      </c>
      <c r="X1199">
        <v>0</v>
      </c>
    </row>
    <row r="1200" spans="1:24" x14ac:dyDescent="0.25">
      <c r="A1200" s="234">
        <v>42766</v>
      </c>
      <c r="B1200" t="s">
        <v>328</v>
      </c>
      <c r="C1200" t="s">
        <v>603</v>
      </c>
      <c r="D1200" t="s">
        <v>1401</v>
      </c>
      <c r="E1200" t="s">
        <v>588</v>
      </c>
      <c r="F1200" t="s">
        <v>5552</v>
      </c>
      <c r="H1200" t="s">
        <v>607</v>
      </c>
      <c r="I1200" t="s">
        <v>5557</v>
      </c>
      <c r="J1200" t="s">
        <v>899</v>
      </c>
      <c r="L1200">
        <v>4</v>
      </c>
      <c r="M1200" s="134">
        <v>263000</v>
      </c>
      <c r="N1200" s="134">
        <v>526000</v>
      </c>
      <c r="O1200" t="s">
        <v>1374</v>
      </c>
      <c r="P1200" t="s">
        <v>5553</v>
      </c>
      <c r="Q1200" t="s">
        <v>1939</v>
      </c>
      <c r="R1200" t="s">
        <v>5554</v>
      </c>
      <c r="U1200" t="s">
        <v>491</v>
      </c>
      <c r="X1200">
        <v>0</v>
      </c>
    </row>
    <row r="1201" spans="1:24" x14ac:dyDescent="0.25">
      <c r="A1201" s="234">
        <v>43320</v>
      </c>
      <c r="B1201" t="s">
        <v>328</v>
      </c>
      <c r="C1201" t="s">
        <v>603</v>
      </c>
      <c r="D1201" t="s">
        <v>757</v>
      </c>
      <c r="E1201" t="s">
        <v>588</v>
      </c>
      <c r="F1201" t="s">
        <v>11560</v>
      </c>
      <c r="G1201" t="s">
        <v>7814</v>
      </c>
      <c r="H1201" t="s">
        <v>905</v>
      </c>
      <c r="I1201" t="s">
        <v>12060</v>
      </c>
      <c r="J1201" t="s">
        <v>899</v>
      </c>
      <c r="L1201">
        <v>1</v>
      </c>
      <c r="M1201" s="134">
        <v>264000</v>
      </c>
      <c r="N1201" s="134">
        <v>321000</v>
      </c>
      <c r="O1201" t="s">
        <v>10766</v>
      </c>
      <c r="P1201" t="s">
        <v>12061</v>
      </c>
      <c r="Q1201" t="s">
        <v>1939</v>
      </c>
      <c r="R1201" t="s">
        <v>12573</v>
      </c>
      <c r="S1201" t="s">
        <v>12574</v>
      </c>
      <c r="U1201" t="s">
        <v>491</v>
      </c>
      <c r="X1201">
        <v>0</v>
      </c>
    </row>
    <row r="1202" spans="1:24" x14ac:dyDescent="0.25">
      <c r="A1202" s="234">
        <v>42541</v>
      </c>
      <c r="B1202" t="s">
        <v>328</v>
      </c>
      <c r="C1202" t="s">
        <v>603</v>
      </c>
      <c r="D1202" t="s">
        <v>1471</v>
      </c>
      <c r="E1202" t="s">
        <v>588</v>
      </c>
      <c r="F1202" t="s">
        <v>2594</v>
      </c>
      <c r="H1202" t="s">
        <v>722</v>
      </c>
      <c r="I1202" t="s">
        <v>2595</v>
      </c>
      <c r="M1202" s="134">
        <v>265000</v>
      </c>
      <c r="N1202" s="134">
        <v>296500</v>
      </c>
      <c r="O1202" t="s">
        <v>2596</v>
      </c>
      <c r="P1202" t="s">
        <v>2599</v>
      </c>
      <c r="Q1202" t="s">
        <v>29</v>
      </c>
      <c r="R1202" t="s">
        <v>2772</v>
      </c>
      <c r="U1202" t="s">
        <v>491</v>
      </c>
      <c r="X1202">
        <v>1</v>
      </c>
    </row>
    <row r="1203" spans="1:24" x14ac:dyDescent="0.25">
      <c r="A1203" s="234">
        <v>43354</v>
      </c>
      <c r="B1203" t="s">
        <v>328</v>
      </c>
      <c r="C1203" t="s">
        <v>603</v>
      </c>
      <c r="D1203" t="s">
        <v>7595</v>
      </c>
      <c r="E1203" t="s">
        <v>588</v>
      </c>
      <c r="F1203" t="s">
        <v>12569</v>
      </c>
      <c r="G1203" t="s">
        <v>12570</v>
      </c>
      <c r="H1203" t="s">
        <v>607</v>
      </c>
      <c r="I1203" t="s">
        <v>12571</v>
      </c>
      <c r="J1203" t="s">
        <v>899</v>
      </c>
      <c r="L1203">
        <v>9</v>
      </c>
      <c r="M1203" s="134">
        <v>265000</v>
      </c>
      <c r="N1203" s="134">
        <v>450500</v>
      </c>
      <c r="O1203" t="s">
        <v>10762</v>
      </c>
      <c r="P1203" t="s">
        <v>12812</v>
      </c>
      <c r="Q1203" t="s">
        <v>1939</v>
      </c>
      <c r="R1203" t="s">
        <v>12572</v>
      </c>
      <c r="U1203" t="s">
        <v>491</v>
      </c>
      <c r="X1203">
        <v>0</v>
      </c>
    </row>
    <row r="1204" spans="1:24" x14ac:dyDescent="0.25">
      <c r="A1204" s="234">
        <v>42460</v>
      </c>
      <c r="B1204" t="s">
        <v>643</v>
      </c>
      <c r="C1204" t="s">
        <v>644</v>
      </c>
      <c r="D1204" t="s">
        <v>645</v>
      </c>
      <c r="E1204" t="s">
        <v>588</v>
      </c>
      <c r="F1204" t="s">
        <v>1466</v>
      </c>
      <c r="H1204" t="s">
        <v>1467</v>
      </c>
      <c r="I1204" t="s">
        <v>1468</v>
      </c>
      <c r="M1204" s="134">
        <v>265500</v>
      </c>
      <c r="N1204" s="134">
        <v>504450</v>
      </c>
      <c r="O1204" t="s">
        <v>1469</v>
      </c>
      <c r="P1204" t="s">
        <v>1470</v>
      </c>
      <c r="Q1204" t="s">
        <v>592</v>
      </c>
      <c r="U1204" t="s">
        <v>491</v>
      </c>
      <c r="X1204">
        <v>0</v>
      </c>
    </row>
    <row r="1205" spans="1:24" x14ac:dyDescent="0.25">
      <c r="A1205" s="234">
        <v>43607</v>
      </c>
      <c r="B1205" t="s">
        <v>9240</v>
      </c>
      <c r="C1205" t="s">
        <v>603</v>
      </c>
      <c r="D1205" t="s">
        <v>9849</v>
      </c>
      <c r="F1205" t="s">
        <v>15706</v>
      </c>
      <c r="G1205" t="s">
        <v>15707</v>
      </c>
      <c r="H1205" t="s">
        <v>607</v>
      </c>
      <c r="I1205" t="s">
        <v>3809</v>
      </c>
      <c r="J1205" t="s">
        <v>602</v>
      </c>
      <c r="K1205" t="s">
        <v>15708</v>
      </c>
      <c r="L1205">
        <v>1</v>
      </c>
      <c r="M1205" s="134">
        <v>266000</v>
      </c>
      <c r="N1205" s="134">
        <v>380000</v>
      </c>
      <c r="O1205" t="s">
        <v>4533</v>
      </c>
      <c r="P1205" t="s">
        <v>15709</v>
      </c>
      <c r="Q1205" t="s">
        <v>620</v>
      </c>
      <c r="R1205" t="s">
        <v>15711</v>
      </c>
      <c r="S1205" t="s">
        <v>15710</v>
      </c>
      <c r="U1205" t="s">
        <v>491</v>
      </c>
      <c r="X1205">
        <v>0</v>
      </c>
    </row>
    <row r="1206" spans="1:24" x14ac:dyDescent="0.25">
      <c r="A1206" s="234">
        <v>43140</v>
      </c>
      <c r="B1206" t="s">
        <v>328</v>
      </c>
      <c r="C1206" t="s">
        <v>603</v>
      </c>
      <c r="D1206" t="s">
        <v>649</v>
      </c>
      <c r="E1206" t="s">
        <v>588</v>
      </c>
      <c r="F1206" t="s">
        <v>10280</v>
      </c>
      <c r="G1206" t="s">
        <v>10281</v>
      </c>
      <c r="H1206" t="s">
        <v>905</v>
      </c>
      <c r="I1206" t="s">
        <v>10282</v>
      </c>
      <c r="J1206" t="s">
        <v>899</v>
      </c>
      <c r="L1206">
        <v>5</v>
      </c>
      <c r="M1206" s="134">
        <v>266000</v>
      </c>
      <c r="N1206" s="134">
        <v>426000</v>
      </c>
      <c r="O1206" t="s">
        <v>10764</v>
      </c>
      <c r="P1206" t="s">
        <v>10283</v>
      </c>
      <c r="Q1206" t="s">
        <v>620</v>
      </c>
      <c r="R1206" t="s">
        <v>10284</v>
      </c>
      <c r="U1206" t="s">
        <v>491</v>
      </c>
      <c r="X1206">
        <v>0</v>
      </c>
    </row>
    <row r="1207" spans="1:24" x14ac:dyDescent="0.25">
      <c r="A1207" s="234">
        <v>43574</v>
      </c>
      <c r="B1207" t="s">
        <v>328</v>
      </c>
      <c r="C1207" t="s">
        <v>603</v>
      </c>
      <c r="D1207" t="s">
        <v>1401</v>
      </c>
      <c r="F1207" t="s">
        <v>473</v>
      </c>
      <c r="G1207" t="s">
        <v>7714</v>
      </c>
      <c r="H1207" t="s">
        <v>607</v>
      </c>
      <c r="I1207" t="s">
        <v>15144</v>
      </c>
      <c r="J1207" t="s">
        <v>6015</v>
      </c>
      <c r="K1207" t="s">
        <v>15145</v>
      </c>
      <c r="L1207">
        <v>10</v>
      </c>
      <c r="M1207" s="134">
        <v>266000</v>
      </c>
      <c r="N1207" s="134">
        <v>455000</v>
      </c>
      <c r="O1207" t="s">
        <v>7124</v>
      </c>
      <c r="P1207" t="s">
        <v>15147</v>
      </c>
      <c r="Q1207" t="s">
        <v>29</v>
      </c>
      <c r="R1207" t="s">
        <v>15146</v>
      </c>
      <c r="U1207" t="s">
        <v>491</v>
      </c>
      <c r="X1207">
        <v>1</v>
      </c>
    </row>
    <row r="1208" spans="1:24" x14ac:dyDescent="0.25">
      <c r="A1208" s="234">
        <v>43502</v>
      </c>
      <c r="B1208" t="s">
        <v>328</v>
      </c>
      <c r="C1208" t="s">
        <v>603</v>
      </c>
      <c r="D1208" t="s">
        <v>7595</v>
      </c>
      <c r="F1208" t="s">
        <v>3975</v>
      </c>
      <c r="G1208" t="s">
        <v>14274</v>
      </c>
      <c r="H1208" t="s">
        <v>607</v>
      </c>
      <c r="I1208" t="s">
        <v>14275</v>
      </c>
      <c r="J1208" t="s">
        <v>899</v>
      </c>
      <c r="K1208" t="s">
        <v>14276</v>
      </c>
      <c r="L1208">
        <v>5</v>
      </c>
      <c r="M1208" s="134">
        <v>266000</v>
      </c>
      <c r="N1208" s="134">
        <v>532000</v>
      </c>
      <c r="O1208" t="s">
        <v>10766</v>
      </c>
      <c r="P1208" t="s">
        <v>14277</v>
      </c>
      <c r="Q1208" t="s">
        <v>29</v>
      </c>
      <c r="R1208" t="s">
        <v>14278</v>
      </c>
      <c r="U1208" t="s">
        <v>491</v>
      </c>
      <c r="X1208">
        <v>1</v>
      </c>
    </row>
    <row r="1209" spans="1:24" x14ac:dyDescent="0.25">
      <c r="A1209" s="234">
        <v>42615</v>
      </c>
      <c r="B1209" t="s">
        <v>328</v>
      </c>
      <c r="C1209" t="s">
        <v>603</v>
      </c>
      <c r="D1209" t="s">
        <v>2500</v>
      </c>
      <c r="E1209" t="s">
        <v>588</v>
      </c>
      <c r="F1209" t="s">
        <v>3749</v>
      </c>
      <c r="H1209" t="s">
        <v>3742</v>
      </c>
      <c r="I1209" t="s">
        <v>3750</v>
      </c>
      <c r="J1209" t="s">
        <v>3751</v>
      </c>
      <c r="L1209">
        <v>4</v>
      </c>
      <c r="M1209" s="134">
        <v>266305</v>
      </c>
      <c r="N1209" s="134">
        <v>410000</v>
      </c>
      <c r="O1209" t="s">
        <v>3752</v>
      </c>
      <c r="P1209" t="s">
        <v>3753</v>
      </c>
      <c r="Q1209" t="s">
        <v>1939</v>
      </c>
      <c r="R1209" t="s">
        <v>3822</v>
      </c>
      <c r="U1209" t="s">
        <v>491</v>
      </c>
      <c r="X1209">
        <v>0</v>
      </c>
    </row>
    <row r="1210" spans="1:24" x14ac:dyDescent="0.25">
      <c r="A1210" s="234">
        <v>43202</v>
      </c>
      <c r="B1210" t="s">
        <v>9240</v>
      </c>
      <c r="C1210" t="s">
        <v>603</v>
      </c>
      <c r="D1210" t="s">
        <v>9241</v>
      </c>
      <c r="E1210" t="s">
        <v>588</v>
      </c>
      <c r="F1210" t="s">
        <v>10935</v>
      </c>
      <c r="G1210" t="s">
        <v>10936</v>
      </c>
      <c r="H1210" t="s">
        <v>607</v>
      </c>
      <c r="I1210" t="s">
        <v>10937</v>
      </c>
      <c r="J1210" t="s">
        <v>4031</v>
      </c>
      <c r="M1210" s="134">
        <v>267000</v>
      </c>
      <c r="N1210" s="134">
        <v>267000</v>
      </c>
      <c r="O1210" t="s">
        <v>10766</v>
      </c>
      <c r="P1210" t="s">
        <v>10938</v>
      </c>
      <c r="Q1210" t="s">
        <v>29</v>
      </c>
      <c r="R1210" t="s">
        <v>10939</v>
      </c>
      <c r="U1210" t="s">
        <v>1327</v>
      </c>
      <c r="X1210">
        <v>1</v>
      </c>
    </row>
    <row r="1211" spans="1:24" x14ac:dyDescent="0.25">
      <c r="A1211" s="234">
        <v>43269</v>
      </c>
      <c r="B1211" t="s">
        <v>328</v>
      </c>
      <c r="C1211" t="s">
        <v>603</v>
      </c>
      <c r="D1211" t="s">
        <v>5701</v>
      </c>
      <c r="E1211" t="s">
        <v>588</v>
      </c>
      <c r="F1211" t="s">
        <v>11549</v>
      </c>
      <c r="G1211" t="s">
        <v>7714</v>
      </c>
      <c r="H1211" t="s">
        <v>5321</v>
      </c>
      <c r="I1211" t="s">
        <v>11550</v>
      </c>
      <c r="J1211" t="s">
        <v>603</v>
      </c>
      <c r="L1211">
        <v>9</v>
      </c>
      <c r="M1211" s="134">
        <v>267100</v>
      </c>
      <c r="N1211" s="134">
        <v>547560</v>
      </c>
      <c r="O1211" t="s">
        <v>4533</v>
      </c>
      <c r="P1211" t="s">
        <v>11551</v>
      </c>
      <c r="Q1211" t="s">
        <v>1939</v>
      </c>
      <c r="R1211" t="s">
        <v>11552</v>
      </c>
      <c r="U1211" t="s">
        <v>1327</v>
      </c>
      <c r="X1211">
        <v>0</v>
      </c>
    </row>
    <row r="1212" spans="1:24" x14ac:dyDescent="0.25">
      <c r="A1212" s="234">
        <v>42829</v>
      </c>
      <c r="B1212" t="s">
        <v>328</v>
      </c>
      <c r="C1212" t="s">
        <v>603</v>
      </c>
      <c r="D1212" t="s">
        <v>1401</v>
      </c>
      <c r="E1212" t="s">
        <v>588</v>
      </c>
      <c r="F1212" t="s">
        <v>6239</v>
      </c>
      <c r="H1212" t="s">
        <v>722</v>
      </c>
      <c r="M1212" s="134">
        <v>268000</v>
      </c>
      <c r="N1212" s="134">
        <v>458800</v>
      </c>
      <c r="O1212" t="s">
        <v>6240</v>
      </c>
      <c r="P1212" t="s">
        <v>6241</v>
      </c>
      <c r="Q1212" t="s">
        <v>1939</v>
      </c>
      <c r="R1212" t="s">
        <v>6242</v>
      </c>
      <c r="U1212" t="s">
        <v>491</v>
      </c>
      <c r="X1212">
        <v>0</v>
      </c>
    </row>
    <row r="1213" spans="1:24" x14ac:dyDescent="0.25">
      <c r="A1213" s="234">
        <v>43504</v>
      </c>
      <c r="B1213" t="s">
        <v>328</v>
      </c>
      <c r="C1213" t="s">
        <v>603</v>
      </c>
      <c r="D1213" t="s">
        <v>649</v>
      </c>
      <c r="F1213" t="s">
        <v>14331</v>
      </c>
      <c r="G1213" t="s">
        <v>14332</v>
      </c>
      <c r="H1213" t="s">
        <v>886</v>
      </c>
      <c r="I1213" t="s">
        <v>14333</v>
      </c>
      <c r="J1213" t="s">
        <v>959</v>
      </c>
      <c r="K1213" t="s">
        <v>14334</v>
      </c>
      <c r="L1213">
        <v>4</v>
      </c>
      <c r="M1213" s="134">
        <v>269900</v>
      </c>
      <c r="N1213" s="134">
        <v>296900</v>
      </c>
      <c r="O1213" t="s">
        <v>2295</v>
      </c>
      <c r="P1213" t="s">
        <v>14562</v>
      </c>
      <c r="Q1213" t="s">
        <v>1939</v>
      </c>
      <c r="R1213" t="s">
        <v>14563</v>
      </c>
      <c r="S1213" t="s">
        <v>14378</v>
      </c>
      <c r="U1213" t="s">
        <v>12797</v>
      </c>
      <c r="X1213">
        <v>0</v>
      </c>
    </row>
    <row r="1214" spans="1:24" x14ac:dyDescent="0.25">
      <c r="A1214" s="234">
        <v>42570</v>
      </c>
      <c r="B1214" t="s">
        <v>378</v>
      </c>
      <c r="C1214" t="s">
        <v>623</v>
      </c>
      <c r="D1214" t="s">
        <v>930</v>
      </c>
      <c r="E1214" t="s">
        <v>821</v>
      </c>
      <c r="H1214" t="s">
        <v>607</v>
      </c>
      <c r="I1214" t="s">
        <v>2921</v>
      </c>
      <c r="M1214" s="134">
        <v>270000</v>
      </c>
      <c r="N1214" s="134">
        <v>0</v>
      </c>
      <c r="O1214" t="s">
        <v>1171</v>
      </c>
      <c r="P1214" t="s">
        <v>2922</v>
      </c>
      <c r="Q1214" t="s">
        <v>29</v>
      </c>
      <c r="R1214" t="s">
        <v>2925</v>
      </c>
      <c r="S1214" t="s">
        <v>2926</v>
      </c>
      <c r="U1214" t="s">
        <v>491</v>
      </c>
      <c r="X1214">
        <v>1</v>
      </c>
    </row>
    <row r="1215" spans="1:24" x14ac:dyDescent="0.25">
      <c r="A1215" s="234">
        <v>42585</v>
      </c>
      <c r="B1215" t="s">
        <v>328</v>
      </c>
      <c r="C1215" t="s">
        <v>603</v>
      </c>
      <c r="D1215" t="s">
        <v>1471</v>
      </c>
      <c r="E1215" t="s">
        <v>588</v>
      </c>
      <c r="F1215" t="s">
        <v>3191</v>
      </c>
      <c r="H1215" t="s">
        <v>2074</v>
      </c>
      <c r="I1215" t="s">
        <v>2595</v>
      </c>
      <c r="J1215" t="s">
        <v>899</v>
      </c>
      <c r="L1215">
        <v>10</v>
      </c>
      <c r="M1215" s="134">
        <v>270000</v>
      </c>
      <c r="N1215" s="134">
        <v>349000</v>
      </c>
      <c r="O1215" t="s">
        <v>3192</v>
      </c>
      <c r="P1215" t="s">
        <v>3193</v>
      </c>
      <c r="Q1215" t="s">
        <v>29</v>
      </c>
      <c r="R1215" t="s">
        <v>3194</v>
      </c>
      <c r="U1215" t="s">
        <v>491</v>
      </c>
      <c r="X1215">
        <v>1</v>
      </c>
    </row>
    <row r="1216" spans="1:24" x14ac:dyDescent="0.25">
      <c r="A1216" s="234">
        <v>43560</v>
      </c>
      <c r="B1216" t="s">
        <v>5956</v>
      </c>
      <c r="C1216" t="s">
        <v>3369</v>
      </c>
      <c r="D1216" t="s">
        <v>8126</v>
      </c>
      <c r="F1216" t="s">
        <v>15003</v>
      </c>
      <c r="G1216" t="s">
        <v>15004</v>
      </c>
      <c r="H1216" t="s">
        <v>905</v>
      </c>
      <c r="I1216" t="s">
        <v>15005</v>
      </c>
      <c r="J1216" t="s">
        <v>959</v>
      </c>
      <c r="K1216" t="s">
        <v>15006</v>
      </c>
      <c r="L1216">
        <v>5</v>
      </c>
      <c r="M1216" s="134">
        <v>270000</v>
      </c>
      <c r="N1216" s="134">
        <v>359999</v>
      </c>
      <c r="O1216" t="s">
        <v>10766</v>
      </c>
      <c r="P1216" t="s">
        <v>15007</v>
      </c>
      <c r="Q1216" t="s">
        <v>1939</v>
      </c>
      <c r="R1216" t="s">
        <v>15008</v>
      </c>
      <c r="U1216" t="s">
        <v>491</v>
      </c>
      <c r="X1216">
        <v>0</v>
      </c>
    </row>
    <row r="1217" spans="1:24" x14ac:dyDescent="0.25">
      <c r="A1217" s="234">
        <v>42913</v>
      </c>
      <c r="B1217" t="s">
        <v>110</v>
      </c>
      <c r="C1217" t="s">
        <v>761</v>
      </c>
      <c r="D1217" t="s">
        <v>715</v>
      </c>
      <c r="E1217" t="s">
        <v>588</v>
      </c>
      <c r="F1217" t="s">
        <v>7405</v>
      </c>
      <c r="H1217" t="s">
        <v>1615</v>
      </c>
      <c r="I1217" t="s">
        <v>7406</v>
      </c>
      <c r="J1217" t="s">
        <v>761</v>
      </c>
      <c r="L1217">
        <v>10</v>
      </c>
      <c r="M1217" s="134">
        <v>270000</v>
      </c>
      <c r="N1217" s="134">
        <v>486000</v>
      </c>
      <c r="O1217" t="s">
        <v>764</v>
      </c>
      <c r="P1217" t="s">
        <v>7407</v>
      </c>
      <c r="Q1217" t="s">
        <v>620</v>
      </c>
      <c r="R1217" t="s">
        <v>7404</v>
      </c>
      <c r="U1217" t="s">
        <v>491</v>
      </c>
      <c r="X1217">
        <v>0</v>
      </c>
    </row>
    <row r="1218" spans="1:24" x14ac:dyDescent="0.25">
      <c r="A1218" s="234">
        <v>43328</v>
      </c>
      <c r="B1218" t="s">
        <v>9240</v>
      </c>
      <c r="C1218" t="s">
        <v>603</v>
      </c>
      <c r="D1218" t="s">
        <v>9849</v>
      </c>
      <c r="E1218" t="s">
        <v>2200</v>
      </c>
      <c r="F1218" t="s">
        <v>12371</v>
      </c>
      <c r="G1218" t="s">
        <v>12372</v>
      </c>
      <c r="H1218" t="s">
        <v>607</v>
      </c>
      <c r="I1218" t="s">
        <v>12373</v>
      </c>
      <c r="J1218" t="s">
        <v>5402</v>
      </c>
      <c r="L1218">
        <v>6</v>
      </c>
      <c r="M1218" s="134">
        <v>270000</v>
      </c>
      <c r="N1218" s="134">
        <v>540000</v>
      </c>
      <c r="O1218" t="s">
        <v>10766</v>
      </c>
      <c r="P1218" t="s">
        <v>12374</v>
      </c>
      <c r="Q1218" t="s">
        <v>1939</v>
      </c>
      <c r="R1218" t="s">
        <v>12375</v>
      </c>
      <c r="U1218" t="s">
        <v>1327</v>
      </c>
      <c r="X1218">
        <v>0</v>
      </c>
    </row>
    <row r="1219" spans="1:24" x14ac:dyDescent="0.25">
      <c r="A1219" s="234">
        <v>42431</v>
      </c>
      <c r="B1219" t="s">
        <v>328</v>
      </c>
      <c r="C1219" t="s">
        <v>603</v>
      </c>
      <c r="D1219" t="s">
        <v>587</v>
      </c>
      <c r="E1219" t="s">
        <v>588</v>
      </c>
      <c r="F1219" t="s">
        <v>1202</v>
      </c>
      <c r="H1219" t="s">
        <v>607</v>
      </c>
      <c r="I1219" t="s">
        <v>1203</v>
      </c>
      <c r="M1219" s="134">
        <v>270000</v>
      </c>
      <c r="N1219" s="134">
        <v>551000</v>
      </c>
      <c r="O1219" t="s">
        <v>1204</v>
      </c>
      <c r="P1219" t="s">
        <v>1205</v>
      </c>
      <c r="Q1219" t="s">
        <v>592</v>
      </c>
      <c r="R1219" t="s">
        <v>1206</v>
      </c>
      <c r="S1219" t="s">
        <v>3165</v>
      </c>
      <c r="U1219" t="s">
        <v>491</v>
      </c>
      <c r="X1219">
        <v>0</v>
      </c>
    </row>
    <row r="1220" spans="1:24" x14ac:dyDescent="0.25">
      <c r="A1220" s="234">
        <v>43014</v>
      </c>
      <c r="B1220" t="s">
        <v>328</v>
      </c>
      <c r="C1220" t="s">
        <v>603</v>
      </c>
      <c r="D1220" t="s">
        <v>649</v>
      </c>
      <c r="E1220" t="s">
        <v>588</v>
      </c>
      <c r="F1220" t="s">
        <v>8940</v>
      </c>
      <c r="G1220" t="s">
        <v>8941</v>
      </c>
      <c r="H1220" t="s">
        <v>607</v>
      </c>
      <c r="I1220" t="s">
        <v>8942</v>
      </c>
      <c r="J1220" t="s">
        <v>3371</v>
      </c>
      <c r="L1220">
        <v>8</v>
      </c>
      <c r="M1220" s="134">
        <v>270500</v>
      </c>
      <c r="N1220" s="134">
        <v>486900</v>
      </c>
      <c r="O1220" t="s">
        <v>7617</v>
      </c>
      <c r="P1220" t="s">
        <v>8943</v>
      </c>
      <c r="Q1220" t="s">
        <v>1939</v>
      </c>
      <c r="R1220" t="s">
        <v>8948</v>
      </c>
      <c r="U1220" t="s">
        <v>1327</v>
      </c>
      <c r="X1220">
        <v>0</v>
      </c>
    </row>
    <row r="1221" spans="1:24" x14ac:dyDescent="0.25">
      <c r="A1221" s="234">
        <v>43250</v>
      </c>
      <c r="B1221" t="s">
        <v>569</v>
      </c>
      <c r="C1221" t="s">
        <v>899</v>
      </c>
      <c r="D1221" t="s">
        <v>625</v>
      </c>
      <c r="E1221" t="s">
        <v>588</v>
      </c>
      <c r="F1221" t="s">
        <v>11364</v>
      </c>
      <c r="G1221" t="s">
        <v>11365</v>
      </c>
      <c r="H1221" t="s">
        <v>905</v>
      </c>
      <c r="I1221" t="s">
        <v>11366</v>
      </c>
      <c r="J1221" t="s">
        <v>899</v>
      </c>
      <c r="L1221">
        <v>2</v>
      </c>
      <c r="M1221" s="134">
        <v>270500</v>
      </c>
      <c r="N1221" s="134">
        <v>541450</v>
      </c>
      <c r="O1221" t="s">
        <v>10766</v>
      </c>
      <c r="P1221" t="s">
        <v>11367</v>
      </c>
      <c r="Q1221" t="s">
        <v>620</v>
      </c>
      <c r="R1221" t="s">
        <v>11368</v>
      </c>
      <c r="U1221" t="s">
        <v>1327</v>
      </c>
      <c r="X1221">
        <v>0</v>
      </c>
    </row>
    <row r="1222" spans="1:24" x14ac:dyDescent="0.25">
      <c r="A1222" s="234">
        <v>43055</v>
      </c>
      <c r="B1222" t="s">
        <v>328</v>
      </c>
      <c r="C1222" t="s">
        <v>603</v>
      </c>
      <c r="D1222" t="s">
        <v>649</v>
      </c>
      <c r="E1222" t="s">
        <v>588</v>
      </c>
      <c r="F1222" t="s">
        <v>9476</v>
      </c>
      <c r="G1222" t="s">
        <v>9477</v>
      </c>
      <c r="H1222" t="s">
        <v>722</v>
      </c>
      <c r="I1222" t="s">
        <v>4114</v>
      </c>
      <c r="J1222" t="s">
        <v>899</v>
      </c>
      <c r="L1222">
        <v>10</v>
      </c>
      <c r="M1222" s="134">
        <v>271446</v>
      </c>
      <c r="N1222" s="134">
        <v>0</v>
      </c>
      <c r="O1222" t="s">
        <v>2680</v>
      </c>
      <c r="P1222" t="s">
        <v>9478</v>
      </c>
      <c r="Q1222" t="s">
        <v>29</v>
      </c>
      <c r="R1222" t="s">
        <v>9479</v>
      </c>
      <c r="S1222" t="s">
        <v>9537</v>
      </c>
      <c r="U1222" t="s">
        <v>491</v>
      </c>
      <c r="X1222">
        <v>1</v>
      </c>
    </row>
    <row r="1223" spans="1:24" x14ac:dyDescent="0.25">
      <c r="A1223" s="234">
        <v>43613</v>
      </c>
      <c r="B1223" t="s">
        <v>328</v>
      </c>
      <c r="C1223" t="s">
        <v>603</v>
      </c>
      <c r="D1223" t="s">
        <v>649</v>
      </c>
      <c r="F1223" t="s">
        <v>13237</v>
      </c>
      <c r="G1223" t="s">
        <v>15771</v>
      </c>
      <c r="H1223" t="s">
        <v>809</v>
      </c>
      <c r="J1223" t="s">
        <v>603</v>
      </c>
      <c r="L1223">
        <v>4</v>
      </c>
      <c r="M1223" s="134">
        <v>272000</v>
      </c>
      <c r="N1223" s="134">
        <v>277000</v>
      </c>
      <c r="O1223" t="s">
        <v>10762</v>
      </c>
      <c r="P1223" t="s">
        <v>15772</v>
      </c>
      <c r="Q1223" t="s">
        <v>620</v>
      </c>
      <c r="R1223" t="s">
        <v>15773</v>
      </c>
      <c r="U1223" t="s">
        <v>491</v>
      </c>
      <c r="X1223">
        <v>0</v>
      </c>
    </row>
    <row r="1224" spans="1:24" x14ac:dyDescent="0.25">
      <c r="A1224" s="234">
        <v>42830</v>
      </c>
      <c r="B1224" t="s">
        <v>328</v>
      </c>
      <c r="C1224" t="s">
        <v>603</v>
      </c>
      <c r="D1224" t="s">
        <v>5701</v>
      </c>
      <c r="E1224" t="s">
        <v>588</v>
      </c>
      <c r="F1224" t="s">
        <v>6265</v>
      </c>
      <c r="H1224" t="s">
        <v>1391</v>
      </c>
      <c r="I1224" t="s">
        <v>6266</v>
      </c>
      <c r="J1224" t="s">
        <v>3733</v>
      </c>
      <c r="L1224">
        <v>10</v>
      </c>
      <c r="M1224" s="134">
        <v>272000</v>
      </c>
      <c r="N1224" s="134">
        <v>408000</v>
      </c>
      <c r="O1224" t="s">
        <v>764</v>
      </c>
      <c r="P1224" t="s">
        <v>6267</v>
      </c>
      <c r="Q1224" t="s">
        <v>29</v>
      </c>
      <c r="R1224" t="s">
        <v>6268</v>
      </c>
      <c r="U1224" t="s">
        <v>491</v>
      </c>
      <c r="X1224">
        <v>1</v>
      </c>
    </row>
    <row r="1225" spans="1:24" x14ac:dyDescent="0.25">
      <c r="A1225" s="234">
        <v>42832</v>
      </c>
      <c r="B1225" t="s">
        <v>328</v>
      </c>
      <c r="C1225" t="s">
        <v>603</v>
      </c>
      <c r="D1225" t="s">
        <v>649</v>
      </c>
      <c r="E1225" t="s">
        <v>588</v>
      </c>
      <c r="F1225" t="s">
        <v>6316</v>
      </c>
      <c r="H1225" t="s">
        <v>6252</v>
      </c>
      <c r="I1225" t="s">
        <v>6317</v>
      </c>
      <c r="J1225" t="s">
        <v>899</v>
      </c>
      <c r="L1225">
        <v>9</v>
      </c>
      <c r="M1225" s="134">
        <v>272000</v>
      </c>
      <c r="N1225" s="134">
        <v>435000</v>
      </c>
      <c r="O1225" t="s">
        <v>6318</v>
      </c>
      <c r="P1225" t="s">
        <v>6319</v>
      </c>
      <c r="Q1225" t="s">
        <v>1939</v>
      </c>
      <c r="R1225" t="s">
        <v>6320</v>
      </c>
      <c r="S1225" t="s">
        <v>6322</v>
      </c>
      <c r="U1225" t="s">
        <v>491</v>
      </c>
      <c r="X1225">
        <v>0</v>
      </c>
    </row>
    <row r="1226" spans="1:24" x14ac:dyDescent="0.25">
      <c r="A1226" s="234">
        <v>42892</v>
      </c>
      <c r="B1226" t="s">
        <v>643</v>
      </c>
      <c r="C1226" t="s">
        <v>644</v>
      </c>
      <c r="D1226" t="s">
        <v>645</v>
      </c>
      <c r="E1226" t="s">
        <v>588</v>
      </c>
      <c r="F1226" t="s">
        <v>7064</v>
      </c>
      <c r="H1226" t="s">
        <v>809</v>
      </c>
      <c r="I1226" t="s">
        <v>7065</v>
      </c>
      <c r="J1226" t="s">
        <v>3398</v>
      </c>
      <c r="L1226">
        <v>4</v>
      </c>
      <c r="M1226" s="134">
        <v>273000</v>
      </c>
      <c r="N1226" s="134">
        <v>458000</v>
      </c>
      <c r="O1226" t="s">
        <v>7066</v>
      </c>
      <c r="P1226" t="s">
        <v>7067</v>
      </c>
      <c r="Q1226" t="s">
        <v>1939</v>
      </c>
      <c r="R1226" t="s">
        <v>7068</v>
      </c>
      <c r="U1226" t="s">
        <v>491</v>
      </c>
      <c r="X1226">
        <v>0</v>
      </c>
    </row>
    <row r="1227" spans="1:24" x14ac:dyDescent="0.25">
      <c r="A1227" s="234">
        <v>43111</v>
      </c>
      <c r="B1227" t="s">
        <v>328</v>
      </c>
      <c r="C1227" t="s">
        <v>603</v>
      </c>
      <c r="D1227" t="s">
        <v>649</v>
      </c>
      <c r="E1227" t="s">
        <v>588</v>
      </c>
      <c r="F1227" t="s">
        <v>10017</v>
      </c>
      <c r="G1227" t="s">
        <v>10018</v>
      </c>
      <c r="H1227" t="s">
        <v>607</v>
      </c>
      <c r="I1227" t="s">
        <v>10019</v>
      </c>
      <c r="J1227" t="s">
        <v>959</v>
      </c>
      <c r="L1227">
        <v>4</v>
      </c>
      <c r="M1227" s="134">
        <v>273360</v>
      </c>
      <c r="N1227" s="134">
        <v>539960</v>
      </c>
      <c r="O1227" t="s">
        <v>4533</v>
      </c>
      <c r="P1227" t="s">
        <v>10181</v>
      </c>
      <c r="Q1227" t="s">
        <v>1939</v>
      </c>
      <c r="R1227" t="s">
        <v>10020</v>
      </c>
      <c r="U1227" t="s">
        <v>1327</v>
      </c>
      <c r="X1227">
        <v>0</v>
      </c>
    </row>
    <row r="1228" spans="1:24" x14ac:dyDescent="0.25">
      <c r="A1228" s="234">
        <v>43140</v>
      </c>
      <c r="B1228" t="s">
        <v>328</v>
      </c>
      <c r="C1228" t="s">
        <v>603</v>
      </c>
      <c r="D1228" t="s">
        <v>8941</v>
      </c>
      <c r="E1228" t="s">
        <v>588</v>
      </c>
      <c r="F1228" t="s">
        <v>10317</v>
      </c>
      <c r="G1228" t="s">
        <v>10318</v>
      </c>
      <c r="H1228" t="s">
        <v>905</v>
      </c>
      <c r="I1228" t="s">
        <v>10319</v>
      </c>
      <c r="J1228" t="s">
        <v>899</v>
      </c>
      <c r="L1228">
        <v>3</v>
      </c>
      <c r="M1228" s="134">
        <v>273700</v>
      </c>
      <c r="N1228" s="134">
        <v>301070</v>
      </c>
      <c r="O1228" t="s">
        <v>4533</v>
      </c>
      <c r="P1228" t="s">
        <v>10320</v>
      </c>
      <c r="Q1228" t="s">
        <v>1939</v>
      </c>
      <c r="R1228" t="s">
        <v>10321</v>
      </c>
      <c r="U1228" t="s">
        <v>1327</v>
      </c>
      <c r="X1228">
        <v>0</v>
      </c>
    </row>
    <row r="1229" spans="1:24" x14ac:dyDescent="0.25">
      <c r="A1229" s="234">
        <v>43245</v>
      </c>
      <c r="B1229" t="s">
        <v>328</v>
      </c>
      <c r="C1229" t="s">
        <v>603</v>
      </c>
      <c r="D1229" t="s">
        <v>8941</v>
      </c>
      <c r="E1229" t="s">
        <v>588</v>
      </c>
      <c r="F1229" t="s">
        <v>10317</v>
      </c>
      <c r="G1229" t="s">
        <v>10318</v>
      </c>
      <c r="H1229" t="s">
        <v>905</v>
      </c>
      <c r="I1229" t="s">
        <v>10319</v>
      </c>
      <c r="J1229" t="s">
        <v>899</v>
      </c>
      <c r="L1229">
        <v>3</v>
      </c>
      <c r="M1229" s="134">
        <v>273700</v>
      </c>
      <c r="N1229" s="134">
        <v>301070</v>
      </c>
      <c r="O1229" t="s">
        <v>4533</v>
      </c>
      <c r="P1229" t="s">
        <v>11406</v>
      </c>
      <c r="Q1229" t="s">
        <v>1939</v>
      </c>
      <c r="R1229" t="s">
        <v>11308</v>
      </c>
      <c r="U1229" t="s">
        <v>633</v>
      </c>
      <c r="X1229">
        <v>0</v>
      </c>
    </row>
    <row r="1230" spans="1:24" x14ac:dyDescent="0.25">
      <c r="A1230" s="234">
        <v>43417</v>
      </c>
      <c r="B1230" t="s">
        <v>5956</v>
      </c>
      <c r="C1230" t="s">
        <v>3369</v>
      </c>
      <c r="D1230" t="s">
        <v>8126</v>
      </c>
      <c r="F1230" t="s">
        <v>13171</v>
      </c>
      <c r="H1230" t="s">
        <v>905</v>
      </c>
      <c r="I1230" t="s">
        <v>11126</v>
      </c>
      <c r="J1230" t="s">
        <v>4825</v>
      </c>
      <c r="K1230" t="s">
        <v>13172</v>
      </c>
      <c r="L1230">
        <v>5</v>
      </c>
      <c r="M1230" s="134">
        <v>274000</v>
      </c>
      <c r="N1230" s="134">
        <v>333800</v>
      </c>
      <c r="O1230" t="s">
        <v>10766</v>
      </c>
      <c r="P1230" t="s">
        <v>13437</v>
      </c>
      <c r="Q1230" t="s">
        <v>1939</v>
      </c>
      <c r="R1230" t="s">
        <v>13173</v>
      </c>
      <c r="U1230" t="s">
        <v>12344</v>
      </c>
      <c r="X1230">
        <v>0</v>
      </c>
    </row>
    <row r="1231" spans="1:24" x14ac:dyDescent="0.25">
      <c r="A1231" s="234">
        <v>43374</v>
      </c>
      <c r="B1231" t="s">
        <v>328</v>
      </c>
      <c r="C1231" t="s">
        <v>603</v>
      </c>
      <c r="D1231" t="s">
        <v>5701</v>
      </c>
      <c r="E1231" t="s">
        <v>588</v>
      </c>
      <c r="F1231" t="s">
        <v>12775</v>
      </c>
      <c r="G1231" t="s">
        <v>11509</v>
      </c>
      <c r="H1231" t="s">
        <v>607</v>
      </c>
      <c r="I1231" t="s">
        <v>12799</v>
      </c>
      <c r="J1231" t="s">
        <v>3426</v>
      </c>
      <c r="L1231">
        <v>10</v>
      </c>
      <c r="M1231" s="134">
        <v>274000</v>
      </c>
      <c r="N1231" s="134">
        <v>548000</v>
      </c>
      <c r="O1231" t="s">
        <v>7124</v>
      </c>
      <c r="P1231" t="s">
        <v>12776</v>
      </c>
      <c r="Q1231" t="s">
        <v>1939</v>
      </c>
      <c r="R1231" t="s">
        <v>15976</v>
      </c>
      <c r="U1231" t="s">
        <v>12344</v>
      </c>
      <c r="X1231">
        <v>0</v>
      </c>
    </row>
    <row r="1232" spans="1:24" x14ac:dyDescent="0.25">
      <c r="A1232" s="234">
        <v>43199</v>
      </c>
      <c r="B1232" t="s">
        <v>9240</v>
      </c>
      <c r="C1232" t="s">
        <v>603</v>
      </c>
      <c r="D1232" t="s">
        <v>9849</v>
      </c>
      <c r="E1232" t="s">
        <v>588</v>
      </c>
      <c r="F1232" t="s">
        <v>10857</v>
      </c>
      <c r="G1232" t="s">
        <v>10861</v>
      </c>
      <c r="H1232" t="s">
        <v>607</v>
      </c>
      <c r="I1232" t="s">
        <v>10858</v>
      </c>
      <c r="J1232" t="s">
        <v>3373</v>
      </c>
      <c r="L1232">
        <v>4</v>
      </c>
      <c r="M1232" s="134">
        <v>274500</v>
      </c>
      <c r="N1232" s="134">
        <v>587825</v>
      </c>
      <c r="O1232" t="s">
        <v>10766</v>
      </c>
      <c r="P1232" t="s">
        <v>10859</v>
      </c>
      <c r="Q1232" t="s">
        <v>592</v>
      </c>
      <c r="R1232" t="s">
        <v>10860</v>
      </c>
      <c r="U1232" t="s">
        <v>1327</v>
      </c>
      <c r="X1232">
        <v>0</v>
      </c>
    </row>
    <row r="1233" spans="1:24" x14ac:dyDescent="0.25">
      <c r="A1233" s="234">
        <v>42622</v>
      </c>
      <c r="B1233" t="s">
        <v>1486</v>
      </c>
      <c r="C1233" t="s">
        <v>1883</v>
      </c>
      <c r="D1233" t="s">
        <v>595</v>
      </c>
      <c r="E1233" t="s">
        <v>1707</v>
      </c>
      <c r="F1233" t="s">
        <v>3880</v>
      </c>
      <c r="H1233" t="s">
        <v>1626</v>
      </c>
      <c r="I1233" t="s">
        <v>1487</v>
      </c>
      <c r="J1233" t="s">
        <v>604</v>
      </c>
      <c r="M1233" s="134">
        <v>275000</v>
      </c>
      <c r="N1233" s="134">
        <v>275000</v>
      </c>
      <c r="O1233" t="s">
        <v>3850</v>
      </c>
      <c r="P1233" t="s">
        <v>3864</v>
      </c>
      <c r="Q1233" t="s">
        <v>620</v>
      </c>
      <c r="R1233" t="s">
        <v>3881</v>
      </c>
      <c r="U1233" t="s">
        <v>491</v>
      </c>
      <c r="X1233">
        <v>0</v>
      </c>
    </row>
    <row r="1234" spans="1:24" x14ac:dyDescent="0.25">
      <c r="A1234" s="234">
        <v>43444</v>
      </c>
      <c r="B1234" t="s">
        <v>328</v>
      </c>
      <c r="C1234" t="s">
        <v>603</v>
      </c>
      <c r="D1234" t="s">
        <v>10705</v>
      </c>
      <c r="F1234" t="s">
        <v>13556</v>
      </c>
      <c r="H1234" t="s">
        <v>809</v>
      </c>
      <c r="I1234" t="s">
        <v>13557</v>
      </c>
      <c r="J1234" t="s">
        <v>603</v>
      </c>
      <c r="K1234" t="s">
        <v>13558</v>
      </c>
      <c r="L1234">
        <v>4</v>
      </c>
      <c r="M1234" s="134">
        <v>275000</v>
      </c>
      <c r="N1234" s="134">
        <v>280000</v>
      </c>
      <c r="O1234" t="s">
        <v>10763</v>
      </c>
      <c r="P1234" t="s">
        <v>13565</v>
      </c>
      <c r="Q1234" t="s">
        <v>29</v>
      </c>
      <c r="R1234" t="s">
        <v>13579</v>
      </c>
      <c r="U1234" t="s">
        <v>12797</v>
      </c>
      <c r="X1234">
        <v>1</v>
      </c>
    </row>
    <row r="1235" spans="1:24" x14ac:dyDescent="0.25">
      <c r="A1235" s="234">
        <v>42819</v>
      </c>
      <c r="B1235" t="s">
        <v>328</v>
      </c>
      <c r="C1235" t="s">
        <v>603</v>
      </c>
      <c r="D1235" t="s">
        <v>587</v>
      </c>
      <c r="E1235" t="s">
        <v>588</v>
      </c>
      <c r="F1235" t="s">
        <v>6136</v>
      </c>
      <c r="H1235" t="s">
        <v>886</v>
      </c>
      <c r="I1235" t="s">
        <v>6137</v>
      </c>
      <c r="J1235" t="s">
        <v>4458</v>
      </c>
      <c r="M1235" s="134">
        <v>275000</v>
      </c>
      <c r="N1235" s="134">
        <v>305000</v>
      </c>
      <c r="O1235" t="s">
        <v>2680</v>
      </c>
      <c r="P1235" t="s">
        <v>6135</v>
      </c>
      <c r="Q1235" t="s">
        <v>29</v>
      </c>
      <c r="R1235" t="s">
        <v>6134</v>
      </c>
      <c r="U1235" t="s">
        <v>491</v>
      </c>
      <c r="X1235">
        <v>1</v>
      </c>
    </row>
    <row r="1236" spans="1:24" x14ac:dyDescent="0.25">
      <c r="A1236" s="234">
        <v>42986</v>
      </c>
      <c r="B1236" t="s">
        <v>5176</v>
      </c>
      <c r="C1236" t="s">
        <v>604</v>
      </c>
      <c r="D1236" t="s">
        <v>595</v>
      </c>
      <c r="E1236" t="s">
        <v>588</v>
      </c>
      <c r="F1236" t="s">
        <v>8463</v>
      </c>
      <c r="G1236" t="s">
        <v>8464</v>
      </c>
      <c r="H1236" t="s">
        <v>905</v>
      </c>
      <c r="I1236" t="s">
        <v>8465</v>
      </c>
      <c r="J1236" t="s">
        <v>604</v>
      </c>
      <c r="L1236">
        <v>9</v>
      </c>
      <c r="M1236" s="134">
        <v>275000</v>
      </c>
      <c r="N1236" s="134">
        <v>330000</v>
      </c>
      <c r="O1236" t="s">
        <v>7074</v>
      </c>
      <c r="P1236" t="s">
        <v>8831</v>
      </c>
      <c r="Q1236" t="s">
        <v>1939</v>
      </c>
      <c r="R1236" t="s">
        <v>8466</v>
      </c>
      <c r="T1236">
        <v>31</v>
      </c>
      <c r="U1236" t="s">
        <v>491</v>
      </c>
      <c r="X1236">
        <v>0</v>
      </c>
    </row>
    <row r="1237" spans="1:24" x14ac:dyDescent="0.25">
      <c r="A1237" s="234">
        <v>43160</v>
      </c>
      <c r="B1237" t="s">
        <v>643</v>
      </c>
      <c r="C1237" t="s">
        <v>644</v>
      </c>
      <c r="D1237" t="s">
        <v>645</v>
      </c>
      <c r="E1237" t="s">
        <v>588</v>
      </c>
      <c r="F1237" t="s">
        <v>10404</v>
      </c>
      <c r="G1237" t="s">
        <v>10405</v>
      </c>
      <c r="H1237" t="s">
        <v>2510</v>
      </c>
      <c r="I1237" t="s">
        <v>4399</v>
      </c>
      <c r="J1237" t="s">
        <v>644</v>
      </c>
      <c r="L1237">
        <v>2</v>
      </c>
      <c r="M1237" s="134">
        <v>275000</v>
      </c>
      <c r="N1237" s="134">
        <v>391000</v>
      </c>
      <c r="O1237" t="s">
        <v>10766</v>
      </c>
      <c r="P1237" t="s">
        <v>10406</v>
      </c>
      <c r="Q1237" t="s">
        <v>620</v>
      </c>
      <c r="R1237" t="s">
        <v>10407</v>
      </c>
      <c r="U1237" t="s">
        <v>491</v>
      </c>
      <c r="X1237">
        <v>0</v>
      </c>
    </row>
    <row r="1238" spans="1:24" x14ac:dyDescent="0.25">
      <c r="A1238" s="234">
        <v>43398</v>
      </c>
      <c r="B1238" t="s">
        <v>328</v>
      </c>
      <c r="C1238" t="s">
        <v>603</v>
      </c>
      <c r="D1238" t="s">
        <v>649</v>
      </c>
      <c r="F1238" t="s">
        <v>13055</v>
      </c>
      <c r="G1238" t="s">
        <v>13056</v>
      </c>
      <c r="H1238" t="s">
        <v>607</v>
      </c>
      <c r="I1238" t="s">
        <v>13057</v>
      </c>
      <c r="J1238" t="s">
        <v>644</v>
      </c>
      <c r="K1238">
        <v>80013</v>
      </c>
      <c r="L1238">
        <v>3</v>
      </c>
      <c r="M1238" s="134">
        <v>275000</v>
      </c>
      <c r="N1238" s="134">
        <v>430000</v>
      </c>
      <c r="O1238" t="s">
        <v>10766</v>
      </c>
      <c r="P1238" t="s">
        <v>13424</v>
      </c>
      <c r="Q1238" t="s">
        <v>29</v>
      </c>
      <c r="R1238" t="s">
        <v>13058</v>
      </c>
      <c r="U1238" t="s">
        <v>12344</v>
      </c>
      <c r="X1238">
        <v>1</v>
      </c>
    </row>
    <row r="1239" spans="1:24" x14ac:dyDescent="0.25">
      <c r="A1239" s="234">
        <v>42531</v>
      </c>
      <c r="B1239" t="s">
        <v>328</v>
      </c>
      <c r="C1239" t="s">
        <v>603</v>
      </c>
      <c r="D1239" t="s">
        <v>1401</v>
      </c>
      <c r="E1239" t="s">
        <v>588</v>
      </c>
      <c r="F1239" t="s">
        <v>2463</v>
      </c>
      <c r="H1239" t="s">
        <v>607</v>
      </c>
      <c r="I1239" t="s">
        <v>2465</v>
      </c>
      <c r="M1239" s="134">
        <v>275000</v>
      </c>
      <c r="N1239" s="134">
        <v>445500</v>
      </c>
      <c r="O1239" t="s">
        <v>2464</v>
      </c>
      <c r="P1239" t="s">
        <v>2466</v>
      </c>
      <c r="Q1239" t="s">
        <v>29</v>
      </c>
      <c r="R1239" t="s">
        <v>2467</v>
      </c>
      <c r="S1239" t="s">
        <v>2472</v>
      </c>
      <c r="U1239" t="s">
        <v>491</v>
      </c>
      <c r="X1239">
        <v>1</v>
      </c>
    </row>
    <row r="1240" spans="1:24" x14ac:dyDescent="0.25">
      <c r="A1240" s="234">
        <v>42816</v>
      </c>
      <c r="B1240" t="s">
        <v>110</v>
      </c>
      <c r="C1240" t="s">
        <v>761</v>
      </c>
      <c r="D1240" t="s">
        <v>715</v>
      </c>
      <c r="E1240" t="s">
        <v>588</v>
      </c>
      <c r="F1240" t="s">
        <v>6049</v>
      </c>
      <c r="H1240" t="s">
        <v>607</v>
      </c>
      <c r="I1240" t="s">
        <v>6050</v>
      </c>
      <c r="J1240" t="s">
        <v>761</v>
      </c>
      <c r="L1240">
        <v>10</v>
      </c>
      <c r="M1240" s="134">
        <v>275000</v>
      </c>
      <c r="N1240" s="134">
        <v>467500</v>
      </c>
      <c r="O1240" t="s">
        <v>764</v>
      </c>
      <c r="P1240" t="s">
        <v>6051</v>
      </c>
      <c r="Q1240" t="s">
        <v>592</v>
      </c>
      <c r="U1240" t="s">
        <v>491</v>
      </c>
      <c r="X1240">
        <v>0</v>
      </c>
    </row>
    <row r="1241" spans="1:24" x14ac:dyDescent="0.25">
      <c r="A1241" s="234">
        <v>42796</v>
      </c>
      <c r="B1241" t="s">
        <v>328</v>
      </c>
      <c r="C1241" t="s">
        <v>603</v>
      </c>
      <c r="D1241" t="s">
        <v>672</v>
      </c>
      <c r="E1241" t="s">
        <v>588</v>
      </c>
      <c r="F1241" t="s">
        <v>5842</v>
      </c>
      <c r="H1241" t="s">
        <v>607</v>
      </c>
      <c r="I1241" t="s">
        <v>5843</v>
      </c>
      <c r="J1241" t="s">
        <v>644</v>
      </c>
      <c r="L1241">
        <v>3</v>
      </c>
      <c r="M1241" s="134">
        <v>275000</v>
      </c>
      <c r="N1241" s="134">
        <v>495000</v>
      </c>
      <c r="O1241" t="s">
        <v>5844</v>
      </c>
      <c r="P1241" t="s">
        <v>5845</v>
      </c>
      <c r="Q1241" t="s">
        <v>592</v>
      </c>
      <c r="U1241" t="s">
        <v>491</v>
      </c>
      <c r="X1241">
        <v>0</v>
      </c>
    </row>
    <row r="1242" spans="1:24" x14ac:dyDescent="0.25">
      <c r="A1242" s="234">
        <v>43437</v>
      </c>
      <c r="B1242" t="s">
        <v>569</v>
      </c>
      <c r="C1242" t="s">
        <v>899</v>
      </c>
      <c r="D1242" t="s">
        <v>10705</v>
      </c>
      <c r="F1242" t="s">
        <v>13442</v>
      </c>
      <c r="G1242" t="s">
        <v>13443</v>
      </c>
      <c r="H1242" t="s">
        <v>607</v>
      </c>
      <c r="I1242" t="s">
        <v>13444</v>
      </c>
      <c r="J1242" t="s">
        <v>899</v>
      </c>
      <c r="K1242" t="s">
        <v>13445</v>
      </c>
      <c r="L1242">
        <v>5</v>
      </c>
      <c r="M1242" s="134">
        <v>275000</v>
      </c>
      <c r="N1242" s="134">
        <v>500000</v>
      </c>
      <c r="O1242" t="s">
        <v>10766</v>
      </c>
      <c r="P1242" t="s">
        <v>13446</v>
      </c>
      <c r="Q1242" t="s">
        <v>1939</v>
      </c>
      <c r="R1242" t="s">
        <v>13447</v>
      </c>
      <c r="U1242" t="s">
        <v>491</v>
      </c>
      <c r="X1242">
        <v>0</v>
      </c>
    </row>
    <row r="1243" spans="1:24" x14ac:dyDescent="0.25">
      <c r="A1243" s="234">
        <v>43117</v>
      </c>
      <c r="B1243" t="s">
        <v>328</v>
      </c>
      <c r="C1243" t="s">
        <v>603</v>
      </c>
      <c r="D1243" t="s">
        <v>5701</v>
      </c>
      <c r="E1243" t="s">
        <v>588</v>
      </c>
      <c r="F1243" t="s">
        <v>10042</v>
      </c>
      <c r="G1243" t="s">
        <v>9000</v>
      </c>
      <c r="H1243" t="s">
        <v>607</v>
      </c>
      <c r="I1243" t="s">
        <v>10026</v>
      </c>
      <c r="J1243" t="s">
        <v>3733</v>
      </c>
      <c r="L1243">
        <v>10</v>
      </c>
      <c r="M1243" s="134">
        <v>275000</v>
      </c>
      <c r="N1243" s="134">
        <v>522500</v>
      </c>
      <c r="O1243" t="s">
        <v>10765</v>
      </c>
      <c r="P1243" t="s">
        <v>10027</v>
      </c>
      <c r="Q1243" t="s">
        <v>29</v>
      </c>
      <c r="R1243" t="s">
        <v>10202</v>
      </c>
      <c r="S1243" t="s">
        <v>10028</v>
      </c>
      <c r="U1243" t="s">
        <v>491</v>
      </c>
      <c r="X1243">
        <v>1</v>
      </c>
    </row>
    <row r="1244" spans="1:24" x14ac:dyDescent="0.25">
      <c r="A1244" s="234">
        <v>43556</v>
      </c>
      <c r="B1244" t="s">
        <v>328</v>
      </c>
      <c r="C1244" t="s">
        <v>603</v>
      </c>
      <c r="D1244" t="s">
        <v>757</v>
      </c>
      <c r="F1244" t="s">
        <v>14958</v>
      </c>
      <c r="G1244" t="s">
        <v>14959</v>
      </c>
      <c r="H1244" t="s">
        <v>607</v>
      </c>
      <c r="I1244" t="s">
        <v>14960</v>
      </c>
      <c r="J1244" t="s">
        <v>899</v>
      </c>
      <c r="K1244" t="s">
        <v>14961</v>
      </c>
      <c r="L1244">
        <v>4</v>
      </c>
      <c r="M1244" s="134">
        <v>275000</v>
      </c>
      <c r="N1244" s="134">
        <v>542500</v>
      </c>
      <c r="O1244" t="s">
        <v>10764</v>
      </c>
      <c r="P1244" t="s">
        <v>14962</v>
      </c>
      <c r="Q1244" t="s">
        <v>1939</v>
      </c>
      <c r="R1244" t="s">
        <v>14963</v>
      </c>
      <c r="U1244" t="s">
        <v>12797</v>
      </c>
      <c r="X1244">
        <v>0</v>
      </c>
    </row>
    <row r="1245" spans="1:24" x14ac:dyDescent="0.25">
      <c r="A1245" s="234">
        <v>43035</v>
      </c>
      <c r="B1245" t="s">
        <v>328</v>
      </c>
      <c r="C1245" t="s">
        <v>899</v>
      </c>
      <c r="D1245" t="s">
        <v>649</v>
      </c>
      <c r="E1245" t="s">
        <v>588</v>
      </c>
      <c r="F1245" t="s">
        <v>7610</v>
      </c>
      <c r="G1245" t="s">
        <v>9222</v>
      </c>
      <c r="H1245" t="s">
        <v>607</v>
      </c>
      <c r="I1245" t="s">
        <v>9221</v>
      </c>
      <c r="J1245" t="s">
        <v>3751</v>
      </c>
      <c r="L1245">
        <v>5</v>
      </c>
      <c r="M1245" s="134">
        <v>275000</v>
      </c>
      <c r="N1245" s="134">
        <v>550000</v>
      </c>
      <c r="O1245" t="s">
        <v>3107</v>
      </c>
      <c r="P1245" t="s">
        <v>9223</v>
      </c>
      <c r="Q1245" t="s">
        <v>592</v>
      </c>
      <c r="R1245" t="s">
        <v>9224</v>
      </c>
      <c r="U1245" t="s">
        <v>1327</v>
      </c>
      <c r="X1245">
        <v>0</v>
      </c>
    </row>
    <row r="1246" spans="1:24" x14ac:dyDescent="0.25">
      <c r="A1246" s="234">
        <v>42915</v>
      </c>
      <c r="B1246" t="s">
        <v>328</v>
      </c>
      <c r="C1246" t="s">
        <v>603</v>
      </c>
      <c r="D1246" t="s">
        <v>649</v>
      </c>
      <c r="E1246" t="s">
        <v>588</v>
      </c>
      <c r="F1246" t="s">
        <v>7462</v>
      </c>
      <c r="H1246" t="s">
        <v>607</v>
      </c>
      <c r="I1246" t="s">
        <v>3452</v>
      </c>
      <c r="J1246" t="s">
        <v>899</v>
      </c>
      <c r="L1246">
        <v>9</v>
      </c>
      <c r="M1246" s="134">
        <v>275000</v>
      </c>
      <c r="N1246" s="134">
        <v>588500</v>
      </c>
      <c r="O1246" t="s">
        <v>7443</v>
      </c>
      <c r="P1246" t="s">
        <v>7463</v>
      </c>
      <c r="Q1246" t="s">
        <v>1939</v>
      </c>
      <c r="R1246" t="s">
        <v>7464</v>
      </c>
      <c r="S1246" t="s">
        <v>15983</v>
      </c>
      <c r="U1246" t="s">
        <v>491</v>
      </c>
      <c r="X1246">
        <v>0</v>
      </c>
    </row>
    <row r="1247" spans="1:24" x14ac:dyDescent="0.25">
      <c r="A1247" s="234">
        <v>43311</v>
      </c>
      <c r="B1247" t="s">
        <v>9240</v>
      </c>
      <c r="C1247" t="s">
        <v>603</v>
      </c>
      <c r="D1247" t="s">
        <v>9241</v>
      </c>
      <c r="E1247" t="s">
        <v>588</v>
      </c>
      <c r="F1247" t="s">
        <v>8957</v>
      </c>
      <c r="G1247" t="s">
        <v>11958</v>
      </c>
      <c r="H1247" t="s">
        <v>607</v>
      </c>
      <c r="I1247" t="s">
        <v>11959</v>
      </c>
      <c r="J1247" t="s">
        <v>3751</v>
      </c>
      <c r="L1247">
        <v>6</v>
      </c>
      <c r="M1247" s="134">
        <v>275000</v>
      </c>
      <c r="N1247" s="134">
        <v>647000</v>
      </c>
      <c r="O1247" t="s">
        <v>10766</v>
      </c>
      <c r="P1247" t="s">
        <v>11960</v>
      </c>
      <c r="Q1247" t="s">
        <v>592</v>
      </c>
      <c r="R1247" t="s">
        <v>11961</v>
      </c>
      <c r="U1247" t="s">
        <v>1327</v>
      </c>
      <c r="X1247">
        <v>0</v>
      </c>
    </row>
    <row r="1248" spans="1:24" x14ac:dyDescent="0.25">
      <c r="A1248" s="234">
        <v>43573</v>
      </c>
      <c r="B1248" t="s">
        <v>328</v>
      </c>
      <c r="C1248" t="s">
        <v>603</v>
      </c>
      <c r="D1248" t="s">
        <v>5701</v>
      </c>
      <c r="F1248" t="s">
        <v>7831</v>
      </c>
      <c r="G1248" t="s">
        <v>8289</v>
      </c>
      <c r="H1248" t="s">
        <v>607</v>
      </c>
      <c r="I1248" t="s">
        <v>5212</v>
      </c>
      <c r="J1248" t="s">
        <v>644</v>
      </c>
      <c r="K1248" t="s">
        <v>15115</v>
      </c>
      <c r="L1248">
        <v>2</v>
      </c>
      <c r="M1248" s="134">
        <v>276000</v>
      </c>
      <c r="N1248" s="134">
        <v>463640</v>
      </c>
      <c r="O1248" t="s">
        <v>10766</v>
      </c>
      <c r="P1248" t="s">
        <v>15116</v>
      </c>
      <c r="Q1248" t="s">
        <v>1612</v>
      </c>
      <c r="R1248" t="s">
        <v>15232</v>
      </c>
      <c r="U1248" t="s">
        <v>491</v>
      </c>
      <c r="X1248">
        <v>0</v>
      </c>
    </row>
    <row r="1249" spans="1:24" x14ac:dyDescent="0.25">
      <c r="A1249" s="234">
        <v>43500</v>
      </c>
      <c r="B1249" t="s">
        <v>328</v>
      </c>
      <c r="C1249" t="s">
        <v>603</v>
      </c>
      <c r="D1249" t="s">
        <v>649</v>
      </c>
      <c r="F1249" t="s">
        <v>14191</v>
      </c>
      <c r="G1249" t="s">
        <v>14192</v>
      </c>
      <c r="H1249" t="s">
        <v>607</v>
      </c>
      <c r="I1249" t="s">
        <v>14193</v>
      </c>
      <c r="J1249" t="s">
        <v>3398</v>
      </c>
      <c r="K1249" t="s">
        <v>14194</v>
      </c>
      <c r="L1249">
        <v>5</v>
      </c>
      <c r="M1249" s="134">
        <v>276000</v>
      </c>
      <c r="N1249" s="134">
        <v>480000</v>
      </c>
      <c r="O1249" t="s">
        <v>4533</v>
      </c>
      <c r="P1249" t="s">
        <v>14195</v>
      </c>
      <c r="Q1249" t="s">
        <v>29</v>
      </c>
      <c r="R1249" t="s">
        <v>14196</v>
      </c>
      <c r="S1249" t="s">
        <v>14197</v>
      </c>
      <c r="U1249" t="s">
        <v>491</v>
      </c>
      <c r="X1249">
        <v>1</v>
      </c>
    </row>
    <row r="1250" spans="1:24" x14ac:dyDescent="0.25">
      <c r="A1250" s="234">
        <v>43343</v>
      </c>
      <c r="B1250" t="s">
        <v>328</v>
      </c>
      <c r="C1250" t="s">
        <v>603</v>
      </c>
      <c r="D1250" t="s">
        <v>649</v>
      </c>
      <c r="E1250" t="s">
        <v>588</v>
      </c>
      <c r="F1250" t="s">
        <v>12440</v>
      </c>
      <c r="G1250" t="s">
        <v>12441</v>
      </c>
      <c r="H1250" t="s">
        <v>607</v>
      </c>
      <c r="I1250" t="s">
        <v>9550</v>
      </c>
      <c r="J1250" t="s">
        <v>3733</v>
      </c>
      <c r="M1250" s="134">
        <v>277208</v>
      </c>
      <c r="N1250" s="134">
        <v>530000</v>
      </c>
      <c r="O1250" t="s">
        <v>4533</v>
      </c>
      <c r="P1250" t="s">
        <v>12442</v>
      </c>
      <c r="Q1250" t="s">
        <v>12443</v>
      </c>
      <c r="R1250" t="s">
        <v>12444</v>
      </c>
      <c r="U1250" t="s">
        <v>491</v>
      </c>
      <c r="X1250">
        <v>0</v>
      </c>
    </row>
    <row r="1251" spans="1:24" x14ac:dyDescent="0.25">
      <c r="A1251" s="234">
        <v>43123</v>
      </c>
      <c r="B1251" t="s">
        <v>328</v>
      </c>
      <c r="C1251" t="s">
        <v>603</v>
      </c>
      <c r="D1251" t="s">
        <v>5701</v>
      </c>
      <c r="E1251" t="s">
        <v>588</v>
      </c>
      <c r="F1251" t="s">
        <v>9002</v>
      </c>
      <c r="G1251" t="s">
        <v>256</v>
      </c>
      <c r="H1251" t="s">
        <v>607</v>
      </c>
      <c r="I1251" t="s">
        <v>10119</v>
      </c>
      <c r="J1251" t="s">
        <v>4785</v>
      </c>
      <c r="M1251" s="134">
        <v>277500</v>
      </c>
      <c r="N1251" s="134">
        <v>499500</v>
      </c>
      <c r="O1251" t="s">
        <v>49</v>
      </c>
      <c r="P1251" t="s">
        <v>10120</v>
      </c>
      <c r="Q1251" t="s">
        <v>592</v>
      </c>
      <c r="R1251" t="s">
        <v>10121</v>
      </c>
      <c r="U1251" t="s">
        <v>1327</v>
      </c>
      <c r="X1251">
        <v>0</v>
      </c>
    </row>
    <row r="1252" spans="1:24" x14ac:dyDescent="0.25">
      <c r="A1252" s="234">
        <v>43020</v>
      </c>
      <c r="B1252" t="s">
        <v>328</v>
      </c>
      <c r="C1252" t="s">
        <v>603</v>
      </c>
      <c r="D1252" t="s">
        <v>649</v>
      </c>
      <c r="E1252" t="s">
        <v>588</v>
      </c>
      <c r="F1252" t="s">
        <v>9002</v>
      </c>
      <c r="G1252" t="s">
        <v>256</v>
      </c>
      <c r="H1252" t="s">
        <v>4050</v>
      </c>
      <c r="I1252" t="s">
        <v>9005</v>
      </c>
      <c r="J1252" t="s">
        <v>4785</v>
      </c>
      <c r="L1252">
        <v>5</v>
      </c>
      <c r="M1252" s="134">
        <v>277500</v>
      </c>
      <c r="N1252" s="134">
        <v>499500</v>
      </c>
      <c r="O1252" t="s">
        <v>9003</v>
      </c>
      <c r="P1252" t="s">
        <v>9274</v>
      </c>
      <c r="Q1252" t="s">
        <v>592</v>
      </c>
      <c r="R1252" t="s">
        <v>9004</v>
      </c>
      <c r="U1252" t="s">
        <v>1327</v>
      </c>
      <c r="X1252">
        <v>0</v>
      </c>
    </row>
    <row r="1253" spans="1:24" x14ac:dyDescent="0.25">
      <c r="A1253" s="234">
        <v>42541</v>
      </c>
      <c r="B1253" t="s">
        <v>328</v>
      </c>
      <c r="C1253" t="s">
        <v>603</v>
      </c>
      <c r="D1253" t="s">
        <v>1471</v>
      </c>
      <c r="E1253" t="s">
        <v>588</v>
      </c>
      <c r="F1253" t="s">
        <v>2586</v>
      </c>
      <c r="H1253" t="s">
        <v>722</v>
      </c>
      <c r="I1253" t="s">
        <v>2587</v>
      </c>
      <c r="M1253" s="134">
        <v>278000</v>
      </c>
      <c r="N1253" s="134">
        <v>380800</v>
      </c>
      <c r="O1253" t="s">
        <v>2588</v>
      </c>
      <c r="P1253" t="s">
        <v>2589</v>
      </c>
      <c r="Q1253" t="s">
        <v>29</v>
      </c>
      <c r="R1253" t="s">
        <v>2590</v>
      </c>
      <c r="U1253" t="s">
        <v>491</v>
      </c>
      <c r="X1253">
        <v>1</v>
      </c>
    </row>
    <row r="1254" spans="1:24" x14ac:dyDescent="0.25">
      <c r="A1254" s="234">
        <v>42425</v>
      </c>
      <c r="B1254" t="s">
        <v>110</v>
      </c>
      <c r="D1254" t="s">
        <v>1070</v>
      </c>
      <c r="E1254" t="s">
        <v>588</v>
      </c>
      <c r="F1254" t="s">
        <v>1145</v>
      </c>
      <c r="H1254" t="s">
        <v>607</v>
      </c>
      <c r="I1254" t="s">
        <v>1146</v>
      </c>
      <c r="M1254" s="134">
        <v>278000</v>
      </c>
      <c r="N1254" s="134">
        <v>472600</v>
      </c>
      <c r="O1254" t="s">
        <v>840</v>
      </c>
      <c r="P1254" t="s">
        <v>1147</v>
      </c>
      <c r="Q1254" t="s">
        <v>592</v>
      </c>
      <c r="U1254" t="s">
        <v>491</v>
      </c>
      <c r="X1254">
        <v>0</v>
      </c>
    </row>
    <row r="1255" spans="1:24" x14ac:dyDescent="0.25">
      <c r="A1255" s="234">
        <v>43339</v>
      </c>
      <c r="B1255" t="s">
        <v>328</v>
      </c>
      <c r="C1255" t="s">
        <v>603</v>
      </c>
      <c r="D1255" t="s">
        <v>8941</v>
      </c>
      <c r="E1255" t="s">
        <v>588</v>
      </c>
      <c r="F1255" t="s">
        <v>12338</v>
      </c>
      <c r="G1255" t="s">
        <v>9020</v>
      </c>
      <c r="H1255" t="s">
        <v>607</v>
      </c>
      <c r="I1255" t="s">
        <v>10658</v>
      </c>
      <c r="J1255" t="s">
        <v>3612</v>
      </c>
      <c r="L1255">
        <v>2</v>
      </c>
      <c r="M1255" s="134">
        <v>278900</v>
      </c>
      <c r="N1255" s="134">
        <v>557800</v>
      </c>
      <c r="O1255" t="s">
        <v>4533</v>
      </c>
      <c r="P1255" t="s">
        <v>12339</v>
      </c>
      <c r="Q1255" t="s">
        <v>29</v>
      </c>
      <c r="R1255" t="s">
        <v>12419</v>
      </c>
      <c r="U1255" t="s">
        <v>12344</v>
      </c>
      <c r="X1255">
        <v>1</v>
      </c>
    </row>
    <row r="1256" spans="1:24" x14ac:dyDescent="0.25">
      <c r="A1256" s="234">
        <v>43312</v>
      </c>
      <c r="B1256" t="s">
        <v>328</v>
      </c>
      <c r="C1256" t="s">
        <v>603</v>
      </c>
      <c r="D1256" t="s">
        <v>10338</v>
      </c>
      <c r="E1256" t="s">
        <v>588</v>
      </c>
      <c r="F1256" t="s">
        <v>11888</v>
      </c>
      <c r="G1256" t="s">
        <v>7880</v>
      </c>
      <c r="H1256" t="s">
        <v>607</v>
      </c>
      <c r="I1256" t="s">
        <v>295</v>
      </c>
      <c r="J1256" t="s">
        <v>5562</v>
      </c>
      <c r="L1256">
        <v>10</v>
      </c>
      <c r="M1256" s="134">
        <v>278900</v>
      </c>
      <c r="N1256" s="134">
        <v>585690</v>
      </c>
      <c r="O1256" t="s">
        <v>4533</v>
      </c>
      <c r="P1256" t="s">
        <v>11889</v>
      </c>
      <c r="Q1256" t="s">
        <v>1939</v>
      </c>
      <c r="R1256" t="s">
        <v>11890</v>
      </c>
      <c r="U1256" t="s">
        <v>491</v>
      </c>
      <c r="X1256">
        <v>0</v>
      </c>
    </row>
    <row r="1257" spans="1:24" x14ac:dyDescent="0.25">
      <c r="A1257" s="234">
        <v>42501</v>
      </c>
      <c r="B1257" t="s">
        <v>1486</v>
      </c>
      <c r="C1257" t="s">
        <v>1883</v>
      </c>
      <c r="D1257" t="s">
        <v>727</v>
      </c>
      <c r="E1257" t="s">
        <v>588</v>
      </c>
      <c r="F1257" t="s">
        <v>2036</v>
      </c>
      <c r="H1257" t="s">
        <v>905</v>
      </c>
      <c r="I1257" t="s">
        <v>2037</v>
      </c>
      <c r="M1257" s="134">
        <v>279000</v>
      </c>
      <c r="N1257" s="134">
        <v>326900</v>
      </c>
      <c r="O1257" t="s">
        <v>2038</v>
      </c>
      <c r="P1257" t="s">
        <v>2039</v>
      </c>
      <c r="Q1257" t="s">
        <v>1939</v>
      </c>
      <c r="R1257" t="s">
        <v>2040</v>
      </c>
      <c r="U1257" t="s">
        <v>491</v>
      </c>
      <c r="X1257">
        <v>0</v>
      </c>
    </row>
    <row r="1258" spans="1:24" x14ac:dyDescent="0.25">
      <c r="A1258" s="234">
        <v>43046</v>
      </c>
      <c r="B1258" t="s">
        <v>5176</v>
      </c>
      <c r="C1258" t="s">
        <v>604</v>
      </c>
      <c r="D1258" t="s">
        <v>6995</v>
      </c>
      <c r="E1258" t="s">
        <v>588</v>
      </c>
      <c r="F1258" t="s">
        <v>9364</v>
      </c>
      <c r="G1258" t="s">
        <v>9365</v>
      </c>
      <c r="H1258" t="s">
        <v>607</v>
      </c>
      <c r="I1258" t="s">
        <v>7990</v>
      </c>
      <c r="J1258" t="s">
        <v>3751</v>
      </c>
      <c r="L1258">
        <v>5</v>
      </c>
      <c r="M1258" s="134">
        <v>280000</v>
      </c>
      <c r="N1258" s="134">
        <v>280000</v>
      </c>
      <c r="O1258" t="s">
        <v>666</v>
      </c>
      <c r="P1258" t="s">
        <v>9366</v>
      </c>
      <c r="Q1258" t="s">
        <v>592</v>
      </c>
      <c r="R1258" t="s">
        <v>9367</v>
      </c>
      <c r="U1258" t="s">
        <v>491</v>
      </c>
      <c r="X1258">
        <v>0</v>
      </c>
    </row>
    <row r="1259" spans="1:24" x14ac:dyDescent="0.25">
      <c r="A1259" s="234">
        <v>43004</v>
      </c>
      <c r="B1259" t="s">
        <v>569</v>
      </c>
      <c r="C1259" t="s">
        <v>899</v>
      </c>
      <c r="D1259" t="s">
        <v>624</v>
      </c>
      <c r="E1259" t="s">
        <v>588</v>
      </c>
      <c r="F1259" t="s">
        <v>8712</v>
      </c>
      <c r="H1259" t="s">
        <v>905</v>
      </c>
      <c r="M1259" s="134">
        <v>280000</v>
      </c>
      <c r="N1259" s="134">
        <v>316000</v>
      </c>
      <c r="O1259" t="s">
        <v>8713</v>
      </c>
      <c r="P1259" t="s">
        <v>8714</v>
      </c>
      <c r="Q1259" t="s">
        <v>1939</v>
      </c>
      <c r="R1259" t="s">
        <v>8715</v>
      </c>
      <c r="T1259">
        <v>16</v>
      </c>
      <c r="U1259" t="s">
        <v>491</v>
      </c>
      <c r="X1259">
        <v>0</v>
      </c>
    </row>
    <row r="1260" spans="1:24" x14ac:dyDescent="0.25">
      <c r="A1260" s="234">
        <v>42418</v>
      </c>
      <c r="B1260" t="s">
        <v>320</v>
      </c>
      <c r="D1260" t="s">
        <v>1016</v>
      </c>
      <c r="E1260" t="s">
        <v>588</v>
      </c>
      <c r="F1260" t="s">
        <v>1031</v>
      </c>
      <c r="H1260" t="s">
        <v>607</v>
      </c>
      <c r="I1260" t="s">
        <v>1032</v>
      </c>
      <c r="M1260" s="134">
        <v>280000</v>
      </c>
      <c r="N1260" s="134">
        <v>400000</v>
      </c>
      <c r="O1260" t="s">
        <v>1033</v>
      </c>
      <c r="P1260" t="s">
        <v>1034</v>
      </c>
      <c r="Q1260" t="s">
        <v>592</v>
      </c>
      <c r="R1260" t="s">
        <v>1039</v>
      </c>
      <c r="U1260" t="s">
        <v>491</v>
      </c>
      <c r="X1260">
        <v>0</v>
      </c>
    </row>
    <row r="1261" spans="1:24" x14ac:dyDescent="0.25">
      <c r="A1261" s="234">
        <v>43585</v>
      </c>
      <c r="B1261" t="s">
        <v>1788</v>
      </c>
      <c r="C1261" t="s">
        <v>3369</v>
      </c>
      <c r="D1261" t="s">
        <v>4118</v>
      </c>
      <c r="F1261" t="s">
        <v>15294</v>
      </c>
      <c r="G1261" t="s">
        <v>9285</v>
      </c>
      <c r="H1261" t="s">
        <v>607</v>
      </c>
      <c r="I1261" t="s">
        <v>15295</v>
      </c>
      <c r="J1261" t="s">
        <v>4825</v>
      </c>
      <c r="K1261" t="s">
        <v>15296</v>
      </c>
      <c r="L1261">
        <v>3</v>
      </c>
      <c r="M1261" s="134">
        <v>280000</v>
      </c>
      <c r="N1261" s="134">
        <v>424000</v>
      </c>
      <c r="O1261" t="s">
        <v>2295</v>
      </c>
      <c r="P1261" t="s">
        <v>15297</v>
      </c>
      <c r="Q1261" t="s">
        <v>29</v>
      </c>
      <c r="R1261" t="s">
        <v>15298</v>
      </c>
      <c r="U1261" t="s">
        <v>491</v>
      </c>
      <c r="X1261">
        <v>1</v>
      </c>
    </row>
    <row r="1262" spans="1:24" x14ac:dyDescent="0.25">
      <c r="A1262" s="234">
        <v>43195</v>
      </c>
      <c r="B1262" t="s">
        <v>328</v>
      </c>
      <c r="C1262" t="s">
        <v>603</v>
      </c>
      <c r="D1262" t="s">
        <v>10338</v>
      </c>
      <c r="E1262" t="s">
        <v>588</v>
      </c>
      <c r="F1262" t="s">
        <v>10812</v>
      </c>
      <c r="G1262" t="s">
        <v>10813</v>
      </c>
      <c r="H1262" t="s">
        <v>607</v>
      </c>
      <c r="I1262" t="s">
        <v>6894</v>
      </c>
      <c r="J1262" t="s">
        <v>899</v>
      </c>
      <c r="L1262">
        <v>3</v>
      </c>
      <c r="M1262" s="134">
        <v>280000</v>
      </c>
      <c r="N1262" s="134">
        <v>439000</v>
      </c>
      <c r="O1262" t="s">
        <v>4533</v>
      </c>
      <c r="P1262" t="s">
        <v>10814</v>
      </c>
      <c r="Q1262" t="s">
        <v>1939</v>
      </c>
      <c r="R1262" t="s">
        <v>10815</v>
      </c>
      <c r="U1262" t="s">
        <v>491</v>
      </c>
      <c r="X1262">
        <v>0</v>
      </c>
    </row>
    <row r="1263" spans="1:24" x14ac:dyDescent="0.25">
      <c r="A1263" s="234">
        <v>42621</v>
      </c>
      <c r="B1263" t="s">
        <v>643</v>
      </c>
      <c r="C1263" t="s">
        <v>644</v>
      </c>
      <c r="D1263" t="s">
        <v>3132</v>
      </c>
      <c r="E1263" t="s">
        <v>588</v>
      </c>
      <c r="F1263" t="s">
        <v>3813</v>
      </c>
      <c r="H1263" t="s">
        <v>3815</v>
      </c>
      <c r="I1263" t="s">
        <v>3814</v>
      </c>
      <c r="J1263" t="s">
        <v>644</v>
      </c>
      <c r="L1263">
        <v>3</v>
      </c>
      <c r="M1263" s="134">
        <v>280000</v>
      </c>
      <c r="N1263" s="134">
        <v>458000</v>
      </c>
      <c r="O1263" t="s">
        <v>3816</v>
      </c>
      <c r="P1263" t="s">
        <v>3817</v>
      </c>
      <c r="Q1263" t="s">
        <v>592</v>
      </c>
      <c r="U1263" t="s">
        <v>491</v>
      </c>
      <c r="X1263">
        <v>0</v>
      </c>
    </row>
    <row r="1264" spans="1:24" x14ac:dyDescent="0.25">
      <c r="A1264" s="234">
        <v>42593</v>
      </c>
      <c r="B1264" t="s">
        <v>110</v>
      </c>
      <c r="D1264" t="s">
        <v>715</v>
      </c>
      <c r="E1264" t="s">
        <v>588</v>
      </c>
      <c r="F1264" t="s">
        <v>3352</v>
      </c>
      <c r="H1264" t="s">
        <v>607</v>
      </c>
      <c r="I1264" t="s">
        <v>3353</v>
      </c>
      <c r="J1264" t="s">
        <v>761</v>
      </c>
      <c r="L1264">
        <v>9</v>
      </c>
      <c r="M1264" s="134">
        <v>280000</v>
      </c>
      <c r="N1264" s="134">
        <v>470000</v>
      </c>
      <c r="O1264" t="s">
        <v>3354</v>
      </c>
      <c r="P1264" t="s">
        <v>3355</v>
      </c>
      <c r="Q1264" t="s">
        <v>620</v>
      </c>
      <c r="R1264" t="s">
        <v>3356</v>
      </c>
      <c r="U1264" t="s">
        <v>491</v>
      </c>
      <c r="X1264">
        <v>0</v>
      </c>
    </row>
    <row r="1265" spans="1:24" x14ac:dyDescent="0.25">
      <c r="A1265" s="234">
        <v>43018</v>
      </c>
      <c r="B1265" t="s">
        <v>328</v>
      </c>
      <c r="C1265" t="s">
        <v>603</v>
      </c>
      <c r="D1265" t="s">
        <v>649</v>
      </c>
      <c r="E1265" t="s">
        <v>588</v>
      </c>
      <c r="F1265" t="s">
        <v>8957</v>
      </c>
      <c r="G1265" t="s">
        <v>8958</v>
      </c>
      <c r="H1265" t="s">
        <v>607</v>
      </c>
      <c r="I1265" t="s">
        <v>4759</v>
      </c>
      <c r="J1265" t="s">
        <v>899</v>
      </c>
      <c r="L1265">
        <v>2</v>
      </c>
      <c r="M1265" s="134">
        <v>280000</v>
      </c>
      <c r="N1265" s="134">
        <v>476000</v>
      </c>
      <c r="O1265" t="s">
        <v>4533</v>
      </c>
      <c r="P1265" t="s">
        <v>8959</v>
      </c>
      <c r="Q1265" t="s">
        <v>1939</v>
      </c>
      <c r="R1265" t="s">
        <v>8960</v>
      </c>
      <c r="U1265" t="s">
        <v>491</v>
      </c>
      <c r="X1265">
        <v>0</v>
      </c>
    </row>
    <row r="1266" spans="1:24" x14ac:dyDescent="0.25">
      <c r="A1266" s="234">
        <v>43496</v>
      </c>
      <c r="B1266" t="s">
        <v>328</v>
      </c>
      <c r="C1266" t="s">
        <v>603</v>
      </c>
      <c r="D1266" t="s">
        <v>649</v>
      </c>
      <c r="F1266" t="s">
        <v>14152</v>
      </c>
      <c r="G1266" t="s">
        <v>14153</v>
      </c>
      <c r="H1266" t="s">
        <v>607</v>
      </c>
      <c r="I1266" t="s">
        <v>14154</v>
      </c>
      <c r="J1266" t="s">
        <v>604</v>
      </c>
      <c r="K1266" t="s">
        <v>14155</v>
      </c>
      <c r="L1266">
        <v>5</v>
      </c>
      <c r="M1266" s="134">
        <v>280000</v>
      </c>
      <c r="N1266" s="134">
        <v>480000</v>
      </c>
      <c r="O1266" t="s">
        <v>4533</v>
      </c>
      <c r="P1266" t="s">
        <v>14156</v>
      </c>
      <c r="Q1266" t="s">
        <v>1939</v>
      </c>
      <c r="R1266" t="s">
        <v>14157</v>
      </c>
      <c r="U1266" t="s">
        <v>491</v>
      </c>
      <c r="X1266">
        <v>0</v>
      </c>
    </row>
    <row r="1267" spans="1:24" x14ac:dyDescent="0.25">
      <c r="A1267" s="234">
        <v>43433</v>
      </c>
      <c r="B1267" t="s">
        <v>9240</v>
      </c>
      <c r="C1267" t="s">
        <v>603</v>
      </c>
      <c r="D1267" t="s">
        <v>7814</v>
      </c>
      <c r="F1267" t="s">
        <v>7792</v>
      </c>
      <c r="G1267" t="s">
        <v>13356</v>
      </c>
      <c r="H1267" t="s">
        <v>607</v>
      </c>
      <c r="I1267" t="s">
        <v>1363</v>
      </c>
      <c r="J1267" t="s">
        <v>608</v>
      </c>
      <c r="K1267" t="s">
        <v>13357</v>
      </c>
      <c r="L1267">
        <v>1</v>
      </c>
      <c r="M1267" s="134">
        <v>280000</v>
      </c>
      <c r="N1267" s="134">
        <v>480000</v>
      </c>
      <c r="O1267" t="s">
        <v>10766</v>
      </c>
      <c r="P1267" t="s">
        <v>13358</v>
      </c>
      <c r="Q1267" t="s">
        <v>1939</v>
      </c>
      <c r="R1267" t="s">
        <v>13359</v>
      </c>
      <c r="U1267" t="s">
        <v>491</v>
      </c>
      <c r="X1267">
        <v>0</v>
      </c>
    </row>
    <row r="1268" spans="1:24" x14ac:dyDescent="0.25">
      <c r="A1268" s="234">
        <v>43578</v>
      </c>
      <c r="B1268" t="s">
        <v>13559</v>
      </c>
      <c r="C1268" t="s">
        <v>3523</v>
      </c>
      <c r="D1268" t="s">
        <v>9545</v>
      </c>
      <c r="F1268" t="s">
        <v>15194</v>
      </c>
      <c r="G1268" t="s">
        <v>15195</v>
      </c>
      <c r="H1268" t="s">
        <v>607</v>
      </c>
      <c r="I1268" t="s">
        <v>15130</v>
      </c>
      <c r="J1268" t="s">
        <v>3523</v>
      </c>
      <c r="K1268" t="s">
        <v>15131</v>
      </c>
      <c r="L1268">
        <v>5</v>
      </c>
      <c r="M1268" s="134">
        <v>280000</v>
      </c>
      <c r="N1268" s="134">
        <v>485000</v>
      </c>
      <c r="O1268" t="s">
        <v>4533</v>
      </c>
      <c r="P1268" t="s">
        <v>15272</v>
      </c>
      <c r="Q1268" t="s">
        <v>1612</v>
      </c>
      <c r="R1268" t="s">
        <v>15342</v>
      </c>
      <c r="U1268" t="s">
        <v>491</v>
      </c>
      <c r="X1268">
        <v>0</v>
      </c>
    </row>
    <row r="1269" spans="1:24" x14ac:dyDescent="0.25">
      <c r="A1269" s="234">
        <v>42948</v>
      </c>
      <c r="B1269" t="s">
        <v>328</v>
      </c>
      <c r="C1269" t="s">
        <v>603</v>
      </c>
      <c r="D1269" t="s">
        <v>649</v>
      </c>
      <c r="E1269" t="s">
        <v>588</v>
      </c>
      <c r="F1269" t="s">
        <v>7920</v>
      </c>
      <c r="G1269" t="s">
        <v>7921</v>
      </c>
      <c r="H1269" t="s">
        <v>607</v>
      </c>
      <c r="I1269" t="s">
        <v>7922</v>
      </c>
      <c r="J1269" t="s">
        <v>6015</v>
      </c>
      <c r="M1269" s="134">
        <v>280000</v>
      </c>
      <c r="N1269" s="134">
        <v>530000</v>
      </c>
      <c r="O1269" t="s">
        <v>2934</v>
      </c>
      <c r="P1269" t="s">
        <v>8391</v>
      </c>
      <c r="Q1269" t="s">
        <v>1939</v>
      </c>
      <c r="R1269" t="s">
        <v>7923</v>
      </c>
      <c r="T1269">
        <v>14</v>
      </c>
      <c r="U1269" t="s">
        <v>491</v>
      </c>
      <c r="X1269">
        <v>0</v>
      </c>
    </row>
    <row r="1270" spans="1:24" x14ac:dyDescent="0.25">
      <c r="A1270" s="234">
        <v>43178</v>
      </c>
      <c r="B1270" t="s">
        <v>328</v>
      </c>
      <c r="C1270" t="s">
        <v>603</v>
      </c>
      <c r="D1270" t="s">
        <v>5701</v>
      </c>
      <c r="E1270" t="s">
        <v>588</v>
      </c>
      <c r="F1270" t="s">
        <v>7821</v>
      </c>
      <c r="G1270" t="s">
        <v>7814</v>
      </c>
      <c r="H1270" t="s">
        <v>5321</v>
      </c>
      <c r="I1270" t="s">
        <v>6705</v>
      </c>
      <c r="J1270" t="s">
        <v>899</v>
      </c>
      <c r="L1270">
        <v>9</v>
      </c>
      <c r="M1270" s="134">
        <v>280000</v>
      </c>
      <c r="N1270" s="134">
        <v>848000</v>
      </c>
      <c r="O1270" t="s">
        <v>10762</v>
      </c>
      <c r="P1270" t="s">
        <v>10652</v>
      </c>
      <c r="Q1270" t="s">
        <v>1939</v>
      </c>
      <c r="R1270" t="s">
        <v>10653</v>
      </c>
      <c r="U1270" t="s">
        <v>1327</v>
      </c>
      <c r="X1270">
        <v>0</v>
      </c>
    </row>
    <row r="1271" spans="1:24" x14ac:dyDescent="0.25">
      <c r="A1271" s="234">
        <v>43252</v>
      </c>
      <c r="B1271" t="s">
        <v>569</v>
      </c>
      <c r="C1271" t="s">
        <v>899</v>
      </c>
      <c r="D1271" t="s">
        <v>625</v>
      </c>
      <c r="E1271" t="s">
        <v>588</v>
      </c>
      <c r="F1271" t="s">
        <v>9002</v>
      </c>
      <c r="G1271" t="s">
        <v>4818</v>
      </c>
      <c r="H1271" t="s">
        <v>905</v>
      </c>
      <c r="I1271" t="s">
        <v>11440</v>
      </c>
      <c r="J1271" t="s">
        <v>899</v>
      </c>
      <c r="M1271" s="134">
        <v>280500</v>
      </c>
      <c r="N1271" s="134">
        <v>450000</v>
      </c>
      <c r="O1271" t="s">
        <v>10762</v>
      </c>
      <c r="P1271" t="s">
        <v>11441</v>
      </c>
      <c r="Q1271" t="s">
        <v>1939</v>
      </c>
      <c r="R1271" t="s">
        <v>11442</v>
      </c>
      <c r="U1271" t="s">
        <v>1327</v>
      </c>
      <c r="X1271">
        <v>0</v>
      </c>
    </row>
    <row r="1272" spans="1:24" x14ac:dyDescent="0.25">
      <c r="A1272" s="234">
        <v>43444</v>
      </c>
      <c r="B1272" t="s">
        <v>328</v>
      </c>
      <c r="C1272" t="s">
        <v>603</v>
      </c>
      <c r="D1272" t="s">
        <v>10705</v>
      </c>
      <c r="F1272" t="s">
        <v>13553</v>
      </c>
      <c r="G1272" t="s">
        <v>7880</v>
      </c>
      <c r="H1272" t="s">
        <v>905</v>
      </c>
      <c r="I1272" t="s">
        <v>13554</v>
      </c>
      <c r="J1272" t="s">
        <v>3856</v>
      </c>
      <c r="K1272" t="s">
        <v>13555</v>
      </c>
      <c r="L1272">
        <v>6</v>
      </c>
      <c r="M1272" s="134">
        <v>281000</v>
      </c>
      <c r="N1272" s="134">
        <v>351250</v>
      </c>
      <c r="O1272" t="s">
        <v>4533</v>
      </c>
      <c r="P1272" t="s">
        <v>13564</v>
      </c>
      <c r="Q1272" t="s">
        <v>1939</v>
      </c>
      <c r="R1272" t="s">
        <v>13568</v>
      </c>
      <c r="U1272" t="s">
        <v>12797</v>
      </c>
      <c r="X1272">
        <v>0</v>
      </c>
    </row>
    <row r="1273" spans="1:24" x14ac:dyDescent="0.25">
      <c r="A1273" s="234">
        <v>42654</v>
      </c>
      <c r="B1273" t="s">
        <v>110</v>
      </c>
      <c r="C1273" t="s">
        <v>761</v>
      </c>
      <c r="D1273" t="s">
        <v>715</v>
      </c>
      <c r="E1273" t="s">
        <v>588</v>
      </c>
      <c r="F1273" t="s">
        <v>4239</v>
      </c>
      <c r="H1273" t="s">
        <v>607</v>
      </c>
      <c r="I1273" t="s">
        <v>4240</v>
      </c>
      <c r="J1273" t="s">
        <v>761</v>
      </c>
      <c r="M1273" s="134">
        <v>281000</v>
      </c>
      <c r="N1273" s="134">
        <v>450000</v>
      </c>
      <c r="O1273" t="s">
        <v>4241</v>
      </c>
      <c r="P1273" t="s">
        <v>4242</v>
      </c>
      <c r="Q1273" t="s">
        <v>1612</v>
      </c>
      <c r="R1273" t="s">
        <v>4248</v>
      </c>
      <c r="U1273" t="s">
        <v>491</v>
      </c>
      <c r="X1273">
        <v>0</v>
      </c>
    </row>
    <row r="1274" spans="1:24" x14ac:dyDescent="0.25">
      <c r="A1274" s="234">
        <v>43529</v>
      </c>
      <c r="B1274" t="s">
        <v>13559</v>
      </c>
      <c r="C1274" t="s">
        <v>3369</v>
      </c>
      <c r="D1274" t="s">
        <v>14604</v>
      </c>
      <c r="F1274" t="s">
        <v>14605</v>
      </c>
      <c r="G1274" t="s">
        <v>14606</v>
      </c>
      <c r="H1274" t="s">
        <v>607</v>
      </c>
      <c r="I1274" t="s">
        <v>14607</v>
      </c>
      <c r="J1274" t="s">
        <v>4825</v>
      </c>
      <c r="K1274" t="s">
        <v>14608</v>
      </c>
      <c r="L1274">
        <v>3</v>
      </c>
      <c r="M1274" s="134">
        <v>281000</v>
      </c>
      <c r="N1274" s="134">
        <v>620000</v>
      </c>
      <c r="O1274" t="s">
        <v>4533</v>
      </c>
      <c r="P1274" t="s">
        <v>14609</v>
      </c>
      <c r="Q1274" t="s">
        <v>1939</v>
      </c>
      <c r="R1274" t="s">
        <v>14611</v>
      </c>
      <c r="S1274" t="s">
        <v>14610</v>
      </c>
      <c r="U1274" t="s">
        <v>491</v>
      </c>
      <c r="X1274">
        <v>0</v>
      </c>
    </row>
    <row r="1275" spans="1:24" x14ac:dyDescent="0.25">
      <c r="A1275" s="234">
        <v>43369</v>
      </c>
      <c r="B1275" t="s">
        <v>6076</v>
      </c>
      <c r="C1275" t="s">
        <v>12608</v>
      </c>
      <c r="D1275" t="s">
        <v>10524</v>
      </c>
      <c r="E1275" t="s">
        <v>588</v>
      </c>
      <c r="F1275" t="s">
        <v>12731</v>
      </c>
      <c r="G1275" t="s">
        <v>12732</v>
      </c>
      <c r="H1275" t="s">
        <v>607</v>
      </c>
      <c r="I1275" t="s">
        <v>12733</v>
      </c>
      <c r="J1275" t="s">
        <v>3370</v>
      </c>
      <c r="L1275">
        <v>5</v>
      </c>
      <c r="M1275" s="134">
        <v>281000</v>
      </c>
      <c r="N1275" s="134">
        <v>671100</v>
      </c>
      <c r="O1275" t="s">
        <v>10763</v>
      </c>
      <c r="P1275" t="s">
        <v>12734</v>
      </c>
      <c r="Q1275" t="s">
        <v>29</v>
      </c>
      <c r="R1275" t="s">
        <v>12735</v>
      </c>
      <c r="U1275" t="s">
        <v>12344</v>
      </c>
      <c r="X1275">
        <v>1</v>
      </c>
    </row>
    <row r="1276" spans="1:24" x14ac:dyDescent="0.25">
      <c r="A1276" s="234">
        <v>43070</v>
      </c>
      <c r="B1276" t="s">
        <v>643</v>
      </c>
      <c r="C1276" t="s">
        <v>644</v>
      </c>
      <c r="D1276" t="s">
        <v>645</v>
      </c>
      <c r="E1276" t="s">
        <v>588</v>
      </c>
      <c r="F1276" t="s">
        <v>9586</v>
      </c>
      <c r="G1276" t="s">
        <v>9587</v>
      </c>
      <c r="H1276" t="s">
        <v>1050</v>
      </c>
      <c r="I1276" t="s">
        <v>9588</v>
      </c>
      <c r="J1276" t="s">
        <v>644</v>
      </c>
      <c r="M1276" s="134">
        <v>281300</v>
      </c>
      <c r="N1276" s="134">
        <v>309430</v>
      </c>
      <c r="O1276" t="s">
        <v>35</v>
      </c>
      <c r="P1276" t="s">
        <v>9589</v>
      </c>
      <c r="Q1276" t="s">
        <v>29</v>
      </c>
      <c r="R1276" t="s">
        <v>9594</v>
      </c>
      <c r="U1276" t="s">
        <v>491</v>
      </c>
      <c r="X1276">
        <v>1</v>
      </c>
    </row>
    <row r="1277" spans="1:24" x14ac:dyDescent="0.25">
      <c r="A1277" s="234">
        <v>42926</v>
      </c>
      <c r="B1277" t="s">
        <v>328</v>
      </c>
      <c r="C1277" t="s">
        <v>603</v>
      </c>
      <c r="D1277" t="s">
        <v>649</v>
      </c>
      <c r="E1277" t="s">
        <v>588</v>
      </c>
      <c r="F1277" t="s">
        <v>8505</v>
      </c>
      <c r="H1277" t="s">
        <v>607</v>
      </c>
      <c r="I1277" t="s">
        <v>7546</v>
      </c>
      <c r="J1277" t="s">
        <v>6015</v>
      </c>
      <c r="M1277" s="134">
        <v>283400</v>
      </c>
      <c r="N1277" s="134">
        <v>500000</v>
      </c>
      <c r="O1277" t="s">
        <v>6522</v>
      </c>
      <c r="P1277" t="s">
        <v>7547</v>
      </c>
      <c r="Q1277" t="s">
        <v>1612</v>
      </c>
      <c r="R1277" t="s">
        <v>8506</v>
      </c>
      <c r="U1277" t="s">
        <v>491</v>
      </c>
      <c r="X1277">
        <v>0</v>
      </c>
    </row>
    <row r="1278" spans="1:24" x14ac:dyDescent="0.25">
      <c r="A1278" s="234">
        <v>43000</v>
      </c>
      <c r="B1278" t="s">
        <v>328</v>
      </c>
      <c r="C1278" t="s">
        <v>603</v>
      </c>
      <c r="D1278" t="s">
        <v>649</v>
      </c>
      <c r="E1278" t="s">
        <v>588</v>
      </c>
      <c r="F1278" t="s">
        <v>8661</v>
      </c>
      <c r="G1278" t="s">
        <v>757</v>
      </c>
      <c r="H1278" t="s">
        <v>905</v>
      </c>
      <c r="I1278" t="s">
        <v>8662</v>
      </c>
      <c r="J1278" t="s">
        <v>6015</v>
      </c>
      <c r="M1278" s="134">
        <v>284000</v>
      </c>
      <c r="N1278" s="134">
        <v>340800</v>
      </c>
      <c r="O1278" t="s">
        <v>3107</v>
      </c>
      <c r="P1278" t="s">
        <v>8663</v>
      </c>
      <c r="Q1278" t="s">
        <v>620</v>
      </c>
      <c r="R1278" t="s">
        <v>8664</v>
      </c>
      <c r="S1278" t="s">
        <v>8665</v>
      </c>
      <c r="T1278">
        <v>53</v>
      </c>
      <c r="U1278" t="s">
        <v>491</v>
      </c>
      <c r="X1278">
        <v>0</v>
      </c>
    </row>
    <row r="1279" spans="1:24" x14ac:dyDescent="0.25">
      <c r="A1279" s="234">
        <v>43004</v>
      </c>
      <c r="B1279" t="s">
        <v>328</v>
      </c>
      <c r="C1279" t="s">
        <v>603</v>
      </c>
      <c r="D1279" t="s">
        <v>649</v>
      </c>
      <c r="E1279" t="s">
        <v>588</v>
      </c>
      <c r="F1279" t="s">
        <v>8716</v>
      </c>
      <c r="G1279" t="s">
        <v>7855</v>
      </c>
      <c r="H1279" t="s">
        <v>905</v>
      </c>
      <c r="I1279" t="s">
        <v>8717</v>
      </c>
      <c r="J1279" t="s">
        <v>3612</v>
      </c>
      <c r="L1279">
        <v>3</v>
      </c>
      <c r="M1279" s="134">
        <v>284000</v>
      </c>
      <c r="N1279" s="134">
        <v>340800</v>
      </c>
      <c r="O1279" t="s">
        <v>3107</v>
      </c>
      <c r="P1279" t="s">
        <v>8718</v>
      </c>
      <c r="Q1279" t="s">
        <v>1939</v>
      </c>
      <c r="R1279" t="s">
        <v>9435</v>
      </c>
      <c r="S1279" t="s">
        <v>8728</v>
      </c>
      <c r="T1279">
        <v>22</v>
      </c>
      <c r="U1279" t="s">
        <v>491</v>
      </c>
      <c r="X1279">
        <v>0</v>
      </c>
    </row>
    <row r="1280" spans="1:24" x14ac:dyDescent="0.25">
      <c r="A1280" s="234">
        <v>42608</v>
      </c>
      <c r="B1280" t="s">
        <v>378</v>
      </c>
      <c r="C1280" t="s">
        <v>610</v>
      </c>
      <c r="D1280" t="s">
        <v>732</v>
      </c>
      <c r="E1280" t="s">
        <v>588</v>
      </c>
      <c r="F1280" t="s">
        <v>3659</v>
      </c>
      <c r="H1280" t="s">
        <v>607</v>
      </c>
      <c r="I1280" t="s">
        <v>3660</v>
      </c>
      <c r="J1280" t="s">
        <v>899</v>
      </c>
      <c r="L1280">
        <v>6</v>
      </c>
      <c r="M1280" s="134">
        <v>284000</v>
      </c>
      <c r="N1280" s="134">
        <v>503500</v>
      </c>
      <c r="O1280" t="s">
        <v>2753</v>
      </c>
      <c r="P1280" t="s">
        <v>3661</v>
      </c>
      <c r="Q1280" t="s">
        <v>1939</v>
      </c>
      <c r="R1280" t="s">
        <v>3662</v>
      </c>
      <c r="U1280" t="s">
        <v>491</v>
      </c>
      <c r="X1280">
        <v>0</v>
      </c>
    </row>
    <row r="1281" spans="1:24" x14ac:dyDescent="0.25">
      <c r="A1281" s="234">
        <v>43476</v>
      </c>
      <c r="B1281" t="s">
        <v>328</v>
      </c>
      <c r="C1281" t="s">
        <v>603</v>
      </c>
      <c r="D1281" t="s">
        <v>649</v>
      </c>
      <c r="F1281" t="s">
        <v>13975</v>
      </c>
      <c r="G1281" t="s">
        <v>13863</v>
      </c>
      <c r="H1281" t="s">
        <v>607</v>
      </c>
      <c r="I1281" t="s">
        <v>13976</v>
      </c>
      <c r="J1281" t="s">
        <v>3398</v>
      </c>
      <c r="K1281" t="s">
        <v>13977</v>
      </c>
      <c r="L1281">
        <v>6</v>
      </c>
      <c r="M1281" s="134">
        <v>284000</v>
      </c>
      <c r="N1281" s="134">
        <v>589600</v>
      </c>
      <c r="O1281" t="s">
        <v>4533</v>
      </c>
      <c r="P1281" t="s">
        <v>14233</v>
      </c>
      <c r="Q1281" t="s">
        <v>1939</v>
      </c>
      <c r="R1281" t="s">
        <v>14234</v>
      </c>
      <c r="U1281" t="s">
        <v>12797</v>
      </c>
      <c r="X1281">
        <v>0</v>
      </c>
    </row>
    <row r="1282" spans="1:24" x14ac:dyDescent="0.25">
      <c r="A1282" s="234">
        <v>43425</v>
      </c>
      <c r="B1282" t="s">
        <v>9240</v>
      </c>
      <c r="C1282" t="s">
        <v>603</v>
      </c>
      <c r="D1282" t="s">
        <v>7814</v>
      </c>
      <c r="F1282" t="s">
        <v>13260</v>
      </c>
      <c r="G1282" t="s">
        <v>13261</v>
      </c>
      <c r="H1282" t="s">
        <v>607</v>
      </c>
      <c r="I1282" t="s">
        <v>13262</v>
      </c>
      <c r="J1282" t="s">
        <v>603</v>
      </c>
      <c r="K1282" t="s">
        <v>13263</v>
      </c>
      <c r="L1282">
        <v>9</v>
      </c>
      <c r="M1282" s="134">
        <v>284000</v>
      </c>
      <c r="N1282" s="134">
        <v>600000</v>
      </c>
      <c r="O1282" t="s">
        <v>4533</v>
      </c>
      <c r="P1282" t="s">
        <v>13264</v>
      </c>
      <c r="Q1282" t="s">
        <v>29</v>
      </c>
      <c r="R1282" t="s">
        <v>13265</v>
      </c>
      <c r="U1282" t="s">
        <v>491</v>
      </c>
      <c r="X1282">
        <v>1</v>
      </c>
    </row>
    <row r="1283" spans="1:24" x14ac:dyDescent="0.25">
      <c r="A1283" s="234">
        <v>43480</v>
      </c>
      <c r="B1283" t="s">
        <v>5956</v>
      </c>
      <c r="C1283" t="s">
        <v>3369</v>
      </c>
      <c r="D1283" t="s">
        <v>8126</v>
      </c>
      <c r="F1283" t="s">
        <v>13994</v>
      </c>
      <c r="G1283" t="s">
        <v>11359</v>
      </c>
      <c r="H1283" t="s">
        <v>607</v>
      </c>
      <c r="I1283" t="s">
        <v>13995</v>
      </c>
      <c r="J1283" t="s">
        <v>6575</v>
      </c>
      <c r="K1283" t="s">
        <v>13996</v>
      </c>
      <c r="L1283">
        <v>5</v>
      </c>
      <c r="M1283" s="134">
        <v>284660</v>
      </c>
      <c r="N1283" s="134">
        <v>512388</v>
      </c>
      <c r="O1283" t="s">
        <v>2295</v>
      </c>
      <c r="P1283" t="s">
        <v>13997</v>
      </c>
      <c r="Q1283" t="s">
        <v>620</v>
      </c>
      <c r="R1283" t="s">
        <v>13998</v>
      </c>
      <c r="U1283" t="s">
        <v>12797</v>
      </c>
      <c r="X1283">
        <v>0</v>
      </c>
    </row>
    <row r="1284" spans="1:24" x14ac:dyDescent="0.25">
      <c r="A1284" s="234">
        <v>42906</v>
      </c>
      <c r="B1284" t="s">
        <v>328</v>
      </c>
      <c r="C1284" t="s">
        <v>603</v>
      </c>
      <c r="D1284" t="s">
        <v>649</v>
      </c>
      <c r="E1284" t="s">
        <v>588</v>
      </c>
      <c r="F1284" t="s">
        <v>7272</v>
      </c>
      <c r="H1284" t="s">
        <v>7273</v>
      </c>
      <c r="I1284" t="s">
        <v>3809</v>
      </c>
      <c r="J1284" t="s">
        <v>602</v>
      </c>
      <c r="M1284" s="134">
        <v>285000</v>
      </c>
      <c r="N1284" s="134">
        <v>0</v>
      </c>
      <c r="O1284" t="s">
        <v>7274</v>
      </c>
      <c r="P1284" t="s">
        <v>7535</v>
      </c>
      <c r="Q1284" t="s">
        <v>1939</v>
      </c>
      <c r="R1284" t="s">
        <v>7275</v>
      </c>
      <c r="S1284" t="s">
        <v>7276</v>
      </c>
      <c r="U1284" t="s">
        <v>491</v>
      </c>
      <c r="X1284">
        <v>0</v>
      </c>
    </row>
    <row r="1285" spans="1:24" x14ac:dyDescent="0.25">
      <c r="A1285" s="234">
        <v>42639</v>
      </c>
      <c r="B1285" t="s">
        <v>1486</v>
      </c>
      <c r="C1285" t="s">
        <v>899</v>
      </c>
      <c r="D1285" t="s">
        <v>625</v>
      </c>
      <c r="E1285" t="s">
        <v>588</v>
      </c>
      <c r="F1285" t="s">
        <v>4063</v>
      </c>
      <c r="H1285" t="s">
        <v>1119</v>
      </c>
      <c r="I1285" t="s">
        <v>4064</v>
      </c>
      <c r="J1285" t="s">
        <v>899</v>
      </c>
      <c r="L1285">
        <v>3</v>
      </c>
      <c r="M1285" s="134">
        <v>285000</v>
      </c>
      <c r="N1285" s="134">
        <v>0</v>
      </c>
      <c r="O1285" t="s">
        <v>4065</v>
      </c>
      <c r="P1285" t="s">
        <v>4066</v>
      </c>
      <c r="Q1285" t="s">
        <v>1939</v>
      </c>
      <c r="R1285" t="s">
        <v>4067</v>
      </c>
      <c r="U1285" t="s">
        <v>1327</v>
      </c>
      <c r="X1285">
        <v>0</v>
      </c>
    </row>
    <row r="1286" spans="1:24" x14ac:dyDescent="0.25">
      <c r="A1286" s="234">
        <v>42475</v>
      </c>
      <c r="B1286" t="s">
        <v>378</v>
      </c>
      <c r="C1286" t="s">
        <v>610</v>
      </c>
      <c r="D1286" t="s">
        <v>732</v>
      </c>
      <c r="E1286" t="s">
        <v>588</v>
      </c>
      <c r="F1286" t="s">
        <v>1695</v>
      </c>
      <c r="H1286" t="s">
        <v>905</v>
      </c>
      <c r="I1286" t="s">
        <v>1696</v>
      </c>
      <c r="M1286" s="134">
        <v>285000</v>
      </c>
      <c r="N1286" s="134">
        <v>515005</v>
      </c>
      <c r="O1286" t="s">
        <v>1697</v>
      </c>
      <c r="P1286" t="s">
        <v>1700</v>
      </c>
      <c r="Q1286" t="s">
        <v>592</v>
      </c>
      <c r="R1286" t="s">
        <v>1699</v>
      </c>
      <c r="U1286" t="s">
        <v>491</v>
      </c>
      <c r="X1286">
        <v>0</v>
      </c>
    </row>
    <row r="1287" spans="1:24" x14ac:dyDescent="0.25">
      <c r="A1287" s="234">
        <v>42605</v>
      </c>
      <c r="B1287" t="s">
        <v>378</v>
      </c>
      <c r="C1287" t="s">
        <v>623</v>
      </c>
      <c r="D1287" t="s">
        <v>624</v>
      </c>
      <c r="E1287" t="s">
        <v>588</v>
      </c>
      <c r="F1287" t="s">
        <v>3573</v>
      </c>
      <c r="H1287" t="s">
        <v>905</v>
      </c>
      <c r="I1287" t="s">
        <v>3574</v>
      </c>
      <c r="J1287" t="s">
        <v>899</v>
      </c>
      <c r="M1287" s="134">
        <v>285500</v>
      </c>
      <c r="N1287" s="134">
        <v>290500</v>
      </c>
      <c r="O1287" t="s">
        <v>3575</v>
      </c>
      <c r="P1287" t="s">
        <v>3576</v>
      </c>
      <c r="Q1287" t="s">
        <v>1939</v>
      </c>
      <c r="R1287" t="s">
        <v>3577</v>
      </c>
      <c r="U1287" t="s">
        <v>491</v>
      </c>
      <c r="X1287">
        <v>0</v>
      </c>
    </row>
    <row r="1288" spans="1:24" x14ac:dyDescent="0.25">
      <c r="A1288" s="234">
        <v>43488</v>
      </c>
      <c r="B1288" t="s">
        <v>643</v>
      </c>
      <c r="C1288" t="s">
        <v>644</v>
      </c>
      <c r="D1288" t="s">
        <v>645</v>
      </c>
      <c r="F1288" t="s">
        <v>11667</v>
      </c>
      <c r="G1288" t="s">
        <v>14105</v>
      </c>
      <c r="H1288" t="s">
        <v>10831</v>
      </c>
      <c r="I1288" t="s">
        <v>11899</v>
      </c>
      <c r="J1288" t="s">
        <v>644</v>
      </c>
      <c r="K1288" t="s">
        <v>13207</v>
      </c>
      <c r="L1288">
        <v>9</v>
      </c>
      <c r="M1288" s="134">
        <v>286000</v>
      </c>
      <c r="N1288" s="134">
        <v>486200</v>
      </c>
      <c r="O1288" t="s">
        <v>7124</v>
      </c>
      <c r="P1288" t="s">
        <v>14106</v>
      </c>
      <c r="Q1288" t="s">
        <v>1939</v>
      </c>
      <c r="R1288" t="s">
        <v>14107</v>
      </c>
      <c r="U1288" t="s">
        <v>12797</v>
      </c>
      <c r="X1288">
        <v>0</v>
      </c>
    </row>
    <row r="1289" spans="1:24" x14ac:dyDescent="0.25">
      <c r="A1289" s="234">
        <v>43125</v>
      </c>
      <c r="B1289" t="s">
        <v>643</v>
      </c>
      <c r="C1289" t="s">
        <v>644</v>
      </c>
      <c r="D1289" t="s">
        <v>645</v>
      </c>
      <c r="E1289" t="s">
        <v>588</v>
      </c>
      <c r="F1289" t="s">
        <v>10089</v>
      </c>
      <c r="H1289" t="s">
        <v>809</v>
      </c>
      <c r="I1289" t="s">
        <v>5212</v>
      </c>
      <c r="J1289" t="s">
        <v>644</v>
      </c>
      <c r="L1289">
        <v>2</v>
      </c>
      <c r="M1289" s="134">
        <v>287000</v>
      </c>
      <c r="N1289" s="134">
        <v>365700</v>
      </c>
      <c r="O1289" t="s">
        <v>10765</v>
      </c>
      <c r="P1289" t="s">
        <v>10183</v>
      </c>
      <c r="Q1289" t="s">
        <v>592</v>
      </c>
      <c r="R1289" t="s">
        <v>10090</v>
      </c>
      <c r="U1289" t="s">
        <v>491</v>
      </c>
      <c r="X1289">
        <v>0</v>
      </c>
    </row>
    <row r="1290" spans="1:24" x14ac:dyDescent="0.25">
      <c r="A1290" s="234">
        <v>43270</v>
      </c>
      <c r="B1290" t="s">
        <v>328</v>
      </c>
      <c r="C1290" t="s">
        <v>603</v>
      </c>
      <c r="D1290" t="s">
        <v>757</v>
      </c>
      <c r="E1290" t="s">
        <v>588</v>
      </c>
      <c r="F1290" t="s">
        <v>11582</v>
      </c>
      <c r="G1290" t="s">
        <v>11581</v>
      </c>
      <c r="H1290" t="s">
        <v>10829</v>
      </c>
      <c r="I1290" t="s">
        <v>11579</v>
      </c>
      <c r="J1290" t="s">
        <v>3533</v>
      </c>
      <c r="L1290">
        <v>9</v>
      </c>
      <c r="M1290" s="134">
        <v>287000</v>
      </c>
      <c r="N1290" s="134">
        <v>459200</v>
      </c>
      <c r="O1290" t="s">
        <v>4533</v>
      </c>
      <c r="P1290" t="s">
        <v>11578</v>
      </c>
      <c r="Q1290" t="s">
        <v>1939</v>
      </c>
      <c r="R1290" t="s">
        <v>11580</v>
      </c>
      <c r="U1290" t="s">
        <v>1327</v>
      </c>
      <c r="X1290">
        <v>0</v>
      </c>
    </row>
    <row r="1291" spans="1:24" x14ac:dyDescent="0.25">
      <c r="A1291" s="234">
        <v>43143</v>
      </c>
      <c r="B1291" t="s">
        <v>5992</v>
      </c>
      <c r="C1291" t="s">
        <v>608</v>
      </c>
      <c r="D1291" t="s">
        <v>7858</v>
      </c>
      <c r="E1291" t="s">
        <v>588</v>
      </c>
      <c r="F1291" t="s">
        <v>10326</v>
      </c>
      <c r="G1291" t="s">
        <v>10327</v>
      </c>
      <c r="H1291" t="s">
        <v>5321</v>
      </c>
      <c r="I1291" t="s">
        <v>5630</v>
      </c>
      <c r="J1291" t="s">
        <v>608</v>
      </c>
      <c r="M1291" s="134">
        <v>288000</v>
      </c>
      <c r="N1291" s="134">
        <v>438000</v>
      </c>
      <c r="O1291" t="s">
        <v>10762</v>
      </c>
      <c r="P1291" t="s">
        <v>10328</v>
      </c>
      <c r="Q1291" t="s">
        <v>1939</v>
      </c>
      <c r="R1291" t="s">
        <v>10329</v>
      </c>
      <c r="U1291" t="s">
        <v>491</v>
      </c>
      <c r="X1291">
        <v>0</v>
      </c>
    </row>
    <row r="1292" spans="1:24" x14ac:dyDescent="0.25">
      <c r="A1292" s="234">
        <v>43332</v>
      </c>
      <c r="B1292" t="s">
        <v>328</v>
      </c>
      <c r="C1292" t="s">
        <v>603</v>
      </c>
      <c r="D1292" t="s">
        <v>7595</v>
      </c>
      <c r="E1292" t="s">
        <v>588</v>
      </c>
      <c r="F1292" t="s">
        <v>12281</v>
      </c>
      <c r="G1292" t="s">
        <v>8263</v>
      </c>
      <c r="H1292" t="s">
        <v>607</v>
      </c>
      <c r="I1292" t="s">
        <v>10273</v>
      </c>
      <c r="J1292" t="s">
        <v>899</v>
      </c>
      <c r="L1292">
        <v>2</v>
      </c>
      <c r="M1292" s="134">
        <v>288000</v>
      </c>
      <c r="N1292" s="134">
        <v>560000</v>
      </c>
      <c r="O1292" t="s">
        <v>10766</v>
      </c>
      <c r="P1292" t="s">
        <v>12401</v>
      </c>
      <c r="Q1292" t="s">
        <v>29</v>
      </c>
      <c r="R1292" t="s">
        <v>12506</v>
      </c>
      <c r="U1292" t="s">
        <v>1327</v>
      </c>
      <c r="X1292">
        <v>1</v>
      </c>
    </row>
    <row r="1293" spans="1:24" x14ac:dyDescent="0.25">
      <c r="A1293" s="234">
        <v>43335</v>
      </c>
      <c r="B1293" t="s">
        <v>569</v>
      </c>
      <c r="C1293" t="s">
        <v>899</v>
      </c>
      <c r="D1293" t="s">
        <v>624</v>
      </c>
      <c r="E1293" t="s">
        <v>588</v>
      </c>
      <c r="F1293" t="s">
        <v>12281</v>
      </c>
      <c r="G1293" t="s">
        <v>12282</v>
      </c>
      <c r="H1293" t="s">
        <v>607</v>
      </c>
      <c r="I1293" t="s">
        <v>10273</v>
      </c>
      <c r="J1293" t="s">
        <v>899</v>
      </c>
      <c r="L1293">
        <v>2</v>
      </c>
      <c r="M1293" s="134">
        <v>288000</v>
      </c>
      <c r="N1293" s="134">
        <v>560000</v>
      </c>
      <c r="O1293" t="s">
        <v>10766</v>
      </c>
      <c r="P1293" t="s">
        <v>12283</v>
      </c>
      <c r="Q1293" t="s">
        <v>620</v>
      </c>
      <c r="R1293" t="s">
        <v>12284</v>
      </c>
      <c r="U1293" t="s">
        <v>491</v>
      </c>
      <c r="X1293">
        <v>0</v>
      </c>
    </row>
    <row r="1294" spans="1:24" x14ac:dyDescent="0.25">
      <c r="A1294" s="234">
        <v>43207</v>
      </c>
      <c r="B1294" t="s">
        <v>9240</v>
      </c>
      <c r="C1294" t="s">
        <v>603</v>
      </c>
      <c r="D1294" t="s">
        <v>9241</v>
      </c>
      <c r="E1294" t="s">
        <v>588</v>
      </c>
      <c r="F1294" t="s">
        <v>10367</v>
      </c>
      <c r="G1294" t="s">
        <v>10976</v>
      </c>
      <c r="H1294" t="s">
        <v>607</v>
      </c>
      <c r="J1294" t="s">
        <v>602</v>
      </c>
      <c r="L1294">
        <v>4</v>
      </c>
      <c r="M1294" s="134">
        <v>288000</v>
      </c>
      <c r="N1294" s="134">
        <v>619200</v>
      </c>
      <c r="O1294" t="s">
        <v>10766</v>
      </c>
      <c r="P1294" t="s">
        <v>10977</v>
      </c>
      <c r="Q1294" t="s">
        <v>592</v>
      </c>
      <c r="R1294" t="s">
        <v>10978</v>
      </c>
      <c r="U1294" t="s">
        <v>1327</v>
      </c>
      <c r="X1294">
        <v>0</v>
      </c>
    </row>
    <row r="1295" spans="1:24" x14ac:dyDescent="0.25">
      <c r="A1295" s="234">
        <v>42479</v>
      </c>
      <c r="B1295" t="s">
        <v>328</v>
      </c>
      <c r="C1295" t="s">
        <v>603</v>
      </c>
      <c r="D1295" t="s">
        <v>649</v>
      </c>
      <c r="E1295" t="s">
        <v>588</v>
      </c>
      <c r="F1295" t="s">
        <v>1728</v>
      </c>
      <c r="H1295" t="s">
        <v>607</v>
      </c>
      <c r="I1295" t="s">
        <v>1729</v>
      </c>
      <c r="M1295" s="134">
        <v>288100</v>
      </c>
      <c r="N1295" s="134">
        <v>787610</v>
      </c>
      <c r="O1295" t="s">
        <v>1705</v>
      </c>
      <c r="P1295" t="s">
        <v>1730</v>
      </c>
      <c r="Q1295" t="s">
        <v>592</v>
      </c>
      <c r="U1295" t="s">
        <v>491</v>
      </c>
      <c r="X1295">
        <v>0</v>
      </c>
    </row>
    <row r="1296" spans="1:24" x14ac:dyDescent="0.25">
      <c r="A1296" s="234">
        <v>42815</v>
      </c>
      <c r="B1296" t="s">
        <v>328</v>
      </c>
      <c r="C1296" t="s">
        <v>603</v>
      </c>
      <c r="D1296" t="s">
        <v>5701</v>
      </c>
      <c r="E1296" t="s">
        <v>588</v>
      </c>
      <c r="F1296" t="s">
        <v>6035</v>
      </c>
      <c r="H1296" t="s">
        <v>722</v>
      </c>
      <c r="I1296" t="s">
        <v>6036</v>
      </c>
      <c r="J1296" t="s">
        <v>6015</v>
      </c>
      <c r="L1296">
        <v>10</v>
      </c>
      <c r="M1296" s="134">
        <v>289000</v>
      </c>
      <c r="N1296" s="134">
        <v>375000</v>
      </c>
      <c r="O1296" t="s">
        <v>2680</v>
      </c>
      <c r="P1296" t="s">
        <v>6037</v>
      </c>
      <c r="Q1296" t="s">
        <v>29</v>
      </c>
      <c r="R1296" t="s">
        <v>6038</v>
      </c>
      <c r="U1296" t="s">
        <v>491</v>
      </c>
      <c r="X1296">
        <v>1</v>
      </c>
    </row>
    <row r="1297" spans="1:24" x14ac:dyDescent="0.25">
      <c r="A1297" s="234">
        <v>43574</v>
      </c>
      <c r="B1297" t="s">
        <v>13559</v>
      </c>
      <c r="C1297" t="s">
        <v>3523</v>
      </c>
      <c r="D1297" t="s">
        <v>11981</v>
      </c>
      <c r="F1297" t="s">
        <v>15136</v>
      </c>
      <c r="G1297" t="s">
        <v>15137</v>
      </c>
      <c r="H1297" t="s">
        <v>607</v>
      </c>
      <c r="I1297" t="s">
        <v>15138</v>
      </c>
      <c r="J1297" t="s">
        <v>3523</v>
      </c>
      <c r="K1297" t="s">
        <v>15139</v>
      </c>
      <c r="L1297">
        <v>5</v>
      </c>
      <c r="M1297" s="134">
        <v>289794</v>
      </c>
      <c r="N1297" s="134">
        <v>470000</v>
      </c>
      <c r="O1297" t="s">
        <v>10766</v>
      </c>
      <c r="P1297" t="s">
        <v>15337</v>
      </c>
      <c r="Q1297" t="s">
        <v>1612</v>
      </c>
      <c r="R1297" t="s">
        <v>15338</v>
      </c>
      <c r="U1297" t="s">
        <v>491</v>
      </c>
      <c r="X1297">
        <v>0</v>
      </c>
    </row>
    <row r="1298" spans="1:24" x14ac:dyDescent="0.25">
      <c r="A1298" s="234">
        <v>42909</v>
      </c>
      <c r="B1298" t="s">
        <v>5176</v>
      </c>
      <c r="D1298" t="s">
        <v>595</v>
      </c>
      <c r="E1298" t="s">
        <v>821</v>
      </c>
      <c r="H1298" t="s">
        <v>607</v>
      </c>
      <c r="J1298" t="s">
        <v>959</v>
      </c>
      <c r="M1298" s="134">
        <v>290000</v>
      </c>
      <c r="N1298" s="134">
        <v>0</v>
      </c>
      <c r="O1298" t="s">
        <v>1171</v>
      </c>
      <c r="P1298" t="s">
        <v>7358</v>
      </c>
      <c r="Q1298" t="s">
        <v>620</v>
      </c>
      <c r="R1298" t="s">
        <v>7357</v>
      </c>
      <c r="U1298" t="s">
        <v>491</v>
      </c>
      <c r="X1298">
        <v>0</v>
      </c>
    </row>
    <row r="1299" spans="1:24" x14ac:dyDescent="0.25">
      <c r="A1299" s="234">
        <v>43615</v>
      </c>
      <c r="B1299" t="s">
        <v>328</v>
      </c>
      <c r="C1299" t="s">
        <v>603</v>
      </c>
      <c r="D1299" t="s">
        <v>10705</v>
      </c>
      <c r="F1299" t="s">
        <v>15804</v>
      </c>
      <c r="H1299" t="s">
        <v>905</v>
      </c>
      <c r="I1299" t="s">
        <v>15805</v>
      </c>
      <c r="J1299" t="s">
        <v>3523</v>
      </c>
      <c r="K1299" t="s">
        <v>15806</v>
      </c>
      <c r="L1299">
        <v>2</v>
      </c>
      <c r="M1299" s="134">
        <v>290000</v>
      </c>
      <c r="N1299" s="134">
        <v>315000</v>
      </c>
      <c r="O1299" t="s">
        <v>4533</v>
      </c>
      <c r="P1299" t="s">
        <v>15911</v>
      </c>
      <c r="Q1299" t="s">
        <v>592</v>
      </c>
      <c r="R1299" t="s">
        <v>15813</v>
      </c>
      <c r="U1299" t="s">
        <v>12797</v>
      </c>
      <c r="X1299">
        <v>0</v>
      </c>
    </row>
    <row r="1300" spans="1:24" x14ac:dyDescent="0.25">
      <c r="A1300" s="234">
        <v>43447</v>
      </c>
      <c r="B1300" t="s">
        <v>9240</v>
      </c>
      <c r="C1300" t="s">
        <v>603</v>
      </c>
      <c r="D1300" t="s">
        <v>7814</v>
      </c>
      <c r="F1300" t="s">
        <v>13634</v>
      </c>
      <c r="G1300" t="s">
        <v>13635</v>
      </c>
      <c r="H1300" t="s">
        <v>607</v>
      </c>
      <c r="I1300" t="s">
        <v>13636</v>
      </c>
      <c r="J1300" t="s">
        <v>3751</v>
      </c>
      <c r="K1300" t="s">
        <v>13637</v>
      </c>
      <c r="L1300">
        <v>8</v>
      </c>
      <c r="M1300" s="134">
        <v>290000</v>
      </c>
      <c r="N1300" s="134">
        <v>493000</v>
      </c>
      <c r="O1300" t="s">
        <v>10766</v>
      </c>
      <c r="P1300" t="s">
        <v>13758</v>
      </c>
      <c r="Q1300" t="s">
        <v>620</v>
      </c>
      <c r="R1300" t="s">
        <v>13638</v>
      </c>
      <c r="U1300" t="s">
        <v>12797</v>
      </c>
      <c r="X1300">
        <v>0</v>
      </c>
    </row>
    <row r="1301" spans="1:24" x14ac:dyDescent="0.25">
      <c r="A1301" s="234">
        <v>43223</v>
      </c>
      <c r="B1301" t="s">
        <v>328</v>
      </c>
      <c r="C1301" t="s">
        <v>603</v>
      </c>
      <c r="D1301" t="s">
        <v>8941</v>
      </c>
      <c r="E1301" t="s">
        <v>588</v>
      </c>
      <c r="F1301" t="s">
        <v>11103</v>
      </c>
      <c r="G1301" t="s">
        <v>7814</v>
      </c>
      <c r="H1301" t="s">
        <v>607</v>
      </c>
      <c r="I1301" t="s">
        <v>11104</v>
      </c>
      <c r="J1301" t="s">
        <v>3751</v>
      </c>
      <c r="L1301">
        <v>4</v>
      </c>
      <c r="M1301" s="134">
        <v>290000</v>
      </c>
      <c r="N1301" s="134">
        <v>520000</v>
      </c>
      <c r="O1301" t="s">
        <v>10763</v>
      </c>
      <c r="P1301" t="s">
        <v>11105</v>
      </c>
      <c r="Q1301" t="s">
        <v>29</v>
      </c>
      <c r="R1301" t="s">
        <v>11106</v>
      </c>
      <c r="U1301" t="s">
        <v>491</v>
      </c>
      <c r="X1301">
        <v>1</v>
      </c>
    </row>
    <row r="1302" spans="1:24" x14ac:dyDescent="0.25">
      <c r="A1302" s="234">
        <v>43264</v>
      </c>
      <c r="B1302" t="s">
        <v>328</v>
      </c>
      <c r="C1302" t="s">
        <v>603</v>
      </c>
      <c r="D1302" t="s">
        <v>10338</v>
      </c>
      <c r="E1302" t="s">
        <v>588</v>
      </c>
      <c r="F1302" t="s">
        <v>11474</v>
      </c>
      <c r="G1302" t="s">
        <v>11475</v>
      </c>
      <c r="H1302" t="s">
        <v>607</v>
      </c>
      <c r="I1302" t="s">
        <v>8144</v>
      </c>
      <c r="J1302" t="s">
        <v>899</v>
      </c>
      <c r="L1302">
        <v>2</v>
      </c>
      <c r="M1302" s="134">
        <v>290000</v>
      </c>
      <c r="N1302" s="134">
        <v>600000</v>
      </c>
      <c r="O1302" t="s">
        <v>4533</v>
      </c>
      <c r="P1302" t="s">
        <v>11476</v>
      </c>
      <c r="Q1302" t="s">
        <v>1939</v>
      </c>
      <c r="R1302" t="s">
        <v>11477</v>
      </c>
      <c r="U1302" t="s">
        <v>491</v>
      </c>
      <c r="X1302">
        <v>0</v>
      </c>
    </row>
    <row r="1303" spans="1:24" x14ac:dyDescent="0.25">
      <c r="A1303" s="234">
        <v>43003</v>
      </c>
      <c r="B1303" t="s">
        <v>5176</v>
      </c>
      <c r="C1303" t="s">
        <v>604</v>
      </c>
      <c r="D1303" t="s">
        <v>595</v>
      </c>
      <c r="E1303" t="s">
        <v>821</v>
      </c>
      <c r="F1303" t="s">
        <v>8724</v>
      </c>
      <c r="G1303" t="s">
        <v>8725</v>
      </c>
      <c r="H1303" t="s">
        <v>607</v>
      </c>
      <c r="I1303" t="s">
        <v>5783</v>
      </c>
      <c r="J1303" t="s">
        <v>604</v>
      </c>
      <c r="L1303">
        <v>9</v>
      </c>
      <c r="M1303" s="134">
        <v>291000</v>
      </c>
      <c r="N1303" s="134">
        <v>391000</v>
      </c>
      <c r="O1303" t="s">
        <v>8696</v>
      </c>
      <c r="P1303" t="s">
        <v>8697</v>
      </c>
      <c r="Q1303" t="s">
        <v>1612</v>
      </c>
      <c r="R1303" t="s">
        <v>8726</v>
      </c>
      <c r="T1303">
        <v>26</v>
      </c>
      <c r="U1303" t="s">
        <v>491</v>
      </c>
      <c r="V1303" t="s">
        <v>3985</v>
      </c>
      <c r="W1303" t="s">
        <v>8727</v>
      </c>
      <c r="X1303">
        <v>0</v>
      </c>
    </row>
    <row r="1304" spans="1:24" x14ac:dyDescent="0.25">
      <c r="A1304" s="234">
        <v>43609</v>
      </c>
      <c r="B1304" t="s">
        <v>328</v>
      </c>
      <c r="C1304" t="s">
        <v>603</v>
      </c>
      <c r="D1304" t="s">
        <v>7595</v>
      </c>
      <c r="F1304" t="s">
        <v>15744</v>
      </c>
      <c r="G1304" t="s">
        <v>11233</v>
      </c>
      <c r="H1304" t="s">
        <v>607</v>
      </c>
      <c r="I1304" t="s">
        <v>10658</v>
      </c>
      <c r="J1304" t="s">
        <v>3612</v>
      </c>
      <c r="K1304" t="s">
        <v>15745</v>
      </c>
      <c r="L1304">
        <v>3</v>
      </c>
      <c r="M1304" s="134">
        <v>291000</v>
      </c>
      <c r="N1304" s="134">
        <v>494700</v>
      </c>
      <c r="O1304" t="s">
        <v>4533</v>
      </c>
      <c r="P1304" t="s">
        <v>15746</v>
      </c>
      <c r="Q1304" t="s">
        <v>1939</v>
      </c>
      <c r="R1304" t="s">
        <v>15747</v>
      </c>
      <c r="U1304" t="s">
        <v>491</v>
      </c>
      <c r="X1304">
        <v>0</v>
      </c>
    </row>
    <row r="1305" spans="1:24" x14ac:dyDescent="0.25">
      <c r="A1305" s="234">
        <v>43000</v>
      </c>
      <c r="B1305" t="s">
        <v>5176</v>
      </c>
      <c r="C1305" t="s">
        <v>604</v>
      </c>
      <c r="D1305" t="s">
        <v>595</v>
      </c>
      <c r="E1305" t="s">
        <v>821</v>
      </c>
      <c r="F1305" t="s">
        <v>8673</v>
      </c>
      <c r="G1305" t="s">
        <v>8674</v>
      </c>
      <c r="H1305" t="s">
        <v>886</v>
      </c>
      <c r="I1305" t="s">
        <v>8670</v>
      </c>
      <c r="J1305" t="s">
        <v>604</v>
      </c>
      <c r="L1305">
        <v>9</v>
      </c>
      <c r="M1305" s="134">
        <v>292000</v>
      </c>
      <c r="N1305" s="134">
        <v>321000</v>
      </c>
      <c r="O1305" t="s">
        <v>8472</v>
      </c>
      <c r="P1305" t="s">
        <v>8671</v>
      </c>
      <c r="Q1305" t="s">
        <v>1939</v>
      </c>
      <c r="R1305" t="s">
        <v>8672</v>
      </c>
      <c r="T1305">
        <v>14</v>
      </c>
      <c r="U1305" t="s">
        <v>491</v>
      </c>
      <c r="X1305">
        <v>0</v>
      </c>
    </row>
    <row r="1306" spans="1:24" x14ac:dyDescent="0.25">
      <c r="A1306" s="234">
        <v>42523</v>
      </c>
      <c r="B1306" t="s">
        <v>643</v>
      </c>
      <c r="C1306" t="s">
        <v>644</v>
      </c>
      <c r="D1306" t="s">
        <v>645</v>
      </c>
      <c r="E1306" t="s">
        <v>588</v>
      </c>
      <c r="F1306" t="s">
        <v>2313</v>
      </c>
      <c r="H1306" t="s">
        <v>607</v>
      </c>
      <c r="I1306" t="s">
        <v>2314</v>
      </c>
      <c r="M1306" s="134">
        <v>293000</v>
      </c>
      <c r="N1306" s="134">
        <v>498100</v>
      </c>
      <c r="O1306" t="s">
        <v>2315</v>
      </c>
      <c r="P1306" t="s">
        <v>2316</v>
      </c>
      <c r="Q1306" t="s">
        <v>1939</v>
      </c>
      <c r="R1306" t="s">
        <v>2317</v>
      </c>
      <c r="U1306" t="s">
        <v>2227</v>
      </c>
      <c r="X1306">
        <v>0</v>
      </c>
    </row>
    <row r="1307" spans="1:24" x14ac:dyDescent="0.25">
      <c r="A1307" s="234">
        <v>42802</v>
      </c>
      <c r="B1307" t="s">
        <v>5473</v>
      </c>
      <c r="D1307" t="s">
        <v>1495</v>
      </c>
      <c r="E1307" t="s">
        <v>588</v>
      </c>
      <c r="F1307" t="s">
        <v>5906</v>
      </c>
      <c r="H1307" t="s">
        <v>607</v>
      </c>
      <c r="I1307" t="s">
        <v>5907</v>
      </c>
      <c r="J1307" t="s">
        <v>602</v>
      </c>
      <c r="M1307" s="134">
        <v>293600</v>
      </c>
      <c r="N1307" s="134">
        <v>500000</v>
      </c>
      <c r="O1307" t="s">
        <v>3738</v>
      </c>
      <c r="P1307" t="s">
        <v>5908</v>
      </c>
      <c r="Q1307" t="s">
        <v>592</v>
      </c>
      <c r="U1307" t="s">
        <v>491</v>
      </c>
      <c r="X1307">
        <v>0</v>
      </c>
    </row>
    <row r="1308" spans="1:24" x14ac:dyDescent="0.25">
      <c r="A1308" s="234">
        <v>43355</v>
      </c>
      <c r="B1308" t="s">
        <v>328</v>
      </c>
      <c r="C1308" t="s">
        <v>603</v>
      </c>
      <c r="D1308" t="s">
        <v>1401</v>
      </c>
      <c r="E1308" t="s">
        <v>588</v>
      </c>
      <c r="F1308" t="s">
        <v>12631</v>
      </c>
      <c r="G1308" t="s">
        <v>10007</v>
      </c>
      <c r="H1308" t="s">
        <v>607</v>
      </c>
      <c r="I1308" t="s">
        <v>6230</v>
      </c>
      <c r="J1308" t="s">
        <v>899</v>
      </c>
      <c r="L1308">
        <v>4</v>
      </c>
      <c r="M1308" s="134">
        <v>294000</v>
      </c>
      <c r="N1308" s="134">
        <v>558600</v>
      </c>
      <c r="O1308" t="s">
        <v>560</v>
      </c>
      <c r="P1308" t="s">
        <v>12632</v>
      </c>
      <c r="Q1308" t="s">
        <v>1939</v>
      </c>
      <c r="R1308" t="s">
        <v>12633</v>
      </c>
      <c r="U1308" t="s">
        <v>12344</v>
      </c>
      <c r="X1308">
        <v>0</v>
      </c>
    </row>
    <row r="1309" spans="1:24" x14ac:dyDescent="0.25">
      <c r="A1309" s="234">
        <v>43371</v>
      </c>
      <c r="B1309" t="s">
        <v>328</v>
      </c>
      <c r="C1309" t="s">
        <v>603</v>
      </c>
      <c r="D1309" t="s">
        <v>8941</v>
      </c>
      <c r="E1309" t="s">
        <v>588</v>
      </c>
      <c r="F1309" t="s">
        <v>10367</v>
      </c>
      <c r="G1309" t="s">
        <v>12763</v>
      </c>
      <c r="H1309" t="s">
        <v>905</v>
      </c>
      <c r="I1309" t="s">
        <v>12764</v>
      </c>
      <c r="J1309" t="s">
        <v>899</v>
      </c>
      <c r="L1309">
        <v>2</v>
      </c>
      <c r="M1309" s="134">
        <v>295000</v>
      </c>
      <c r="N1309" s="134">
        <v>295000</v>
      </c>
      <c r="O1309" t="s">
        <v>7564</v>
      </c>
      <c r="P1309" t="s">
        <v>12765</v>
      </c>
      <c r="Q1309" t="s">
        <v>1612</v>
      </c>
      <c r="R1309" t="s">
        <v>12774</v>
      </c>
      <c r="U1309" t="s">
        <v>12344</v>
      </c>
      <c r="X1309">
        <v>0</v>
      </c>
    </row>
    <row r="1310" spans="1:24" x14ac:dyDescent="0.25">
      <c r="A1310" s="234">
        <v>42756</v>
      </c>
      <c r="B1310" t="s">
        <v>569</v>
      </c>
      <c r="D1310" t="s">
        <v>625</v>
      </c>
      <c r="E1310" t="s">
        <v>692</v>
      </c>
      <c r="F1310" t="s">
        <v>4113</v>
      </c>
      <c r="H1310" t="s">
        <v>905</v>
      </c>
      <c r="I1310" t="s">
        <v>5396</v>
      </c>
      <c r="J1310" t="s">
        <v>899</v>
      </c>
      <c r="L1310" t="s">
        <v>5280</v>
      </c>
      <c r="M1310" s="134">
        <v>295000</v>
      </c>
      <c r="N1310" s="134">
        <v>364000</v>
      </c>
      <c r="O1310" t="s">
        <v>5397</v>
      </c>
      <c r="P1310" t="s">
        <v>5399</v>
      </c>
      <c r="Q1310" t="s">
        <v>1939</v>
      </c>
      <c r="R1310" t="s">
        <v>5398</v>
      </c>
      <c r="U1310" t="s">
        <v>491</v>
      </c>
      <c r="X1310">
        <v>0</v>
      </c>
    </row>
    <row r="1311" spans="1:24" x14ac:dyDescent="0.25">
      <c r="A1311" s="234">
        <v>43167</v>
      </c>
      <c r="B1311" t="s">
        <v>328</v>
      </c>
      <c r="C1311" t="s">
        <v>603</v>
      </c>
      <c r="D1311" t="s">
        <v>649</v>
      </c>
      <c r="E1311" t="s">
        <v>588</v>
      </c>
      <c r="F1311" t="s">
        <v>10537</v>
      </c>
      <c r="G1311" t="s">
        <v>10537</v>
      </c>
      <c r="H1311" t="s">
        <v>10832</v>
      </c>
      <c r="J1311" t="s">
        <v>959</v>
      </c>
      <c r="M1311" s="134">
        <v>295000</v>
      </c>
      <c r="N1311" s="134">
        <v>369000</v>
      </c>
      <c r="O1311" t="s">
        <v>10764</v>
      </c>
      <c r="P1311" t="s">
        <v>10536</v>
      </c>
      <c r="Q1311" t="s">
        <v>1939</v>
      </c>
      <c r="R1311" t="s">
        <v>10535</v>
      </c>
      <c r="U1311" t="s">
        <v>1327</v>
      </c>
      <c r="X1311">
        <v>0</v>
      </c>
    </row>
    <row r="1312" spans="1:24" x14ac:dyDescent="0.25">
      <c r="A1312" s="234">
        <v>42632</v>
      </c>
      <c r="B1312" t="s">
        <v>378</v>
      </c>
      <c r="C1312" t="s">
        <v>610</v>
      </c>
      <c r="D1312" t="s">
        <v>732</v>
      </c>
      <c r="E1312" t="s">
        <v>588</v>
      </c>
      <c r="F1312" t="s">
        <v>3958</v>
      </c>
      <c r="H1312" t="s">
        <v>607</v>
      </c>
      <c r="I1312" t="s">
        <v>3959</v>
      </c>
      <c r="J1312" t="s">
        <v>899</v>
      </c>
      <c r="L1312">
        <v>3</v>
      </c>
      <c r="M1312" s="134">
        <v>295000</v>
      </c>
      <c r="N1312" s="134">
        <v>374500</v>
      </c>
      <c r="O1312" t="s">
        <v>3960</v>
      </c>
      <c r="P1312" t="s">
        <v>3961</v>
      </c>
      <c r="Q1312" t="s">
        <v>1939</v>
      </c>
      <c r="R1312" t="s">
        <v>3962</v>
      </c>
      <c r="U1312" t="s">
        <v>491</v>
      </c>
      <c r="X1312">
        <v>0</v>
      </c>
    </row>
    <row r="1313" spans="1:24" x14ac:dyDescent="0.25">
      <c r="A1313" s="234">
        <v>43588</v>
      </c>
      <c r="B1313" t="s">
        <v>328</v>
      </c>
      <c r="C1313" t="s">
        <v>603</v>
      </c>
      <c r="D1313" t="s">
        <v>649</v>
      </c>
      <c r="F1313" t="s">
        <v>15374</v>
      </c>
      <c r="G1313" t="s">
        <v>7855</v>
      </c>
      <c r="H1313" t="s">
        <v>607</v>
      </c>
      <c r="I1313" t="s">
        <v>15375</v>
      </c>
      <c r="J1313" t="s">
        <v>3751</v>
      </c>
      <c r="K1313" t="s">
        <v>15376</v>
      </c>
      <c r="L1313">
        <v>6</v>
      </c>
      <c r="M1313" s="134">
        <v>295000</v>
      </c>
      <c r="N1313" s="134">
        <v>400000</v>
      </c>
      <c r="O1313" t="s">
        <v>4533</v>
      </c>
      <c r="P1313" t="s">
        <v>15378</v>
      </c>
      <c r="Q1313" t="s">
        <v>1939</v>
      </c>
      <c r="R1313" t="s">
        <v>15379</v>
      </c>
      <c r="S1313" t="s">
        <v>15377</v>
      </c>
      <c r="U1313" t="s">
        <v>491</v>
      </c>
      <c r="X1313">
        <v>0</v>
      </c>
    </row>
    <row r="1314" spans="1:24" x14ac:dyDescent="0.25">
      <c r="A1314" s="234">
        <v>42559</v>
      </c>
      <c r="B1314" t="s">
        <v>328</v>
      </c>
      <c r="C1314" t="s">
        <v>603</v>
      </c>
      <c r="D1314" t="s">
        <v>1401</v>
      </c>
      <c r="E1314" t="s">
        <v>588</v>
      </c>
      <c r="F1314" t="s">
        <v>2812</v>
      </c>
      <c r="H1314" t="s">
        <v>607</v>
      </c>
      <c r="I1314" t="s">
        <v>2811</v>
      </c>
      <c r="M1314" s="134">
        <v>295000</v>
      </c>
      <c r="N1314" s="134">
        <v>501500</v>
      </c>
      <c r="O1314" t="s">
        <v>2810</v>
      </c>
      <c r="P1314" t="s">
        <v>2813</v>
      </c>
      <c r="Q1314" t="s">
        <v>29</v>
      </c>
      <c r="R1314" t="s">
        <v>2814</v>
      </c>
      <c r="U1314" t="s">
        <v>491</v>
      </c>
      <c r="X1314">
        <v>1</v>
      </c>
    </row>
    <row r="1315" spans="1:24" x14ac:dyDescent="0.25">
      <c r="A1315" s="234">
        <v>43388</v>
      </c>
      <c r="B1315" t="s">
        <v>9240</v>
      </c>
      <c r="C1315" t="s">
        <v>603</v>
      </c>
      <c r="D1315" t="s">
        <v>12924</v>
      </c>
      <c r="F1315" t="s">
        <v>12925</v>
      </c>
      <c r="G1315" t="s">
        <v>8267</v>
      </c>
      <c r="H1315" t="s">
        <v>607</v>
      </c>
      <c r="I1315" t="s">
        <v>12926</v>
      </c>
      <c r="J1315" t="s">
        <v>3533</v>
      </c>
      <c r="L1315">
        <v>6</v>
      </c>
      <c r="M1315" s="134">
        <v>295120</v>
      </c>
      <c r="N1315" s="134">
        <v>560728</v>
      </c>
      <c r="O1315" t="s">
        <v>10765</v>
      </c>
      <c r="P1315" t="s">
        <v>12927</v>
      </c>
      <c r="Q1315" t="s">
        <v>29</v>
      </c>
      <c r="R1315" t="s">
        <v>12928</v>
      </c>
      <c r="U1315" t="s">
        <v>12344</v>
      </c>
      <c r="X1315">
        <v>1</v>
      </c>
    </row>
    <row r="1316" spans="1:24" x14ac:dyDescent="0.25">
      <c r="A1316" s="234">
        <v>42593</v>
      </c>
      <c r="B1316" t="s">
        <v>378</v>
      </c>
      <c r="C1316" t="s">
        <v>610</v>
      </c>
      <c r="D1316" t="s">
        <v>1027</v>
      </c>
      <c r="E1316" t="s">
        <v>588</v>
      </c>
      <c r="F1316" t="s">
        <v>3346</v>
      </c>
      <c r="H1316" t="s">
        <v>1774</v>
      </c>
      <c r="I1316" t="s">
        <v>3347</v>
      </c>
      <c r="J1316" t="s">
        <v>899</v>
      </c>
      <c r="L1316">
        <v>5</v>
      </c>
      <c r="M1316" s="134">
        <v>296000</v>
      </c>
      <c r="N1316" s="134">
        <v>237096</v>
      </c>
      <c r="O1316" t="s">
        <v>3348</v>
      </c>
      <c r="P1316" t="s">
        <v>3349</v>
      </c>
      <c r="Q1316" t="s">
        <v>1939</v>
      </c>
      <c r="R1316" t="s">
        <v>3350</v>
      </c>
      <c r="S1316" t="s">
        <v>3457</v>
      </c>
      <c r="U1316" t="s">
        <v>491</v>
      </c>
      <c r="X1316">
        <v>0</v>
      </c>
    </row>
    <row r="1317" spans="1:24" x14ac:dyDescent="0.25">
      <c r="A1317" s="234">
        <v>43301</v>
      </c>
      <c r="B1317" t="s">
        <v>328</v>
      </c>
      <c r="C1317" t="s">
        <v>603</v>
      </c>
      <c r="D1317" t="s">
        <v>5701</v>
      </c>
      <c r="E1317" t="s">
        <v>588</v>
      </c>
      <c r="F1317" t="s">
        <v>11253</v>
      </c>
      <c r="G1317" t="s">
        <v>11878</v>
      </c>
      <c r="H1317" t="s">
        <v>607</v>
      </c>
      <c r="I1317" t="s">
        <v>11877</v>
      </c>
      <c r="J1317" t="s">
        <v>5610</v>
      </c>
      <c r="L1317">
        <v>9</v>
      </c>
      <c r="M1317" s="134">
        <v>297000</v>
      </c>
      <c r="N1317" s="134">
        <v>594000</v>
      </c>
      <c r="O1317" t="s">
        <v>4533</v>
      </c>
      <c r="P1317" t="s">
        <v>11876</v>
      </c>
      <c r="Q1317" t="s">
        <v>1939</v>
      </c>
      <c r="R1317" t="s">
        <v>11875</v>
      </c>
      <c r="U1317" t="s">
        <v>1327</v>
      </c>
      <c r="X1317">
        <v>0</v>
      </c>
    </row>
    <row r="1318" spans="1:24" x14ac:dyDescent="0.25">
      <c r="A1318" s="234">
        <v>43510</v>
      </c>
      <c r="B1318" t="s">
        <v>5956</v>
      </c>
      <c r="C1318" t="s">
        <v>3369</v>
      </c>
      <c r="D1318" t="s">
        <v>8126</v>
      </c>
      <c r="E1318" t="s">
        <v>588</v>
      </c>
      <c r="F1318" t="s">
        <v>14408</v>
      </c>
      <c r="G1318" t="s">
        <v>7714</v>
      </c>
      <c r="H1318" t="s">
        <v>607</v>
      </c>
      <c r="I1318" t="s">
        <v>14388</v>
      </c>
      <c r="J1318" t="s">
        <v>4825</v>
      </c>
      <c r="K1318" t="s">
        <v>14389</v>
      </c>
      <c r="L1318">
        <v>4</v>
      </c>
      <c r="M1318" s="134">
        <v>297000</v>
      </c>
      <c r="N1318" s="134">
        <v>600000</v>
      </c>
      <c r="O1318" t="s">
        <v>10766</v>
      </c>
      <c r="P1318" t="s">
        <v>14390</v>
      </c>
      <c r="Q1318" t="s">
        <v>1939</v>
      </c>
      <c r="R1318" t="s">
        <v>14409</v>
      </c>
      <c r="U1318" t="s">
        <v>491</v>
      </c>
      <c r="X1318">
        <v>0</v>
      </c>
    </row>
    <row r="1319" spans="1:24" x14ac:dyDescent="0.25">
      <c r="A1319" s="234">
        <v>42881</v>
      </c>
      <c r="B1319" t="s">
        <v>569</v>
      </c>
      <c r="D1319" t="s">
        <v>611</v>
      </c>
      <c r="E1319" t="s">
        <v>588</v>
      </c>
      <c r="F1319" t="s">
        <v>6923</v>
      </c>
      <c r="H1319" t="s">
        <v>607</v>
      </c>
      <c r="I1319" t="s">
        <v>6938</v>
      </c>
      <c r="J1319" t="s">
        <v>899</v>
      </c>
      <c r="M1319" s="134">
        <v>297490</v>
      </c>
      <c r="N1319" s="134">
        <v>440000</v>
      </c>
      <c r="O1319" t="s">
        <v>666</v>
      </c>
      <c r="P1319" t="s">
        <v>15980</v>
      </c>
      <c r="Q1319" t="s">
        <v>1939</v>
      </c>
      <c r="R1319" t="s">
        <v>6939</v>
      </c>
      <c r="U1319" t="s">
        <v>491</v>
      </c>
      <c r="X1319">
        <v>0</v>
      </c>
    </row>
    <row r="1320" spans="1:24" x14ac:dyDescent="0.25">
      <c r="A1320" s="234">
        <v>42983</v>
      </c>
      <c r="B1320" t="s">
        <v>328</v>
      </c>
      <c r="C1320" t="s">
        <v>603</v>
      </c>
      <c r="D1320" t="s">
        <v>2500</v>
      </c>
      <c r="E1320" t="s">
        <v>588</v>
      </c>
      <c r="F1320" t="s">
        <v>8423</v>
      </c>
      <c r="G1320" t="s">
        <v>8421</v>
      </c>
      <c r="H1320" t="s">
        <v>8422</v>
      </c>
      <c r="I1320" t="s">
        <v>8424</v>
      </c>
      <c r="J1320" t="s">
        <v>899</v>
      </c>
      <c r="M1320" s="134">
        <v>298000</v>
      </c>
      <c r="N1320" s="134">
        <v>506600</v>
      </c>
      <c r="O1320" t="s">
        <v>7514</v>
      </c>
      <c r="P1320" t="s">
        <v>8425</v>
      </c>
      <c r="Q1320" t="s">
        <v>1939</v>
      </c>
      <c r="R1320" t="s">
        <v>8426</v>
      </c>
      <c r="T1320">
        <v>23</v>
      </c>
      <c r="U1320" t="s">
        <v>491</v>
      </c>
      <c r="X1320">
        <v>0</v>
      </c>
    </row>
    <row r="1321" spans="1:24" x14ac:dyDescent="0.25">
      <c r="A1321" s="234">
        <v>42863</v>
      </c>
      <c r="B1321" t="s">
        <v>328</v>
      </c>
      <c r="C1321" t="s">
        <v>603</v>
      </c>
      <c r="D1321" t="s">
        <v>5701</v>
      </c>
      <c r="E1321" t="s">
        <v>588</v>
      </c>
      <c r="F1321" t="s">
        <v>6704</v>
      </c>
      <c r="H1321" t="s">
        <v>722</v>
      </c>
      <c r="I1321" t="s">
        <v>6705</v>
      </c>
      <c r="J1321" t="s">
        <v>899</v>
      </c>
      <c r="L1321">
        <v>9</v>
      </c>
      <c r="M1321" s="134">
        <v>298000</v>
      </c>
      <c r="N1321" s="134">
        <v>554600</v>
      </c>
      <c r="O1321" t="s">
        <v>2680</v>
      </c>
      <c r="P1321" t="s">
        <v>6707</v>
      </c>
      <c r="Q1321" t="s">
        <v>1939</v>
      </c>
      <c r="R1321" t="s">
        <v>6706</v>
      </c>
      <c r="U1321" t="s">
        <v>491</v>
      </c>
      <c r="X1321">
        <v>0</v>
      </c>
    </row>
    <row r="1322" spans="1:24" x14ac:dyDescent="0.25">
      <c r="A1322" s="234">
        <v>43313</v>
      </c>
      <c r="B1322" t="s">
        <v>9240</v>
      </c>
      <c r="C1322" t="s">
        <v>603</v>
      </c>
      <c r="D1322" t="s">
        <v>9241</v>
      </c>
      <c r="E1322" t="s">
        <v>588</v>
      </c>
      <c r="F1322" t="s">
        <v>11983</v>
      </c>
      <c r="G1322" t="s">
        <v>11984</v>
      </c>
      <c r="H1322" t="s">
        <v>607</v>
      </c>
      <c r="I1322" t="s">
        <v>1487</v>
      </c>
      <c r="J1322" t="s">
        <v>5610</v>
      </c>
      <c r="L1322">
        <v>6</v>
      </c>
      <c r="M1322" s="134">
        <v>298000</v>
      </c>
      <c r="N1322" s="134">
        <v>596000</v>
      </c>
      <c r="O1322" t="s">
        <v>10762</v>
      </c>
      <c r="P1322" t="s">
        <v>12022</v>
      </c>
      <c r="Q1322" t="s">
        <v>1939</v>
      </c>
      <c r="R1322" t="s">
        <v>12023</v>
      </c>
      <c r="U1322" t="s">
        <v>1327</v>
      </c>
      <c r="X1322">
        <v>0</v>
      </c>
    </row>
    <row r="1323" spans="1:24" x14ac:dyDescent="0.25">
      <c r="A1323" s="234">
        <v>43200</v>
      </c>
      <c r="B1323" t="s">
        <v>328</v>
      </c>
      <c r="C1323" t="s">
        <v>603</v>
      </c>
      <c r="D1323" t="s">
        <v>5701</v>
      </c>
      <c r="E1323" t="s">
        <v>588</v>
      </c>
      <c r="F1323" t="s">
        <v>10892</v>
      </c>
      <c r="G1323" t="s">
        <v>10893</v>
      </c>
      <c r="H1323" t="s">
        <v>10831</v>
      </c>
      <c r="J1323" t="s">
        <v>8710</v>
      </c>
      <c r="L1323">
        <v>10</v>
      </c>
      <c r="M1323" s="134">
        <v>300000</v>
      </c>
      <c r="N1323" s="134">
        <v>0</v>
      </c>
      <c r="O1323" t="s">
        <v>7124</v>
      </c>
      <c r="P1323" t="s">
        <v>10894</v>
      </c>
      <c r="Q1323" t="s">
        <v>29</v>
      </c>
      <c r="R1323" t="s">
        <v>10895</v>
      </c>
      <c r="S1323" t="s">
        <v>10896</v>
      </c>
      <c r="U1323" t="s">
        <v>491</v>
      </c>
      <c r="X1323">
        <v>1</v>
      </c>
    </row>
    <row r="1324" spans="1:24" x14ac:dyDescent="0.25">
      <c r="A1324" s="234">
        <v>42461</v>
      </c>
      <c r="B1324" t="s">
        <v>1486</v>
      </c>
      <c r="C1324" t="s">
        <v>604</v>
      </c>
      <c r="D1324" t="s">
        <v>595</v>
      </c>
      <c r="E1324" t="s">
        <v>821</v>
      </c>
      <c r="H1324" t="s">
        <v>886</v>
      </c>
      <c r="I1324" t="s">
        <v>1487</v>
      </c>
      <c r="M1324" s="134">
        <v>300000</v>
      </c>
      <c r="N1324" s="134">
        <v>0</v>
      </c>
      <c r="O1324" t="s">
        <v>1488</v>
      </c>
      <c r="P1324" t="s">
        <v>1489</v>
      </c>
      <c r="Q1324" t="s">
        <v>29</v>
      </c>
      <c r="R1324" t="s">
        <v>1490</v>
      </c>
      <c r="U1324" t="s">
        <v>491</v>
      </c>
      <c r="X1324">
        <v>1</v>
      </c>
    </row>
    <row r="1325" spans="1:24" x14ac:dyDescent="0.25">
      <c r="A1325" s="234">
        <v>42487</v>
      </c>
      <c r="B1325" t="s">
        <v>643</v>
      </c>
      <c r="C1325" t="s">
        <v>644</v>
      </c>
      <c r="D1325" t="s">
        <v>645</v>
      </c>
      <c r="E1325" t="s">
        <v>588</v>
      </c>
      <c r="F1325" t="s">
        <v>1840</v>
      </c>
      <c r="H1325" t="s">
        <v>1841</v>
      </c>
      <c r="I1325" t="s">
        <v>1842</v>
      </c>
      <c r="M1325" s="134">
        <v>300000</v>
      </c>
      <c r="N1325" s="134">
        <v>0</v>
      </c>
      <c r="O1325" t="s">
        <v>1844</v>
      </c>
      <c r="P1325" t="s">
        <v>1860</v>
      </c>
      <c r="Q1325" t="s">
        <v>1612</v>
      </c>
      <c r="R1325" t="s">
        <v>1845</v>
      </c>
      <c r="S1325" t="s">
        <v>1941</v>
      </c>
      <c r="U1325" t="s">
        <v>1327</v>
      </c>
      <c r="X1325">
        <v>0</v>
      </c>
    </row>
    <row r="1326" spans="1:24" x14ac:dyDescent="0.25">
      <c r="A1326" s="234">
        <v>42496</v>
      </c>
      <c r="B1326" t="s">
        <v>1486</v>
      </c>
      <c r="C1326" t="s">
        <v>1883</v>
      </c>
      <c r="D1326" t="s">
        <v>595</v>
      </c>
      <c r="E1326" t="s">
        <v>588</v>
      </c>
      <c r="F1326" t="s">
        <v>1977</v>
      </c>
      <c r="H1326" t="s">
        <v>607</v>
      </c>
      <c r="I1326" t="s">
        <v>1978</v>
      </c>
      <c r="M1326" s="134">
        <v>300000</v>
      </c>
      <c r="N1326" s="134">
        <v>300000</v>
      </c>
      <c r="O1326" t="s">
        <v>1979</v>
      </c>
      <c r="P1326" t="s">
        <v>1980</v>
      </c>
      <c r="Q1326" t="s">
        <v>592</v>
      </c>
      <c r="U1326" t="s">
        <v>491</v>
      </c>
      <c r="X1326">
        <v>0</v>
      </c>
    </row>
    <row r="1327" spans="1:24" x14ac:dyDescent="0.25">
      <c r="A1327" s="234">
        <v>42510</v>
      </c>
      <c r="B1327" t="s">
        <v>594</v>
      </c>
      <c r="C1327" t="s">
        <v>1883</v>
      </c>
      <c r="D1327" t="s">
        <v>2186</v>
      </c>
      <c r="E1327" t="s">
        <v>588</v>
      </c>
      <c r="F1327" t="s">
        <v>2187</v>
      </c>
      <c r="H1327" t="s">
        <v>886</v>
      </c>
      <c r="I1327" t="s">
        <v>2188</v>
      </c>
      <c r="M1327" s="134">
        <v>300000</v>
      </c>
      <c r="N1327" s="134">
        <v>300000</v>
      </c>
      <c r="O1327" t="s">
        <v>1750</v>
      </c>
      <c r="P1327" t="s">
        <v>2189</v>
      </c>
      <c r="Q1327" t="s">
        <v>29</v>
      </c>
      <c r="R1327" t="s">
        <v>2190</v>
      </c>
      <c r="U1327" t="s">
        <v>491</v>
      </c>
      <c r="X1327">
        <v>1</v>
      </c>
    </row>
    <row r="1328" spans="1:24" x14ac:dyDescent="0.25">
      <c r="A1328" s="234">
        <v>42859</v>
      </c>
      <c r="B1328" t="s">
        <v>328</v>
      </c>
      <c r="C1328" t="s">
        <v>603</v>
      </c>
      <c r="D1328" t="s">
        <v>1401</v>
      </c>
      <c r="E1328" t="s">
        <v>588</v>
      </c>
      <c r="F1328" t="s">
        <v>6675</v>
      </c>
      <c r="H1328" t="s">
        <v>905</v>
      </c>
      <c r="I1328" t="s">
        <v>6676</v>
      </c>
      <c r="J1328" t="s">
        <v>899</v>
      </c>
      <c r="M1328" s="134">
        <v>300000</v>
      </c>
      <c r="N1328" s="134">
        <v>324000</v>
      </c>
      <c r="O1328" t="s">
        <v>6677</v>
      </c>
      <c r="P1328" t="s">
        <v>6678</v>
      </c>
      <c r="Q1328" t="s">
        <v>620</v>
      </c>
      <c r="R1328" t="s">
        <v>6679</v>
      </c>
      <c r="U1328" t="s">
        <v>491</v>
      </c>
      <c r="X1328">
        <v>0</v>
      </c>
    </row>
    <row r="1329" spans="1:24" x14ac:dyDescent="0.25">
      <c r="A1329" s="234">
        <v>43593</v>
      </c>
      <c r="B1329" t="s">
        <v>328</v>
      </c>
      <c r="C1329" t="s">
        <v>603</v>
      </c>
      <c r="D1329" t="s">
        <v>1401</v>
      </c>
      <c r="F1329" t="s">
        <v>15463</v>
      </c>
      <c r="G1329" t="s">
        <v>5419</v>
      </c>
      <c r="H1329" t="s">
        <v>886</v>
      </c>
      <c r="I1329" t="s">
        <v>15464</v>
      </c>
      <c r="J1329" t="s">
        <v>899</v>
      </c>
      <c r="K1329" t="s">
        <v>15465</v>
      </c>
      <c r="L1329">
        <v>5</v>
      </c>
      <c r="M1329" s="134">
        <v>300000</v>
      </c>
      <c r="N1329" s="134">
        <v>330000</v>
      </c>
      <c r="O1329" t="s">
        <v>6745</v>
      </c>
      <c r="P1329" t="s">
        <v>15466</v>
      </c>
      <c r="Q1329" t="s">
        <v>29</v>
      </c>
      <c r="R1329" t="s">
        <v>15467</v>
      </c>
      <c r="U1329" t="s">
        <v>491</v>
      </c>
      <c r="X1329">
        <v>1</v>
      </c>
    </row>
    <row r="1330" spans="1:24" x14ac:dyDescent="0.25">
      <c r="A1330" s="234">
        <v>43235</v>
      </c>
      <c r="B1330" t="s">
        <v>569</v>
      </c>
      <c r="C1330" t="s">
        <v>899</v>
      </c>
      <c r="D1330" t="s">
        <v>11031</v>
      </c>
      <c r="E1330" t="s">
        <v>588</v>
      </c>
      <c r="F1330" t="s">
        <v>11252</v>
      </c>
      <c r="G1330" t="s">
        <v>11252</v>
      </c>
      <c r="H1330" t="s">
        <v>809</v>
      </c>
      <c r="I1330" t="s">
        <v>8144</v>
      </c>
      <c r="J1330" t="s">
        <v>899</v>
      </c>
      <c r="M1330" s="134">
        <v>300000</v>
      </c>
      <c r="N1330" s="134">
        <v>330000</v>
      </c>
      <c r="O1330" t="s">
        <v>2295</v>
      </c>
      <c r="P1330" t="s">
        <v>11397</v>
      </c>
      <c r="Q1330" t="s">
        <v>592</v>
      </c>
      <c r="R1330" t="s">
        <v>11398</v>
      </c>
      <c r="U1330" t="s">
        <v>1327</v>
      </c>
      <c r="X1330">
        <v>0</v>
      </c>
    </row>
    <row r="1331" spans="1:24" x14ac:dyDescent="0.25">
      <c r="A1331" s="234">
        <v>43616</v>
      </c>
      <c r="B1331" t="s">
        <v>328</v>
      </c>
      <c r="C1331" t="s">
        <v>603</v>
      </c>
      <c r="D1331" t="s">
        <v>1401</v>
      </c>
      <c r="F1331" t="s">
        <v>15886</v>
      </c>
      <c r="G1331" t="s">
        <v>15887</v>
      </c>
      <c r="H1331" t="s">
        <v>809</v>
      </c>
      <c r="I1331" t="s">
        <v>15888</v>
      </c>
      <c r="J1331" t="s">
        <v>644</v>
      </c>
      <c r="K1331" t="s">
        <v>15889</v>
      </c>
      <c r="L1331">
        <v>9</v>
      </c>
      <c r="M1331" s="134">
        <v>300000</v>
      </c>
      <c r="N1331" s="134">
        <v>335000</v>
      </c>
      <c r="O1331" t="s">
        <v>10763</v>
      </c>
      <c r="P1331" t="s">
        <v>15890</v>
      </c>
      <c r="Q1331" t="s">
        <v>620</v>
      </c>
      <c r="R1331" t="s">
        <v>15916</v>
      </c>
      <c r="U1331" t="s">
        <v>12797</v>
      </c>
      <c r="X1331">
        <v>0</v>
      </c>
    </row>
    <row r="1332" spans="1:24" x14ac:dyDescent="0.25">
      <c r="A1332" s="234">
        <v>43320</v>
      </c>
      <c r="B1332" t="s">
        <v>328</v>
      </c>
      <c r="C1332" t="s">
        <v>603</v>
      </c>
      <c r="D1332" t="s">
        <v>7595</v>
      </c>
      <c r="E1332" t="s">
        <v>588</v>
      </c>
      <c r="F1332" t="s">
        <v>11560</v>
      </c>
      <c r="G1332" t="s">
        <v>7814</v>
      </c>
      <c r="H1332" t="s">
        <v>905</v>
      </c>
      <c r="I1332" t="s">
        <v>12060</v>
      </c>
      <c r="J1332" t="s">
        <v>899</v>
      </c>
      <c r="L1332">
        <v>1</v>
      </c>
      <c r="M1332" s="134">
        <v>300000</v>
      </c>
      <c r="N1332" s="134">
        <v>335000</v>
      </c>
      <c r="O1332" t="s">
        <v>10766</v>
      </c>
      <c r="P1332" t="s">
        <v>12061</v>
      </c>
      <c r="Q1332" t="s">
        <v>592</v>
      </c>
      <c r="R1332" t="s">
        <v>12069</v>
      </c>
      <c r="S1332" t="s">
        <v>12062</v>
      </c>
      <c r="U1332" t="s">
        <v>491</v>
      </c>
      <c r="X1332">
        <v>0</v>
      </c>
    </row>
    <row r="1333" spans="1:24" x14ac:dyDescent="0.25">
      <c r="A1333" s="234">
        <v>42845</v>
      </c>
      <c r="B1333" t="s">
        <v>5176</v>
      </c>
      <c r="D1333" t="s">
        <v>595</v>
      </c>
      <c r="E1333" t="s">
        <v>692</v>
      </c>
      <c r="F1333" t="s">
        <v>6488</v>
      </c>
      <c r="H1333" t="s">
        <v>809</v>
      </c>
      <c r="I1333" t="s">
        <v>6489</v>
      </c>
      <c r="J1333" t="s">
        <v>959</v>
      </c>
      <c r="M1333" s="134">
        <v>300000</v>
      </c>
      <c r="N1333" s="134">
        <v>340000</v>
      </c>
      <c r="O1333" t="s">
        <v>6490</v>
      </c>
      <c r="P1333" t="s">
        <v>6494</v>
      </c>
      <c r="Q1333" t="s">
        <v>1939</v>
      </c>
      <c r="R1333" t="s">
        <v>6493</v>
      </c>
      <c r="U1333" t="s">
        <v>491</v>
      </c>
      <c r="X1333">
        <v>0</v>
      </c>
    </row>
    <row r="1334" spans="1:24" x14ac:dyDescent="0.25">
      <c r="A1334" s="234">
        <v>42440</v>
      </c>
      <c r="B1334" t="s">
        <v>378</v>
      </c>
      <c r="C1334" t="s">
        <v>623</v>
      </c>
      <c r="D1334" t="s">
        <v>625</v>
      </c>
      <c r="E1334" t="s">
        <v>588</v>
      </c>
      <c r="F1334" t="s">
        <v>1280</v>
      </c>
      <c r="H1334" t="s">
        <v>905</v>
      </c>
      <c r="I1334" t="s">
        <v>1281</v>
      </c>
      <c r="M1334" s="134">
        <v>300000</v>
      </c>
      <c r="N1334" s="134">
        <v>360000</v>
      </c>
      <c r="O1334" t="s">
        <v>724</v>
      </c>
      <c r="P1334" t="s">
        <v>1282</v>
      </c>
      <c r="Q1334" t="s">
        <v>29</v>
      </c>
      <c r="R1334" t="s">
        <v>1283</v>
      </c>
      <c r="U1334" t="s">
        <v>491</v>
      </c>
      <c r="X1334">
        <v>1</v>
      </c>
    </row>
    <row r="1335" spans="1:24" x14ac:dyDescent="0.25">
      <c r="A1335" s="234">
        <v>42464</v>
      </c>
      <c r="B1335" t="s">
        <v>378</v>
      </c>
      <c r="C1335" t="s">
        <v>610</v>
      </c>
      <c r="D1335" t="s">
        <v>1027</v>
      </c>
      <c r="E1335" t="s">
        <v>588</v>
      </c>
      <c r="F1335" t="s">
        <v>1500</v>
      </c>
      <c r="H1335" t="s">
        <v>905</v>
      </c>
      <c r="I1335" t="s">
        <v>1501</v>
      </c>
      <c r="M1335" s="134">
        <v>300000</v>
      </c>
      <c r="N1335" s="134">
        <v>360000</v>
      </c>
      <c r="O1335" t="s">
        <v>1502</v>
      </c>
      <c r="P1335" t="s">
        <v>1503</v>
      </c>
      <c r="Q1335" t="s">
        <v>592</v>
      </c>
      <c r="R1335" t="s">
        <v>1504</v>
      </c>
      <c r="U1335" t="s">
        <v>491</v>
      </c>
      <c r="X1335">
        <v>0</v>
      </c>
    </row>
    <row r="1336" spans="1:24" x14ac:dyDescent="0.25">
      <c r="A1336" s="234">
        <v>42598</v>
      </c>
      <c r="B1336" t="s">
        <v>110</v>
      </c>
      <c r="D1336" t="s">
        <v>715</v>
      </c>
      <c r="E1336" t="s">
        <v>588</v>
      </c>
      <c r="F1336" t="s">
        <v>3436</v>
      </c>
      <c r="H1336" t="s">
        <v>905</v>
      </c>
      <c r="I1336" t="s">
        <v>3437</v>
      </c>
      <c r="J1336" t="s">
        <v>761</v>
      </c>
      <c r="L1336">
        <v>9</v>
      </c>
      <c r="M1336" s="134">
        <v>300000</v>
      </c>
      <c r="N1336" s="134">
        <v>360000</v>
      </c>
      <c r="O1336" t="s">
        <v>840</v>
      </c>
      <c r="P1336" t="s">
        <v>3438</v>
      </c>
      <c r="Q1336" t="s">
        <v>620</v>
      </c>
      <c r="R1336" t="s">
        <v>3356</v>
      </c>
      <c r="U1336" t="s">
        <v>491</v>
      </c>
      <c r="X1336">
        <v>0</v>
      </c>
    </row>
    <row r="1337" spans="1:24" x14ac:dyDescent="0.25">
      <c r="A1337" s="234">
        <v>42949</v>
      </c>
      <c r="B1337" t="s">
        <v>328</v>
      </c>
      <c r="C1337" t="s">
        <v>603</v>
      </c>
      <c r="D1337" t="s">
        <v>2397</v>
      </c>
      <c r="E1337" t="s">
        <v>588</v>
      </c>
      <c r="F1337" t="s">
        <v>7958</v>
      </c>
      <c r="G1337" t="s">
        <v>7959</v>
      </c>
      <c r="H1337" t="s">
        <v>722</v>
      </c>
      <c r="I1337" t="s">
        <v>7960</v>
      </c>
      <c r="J1337" t="s">
        <v>899</v>
      </c>
      <c r="L1337">
        <v>9</v>
      </c>
      <c r="M1337" s="134">
        <v>300000</v>
      </c>
      <c r="N1337" s="134">
        <v>380000</v>
      </c>
      <c r="O1337" t="s">
        <v>2680</v>
      </c>
      <c r="P1337" t="s">
        <v>7961</v>
      </c>
      <c r="Q1337" t="s">
        <v>1939</v>
      </c>
      <c r="R1337" t="s">
        <v>8402</v>
      </c>
      <c r="T1337">
        <v>22</v>
      </c>
      <c r="U1337" t="s">
        <v>491</v>
      </c>
      <c r="X1337">
        <v>0</v>
      </c>
    </row>
    <row r="1338" spans="1:24" x14ac:dyDescent="0.25">
      <c r="A1338" s="234">
        <v>43006</v>
      </c>
      <c r="B1338" t="s">
        <v>110</v>
      </c>
      <c r="C1338" t="s">
        <v>761</v>
      </c>
      <c r="D1338" t="s">
        <v>715</v>
      </c>
      <c r="E1338" t="s">
        <v>588</v>
      </c>
      <c r="F1338" t="s">
        <v>8776</v>
      </c>
      <c r="G1338" t="s">
        <v>8777</v>
      </c>
      <c r="H1338" t="s">
        <v>905</v>
      </c>
      <c r="I1338" t="s">
        <v>7662</v>
      </c>
      <c r="J1338" t="s">
        <v>761</v>
      </c>
      <c r="L1338">
        <v>10</v>
      </c>
      <c r="M1338" s="134">
        <v>300000</v>
      </c>
      <c r="N1338" s="134">
        <v>390000</v>
      </c>
      <c r="O1338" t="s">
        <v>764</v>
      </c>
      <c r="P1338" t="s">
        <v>8778</v>
      </c>
      <c r="Q1338" t="s">
        <v>620</v>
      </c>
      <c r="R1338" t="s">
        <v>8779</v>
      </c>
      <c r="T1338">
        <v>35</v>
      </c>
      <c r="U1338" t="s">
        <v>491</v>
      </c>
      <c r="X1338">
        <v>0</v>
      </c>
    </row>
    <row r="1339" spans="1:24" x14ac:dyDescent="0.25">
      <c r="A1339" s="234">
        <v>43213</v>
      </c>
      <c r="B1339" t="s">
        <v>9240</v>
      </c>
      <c r="C1339" t="s">
        <v>603</v>
      </c>
      <c r="D1339" t="s">
        <v>7814</v>
      </c>
      <c r="E1339" t="s">
        <v>588</v>
      </c>
      <c r="F1339" t="s">
        <v>11038</v>
      </c>
      <c r="G1339" t="s">
        <v>11039</v>
      </c>
      <c r="H1339" t="s">
        <v>607</v>
      </c>
      <c r="I1339" t="s">
        <v>11037</v>
      </c>
      <c r="J1339" t="s">
        <v>5610</v>
      </c>
      <c r="L1339">
        <v>3</v>
      </c>
      <c r="M1339" s="134">
        <v>300000</v>
      </c>
      <c r="N1339" s="134">
        <v>400000</v>
      </c>
      <c r="O1339" t="s">
        <v>6745</v>
      </c>
      <c r="P1339" t="s">
        <v>11036</v>
      </c>
      <c r="Q1339" t="s">
        <v>1939</v>
      </c>
      <c r="R1339" t="s">
        <v>11035</v>
      </c>
      <c r="U1339" t="s">
        <v>1327</v>
      </c>
      <c r="X1339">
        <v>0</v>
      </c>
    </row>
    <row r="1340" spans="1:24" x14ac:dyDescent="0.25">
      <c r="A1340" s="234">
        <v>42936</v>
      </c>
      <c r="B1340" t="s">
        <v>328</v>
      </c>
      <c r="C1340" t="s">
        <v>603</v>
      </c>
      <c r="D1340" t="s">
        <v>649</v>
      </c>
      <c r="E1340" t="s">
        <v>588</v>
      </c>
      <c r="F1340" t="s">
        <v>7698</v>
      </c>
      <c r="G1340" t="s">
        <v>7697</v>
      </c>
      <c r="H1340" t="s">
        <v>905</v>
      </c>
      <c r="I1340" t="s">
        <v>7692</v>
      </c>
      <c r="J1340" t="s">
        <v>3367</v>
      </c>
      <c r="L1340">
        <v>3</v>
      </c>
      <c r="M1340" s="134">
        <v>300000</v>
      </c>
      <c r="N1340" s="134">
        <v>405000</v>
      </c>
      <c r="O1340" t="s">
        <v>4533</v>
      </c>
      <c r="P1340" t="s">
        <v>7693</v>
      </c>
      <c r="Q1340" t="s">
        <v>1939</v>
      </c>
      <c r="R1340" t="s">
        <v>7942</v>
      </c>
      <c r="U1340" t="s">
        <v>2227</v>
      </c>
      <c r="X1340">
        <v>0</v>
      </c>
    </row>
    <row r="1341" spans="1:24" x14ac:dyDescent="0.25">
      <c r="A1341" s="234">
        <v>43584</v>
      </c>
      <c r="B1341" t="s">
        <v>328</v>
      </c>
      <c r="C1341" t="s">
        <v>603</v>
      </c>
      <c r="D1341" t="s">
        <v>10338</v>
      </c>
      <c r="F1341" t="s">
        <v>15278</v>
      </c>
      <c r="G1341" t="s">
        <v>15279</v>
      </c>
      <c r="H1341" t="s">
        <v>607</v>
      </c>
      <c r="I1341" t="s">
        <v>1487</v>
      </c>
      <c r="J1341" t="s">
        <v>604</v>
      </c>
      <c r="K1341" t="s">
        <v>15280</v>
      </c>
      <c r="L1341">
        <v>2</v>
      </c>
      <c r="M1341" s="134">
        <v>300000</v>
      </c>
      <c r="N1341" s="134">
        <v>430000</v>
      </c>
      <c r="O1341" t="s">
        <v>6745</v>
      </c>
      <c r="P1341" t="s">
        <v>15281</v>
      </c>
      <c r="Q1341" t="s">
        <v>1939</v>
      </c>
      <c r="R1341" t="s">
        <v>15282</v>
      </c>
      <c r="S1341" t="s">
        <v>15283</v>
      </c>
      <c r="U1341" t="s">
        <v>491</v>
      </c>
      <c r="X1341">
        <v>0</v>
      </c>
    </row>
    <row r="1342" spans="1:24" x14ac:dyDescent="0.25">
      <c r="A1342" s="234">
        <v>42423</v>
      </c>
      <c r="B1342" t="s">
        <v>643</v>
      </c>
      <c r="C1342" t="s">
        <v>644</v>
      </c>
      <c r="D1342" t="s">
        <v>645</v>
      </c>
      <c r="E1342" t="s">
        <v>588</v>
      </c>
      <c r="F1342" t="s">
        <v>1091</v>
      </c>
      <c r="H1342" t="s">
        <v>607</v>
      </c>
      <c r="I1342" t="s">
        <v>1092</v>
      </c>
      <c r="M1342" s="134">
        <v>300000</v>
      </c>
      <c r="N1342" s="134">
        <v>456000</v>
      </c>
      <c r="O1342" t="s">
        <v>991</v>
      </c>
      <c r="P1342" t="s">
        <v>1093</v>
      </c>
      <c r="Q1342" t="s">
        <v>592</v>
      </c>
      <c r="R1342" t="s">
        <v>1103</v>
      </c>
      <c r="U1342" t="s">
        <v>491</v>
      </c>
      <c r="X1342">
        <v>0</v>
      </c>
    </row>
    <row r="1343" spans="1:24" x14ac:dyDescent="0.25">
      <c r="A1343" s="234">
        <v>43150</v>
      </c>
      <c r="B1343" t="s">
        <v>328</v>
      </c>
      <c r="C1343" t="s">
        <v>603</v>
      </c>
      <c r="D1343" t="s">
        <v>5701</v>
      </c>
      <c r="E1343" t="s">
        <v>588</v>
      </c>
      <c r="F1343" t="s">
        <v>10376</v>
      </c>
      <c r="G1343" t="s">
        <v>10375</v>
      </c>
      <c r="H1343" t="s">
        <v>10831</v>
      </c>
      <c r="J1343" t="s">
        <v>3370</v>
      </c>
      <c r="L1343">
        <v>2</v>
      </c>
      <c r="M1343" s="134">
        <v>300000</v>
      </c>
      <c r="N1343" s="134">
        <v>460000</v>
      </c>
      <c r="O1343" t="s">
        <v>4533</v>
      </c>
      <c r="P1343" t="s">
        <v>10377</v>
      </c>
      <c r="Q1343" t="s">
        <v>592</v>
      </c>
      <c r="R1343" t="s">
        <v>10378</v>
      </c>
      <c r="U1343" t="s">
        <v>1327</v>
      </c>
      <c r="X1343">
        <v>0</v>
      </c>
    </row>
    <row r="1344" spans="1:24" x14ac:dyDescent="0.25">
      <c r="A1344" s="234">
        <v>42667</v>
      </c>
      <c r="B1344" t="s">
        <v>643</v>
      </c>
      <c r="C1344" t="s">
        <v>644</v>
      </c>
      <c r="D1344" t="s">
        <v>645</v>
      </c>
      <c r="E1344" t="s">
        <v>588</v>
      </c>
      <c r="F1344" t="s">
        <v>4448</v>
      </c>
      <c r="H1344" t="s">
        <v>809</v>
      </c>
      <c r="I1344" t="s">
        <v>4449</v>
      </c>
      <c r="J1344" t="s">
        <v>644</v>
      </c>
      <c r="L1344">
        <v>9</v>
      </c>
      <c r="M1344" s="134">
        <v>300000</v>
      </c>
      <c r="N1344" s="134">
        <v>462300</v>
      </c>
      <c r="O1344" t="s">
        <v>4450</v>
      </c>
      <c r="P1344" t="s">
        <v>4451</v>
      </c>
      <c r="Q1344" t="s">
        <v>1939</v>
      </c>
      <c r="R1344" t="s">
        <v>4452</v>
      </c>
      <c r="U1344" t="s">
        <v>491</v>
      </c>
      <c r="X1344">
        <v>0</v>
      </c>
    </row>
    <row r="1345" spans="1:24" x14ac:dyDescent="0.25">
      <c r="A1345" s="234">
        <v>43364</v>
      </c>
      <c r="B1345" t="s">
        <v>328</v>
      </c>
      <c r="C1345" t="s">
        <v>603</v>
      </c>
      <c r="D1345" t="s">
        <v>7595</v>
      </c>
      <c r="E1345" t="s">
        <v>588</v>
      </c>
      <c r="F1345" t="s">
        <v>12674</v>
      </c>
      <c r="G1345" t="s">
        <v>11949</v>
      </c>
      <c r="H1345" t="s">
        <v>10831</v>
      </c>
      <c r="I1345" t="s">
        <v>12676</v>
      </c>
      <c r="J1345" t="s">
        <v>644</v>
      </c>
      <c r="L1345">
        <v>10</v>
      </c>
      <c r="M1345" s="134">
        <v>300000</v>
      </c>
      <c r="N1345" s="134">
        <v>475000</v>
      </c>
      <c r="O1345" t="s">
        <v>7124</v>
      </c>
      <c r="P1345" t="s">
        <v>12677</v>
      </c>
      <c r="Q1345" t="s">
        <v>592</v>
      </c>
      <c r="R1345" t="s">
        <v>13395</v>
      </c>
      <c r="U1345" t="s">
        <v>12344</v>
      </c>
      <c r="X1345">
        <v>0</v>
      </c>
    </row>
    <row r="1346" spans="1:24" x14ac:dyDescent="0.25">
      <c r="A1346" s="234">
        <v>43383</v>
      </c>
      <c r="B1346" t="s">
        <v>328</v>
      </c>
      <c r="C1346" t="s">
        <v>603</v>
      </c>
      <c r="D1346" t="s">
        <v>7595</v>
      </c>
      <c r="E1346" t="s">
        <v>588</v>
      </c>
      <c r="F1346" t="s">
        <v>12674</v>
      </c>
      <c r="G1346" t="s">
        <v>11949</v>
      </c>
      <c r="H1346" t="s">
        <v>10831</v>
      </c>
      <c r="J1346" t="s">
        <v>644</v>
      </c>
      <c r="L1346">
        <v>9</v>
      </c>
      <c r="M1346" s="134">
        <v>300000</v>
      </c>
      <c r="N1346" s="134">
        <v>475000</v>
      </c>
      <c r="O1346" t="s">
        <v>7124</v>
      </c>
      <c r="P1346" t="s">
        <v>12880</v>
      </c>
      <c r="Q1346" t="s">
        <v>592</v>
      </c>
      <c r="R1346" t="s">
        <v>12881</v>
      </c>
      <c r="U1346" t="s">
        <v>289</v>
      </c>
      <c r="X1346">
        <v>0</v>
      </c>
    </row>
    <row r="1347" spans="1:24" x14ac:dyDescent="0.25">
      <c r="A1347" s="234">
        <v>43270</v>
      </c>
      <c r="B1347" t="s">
        <v>328</v>
      </c>
      <c r="C1347" t="s">
        <v>603</v>
      </c>
      <c r="D1347" t="s">
        <v>10338</v>
      </c>
      <c r="E1347" t="s">
        <v>588</v>
      </c>
      <c r="F1347" t="s">
        <v>11570</v>
      </c>
      <c r="G1347" t="s">
        <v>11570</v>
      </c>
      <c r="H1347" t="s">
        <v>10831</v>
      </c>
      <c r="I1347" t="s">
        <v>11571</v>
      </c>
      <c r="J1347" t="s">
        <v>3501</v>
      </c>
      <c r="L1347">
        <v>10</v>
      </c>
      <c r="M1347" s="134">
        <v>300000</v>
      </c>
      <c r="N1347" s="134">
        <v>480000</v>
      </c>
      <c r="O1347" t="s">
        <v>7124</v>
      </c>
      <c r="P1347" t="s">
        <v>11697</v>
      </c>
      <c r="Q1347" t="s">
        <v>1939</v>
      </c>
      <c r="R1347" t="s">
        <v>11572</v>
      </c>
      <c r="U1347" t="s">
        <v>1327</v>
      </c>
      <c r="X1347">
        <v>0</v>
      </c>
    </row>
    <row r="1348" spans="1:24" x14ac:dyDescent="0.25">
      <c r="A1348" s="234">
        <v>42787</v>
      </c>
      <c r="B1348" t="s">
        <v>328</v>
      </c>
      <c r="C1348" t="s">
        <v>603</v>
      </c>
      <c r="D1348" t="s">
        <v>2397</v>
      </c>
      <c r="E1348" t="s">
        <v>588</v>
      </c>
      <c r="F1348" t="s">
        <v>5753</v>
      </c>
      <c r="H1348" t="s">
        <v>1365</v>
      </c>
      <c r="I1348" t="s">
        <v>5412</v>
      </c>
      <c r="J1348" t="s">
        <v>899</v>
      </c>
      <c r="L1348">
        <v>3</v>
      </c>
      <c r="M1348" s="134">
        <v>300000</v>
      </c>
      <c r="N1348" s="134">
        <v>480000</v>
      </c>
      <c r="O1348" t="s">
        <v>695</v>
      </c>
      <c r="P1348" t="s">
        <v>5754</v>
      </c>
      <c r="Q1348" t="s">
        <v>1939</v>
      </c>
      <c r="R1348" t="s">
        <v>5755</v>
      </c>
      <c r="U1348" t="s">
        <v>491</v>
      </c>
      <c r="X1348">
        <v>0</v>
      </c>
    </row>
    <row r="1349" spans="1:24" x14ac:dyDescent="0.25">
      <c r="A1349" s="234">
        <v>42647</v>
      </c>
      <c r="B1349" t="s">
        <v>378</v>
      </c>
      <c r="C1349" t="s">
        <v>623</v>
      </c>
      <c r="D1349" t="s">
        <v>625</v>
      </c>
      <c r="E1349" t="s">
        <v>588</v>
      </c>
      <c r="F1349" t="s">
        <v>4161</v>
      </c>
      <c r="H1349" t="s">
        <v>4162</v>
      </c>
      <c r="I1349" t="s">
        <v>3925</v>
      </c>
      <c r="J1349" t="s">
        <v>899</v>
      </c>
      <c r="M1349" s="134">
        <v>300000</v>
      </c>
      <c r="N1349" s="134">
        <v>480000</v>
      </c>
      <c r="O1349" t="s">
        <v>3575</v>
      </c>
      <c r="P1349" t="s">
        <v>4163</v>
      </c>
      <c r="Q1349" t="s">
        <v>1612</v>
      </c>
      <c r="R1349" t="s">
        <v>4164</v>
      </c>
      <c r="S1349" t="s">
        <v>4333</v>
      </c>
      <c r="U1349" t="s">
        <v>491</v>
      </c>
      <c r="X1349">
        <v>0</v>
      </c>
    </row>
    <row r="1350" spans="1:24" x14ac:dyDescent="0.25">
      <c r="A1350" s="234">
        <v>43510</v>
      </c>
      <c r="B1350" t="s">
        <v>328</v>
      </c>
      <c r="C1350" t="s">
        <v>603</v>
      </c>
      <c r="D1350" t="s">
        <v>7595</v>
      </c>
      <c r="E1350" t="s">
        <v>588</v>
      </c>
      <c r="F1350" t="s">
        <v>14381</v>
      </c>
      <c r="G1350" t="s">
        <v>14382</v>
      </c>
      <c r="H1350" t="s">
        <v>607</v>
      </c>
      <c r="I1350" t="s">
        <v>14383</v>
      </c>
      <c r="J1350" t="s">
        <v>14074</v>
      </c>
      <c r="K1350" t="s">
        <v>14384</v>
      </c>
      <c r="L1350">
        <v>2</v>
      </c>
      <c r="M1350" s="134">
        <v>300000</v>
      </c>
      <c r="N1350" s="134">
        <v>490000</v>
      </c>
      <c r="O1350" t="s">
        <v>10766</v>
      </c>
      <c r="P1350" t="s">
        <v>14385</v>
      </c>
      <c r="Q1350" t="s">
        <v>1939</v>
      </c>
      <c r="R1350" t="s">
        <v>14387</v>
      </c>
      <c r="S1350" t="s">
        <v>14386</v>
      </c>
      <c r="U1350" t="s">
        <v>491</v>
      </c>
      <c r="X1350">
        <v>0</v>
      </c>
    </row>
    <row r="1351" spans="1:24" x14ac:dyDescent="0.25">
      <c r="A1351" s="234">
        <v>43357</v>
      </c>
      <c r="B1351" t="s">
        <v>6076</v>
      </c>
      <c r="C1351" t="s">
        <v>12608</v>
      </c>
      <c r="D1351" t="s">
        <v>10524</v>
      </c>
      <c r="E1351" t="s">
        <v>588</v>
      </c>
      <c r="F1351" t="s">
        <v>12609</v>
      </c>
      <c r="G1351" t="s">
        <v>7714</v>
      </c>
      <c r="H1351" t="s">
        <v>607</v>
      </c>
      <c r="I1351" t="s">
        <v>12610</v>
      </c>
      <c r="J1351" t="s">
        <v>3370</v>
      </c>
      <c r="L1351">
        <v>6</v>
      </c>
      <c r="M1351" s="134">
        <v>300000</v>
      </c>
      <c r="N1351" s="134">
        <v>495000</v>
      </c>
      <c r="O1351" t="s">
        <v>10763</v>
      </c>
      <c r="P1351" t="s">
        <v>13390</v>
      </c>
      <c r="Q1351" t="s">
        <v>29</v>
      </c>
      <c r="R1351" t="s">
        <v>12611</v>
      </c>
      <c r="U1351" t="s">
        <v>12344</v>
      </c>
      <c r="X1351">
        <v>1</v>
      </c>
    </row>
    <row r="1352" spans="1:24" x14ac:dyDescent="0.25">
      <c r="A1352" s="234">
        <v>43472</v>
      </c>
      <c r="B1352" t="s">
        <v>5956</v>
      </c>
      <c r="C1352" t="s">
        <v>3369</v>
      </c>
      <c r="D1352" t="s">
        <v>8126</v>
      </c>
      <c r="F1352" t="s">
        <v>13827</v>
      </c>
      <c r="G1352" t="s">
        <v>13828</v>
      </c>
      <c r="H1352" t="s">
        <v>607</v>
      </c>
      <c r="I1352" t="s">
        <v>13829</v>
      </c>
      <c r="J1352" t="s">
        <v>4825</v>
      </c>
      <c r="K1352" t="s">
        <v>13830</v>
      </c>
      <c r="L1352">
        <v>2</v>
      </c>
      <c r="M1352" s="134">
        <v>300000</v>
      </c>
      <c r="N1352" s="134">
        <v>510000</v>
      </c>
      <c r="O1352" t="s">
        <v>10766</v>
      </c>
      <c r="P1352" t="s">
        <v>13831</v>
      </c>
      <c r="Q1352" t="s">
        <v>620</v>
      </c>
      <c r="R1352" t="s">
        <v>13832</v>
      </c>
      <c r="U1352" t="s">
        <v>491</v>
      </c>
      <c r="X1352">
        <v>0</v>
      </c>
    </row>
    <row r="1353" spans="1:24" x14ac:dyDescent="0.25">
      <c r="A1353" s="234">
        <v>43517</v>
      </c>
      <c r="B1353" t="s">
        <v>328</v>
      </c>
      <c r="C1353" t="s">
        <v>603</v>
      </c>
      <c r="D1353" t="s">
        <v>5701</v>
      </c>
      <c r="F1353" t="s">
        <v>14469</v>
      </c>
      <c r="G1353" t="s">
        <v>748</v>
      </c>
      <c r="H1353" t="s">
        <v>607</v>
      </c>
      <c r="I1353" t="s">
        <v>7025</v>
      </c>
      <c r="J1353" t="s">
        <v>3373</v>
      </c>
      <c r="K1353" t="s">
        <v>13313</v>
      </c>
      <c r="L1353">
        <v>2</v>
      </c>
      <c r="M1353" s="134">
        <v>300000</v>
      </c>
      <c r="N1353" s="134">
        <v>510000</v>
      </c>
      <c r="O1353" t="s">
        <v>10879</v>
      </c>
      <c r="P1353" t="s">
        <v>14470</v>
      </c>
      <c r="Q1353" t="s">
        <v>29</v>
      </c>
      <c r="R1353" t="s">
        <v>14471</v>
      </c>
      <c r="U1353" t="s">
        <v>12797</v>
      </c>
      <c r="X1353">
        <v>1</v>
      </c>
    </row>
    <row r="1354" spans="1:24" x14ac:dyDescent="0.25">
      <c r="A1354" s="234">
        <v>43518</v>
      </c>
      <c r="B1354" t="s">
        <v>328</v>
      </c>
      <c r="C1354" t="s">
        <v>603</v>
      </c>
      <c r="D1354" t="s">
        <v>649</v>
      </c>
      <c r="F1354" t="s">
        <v>14477</v>
      </c>
      <c r="G1354" t="s">
        <v>8289</v>
      </c>
      <c r="H1354" t="s">
        <v>607</v>
      </c>
      <c r="I1354" t="s">
        <v>14478</v>
      </c>
      <c r="J1354" t="s">
        <v>14074</v>
      </c>
      <c r="K1354" t="s">
        <v>14479</v>
      </c>
      <c r="L1354">
        <v>5</v>
      </c>
      <c r="M1354" s="134">
        <v>300000</v>
      </c>
      <c r="N1354" s="134">
        <v>510000</v>
      </c>
      <c r="O1354" t="s">
        <v>4533</v>
      </c>
      <c r="P1354" t="s">
        <v>14480</v>
      </c>
      <c r="Q1354" t="s">
        <v>1939</v>
      </c>
      <c r="R1354" t="s">
        <v>14481</v>
      </c>
      <c r="U1354" t="s">
        <v>12797</v>
      </c>
      <c r="X1354">
        <v>0</v>
      </c>
    </row>
    <row r="1355" spans="1:24" x14ac:dyDescent="0.25">
      <c r="A1355" s="234">
        <v>43339</v>
      </c>
      <c r="B1355" t="s">
        <v>328</v>
      </c>
      <c r="C1355" t="s">
        <v>603</v>
      </c>
      <c r="D1355" t="s">
        <v>5701</v>
      </c>
      <c r="E1355" t="s">
        <v>588</v>
      </c>
      <c r="F1355" t="s">
        <v>12330</v>
      </c>
      <c r="G1355" t="s">
        <v>465</v>
      </c>
      <c r="H1355" t="s">
        <v>607</v>
      </c>
      <c r="I1355" t="s">
        <v>5691</v>
      </c>
      <c r="J1355" t="s">
        <v>3751</v>
      </c>
      <c r="L1355">
        <v>4</v>
      </c>
      <c r="M1355" s="134">
        <v>300000</v>
      </c>
      <c r="N1355" s="134">
        <v>510000</v>
      </c>
      <c r="O1355" t="s">
        <v>10766</v>
      </c>
      <c r="P1355" t="s">
        <v>12331</v>
      </c>
      <c r="Q1355" t="s">
        <v>1939</v>
      </c>
      <c r="R1355" t="s">
        <v>12332</v>
      </c>
      <c r="U1355" t="s">
        <v>491</v>
      </c>
      <c r="V1355" t="s">
        <v>3985</v>
      </c>
      <c r="W1355" t="s">
        <v>12345</v>
      </c>
      <c r="X1355">
        <v>0</v>
      </c>
    </row>
    <row r="1356" spans="1:24" x14ac:dyDescent="0.25">
      <c r="A1356" s="234">
        <v>42678</v>
      </c>
      <c r="B1356" t="s">
        <v>110</v>
      </c>
      <c r="C1356" t="s">
        <v>761</v>
      </c>
      <c r="D1356" t="s">
        <v>715</v>
      </c>
      <c r="E1356" t="s">
        <v>588</v>
      </c>
      <c r="F1356" t="s">
        <v>4610</v>
      </c>
      <c r="H1356" t="s">
        <v>607</v>
      </c>
      <c r="I1356" t="s">
        <v>4611</v>
      </c>
      <c r="J1356" t="s">
        <v>761</v>
      </c>
      <c r="L1356">
        <v>9</v>
      </c>
      <c r="M1356" s="134">
        <v>300000</v>
      </c>
      <c r="N1356" s="134">
        <v>510000</v>
      </c>
      <c r="O1356" t="s">
        <v>4612</v>
      </c>
      <c r="P1356" t="s">
        <v>4613</v>
      </c>
      <c r="Q1356" t="s">
        <v>620</v>
      </c>
      <c r="R1356" t="s">
        <v>4614</v>
      </c>
      <c r="U1356" t="s">
        <v>1327</v>
      </c>
      <c r="X1356">
        <v>0</v>
      </c>
    </row>
    <row r="1357" spans="1:24" x14ac:dyDescent="0.25">
      <c r="A1357" s="234">
        <v>42548</v>
      </c>
      <c r="B1357" t="s">
        <v>328</v>
      </c>
      <c r="D1357" t="s">
        <v>1401</v>
      </c>
      <c r="E1357" t="s">
        <v>588</v>
      </c>
      <c r="F1357" t="s">
        <v>2683</v>
      </c>
      <c r="H1357" t="s">
        <v>607</v>
      </c>
      <c r="I1357" t="s">
        <v>2684</v>
      </c>
      <c r="M1357" s="134">
        <v>300000</v>
      </c>
      <c r="N1357" s="134">
        <v>520000</v>
      </c>
      <c r="O1357" t="s">
        <v>2680</v>
      </c>
      <c r="P1357" t="s">
        <v>2685</v>
      </c>
      <c r="Q1357" t="s">
        <v>29</v>
      </c>
      <c r="U1357" t="s">
        <v>491</v>
      </c>
      <c r="X1357">
        <v>1</v>
      </c>
    </row>
    <row r="1358" spans="1:24" x14ac:dyDescent="0.25">
      <c r="A1358" s="234">
        <v>43563</v>
      </c>
      <c r="B1358" t="s">
        <v>328</v>
      </c>
      <c r="C1358" t="s">
        <v>603</v>
      </c>
      <c r="D1358" t="s">
        <v>1401</v>
      </c>
      <c r="F1358" t="s">
        <v>15010</v>
      </c>
      <c r="G1358" t="s">
        <v>15011</v>
      </c>
      <c r="H1358" t="s">
        <v>607</v>
      </c>
      <c r="I1358" t="s">
        <v>15012</v>
      </c>
      <c r="J1358" t="s">
        <v>3751</v>
      </c>
      <c r="K1358" t="s">
        <v>15013</v>
      </c>
      <c r="L1358">
        <v>10</v>
      </c>
      <c r="M1358" s="134">
        <v>300000</v>
      </c>
      <c r="N1358" s="134">
        <v>540000</v>
      </c>
      <c r="O1358" t="s">
        <v>4533</v>
      </c>
      <c r="P1358" t="s">
        <v>15014</v>
      </c>
      <c r="Q1358" t="s">
        <v>1612</v>
      </c>
      <c r="R1358" t="s">
        <v>15035</v>
      </c>
      <c r="U1358" t="s">
        <v>12797</v>
      </c>
      <c r="X1358">
        <v>0</v>
      </c>
    </row>
    <row r="1359" spans="1:24" x14ac:dyDescent="0.25">
      <c r="A1359" s="234">
        <v>42810</v>
      </c>
      <c r="B1359" t="s">
        <v>328</v>
      </c>
      <c r="C1359" t="s">
        <v>603</v>
      </c>
      <c r="D1359" t="s">
        <v>2397</v>
      </c>
      <c r="E1359" t="s">
        <v>588</v>
      </c>
      <c r="F1359" t="s">
        <v>5976</v>
      </c>
      <c r="H1359" t="s">
        <v>607</v>
      </c>
      <c r="I1359" t="s">
        <v>5977</v>
      </c>
      <c r="J1359" t="s">
        <v>899</v>
      </c>
      <c r="L1359">
        <v>9</v>
      </c>
      <c r="M1359" s="134">
        <v>300000</v>
      </c>
      <c r="N1359" s="134">
        <v>540000</v>
      </c>
      <c r="O1359" t="s">
        <v>2680</v>
      </c>
      <c r="P1359" t="s">
        <v>5978</v>
      </c>
      <c r="Q1359" t="s">
        <v>29</v>
      </c>
      <c r="R1359" t="s">
        <v>5979</v>
      </c>
      <c r="U1359" t="s">
        <v>491</v>
      </c>
      <c r="X1359">
        <v>1</v>
      </c>
    </row>
    <row r="1360" spans="1:24" x14ac:dyDescent="0.25">
      <c r="A1360" s="234">
        <v>42416</v>
      </c>
      <c r="B1360" t="s">
        <v>328</v>
      </c>
      <c r="C1360" t="s">
        <v>603</v>
      </c>
      <c r="D1360" t="s">
        <v>672</v>
      </c>
      <c r="E1360" t="s">
        <v>588</v>
      </c>
      <c r="F1360" t="s">
        <v>994</v>
      </c>
      <c r="H1360" t="s">
        <v>607</v>
      </c>
      <c r="I1360" t="s">
        <v>995</v>
      </c>
      <c r="M1360" s="134">
        <v>300000</v>
      </c>
      <c r="N1360" s="134">
        <v>540000</v>
      </c>
      <c r="O1360" t="s">
        <v>996</v>
      </c>
      <c r="P1360" t="s">
        <v>997</v>
      </c>
      <c r="Q1360" t="s">
        <v>592</v>
      </c>
      <c r="R1360" t="s">
        <v>1191</v>
      </c>
      <c r="U1360" t="s">
        <v>491</v>
      </c>
      <c r="X1360">
        <v>0</v>
      </c>
    </row>
    <row r="1361" spans="1:24" x14ac:dyDescent="0.25">
      <c r="A1361" s="234">
        <v>42642</v>
      </c>
      <c r="B1361" t="s">
        <v>1788</v>
      </c>
      <c r="D1361" t="s">
        <v>4118</v>
      </c>
      <c r="E1361" t="s">
        <v>588</v>
      </c>
      <c r="F1361" t="s">
        <v>4119</v>
      </c>
      <c r="H1361" t="s">
        <v>607</v>
      </c>
      <c r="I1361" t="s">
        <v>4120</v>
      </c>
      <c r="J1361" t="s">
        <v>3369</v>
      </c>
      <c r="L1361" t="s">
        <v>833</v>
      </c>
      <c r="M1361" s="134">
        <v>300000</v>
      </c>
      <c r="N1361" s="134">
        <v>540000</v>
      </c>
      <c r="O1361" t="s">
        <v>3952</v>
      </c>
      <c r="P1361" t="s">
        <v>4121</v>
      </c>
      <c r="Q1361" t="s">
        <v>29</v>
      </c>
      <c r="R1361" t="s">
        <v>4122</v>
      </c>
      <c r="U1361" t="s">
        <v>491</v>
      </c>
      <c r="X1361">
        <v>1</v>
      </c>
    </row>
    <row r="1362" spans="1:24" x14ac:dyDescent="0.25">
      <c r="A1362" s="234">
        <v>42620</v>
      </c>
      <c r="B1362" t="s">
        <v>328</v>
      </c>
      <c r="C1362" t="s">
        <v>603</v>
      </c>
      <c r="D1362" t="s">
        <v>1471</v>
      </c>
      <c r="E1362" t="s">
        <v>588</v>
      </c>
      <c r="F1362" t="s">
        <v>3798</v>
      </c>
      <c r="H1362" t="s">
        <v>607</v>
      </c>
      <c r="I1362" t="s">
        <v>3799</v>
      </c>
      <c r="J1362" t="s">
        <v>899</v>
      </c>
      <c r="L1362">
        <v>10</v>
      </c>
      <c r="M1362" s="134">
        <v>300000</v>
      </c>
      <c r="N1362" s="134">
        <v>555000</v>
      </c>
      <c r="O1362" t="s">
        <v>3800</v>
      </c>
      <c r="P1362" t="s">
        <v>3801</v>
      </c>
      <c r="Q1362" t="s">
        <v>1939</v>
      </c>
      <c r="R1362" t="s">
        <v>3802</v>
      </c>
      <c r="U1362" t="s">
        <v>491</v>
      </c>
      <c r="X1362">
        <v>0</v>
      </c>
    </row>
    <row r="1363" spans="1:24" x14ac:dyDescent="0.25">
      <c r="A1363" s="234">
        <v>43264</v>
      </c>
      <c r="B1363" t="s">
        <v>328</v>
      </c>
      <c r="C1363" t="s">
        <v>603</v>
      </c>
      <c r="D1363" t="s">
        <v>10338</v>
      </c>
      <c r="E1363" t="s">
        <v>588</v>
      </c>
      <c r="F1363" t="s">
        <v>11495</v>
      </c>
      <c r="G1363" t="s">
        <v>11325</v>
      </c>
      <c r="H1363" t="s">
        <v>607</v>
      </c>
      <c r="J1363" t="s">
        <v>3733</v>
      </c>
      <c r="L1363">
        <v>2</v>
      </c>
      <c r="M1363" s="134">
        <v>300000</v>
      </c>
      <c r="N1363" s="134">
        <v>600000</v>
      </c>
      <c r="O1363" t="s">
        <v>10766</v>
      </c>
      <c r="P1363" t="s">
        <v>11496</v>
      </c>
      <c r="Q1363" t="s">
        <v>592</v>
      </c>
      <c r="R1363" t="s">
        <v>11504</v>
      </c>
      <c r="S1363" t="s">
        <v>11505</v>
      </c>
      <c r="U1363" t="s">
        <v>491</v>
      </c>
      <c r="X1363">
        <v>0</v>
      </c>
    </row>
    <row r="1364" spans="1:24" x14ac:dyDescent="0.25">
      <c r="A1364" s="234">
        <v>43573</v>
      </c>
      <c r="B1364" t="s">
        <v>643</v>
      </c>
      <c r="C1364" t="s">
        <v>644</v>
      </c>
      <c r="D1364" t="s">
        <v>645</v>
      </c>
      <c r="F1364" t="s">
        <v>15</v>
      </c>
      <c r="G1364" t="s">
        <v>13774</v>
      </c>
      <c r="H1364" t="s">
        <v>607</v>
      </c>
      <c r="I1364" t="s">
        <v>15260</v>
      </c>
      <c r="J1364" t="s">
        <v>644</v>
      </c>
      <c r="K1364" t="s">
        <v>15261</v>
      </c>
      <c r="L1364">
        <v>2</v>
      </c>
      <c r="M1364" s="134">
        <v>300000</v>
      </c>
      <c r="N1364" s="134">
        <v>630000</v>
      </c>
      <c r="O1364" t="s">
        <v>10766</v>
      </c>
      <c r="P1364" t="s">
        <v>15336</v>
      </c>
      <c r="Q1364" t="s">
        <v>29</v>
      </c>
      <c r="R1364" t="s">
        <v>15448</v>
      </c>
      <c r="U1364" t="s">
        <v>12797</v>
      </c>
      <c r="X1364">
        <v>1</v>
      </c>
    </row>
    <row r="1365" spans="1:24" x14ac:dyDescent="0.25">
      <c r="A1365" s="234">
        <v>42828</v>
      </c>
      <c r="B1365" t="s">
        <v>328</v>
      </c>
      <c r="C1365" t="s">
        <v>603</v>
      </c>
      <c r="D1365" t="s">
        <v>672</v>
      </c>
      <c r="E1365" t="s">
        <v>588</v>
      </c>
      <c r="F1365" t="s">
        <v>6224</v>
      </c>
      <c r="H1365" t="s">
        <v>607</v>
      </c>
      <c r="I1365" t="s">
        <v>6225</v>
      </c>
      <c r="J1365" t="s">
        <v>3373</v>
      </c>
      <c r="L1365">
        <v>9</v>
      </c>
      <c r="M1365" s="134">
        <v>300000</v>
      </c>
      <c r="N1365" s="134">
        <v>705000</v>
      </c>
      <c r="O1365" t="s">
        <v>4959</v>
      </c>
      <c r="P1365" t="s">
        <v>6226</v>
      </c>
      <c r="Q1365" t="s">
        <v>620</v>
      </c>
      <c r="R1365" t="s">
        <v>6227</v>
      </c>
      <c r="U1365" t="s">
        <v>491</v>
      </c>
      <c r="X1365">
        <v>0</v>
      </c>
    </row>
    <row r="1366" spans="1:24" x14ac:dyDescent="0.25">
      <c r="A1366" s="234">
        <v>43404</v>
      </c>
      <c r="B1366" t="s">
        <v>5360</v>
      </c>
      <c r="C1366" t="s">
        <v>899</v>
      </c>
      <c r="D1366" t="s">
        <v>1027</v>
      </c>
      <c r="F1366" t="s">
        <v>13123</v>
      </c>
      <c r="G1366" t="s">
        <v>11461</v>
      </c>
      <c r="H1366" t="s">
        <v>607</v>
      </c>
      <c r="I1366" t="s">
        <v>5366</v>
      </c>
      <c r="J1366" t="s">
        <v>899</v>
      </c>
      <c r="K1366" t="s">
        <v>13124</v>
      </c>
      <c r="L1366">
        <v>4</v>
      </c>
      <c r="M1366" s="134">
        <v>300000</v>
      </c>
      <c r="N1366" s="134">
        <v>710000</v>
      </c>
      <c r="O1366" t="s">
        <v>10763</v>
      </c>
      <c r="P1366" t="s">
        <v>13125</v>
      </c>
      <c r="Q1366" t="s">
        <v>1939</v>
      </c>
      <c r="R1366" t="s">
        <v>13434</v>
      </c>
      <c r="U1366" t="s">
        <v>12344</v>
      </c>
      <c r="X1366">
        <v>0</v>
      </c>
    </row>
    <row r="1367" spans="1:24" x14ac:dyDescent="0.25">
      <c r="A1367" s="234">
        <v>42528</v>
      </c>
      <c r="B1367" t="s">
        <v>328</v>
      </c>
      <c r="C1367" t="s">
        <v>603</v>
      </c>
      <c r="D1367" t="s">
        <v>1471</v>
      </c>
      <c r="E1367" t="s">
        <v>588</v>
      </c>
      <c r="F1367" t="s">
        <v>2378</v>
      </c>
      <c r="H1367" t="s">
        <v>607</v>
      </c>
      <c r="I1367" t="s">
        <v>2379</v>
      </c>
      <c r="M1367" s="134">
        <v>300000</v>
      </c>
      <c r="N1367" s="134">
        <v>1670000</v>
      </c>
      <c r="O1367" t="s">
        <v>2380</v>
      </c>
      <c r="P1367" t="s">
        <v>2381</v>
      </c>
      <c r="Q1367" t="s">
        <v>1939</v>
      </c>
      <c r="R1367" t="s">
        <v>2382</v>
      </c>
      <c r="U1367" t="s">
        <v>491</v>
      </c>
      <c r="X1367">
        <v>0</v>
      </c>
    </row>
    <row r="1368" spans="1:24" x14ac:dyDescent="0.25">
      <c r="A1368" s="234">
        <v>42956</v>
      </c>
      <c r="B1368" t="s">
        <v>328</v>
      </c>
      <c r="C1368" t="s">
        <v>603</v>
      </c>
      <c r="D1368" t="s">
        <v>1401</v>
      </c>
      <c r="E1368" t="s">
        <v>588</v>
      </c>
      <c r="F1368" t="s">
        <v>8048</v>
      </c>
      <c r="G1368" t="s">
        <v>8049</v>
      </c>
      <c r="H1368" t="s">
        <v>809</v>
      </c>
      <c r="I1368" t="s">
        <v>5910</v>
      </c>
      <c r="J1368" t="s">
        <v>899</v>
      </c>
      <c r="L1368">
        <v>2</v>
      </c>
      <c r="M1368" s="134">
        <v>300000</v>
      </c>
      <c r="N1368" s="134">
        <v>3600000</v>
      </c>
      <c r="O1368" t="s">
        <v>560</v>
      </c>
      <c r="P1368" t="s">
        <v>8050</v>
      </c>
      <c r="Q1368" t="s">
        <v>1612</v>
      </c>
      <c r="R1368" t="s">
        <v>8051</v>
      </c>
      <c r="T1368">
        <v>29</v>
      </c>
      <c r="U1368" t="s">
        <v>491</v>
      </c>
      <c r="X1368">
        <v>0</v>
      </c>
    </row>
    <row r="1369" spans="1:24" x14ac:dyDescent="0.25">
      <c r="A1369" s="234">
        <v>43299</v>
      </c>
      <c r="B1369" t="s">
        <v>328</v>
      </c>
      <c r="C1369" t="s">
        <v>603</v>
      </c>
      <c r="D1369" t="s">
        <v>5701</v>
      </c>
      <c r="E1369" t="s">
        <v>588</v>
      </c>
      <c r="F1369" t="s">
        <v>11849</v>
      </c>
      <c r="G1369" t="s">
        <v>8974</v>
      </c>
      <c r="H1369" t="s">
        <v>10831</v>
      </c>
      <c r="I1369" t="s">
        <v>9429</v>
      </c>
      <c r="J1369" t="s">
        <v>3501</v>
      </c>
      <c r="L1369">
        <v>10</v>
      </c>
      <c r="M1369" s="134">
        <v>300000</v>
      </c>
      <c r="N1369" s="134">
        <v>3750000</v>
      </c>
      <c r="O1369" t="s">
        <v>7124</v>
      </c>
      <c r="P1369" t="s">
        <v>11850</v>
      </c>
      <c r="Q1369" t="s">
        <v>1939</v>
      </c>
      <c r="R1369" t="s">
        <v>11851</v>
      </c>
      <c r="S1369" t="s">
        <v>11852</v>
      </c>
      <c r="U1369" t="s">
        <v>491</v>
      </c>
      <c r="X1369">
        <v>0</v>
      </c>
    </row>
    <row r="1370" spans="1:24" x14ac:dyDescent="0.25">
      <c r="A1370" s="234">
        <v>42753</v>
      </c>
      <c r="B1370" t="s">
        <v>5360</v>
      </c>
      <c r="D1370" t="s">
        <v>1027</v>
      </c>
      <c r="E1370" t="s">
        <v>588</v>
      </c>
      <c r="F1370" t="s">
        <v>5361</v>
      </c>
      <c r="H1370" t="s">
        <v>5244</v>
      </c>
      <c r="I1370" t="s">
        <v>5362</v>
      </c>
      <c r="J1370" t="s">
        <v>899</v>
      </c>
      <c r="L1370" t="s">
        <v>5280</v>
      </c>
      <c r="M1370" s="134">
        <v>300000</v>
      </c>
      <c r="N1370" s="134">
        <v>4400000</v>
      </c>
      <c r="O1370" t="s">
        <v>560</v>
      </c>
      <c r="P1370" t="s">
        <v>5363</v>
      </c>
      <c r="Q1370" t="s">
        <v>1939</v>
      </c>
      <c r="R1370" t="s">
        <v>5364</v>
      </c>
      <c r="U1370" t="s">
        <v>491</v>
      </c>
      <c r="X1370">
        <v>0</v>
      </c>
    </row>
    <row r="1371" spans="1:24" x14ac:dyDescent="0.25">
      <c r="A1371" s="234">
        <v>43165</v>
      </c>
      <c r="B1371" t="s">
        <v>328</v>
      </c>
      <c r="C1371" t="s">
        <v>603</v>
      </c>
      <c r="D1371" t="s">
        <v>2397</v>
      </c>
      <c r="E1371" t="s">
        <v>588</v>
      </c>
      <c r="F1371" t="s">
        <v>10510</v>
      </c>
      <c r="G1371" t="s">
        <v>10511</v>
      </c>
      <c r="H1371" t="s">
        <v>607</v>
      </c>
      <c r="J1371" t="s">
        <v>3751</v>
      </c>
      <c r="L1371" t="s">
        <v>10512</v>
      </c>
      <c r="M1371" s="134">
        <v>301000</v>
      </c>
      <c r="N1371" s="134">
        <v>561800</v>
      </c>
      <c r="O1371" t="s">
        <v>4533</v>
      </c>
      <c r="P1371" t="s">
        <v>10625</v>
      </c>
      <c r="Q1371" t="s">
        <v>1939</v>
      </c>
      <c r="R1371" t="s">
        <v>10513</v>
      </c>
      <c r="U1371" t="s">
        <v>1327</v>
      </c>
      <c r="X1371">
        <v>0</v>
      </c>
    </row>
    <row r="1372" spans="1:24" x14ac:dyDescent="0.25">
      <c r="A1372" s="234">
        <v>42425</v>
      </c>
      <c r="B1372" t="s">
        <v>328</v>
      </c>
      <c r="C1372" t="s">
        <v>603</v>
      </c>
      <c r="D1372" t="s">
        <v>672</v>
      </c>
      <c r="E1372" t="s">
        <v>588</v>
      </c>
      <c r="F1372" t="s">
        <v>1135</v>
      </c>
      <c r="H1372" t="s">
        <v>607</v>
      </c>
      <c r="I1372" t="s">
        <v>1140</v>
      </c>
      <c r="M1372" s="134">
        <v>301000</v>
      </c>
      <c r="N1372" s="134">
        <v>621900</v>
      </c>
      <c r="O1372" t="s">
        <v>1141</v>
      </c>
      <c r="P1372" t="s">
        <v>1142</v>
      </c>
      <c r="Q1372" t="s">
        <v>592</v>
      </c>
      <c r="R1372" t="s">
        <v>1143</v>
      </c>
      <c r="U1372" t="s">
        <v>491</v>
      </c>
      <c r="X1372">
        <v>0</v>
      </c>
    </row>
    <row r="1373" spans="1:24" x14ac:dyDescent="0.25">
      <c r="A1373" s="234">
        <v>42487</v>
      </c>
      <c r="B1373" t="s">
        <v>643</v>
      </c>
      <c r="C1373" t="s">
        <v>1836</v>
      </c>
      <c r="D1373" t="s">
        <v>645</v>
      </c>
      <c r="E1373" t="s">
        <v>588</v>
      </c>
      <c r="F1373" t="s">
        <v>1837</v>
      </c>
      <c r="H1373" t="s">
        <v>1831</v>
      </c>
      <c r="I1373" t="s">
        <v>1838</v>
      </c>
      <c r="M1373" s="134">
        <v>301000</v>
      </c>
      <c r="N1373" s="134">
        <v>647150</v>
      </c>
      <c r="O1373" t="s">
        <v>686</v>
      </c>
      <c r="P1373" t="s">
        <v>1839</v>
      </c>
      <c r="Q1373" t="s">
        <v>1612</v>
      </c>
      <c r="R1373" t="s">
        <v>1866</v>
      </c>
      <c r="S1373" t="s">
        <v>1867</v>
      </c>
      <c r="U1373" t="s">
        <v>1856</v>
      </c>
      <c r="X1373">
        <v>0</v>
      </c>
    </row>
    <row r="1374" spans="1:24" x14ac:dyDescent="0.25">
      <c r="A1374" s="234">
        <v>42809</v>
      </c>
      <c r="B1374" t="s">
        <v>569</v>
      </c>
      <c r="D1374" t="s">
        <v>625</v>
      </c>
      <c r="E1374" t="s">
        <v>588</v>
      </c>
      <c r="F1374" t="s">
        <v>5971</v>
      </c>
      <c r="H1374" t="s">
        <v>607</v>
      </c>
      <c r="I1374" t="s">
        <v>5972</v>
      </c>
      <c r="J1374" t="s">
        <v>899</v>
      </c>
      <c r="L1374">
        <v>5</v>
      </c>
      <c r="M1374" s="134">
        <v>302000</v>
      </c>
      <c r="N1374" s="134">
        <v>1913000</v>
      </c>
      <c r="O1374" t="s">
        <v>5973</v>
      </c>
      <c r="P1374" t="s">
        <v>5974</v>
      </c>
      <c r="Q1374" t="s">
        <v>1939</v>
      </c>
      <c r="R1374" t="s">
        <v>5975</v>
      </c>
      <c r="U1374" t="s">
        <v>491</v>
      </c>
      <c r="X1374">
        <v>0</v>
      </c>
    </row>
    <row r="1375" spans="1:24" x14ac:dyDescent="0.25">
      <c r="A1375" s="234">
        <v>42689</v>
      </c>
      <c r="B1375" t="s">
        <v>643</v>
      </c>
      <c r="C1375" t="s">
        <v>644</v>
      </c>
      <c r="D1375" t="s">
        <v>645</v>
      </c>
      <c r="E1375" t="s">
        <v>588</v>
      </c>
      <c r="F1375" t="s">
        <v>4703</v>
      </c>
      <c r="H1375" t="s">
        <v>722</v>
      </c>
      <c r="I1375" t="s">
        <v>4704</v>
      </c>
      <c r="J1375" t="s">
        <v>644</v>
      </c>
      <c r="L1375">
        <v>10</v>
      </c>
      <c r="M1375" s="134">
        <v>302100</v>
      </c>
      <c r="N1375" s="134">
        <v>382310</v>
      </c>
      <c r="O1375" t="s">
        <v>4705</v>
      </c>
      <c r="P1375" t="s">
        <v>4706</v>
      </c>
      <c r="Q1375" t="s">
        <v>1939</v>
      </c>
      <c r="R1375" t="s">
        <v>4707</v>
      </c>
      <c r="U1375" t="s">
        <v>491</v>
      </c>
      <c r="X1375">
        <v>0</v>
      </c>
    </row>
    <row r="1376" spans="1:24" x14ac:dyDescent="0.25">
      <c r="A1376" s="234">
        <v>43301</v>
      </c>
      <c r="B1376" t="s">
        <v>328</v>
      </c>
      <c r="C1376" t="s">
        <v>603</v>
      </c>
      <c r="D1376" t="s">
        <v>5701</v>
      </c>
      <c r="E1376" t="s">
        <v>588</v>
      </c>
      <c r="F1376" t="s">
        <v>11869</v>
      </c>
      <c r="G1376" t="s">
        <v>11870</v>
      </c>
      <c r="H1376" t="s">
        <v>607</v>
      </c>
      <c r="I1376" t="s">
        <v>5390</v>
      </c>
      <c r="J1376" t="s">
        <v>5610</v>
      </c>
      <c r="L1376">
        <v>5</v>
      </c>
      <c r="M1376" s="134">
        <v>302300</v>
      </c>
      <c r="N1376" s="134">
        <v>589485</v>
      </c>
      <c r="O1376" t="s">
        <v>10766</v>
      </c>
      <c r="P1376" t="s">
        <v>12008</v>
      </c>
      <c r="Q1376" t="s">
        <v>1939</v>
      </c>
      <c r="R1376" t="s">
        <v>12009</v>
      </c>
      <c r="U1376" t="s">
        <v>1327</v>
      </c>
      <c r="X1376">
        <v>0</v>
      </c>
    </row>
    <row r="1377" spans="1:24" x14ac:dyDescent="0.25">
      <c r="A1377" s="234">
        <v>42429</v>
      </c>
      <c r="B1377" t="s">
        <v>643</v>
      </c>
      <c r="D1377" t="s">
        <v>645</v>
      </c>
      <c r="E1377" t="s">
        <v>588</v>
      </c>
      <c r="F1377" t="s">
        <v>1164</v>
      </c>
      <c r="H1377" t="s">
        <v>607</v>
      </c>
      <c r="I1377" t="s">
        <v>1165</v>
      </c>
      <c r="M1377" s="134">
        <v>302414</v>
      </c>
      <c r="N1377" s="134">
        <v>619586</v>
      </c>
      <c r="O1377" t="s">
        <v>1166</v>
      </c>
      <c r="P1377" t="s">
        <v>1167</v>
      </c>
      <c r="Q1377" t="s">
        <v>592</v>
      </c>
      <c r="R1377" t="s">
        <v>1168</v>
      </c>
      <c r="U1377" t="s">
        <v>491</v>
      </c>
      <c r="X1377">
        <v>0</v>
      </c>
    </row>
    <row r="1378" spans="1:24" x14ac:dyDescent="0.25">
      <c r="A1378" s="234">
        <v>42968</v>
      </c>
      <c r="B1378" t="s">
        <v>1788</v>
      </c>
      <c r="C1378" t="s">
        <v>3369</v>
      </c>
      <c r="D1378" t="s">
        <v>8216</v>
      </c>
      <c r="E1378" t="s">
        <v>588</v>
      </c>
      <c r="F1378" t="s">
        <v>289</v>
      </c>
      <c r="G1378" t="s">
        <v>8217</v>
      </c>
      <c r="H1378" t="s">
        <v>5991</v>
      </c>
      <c r="I1378" t="s">
        <v>8218</v>
      </c>
      <c r="J1378" t="s">
        <v>3617</v>
      </c>
      <c r="L1378">
        <v>9</v>
      </c>
      <c r="M1378" s="134">
        <v>303081</v>
      </c>
      <c r="N1378" s="134">
        <v>600000</v>
      </c>
      <c r="O1378" t="s">
        <v>8219</v>
      </c>
      <c r="P1378" t="s">
        <v>8223</v>
      </c>
      <c r="Q1378" t="s">
        <v>620</v>
      </c>
      <c r="R1378" t="s">
        <v>8230</v>
      </c>
      <c r="T1378">
        <v>14</v>
      </c>
      <c r="U1378" t="s">
        <v>491</v>
      </c>
      <c r="X1378">
        <v>0</v>
      </c>
    </row>
    <row r="1379" spans="1:24" x14ac:dyDescent="0.25">
      <c r="A1379" s="234">
        <v>42628</v>
      </c>
      <c r="B1379" t="s">
        <v>378</v>
      </c>
      <c r="C1379" t="s">
        <v>623</v>
      </c>
      <c r="D1379" t="s">
        <v>624</v>
      </c>
      <c r="E1379" t="s">
        <v>588</v>
      </c>
      <c r="F1379" t="s">
        <v>3924</v>
      </c>
      <c r="H1379" t="s">
        <v>722</v>
      </c>
      <c r="I1379" t="s">
        <v>3925</v>
      </c>
      <c r="J1379" t="s">
        <v>899</v>
      </c>
      <c r="M1379" s="134">
        <v>304000</v>
      </c>
      <c r="N1379" s="134">
        <v>0</v>
      </c>
      <c r="O1379" t="s">
        <v>3926</v>
      </c>
      <c r="P1379" t="s">
        <v>3927</v>
      </c>
      <c r="Q1379" t="s">
        <v>592</v>
      </c>
      <c r="U1379" t="s">
        <v>491</v>
      </c>
      <c r="X1379">
        <v>0</v>
      </c>
    </row>
    <row r="1380" spans="1:24" x14ac:dyDescent="0.25">
      <c r="A1380" s="234">
        <v>43361</v>
      </c>
      <c r="B1380" t="s">
        <v>5176</v>
      </c>
      <c r="C1380" t="s">
        <v>604</v>
      </c>
      <c r="D1380" t="s">
        <v>6995</v>
      </c>
      <c r="E1380" t="s">
        <v>588</v>
      </c>
      <c r="F1380" t="s">
        <v>12628</v>
      </c>
      <c r="H1380" t="s">
        <v>1050</v>
      </c>
      <c r="I1380" t="s">
        <v>12629</v>
      </c>
      <c r="J1380" t="s">
        <v>959</v>
      </c>
      <c r="L1380">
        <v>5</v>
      </c>
      <c r="M1380" s="134">
        <v>304000</v>
      </c>
      <c r="N1380" s="134">
        <v>304000</v>
      </c>
      <c r="O1380" t="s">
        <v>2295</v>
      </c>
      <c r="P1380" t="s">
        <v>12630</v>
      </c>
      <c r="Q1380" t="s">
        <v>1939</v>
      </c>
      <c r="R1380" t="s">
        <v>15975</v>
      </c>
      <c r="U1380" t="s">
        <v>12344</v>
      </c>
      <c r="X1380">
        <v>0</v>
      </c>
    </row>
    <row r="1381" spans="1:24" x14ac:dyDescent="0.25">
      <c r="A1381" s="234">
        <v>43413</v>
      </c>
      <c r="B1381" t="s">
        <v>569</v>
      </c>
      <c r="C1381" t="s">
        <v>899</v>
      </c>
      <c r="D1381" t="s">
        <v>3505</v>
      </c>
      <c r="F1381" t="s">
        <v>13159</v>
      </c>
      <c r="G1381" t="s">
        <v>10080</v>
      </c>
      <c r="H1381" t="s">
        <v>607</v>
      </c>
      <c r="I1381" t="s">
        <v>6092</v>
      </c>
      <c r="J1381" t="s">
        <v>899</v>
      </c>
      <c r="K1381" t="s">
        <v>13160</v>
      </c>
      <c r="L1381">
        <v>5</v>
      </c>
      <c r="M1381" s="134">
        <v>304000</v>
      </c>
      <c r="N1381" s="134">
        <v>493000</v>
      </c>
      <c r="O1381" t="s">
        <v>10766</v>
      </c>
      <c r="P1381" t="s">
        <v>13386</v>
      </c>
      <c r="Q1381" t="s">
        <v>592</v>
      </c>
      <c r="R1381" t="s">
        <v>1810</v>
      </c>
      <c r="U1381" t="s">
        <v>12344</v>
      </c>
      <c r="X1381">
        <v>0</v>
      </c>
    </row>
    <row r="1382" spans="1:24" x14ac:dyDescent="0.25">
      <c r="A1382" s="234">
        <v>43500</v>
      </c>
      <c r="B1382" t="s">
        <v>328</v>
      </c>
      <c r="C1382" t="s">
        <v>603</v>
      </c>
      <c r="D1382" t="s">
        <v>1401</v>
      </c>
      <c r="F1382" t="s">
        <v>14210</v>
      </c>
      <c r="G1382" t="s">
        <v>10916</v>
      </c>
      <c r="H1382" t="s">
        <v>607</v>
      </c>
      <c r="I1382" t="s">
        <v>14211</v>
      </c>
      <c r="J1382" t="s">
        <v>4031</v>
      </c>
      <c r="K1382" t="s">
        <v>14212</v>
      </c>
      <c r="L1382">
        <v>4</v>
      </c>
      <c r="M1382" s="134">
        <v>304000</v>
      </c>
      <c r="N1382" s="134">
        <v>520000</v>
      </c>
      <c r="O1382" t="s">
        <v>4533</v>
      </c>
      <c r="P1382" t="s">
        <v>14213</v>
      </c>
      <c r="Q1382" t="s">
        <v>592</v>
      </c>
      <c r="R1382" t="s">
        <v>14214</v>
      </c>
      <c r="U1382" t="s">
        <v>491</v>
      </c>
      <c r="X1382">
        <v>0</v>
      </c>
    </row>
    <row r="1383" spans="1:24" x14ac:dyDescent="0.25">
      <c r="A1383" s="234">
        <v>43340</v>
      </c>
      <c r="B1383" t="s">
        <v>328</v>
      </c>
      <c r="C1383" t="s">
        <v>603</v>
      </c>
      <c r="D1383" t="s">
        <v>10338</v>
      </c>
      <c r="E1383" t="s">
        <v>588</v>
      </c>
      <c r="F1383" t="s">
        <v>12349</v>
      </c>
      <c r="G1383" t="s">
        <v>7880</v>
      </c>
      <c r="H1383" t="s">
        <v>10831</v>
      </c>
      <c r="I1383" t="s">
        <v>5390</v>
      </c>
      <c r="J1383" t="s">
        <v>3617</v>
      </c>
      <c r="L1383">
        <v>9</v>
      </c>
      <c r="M1383" s="134">
        <v>304164</v>
      </c>
      <c r="N1383" s="134">
        <v>998993</v>
      </c>
      <c r="O1383" t="s">
        <v>10763</v>
      </c>
      <c r="P1383" t="s">
        <v>12350</v>
      </c>
      <c r="Q1383" t="s">
        <v>1612</v>
      </c>
      <c r="R1383" t="s">
        <v>12509</v>
      </c>
      <c r="U1383" t="s">
        <v>491</v>
      </c>
      <c r="X1383">
        <v>0</v>
      </c>
    </row>
    <row r="1384" spans="1:24" x14ac:dyDescent="0.25">
      <c r="A1384" s="234">
        <v>42782</v>
      </c>
      <c r="B1384" t="s">
        <v>5176</v>
      </c>
      <c r="D1384" t="s">
        <v>2454</v>
      </c>
      <c r="E1384" t="s">
        <v>588</v>
      </c>
      <c r="F1384" t="s">
        <v>5706</v>
      </c>
      <c r="H1384" t="s">
        <v>809</v>
      </c>
      <c r="I1384" t="s">
        <v>4824</v>
      </c>
      <c r="J1384" t="s">
        <v>4825</v>
      </c>
      <c r="M1384" s="134">
        <v>305000</v>
      </c>
      <c r="N1384" s="134">
        <v>335000</v>
      </c>
      <c r="O1384" t="s">
        <v>5707</v>
      </c>
      <c r="P1384" t="s">
        <v>5708</v>
      </c>
      <c r="Q1384" t="s">
        <v>592</v>
      </c>
      <c r="U1384" t="s">
        <v>491</v>
      </c>
      <c r="X1384">
        <v>0</v>
      </c>
    </row>
    <row r="1385" spans="1:24" x14ac:dyDescent="0.25">
      <c r="A1385" s="234">
        <v>42692</v>
      </c>
      <c r="B1385" t="s">
        <v>1486</v>
      </c>
      <c r="C1385" t="s">
        <v>604</v>
      </c>
      <c r="D1385" t="s">
        <v>727</v>
      </c>
      <c r="E1385" t="s">
        <v>588</v>
      </c>
      <c r="F1385" t="s">
        <v>4750</v>
      </c>
      <c r="H1385" t="s">
        <v>809</v>
      </c>
      <c r="I1385" t="s">
        <v>4749</v>
      </c>
      <c r="J1385" t="s">
        <v>4684</v>
      </c>
      <c r="L1385">
        <v>7</v>
      </c>
      <c r="M1385" s="134">
        <v>305000</v>
      </c>
      <c r="N1385" s="134">
        <v>353000</v>
      </c>
      <c r="O1385" t="s">
        <v>4751</v>
      </c>
      <c r="P1385" t="s">
        <v>4752</v>
      </c>
      <c r="Q1385" t="s">
        <v>1939</v>
      </c>
      <c r="R1385" t="s">
        <v>4753</v>
      </c>
      <c r="X1385">
        <v>0</v>
      </c>
    </row>
    <row r="1386" spans="1:24" x14ac:dyDescent="0.25">
      <c r="A1386" s="234">
        <v>43598</v>
      </c>
      <c r="B1386" t="s">
        <v>328</v>
      </c>
      <c r="C1386" t="s">
        <v>603</v>
      </c>
      <c r="D1386" t="s">
        <v>1401</v>
      </c>
      <c r="F1386" t="s">
        <v>15516</v>
      </c>
      <c r="G1386" t="s">
        <v>15517</v>
      </c>
      <c r="H1386" t="s">
        <v>10831</v>
      </c>
      <c r="I1386" t="s">
        <v>15518</v>
      </c>
      <c r="J1386" t="s">
        <v>8194</v>
      </c>
      <c r="K1386" t="s">
        <v>15519</v>
      </c>
      <c r="L1386">
        <v>10</v>
      </c>
      <c r="M1386" s="134">
        <v>305000</v>
      </c>
      <c r="N1386" s="134">
        <v>530000</v>
      </c>
      <c r="O1386" t="s">
        <v>7124</v>
      </c>
      <c r="P1386" t="s">
        <v>15520</v>
      </c>
      <c r="Q1386" t="s">
        <v>1939</v>
      </c>
      <c r="R1386" t="s">
        <v>15903</v>
      </c>
      <c r="S1386" t="s">
        <v>15521</v>
      </c>
      <c r="U1386" t="s">
        <v>491</v>
      </c>
      <c r="X1386">
        <v>0</v>
      </c>
    </row>
    <row r="1387" spans="1:24" x14ac:dyDescent="0.25">
      <c r="A1387" s="234">
        <v>43084</v>
      </c>
      <c r="B1387" t="s">
        <v>328</v>
      </c>
      <c r="C1387" t="s">
        <v>603</v>
      </c>
      <c r="D1387" t="s">
        <v>1401</v>
      </c>
      <c r="E1387" t="s">
        <v>588</v>
      </c>
      <c r="F1387" t="s">
        <v>9790</v>
      </c>
      <c r="G1387" t="s">
        <v>7855</v>
      </c>
      <c r="H1387" t="s">
        <v>607</v>
      </c>
      <c r="I1387" t="s">
        <v>9791</v>
      </c>
      <c r="J1387" t="s">
        <v>4031</v>
      </c>
      <c r="M1387" s="134">
        <v>305000</v>
      </c>
      <c r="N1387" s="134">
        <v>685250</v>
      </c>
      <c r="O1387" t="s">
        <v>3107</v>
      </c>
      <c r="P1387" t="s">
        <v>9792</v>
      </c>
      <c r="Q1387" t="s">
        <v>1939</v>
      </c>
      <c r="R1387" t="s">
        <v>9793</v>
      </c>
      <c r="U1387" t="s">
        <v>1327</v>
      </c>
      <c r="X1387">
        <v>0</v>
      </c>
    </row>
    <row r="1388" spans="1:24" x14ac:dyDescent="0.25">
      <c r="A1388" s="234">
        <v>43353</v>
      </c>
      <c r="B1388" t="s">
        <v>328</v>
      </c>
      <c r="C1388" t="s">
        <v>603</v>
      </c>
      <c r="D1388" t="s">
        <v>672</v>
      </c>
      <c r="E1388" t="s">
        <v>588</v>
      </c>
      <c r="F1388" t="s">
        <v>12565</v>
      </c>
      <c r="G1388" t="s">
        <v>8198</v>
      </c>
      <c r="H1388" t="s">
        <v>607</v>
      </c>
      <c r="I1388" t="s">
        <v>12566</v>
      </c>
      <c r="J1388" t="s">
        <v>3751</v>
      </c>
      <c r="M1388" s="134">
        <v>305400</v>
      </c>
      <c r="N1388" s="134">
        <v>0</v>
      </c>
      <c r="O1388" t="s">
        <v>10766</v>
      </c>
      <c r="P1388" t="s">
        <v>12568</v>
      </c>
      <c r="Q1388" t="s">
        <v>1939</v>
      </c>
      <c r="R1388" t="s">
        <v>12567</v>
      </c>
      <c r="U1388" t="s">
        <v>12344</v>
      </c>
      <c r="X1388">
        <v>0</v>
      </c>
    </row>
    <row r="1389" spans="1:24" x14ac:dyDescent="0.25">
      <c r="A1389" s="234">
        <v>43351</v>
      </c>
      <c r="B1389" t="s">
        <v>328</v>
      </c>
      <c r="C1389" t="s">
        <v>603</v>
      </c>
      <c r="D1389" t="s">
        <v>649</v>
      </c>
      <c r="E1389" t="s">
        <v>588</v>
      </c>
      <c r="F1389" t="s">
        <v>12549</v>
      </c>
      <c r="G1389" t="s">
        <v>12550</v>
      </c>
      <c r="H1389" t="s">
        <v>607</v>
      </c>
      <c r="I1389" t="s">
        <v>12551</v>
      </c>
      <c r="J1389" t="s">
        <v>899</v>
      </c>
      <c r="L1389">
        <v>4</v>
      </c>
      <c r="M1389" s="134">
        <v>305400</v>
      </c>
      <c r="N1389" s="134">
        <v>549740</v>
      </c>
      <c r="O1389" t="s">
        <v>10766</v>
      </c>
      <c r="P1389" t="s">
        <v>12552</v>
      </c>
      <c r="Q1389" t="s">
        <v>1939</v>
      </c>
      <c r="R1389" t="s">
        <v>12553</v>
      </c>
      <c r="U1389" t="s">
        <v>12344</v>
      </c>
      <c r="X1389">
        <v>0</v>
      </c>
    </row>
    <row r="1390" spans="1:24" x14ac:dyDescent="0.25">
      <c r="A1390" s="234">
        <v>43553</v>
      </c>
      <c r="B1390" t="s">
        <v>328</v>
      </c>
      <c r="C1390" t="s">
        <v>603</v>
      </c>
      <c r="D1390" t="s">
        <v>5701</v>
      </c>
      <c r="F1390" t="s">
        <v>14913</v>
      </c>
      <c r="G1390" t="s">
        <v>14914</v>
      </c>
      <c r="H1390" t="s">
        <v>607</v>
      </c>
      <c r="I1390" t="s">
        <v>7025</v>
      </c>
      <c r="J1390" t="s">
        <v>3373</v>
      </c>
      <c r="K1390" t="s">
        <v>14915</v>
      </c>
      <c r="L1390">
        <v>2</v>
      </c>
      <c r="M1390" s="134">
        <v>305622</v>
      </c>
      <c r="N1390" s="134">
        <v>331122</v>
      </c>
      <c r="O1390" t="s">
        <v>4533</v>
      </c>
      <c r="P1390" t="s">
        <v>14916</v>
      </c>
      <c r="Q1390" t="s">
        <v>1939</v>
      </c>
      <c r="R1390" t="s">
        <v>14917</v>
      </c>
      <c r="U1390" t="s">
        <v>491</v>
      </c>
      <c r="X1390">
        <v>0</v>
      </c>
    </row>
    <row r="1391" spans="1:24" x14ac:dyDescent="0.25">
      <c r="A1391" s="234">
        <v>42376</v>
      </c>
      <c r="B1391" t="s">
        <v>378</v>
      </c>
      <c r="C1391" t="s">
        <v>610</v>
      </c>
      <c r="D1391" t="s">
        <v>611</v>
      </c>
      <c r="E1391" t="s">
        <v>588</v>
      </c>
      <c r="F1391" t="s">
        <v>664</v>
      </c>
      <c r="H1391" t="s">
        <v>627</v>
      </c>
      <c r="I1391" t="s">
        <v>669</v>
      </c>
      <c r="M1391" s="134">
        <v>306000</v>
      </c>
      <c r="N1391" s="134">
        <v>402800</v>
      </c>
      <c r="O1391" t="s">
        <v>666</v>
      </c>
      <c r="P1391" t="s">
        <v>670</v>
      </c>
      <c r="Q1391" t="s">
        <v>592</v>
      </c>
      <c r="R1391" t="s">
        <v>671</v>
      </c>
      <c r="U1391" t="s">
        <v>491</v>
      </c>
      <c r="X1391">
        <v>0</v>
      </c>
    </row>
    <row r="1392" spans="1:24" x14ac:dyDescent="0.25">
      <c r="A1392" s="234">
        <v>42418</v>
      </c>
      <c r="B1392" t="s">
        <v>643</v>
      </c>
      <c r="D1392" t="s">
        <v>645</v>
      </c>
      <c r="E1392" t="s">
        <v>692</v>
      </c>
      <c r="F1392" t="s">
        <v>1064</v>
      </c>
      <c r="H1392" t="s">
        <v>607</v>
      </c>
      <c r="I1392" t="s">
        <v>1065</v>
      </c>
      <c r="M1392" s="134">
        <v>306000</v>
      </c>
      <c r="N1392" s="134">
        <v>657900</v>
      </c>
      <c r="O1392" t="s">
        <v>1066</v>
      </c>
      <c r="P1392" t="s">
        <v>1067</v>
      </c>
      <c r="Q1392" t="s">
        <v>29</v>
      </c>
      <c r="R1392" t="s">
        <v>1068</v>
      </c>
      <c r="U1392" t="s">
        <v>491</v>
      </c>
      <c r="X1392">
        <v>1</v>
      </c>
    </row>
    <row r="1393" spans="1:24" x14ac:dyDescent="0.25">
      <c r="A1393" s="234">
        <v>43118</v>
      </c>
      <c r="B1393" t="s">
        <v>569</v>
      </c>
      <c r="C1393" t="s">
        <v>899</v>
      </c>
      <c r="D1393" t="s">
        <v>624</v>
      </c>
      <c r="E1393" t="s">
        <v>588</v>
      </c>
      <c r="F1393" t="s">
        <v>10038</v>
      </c>
      <c r="G1393" t="s">
        <v>10039</v>
      </c>
      <c r="H1393" t="s">
        <v>905</v>
      </c>
      <c r="I1393" t="s">
        <v>7517</v>
      </c>
      <c r="J1393" t="s">
        <v>899</v>
      </c>
      <c r="L1393">
        <v>4</v>
      </c>
      <c r="M1393" s="134">
        <v>307000</v>
      </c>
      <c r="N1393" s="134">
        <v>397000</v>
      </c>
      <c r="O1393" t="s">
        <v>49</v>
      </c>
      <c r="P1393" t="s">
        <v>10040</v>
      </c>
      <c r="Q1393" t="s">
        <v>1939</v>
      </c>
      <c r="R1393" t="s">
        <v>10041</v>
      </c>
      <c r="U1393" t="s">
        <v>491</v>
      </c>
      <c r="X1393">
        <v>0</v>
      </c>
    </row>
    <row r="1394" spans="1:24" x14ac:dyDescent="0.25">
      <c r="A1394" s="234">
        <v>42922</v>
      </c>
      <c r="B1394" t="s">
        <v>5176</v>
      </c>
      <c r="D1394" t="s">
        <v>2454</v>
      </c>
      <c r="E1394" t="s">
        <v>588</v>
      </c>
      <c r="F1394" t="s">
        <v>7488</v>
      </c>
      <c r="H1394" t="s">
        <v>5991</v>
      </c>
      <c r="I1394" t="s">
        <v>7489</v>
      </c>
      <c r="J1394" t="s">
        <v>3617</v>
      </c>
      <c r="L1394">
        <v>5</v>
      </c>
      <c r="M1394" s="134">
        <v>308800</v>
      </c>
      <c r="N1394" s="134">
        <v>383800</v>
      </c>
      <c r="O1394" t="s">
        <v>7005</v>
      </c>
      <c r="P1394" t="s">
        <v>7490</v>
      </c>
      <c r="Q1394" t="s">
        <v>29</v>
      </c>
      <c r="R1394" t="s">
        <v>7491</v>
      </c>
      <c r="U1394" t="s">
        <v>491</v>
      </c>
      <c r="X1394">
        <v>1</v>
      </c>
    </row>
    <row r="1395" spans="1:24" x14ac:dyDescent="0.25">
      <c r="A1395" s="234">
        <v>43171</v>
      </c>
      <c r="B1395" t="s">
        <v>569</v>
      </c>
      <c r="C1395" t="s">
        <v>899</v>
      </c>
      <c r="D1395" t="s">
        <v>930</v>
      </c>
      <c r="E1395" t="s">
        <v>588</v>
      </c>
      <c r="F1395" t="s">
        <v>10557</v>
      </c>
      <c r="G1395" t="s">
        <v>10556</v>
      </c>
      <c r="H1395" t="s">
        <v>607</v>
      </c>
      <c r="I1395" t="s">
        <v>5621</v>
      </c>
      <c r="J1395" t="s">
        <v>899</v>
      </c>
      <c r="L1395">
        <v>4</v>
      </c>
      <c r="M1395" s="134">
        <v>309000</v>
      </c>
      <c r="N1395" s="134">
        <v>556200</v>
      </c>
      <c r="O1395" t="s">
        <v>10766</v>
      </c>
      <c r="P1395" t="s">
        <v>10774</v>
      </c>
      <c r="Q1395" t="s">
        <v>592</v>
      </c>
      <c r="R1395" t="s">
        <v>10555</v>
      </c>
      <c r="U1395" t="s">
        <v>1327</v>
      </c>
      <c r="X1395">
        <v>0</v>
      </c>
    </row>
    <row r="1396" spans="1:24" x14ac:dyDescent="0.25">
      <c r="A1396" s="234">
        <v>43273</v>
      </c>
      <c r="B1396" t="s">
        <v>9240</v>
      </c>
      <c r="C1396" t="s">
        <v>603</v>
      </c>
      <c r="D1396" t="s">
        <v>9241</v>
      </c>
      <c r="E1396" t="s">
        <v>588</v>
      </c>
      <c r="F1396" t="s">
        <v>10898</v>
      </c>
      <c r="G1396" t="s">
        <v>11605</v>
      </c>
      <c r="H1396" t="s">
        <v>607</v>
      </c>
      <c r="I1396" t="s">
        <v>11604</v>
      </c>
      <c r="J1396" t="s">
        <v>608</v>
      </c>
      <c r="M1396" s="134">
        <v>309600</v>
      </c>
      <c r="N1396" s="134">
        <v>7101000</v>
      </c>
      <c r="O1396" t="s">
        <v>10766</v>
      </c>
      <c r="P1396" t="s">
        <v>11603</v>
      </c>
      <c r="Q1396" t="s">
        <v>592</v>
      </c>
      <c r="R1396" t="s">
        <v>11703</v>
      </c>
      <c r="U1396" t="s">
        <v>1327</v>
      </c>
      <c r="X1396">
        <v>0</v>
      </c>
    </row>
    <row r="1397" spans="1:24" x14ac:dyDescent="0.25">
      <c r="A1397" s="234">
        <v>43224</v>
      </c>
      <c r="B1397" t="s">
        <v>328</v>
      </c>
      <c r="C1397" t="s">
        <v>603</v>
      </c>
      <c r="D1397" t="s">
        <v>649</v>
      </c>
      <c r="E1397" t="s">
        <v>588</v>
      </c>
      <c r="F1397" t="s">
        <v>11125</v>
      </c>
      <c r="H1397" t="s">
        <v>809</v>
      </c>
      <c r="I1397" t="s">
        <v>11126</v>
      </c>
      <c r="J1397" t="s">
        <v>3533</v>
      </c>
      <c r="L1397">
        <v>10</v>
      </c>
      <c r="M1397" s="134">
        <v>310000</v>
      </c>
      <c r="N1397" s="134">
        <v>345000</v>
      </c>
      <c r="O1397" t="s">
        <v>7124</v>
      </c>
      <c r="P1397" t="s">
        <v>11127</v>
      </c>
      <c r="Q1397" t="s">
        <v>592</v>
      </c>
      <c r="R1397" t="s">
        <v>11138</v>
      </c>
      <c r="U1397" t="s">
        <v>491</v>
      </c>
      <c r="X1397">
        <v>0</v>
      </c>
    </row>
    <row r="1398" spans="1:24" x14ac:dyDescent="0.25">
      <c r="A1398" s="234">
        <v>43431</v>
      </c>
      <c r="B1398" t="s">
        <v>643</v>
      </c>
      <c r="C1398" t="s">
        <v>644</v>
      </c>
      <c r="D1398" t="s">
        <v>645</v>
      </c>
      <c r="F1398" t="s">
        <v>10940</v>
      </c>
      <c r="G1398" t="s">
        <v>1789</v>
      </c>
      <c r="H1398" t="s">
        <v>607</v>
      </c>
      <c r="I1398" t="s">
        <v>3563</v>
      </c>
      <c r="J1398" t="s">
        <v>899</v>
      </c>
      <c r="K1398" t="s">
        <v>13308</v>
      </c>
      <c r="L1398">
        <v>10</v>
      </c>
      <c r="M1398" s="134">
        <v>310000</v>
      </c>
      <c r="N1398" s="134">
        <v>465000</v>
      </c>
      <c r="O1398" t="s">
        <v>10764</v>
      </c>
      <c r="P1398" t="s">
        <v>13309</v>
      </c>
      <c r="Q1398" t="s">
        <v>1939</v>
      </c>
      <c r="R1398" t="s">
        <v>13310</v>
      </c>
      <c r="U1398" t="s">
        <v>491</v>
      </c>
      <c r="X1398">
        <v>0</v>
      </c>
    </row>
    <row r="1399" spans="1:24" x14ac:dyDescent="0.25">
      <c r="A1399" s="234">
        <v>43125</v>
      </c>
      <c r="B1399" t="s">
        <v>9240</v>
      </c>
      <c r="C1399" t="s">
        <v>603</v>
      </c>
      <c r="D1399" t="s">
        <v>7814</v>
      </c>
      <c r="E1399" t="s">
        <v>588</v>
      </c>
      <c r="F1399" t="s">
        <v>9350</v>
      </c>
      <c r="G1399" t="s">
        <v>10091</v>
      </c>
      <c r="H1399" t="s">
        <v>607</v>
      </c>
      <c r="I1399" t="s">
        <v>10092</v>
      </c>
      <c r="J1399" t="s">
        <v>5610</v>
      </c>
      <c r="L1399">
        <v>6</v>
      </c>
      <c r="M1399" s="134">
        <v>310000</v>
      </c>
      <c r="N1399" s="134">
        <v>527000</v>
      </c>
      <c r="O1399" t="s">
        <v>10766</v>
      </c>
      <c r="P1399" t="s">
        <v>10093</v>
      </c>
      <c r="Q1399" t="s">
        <v>620</v>
      </c>
      <c r="R1399" t="s">
        <v>10094</v>
      </c>
      <c r="U1399" t="s">
        <v>491</v>
      </c>
      <c r="X1399">
        <v>0</v>
      </c>
    </row>
    <row r="1400" spans="1:24" x14ac:dyDescent="0.25">
      <c r="A1400" s="234">
        <v>42915</v>
      </c>
      <c r="B1400" t="s">
        <v>328</v>
      </c>
      <c r="C1400" t="s">
        <v>603</v>
      </c>
      <c r="D1400" t="s">
        <v>672</v>
      </c>
      <c r="E1400" t="s">
        <v>588</v>
      </c>
      <c r="F1400" t="s">
        <v>7441</v>
      </c>
      <c r="H1400" t="s">
        <v>607</v>
      </c>
      <c r="I1400" t="s">
        <v>7442</v>
      </c>
      <c r="J1400" t="s">
        <v>899</v>
      </c>
      <c r="L1400">
        <v>9</v>
      </c>
      <c r="M1400" s="134">
        <v>310000</v>
      </c>
      <c r="N1400" s="134">
        <v>544000</v>
      </c>
      <c r="O1400" t="s">
        <v>7443</v>
      </c>
      <c r="P1400" t="s">
        <v>7445</v>
      </c>
      <c r="Q1400" t="s">
        <v>1939</v>
      </c>
      <c r="R1400" t="s">
        <v>7444</v>
      </c>
      <c r="U1400" t="s">
        <v>491</v>
      </c>
      <c r="X1400">
        <v>0</v>
      </c>
    </row>
    <row r="1401" spans="1:24" x14ac:dyDescent="0.25">
      <c r="A1401" s="234">
        <v>42643</v>
      </c>
      <c r="B1401" t="s">
        <v>328</v>
      </c>
      <c r="C1401" t="s">
        <v>603</v>
      </c>
      <c r="D1401" t="s">
        <v>1471</v>
      </c>
      <c r="E1401" t="s">
        <v>588</v>
      </c>
      <c r="F1401" t="s">
        <v>4137</v>
      </c>
      <c r="H1401" t="s">
        <v>607</v>
      </c>
      <c r="L1401">
        <v>10</v>
      </c>
      <c r="M1401" s="134">
        <v>310000</v>
      </c>
      <c r="N1401" s="134">
        <v>556000</v>
      </c>
      <c r="O1401" t="s">
        <v>2680</v>
      </c>
      <c r="P1401" t="s">
        <v>4138</v>
      </c>
      <c r="Q1401" t="s">
        <v>29</v>
      </c>
      <c r="U1401" t="s">
        <v>491</v>
      </c>
      <c r="X1401">
        <v>1</v>
      </c>
    </row>
    <row r="1402" spans="1:24" x14ac:dyDescent="0.25">
      <c r="A1402" s="234">
        <v>43292</v>
      </c>
      <c r="B1402" t="s">
        <v>328</v>
      </c>
      <c r="C1402" t="s">
        <v>603</v>
      </c>
      <c r="D1402" t="s">
        <v>672</v>
      </c>
      <c r="E1402" t="s">
        <v>588</v>
      </c>
      <c r="F1402" t="s">
        <v>11719</v>
      </c>
      <c r="G1402" t="s">
        <v>9173</v>
      </c>
      <c r="H1402" t="s">
        <v>607</v>
      </c>
      <c r="I1402" t="s">
        <v>11720</v>
      </c>
      <c r="J1402" t="s">
        <v>4785</v>
      </c>
      <c r="L1402">
        <v>7</v>
      </c>
      <c r="M1402" s="134">
        <v>310000</v>
      </c>
      <c r="N1402" s="134">
        <v>589000</v>
      </c>
      <c r="O1402" t="s">
        <v>10766</v>
      </c>
      <c r="P1402" t="s">
        <v>11998</v>
      </c>
      <c r="Q1402" t="s">
        <v>592</v>
      </c>
      <c r="R1402" t="s">
        <v>11721</v>
      </c>
      <c r="U1402" t="s">
        <v>491</v>
      </c>
      <c r="X1402">
        <v>0</v>
      </c>
    </row>
    <row r="1403" spans="1:24" x14ac:dyDescent="0.25">
      <c r="A1403" s="234">
        <v>42738</v>
      </c>
      <c r="B1403" t="s">
        <v>5176</v>
      </c>
      <c r="C1403" t="s">
        <v>833</v>
      </c>
      <c r="D1403" t="s">
        <v>2454</v>
      </c>
      <c r="E1403" t="s">
        <v>588</v>
      </c>
      <c r="F1403" t="s">
        <v>5161</v>
      </c>
      <c r="H1403" t="s">
        <v>809</v>
      </c>
      <c r="I1403" t="s">
        <v>5162</v>
      </c>
      <c r="J1403" t="s">
        <v>4825</v>
      </c>
      <c r="M1403" s="134">
        <v>310564</v>
      </c>
      <c r="N1403" s="134">
        <v>341620</v>
      </c>
      <c r="O1403" t="s">
        <v>5163</v>
      </c>
      <c r="P1403" t="s">
        <v>5169</v>
      </c>
      <c r="Q1403" t="s">
        <v>1939</v>
      </c>
      <c r="R1403" t="s">
        <v>5164</v>
      </c>
      <c r="U1403" t="s">
        <v>491</v>
      </c>
      <c r="X1403">
        <v>0</v>
      </c>
    </row>
    <row r="1404" spans="1:24" x14ac:dyDescent="0.25">
      <c r="A1404" s="234">
        <v>43608</v>
      </c>
      <c r="B1404" t="s">
        <v>13559</v>
      </c>
      <c r="C1404" t="s">
        <v>3523</v>
      </c>
      <c r="D1404" t="s">
        <v>9545</v>
      </c>
      <c r="F1404" t="s">
        <v>15738</v>
      </c>
      <c r="G1404" t="s">
        <v>4818</v>
      </c>
      <c r="H1404" t="s">
        <v>607</v>
      </c>
      <c r="I1404" t="s">
        <v>15102</v>
      </c>
      <c r="J1404" t="s">
        <v>3523</v>
      </c>
      <c r="K1404" t="s">
        <v>15739</v>
      </c>
      <c r="L1404">
        <v>9</v>
      </c>
      <c r="M1404" s="134">
        <v>310852</v>
      </c>
      <c r="N1404" s="134">
        <v>540000</v>
      </c>
      <c r="O1404" t="s">
        <v>10763</v>
      </c>
      <c r="P1404" t="s">
        <v>15740</v>
      </c>
      <c r="Q1404" t="s">
        <v>1939</v>
      </c>
      <c r="R1404" t="s">
        <v>15741</v>
      </c>
      <c r="U1404" t="s">
        <v>491</v>
      </c>
      <c r="X1404">
        <v>0</v>
      </c>
    </row>
    <row r="1405" spans="1:24" x14ac:dyDescent="0.25">
      <c r="A1405" s="234">
        <v>42402</v>
      </c>
      <c r="B1405" t="s">
        <v>110</v>
      </c>
      <c r="D1405" t="s">
        <v>715</v>
      </c>
      <c r="E1405" t="s">
        <v>588</v>
      </c>
      <c r="F1405" t="s">
        <v>894</v>
      </c>
      <c r="H1405" t="s">
        <v>607</v>
      </c>
      <c r="I1405" t="s">
        <v>895</v>
      </c>
      <c r="M1405" s="134">
        <v>311000</v>
      </c>
      <c r="N1405" s="134">
        <v>528700</v>
      </c>
      <c r="O1405" t="s">
        <v>840</v>
      </c>
      <c r="P1405" t="s">
        <v>896</v>
      </c>
      <c r="Q1405" t="s">
        <v>592</v>
      </c>
      <c r="R1405" t="s">
        <v>897</v>
      </c>
      <c r="U1405" t="s">
        <v>289</v>
      </c>
      <c r="X1405">
        <v>0</v>
      </c>
    </row>
    <row r="1406" spans="1:24" x14ac:dyDescent="0.25">
      <c r="A1406" s="234">
        <v>43266</v>
      </c>
      <c r="B1406" t="s">
        <v>5176</v>
      </c>
      <c r="C1406" t="s">
        <v>604</v>
      </c>
      <c r="D1406" t="s">
        <v>595</v>
      </c>
      <c r="E1406" t="s">
        <v>588</v>
      </c>
      <c r="F1406" t="s">
        <v>11514</v>
      </c>
      <c r="G1406" t="s">
        <v>5381</v>
      </c>
      <c r="H1406" t="s">
        <v>607</v>
      </c>
      <c r="I1406" t="s">
        <v>11515</v>
      </c>
      <c r="J1406" t="s">
        <v>604</v>
      </c>
      <c r="L1406">
        <v>9</v>
      </c>
      <c r="M1406" s="134">
        <v>311000</v>
      </c>
      <c r="N1406" s="134">
        <v>600000</v>
      </c>
      <c r="O1406" t="s">
        <v>4533</v>
      </c>
      <c r="P1406" t="s">
        <v>11516</v>
      </c>
      <c r="Q1406" t="s">
        <v>29</v>
      </c>
      <c r="R1406" t="s">
        <v>11517</v>
      </c>
      <c r="U1406" t="s">
        <v>491</v>
      </c>
      <c r="X1406">
        <v>1</v>
      </c>
    </row>
    <row r="1407" spans="1:24" x14ac:dyDescent="0.25">
      <c r="A1407" s="234">
        <v>43564</v>
      </c>
      <c r="B1407" t="s">
        <v>13559</v>
      </c>
      <c r="C1407" t="s">
        <v>1228</v>
      </c>
      <c r="D1407" t="s">
        <v>256</v>
      </c>
      <c r="F1407" t="s">
        <v>12198</v>
      </c>
      <c r="G1407" t="s">
        <v>15017</v>
      </c>
      <c r="H1407" t="s">
        <v>809</v>
      </c>
      <c r="I1407" t="s">
        <v>6209</v>
      </c>
      <c r="J1407" t="s">
        <v>3856</v>
      </c>
      <c r="K1407" t="s">
        <v>15018</v>
      </c>
      <c r="L1407">
        <v>5</v>
      </c>
      <c r="M1407" s="134">
        <v>312000</v>
      </c>
      <c r="N1407" s="134">
        <v>529200</v>
      </c>
      <c r="O1407" t="s">
        <v>10763</v>
      </c>
      <c r="P1407" t="s">
        <v>15019</v>
      </c>
      <c r="Q1407" t="s">
        <v>620</v>
      </c>
      <c r="R1407" t="s">
        <v>15020</v>
      </c>
      <c r="U1407" t="s">
        <v>12797</v>
      </c>
      <c r="X1407">
        <v>0</v>
      </c>
    </row>
    <row r="1408" spans="1:24" x14ac:dyDescent="0.25">
      <c r="A1408" s="234">
        <v>42922</v>
      </c>
      <c r="B1408" t="s">
        <v>5176</v>
      </c>
      <c r="D1408" t="s">
        <v>6995</v>
      </c>
      <c r="E1408" t="s">
        <v>588</v>
      </c>
      <c r="F1408" t="s">
        <v>7495</v>
      </c>
      <c r="H1408" t="s">
        <v>886</v>
      </c>
      <c r="I1408" t="s">
        <v>1487</v>
      </c>
      <c r="J1408" t="s">
        <v>604</v>
      </c>
      <c r="M1408" s="134">
        <v>313000</v>
      </c>
      <c r="N1408" s="134">
        <v>0</v>
      </c>
      <c r="O1408" t="s">
        <v>7161</v>
      </c>
      <c r="P1408" t="s">
        <v>7494</v>
      </c>
      <c r="Q1408" t="s">
        <v>29</v>
      </c>
      <c r="R1408" t="s">
        <v>7493</v>
      </c>
      <c r="S1408" t="s">
        <v>7492</v>
      </c>
      <c r="U1408" t="s">
        <v>491</v>
      </c>
      <c r="X1408">
        <v>1</v>
      </c>
    </row>
    <row r="1409" spans="1:24" x14ac:dyDescent="0.25">
      <c r="A1409" s="234">
        <v>43286</v>
      </c>
      <c r="B1409" t="s">
        <v>328</v>
      </c>
      <c r="C1409" t="s">
        <v>603</v>
      </c>
      <c r="D1409" t="s">
        <v>8941</v>
      </c>
      <c r="E1409" t="s">
        <v>588</v>
      </c>
      <c r="F1409" t="s">
        <v>11741</v>
      </c>
      <c r="G1409" t="s">
        <v>11742</v>
      </c>
      <c r="H1409" t="s">
        <v>607</v>
      </c>
      <c r="I1409" t="s">
        <v>11743</v>
      </c>
      <c r="J1409" t="s">
        <v>3751</v>
      </c>
      <c r="L1409">
        <v>6</v>
      </c>
      <c r="M1409" s="134">
        <v>313000</v>
      </c>
      <c r="N1409" s="134">
        <v>234750</v>
      </c>
      <c r="O1409" t="s">
        <v>4533</v>
      </c>
      <c r="P1409" t="s">
        <v>11744</v>
      </c>
      <c r="Q1409" t="s">
        <v>1939</v>
      </c>
      <c r="R1409" t="s">
        <v>11745</v>
      </c>
      <c r="U1409" t="s">
        <v>1327</v>
      </c>
      <c r="X1409">
        <v>0</v>
      </c>
    </row>
    <row r="1410" spans="1:24" x14ac:dyDescent="0.25">
      <c r="A1410" s="234">
        <v>42755</v>
      </c>
      <c r="B1410" t="s">
        <v>569</v>
      </c>
      <c r="D1410" t="s">
        <v>930</v>
      </c>
      <c r="E1410" t="s">
        <v>588</v>
      </c>
      <c r="F1410" t="s">
        <v>5385</v>
      </c>
      <c r="H1410" t="s">
        <v>607</v>
      </c>
      <c r="I1410" t="s">
        <v>4519</v>
      </c>
      <c r="J1410" t="s">
        <v>899</v>
      </c>
      <c r="L1410" t="s">
        <v>5284</v>
      </c>
      <c r="M1410" s="134">
        <v>314000</v>
      </c>
      <c r="N1410" s="134">
        <v>565200</v>
      </c>
      <c r="O1410" t="s">
        <v>5386</v>
      </c>
      <c r="P1410" t="s">
        <v>5387</v>
      </c>
      <c r="Q1410" t="s">
        <v>1939</v>
      </c>
      <c r="R1410" t="s">
        <v>5388</v>
      </c>
      <c r="U1410" t="s">
        <v>491</v>
      </c>
      <c r="X1410">
        <v>0</v>
      </c>
    </row>
    <row r="1411" spans="1:24" x14ac:dyDescent="0.25">
      <c r="A1411" s="234">
        <v>43552</v>
      </c>
      <c r="B1411" t="s">
        <v>5956</v>
      </c>
      <c r="C1411" t="s">
        <v>3369</v>
      </c>
      <c r="D1411" t="s">
        <v>8126</v>
      </c>
      <c r="F1411" t="s">
        <v>14927</v>
      </c>
      <c r="G1411" t="s">
        <v>10268</v>
      </c>
      <c r="H1411" t="s">
        <v>905</v>
      </c>
      <c r="I1411" t="s">
        <v>14928</v>
      </c>
      <c r="J1411" t="s">
        <v>959</v>
      </c>
      <c r="K1411" t="s">
        <v>14929</v>
      </c>
      <c r="M1411" s="134">
        <v>315000</v>
      </c>
      <c r="N1411" s="134">
        <v>351500</v>
      </c>
      <c r="O1411" t="s">
        <v>10765</v>
      </c>
      <c r="P1411" t="s">
        <v>14930</v>
      </c>
      <c r="Q1411" t="s">
        <v>1939</v>
      </c>
      <c r="R1411" t="s">
        <v>14931</v>
      </c>
      <c r="U1411" t="s">
        <v>12797</v>
      </c>
      <c r="X1411">
        <v>0</v>
      </c>
    </row>
    <row r="1412" spans="1:24" x14ac:dyDescent="0.25">
      <c r="A1412" s="234">
        <v>43587</v>
      </c>
      <c r="B1412" t="s">
        <v>328</v>
      </c>
      <c r="C1412" t="s">
        <v>603</v>
      </c>
      <c r="D1412" t="s">
        <v>649</v>
      </c>
      <c r="F1412" t="s">
        <v>8897</v>
      </c>
      <c r="G1412" t="s">
        <v>15352</v>
      </c>
      <c r="H1412" t="s">
        <v>905</v>
      </c>
      <c r="I1412" t="s">
        <v>15353</v>
      </c>
      <c r="J1412" t="s">
        <v>899</v>
      </c>
      <c r="K1412" t="s">
        <v>15354</v>
      </c>
      <c r="L1412">
        <v>3</v>
      </c>
      <c r="M1412" s="134">
        <v>315000</v>
      </c>
      <c r="N1412" s="134">
        <v>388000</v>
      </c>
      <c r="O1412" t="s">
        <v>10764</v>
      </c>
      <c r="P1412" t="s">
        <v>15357</v>
      </c>
      <c r="Q1412" t="s">
        <v>29</v>
      </c>
      <c r="R1412" t="s">
        <v>15356</v>
      </c>
      <c r="S1412" t="s">
        <v>15355</v>
      </c>
      <c r="U1412" t="s">
        <v>491</v>
      </c>
      <c r="X1412">
        <v>1</v>
      </c>
    </row>
    <row r="1413" spans="1:24" x14ac:dyDescent="0.25">
      <c r="A1413" s="234">
        <v>42871</v>
      </c>
      <c r="B1413" t="s">
        <v>110</v>
      </c>
      <c r="C1413" t="s">
        <v>761</v>
      </c>
      <c r="D1413" t="s">
        <v>1122</v>
      </c>
      <c r="E1413" t="s">
        <v>588</v>
      </c>
      <c r="F1413" t="s">
        <v>6801</v>
      </c>
      <c r="H1413" t="s">
        <v>607</v>
      </c>
      <c r="I1413" t="s">
        <v>6802</v>
      </c>
      <c r="J1413" t="s">
        <v>761</v>
      </c>
      <c r="L1413">
        <v>9</v>
      </c>
      <c r="M1413" s="134">
        <v>315000</v>
      </c>
      <c r="N1413" s="134">
        <v>535500</v>
      </c>
      <c r="O1413" t="s">
        <v>35</v>
      </c>
      <c r="P1413" t="s">
        <v>6803</v>
      </c>
      <c r="Q1413" t="s">
        <v>1939</v>
      </c>
      <c r="R1413" t="s">
        <v>6820</v>
      </c>
      <c r="U1413" t="s">
        <v>491</v>
      </c>
      <c r="X1413">
        <v>0</v>
      </c>
    </row>
    <row r="1414" spans="1:24" x14ac:dyDescent="0.25">
      <c r="A1414" s="234">
        <v>43382</v>
      </c>
      <c r="B1414" t="s">
        <v>569</v>
      </c>
      <c r="C1414" t="s">
        <v>899</v>
      </c>
      <c r="D1414" t="s">
        <v>11286</v>
      </c>
      <c r="E1414" t="s">
        <v>588</v>
      </c>
      <c r="F1414" t="s">
        <v>12870</v>
      </c>
      <c r="G1414" t="s">
        <v>12402</v>
      </c>
      <c r="H1414" t="s">
        <v>607</v>
      </c>
      <c r="I1414" t="s">
        <v>12905</v>
      </c>
      <c r="J1414" t="s">
        <v>899</v>
      </c>
      <c r="L1414">
        <v>10</v>
      </c>
      <c r="M1414" s="134">
        <v>315000</v>
      </c>
      <c r="N1414" s="134">
        <v>567000</v>
      </c>
      <c r="O1414" t="s">
        <v>7124</v>
      </c>
      <c r="P1414" t="s">
        <v>12906</v>
      </c>
      <c r="Q1414" t="s">
        <v>29</v>
      </c>
      <c r="R1414" t="s">
        <v>12904</v>
      </c>
      <c r="U1414" t="s">
        <v>12344</v>
      </c>
      <c r="X1414">
        <v>1</v>
      </c>
    </row>
    <row r="1415" spans="1:24" x14ac:dyDescent="0.25">
      <c r="A1415" s="234">
        <v>42418</v>
      </c>
      <c r="B1415" t="s">
        <v>378</v>
      </c>
      <c r="C1415" t="s">
        <v>623</v>
      </c>
      <c r="D1415" t="s">
        <v>625</v>
      </c>
      <c r="E1415" t="s">
        <v>588</v>
      </c>
      <c r="F1415" t="s">
        <v>1011</v>
      </c>
      <c r="H1415" t="s">
        <v>886</v>
      </c>
      <c r="I1415" t="s">
        <v>1012</v>
      </c>
      <c r="M1415" s="134">
        <v>315000</v>
      </c>
      <c r="N1415" s="134">
        <v>567000</v>
      </c>
      <c r="O1415" t="s">
        <v>1013</v>
      </c>
      <c r="P1415" t="s">
        <v>1014</v>
      </c>
      <c r="Q1415" t="s">
        <v>592</v>
      </c>
      <c r="R1415" t="s">
        <v>1015</v>
      </c>
      <c r="U1415" t="s">
        <v>491</v>
      </c>
      <c r="X1415">
        <v>0</v>
      </c>
    </row>
    <row r="1416" spans="1:24" x14ac:dyDescent="0.25">
      <c r="A1416" s="234">
        <v>43276</v>
      </c>
      <c r="B1416" t="s">
        <v>9240</v>
      </c>
      <c r="C1416" t="s">
        <v>603</v>
      </c>
      <c r="D1416" t="s">
        <v>9849</v>
      </c>
      <c r="E1416" t="s">
        <v>588</v>
      </c>
      <c r="F1416" t="s">
        <v>11625</v>
      </c>
      <c r="G1416" t="s">
        <v>757</v>
      </c>
      <c r="H1416" t="s">
        <v>607</v>
      </c>
      <c r="J1416" t="s">
        <v>3533</v>
      </c>
      <c r="L1416">
        <v>7</v>
      </c>
      <c r="M1416" s="134">
        <v>315000</v>
      </c>
      <c r="N1416" s="134">
        <v>625000</v>
      </c>
      <c r="O1416" t="s">
        <v>10766</v>
      </c>
      <c r="P1416" t="s">
        <v>11624</v>
      </c>
      <c r="Q1416" t="s">
        <v>1939</v>
      </c>
      <c r="R1416" t="s">
        <v>11623</v>
      </c>
      <c r="U1416" t="s">
        <v>1327</v>
      </c>
      <c r="X1416">
        <v>0</v>
      </c>
    </row>
    <row r="1417" spans="1:24" x14ac:dyDescent="0.25">
      <c r="A1417" s="234">
        <v>43616</v>
      </c>
      <c r="B1417" t="s">
        <v>643</v>
      </c>
      <c r="C1417" t="s">
        <v>644</v>
      </c>
      <c r="D1417" t="s">
        <v>645</v>
      </c>
      <c r="F1417" t="s">
        <v>15882</v>
      </c>
      <c r="G1417" t="s">
        <v>15883</v>
      </c>
      <c r="H1417" t="s">
        <v>607</v>
      </c>
      <c r="I1417" t="s">
        <v>5141</v>
      </c>
      <c r="J1417" t="s">
        <v>644</v>
      </c>
      <c r="K1417" t="s">
        <v>15884</v>
      </c>
      <c r="L1417">
        <v>2</v>
      </c>
      <c r="M1417" s="134">
        <v>315000</v>
      </c>
      <c r="N1417" s="134">
        <v>680000</v>
      </c>
      <c r="O1417" t="s">
        <v>10766</v>
      </c>
      <c r="P1417" t="s">
        <v>15885</v>
      </c>
      <c r="Q1417" t="s">
        <v>592</v>
      </c>
      <c r="R1417" t="s">
        <v>15915</v>
      </c>
      <c r="U1417" t="s">
        <v>12797</v>
      </c>
      <c r="X1417">
        <v>0</v>
      </c>
    </row>
    <row r="1418" spans="1:24" x14ac:dyDescent="0.25">
      <c r="A1418" s="234">
        <v>42885</v>
      </c>
      <c r="B1418" t="s">
        <v>110</v>
      </c>
      <c r="C1418" t="s">
        <v>761</v>
      </c>
      <c r="D1418" t="s">
        <v>715</v>
      </c>
      <c r="E1418" t="s">
        <v>588</v>
      </c>
      <c r="F1418" t="s">
        <v>6952</v>
      </c>
      <c r="H1418" t="s">
        <v>607</v>
      </c>
      <c r="I1418" t="s">
        <v>3059</v>
      </c>
      <c r="J1418" t="s">
        <v>761</v>
      </c>
      <c r="L1418">
        <v>5</v>
      </c>
      <c r="M1418" s="134">
        <v>316000</v>
      </c>
      <c r="N1418" s="134">
        <v>537200</v>
      </c>
      <c r="O1418" t="s">
        <v>35</v>
      </c>
      <c r="P1418" t="s">
        <v>6953</v>
      </c>
      <c r="Q1418" t="s">
        <v>592</v>
      </c>
      <c r="R1418" t="s">
        <v>6954</v>
      </c>
      <c r="S1418" t="s">
        <v>7020</v>
      </c>
      <c r="U1418" t="s">
        <v>491</v>
      </c>
      <c r="X1418">
        <v>0</v>
      </c>
    </row>
    <row r="1419" spans="1:24" x14ac:dyDescent="0.25">
      <c r="A1419" s="234">
        <v>43251</v>
      </c>
      <c r="B1419" t="s">
        <v>328</v>
      </c>
      <c r="C1419" t="s">
        <v>603</v>
      </c>
      <c r="D1419" t="s">
        <v>649</v>
      </c>
      <c r="E1419" t="s">
        <v>588</v>
      </c>
      <c r="F1419" t="s">
        <v>11381</v>
      </c>
      <c r="G1419" t="s">
        <v>11380</v>
      </c>
      <c r="H1419" t="s">
        <v>10829</v>
      </c>
      <c r="I1419" t="s">
        <v>11379</v>
      </c>
      <c r="J1419" t="s">
        <v>6575</v>
      </c>
      <c r="L1419">
        <v>4</v>
      </c>
      <c r="M1419" s="134">
        <v>316500</v>
      </c>
      <c r="N1419" s="134">
        <v>400000</v>
      </c>
      <c r="O1419" t="s">
        <v>4533</v>
      </c>
      <c r="P1419" t="s">
        <v>11378</v>
      </c>
      <c r="Q1419" t="s">
        <v>29</v>
      </c>
      <c r="R1419" t="s">
        <v>11377</v>
      </c>
      <c r="U1419" t="s">
        <v>1327</v>
      </c>
      <c r="X1419">
        <v>1</v>
      </c>
    </row>
    <row r="1420" spans="1:24" x14ac:dyDescent="0.25">
      <c r="A1420" s="234">
        <v>43206</v>
      </c>
      <c r="B1420" t="s">
        <v>569</v>
      </c>
      <c r="C1420" t="s">
        <v>899</v>
      </c>
      <c r="D1420" t="s">
        <v>624</v>
      </c>
      <c r="E1420" t="s">
        <v>588</v>
      </c>
      <c r="F1420" t="s">
        <v>10923</v>
      </c>
      <c r="H1420" t="s">
        <v>905</v>
      </c>
      <c r="I1420" t="s">
        <v>2054</v>
      </c>
      <c r="J1420" t="s">
        <v>899</v>
      </c>
      <c r="M1420" s="134">
        <v>320000</v>
      </c>
      <c r="N1420" s="134">
        <v>0</v>
      </c>
      <c r="O1420" t="s">
        <v>6745</v>
      </c>
      <c r="P1420" t="s">
        <v>10924</v>
      </c>
      <c r="Q1420" t="s">
        <v>1939</v>
      </c>
      <c r="R1420" t="s">
        <v>10948</v>
      </c>
      <c r="U1420" t="s">
        <v>491</v>
      </c>
      <c r="X1420">
        <v>0</v>
      </c>
    </row>
    <row r="1421" spans="1:24" x14ac:dyDescent="0.25">
      <c r="A1421" s="234">
        <v>42943</v>
      </c>
      <c r="B1421" t="s">
        <v>328</v>
      </c>
      <c r="C1421" t="s">
        <v>603</v>
      </c>
      <c r="D1421" t="s">
        <v>5701</v>
      </c>
      <c r="E1421" t="s">
        <v>588</v>
      </c>
      <c r="F1421" t="s">
        <v>7850</v>
      </c>
      <c r="G1421" t="s">
        <v>7814</v>
      </c>
      <c r="H1421" t="s">
        <v>886</v>
      </c>
      <c r="I1421" t="s">
        <v>7851</v>
      </c>
      <c r="J1421" t="s">
        <v>4031</v>
      </c>
      <c r="L1421">
        <v>4</v>
      </c>
      <c r="M1421" s="134">
        <v>320000</v>
      </c>
      <c r="N1421" s="134">
        <v>320000</v>
      </c>
      <c r="O1421" t="s">
        <v>7375</v>
      </c>
      <c r="P1421" t="s">
        <v>7852</v>
      </c>
      <c r="Q1421" t="s">
        <v>29</v>
      </c>
      <c r="R1421" t="s">
        <v>7853</v>
      </c>
      <c r="T1421">
        <v>10</v>
      </c>
      <c r="U1421" t="s">
        <v>491</v>
      </c>
      <c r="X1421">
        <v>1</v>
      </c>
    </row>
    <row r="1422" spans="1:24" x14ac:dyDescent="0.25">
      <c r="A1422" s="234">
        <v>43451</v>
      </c>
      <c r="B1422" t="s">
        <v>5956</v>
      </c>
      <c r="C1422" t="s">
        <v>3369</v>
      </c>
      <c r="D1422" t="s">
        <v>8126</v>
      </c>
      <c r="F1422" t="s">
        <v>13658</v>
      </c>
      <c r="G1422" t="s">
        <v>13659</v>
      </c>
      <c r="H1422" t="s">
        <v>905</v>
      </c>
      <c r="I1422" t="s">
        <v>7662</v>
      </c>
      <c r="J1422" t="s">
        <v>4825</v>
      </c>
      <c r="K1422" t="s">
        <v>13660</v>
      </c>
      <c r="L1422">
        <v>5</v>
      </c>
      <c r="M1422" s="134">
        <v>320000</v>
      </c>
      <c r="N1422" s="134">
        <v>354000</v>
      </c>
      <c r="O1422" t="s">
        <v>10762</v>
      </c>
      <c r="P1422" t="s">
        <v>13661</v>
      </c>
      <c r="Q1422" t="s">
        <v>1939</v>
      </c>
      <c r="R1422" t="s">
        <v>13662</v>
      </c>
      <c r="U1422" t="s">
        <v>491</v>
      </c>
      <c r="X1422">
        <v>0</v>
      </c>
    </row>
    <row r="1423" spans="1:24" x14ac:dyDescent="0.25">
      <c r="A1423" s="234">
        <v>43318</v>
      </c>
      <c r="B1423" t="s">
        <v>5956</v>
      </c>
      <c r="C1423" t="s">
        <v>3369</v>
      </c>
      <c r="D1423" t="s">
        <v>8126</v>
      </c>
      <c r="E1423" t="s">
        <v>588</v>
      </c>
      <c r="F1423" t="s">
        <v>12093</v>
      </c>
      <c r="G1423" t="s">
        <v>12092</v>
      </c>
      <c r="H1423" t="s">
        <v>905</v>
      </c>
      <c r="I1423" t="s">
        <v>12091</v>
      </c>
      <c r="J1423" t="s">
        <v>4825</v>
      </c>
      <c r="L1423">
        <v>1</v>
      </c>
      <c r="M1423" s="134">
        <v>320000</v>
      </c>
      <c r="N1423" s="134">
        <v>358000</v>
      </c>
      <c r="O1423" t="s">
        <v>10879</v>
      </c>
      <c r="P1423" t="s">
        <v>12090</v>
      </c>
      <c r="Q1423" t="s">
        <v>1939</v>
      </c>
      <c r="R1423" t="s">
        <v>12089</v>
      </c>
      <c r="U1423" t="s">
        <v>1327</v>
      </c>
      <c r="X1423">
        <v>0</v>
      </c>
    </row>
    <row r="1424" spans="1:24" x14ac:dyDescent="0.25">
      <c r="A1424" s="234">
        <v>43266</v>
      </c>
      <c r="B1424" t="s">
        <v>328</v>
      </c>
      <c r="C1424" t="s">
        <v>603</v>
      </c>
      <c r="D1424" t="s">
        <v>672</v>
      </c>
      <c r="E1424" t="s">
        <v>588</v>
      </c>
      <c r="F1424" t="s">
        <v>11518</v>
      </c>
      <c r="G1424" t="s">
        <v>11519</v>
      </c>
      <c r="H1424" t="s">
        <v>607</v>
      </c>
      <c r="I1424" t="s">
        <v>11520</v>
      </c>
      <c r="J1424" t="s">
        <v>602</v>
      </c>
      <c r="L1424">
        <v>9</v>
      </c>
      <c r="M1424" s="134">
        <v>320000</v>
      </c>
      <c r="N1424" s="134">
        <v>544000</v>
      </c>
      <c r="O1424" t="s">
        <v>7124</v>
      </c>
      <c r="P1424" t="s">
        <v>11694</v>
      </c>
      <c r="Q1424" t="s">
        <v>592</v>
      </c>
      <c r="R1424" t="s">
        <v>11521</v>
      </c>
      <c r="U1424" t="s">
        <v>491</v>
      </c>
      <c r="X1424">
        <v>0</v>
      </c>
    </row>
    <row r="1425" spans="1:24" x14ac:dyDescent="0.25">
      <c r="A1425" s="234">
        <v>42900</v>
      </c>
      <c r="B1425" t="s">
        <v>569</v>
      </c>
      <c r="D1425" t="s">
        <v>930</v>
      </c>
      <c r="E1425" t="s">
        <v>588</v>
      </c>
      <c r="F1425" t="s">
        <v>7203</v>
      </c>
      <c r="H1425" t="s">
        <v>607</v>
      </c>
      <c r="I1425" t="s">
        <v>6166</v>
      </c>
      <c r="J1425" t="s">
        <v>899</v>
      </c>
      <c r="M1425" s="134">
        <v>320000</v>
      </c>
      <c r="N1425" s="134">
        <v>576000</v>
      </c>
      <c r="O1425" t="s">
        <v>7204</v>
      </c>
      <c r="P1425" t="s">
        <v>7205</v>
      </c>
      <c r="Q1425" t="s">
        <v>1939</v>
      </c>
      <c r="R1425" t="s">
        <v>7206</v>
      </c>
      <c r="U1425" t="s">
        <v>491</v>
      </c>
      <c r="X1425">
        <v>0</v>
      </c>
    </row>
    <row r="1426" spans="1:24" x14ac:dyDescent="0.25">
      <c r="A1426" s="234">
        <v>42459</v>
      </c>
      <c r="B1426" t="s">
        <v>328</v>
      </c>
      <c r="C1426" t="s">
        <v>603</v>
      </c>
      <c r="D1426" t="s">
        <v>672</v>
      </c>
      <c r="E1426" t="s">
        <v>588</v>
      </c>
      <c r="F1426" t="s">
        <v>1444</v>
      </c>
      <c r="H1426" t="s">
        <v>722</v>
      </c>
      <c r="I1426" t="s">
        <v>1395</v>
      </c>
      <c r="M1426" s="134">
        <v>320000</v>
      </c>
      <c r="N1426" s="134">
        <v>576000</v>
      </c>
      <c r="O1426" t="s">
        <v>1445</v>
      </c>
      <c r="P1426" t="s">
        <v>1446</v>
      </c>
      <c r="Q1426" t="s">
        <v>29</v>
      </c>
      <c r="R1426" t="s">
        <v>1447</v>
      </c>
      <c r="U1426" t="s">
        <v>491</v>
      </c>
      <c r="X1426">
        <v>1</v>
      </c>
    </row>
    <row r="1427" spans="1:24" x14ac:dyDescent="0.25">
      <c r="A1427" s="234">
        <v>43207</v>
      </c>
      <c r="B1427" t="s">
        <v>328</v>
      </c>
      <c r="C1427" t="s">
        <v>603</v>
      </c>
      <c r="D1427" t="s">
        <v>8941</v>
      </c>
      <c r="E1427" t="s">
        <v>588</v>
      </c>
      <c r="F1427" t="s">
        <v>10960</v>
      </c>
      <c r="G1427" t="s">
        <v>10961</v>
      </c>
      <c r="H1427" t="s">
        <v>607</v>
      </c>
      <c r="I1427" t="s">
        <v>4042</v>
      </c>
      <c r="J1427" t="s">
        <v>899</v>
      </c>
      <c r="L1427">
        <v>4</v>
      </c>
      <c r="M1427" s="134">
        <v>320000</v>
      </c>
      <c r="N1427" s="134">
        <v>596000</v>
      </c>
      <c r="O1427" t="s">
        <v>49</v>
      </c>
      <c r="P1427" t="s">
        <v>10962</v>
      </c>
      <c r="Q1427" t="s">
        <v>1939</v>
      </c>
      <c r="R1427" t="s">
        <v>10963</v>
      </c>
      <c r="U1427" t="s">
        <v>1327</v>
      </c>
      <c r="X1427">
        <v>0</v>
      </c>
    </row>
    <row r="1428" spans="1:24" x14ac:dyDescent="0.25">
      <c r="A1428" s="234">
        <v>42475</v>
      </c>
      <c r="B1428" t="s">
        <v>378</v>
      </c>
      <c r="C1428" t="s">
        <v>623</v>
      </c>
      <c r="D1428" t="s">
        <v>625</v>
      </c>
      <c r="E1428" t="s">
        <v>692</v>
      </c>
      <c r="F1428" t="s">
        <v>1672</v>
      </c>
      <c r="H1428" t="s">
        <v>607</v>
      </c>
      <c r="I1428" t="s">
        <v>1051</v>
      </c>
      <c r="M1428" s="134">
        <v>320800</v>
      </c>
      <c r="N1428" s="134">
        <v>352880</v>
      </c>
      <c r="O1428" t="s">
        <v>1647</v>
      </c>
      <c r="P1428" t="s">
        <v>1648</v>
      </c>
      <c r="Q1428" t="s">
        <v>592</v>
      </c>
      <c r="U1428" t="s">
        <v>491</v>
      </c>
      <c r="X1428">
        <v>0</v>
      </c>
    </row>
    <row r="1429" spans="1:24" x14ac:dyDescent="0.25">
      <c r="A1429" s="234">
        <v>42789</v>
      </c>
      <c r="B1429" t="s">
        <v>328</v>
      </c>
      <c r="C1429" t="s">
        <v>603</v>
      </c>
      <c r="D1429" t="s">
        <v>1401</v>
      </c>
      <c r="E1429" t="s">
        <v>588</v>
      </c>
      <c r="F1429" t="s">
        <v>5795</v>
      </c>
      <c r="H1429" t="s">
        <v>607</v>
      </c>
      <c r="I1429" t="s">
        <v>5796</v>
      </c>
      <c r="J1429" t="s">
        <v>899</v>
      </c>
      <c r="M1429" s="134">
        <v>321000</v>
      </c>
      <c r="N1429" s="134">
        <v>600000</v>
      </c>
      <c r="O1429" t="s">
        <v>5797</v>
      </c>
      <c r="P1429" t="s">
        <v>5798</v>
      </c>
      <c r="Q1429" t="s">
        <v>1939</v>
      </c>
      <c r="R1429" t="s">
        <v>5799</v>
      </c>
      <c r="U1429" t="s">
        <v>491</v>
      </c>
      <c r="X1429">
        <v>0</v>
      </c>
    </row>
    <row r="1430" spans="1:24" x14ac:dyDescent="0.25">
      <c r="A1430" s="234">
        <v>42636</v>
      </c>
      <c r="B1430" t="s">
        <v>328</v>
      </c>
      <c r="C1430" t="s">
        <v>603</v>
      </c>
      <c r="D1430" t="s">
        <v>1471</v>
      </c>
      <c r="E1430" t="s">
        <v>588</v>
      </c>
      <c r="F1430" t="s">
        <v>4040</v>
      </c>
      <c r="H1430" t="s">
        <v>4041</v>
      </c>
      <c r="I1430" t="s">
        <v>4042</v>
      </c>
      <c r="J1430" t="s">
        <v>899</v>
      </c>
      <c r="L1430">
        <v>10</v>
      </c>
      <c r="M1430" s="134">
        <v>322000</v>
      </c>
      <c r="N1430" s="134">
        <v>400000</v>
      </c>
      <c r="O1430" t="s">
        <v>4043</v>
      </c>
      <c r="P1430" t="s">
        <v>4044</v>
      </c>
      <c r="Q1430" t="s">
        <v>29</v>
      </c>
      <c r="R1430" t="s">
        <v>4045</v>
      </c>
      <c r="U1430" t="s">
        <v>1327</v>
      </c>
      <c r="X1430">
        <v>1</v>
      </c>
    </row>
    <row r="1431" spans="1:24" x14ac:dyDescent="0.25">
      <c r="A1431" s="234">
        <v>43495</v>
      </c>
      <c r="B1431" t="s">
        <v>328</v>
      </c>
      <c r="C1431" t="s">
        <v>603</v>
      </c>
      <c r="D1431" t="s">
        <v>5701</v>
      </c>
      <c r="F1431" t="s">
        <v>14143</v>
      </c>
      <c r="G1431" t="s">
        <v>9083</v>
      </c>
      <c r="H1431" t="s">
        <v>607</v>
      </c>
      <c r="I1431" t="s">
        <v>11589</v>
      </c>
      <c r="J1431" t="s">
        <v>3751</v>
      </c>
      <c r="K1431" t="s">
        <v>14144</v>
      </c>
      <c r="L1431">
        <v>10</v>
      </c>
      <c r="M1431" s="134">
        <v>322888</v>
      </c>
      <c r="N1431" s="134">
        <v>548910</v>
      </c>
      <c r="O1431" t="s">
        <v>4533</v>
      </c>
      <c r="P1431" t="s">
        <v>14259</v>
      </c>
      <c r="Q1431" t="s">
        <v>620</v>
      </c>
      <c r="R1431" t="s">
        <v>14294</v>
      </c>
      <c r="U1431" t="s">
        <v>491</v>
      </c>
      <c r="X1431">
        <v>0</v>
      </c>
    </row>
    <row r="1432" spans="1:24" x14ac:dyDescent="0.25">
      <c r="A1432" s="234">
        <v>43312</v>
      </c>
      <c r="B1432" t="s">
        <v>328</v>
      </c>
      <c r="C1432" t="s">
        <v>603</v>
      </c>
      <c r="D1432" t="s">
        <v>757</v>
      </c>
      <c r="E1432" t="s">
        <v>588</v>
      </c>
      <c r="F1432" t="s">
        <v>7868</v>
      </c>
      <c r="G1432" t="s">
        <v>11884</v>
      </c>
      <c r="H1432" t="s">
        <v>10831</v>
      </c>
      <c r="I1432" t="s">
        <v>11885</v>
      </c>
      <c r="J1432" t="s">
        <v>899</v>
      </c>
      <c r="L1432">
        <v>10</v>
      </c>
      <c r="M1432" s="134">
        <v>323000</v>
      </c>
      <c r="N1432" s="134">
        <v>365300</v>
      </c>
      <c r="O1432" t="s">
        <v>7124</v>
      </c>
      <c r="P1432" t="s">
        <v>11886</v>
      </c>
      <c r="Q1432" t="s">
        <v>29</v>
      </c>
      <c r="R1432" t="s">
        <v>11887</v>
      </c>
      <c r="U1432" t="s">
        <v>491</v>
      </c>
      <c r="X1432">
        <v>1</v>
      </c>
    </row>
    <row r="1433" spans="1:24" x14ac:dyDescent="0.25">
      <c r="A1433" s="234">
        <v>42682</v>
      </c>
      <c r="B1433" t="s">
        <v>1486</v>
      </c>
      <c r="C1433" t="s">
        <v>1883</v>
      </c>
      <c r="D1433" t="s">
        <v>727</v>
      </c>
      <c r="E1433" t="s">
        <v>588</v>
      </c>
      <c r="F1433" t="s">
        <v>4645</v>
      </c>
      <c r="H1433" t="s">
        <v>905</v>
      </c>
      <c r="I1433" t="s">
        <v>4646</v>
      </c>
      <c r="J1433" t="s">
        <v>3369</v>
      </c>
      <c r="L1433">
        <v>5</v>
      </c>
      <c r="M1433" s="134">
        <v>324000</v>
      </c>
      <c r="N1433" s="134">
        <v>0</v>
      </c>
      <c r="O1433" t="s">
        <v>4647</v>
      </c>
      <c r="P1433" t="s">
        <v>4648</v>
      </c>
      <c r="Q1433" t="s">
        <v>1939</v>
      </c>
      <c r="R1433" t="s">
        <v>4649</v>
      </c>
      <c r="U1433" t="s">
        <v>491</v>
      </c>
      <c r="X1433">
        <v>0</v>
      </c>
    </row>
    <row r="1434" spans="1:24" x14ac:dyDescent="0.25">
      <c r="A1434" s="234">
        <v>43523</v>
      </c>
      <c r="B1434" t="s">
        <v>643</v>
      </c>
      <c r="C1434" t="s">
        <v>644</v>
      </c>
      <c r="D1434" t="s">
        <v>645</v>
      </c>
      <c r="F1434" t="s">
        <v>14536</v>
      </c>
      <c r="G1434" t="s">
        <v>7757</v>
      </c>
      <c r="H1434" t="s">
        <v>1050</v>
      </c>
      <c r="I1434" t="s">
        <v>6987</v>
      </c>
      <c r="J1434" t="s">
        <v>644</v>
      </c>
      <c r="K1434" t="s">
        <v>14537</v>
      </c>
      <c r="L1434">
        <v>1</v>
      </c>
      <c r="M1434" s="134">
        <v>325000</v>
      </c>
      <c r="N1434" s="134">
        <v>330000</v>
      </c>
      <c r="O1434" t="s">
        <v>2295</v>
      </c>
      <c r="P1434" t="s">
        <v>14575</v>
      </c>
      <c r="Q1434" t="s">
        <v>1939</v>
      </c>
      <c r="R1434" t="s">
        <v>14538</v>
      </c>
      <c r="U1434" t="s">
        <v>12797</v>
      </c>
      <c r="X1434">
        <v>0</v>
      </c>
    </row>
    <row r="1435" spans="1:24" x14ac:dyDescent="0.25">
      <c r="A1435" s="234">
        <v>42739</v>
      </c>
      <c r="B1435" t="s">
        <v>328</v>
      </c>
      <c r="C1435" t="s">
        <v>603</v>
      </c>
      <c r="D1435" t="s">
        <v>2397</v>
      </c>
      <c r="E1435" t="s">
        <v>588</v>
      </c>
      <c r="F1435" t="s">
        <v>5194</v>
      </c>
      <c r="H1435" t="s">
        <v>607</v>
      </c>
      <c r="I1435" t="s">
        <v>5195</v>
      </c>
      <c r="J1435" t="s">
        <v>644</v>
      </c>
      <c r="L1435">
        <v>3</v>
      </c>
      <c r="M1435" s="134">
        <v>325000</v>
      </c>
      <c r="N1435" s="134">
        <v>345000</v>
      </c>
      <c r="O1435" t="s">
        <v>3107</v>
      </c>
      <c r="P1435" t="s">
        <v>5196</v>
      </c>
      <c r="Q1435" t="s">
        <v>592</v>
      </c>
      <c r="U1435" t="s">
        <v>491</v>
      </c>
      <c r="X1435">
        <v>0</v>
      </c>
    </row>
    <row r="1436" spans="1:24" x14ac:dyDescent="0.25">
      <c r="A1436" s="234">
        <v>43551</v>
      </c>
      <c r="B1436" t="s">
        <v>13559</v>
      </c>
      <c r="C1436" t="s">
        <v>4031</v>
      </c>
      <c r="D1436" t="s">
        <v>13560</v>
      </c>
      <c r="F1436" t="s">
        <v>14879</v>
      </c>
      <c r="H1436" t="s">
        <v>905</v>
      </c>
      <c r="I1436" t="s">
        <v>14880</v>
      </c>
      <c r="J1436" t="s">
        <v>3733</v>
      </c>
      <c r="K1436" t="s">
        <v>14881</v>
      </c>
      <c r="M1436" s="134">
        <v>325000</v>
      </c>
      <c r="N1436" s="134">
        <v>372500</v>
      </c>
      <c r="O1436" t="s">
        <v>10763</v>
      </c>
      <c r="P1436" t="s">
        <v>14882</v>
      </c>
      <c r="Q1436" t="s">
        <v>592</v>
      </c>
      <c r="R1436" t="s">
        <v>14883</v>
      </c>
      <c r="U1436" t="s">
        <v>12797</v>
      </c>
      <c r="X1436">
        <v>0</v>
      </c>
    </row>
    <row r="1437" spans="1:24" x14ac:dyDescent="0.25">
      <c r="A1437" s="234">
        <v>42738</v>
      </c>
      <c r="B1437" t="s">
        <v>569</v>
      </c>
      <c r="C1437" t="s">
        <v>833</v>
      </c>
      <c r="D1437" t="s">
        <v>625</v>
      </c>
      <c r="E1437" t="s">
        <v>588</v>
      </c>
      <c r="F1437" t="s">
        <v>5159</v>
      </c>
      <c r="H1437" t="s">
        <v>905</v>
      </c>
      <c r="I1437" t="s">
        <v>2054</v>
      </c>
      <c r="J1437" t="s">
        <v>899</v>
      </c>
      <c r="L1437">
        <v>2</v>
      </c>
      <c r="M1437" s="134">
        <v>325000</v>
      </c>
      <c r="N1437" s="134">
        <v>422000</v>
      </c>
      <c r="O1437" t="s">
        <v>695</v>
      </c>
      <c r="P1437" t="s">
        <v>5160</v>
      </c>
      <c r="Q1437" t="s">
        <v>1612</v>
      </c>
      <c r="R1437" t="s">
        <v>5157</v>
      </c>
      <c r="S1437" t="s">
        <v>5175</v>
      </c>
      <c r="U1437" t="s">
        <v>491</v>
      </c>
      <c r="X1437">
        <v>0</v>
      </c>
    </row>
    <row r="1438" spans="1:24" x14ac:dyDescent="0.25">
      <c r="A1438" s="234">
        <v>43542</v>
      </c>
      <c r="B1438" t="s">
        <v>13559</v>
      </c>
      <c r="C1438" t="s">
        <v>4031</v>
      </c>
      <c r="D1438" t="s">
        <v>13560</v>
      </c>
      <c r="F1438" t="s">
        <v>14753</v>
      </c>
      <c r="G1438" t="s">
        <v>11338</v>
      </c>
      <c r="H1438" t="s">
        <v>10831</v>
      </c>
      <c r="I1438" t="s">
        <v>14754</v>
      </c>
      <c r="J1438" t="s">
        <v>3523</v>
      </c>
      <c r="K1438" t="s">
        <v>14755</v>
      </c>
      <c r="L1438">
        <v>3</v>
      </c>
      <c r="M1438" s="134">
        <v>325000</v>
      </c>
      <c r="N1438" s="134">
        <v>472500</v>
      </c>
      <c r="O1438" t="s">
        <v>10763</v>
      </c>
      <c r="P1438" t="s">
        <v>14756</v>
      </c>
      <c r="Q1438" t="s">
        <v>592</v>
      </c>
      <c r="R1438" t="s">
        <v>14757</v>
      </c>
      <c r="U1438" t="s">
        <v>12797</v>
      </c>
      <c r="X1438">
        <v>0</v>
      </c>
    </row>
    <row r="1439" spans="1:24" x14ac:dyDescent="0.25">
      <c r="A1439" s="234">
        <v>43571</v>
      </c>
      <c r="B1439" t="s">
        <v>13559</v>
      </c>
      <c r="C1439" t="s">
        <v>3523</v>
      </c>
      <c r="D1439" t="s">
        <v>9545</v>
      </c>
      <c r="F1439" t="s">
        <v>15097</v>
      </c>
      <c r="G1439" t="s">
        <v>15098</v>
      </c>
      <c r="H1439" t="s">
        <v>607</v>
      </c>
      <c r="I1439" t="s">
        <v>15099</v>
      </c>
      <c r="J1439" t="s">
        <v>3523</v>
      </c>
      <c r="K1439" t="s">
        <v>15100</v>
      </c>
      <c r="L1439">
        <v>3</v>
      </c>
      <c r="M1439" s="134">
        <v>325000</v>
      </c>
      <c r="N1439" s="134">
        <v>510000</v>
      </c>
      <c r="O1439" t="s">
        <v>10765</v>
      </c>
      <c r="P1439" t="s">
        <v>15110</v>
      </c>
      <c r="Q1439" t="s">
        <v>1612</v>
      </c>
      <c r="R1439" t="s">
        <v>15111</v>
      </c>
      <c r="U1439" t="s">
        <v>491</v>
      </c>
      <c r="X1439">
        <v>0</v>
      </c>
    </row>
    <row r="1440" spans="1:24" x14ac:dyDescent="0.25">
      <c r="A1440" s="234">
        <v>43301</v>
      </c>
      <c r="B1440" t="s">
        <v>643</v>
      </c>
      <c r="C1440" t="s">
        <v>644</v>
      </c>
      <c r="D1440" t="s">
        <v>3132</v>
      </c>
      <c r="E1440" t="s">
        <v>588</v>
      </c>
      <c r="F1440" t="s">
        <v>8013</v>
      </c>
      <c r="G1440" t="s">
        <v>11866</v>
      </c>
      <c r="H1440" t="s">
        <v>10832</v>
      </c>
      <c r="I1440" t="s">
        <v>228</v>
      </c>
      <c r="J1440" t="s">
        <v>899</v>
      </c>
      <c r="L1440">
        <v>5</v>
      </c>
      <c r="M1440" s="134">
        <v>325000</v>
      </c>
      <c r="N1440" s="134">
        <v>552500</v>
      </c>
      <c r="O1440" t="s">
        <v>10764</v>
      </c>
      <c r="P1440" t="s">
        <v>11865</v>
      </c>
      <c r="Q1440" t="s">
        <v>1939</v>
      </c>
      <c r="R1440" t="s">
        <v>11864</v>
      </c>
      <c r="U1440" t="s">
        <v>1327</v>
      </c>
      <c r="X1440">
        <v>0</v>
      </c>
    </row>
    <row r="1441" spans="1:24" x14ac:dyDescent="0.25">
      <c r="A1441" s="234">
        <v>43052</v>
      </c>
      <c r="B1441" t="s">
        <v>328</v>
      </c>
      <c r="C1441" t="s">
        <v>603</v>
      </c>
      <c r="D1441" t="s">
        <v>5701</v>
      </c>
      <c r="E1441" t="s">
        <v>588</v>
      </c>
      <c r="F1441" t="s">
        <v>9451</v>
      </c>
      <c r="G1441" t="s">
        <v>9450</v>
      </c>
      <c r="H1441" t="s">
        <v>1391</v>
      </c>
      <c r="J1441" t="s">
        <v>6657</v>
      </c>
      <c r="L1441">
        <v>5</v>
      </c>
      <c r="M1441" s="134">
        <v>325000</v>
      </c>
      <c r="N1441" s="134">
        <v>585000</v>
      </c>
      <c r="O1441" t="s">
        <v>9218</v>
      </c>
      <c r="P1441" t="s">
        <v>9449</v>
      </c>
      <c r="Q1441" t="s">
        <v>29</v>
      </c>
      <c r="S1441" t="s">
        <v>9615</v>
      </c>
      <c r="U1441" t="s">
        <v>1327</v>
      </c>
      <c r="X1441">
        <v>1</v>
      </c>
    </row>
    <row r="1442" spans="1:24" x14ac:dyDescent="0.25">
      <c r="A1442" s="234">
        <v>43461</v>
      </c>
      <c r="B1442" t="s">
        <v>9240</v>
      </c>
      <c r="C1442" t="s">
        <v>603</v>
      </c>
      <c r="D1442" t="s">
        <v>8396</v>
      </c>
      <c r="F1442" t="s">
        <v>13707</v>
      </c>
      <c r="G1442" t="s">
        <v>13708</v>
      </c>
      <c r="H1442" t="s">
        <v>607</v>
      </c>
      <c r="I1442" t="s">
        <v>8717</v>
      </c>
      <c r="J1442" t="s">
        <v>3751</v>
      </c>
      <c r="K1442" t="s">
        <v>13709</v>
      </c>
      <c r="L1442">
        <v>1</v>
      </c>
      <c r="M1442" s="134">
        <v>325000</v>
      </c>
      <c r="N1442" s="134">
        <v>600000</v>
      </c>
      <c r="O1442" t="s">
        <v>10766</v>
      </c>
      <c r="P1442" t="s">
        <v>13710</v>
      </c>
      <c r="Q1442" t="s">
        <v>29</v>
      </c>
      <c r="R1442" t="s">
        <v>13711</v>
      </c>
      <c r="U1442" t="s">
        <v>491</v>
      </c>
      <c r="X1442">
        <v>1</v>
      </c>
    </row>
    <row r="1443" spans="1:24" x14ac:dyDescent="0.25">
      <c r="A1443" s="234">
        <v>43258</v>
      </c>
      <c r="B1443" t="s">
        <v>5956</v>
      </c>
      <c r="C1443" t="s">
        <v>3369</v>
      </c>
      <c r="D1443" t="s">
        <v>8126</v>
      </c>
      <c r="E1443" t="s">
        <v>588</v>
      </c>
      <c r="F1443" t="s">
        <v>11429</v>
      </c>
      <c r="G1443" t="s">
        <v>11430</v>
      </c>
      <c r="H1443" t="s">
        <v>607</v>
      </c>
      <c r="I1443" t="s">
        <v>11431</v>
      </c>
      <c r="J1443" t="s">
        <v>4825</v>
      </c>
      <c r="L1443">
        <v>5</v>
      </c>
      <c r="M1443" s="134">
        <v>325000</v>
      </c>
      <c r="N1443" s="134">
        <v>630000</v>
      </c>
      <c r="O1443" t="s">
        <v>4533</v>
      </c>
      <c r="P1443" t="s">
        <v>11432</v>
      </c>
      <c r="Q1443" t="s">
        <v>1939</v>
      </c>
      <c r="R1443" t="s">
        <v>11692</v>
      </c>
      <c r="U1443" t="s">
        <v>491</v>
      </c>
      <c r="X1443">
        <v>0</v>
      </c>
    </row>
    <row r="1444" spans="1:24" x14ac:dyDescent="0.25">
      <c r="A1444" s="234">
        <v>43440</v>
      </c>
      <c r="B1444" t="s">
        <v>12367</v>
      </c>
      <c r="C1444" t="s">
        <v>5610</v>
      </c>
      <c r="D1444" t="s">
        <v>11338</v>
      </c>
      <c r="F1444" t="s">
        <v>13508</v>
      </c>
      <c r="G1444" t="s">
        <v>13509</v>
      </c>
      <c r="H1444" t="s">
        <v>607</v>
      </c>
      <c r="I1444" t="s">
        <v>13510</v>
      </c>
      <c r="J1444" t="s">
        <v>3523</v>
      </c>
      <c r="K1444" t="s">
        <v>13511</v>
      </c>
      <c r="L1444">
        <v>10</v>
      </c>
      <c r="M1444" s="134">
        <v>325000</v>
      </c>
      <c r="N1444" s="134">
        <v>700000</v>
      </c>
      <c r="O1444" t="s">
        <v>10762</v>
      </c>
      <c r="P1444" t="s">
        <v>13513</v>
      </c>
      <c r="Q1444" t="s">
        <v>1939</v>
      </c>
      <c r="R1444" t="s">
        <v>13512</v>
      </c>
      <c r="U1444" t="s">
        <v>491</v>
      </c>
      <c r="X1444">
        <v>0</v>
      </c>
    </row>
    <row r="1445" spans="1:24" x14ac:dyDescent="0.25">
      <c r="A1445" s="234">
        <v>43601</v>
      </c>
      <c r="B1445" t="s">
        <v>13559</v>
      </c>
      <c r="C1445" t="s">
        <v>4031</v>
      </c>
      <c r="D1445" t="s">
        <v>13560</v>
      </c>
      <c r="F1445" t="s">
        <v>15618</v>
      </c>
      <c r="H1445" t="s">
        <v>607</v>
      </c>
      <c r="I1445" t="s">
        <v>15619</v>
      </c>
      <c r="J1445" t="s">
        <v>603</v>
      </c>
      <c r="K1445" t="s">
        <v>15620</v>
      </c>
      <c r="L1445">
        <v>5</v>
      </c>
      <c r="M1445" s="134">
        <v>325000</v>
      </c>
      <c r="N1445" s="134">
        <v>725000</v>
      </c>
      <c r="O1445" t="s">
        <v>10762</v>
      </c>
      <c r="P1445" t="s">
        <v>15621</v>
      </c>
      <c r="Q1445" t="s">
        <v>592</v>
      </c>
      <c r="R1445" t="s">
        <v>15622</v>
      </c>
      <c r="U1445" t="s">
        <v>491</v>
      </c>
      <c r="X1445">
        <v>0</v>
      </c>
    </row>
    <row r="1446" spans="1:24" x14ac:dyDescent="0.25">
      <c r="A1446" s="234">
        <v>42898</v>
      </c>
      <c r="B1446" t="s">
        <v>328</v>
      </c>
      <c r="C1446" t="s">
        <v>603</v>
      </c>
      <c r="D1446" t="s">
        <v>649</v>
      </c>
      <c r="E1446" t="s">
        <v>588</v>
      </c>
      <c r="F1446" t="s">
        <v>15981</v>
      </c>
      <c r="H1446" t="s">
        <v>722</v>
      </c>
      <c r="I1446" t="s">
        <v>7156</v>
      </c>
      <c r="J1446" t="s">
        <v>899</v>
      </c>
      <c r="L1446">
        <v>9</v>
      </c>
      <c r="M1446" s="134">
        <v>325904</v>
      </c>
      <c r="N1446" s="134">
        <v>490000</v>
      </c>
      <c r="O1446" t="s">
        <v>2680</v>
      </c>
      <c r="P1446" t="s">
        <v>7158</v>
      </c>
      <c r="Q1446" t="s">
        <v>29</v>
      </c>
      <c r="R1446" t="s">
        <v>7159</v>
      </c>
      <c r="U1446" t="s">
        <v>491</v>
      </c>
      <c r="X1446">
        <v>1</v>
      </c>
    </row>
    <row r="1447" spans="1:24" x14ac:dyDescent="0.25">
      <c r="A1447" s="234">
        <v>42717</v>
      </c>
      <c r="B1447" t="s">
        <v>1486</v>
      </c>
      <c r="C1447" t="s">
        <v>1883</v>
      </c>
      <c r="D1447" t="s">
        <v>732</v>
      </c>
      <c r="E1447" t="s">
        <v>588</v>
      </c>
      <c r="F1447" t="s">
        <v>4996</v>
      </c>
      <c r="H1447" t="s">
        <v>607</v>
      </c>
      <c r="I1447" t="s">
        <v>4997</v>
      </c>
      <c r="J1447" t="s">
        <v>959</v>
      </c>
      <c r="M1447" s="134">
        <v>326000</v>
      </c>
      <c r="N1447" s="134">
        <v>554200</v>
      </c>
      <c r="O1447" t="s">
        <v>35</v>
      </c>
      <c r="P1447" t="s">
        <v>4999</v>
      </c>
      <c r="Q1447" t="s">
        <v>1939</v>
      </c>
      <c r="R1447" t="s">
        <v>4998</v>
      </c>
      <c r="U1447" t="s">
        <v>833</v>
      </c>
      <c r="X1447">
        <v>0</v>
      </c>
    </row>
    <row r="1448" spans="1:24" x14ac:dyDescent="0.25">
      <c r="A1448" s="234">
        <v>43516</v>
      </c>
      <c r="B1448" t="s">
        <v>5956</v>
      </c>
      <c r="C1448" t="s">
        <v>3369</v>
      </c>
      <c r="D1448" t="s">
        <v>8126</v>
      </c>
      <c r="F1448" t="s">
        <v>14465</v>
      </c>
      <c r="G1448" t="s">
        <v>14466</v>
      </c>
      <c r="H1448" t="s">
        <v>607</v>
      </c>
      <c r="I1448" t="s">
        <v>7522</v>
      </c>
      <c r="J1448" t="s">
        <v>4825</v>
      </c>
      <c r="K1448" t="s">
        <v>14467</v>
      </c>
      <c r="L1448">
        <v>5</v>
      </c>
      <c r="M1448" s="134">
        <v>326000</v>
      </c>
      <c r="N1448" s="134">
        <v>652000</v>
      </c>
      <c r="O1448" t="s">
        <v>10766</v>
      </c>
      <c r="P1448" t="s">
        <v>14569</v>
      </c>
      <c r="Q1448" t="s">
        <v>1939</v>
      </c>
      <c r="R1448" t="s">
        <v>14468</v>
      </c>
      <c r="U1448" t="s">
        <v>12797</v>
      </c>
      <c r="X1448">
        <v>0</v>
      </c>
    </row>
    <row r="1449" spans="1:24" x14ac:dyDescent="0.25">
      <c r="A1449" s="234">
        <v>43143</v>
      </c>
      <c r="B1449" t="s">
        <v>5176</v>
      </c>
      <c r="C1449" t="s">
        <v>604</v>
      </c>
      <c r="D1449" t="s">
        <v>595</v>
      </c>
      <c r="E1449" t="s">
        <v>588</v>
      </c>
      <c r="F1449" t="s">
        <v>8573</v>
      </c>
      <c r="G1449" t="s">
        <v>10335</v>
      </c>
      <c r="H1449" t="s">
        <v>607</v>
      </c>
      <c r="J1449" t="s">
        <v>959</v>
      </c>
      <c r="L1449">
        <v>6</v>
      </c>
      <c r="M1449" s="134">
        <v>328500</v>
      </c>
      <c r="N1449" s="134">
        <v>624250</v>
      </c>
      <c r="O1449" t="s">
        <v>10766</v>
      </c>
      <c r="P1449" t="s">
        <v>10336</v>
      </c>
      <c r="Q1449" t="s">
        <v>620</v>
      </c>
      <c r="R1449" t="s">
        <v>10337</v>
      </c>
      <c r="U1449" t="s">
        <v>1327</v>
      </c>
      <c r="X1449">
        <v>0</v>
      </c>
    </row>
    <row r="1450" spans="1:24" x14ac:dyDescent="0.25">
      <c r="A1450" s="234">
        <v>42415</v>
      </c>
      <c r="B1450" t="s">
        <v>328</v>
      </c>
      <c r="C1450" t="s">
        <v>899</v>
      </c>
      <c r="D1450" t="s">
        <v>649</v>
      </c>
      <c r="E1450" t="s">
        <v>588</v>
      </c>
      <c r="F1450" t="s">
        <v>981</v>
      </c>
      <c r="H1450" t="s">
        <v>607</v>
      </c>
      <c r="I1450" t="s">
        <v>982</v>
      </c>
      <c r="M1450" s="134">
        <v>330000</v>
      </c>
      <c r="N1450" s="134">
        <v>561000</v>
      </c>
      <c r="O1450" t="s">
        <v>983</v>
      </c>
      <c r="P1450" t="s">
        <v>984</v>
      </c>
      <c r="Q1450" t="s">
        <v>29</v>
      </c>
      <c r="R1450" t="s">
        <v>985</v>
      </c>
      <c r="U1450" t="s">
        <v>491</v>
      </c>
      <c r="X1450">
        <v>1</v>
      </c>
    </row>
    <row r="1451" spans="1:24" x14ac:dyDescent="0.25">
      <c r="A1451" s="234">
        <v>42509</v>
      </c>
      <c r="B1451" t="s">
        <v>328</v>
      </c>
      <c r="C1451" t="s">
        <v>603</v>
      </c>
      <c r="D1451" t="s">
        <v>587</v>
      </c>
      <c r="E1451" t="s">
        <v>588</v>
      </c>
      <c r="F1451" t="s">
        <v>2145</v>
      </c>
      <c r="H1451" t="s">
        <v>607</v>
      </c>
      <c r="I1451" t="s">
        <v>2146</v>
      </c>
      <c r="M1451" s="134">
        <v>331000</v>
      </c>
      <c r="N1451" s="134">
        <v>532600</v>
      </c>
      <c r="O1451" t="s">
        <v>2147</v>
      </c>
      <c r="P1451" t="s">
        <v>2148</v>
      </c>
      <c r="Q1451" t="s">
        <v>1939</v>
      </c>
      <c r="R1451" t="s">
        <v>2149</v>
      </c>
      <c r="U1451" t="s">
        <v>491</v>
      </c>
      <c r="X1451">
        <v>0</v>
      </c>
    </row>
    <row r="1452" spans="1:24" x14ac:dyDescent="0.25">
      <c r="A1452" s="234">
        <v>42605</v>
      </c>
      <c r="B1452" t="s">
        <v>328</v>
      </c>
      <c r="C1452" t="s">
        <v>603</v>
      </c>
      <c r="D1452" t="s">
        <v>1401</v>
      </c>
      <c r="E1452" t="s">
        <v>588</v>
      </c>
      <c r="F1452" t="s">
        <v>3581</v>
      </c>
      <c r="H1452" t="s">
        <v>607</v>
      </c>
      <c r="I1452" t="s">
        <v>3582</v>
      </c>
      <c r="J1452" t="s">
        <v>604</v>
      </c>
      <c r="L1452">
        <v>10</v>
      </c>
      <c r="M1452" s="134">
        <v>332000</v>
      </c>
      <c r="N1452" s="134">
        <v>804100</v>
      </c>
      <c r="O1452" t="s">
        <v>764</v>
      </c>
      <c r="P1452" t="s">
        <v>3583</v>
      </c>
      <c r="Q1452" t="s">
        <v>620</v>
      </c>
      <c r="R1452" t="s">
        <v>3584</v>
      </c>
      <c r="U1452" t="s">
        <v>491</v>
      </c>
      <c r="X1452">
        <v>0</v>
      </c>
    </row>
    <row r="1453" spans="1:24" x14ac:dyDescent="0.25">
      <c r="A1453" s="234">
        <v>42765</v>
      </c>
      <c r="B1453" t="s">
        <v>643</v>
      </c>
      <c r="C1453" t="s">
        <v>644</v>
      </c>
      <c r="D1453" t="s">
        <v>645</v>
      </c>
      <c r="E1453" t="s">
        <v>588</v>
      </c>
      <c r="F1453" t="s">
        <v>5545</v>
      </c>
      <c r="H1453" t="s">
        <v>607</v>
      </c>
      <c r="I1453" t="s">
        <v>5546</v>
      </c>
      <c r="J1453" t="s">
        <v>644</v>
      </c>
      <c r="L1453">
        <v>6</v>
      </c>
      <c r="M1453" s="134">
        <v>332100</v>
      </c>
      <c r="N1453" s="134">
        <v>514755</v>
      </c>
      <c r="O1453" t="s">
        <v>5354</v>
      </c>
      <c r="P1453" t="s">
        <v>5547</v>
      </c>
      <c r="Q1453" t="s">
        <v>29</v>
      </c>
      <c r="R1453" t="s">
        <v>5548</v>
      </c>
      <c r="U1453" t="s">
        <v>491</v>
      </c>
      <c r="X1453">
        <v>1</v>
      </c>
    </row>
    <row r="1454" spans="1:24" x14ac:dyDescent="0.25">
      <c r="A1454" s="234">
        <v>42860</v>
      </c>
      <c r="B1454" t="s">
        <v>328</v>
      </c>
      <c r="C1454" t="s">
        <v>603</v>
      </c>
      <c r="D1454" t="s">
        <v>672</v>
      </c>
      <c r="E1454" t="s">
        <v>588</v>
      </c>
      <c r="F1454" t="s">
        <v>6693</v>
      </c>
      <c r="H1454" t="s">
        <v>607</v>
      </c>
      <c r="I1454" t="s">
        <v>6694</v>
      </c>
      <c r="J1454" t="s">
        <v>3533</v>
      </c>
      <c r="L1454">
        <v>4</v>
      </c>
      <c r="M1454" s="134">
        <v>332126</v>
      </c>
      <c r="N1454" s="134">
        <v>564615</v>
      </c>
      <c r="O1454" t="s">
        <v>6522</v>
      </c>
      <c r="P1454" t="s">
        <v>7048</v>
      </c>
      <c r="Q1454" t="s">
        <v>1939</v>
      </c>
      <c r="R1454" t="s">
        <v>6695</v>
      </c>
      <c r="U1454" t="s">
        <v>491</v>
      </c>
      <c r="X1454">
        <v>0</v>
      </c>
    </row>
    <row r="1455" spans="1:24" x14ac:dyDescent="0.25">
      <c r="A1455" s="234">
        <v>43544</v>
      </c>
      <c r="B1455" t="s">
        <v>328</v>
      </c>
      <c r="C1455" t="s">
        <v>603</v>
      </c>
      <c r="D1455" t="s">
        <v>10705</v>
      </c>
      <c r="F1455" t="s">
        <v>14780</v>
      </c>
      <c r="G1455" t="s">
        <v>14781</v>
      </c>
      <c r="H1455" t="s">
        <v>607</v>
      </c>
      <c r="I1455" t="s">
        <v>14782</v>
      </c>
      <c r="J1455" t="s">
        <v>3751</v>
      </c>
      <c r="K1455" t="s">
        <v>14783</v>
      </c>
      <c r="L1455">
        <v>4</v>
      </c>
      <c r="M1455" s="134">
        <v>332900</v>
      </c>
      <c r="N1455" s="134">
        <v>638290</v>
      </c>
      <c r="O1455" t="s">
        <v>4533</v>
      </c>
      <c r="P1455" t="s">
        <v>14841</v>
      </c>
      <c r="Q1455" t="s">
        <v>1939</v>
      </c>
      <c r="R1455" t="s">
        <v>14784</v>
      </c>
      <c r="U1455" t="s">
        <v>12797</v>
      </c>
      <c r="X1455">
        <v>0</v>
      </c>
    </row>
    <row r="1456" spans="1:24" x14ac:dyDescent="0.25">
      <c r="A1456" s="234">
        <v>43013</v>
      </c>
      <c r="B1456" t="s">
        <v>5992</v>
      </c>
      <c r="C1456" t="s">
        <v>608</v>
      </c>
      <c r="D1456" t="s">
        <v>7858</v>
      </c>
      <c r="E1456" t="s">
        <v>588</v>
      </c>
      <c r="F1456" t="s">
        <v>8911</v>
      </c>
      <c r="G1456" t="s">
        <v>8912</v>
      </c>
      <c r="H1456" t="s">
        <v>4132</v>
      </c>
      <c r="I1456" t="s">
        <v>8909</v>
      </c>
      <c r="J1456" t="s">
        <v>608</v>
      </c>
      <c r="L1456">
        <v>4</v>
      </c>
      <c r="M1456" s="134">
        <v>333200</v>
      </c>
      <c r="N1456" s="134">
        <v>500000</v>
      </c>
      <c r="O1456" t="s">
        <v>666</v>
      </c>
      <c r="P1456" t="s">
        <v>8913</v>
      </c>
      <c r="Q1456" t="s">
        <v>29</v>
      </c>
      <c r="R1456" t="s">
        <v>8914</v>
      </c>
      <c r="S1456" t="s">
        <v>8915</v>
      </c>
      <c r="T1456">
        <v>28</v>
      </c>
      <c r="U1456" t="s">
        <v>491</v>
      </c>
      <c r="X1456">
        <v>1</v>
      </c>
    </row>
    <row r="1457" spans="1:24" x14ac:dyDescent="0.25">
      <c r="A1457" s="234">
        <v>43536</v>
      </c>
      <c r="B1457" t="s">
        <v>328</v>
      </c>
      <c r="C1457" t="s">
        <v>603</v>
      </c>
      <c r="D1457" t="s">
        <v>7595</v>
      </c>
      <c r="F1457" t="s">
        <v>14689</v>
      </c>
      <c r="G1457" t="s">
        <v>9733</v>
      </c>
      <c r="H1457" t="s">
        <v>607</v>
      </c>
      <c r="I1457" t="s">
        <v>14690</v>
      </c>
      <c r="J1457" t="s">
        <v>14074</v>
      </c>
      <c r="K1457" t="s">
        <v>14691</v>
      </c>
      <c r="L1457">
        <v>3</v>
      </c>
      <c r="M1457" s="134">
        <v>333500</v>
      </c>
      <c r="N1457" s="134">
        <v>566950</v>
      </c>
      <c r="O1457" t="s">
        <v>4533</v>
      </c>
      <c r="P1457" t="s">
        <v>14827</v>
      </c>
      <c r="Q1457" t="s">
        <v>1939</v>
      </c>
      <c r="R1457" t="s">
        <v>14697</v>
      </c>
      <c r="U1457" t="s">
        <v>12797</v>
      </c>
      <c r="X1457">
        <v>0</v>
      </c>
    </row>
    <row r="1458" spans="1:24" x14ac:dyDescent="0.25">
      <c r="A1458" s="234">
        <v>43299</v>
      </c>
      <c r="B1458" t="s">
        <v>328</v>
      </c>
      <c r="C1458" t="s">
        <v>603</v>
      </c>
      <c r="D1458" t="s">
        <v>10338</v>
      </c>
      <c r="E1458" t="s">
        <v>588</v>
      </c>
      <c r="F1458" t="s">
        <v>11830</v>
      </c>
      <c r="G1458" t="s">
        <v>11831</v>
      </c>
      <c r="H1458" t="s">
        <v>607</v>
      </c>
      <c r="I1458" t="s">
        <v>11832</v>
      </c>
      <c r="J1458" t="s">
        <v>4031</v>
      </c>
      <c r="M1458" s="134">
        <v>334000</v>
      </c>
      <c r="N1458" s="134">
        <v>392900</v>
      </c>
      <c r="O1458" t="s">
        <v>4533</v>
      </c>
      <c r="P1458" t="s">
        <v>11833</v>
      </c>
      <c r="Q1458" t="s">
        <v>592</v>
      </c>
      <c r="R1458" t="s">
        <v>11834</v>
      </c>
      <c r="S1458" t="s">
        <v>833</v>
      </c>
      <c r="U1458" t="s">
        <v>491</v>
      </c>
      <c r="X1458">
        <v>0</v>
      </c>
    </row>
    <row r="1459" spans="1:24" x14ac:dyDescent="0.25">
      <c r="A1459" s="234">
        <v>42723</v>
      </c>
      <c r="B1459" t="s">
        <v>643</v>
      </c>
      <c r="C1459" t="s">
        <v>644</v>
      </c>
      <c r="D1459" t="s">
        <v>645</v>
      </c>
      <c r="E1459" t="s">
        <v>588</v>
      </c>
      <c r="F1459" t="s">
        <v>5048</v>
      </c>
      <c r="H1459" t="s">
        <v>722</v>
      </c>
      <c r="I1459" t="s">
        <v>5049</v>
      </c>
      <c r="J1459" t="s">
        <v>644</v>
      </c>
      <c r="L1459">
        <v>10</v>
      </c>
      <c r="M1459" s="134">
        <v>335000</v>
      </c>
      <c r="N1459" s="134">
        <v>380000</v>
      </c>
      <c r="O1459" t="s">
        <v>2680</v>
      </c>
      <c r="P1459" t="s">
        <v>5050</v>
      </c>
      <c r="Q1459" t="s">
        <v>1939</v>
      </c>
      <c r="R1459" t="s">
        <v>5090</v>
      </c>
      <c r="U1459" t="s">
        <v>491</v>
      </c>
      <c r="X1459">
        <v>0</v>
      </c>
    </row>
    <row r="1460" spans="1:24" x14ac:dyDescent="0.25">
      <c r="A1460" s="234">
        <v>43370</v>
      </c>
      <c r="B1460" t="s">
        <v>328</v>
      </c>
      <c r="C1460" t="s">
        <v>603</v>
      </c>
      <c r="D1460" t="s">
        <v>7595</v>
      </c>
      <c r="E1460" t="s">
        <v>588</v>
      </c>
      <c r="F1460" t="s">
        <v>12753</v>
      </c>
      <c r="G1460" t="s">
        <v>10796</v>
      </c>
      <c r="H1460" t="s">
        <v>10831</v>
      </c>
      <c r="I1460" t="s">
        <v>9429</v>
      </c>
      <c r="J1460" t="s">
        <v>3501</v>
      </c>
      <c r="L1460">
        <v>10</v>
      </c>
      <c r="M1460" s="134">
        <v>335000</v>
      </c>
      <c r="N1460" s="134">
        <v>485000</v>
      </c>
      <c r="O1460" t="s">
        <v>7124</v>
      </c>
      <c r="P1460" t="s">
        <v>12754</v>
      </c>
      <c r="Q1460" t="s">
        <v>1939</v>
      </c>
      <c r="R1460" t="s">
        <v>12755</v>
      </c>
      <c r="U1460" t="s">
        <v>12344</v>
      </c>
      <c r="X1460">
        <v>0</v>
      </c>
    </row>
    <row r="1461" spans="1:24" x14ac:dyDescent="0.25">
      <c r="A1461" s="234">
        <v>43402</v>
      </c>
      <c r="B1461" t="s">
        <v>328</v>
      </c>
      <c r="C1461" t="s">
        <v>603</v>
      </c>
      <c r="D1461" t="s">
        <v>5701</v>
      </c>
      <c r="F1461" t="s">
        <v>8719</v>
      </c>
      <c r="G1461" t="s">
        <v>7714</v>
      </c>
      <c r="H1461" t="s">
        <v>2510</v>
      </c>
      <c r="I1461" t="s">
        <v>12566</v>
      </c>
      <c r="J1461" t="s">
        <v>3751</v>
      </c>
      <c r="K1461" t="s">
        <v>13087</v>
      </c>
      <c r="L1461">
        <v>2</v>
      </c>
      <c r="M1461" s="134">
        <v>335500</v>
      </c>
      <c r="N1461" s="134">
        <v>414400</v>
      </c>
      <c r="O1461" t="s">
        <v>10766</v>
      </c>
      <c r="P1461" t="s">
        <v>13428</v>
      </c>
      <c r="Q1461" t="s">
        <v>1939</v>
      </c>
      <c r="R1461" t="s">
        <v>13091</v>
      </c>
      <c r="U1461" t="s">
        <v>12344</v>
      </c>
      <c r="X1461">
        <v>0</v>
      </c>
    </row>
    <row r="1462" spans="1:24" x14ac:dyDescent="0.25">
      <c r="A1462" s="234">
        <v>42376</v>
      </c>
      <c r="B1462" t="s">
        <v>378</v>
      </c>
      <c r="C1462" t="s">
        <v>610</v>
      </c>
      <c r="D1462" t="s">
        <v>611</v>
      </c>
      <c r="E1462" t="s">
        <v>588</v>
      </c>
      <c r="F1462" t="s">
        <v>664</v>
      </c>
      <c r="H1462" t="s">
        <v>627</v>
      </c>
      <c r="I1462" t="s">
        <v>665</v>
      </c>
      <c r="M1462" s="134">
        <v>336000</v>
      </c>
      <c r="N1462" s="134">
        <v>441800</v>
      </c>
      <c r="O1462" t="s">
        <v>666</v>
      </c>
      <c r="P1462" t="s">
        <v>667</v>
      </c>
      <c r="Q1462" t="s">
        <v>592</v>
      </c>
      <c r="R1462" t="s">
        <v>668</v>
      </c>
      <c r="U1462" t="s">
        <v>491</v>
      </c>
      <c r="X1462">
        <v>0</v>
      </c>
    </row>
    <row r="1463" spans="1:24" x14ac:dyDescent="0.25">
      <c r="A1463" s="234">
        <v>42648</v>
      </c>
      <c r="B1463" t="s">
        <v>643</v>
      </c>
      <c r="C1463" t="s">
        <v>644</v>
      </c>
      <c r="D1463" t="s">
        <v>3132</v>
      </c>
      <c r="E1463" t="s">
        <v>588</v>
      </c>
      <c r="F1463" t="s">
        <v>4182</v>
      </c>
      <c r="H1463" t="s">
        <v>4183</v>
      </c>
      <c r="I1463" t="s">
        <v>4184</v>
      </c>
      <c r="J1463" t="s">
        <v>644</v>
      </c>
      <c r="L1463">
        <v>2</v>
      </c>
      <c r="M1463" s="134">
        <v>336000</v>
      </c>
      <c r="N1463" s="134">
        <v>571200</v>
      </c>
      <c r="O1463" t="s">
        <v>4185</v>
      </c>
      <c r="P1463" t="s">
        <v>4186</v>
      </c>
      <c r="Q1463" t="s">
        <v>1939</v>
      </c>
      <c r="R1463" t="s">
        <v>4187</v>
      </c>
      <c r="U1463" t="s">
        <v>1327</v>
      </c>
      <c r="X1463">
        <v>0</v>
      </c>
    </row>
    <row r="1464" spans="1:24" x14ac:dyDescent="0.25">
      <c r="A1464" s="234">
        <v>42678</v>
      </c>
      <c r="B1464" t="s">
        <v>328</v>
      </c>
      <c r="C1464" t="s">
        <v>603</v>
      </c>
      <c r="D1464" t="s">
        <v>2397</v>
      </c>
      <c r="E1464" t="s">
        <v>588</v>
      </c>
      <c r="F1464" t="s">
        <v>4597</v>
      </c>
      <c r="H1464" t="s">
        <v>607</v>
      </c>
      <c r="I1464" t="s">
        <v>4598</v>
      </c>
      <c r="J1464" t="s">
        <v>3373</v>
      </c>
      <c r="L1464">
        <v>10</v>
      </c>
      <c r="M1464" s="134">
        <v>336000</v>
      </c>
      <c r="N1464" s="134">
        <v>603200</v>
      </c>
      <c r="O1464" t="s">
        <v>3107</v>
      </c>
      <c r="P1464" t="s">
        <v>4599</v>
      </c>
      <c r="Q1464" t="s">
        <v>592</v>
      </c>
      <c r="R1464" t="s">
        <v>4608</v>
      </c>
      <c r="U1464" t="s">
        <v>1327</v>
      </c>
      <c r="X1464">
        <v>0</v>
      </c>
    </row>
    <row r="1465" spans="1:24" x14ac:dyDescent="0.25">
      <c r="A1465" s="234">
        <v>42886</v>
      </c>
      <c r="B1465" t="s">
        <v>643</v>
      </c>
      <c r="C1465" t="s">
        <v>644</v>
      </c>
      <c r="D1465" t="s">
        <v>645</v>
      </c>
      <c r="E1465" t="s">
        <v>588</v>
      </c>
      <c r="F1465" t="s">
        <v>6986</v>
      </c>
      <c r="H1465" t="s">
        <v>607</v>
      </c>
      <c r="I1465" t="s">
        <v>6987</v>
      </c>
      <c r="J1465" t="s">
        <v>644</v>
      </c>
      <c r="M1465" s="134">
        <v>336600</v>
      </c>
      <c r="N1465" s="134">
        <v>0</v>
      </c>
      <c r="O1465" t="s">
        <v>6988</v>
      </c>
      <c r="P1465" t="s">
        <v>6989</v>
      </c>
      <c r="Q1465" t="s">
        <v>592</v>
      </c>
      <c r="R1465" t="s">
        <v>6990</v>
      </c>
      <c r="U1465" t="s">
        <v>491</v>
      </c>
      <c r="X1465">
        <v>0</v>
      </c>
    </row>
    <row r="1466" spans="1:24" x14ac:dyDescent="0.25">
      <c r="A1466" s="234">
        <v>42867</v>
      </c>
      <c r="B1466" t="s">
        <v>110</v>
      </c>
      <c r="C1466" t="s">
        <v>761</v>
      </c>
      <c r="D1466" t="s">
        <v>715</v>
      </c>
      <c r="E1466" t="s">
        <v>588</v>
      </c>
      <c r="F1466" t="s">
        <v>6757</v>
      </c>
      <c r="H1466" t="s">
        <v>607</v>
      </c>
      <c r="I1466" t="s">
        <v>6758</v>
      </c>
      <c r="J1466" t="s">
        <v>761</v>
      </c>
      <c r="L1466">
        <v>9</v>
      </c>
      <c r="M1466" s="134">
        <v>338000</v>
      </c>
      <c r="N1466" s="134">
        <v>574600</v>
      </c>
      <c r="O1466" t="s">
        <v>840</v>
      </c>
      <c r="P1466" t="s">
        <v>6759</v>
      </c>
      <c r="Q1466" t="s">
        <v>592</v>
      </c>
      <c r="U1466" t="s">
        <v>491</v>
      </c>
      <c r="X1466">
        <v>0</v>
      </c>
    </row>
    <row r="1467" spans="1:24" x14ac:dyDescent="0.25">
      <c r="A1467" s="234">
        <v>42944</v>
      </c>
      <c r="B1467" t="s">
        <v>569</v>
      </c>
      <c r="D1467" t="s">
        <v>625</v>
      </c>
      <c r="E1467" t="s">
        <v>821</v>
      </c>
      <c r="F1467" t="s">
        <v>7871</v>
      </c>
      <c r="G1467" t="s">
        <v>7872</v>
      </c>
      <c r="H1467" t="s">
        <v>607</v>
      </c>
      <c r="J1467" t="s">
        <v>899</v>
      </c>
      <c r="M1467" s="134">
        <v>340000</v>
      </c>
      <c r="N1467" s="134">
        <v>0</v>
      </c>
      <c r="O1467" t="s">
        <v>3107</v>
      </c>
      <c r="P1467" t="s">
        <v>7873</v>
      </c>
      <c r="Q1467" t="s">
        <v>29</v>
      </c>
      <c r="R1467" t="s">
        <v>7874</v>
      </c>
      <c r="T1467">
        <v>15</v>
      </c>
      <c r="U1467" t="s">
        <v>491</v>
      </c>
      <c r="X1467">
        <v>1</v>
      </c>
    </row>
    <row r="1468" spans="1:24" x14ac:dyDescent="0.25">
      <c r="A1468" s="234">
        <v>42997</v>
      </c>
      <c r="B1468" t="s">
        <v>569</v>
      </c>
      <c r="C1468" t="s">
        <v>899</v>
      </c>
      <c r="D1468" t="s">
        <v>930</v>
      </c>
      <c r="E1468" t="s">
        <v>821</v>
      </c>
      <c r="F1468" t="s">
        <v>6744</v>
      </c>
      <c r="H1468" t="s">
        <v>607</v>
      </c>
      <c r="J1468" t="s">
        <v>899</v>
      </c>
      <c r="M1468" s="134">
        <v>340000</v>
      </c>
      <c r="N1468" s="134">
        <v>0</v>
      </c>
      <c r="O1468" t="s">
        <v>1171</v>
      </c>
      <c r="P1468" t="s">
        <v>8617</v>
      </c>
      <c r="Q1468" t="s">
        <v>620</v>
      </c>
      <c r="R1468" t="s">
        <v>8835</v>
      </c>
      <c r="T1468">
        <v>12</v>
      </c>
      <c r="U1468" t="s">
        <v>491</v>
      </c>
      <c r="X1468">
        <v>0</v>
      </c>
    </row>
    <row r="1469" spans="1:24" x14ac:dyDescent="0.25">
      <c r="A1469" s="234">
        <v>43173</v>
      </c>
      <c r="B1469" t="s">
        <v>5176</v>
      </c>
      <c r="C1469" t="s">
        <v>604</v>
      </c>
      <c r="D1469" t="s">
        <v>595</v>
      </c>
      <c r="E1469" t="s">
        <v>588</v>
      </c>
      <c r="F1469" t="s">
        <v>10587</v>
      </c>
      <c r="G1469" t="s">
        <v>10587</v>
      </c>
      <c r="H1469" t="s">
        <v>809</v>
      </c>
      <c r="I1469" t="s">
        <v>5396</v>
      </c>
      <c r="J1469" t="s">
        <v>6657</v>
      </c>
      <c r="L1469">
        <v>5</v>
      </c>
      <c r="M1469" s="134">
        <v>340000</v>
      </c>
      <c r="N1469" s="134">
        <v>374000</v>
      </c>
      <c r="O1469" t="s">
        <v>10763</v>
      </c>
      <c r="P1469" t="s">
        <v>10880</v>
      </c>
      <c r="Q1469" t="s">
        <v>29</v>
      </c>
      <c r="R1469" t="s">
        <v>10588</v>
      </c>
      <c r="S1469" t="s">
        <v>10589</v>
      </c>
      <c r="U1469" t="s">
        <v>1327</v>
      </c>
      <c r="X1469">
        <v>1</v>
      </c>
    </row>
    <row r="1470" spans="1:24" x14ac:dyDescent="0.25">
      <c r="A1470" s="234">
        <v>42940</v>
      </c>
      <c r="B1470" t="s">
        <v>5176</v>
      </c>
      <c r="D1470" t="s">
        <v>595</v>
      </c>
      <c r="E1470" t="s">
        <v>1707</v>
      </c>
      <c r="F1470" t="s">
        <v>7732</v>
      </c>
      <c r="G1470" t="s">
        <v>7733</v>
      </c>
      <c r="H1470" t="s">
        <v>7728</v>
      </c>
      <c r="I1470" t="s">
        <v>7729</v>
      </c>
      <c r="J1470" t="s">
        <v>6329</v>
      </c>
      <c r="M1470" s="134">
        <v>340000</v>
      </c>
      <c r="N1470" s="134">
        <v>430000</v>
      </c>
      <c r="O1470" t="s">
        <v>639</v>
      </c>
      <c r="P1470" t="s">
        <v>7730</v>
      </c>
      <c r="Q1470" t="s">
        <v>1612</v>
      </c>
      <c r="R1470" t="s">
        <v>7795</v>
      </c>
      <c r="S1470" t="s">
        <v>7796</v>
      </c>
      <c r="U1470" t="s">
        <v>491</v>
      </c>
      <c r="X1470">
        <v>0</v>
      </c>
    </row>
    <row r="1471" spans="1:24" x14ac:dyDescent="0.25">
      <c r="A1471" s="234">
        <v>43257</v>
      </c>
      <c r="B1471" t="s">
        <v>569</v>
      </c>
      <c r="C1471" t="s">
        <v>899</v>
      </c>
      <c r="D1471" t="s">
        <v>11286</v>
      </c>
      <c r="E1471" t="s">
        <v>588</v>
      </c>
      <c r="F1471" t="s">
        <v>151</v>
      </c>
      <c r="G1471" t="s">
        <v>11466</v>
      </c>
      <c r="H1471" t="s">
        <v>607</v>
      </c>
      <c r="I1471" t="s">
        <v>8058</v>
      </c>
      <c r="J1471" t="s">
        <v>899</v>
      </c>
      <c r="L1471">
        <v>2</v>
      </c>
      <c r="M1471" s="134">
        <v>340000</v>
      </c>
      <c r="N1471" s="134">
        <v>833000</v>
      </c>
      <c r="O1471" t="s">
        <v>10766</v>
      </c>
      <c r="P1471" t="s">
        <v>11689</v>
      </c>
      <c r="Q1471" t="s">
        <v>1939</v>
      </c>
      <c r="R1471" t="s">
        <v>11465</v>
      </c>
      <c r="U1471" t="s">
        <v>1327</v>
      </c>
      <c r="X1471">
        <v>0</v>
      </c>
    </row>
    <row r="1472" spans="1:24" x14ac:dyDescent="0.25">
      <c r="A1472" s="234">
        <v>43322</v>
      </c>
      <c r="B1472" t="s">
        <v>5956</v>
      </c>
      <c r="C1472" t="s">
        <v>3369</v>
      </c>
      <c r="D1472" t="s">
        <v>8126</v>
      </c>
      <c r="E1472" t="s">
        <v>588</v>
      </c>
      <c r="F1472" t="s">
        <v>10173</v>
      </c>
      <c r="G1472" t="s">
        <v>11614</v>
      </c>
      <c r="H1472" t="s">
        <v>607</v>
      </c>
      <c r="J1472" t="s">
        <v>4825</v>
      </c>
      <c r="L1472">
        <v>4</v>
      </c>
      <c r="M1472" s="134">
        <v>340800</v>
      </c>
      <c r="N1472" s="134">
        <v>732720</v>
      </c>
      <c r="O1472" t="s">
        <v>10766</v>
      </c>
      <c r="P1472" t="s">
        <v>12497</v>
      </c>
      <c r="Q1472" t="s">
        <v>592</v>
      </c>
      <c r="R1472" t="s">
        <v>11936</v>
      </c>
      <c r="U1472" t="s">
        <v>1327</v>
      </c>
      <c r="X1472">
        <v>0</v>
      </c>
    </row>
    <row r="1473" spans="1:24" x14ac:dyDescent="0.25">
      <c r="A1473" s="234">
        <v>43593</v>
      </c>
      <c r="B1473" t="s">
        <v>9240</v>
      </c>
      <c r="C1473" t="s">
        <v>603</v>
      </c>
      <c r="D1473" t="s">
        <v>9849</v>
      </c>
      <c r="F1473" t="s">
        <v>15468</v>
      </c>
      <c r="G1473" t="s">
        <v>15469</v>
      </c>
      <c r="H1473" t="s">
        <v>607</v>
      </c>
      <c r="I1473" t="s">
        <v>7990</v>
      </c>
      <c r="J1473" t="s">
        <v>603</v>
      </c>
      <c r="K1473" t="s">
        <v>15470</v>
      </c>
      <c r="L1473" t="s">
        <v>15114</v>
      </c>
      <c r="M1473" s="134">
        <v>341500</v>
      </c>
      <c r="N1473" s="134">
        <v>700000</v>
      </c>
      <c r="O1473" t="s">
        <v>10766</v>
      </c>
      <c r="P1473" t="s">
        <v>15471</v>
      </c>
      <c r="Q1473" t="s">
        <v>29</v>
      </c>
      <c r="R1473" t="s">
        <v>15472</v>
      </c>
      <c r="S1473" t="s">
        <v>15494</v>
      </c>
      <c r="U1473" t="s">
        <v>491</v>
      </c>
      <c r="X1473">
        <v>1</v>
      </c>
    </row>
    <row r="1474" spans="1:24" x14ac:dyDescent="0.25">
      <c r="A1474" s="234">
        <v>43333</v>
      </c>
      <c r="B1474" t="s">
        <v>328</v>
      </c>
      <c r="C1474" t="s">
        <v>603</v>
      </c>
      <c r="D1474" t="s">
        <v>748</v>
      </c>
      <c r="E1474" t="s">
        <v>588</v>
      </c>
      <c r="F1474" t="s">
        <v>7892</v>
      </c>
      <c r="G1474" t="s">
        <v>9305</v>
      </c>
      <c r="H1474" t="s">
        <v>607</v>
      </c>
      <c r="J1474" t="s">
        <v>3523</v>
      </c>
      <c r="M1474" s="134">
        <v>342000</v>
      </c>
      <c r="N1474" s="134">
        <v>669800</v>
      </c>
      <c r="O1474" t="s">
        <v>7564</v>
      </c>
      <c r="P1474" t="s">
        <v>12408</v>
      </c>
      <c r="Q1474" t="s">
        <v>592</v>
      </c>
      <c r="R1474" t="s">
        <v>12409</v>
      </c>
      <c r="U1474" t="s">
        <v>1327</v>
      </c>
      <c r="X1474">
        <v>0</v>
      </c>
    </row>
    <row r="1475" spans="1:24" x14ac:dyDescent="0.25">
      <c r="A1475" s="234">
        <v>42656</v>
      </c>
      <c r="B1475" t="s">
        <v>378</v>
      </c>
      <c r="C1475" t="s">
        <v>623</v>
      </c>
      <c r="D1475" t="s">
        <v>625</v>
      </c>
      <c r="E1475" t="s">
        <v>588</v>
      </c>
      <c r="F1475" t="s">
        <v>4312</v>
      </c>
      <c r="H1475" t="s">
        <v>607</v>
      </c>
      <c r="I1475" t="s">
        <v>2054</v>
      </c>
      <c r="J1475" t="s">
        <v>899</v>
      </c>
      <c r="L1475">
        <v>2</v>
      </c>
      <c r="M1475" s="134">
        <v>342800</v>
      </c>
      <c r="N1475" s="134">
        <v>790000</v>
      </c>
      <c r="O1475" t="s">
        <v>695</v>
      </c>
      <c r="P1475" t="s">
        <v>4313</v>
      </c>
      <c r="Q1475" t="s">
        <v>29</v>
      </c>
      <c r="R1475" t="s">
        <v>4694</v>
      </c>
      <c r="U1475" t="s">
        <v>491</v>
      </c>
      <c r="X1475">
        <v>1</v>
      </c>
    </row>
    <row r="1476" spans="1:24" x14ac:dyDescent="0.25">
      <c r="A1476" s="234">
        <v>43425</v>
      </c>
      <c r="B1476" t="s">
        <v>9240</v>
      </c>
      <c r="C1476" t="s">
        <v>603</v>
      </c>
      <c r="D1476" t="s">
        <v>7814</v>
      </c>
      <c r="F1476" t="s">
        <v>13266</v>
      </c>
      <c r="G1476" t="s">
        <v>8193</v>
      </c>
      <c r="H1476" t="s">
        <v>607</v>
      </c>
      <c r="I1476" t="s">
        <v>13057</v>
      </c>
      <c r="J1476" t="s">
        <v>4031</v>
      </c>
      <c r="K1476" t="s">
        <v>13267</v>
      </c>
      <c r="L1476">
        <v>2</v>
      </c>
      <c r="M1476" s="134">
        <v>343000</v>
      </c>
      <c r="N1476" s="134">
        <v>750000</v>
      </c>
      <c r="O1476" t="s">
        <v>10766</v>
      </c>
      <c r="P1476" t="s">
        <v>13268</v>
      </c>
      <c r="Q1476" t="s">
        <v>1939</v>
      </c>
      <c r="R1476" t="s">
        <v>13269</v>
      </c>
      <c r="U1476" t="s">
        <v>491</v>
      </c>
      <c r="X1476">
        <v>0</v>
      </c>
    </row>
    <row r="1477" spans="1:24" x14ac:dyDescent="0.25">
      <c r="A1477" s="234">
        <v>43298</v>
      </c>
      <c r="B1477" t="s">
        <v>569</v>
      </c>
      <c r="C1477" t="s">
        <v>899</v>
      </c>
      <c r="D1477" t="s">
        <v>9981</v>
      </c>
      <c r="E1477" t="s">
        <v>588</v>
      </c>
      <c r="F1477" t="s">
        <v>11805</v>
      </c>
      <c r="G1477" t="s">
        <v>7792</v>
      </c>
      <c r="H1477" t="s">
        <v>607</v>
      </c>
      <c r="I1477" t="s">
        <v>4373</v>
      </c>
      <c r="J1477" t="s">
        <v>899</v>
      </c>
      <c r="L1477">
        <v>3</v>
      </c>
      <c r="M1477" s="134">
        <v>343000</v>
      </c>
      <c r="N1477" s="134">
        <v>771750</v>
      </c>
      <c r="O1477" t="s">
        <v>10765</v>
      </c>
      <c r="P1477" t="s">
        <v>11804</v>
      </c>
      <c r="Q1477" t="s">
        <v>1939</v>
      </c>
      <c r="R1477" t="s">
        <v>11803</v>
      </c>
      <c r="U1477" t="s">
        <v>1327</v>
      </c>
      <c r="X1477">
        <v>0</v>
      </c>
    </row>
    <row r="1478" spans="1:24" x14ac:dyDescent="0.25">
      <c r="A1478" s="234">
        <v>42914</v>
      </c>
      <c r="B1478" t="s">
        <v>5176</v>
      </c>
      <c r="D1478" t="s">
        <v>595</v>
      </c>
      <c r="E1478" t="s">
        <v>588</v>
      </c>
      <c r="F1478" t="s">
        <v>7419</v>
      </c>
      <c r="H1478" t="s">
        <v>905</v>
      </c>
      <c r="I1478" t="s">
        <v>7420</v>
      </c>
      <c r="J1478" t="s">
        <v>959</v>
      </c>
      <c r="M1478" s="134">
        <v>344304</v>
      </c>
      <c r="N1478" s="134">
        <v>378734</v>
      </c>
      <c r="O1478" t="s">
        <v>7421</v>
      </c>
      <c r="P1478" t="s">
        <v>7422</v>
      </c>
      <c r="Q1478" t="s">
        <v>29</v>
      </c>
      <c r="R1478" t="s">
        <v>7426</v>
      </c>
      <c r="U1478" t="s">
        <v>491</v>
      </c>
      <c r="X1478">
        <v>1</v>
      </c>
    </row>
    <row r="1479" spans="1:24" x14ac:dyDescent="0.25">
      <c r="A1479" s="234">
        <v>43033</v>
      </c>
      <c r="B1479" t="s">
        <v>569</v>
      </c>
      <c r="C1479" t="s">
        <v>899</v>
      </c>
      <c r="D1479" t="s">
        <v>625</v>
      </c>
      <c r="E1479" t="s">
        <v>821</v>
      </c>
      <c r="F1479" t="s">
        <v>8966</v>
      </c>
      <c r="H1479" t="s">
        <v>905</v>
      </c>
      <c r="J1479" t="s">
        <v>899</v>
      </c>
      <c r="M1479" s="134">
        <v>345000</v>
      </c>
      <c r="N1479" s="134">
        <v>0</v>
      </c>
      <c r="O1479" t="s">
        <v>666</v>
      </c>
      <c r="P1479" t="s">
        <v>9151</v>
      </c>
      <c r="Q1479" t="s">
        <v>620</v>
      </c>
      <c r="R1479" t="s">
        <v>9152</v>
      </c>
      <c r="S1479" t="s">
        <v>9153</v>
      </c>
      <c r="U1479" t="s">
        <v>491</v>
      </c>
      <c r="X1479">
        <v>0</v>
      </c>
    </row>
    <row r="1480" spans="1:24" x14ac:dyDescent="0.25">
      <c r="A1480" s="234">
        <v>43382</v>
      </c>
      <c r="B1480" t="s">
        <v>328</v>
      </c>
      <c r="C1480" t="s">
        <v>603</v>
      </c>
      <c r="D1480" t="s">
        <v>649</v>
      </c>
      <c r="E1480" t="s">
        <v>588</v>
      </c>
      <c r="F1480" t="s">
        <v>12874</v>
      </c>
      <c r="H1480" t="s">
        <v>905</v>
      </c>
      <c r="I1480" t="s">
        <v>5914</v>
      </c>
      <c r="J1480" t="s">
        <v>3533</v>
      </c>
      <c r="L1480">
        <v>1</v>
      </c>
      <c r="M1480" s="134">
        <v>345000</v>
      </c>
      <c r="N1480" s="134">
        <v>355000</v>
      </c>
      <c r="O1480" t="s">
        <v>10763</v>
      </c>
      <c r="P1480" t="s">
        <v>12916</v>
      </c>
      <c r="Q1480" t="s">
        <v>592</v>
      </c>
      <c r="R1480" t="s">
        <v>12915</v>
      </c>
      <c r="U1480" t="s">
        <v>289</v>
      </c>
      <c r="X1480">
        <v>0</v>
      </c>
    </row>
    <row r="1481" spans="1:24" x14ac:dyDescent="0.25">
      <c r="A1481" s="234">
        <v>43322</v>
      </c>
      <c r="B1481" t="s">
        <v>5360</v>
      </c>
      <c r="C1481" t="s">
        <v>899</v>
      </c>
      <c r="D1481" t="s">
        <v>611</v>
      </c>
      <c r="E1481" t="s">
        <v>588</v>
      </c>
      <c r="F1481" t="s">
        <v>12148</v>
      </c>
      <c r="G1481" t="s">
        <v>12149</v>
      </c>
      <c r="H1481" t="s">
        <v>10831</v>
      </c>
      <c r="I1481" t="s">
        <v>3959</v>
      </c>
      <c r="J1481" t="s">
        <v>899</v>
      </c>
      <c r="M1481" s="134">
        <v>345000</v>
      </c>
      <c r="N1481" s="134">
        <v>360000</v>
      </c>
      <c r="O1481" t="s">
        <v>10765</v>
      </c>
      <c r="P1481" t="s">
        <v>12150</v>
      </c>
      <c r="Q1481" t="s">
        <v>29</v>
      </c>
      <c r="R1481" t="s">
        <v>12151</v>
      </c>
      <c r="U1481" t="s">
        <v>1327</v>
      </c>
      <c r="X1481">
        <v>1</v>
      </c>
    </row>
    <row r="1482" spans="1:24" x14ac:dyDescent="0.25">
      <c r="A1482" s="234">
        <v>43592</v>
      </c>
      <c r="B1482" t="s">
        <v>5956</v>
      </c>
      <c r="C1482" t="s">
        <v>3369</v>
      </c>
      <c r="D1482" t="s">
        <v>8126</v>
      </c>
      <c r="F1482" t="s">
        <v>8941</v>
      </c>
      <c r="G1482" t="s">
        <v>15423</v>
      </c>
      <c r="H1482" t="s">
        <v>886</v>
      </c>
      <c r="I1482" t="s">
        <v>15424</v>
      </c>
      <c r="J1482" t="s">
        <v>959</v>
      </c>
      <c r="K1482" t="s">
        <v>15425</v>
      </c>
      <c r="L1482">
        <v>5</v>
      </c>
      <c r="M1482" s="134">
        <v>345000</v>
      </c>
      <c r="N1482" s="134">
        <v>390000</v>
      </c>
      <c r="O1482" t="s">
        <v>2295</v>
      </c>
      <c r="P1482" t="s">
        <v>15426</v>
      </c>
      <c r="Q1482" t="s">
        <v>592</v>
      </c>
      <c r="R1482" t="s">
        <v>15427</v>
      </c>
      <c r="U1482" t="s">
        <v>491</v>
      </c>
      <c r="X1482">
        <v>0</v>
      </c>
    </row>
    <row r="1483" spans="1:24" x14ac:dyDescent="0.25">
      <c r="A1483" s="234">
        <v>42702</v>
      </c>
      <c r="B1483" t="s">
        <v>1486</v>
      </c>
      <c r="C1483" t="s">
        <v>1883</v>
      </c>
      <c r="D1483" t="s">
        <v>727</v>
      </c>
      <c r="E1483" t="s">
        <v>588</v>
      </c>
      <c r="F1483" t="s">
        <v>4820</v>
      </c>
      <c r="H1483" t="s">
        <v>809</v>
      </c>
      <c r="I1483" t="s">
        <v>1487</v>
      </c>
      <c r="J1483" t="s">
        <v>604</v>
      </c>
      <c r="L1483">
        <v>5</v>
      </c>
      <c r="M1483" s="134">
        <v>345145</v>
      </c>
      <c r="N1483" s="134">
        <v>379290</v>
      </c>
      <c r="O1483" t="s">
        <v>4821</v>
      </c>
      <c r="P1483" t="s">
        <v>4822</v>
      </c>
      <c r="Q1483" t="s">
        <v>592</v>
      </c>
      <c r="U1483" t="s">
        <v>491</v>
      </c>
      <c r="X1483">
        <v>0</v>
      </c>
    </row>
    <row r="1484" spans="1:24" x14ac:dyDescent="0.25">
      <c r="A1484" s="234">
        <v>43164</v>
      </c>
      <c r="B1484" t="s">
        <v>643</v>
      </c>
      <c r="C1484" t="s">
        <v>644</v>
      </c>
      <c r="D1484" t="s">
        <v>645</v>
      </c>
      <c r="E1484" t="s">
        <v>588</v>
      </c>
      <c r="F1484" t="s">
        <v>10453</v>
      </c>
      <c r="G1484" t="s">
        <v>10454</v>
      </c>
      <c r="H1484" t="s">
        <v>607</v>
      </c>
      <c r="I1484" t="s">
        <v>10455</v>
      </c>
      <c r="J1484" t="s">
        <v>644</v>
      </c>
      <c r="M1484" s="134">
        <v>348000</v>
      </c>
      <c r="N1484" s="134">
        <v>0</v>
      </c>
      <c r="O1484" t="s">
        <v>2295</v>
      </c>
      <c r="P1484" t="s">
        <v>10623</v>
      </c>
      <c r="Q1484" t="s">
        <v>29</v>
      </c>
      <c r="R1484" t="s">
        <v>10456</v>
      </c>
      <c r="U1484" t="s">
        <v>491</v>
      </c>
      <c r="X1484">
        <v>1</v>
      </c>
    </row>
    <row r="1485" spans="1:24" x14ac:dyDescent="0.25">
      <c r="A1485" s="234">
        <v>42433</v>
      </c>
      <c r="B1485" t="s">
        <v>378</v>
      </c>
      <c r="C1485" t="s">
        <v>610</v>
      </c>
      <c r="D1485" t="s">
        <v>732</v>
      </c>
      <c r="E1485" t="s">
        <v>588</v>
      </c>
      <c r="F1485" t="s">
        <v>1218</v>
      </c>
      <c r="H1485" t="s">
        <v>607</v>
      </c>
      <c r="I1485" t="s">
        <v>1219</v>
      </c>
      <c r="M1485" s="134">
        <v>348000</v>
      </c>
      <c r="N1485" s="134">
        <v>626400</v>
      </c>
      <c r="O1485" t="s">
        <v>686</v>
      </c>
      <c r="P1485" t="s">
        <v>1220</v>
      </c>
      <c r="Q1485" t="s">
        <v>592</v>
      </c>
      <c r="R1485" t="s">
        <v>1221</v>
      </c>
      <c r="U1485" t="s">
        <v>491</v>
      </c>
      <c r="X1485">
        <v>0</v>
      </c>
    </row>
    <row r="1486" spans="1:24" x14ac:dyDescent="0.25">
      <c r="A1486" s="234">
        <v>43172</v>
      </c>
      <c r="B1486" t="s">
        <v>328</v>
      </c>
      <c r="C1486" t="s">
        <v>603</v>
      </c>
      <c r="D1486" t="s">
        <v>7595</v>
      </c>
      <c r="E1486" t="s">
        <v>588</v>
      </c>
      <c r="F1486" t="s">
        <v>10568</v>
      </c>
      <c r="G1486" t="s">
        <v>10569</v>
      </c>
      <c r="H1486" t="s">
        <v>607</v>
      </c>
      <c r="J1486" t="s">
        <v>3398</v>
      </c>
      <c r="L1486">
        <v>4</v>
      </c>
      <c r="M1486" s="134">
        <v>348000</v>
      </c>
      <c r="N1486" s="134">
        <v>696000</v>
      </c>
      <c r="O1486" t="s">
        <v>6745</v>
      </c>
      <c r="P1486" t="s">
        <v>10570</v>
      </c>
      <c r="Q1486" t="s">
        <v>1939</v>
      </c>
      <c r="R1486" t="s">
        <v>10571</v>
      </c>
      <c r="U1486" t="s">
        <v>1327</v>
      </c>
      <c r="X1486">
        <v>0</v>
      </c>
    </row>
    <row r="1487" spans="1:24" x14ac:dyDescent="0.25">
      <c r="A1487" s="234">
        <v>43244</v>
      </c>
      <c r="B1487" t="s">
        <v>569</v>
      </c>
      <c r="C1487" t="s">
        <v>899</v>
      </c>
      <c r="D1487" t="s">
        <v>625</v>
      </c>
      <c r="E1487" t="s">
        <v>2200</v>
      </c>
      <c r="F1487" t="s">
        <v>11289</v>
      </c>
      <c r="G1487" t="s">
        <v>11290</v>
      </c>
      <c r="H1487" t="s">
        <v>886</v>
      </c>
      <c r="I1487" t="s">
        <v>2054</v>
      </c>
      <c r="J1487" t="s">
        <v>899</v>
      </c>
      <c r="L1487">
        <v>2</v>
      </c>
      <c r="M1487" s="134">
        <v>350000</v>
      </c>
      <c r="N1487" s="134">
        <v>0</v>
      </c>
      <c r="O1487" t="s">
        <v>10766</v>
      </c>
      <c r="P1487" t="s">
        <v>11291</v>
      </c>
      <c r="Q1487" t="s">
        <v>1939</v>
      </c>
      <c r="R1487" t="s">
        <v>11292</v>
      </c>
      <c r="S1487" t="s">
        <v>11404</v>
      </c>
      <c r="U1487" t="s">
        <v>633</v>
      </c>
      <c r="V1487" t="s">
        <v>11293</v>
      </c>
      <c r="X1487">
        <v>0</v>
      </c>
    </row>
    <row r="1488" spans="1:24" x14ac:dyDescent="0.25">
      <c r="A1488" s="234">
        <v>42424</v>
      </c>
      <c r="B1488" t="s">
        <v>594</v>
      </c>
      <c r="C1488" t="s">
        <v>604</v>
      </c>
      <c r="D1488" t="s">
        <v>595</v>
      </c>
      <c r="E1488" t="s">
        <v>588</v>
      </c>
      <c r="F1488" t="s">
        <v>1128</v>
      </c>
      <c r="H1488" t="s">
        <v>1050</v>
      </c>
      <c r="I1488" t="s">
        <v>1138</v>
      </c>
      <c r="M1488" s="134">
        <v>350000</v>
      </c>
      <c r="N1488" s="134">
        <v>0</v>
      </c>
      <c r="O1488" t="s">
        <v>1129</v>
      </c>
      <c r="P1488" t="s">
        <v>1130</v>
      </c>
      <c r="Q1488" t="s">
        <v>592</v>
      </c>
      <c r="R1488" t="s">
        <v>1131</v>
      </c>
      <c r="U1488" t="s">
        <v>491</v>
      </c>
      <c r="X1488">
        <v>0</v>
      </c>
    </row>
    <row r="1489" spans="1:24" x14ac:dyDescent="0.25">
      <c r="A1489" s="234">
        <v>42517</v>
      </c>
      <c r="B1489" t="s">
        <v>110</v>
      </c>
      <c r="D1489" t="s">
        <v>715</v>
      </c>
      <c r="E1489" t="s">
        <v>2200</v>
      </c>
      <c r="F1489" t="s">
        <v>2271</v>
      </c>
      <c r="I1489" t="s">
        <v>2272</v>
      </c>
      <c r="M1489" s="134">
        <v>350000</v>
      </c>
      <c r="N1489" s="134">
        <v>0</v>
      </c>
      <c r="O1489" t="s">
        <v>1631</v>
      </c>
      <c r="P1489" t="s">
        <v>2273</v>
      </c>
      <c r="Q1489" t="s">
        <v>1939</v>
      </c>
      <c r="R1489" t="s">
        <v>2274</v>
      </c>
      <c r="S1489" t="s">
        <v>2366</v>
      </c>
      <c r="U1489" t="s">
        <v>633</v>
      </c>
      <c r="X1489">
        <v>0</v>
      </c>
    </row>
    <row r="1490" spans="1:24" x14ac:dyDescent="0.25">
      <c r="A1490" s="234">
        <v>43523</v>
      </c>
      <c r="B1490" t="s">
        <v>13559</v>
      </c>
      <c r="C1490" t="s">
        <v>4031</v>
      </c>
      <c r="D1490" t="s">
        <v>13560</v>
      </c>
      <c r="F1490" t="s">
        <v>14543</v>
      </c>
      <c r="G1490" t="s">
        <v>14544</v>
      </c>
      <c r="H1490" t="s">
        <v>809</v>
      </c>
      <c r="I1490" t="s">
        <v>14545</v>
      </c>
      <c r="J1490" t="s">
        <v>14546</v>
      </c>
      <c r="K1490" t="s">
        <v>14547</v>
      </c>
      <c r="M1490" s="134">
        <v>350000</v>
      </c>
      <c r="N1490" s="134">
        <v>350000</v>
      </c>
      <c r="O1490" t="s">
        <v>10763</v>
      </c>
      <c r="P1490" t="s">
        <v>14577</v>
      </c>
      <c r="Q1490" t="s">
        <v>1939</v>
      </c>
      <c r="R1490" t="s">
        <v>14578</v>
      </c>
      <c r="U1490" t="s">
        <v>12797</v>
      </c>
      <c r="X1490">
        <v>0</v>
      </c>
    </row>
    <row r="1491" spans="1:24" x14ac:dyDescent="0.25">
      <c r="A1491" s="234">
        <v>43340</v>
      </c>
      <c r="B1491" t="s">
        <v>328</v>
      </c>
      <c r="C1491" t="s">
        <v>603</v>
      </c>
      <c r="D1491" t="s">
        <v>649</v>
      </c>
      <c r="E1491" t="s">
        <v>2200</v>
      </c>
      <c r="F1491" t="s">
        <v>272</v>
      </c>
      <c r="G1491" t="s">
        <v>8044</v>
      </c>
      <c r="H1491" t="s">
        <v>809</v>
      </c>
      <c r="I1491" t="s">
        <v>12355</v>
      </c>
      <c r="J1491" t="s">
        <v>6329</v>
      </c>
      <c r="L1491">
        <v>4</v>
      </c>
      <c r="M1491" s="134">
        <v>350000</v>
      </c>
      <c r="N1491" s="134">
        <v>350000</v>
      </c>
      <c r="O1491" t="s">
        <v>2295</v>
      </c>
      <c r="P1491" t="s">
        <v>12356</v>
      </c>
      <c r="Q1491" t="s">
        <v>592</v>
      </c>
      <c r="R1491" t="s">
        <v>12510</v>
      </c>
      <c r="U1491" t="s">
        <v>12344</v>
      </c>
      <c r="X1491">
        <v>0</v>
      </c>
    </row>
    <row r="1492" spans="1:24" x14ac:dyDescent="0.25">
      <c r="A1492" s="234">
        <v>42839</v>
      </c>
      <c r="B1492" t="s">
        <v>643</v>
      </c>
      <c r="C1492" t="s">
        <v>644</v>
      </c>
      <c r="D1492" t="s">
        <v>645</v>
      </c>
      <c r="E1492" t="s">
        <v>588</v>
      </c>
      <c r="F1492" t="s">
        <v>6443</v>
      </c>
      <c r="H1492" t="s">
        <v>905</v>
      </c>
      <c r="I1492" t="s">
        <v>5141</v>
      </c>
      <c r="J1492" t="s">
        <v>644</v>
      </c>
      <c r="L1492">
        <v>4</v>
      </c>
      <c r="M1492" s="134">
        <v>350000</v>
      </c>
      <c r="N1492" s="134">
        <v>350000</v>
      </c>
      <c r="O1492" t="s">
        <v>6357</v>
      </c>
      <c r="P1492" t="s">
        <v>6444</v>
      </c>
      <c r="Q1492" t="s">
        <v>1939</v>
      </c>
      <c r="R1492" t="s">
        <v>6445</v>
      </c>
      <c r="U1492" t="s">
        <v>491</v>
      </c>
      <c r="X1492">
        <v>0</v>
      </c>
    </row>
    <row r="1493" spans="1:24" x14ac:dyDescent="0.25">
      <c r="A1493" s="234">
        <v>42983</v>
      </c>
      <c r="B1493" t="s">
        <v>569</v>
      </c>
      <c r="C1493" t="s">
        <v>899</v>
      </c>
      <c r="D1493" t="s">
        <v>624</v>
      </c>
      <c r="E1493" t="s">
        <v>588</v>
      </c>
      <c r="F1493" t="s">
        <v>8411</v>
      </c>
      <c r="G1493" t="s">
        <v>8413</v>
      </c>
      <c r="H1493" t="s">
        <v>886</v>
      </c>
      <c r="I1493" t="s">
        <v>4967</v>
      </c>
      <c r="J1493" t="s">
        <v>899</v>
      </c>
      <c r="M1493" s="134">
        <v>350000</v>
      </c>
      <c r="N1493" s="134">
        <v>350000</v>
      </c>
      <c r="O1493" t="s">
        <v>8414</v>
      </c>
      <c r="P1493" t="s">
        <v>8430</v>
      </c>
      <c r="Q1493" t="s">
        <v>620</v>
      </c>
      <c r="R1493" t="s">
        <v>8415</v>
      </c>
      <c r="T1493">
        <v>13</v>
      </c>
      <c r="U1493" t="s">
        <v>491</v>
      </c>
      <c r="X1493">
        <v>0</v>
      </c>
    </row>
    <row r="1494" spans="1:24" x14ac:dyDescent="0.25">
      <c r="A1494" s="234">
        <v>43376</v>
      </c>
      <c r="B1494" t="s">
        <v>328</v>
      </c>
      <c r="C1494" t="s">
        <v>603</v>
      </c>
      <c r="D1494" t="s">
        <v>757</v>
      </c>
      <c r="E1494" t="s">
        <v>588</v>
      </c>
      <c r="F1494" t="s">
        <v>12824</v>
      </c>
      <c r="G1494" t="s">
        <v>1401</v>
      </c>
      <c r="H1494" t="s">
        <v>809</v>
      </c>
      <c r="I1494" t="s">
        <v>8756</v>
      </c>
      <c r="J1494" t="s">
        <v>3398</v>
      </c>
      <c r="L1494">
        <v>3</v>
      </c>
      <c r="M1494" s="134">
        <v>350000</v>
      </c>
      <c r="N1494" s="134">
        <v>370000</v>
      </c>
      <c r="O1494" t="s">
        <v>4533</v>
      </c>
      <c r="P1494" t="s">
        <v>12825</v>
      </c>
      <c r="Q1494" t="s">
        <v>29</v>
      </c>
      <c r="R1494" t="s">
        <v>12826</v>
      </c>
      <c r="U1494" t="s">
        <v>12344</v>
      </c>
      <c r="X1494">
        <v>1</v>
      </c>
    </row>
    <row r="1495" spans="1:24" x14ac:dyDescent="0.25">
      <c r="A1495" s="234">
        <v>43329</v>
      </c>
      <c r="B1495" t="s">
        <v>5956</v>
      </c>
      <c r="C1495" t="s">
        <v>3369</v>
      </c>
      <c r="D1495" t="s">
        <v>9234</v>
      </c>
      <c r="E1495" t="s">
        <v>10290</v>
      </c>
      <c r="F1495" t="s">
        <v>12390</v>
      </c>
      <c r="G1495" t="s">
        <v>8383</v>
      </c>
      <c r="H1495" t="s">
        <v>905</v>
      </c>
      <c r="I1495" t="s">
        <v>12391</v>
      </c>
      <c r="J1495" t="s">
        <v>603</v>
      </c>
      <c r="M1495" s="134">
        <v>350000</v>
      </c>
      <c r="N1495" s="134">
        <v>375000</v>
      </c>
      <c r="O1495" t="s">
        <v>10765</v>
      </c>
      <c r="P1495" t="s">
        <v>12392</v>
      </c>
      <c r="Q1495" t="s">
        <v>1939</v>
      </c>
      <c r="R1495" t="s">
        <v>12393</v>
      </c>
      <c r="U1495" t="s">
        <v>1327</v>
      </c>
      <c r="X1495">
        <v>0</v>
      </c>
    </row>
    <row r="1496" spans="1:24" x14ac:dyDescent="0.25">
      <c r="A1496" s="234">
        <v>43339</v>
      </c>
      <c r="B1496" t="s">
        <v>569</v>
      </c>
      <c r="C1496" t="s">
        <v>899</v>
      </c>
      <c r="D1496" t="s">
        <v>3505</v>
      </c>
      <c r="E1496" t="s">
        <v>588</v>
      </c>
      <c r="F1496" t="s">
        <v>12323</v>
      </c>
      <c r="G1496" t="s">
        <v>9170</v>
      </c>
      <c r="H1496" t="s">
        <v>809</v>
      </c>
      <c r="I1496" t="s">
        <v>6676</v>
      </c>
      <c r="J1496" t="s">
        <v>899</v>
      </c>
      <c r="M1496" s="134">
        <v>350000</v>
      </c>
      <c r="N1496" s="134">
        <v>385000</v>
      </c>
      <c r="O1496" t="s">
        <v>2295</v>
      </c>
      <c r="P1496" t="s">
        <v>12324</v>
      </c>
      <c r="Q1496" t="s">
        <v>29</v>
      </c>
      <c r="R1496" t="s">
        <v>12325</v>
      </c>
      <c r="U1496" t="s">
        <v>491</v>
      </c>
      <c r="X1496">
        <v>1</v>
      </c>
    </row>
    <row r="1497" spans="1:24" x14ac:dyDescent="0.25">
      <c r="A1497" s="234">
        <v>42423</v>
      </c>
      <c r="B1497" t="s">
        <v>643</v>
      </c>
      <c r="C1497" t="s">
        <v>644</v>
      </c>
      <c r="D1497" t="s">
        <v>645</v>
      </c>
      <c r="E1497" t="s">
        <v>588</v>
      </c>
      <c r="F1497" t="s">
        <v>1104</v>
      </c>
      <c r="H1497" t="s">
        <v>809</v>
      </c>
      <c r="I1497" t="s">
        <v>999</v>
      </c>
      <c r="M1497" s="134">
        <v>350000</v>
      </c>
      <c r="N1497" s="134">
        <v>385000</v>
      </c>
      <c r="O1497" t="s">
        <v>991</v>
      </c>
      <c r="P1497" t="s">
        <v>1106</v>
      </c>
      <c r="Q1497" t="s">
        <v>592</v>
      </c>
      <c r="R1497" t="s">
        <v>1105</v>
      </c>
      <c r="U1497" t="s">
        <v>491</v>
      </c>
      <c r="X1497">
        <v>0</v>
      </c>
    </row>
    <row r="1498" spans="1:24" x14ac:dyDescent="0.25">
      <c r="A1498" s="234">
        <v>42819</v>
      </c>
      <c r="B1498" t="s">
        <v>643</v>
      </c>
      <c r="C1498" t="s">
        <v>644</v>
      </c>
      <c r="D1498" t="s">
        <v>645</v>
      </c>
      <c r="E1498" t="s">
        <v>588</v>
      </c>
      <c r="F1498" t="s">
        <v>6118</v>
      </c>
      <c r="H1498" t="s">
        <v>905</v>
      </c>
      <c r="I1498" t="s">
        <v>6119</v>
      </c>
      <c r="J1498" t="s">
        <v>644</v>
      </c>
      <c r="L1498">
        <v>3</v>
      </c>
      <c r="M1498" s="134">
        <v>350000</v>
      </c>
      <c r="N1498" s="134">
        <v>389000</v>
      </c>
      <c r="O1498" t="s">
        <v>5655</v>
      </c>
      <c r="P1498" t="s">
        <v>6120</v>
      </c>
      <c r="Q1498" t="s">
        <v>592</v>
      </c>
      <c r="R1498" t="s">
        <v>6121</v>
      </c>
      <c r="U1498" t="s">
        <v>491</v>
      </c>
      <c r="X1498">
        <v>0</v>
      </c>
    </row>
    <row r="1499" spans="1:24" x14ac:dyDescent="0.25">
      <c r="A1499" s="234">
        <v>43322</v>
      </c>
      <c r="B1499" t="s">
        <v>328</v>
      </c>
      <c r="C1499" t="s">
        <v>603</v>
      </c>
      <c r="D1499" t="s">
        <v>8941</v>
      </c>
      <c r="E1499" t="s">
        <v>588</v>
      </c>
      <c r="F1499" t="s">
        <v>12147</v>
      </c>
      <c r="G1499" t="s">
        <v>12147</v>
      </c>
      <c r="H1499" t="s">
        <v>905</v>
      </c>
      <c r="I1499" t="s">
        <v>12146</v>
      </c>
      <c r="J1499" t="s">
        <v>644</v>
      </c>
      <c r="L1499">
        <v>3</v>
      </c>
      <c r="M1499" s="134">
        <v>350000</v>
      </c>
      <c r="N1499" s="134">
        <v>430000</v>
      </c>
      <c r="O1499" t="s">
        <v>6745</v>
      </c>
      <c r="P1499" t="s">
        <v>12495</v>
      </c>
      <c r="Q1499" t="s">
        <v>1939</v>
      </c>
      <c r="R1499" t="s">
        <v>12145</v>
      </c>
      <c r="U1499" t="s">
        <v>1327</v>
      </c>
      <c r="X1499">
        <v>0</v>
      </c>
    </row>
    <row r="1500" spans="1:24" x14ac:dyDescent="0.25">
      <c r="A1500" s="234">
        <v>43396</v>
      </c>
      <c r="B1500" t="s">
        <v>328</v>
      </c>
      <c r="C1500" t="s">
        <v>603</v>
      </c>
      <c r="D1500" t="s">
        <v>7595</v>
      </c>
      <c r="F1500" t="s">
        <v>12998</v>
      </c>
      <c r="G1500" t="s">
        <v>10944</v>
      </c>
      <c r="H1500" t="s">
        <v>905</v>
      </c>
      <c r="I1500" t="s">
        <v>12999</v>
      </c>
      <c r="J1500" t="s">
        <v>899</v>
      </c>
      <c r="K1500">
        <v>95715</v>
      </c>
      <c r="L1500">
        <v>10</v>
      </c>
      <c r="M1500" s="134">
        <v>350000</v>
      </c>
      <c r="N1500" s="134">
        <v>430000</v>
      </c>
      <c r="O1500" t="s">
        <v>7124</v>
      </c>
      <c r="P1500" t="s">
        <v>13000</v>
      </c>
      <c r="Q1500" t="s">
        <v>1939</v>
      </c>
      <c r="R1500" t="s">
        <v>13001</v>
      </c>
      <c r="U1500" t="s">
        <v>12344</v>
      </c>
      <c r="X1500">
        <v>0</v>
      </c>
    </row>
    <row r="1501" spans="1:24" x14ac:dyDescent="0.25">
      <c r="A1501" s="234">
        <v>43398</v>
      </c>
      <c r="B1501" t="s">
        <v>328</v>
      </c>
      <c r="C1501" t="s">
        <v>603</v>
      </c>
      <c r="D1501" t="s">
        <v>5701</v>
      </c>
      <c r="F1501" t="s">
        <v>240</v>
      </c>
      <c r="G1501" t="s">
        <v>7714</v>
      </c>
      <c r="H1501" t="s">
        <v>607</v>
      </c>
      <c r="J1501" t="s">
        <v>3373</v>
      </c>
      <c r="L1501">
        <v>9</v>
      </c>
      <c r="M1501" s="134">
        <v>350000</v>
      </c>
      <c r="N1501" s="134">
        <v>479500</v>
      </c>
      <c r="O1501" t="s">
        <v>7124</v>
      </c>
      <c r="P1501" t="s">
        <v>13036</v>
      </c>
      <c r="Q1501" t="s">
        <v>29</v>
      </c>
      <c r="R1501" t="s">
        <v>13037</v>
      </c>
      <c r="U1501" t="s">
        <v>12344</v>
      </c>
      <c r="X1501">
        <v>1</v>
      </c>
    </row>
    <row r="1502" spans="1:24" x14ac:dyDescent="0.25">
      <c r="A1502" s="234">
        <v>42744</v>
      </c>
      <c r="B1502" t="s">
        <v>643</v>
      </c>
      <c r="C1502" t="s">
        <v>644</v>
      </c>
      <c r="D1502" t="s">
        <v>3132</v>
      </c>
      <c r="E1502" t="s">
        <v>588</v>
      </c>
      <c r="F1502" t="s">
        <v>5243</v>
      </c>
      <c r="H1502" t="s">
        <v>5244</v>
      </c>
      <c r="I1502" t="s">
        <v>5245</v>
      </c>
      <c r="J1502" t="s">
        <v>644</v>
      </c>
      <c r="L1502">
        <v>5</v>
      </c>
      <c r="M1502" s="134">
        <v>350000</v>
      </c>
      <c r="N1502" s="134">
        <v>537000</v>
      </c>
      <c r="O1502" t="s">
        <v>5246</v>
      </c>
      <c r="P1502" t="s">
        <v>5247</v>
      </c>
      <c r="Q1502" t="s">
        <v>592</v>
      </c>
      <c r="R1502" t="s">
        <v>5248</v>
      </c>
      <c r="U1502" t="s">
        <v>491</v>
      </c>
      <c r="X1502">
        <v>0</v>
      </c>
    </row>
    <row r="1503" spans="1:24" x14ac:dyDescent="0.25">
      <c r="A1503" s="234">
        <v>43528</v>
      </c>
      <c r="B1503" t="s">
        <v>5473</v>
      </c>
      <c r="C1503" t="s">
        <v>608</v>
      </c>
      <c r="D1503" t="s">
        <v>1382</v>
      </c>
      <c r="F1503" t="s">
        <v>10922</v>
      </c>
      <c r="G1503" t="s">
        <v>14592</v>
      </c>
      <c r="H1503" t="s">
        <v>607</v>
      </c>
      <c r="I1503" t="s">
        <v>8733</v>
      </c>
      <c r="J1503" t="s">
        <v>602</v>
      </c>
      <c r="K1503" t="s">
        <v>14510</v>
      </c>
      <c r="L1503">
        <v>2</v>
      </c>
      <c r="M1503" s="134">
        <v>350000</v>
      </c>
      <c r="N1503" s="134">
        <v>545000</v>
      </c>
      <c r="O1503" t="s">
        <v>10766</v>
      </c>
      <c r="P1503" t="s">
        <v>14594</v>
      </c>
      <c r="Q1503" t="s">
        <v>592</v>
      </c>
      <c r="R1503" t="s">
        <v>14593</v>
      </c>
      <c r="U1503" t="s">
        <v>12797</v>
      </c>
      <c r="X1503">
        <v>0</v>
      </c>
    </row>
    <row r="1504" spans="1:24" x14ac:dyDescent="0.25">
      <c r="A1504" s="234">
        <v>42478</v>
      </c>
      <c r="B1504" t="s">
        <v>328</v>
      </c>
      <c r="C1504" t="s">
        <v>603</v>
      </c>
      <c r="D1504" t="s">
        <v>649</v>
      </c>
      <c r="E1504" t="s">
        <v>588</v>
      </c>
      <c r="F1504" t="s">
        <v>1703</v>
      </c>
      <c r="H1504" t="s">
        <v>905</v>
      </c>
      <c r="I1504" t="s">
        <v>1704</v>
      </c>
      <c r="M1504" s="134">
        <v>350000</v>
      </c>
      <c r="N1504" s="134">
        <v>550000</v>
      </c>
      <c r="O1504" t="s">
        <v>1705</v>
      </c>
      <c r="P1504" t="s">
        <v>1706</v>
      </c>
      <c r="Q1504" t="s">
        <v>592</v>
      </c>
      <c r="U1504" t="s">
        <v>491</v>
      </c>
      <c r="X1504">
        <v>0</v>
      </c>
    </row>
    <row r="1505" spans="1:24" x14ac:dyDescent="0.25">
      <c r="A1505" s="234">
        <v>42767</v>
      </c>
      <c r="B1505" t="s">
        <v>569</v>
      </c>
      <c r="D1505" t="s">
        <v>625</v>
      </c>
      <c r="E1505" t="s">
        <v>588</v>
      </c>
      <c r="F1505" t="s">
        <v>5579</v>
      </c>
      <c r="H1505" t="s">
        <v>905</v>
      </c>
      <c r="I1505" t="s">
        <v>5580</v>
      </c>
      <c r="J1505" t="s">
        <v>899</v>
      </c>
      <c r="L1505">
        <v>2</v>
      </c>
      <c r="M1505" s="134">
        <v>350000</v>
      </c>
      <c r="N1505" s="134">
        <v>560000</v>
      </c>
      <c r="O1505" t="s">
        <v>695</v>
      </c>
      <c r="P1505" t="s">
        <v>5581</v>
      </c>
      <c r="Q1505" t="s">
        <v>1939</v>
      </c>
      <c r="R1505" t="s">
        <v>5582</v>
      </c>
      <c r="U1505" t="s">
        <v>491</v>
      </c>
      <c r="X1505">
        <v>0</v>
      </c>
    </row>
    <row r="1506" spans="1:24" x14ac:dyDescent="0.25">
      <c r="A1506" s="234">
        <v>43476</v>
      </c>
      <c r="B1506" t="s">
        <v>328</v>
      </c>
      <c r="C1506" t="s">
        <v>603</v>
      </c>
      <c r="D1506" t="s">
        <v>2500</v>
      </c>
      <c r="F1506" t="s">
        <v>5096</v>
      </c>
      <c r="G1506" t="s">
        <v>13946</v>
      </c>
      <c r="H1506" t="s">
        <v>607</v>
      </c>
      <c r="I1506" t="s">
        <v>13947</v>
      </c>
      <c r="J1506" t="s">
        <v>6015</v>
      </c>
      <c r="K1506" t="s">
        <v>13948</v>
      </c>
      <c r="M1506" s="134">
        <v>350000</v>
      </c>
      <c r="N1506" s="134">
        <v>580000</v>
      </c>
      <c r="O1506" t="s">
        <v>4533</v>
      </c>
      <c r="P1506" t="s">
        <v>14235</v>
      </c>
      <c r="Q1506" t="s">
        <v>1612</v>
      </c>
      <c r="R1506" t="s">
        <v>14236</v>
      </c>
      <c r="U1506" t="s">
        <v>491</v>
      </c>
      <c r="V1506" t="s">
        <v>833</v>
      </c>
      <c r="X1506">
        <v>0</v>
      </c>
    </row>
    <row r="1507" spans="1:24" x14ac:dyDescent="0.25">
      <c r="A1507" s="234">
        <v>43390</v>
      </c>
      <c r="B1507" t="s">
        <v>328</v>
      </c>
      <c r="C1507" t="s">
        <v>603</v>
      </c>
      <c r="D1507" t="s">
        <v>649</v>
      </c>
      <c r="F1507" t="s">
        <v>453</v>
      </c>
      <c r="G1507" t="s">
        <v>5665</v>
      </c>
      <c r="H1507" t="s">
        <v>10831</v>
      </c>
      <c r="I1507" t="s">
        <v>12926</v>
      </c>
      <c r="J1507" t="s">
        <v>3612</v>
      </c>
      <c r="L1507">
        <v>10</v>
      </c>
      <c r="M1507" s="134">
        <v>350000</v>
      </c>
      <c r="N1507" s="134">
        <v>595000</v>
      </c>
      <c r="O1507" t="s">
        <v>7124</v>
      </c>
      <c r="P1507" t="s">
        <v>12949</v>
      </c>
      <c r="Q1507" t="s">
        <v>29</v>
      </c>
      <c r="R1507" t="s">
        <v>12950</v>
      </c>
      <c r="U1507" t="s">
        <v>12344</v>
      </c>
      <c r="X1507">
        <v>1</v>
      </c>
    </row>
    <row r="1508" spans="1:24" x14ac:dyDescent="0.25">
      <c r="A1508" s="234">
        <v>42943</v>
      </c>
      <c r="B1508" t="s">
        <v>110</v>
      </c>
      <c r="C1508" t="s">
        <v>761</v>
      </c>
      <c r="D1508" t="s">
        <v>715</v>
      </c>
      <c r="E1508" t="s">
        <v>588</v>
      </c>
      <c r="F1508" t="s">
        <v>7789</v>
      </c>
      <c r="G1508" t="s">
        <v>7786</v>
      </c>
      <c r="H1508" t="s">
        <v>607</v>
      </c>
      <c r="I1508" t="s">
        <v>4784</v>
      </c>
      <c r="J1508" t="s">
        <v>4785</v>
      </c>
      <c r="L1508">
        <v>10</v>
      </c>
      <c r="M1508" s="134">
        <v>350000</v>
      </c>
      <c r="N1508" s="134">
        <v>595000</v>
      </c>
      <c r="O1508" t="s">
        <v>764</v>
      </c>
      <c r="P1508" t="s">
        <v>7788</v>
      </c>
      <c r="Q1508" t="s">
        <v>1939</v>
      </c>
      <c r="R1508" t="s">
        <v>7787</v>
      </c>
      <c r="T1508">
        <v>12</v>
      </c>
      <c r="U1508" t="s">
        <v>491</v>
      </c>
      <c r="X1508">
        <v>0</v>
      </c>
    </row>
    <row r="1509" spans="1:24" x14ac:dyDescent="0.25">
      <c r="A1509" s="234">
        <v>43074</v>
      </c>
      <c r="B1509" t="s">
        <v>328</v>
      </c>
      <c r="C1509" t="s">
        <v>603</v>
      </c>
      <c r="D1509" t="s">
        <v>649</v>
      </c>
      <c r="E1509" t="s">
        <v>588</v>
      </c>
      <c r="F1509" t="s">
        <v>9664</v>
      </c>
      <c r="G1509" t="s">
        <v>9663</v>
      </c>
      <c r="H1509" t="s">
        <v>607</v>
      </c>
      <c r="I1509" t="s">
        <v>3809</v>
      </c>
      <c r="J1509" t="s">
        <v>3751</v>
      </c>
      <c r="L1509">
        <v>6</v>
      </c>
      <c r="M1509" s="134">
        <v>350000</v>
      </c>
      <c r="N1509" s="134">
        <v>595000</v>
      </c>
      <c r="O1509" t="s">
        <v>754</v>
      </c>
      <c r="P1509" t="s">
        <v>9665</v>
      </c>
      <c r="Q1509" t="s">
        <v>29</v>
      </c>
      <c r="R1509" t="s">
        <v>9666</v>
      </c>
      <c r="U1509" t="s">
        <v>1327</v>
      </c>
      <c r="X1509">
        <v>1</v>
      </c>
    </row>
    <row r="1510" spans="1:24" x14ac:dyDescent="0.25">
      <c r="A1510" s="234">
        <v>42620</v>
      </c>
      <c r="B1510" t="s">
        <v>1486</v>
      </c>
      <c r="C1510" t="s">
        <v>1883</v>
      </c>
      <c r="D1510" t="s">
        <v>595</v>
      </c>
      <c r="E1510" t="s">
        <v>588</v>
      </c>
      <c r="F1510" t="s">
        <v>3783</v>
      </c>
      <c r="H1510" t="s">
        <v>607</v>
      </c>
      <c r="I1510" t="s">
        <v>3784</v>
      </c>
      <c r="J1510" t="s">
        <v>959</v>
      </c>
      <c r="M1510" s="134">
        <v>350000</v>
      </c>
      <c r="N1510" s="134">
        <v>595000</v>
      </c>
      <c r="O1510" t="s">
        <v>3785</v>
      </c>
      <c r="P1510" t="s">
        <v>3786</v>
      </c>
      <c r="Q1510" t="s">
        <v>592</v>
      </c>
      <c r="R1510" t="s">
        <v>3787</v>
      </c>
      <c r="U1510" t="s">
        <v>491</v>
      </c>
      <c r="X1510">
        <v>0</v>
      </c>
    </row>
    <row r="1511" spans="1:24" x14ac:dyDescent="0.25">
      <c r="A1511" s="234">
        <v>43553</v>
      </c>
      <c r="B1511" t="s">
        <v>328</v>
      </c>
      <c r="C1511" t="s">
        <v>603</v>
      </c>
      <c r="D1511" t="s">
        <v>10705</v>
      </c>
      <c r="F1511" t="s">
        <v>14903</v>
      </c>
      <c r="G1511" t="s">
        <v>14448</v>
      </c>
      <c r="H1511" t="s">
        <v>607</v>
      </c>
      <c r="I1511" t="s">
        <v>14904</v>
      </c>
      <c r="J1511" t="s">
        <v>644</v>
      </c>
      <c r="K1511" t="s">
        <v>14905</v>
      </c>
      <c r="L1511">
        <v>4</v>
      </c>
      <c r="M1511" s="134">
        <v>350000</v>
      </c>
      <c r="N1511" s="134">
        <v>630000</v>
      </c>
      <c r="O1511" t="s">
        <v>10765</v>
      </c>
      <c r="P1511" t="s">
        <v>14906</v>
      </c>
      <c r="Q1511" t="s">
        <v>29</v>
      </c>
      <c r="R1511" t="s">
        <v>14907</v>
      </c>
      <c r="S1511" t="s">
        <v>14954</v>
      </c>
      <c r="U1511" t="s">
        <v>491</v>
      </c>
      <c r="X1511">
        <v>1</v>
      </c>
    </row>
    <row r="1512" spans="1:24" x14ac:dyDescent="0.25">
      <c r="A1512" s="234">
        <v>43572</v>
      </c>
      <c r="B1512" t="s">
        <v>5956</v>
      </c>
      <c r="C1512" t="s">
        <v>3369</v>
      </c>
      <c r="D1512" t="s">
        <v>8126</v>
      </c>
      <c r="F1512" t="s">
        <v>15250</v>
      </c>
      <c r="H1512" t="s">
        <v>607</v>
      </c>
      <c r="I1512" t="s">
        <v>15251</v>
      </c>
      <c r="J1512" t="s">
        <v>3369</v>
      </c>
      <c r="K1512" t="s">
        <v>15252</v>
      </c>
      <c r="L1512">
        <v>4</v>
      </c>
      <c r="M1512" s="134">
        <v>350000</v>
      </c>
      <c r="N1512" s="134">
        <v>630000</v>
      </c>
      <c r="O1512" t="s">
        <v>10763</v>
      </c>
      <c r="P1512" t="s">
        <v>15253</v>
      </c>
      <c r="Q1512" t="s">
        <v>1939</v>
      </c>
      <c r="R1512" t="s">
        <v>15254</v>
      </c>
      <c r="U1512" t="s">
        <v>12797</v>
      </c>
      <c r="X1512">
        <v>0</v>
      </c>
    </row>
    <row r="1513" spans="1:24" x14ac:dyDescent="0.25">
      <c r="A1513" s="234">
        <v>43280</v>
      </c>
      <c r="B1513" t="s">
        <v>110</v>
      </c>
      <c r="C1513" t="s">
        <v>761</v>
      </c>
      <c r="D1513" t="s">
        <v>715</v>
      </c>
      <c r="E1513" t="s">
        <v>588</v>
      </c>
      <c r="F1513" t="s">
        <v>11683</v>
      </c>
      <c r="G1513" t="s">
        <v>7880</v>
      </c>
      <c r="H1513" t="s">
        <v>10831</v>
      </c>
      <c r="I1513" t="s">
        <v>11684</v>
      </c>
      <c r="J1513" t="s">
        <v>604</v>
      </c>
      <c r="L1513">
        <v>5</v>
      </c>
      <c r="M1513" s="134">
        <v>350000</v>
      </c>
      <c r="N1513" s="134">
        <v>630000</v>
      </c>
      <c r="O1513" t="s">
        <v>10762</v>
      </c>
      <c r="P1513" t="s">
        <v>11685</v>
      </c>
      <c r="Q1513" t="s">
        <v>1939</v>
      </c>
      <c r="R1513" t="s">
        <v>11686</v>
      </c>
      <c r="U1513" t="s">
        <v>1327</v>
      </c>
      <c r="X1513">
        <v>0</v>
      </c>
    </row>
    <row r="1514" spans="1:24" x14ac:dyDescent="0.25">
      <c r="A1514" s="234">
        <v>43350</v>
      </c>
      <c r="B1514" t="s">
        <v>9240</v>
      </c>
      <c r="C1514" t="s">
        <v>603</v>
      </c>
      <c r="D1514" t="s">
        <v>12543</v>
      </c>
      <c r="E1514" t="s">
        <v>588</v>
      </c>
      <c r="F1514" t="s">
        <v>12544</v>
      </c>
      <c r="G1514" t="s">
        <v>12545</v>
      </c>
      <c r="H1514" t="s">
        <v>607</v>
      </c>
      <c r="I1514" t="s">
        <v>12546</v>
      </c>
      <c r="J1514" t="s">
        <v>4031</v>
      </c>
      <c r="M1514" s="134">
        <v>350000</v>
      </c>
      <c r="N1514" s="134">
        <v>630000</v>
      </c>
      <c r="O1514" t="s">
        <v>10766</v>
      </c>
      <c r="P1514" t="s">
        <v>12547</v>
      </c>
      <c r="Q1514" t="s">
        <v>29</v>
      </c>
      <c r="R1514" t="s">
        <v>12548</v>
      </c>
      <c r="U1514" t="s">
        <v>12344</v>
      </c>
      <c r="X1514">
        <v>1</v>
      </c>
    </row>
    <row r="1515" spans="1:24" x14ac:dyDescent="0.25">
      <c r="A1515" s="234">
        <v>43383</v>
      </c>
      <c r="B1515" t="s">
        <v>110</v>
      </c>
      <c r="C1515" t="s">
        <v>604</v>
      </c>
      <c r="D1515" t="s">
        <v>1122</v>
      </c>
      <c r="E1515" t="s">
        <v>588</v>
      </c>
      <c r="F1515" t="s">
        <v>11683</v>
      </c>
      <c r="G1515" t="s">
        <v>7880</v>
      </c>
      <c r="H1515" t="s">
        <v>607</v>
      </c>
      <c r="I1515" t="s">
        <v>11684</v>
      </c>
      <c r="J1515" t="s">
        <v>604</v>
      </c>
      <c r="L1515">
        <v>9</v>
      </c>
      <c r="M1515" s="134">
        <v>350000</v>
      </c>
      <c r="N1515" s="134">
        <v>630000</v>
      </c>
      <c r="O1515" t="s">
        <v>7124</v>
      </c>
      <c r="P1515" t="s">
        <v>12887</v>
      </c>
      <c r="Q1515" t="s">
        <v>592</v>
      </c>
      <c r="R1515" t="s">
        <v>12894</v>
      </c>
      <c r="U1515" t="s">
        <v>289</v>
      </c>
      <c r="X1515">
        <v>0</v>
      </c>
    </row>
    <row r="1516" spans="1:24" x14ac:dyDescent="0.25">
      <c r="A1516" s="234">
        <v>42592</v>
      </c>
      <c r="B1516" t="s">
        <v>328</v>
      </c>
      <c r="C1516" t="s">
        <v>603</v>
      </c>
      <c r="D1516" t="s">
        <v>1471</v>
      </c>
      <c r="E1516" t="s">
        <v>588</v>
      </c>
      <c r="F1516" t="s">
        <v>3322</v>
      </c>
      <c r="H1516" t="s">
        <v>722</v>
      </c>
      <c r="I1516" t="s">
        <v>3323</v>
      </c>
      <c r="J1516" t="s">
        <v>3372</v>
      </c>
      <c r="L1516">
        <v>10</v>
      </c>
      <c r="M1516" s="134">
        <v>350000</v>
      </c>
      <c r="N1516" s="134">
        <v>630000</v>
      </c>
      <c r="O1516" t="s">
        <v>2680</v>
      </c>
      <c r="P1516" t="s">
        <v>3324</v>
      </c>
      <c r="Q1516" t="s">
        <v>620</v>
      </c>
      <c r="R1516" t="s">
        <v>3325</v>
      </c>
      <c r="U1516" t="s">
        <v>491</v>
      </c>
      <c r="X1516">
        <v>0</v>
      </c>
    </row>
    <row r="1517" spans="1:24" x14ac:dyDescent="0.25">
      <c r="A1517" s="234">
        <v>42676</v>
      </c>
      <c r="B1517" t="s">
        <v>378</v>
      </c>
      <c r="C1517" t="s">
        <v>623</v>
      </c>
      <c r="D1517" t="s">
        <v>930</v>
      </c>
      <c r="E1517" t="s">
        <v>1707</v>
      </c>
      <c r="F1517" t="s">
        <v>4574</v>
      </c>
      <c r="H1517" t="s">
        <v>607</v>
      </c>
      <c r="I1517" t="s">
        <v>2054</v>
      </c>
      <c r="J1517" t="s">
        <v>899</v>
      </c>
      <c r="M1517" s="134">
        <v>350000</v>
      </c>
      <c r="N1517" s="134">
        <v>630000</v>
      </c>
      <c r="O1517" t="s">
        <v>4575</v>
      </c>
      <c r="P1517" t="s">
        <v>4576</v>
      </c>
      <c r="Q1517" t="s">
        <v>1939</v>
      </c>
      <c r="R1517" t="s">
        <v>4577</v>
      </c>
      <c r="U1517" t="s">
        <v>491</v>
      </c>
      <c r="X1517">
        <v>0</v>
      </c>
    </row>
    <row r="1518" spans="1:24" x14ac:dyDescent="0.25">
      <c r="A1518" s="234">
        <v>42570</v>
      </c>
      <c r="B1518" t="s">
        <v>328</v>
      </c>
      <c r="C1518" t="s">
        <v>603</v>
      </c>
      <c r="D1518" t="s">
        <v>1471</v>
      </c>
      <c r="E1518" t="s">
        <v>588</v>
      </c>
      <c r="F1518" t="s">
        <v>2932</v>
      </c>
      <c r="H1518" t="s">
        <v>607</v>
      </c>
      <c r="I1518" t="s">
        <v>2933</v>
      </c>
      <c r="M1518" s="134">
        <v>350000</v>
      </c>
      <c r="N1518" s="134">
        <v>642500</v>
      </c>
      <c r="O1518" t="s">
        <v>2934</v>
      </c>
      <c r="P1518" t="s">
        <v>2935</v>
      </c>
      <c r="Q1518" t="s">
        <v>592</v>
      </c>
      <c r="U1518" t="s">
        <v>491</v>
      </c>
      <c r="X1518">
        <v>0</v>
      </c>
    </row>
    <row r="1519" spans="1:24" x14ac:dyDescent="0.25">
      <c r="A1519" s="234">
        <v>43348</v>
      </c>
      <c r="B1519" t="s">
        <v>328</v>
      </c>
      <c r="C1519" t="s">
        <v>603</v>
      </c>
      <c r="D1519" t="s">
        <v>7595</v>
      </c>
      <c r="E1519" t="s">
        <v>588</v>
      </c>
      <c r="F1519" t="s">
        <v>12526</v>
      </c>
      <c r="G1519" t="s">
        <v>12527</v>
      </c>
      <c r="H1519" t="s">
        <v>607</v>
      </c>
      <c r="I1519" t="s">
        <v>12529</v>
      </c>
      <c r="J1519" t="s">
        <v>4785</v>
      </c>
      <c r="L1519">
        <v>10</v>
      </c>
      <c r="M1519" s="134">
        <v>350000</v>
      </c>
      <c r="N1519" s="134">
        <v>665000</v>
      </c>
      <c r="O1519" t="s">
        <v>7124</v>
      </c>
      <c r="P1519" t="s">
        <v>12528</v>
      </c>
      <c r="Q1519" t="s">
        <v>1939</v>
      </c>
      <c r="R1519" t="s">
        <v>12542</v>
      </c>
      <c r="U1519" t="s">
        <v>12344</v>
      </c>
      <c r="X1519">
        <v>0</v>
      </c>
    </row>
    <row r="1520" spans="1:24" x14ac:dyDescent="0.25">
      <c r="A1520" s="234">
        <v>43097</v>
      </c>
      <c r="B1520" t="s">
        <v>328</v>
      </c>
      <c r="C1520" t="s">
        <v>603</v>
      </c>
      <c r="D1520" t="s">
        <v>587</v>
      </c>
      <c r="E1520" t="s">
        <v>588</v>
      </c>
      <c r="F1520" t="s">
        <v>9889</v>
      </c>
      <c r="G1520" t="s">
        <v>9890</v>
      </c>
      <c r="H1520" t="s">
        <v>607</v>
      </c>
      <c r="I1520" t="s">
        <v>9891</v>
      </c>
      <c r="J1520" t="s">
        <v>959</v>
      </c>
      <c r="L1520">
        <v>3</v>
      </c>
      <c r="M1520" s="134">
        <v>350000</v>
      </c>
      <c r="N1520" s="134">
        <v>700000</v>
      </c>
      <c r="O1520" t="s">
        <v>6768</v>
      </c>
      <c r="P1520" t="s">
        <v>9892</v>
      </c>
      <c r="Q1520" t="s">
        <v>592</v>
      </c>
      <c r="R1520" t="s">
        <v>9893</v>
      </c>
      <c r="U1520" t="s">
        <v>491</v>
      </c>
      <c r="X1520">
        <v>0</v>
      </c>
    </row>
    <row r="1521" spans="1:24" x14ac:dyDescent="0.25">
      <c r="A1521" s="234">
        <v>43227</v>
      </c>
      <c r="B1521" t="s">
        <v>328</v>
      </c>
      <c r="C1521" t="s">
        <v>603</v>
      </c>
      <c r="D1521" t="s">
        <v>757</v>
      </c>
      <c r="E1521" t="s">
        <v>588</v>
      </c>
      <c r="F1521" t="s">
        <v>11186</v>
      </c>
      <c r="G1521" t="s">
        <v>11187</v>
      </c>
      <c r="H1521" t="s">
        <v>607</v>
      </c>
      <c r="J1521" t="s">
        <v>899</v>
      </c>
      <c r="L1521">
        <v>9</v>
      </c>
      <c r="M1521" s="134">
        <v>350000</v>
      </c>
      <c r="N1521" s="134">
        <v>720000</v>
      </c>
      <c r="O1521" t="s">
        <v>4533</v>
      </c>
      <c r="P1521" t="s">
        <v>11189</v>
      </c>
      <c r="Q1521" t="s">
        <v>1939</v>
      </c>
      <c r="R1521" t="s">
        <v>11188</v>
      </c>
      <c r="U1521" t="s">
        <v>1327</v>
      </c>
      <c r="X1521">
        <v>0</v>
      </c>
    </row>
    <row r="1522" spans="1:24" x14ac:dyDescent="0.25">
      <c r="A1522" s="234">
        <v>43432</v>
      </c>
      <c r="B1522" t="s">
        <v>9240</v>
      </c>
      <c r="C1522" t="s">
        <v>603</v>
      </c>
      <c r="D1522" t="s">
        <v>9241</v>
      </c>
      <c r="F1522" t="s">
        <v>13315</v>
      </c>
      <c r="G1522" t="s">
        <v>13316</v>
      </c>
      <c r="H1522" t="s">
        <v>607</v>
      </c>
      <c r="I1522" t="s">
        <v>13317</v>
      </c>
      <c r="J1522" t="s">
        <v>3373</v>
      </c>
      <c r="K1522" t="s">
        <v>13318</v>
      </c>
      <c r="L1522">
        <v>4</v>
      </c>
      <c r="M1522" s="134">
        <v>350000</v>
      </c>
      <c r="N1522" s="134">
        <v>775000</v>
      </c>
      <c r="O1522" t="s">
        <v>10766</v>
      </c>
      <c r="P1522" t="s">
        <v>13319</v>
      </c>
      <c r="Q1522" t="s">
        <v>592</v>
      </c>
      <c r="R1522" t="s">
        <v>13320</v>
      </c>
      <c r="U1522" t="s">
        <v>491</v>
      </c>
      <c r="X1522">
        <v>0</v>
      </c>
    </row>
    <row r="1523" spans="1:24" x14ac:dyDescent="0.25">
      <c r="A1523" s="234">
        <v>43259</v>
      </c>
      <c r="B1523" t="s">
        <v>328</v>
      </c>
      <c r="C1523" t="s">
        <v>603</v>
      </c>
      <c r="D1523" t="s">
        <v>5701</v>
      </c>
      <c r="E1523" t="s">
        <v>588</v>
      </c>
      <c r="F1523" t="s">
        <v>461</v>
      </c>
      <c r="G1523" t="s">
        <v>11436</v>
      </c>
      <c r="H1523" t="s">
        <v>607</v>
      </c>
      <c r="I1523" t="s">
        <v>11437</v>
      </c>
      <c r="J1523" t="s">
        <v>3888</v>
      </c>
      <c r="L1523">
        <v>5</v>
      </c>
      <c r="M1523" s="134">
        <v>350000</v>
      </c>
      <c r="N1523" s="134">
        <v>805000</v>
      </c>
      <c r="O1523" t="s">
        <v>7564</v>
      </c>
      <c r="P1523" t="s">
        <v>11438</v>
      </c>
      <c r="Q1523" t="s">
        <v>1612</v>
      </c>
      <c r="R1523" t="s">
        <v>11439</v>
      </c>
      <c r="U1523" t="s">
        <v>491</v>
      </c>
      <c r="X1523">
        <v>0</v>
      </c>
    </row>
    <row r="1524" spans="1:24" x14ac:dyDescent="0.25">
      <c r="A1524" s="234">
        <v>43077</v>
      </c>
      <c r="B1524" t="s">
        <v>328</v>
      </c>
      <c r="C1524" t="s">
        <v>603</v>
      </c>
      <c r="D1524" t="s">
        <v>649</v>
      </c>
      <c r="E1524" t="s">
        <v>588</v>
      </c>
      <c r="F1524" t="s">
        <v>9718</v>
      </c>
      <c r="G1524" t="s">
        <v>9717</v>
      </c>
      <c r="H1524" t="s">
        <v>905</v>
      </c>
      <c r="I1524" t="s">
        <v>8144</v>
      </c>
      <c r="J1524" t="s">
        <v>899</v>
      </c>
      <c r="L1524">
        <v>2</v>
      </c>
      <c r="M1524" s="134">
        <v>351000</v>
      </c>
      <c r="N1524" s="134">
        <v>421200</v>
      </c>
      <c r="O1524" t="s">
        <v>9716</v>
      </c>
      <c r="P1524" t="s">
        <v>9920</v>
      </c>
      <c r="Q1524" t="s">
        <v>1939</v>
      </c>
      <c r="R1524" t="s">
        <v>9921</v>
      </c>
      <c r="U1524" t="s">
        <v>1327</v>
      </c>
      <c r="X1524">
        <v>0</v>
      </c>
    </row>
    <row r="1525" spans="1:24" x14ac:dyDescent="0.25">
      <c r="A1525" s="234">
        <v>43290</v>
      </c>
      <c r="B1525" t="s">
        <v>569</v>
      </c>
      <c r="C1525" t="s">
        <v>899</v>
      </c>
      <c r="D1525" t="s">
        <v>625</v>
      </c>
      <c r="E1525" t="s">
        <v>588</v>
      </c>
      <c r="F1525" t="s">
        <v>11762</v>
      </c>
      <c r="G1525" t="s">
        <v>7978</v>
      </c>
      <c r="H1525" t="s">
        <v>905</v>
      </c>
      <c r="I1525" t="s">
        <v>3649</v>
      </c>
      <c r="J1525" t="s">
        <v>899</v>
      </c>
      <c r="L1525">
        <v>8</v>
      </c>
      <c r="M1525" s="134">
        <v>351000</v>
      </c>
      <c r="N1525" s="134">
        <v>456300</v>
      </c>
      <c r="O1525" t="s">
        <v>10762</v>
      </c>
      <c r="P1525" t="s">
        <v>11761</v>
      </c>
      <c r="Q1525" t="s">
        <v>1939</v>
      </c>
      <c r="R1525" t="s">
        <v>11760</v>
      </c>
      <c r="U1525" t="s">
        <v>1327</v>
      </c>
      <c r="X1525">
        <v>0</v>
      </c>
    </row>
    <row r="1526" spans="1:24" x14ac:dyDescent="0.25">
      <c r="A1526" s="234">
        <v>42877</v>
      </c>
      <c r="B1526" t="s">
        <v>110</v>
      </c>
      <c r="C1526" t="s">
        <v>761</v>
      </c>
      <c r="D1526" t="s">
        <v>6863</v>
      </c>
      <c r="E1526" t="s">
        <v>588</v>
      </c>
      <c r="F1526" t="s">
        <v>6862</v>
      </c>
      <c r="H1526" t="s">
        <v>607</v>
      </c>
      <c r="I1526" t="s">
        <v>6864</v>
      </c>
      <c r="J1526" t="s">
        <v>4785</v>
      </c>
      <c r="L1526">
        <v>5</v>
      </c>
      <c r="M1526" s="134">
        <v>352000</v>
      </c>
      <c r="N1526" s="134">
        <v>0</v>
      </c>
      <c r="O1526" t="s">
        <v>5416</v>
      </c>
      <c r="P1526" t="s">
        <v>6865</v>
      </c>
      <c r="Q1526" t="s">
        <v>1939</v>
      </c>
      <c r="R1526" t="s">
        <v>6866</v>
      </c>
      <c r="U1526" t="s">
        <v>1327</v>
      </c>
      <c r="X1526">
        <v>0</v>
      </c>
    </row>
    <row r="1527" spans="1:24" x14ac:dyDescent="0.25">
      <c r="A1527" s="234">
        <v>43467</v>
      </c>
      <c r="B1527" t="s">
        <v>5176</v>
      </c>
      <c r="C1527" t="s">
        <v>604</v>
      </c>
      <c r="D1527" t="s">
        <v>595</v>
      </c>
      <c r="F1527" t="s">
        <v>13780</v>
      </c>
      <c r="G1527" t="s">
        <v>13781</v>
      </c>
      <c r="H1527" t="s">
        <v>1050</v>
      </c>
      <c r="I1527" t="s">
        <v>6460</v>
      </c>
      <c r="J1527" t="s">
        <v>959</v>
      </c>
      <c r="K1527" t="s">
        <v>13782</v>
      </c>
      <c r="L1527">
        <v>4</v>
      </c>
      <c r="M1527" s="134">
        <v>352000</v>
      </c>
      <c r="N1527" s="134">
        <v>387200</v>
      </c>
      <c r="O1527" t="s">
        <v>10766</v>
      </c>
      <c r="P1527" t="s">
        <v>13783</v>
      </c>
      <c r="Q1527" t="s">
        <v>29</v>
      </c>
      <c r="R1527" t="s">
        <v>14216</v>
      </c>
      <c r="U1527" t="s">
        <v>12797</v>
      </c>
      <c r="X1527">
        <f>IF(Q1527="Decline",1,0)</f>
        <v>1</v>
      </c>
    </row>
    <row r="1528" spans="1:24" x14ac:dyDescent="0.25">
      <c r="A1528" s="234">
        <v>43558</v>
      </c>
      <c r="B1528" t="s">
        <v>569</v>
      </c>
      <c r="C1528" t="s">
        <v>899</v>
      </c>
      <c r="D1528" t="s">
        <v>625</v>
      </c>
      <c r="F1528" t="s">
        <v>14974</v>
      </c>
      <c r="G1528" t="s">
        <v>14975</v>
      </c>
      <c r="H1528" t="s">
        <v>607</v>
      </c>
      <c r="I1528" t="s">
        <v>8952</v>
      </c>
      <c r="J1528" t="s">
        <v>899</v>
      </c>
      <c r="K1528" t="s">
        <v>14976</v>
      </c>
      <c r="L1528">
        <v>2</v>
      </c>
      <c r="M1528" s="134">
        <v>352000</v>
      </c>
      <c r="N1528" s="134">
        <v>700000</v>
      </c>
      <c r="O1528" t="s">
        <v>10766</v>
      </c>
      <c r="P1528" t="s">
        <v>14978</v>
      </c>
      <c r="Q1528" t="s">
        <v>592</v>
      </c>
      <c r="R1528" t="s">
        <v>14979</v>
      </c>
      <c r="S1528" t="s">
        <v>14977</v>
      </c>
      <c r="U1528" t="s">
        <v>491</v>
      </c>
      <c r="X1528">
        <v>0</v>
      </c>
    </row>
    <row r="1529" spans="1:24" x14ac:dyDescent="0.25">
      <c r="A1529" s="234">
        <v>42382</v>
      </c>
      <c r="B1529" t="s">
        <v>110</v>
      </c>
      <c r="D1529" t="s">
        <v>715</v>
      </c>
      <c r="E1529" t="s">
        <v>588</v>
      </c>
      <c r="F1529" t="s">
        <v>716</v>
      </c>
      <c r="H1529" t="s">
        <v>607</v>
      </c>
      <c r="I1529" t="s">
        <v>717</v>
      </c>
      <c r="M1529" s="134">
        <v>353000</v>
      </c>
      <c r="N1529" s="134">
        <v>600100</v>
      </c>
      <c r="O1529" t="s">
        <v>718</v>
      </c>
      <c r="P1529" t="s">
        <v>719</v>
      </c>
      <c r="Q1529" t="s">
        <v>592</v>
      </c>
      <c r="R1529" t="s">
        <v>720</v>
      </c>
      <c r="U1529" t="s">
        <v>491</v>
      </c>
      <c r="X1529">
        <v>0</v>
      </c>
    </row>
    <row r="1530" spans="1:24" x14ac:dyDescent="0.25">
      <c r="A1530" s="234">
        <v>43528</v>
      </c>
      <c r="B1530" t="s">
        <v>5956</v>
      </c>
      <c r="C1530" t="s">
        <v>3369</v>
      </c>
      <c r="D1530" t="s">
        <v>8126</v>
      </c>
      <c r="F1530" t="s">
        <v>14588</v>
      </c>
      <c r="G1530" t="s">
        <v>7792</v>
      </c>
      <c r="H1530" t="s">
        <v>607</v>
      </c>
      <c r="I1530" t="s">
        <v>14589</v>
      </c>
      <c r="J1530" t="s">
        <v>4825</v>
      </c>
      <c r="K1530" t="s">
        <v>14590</v>
      </c>
      <c r="L1530">
        <v>4</v>
      </c>
      <c r="M1530" s="134">
        <v>353500</v>
      </c>
      <c r="N1530" s="134">
        <v>636380</v>
      </c>
      <c r="O1530" t="s">
        <v>10765</v>
      </c>
      <c r="P1530" t="s">
        <v>14591</v>
      </c>
      <c r="Q1530" t="s">
        <v>1939</v>
      </c>
      <c r="R1530" t="s">
        <v>14815</v>
      </c>
      <c r="U1530" t="s">
        <v>12797</v>
      </c>
      <c r="X1530">
        <v>0</v>
      </c>
    </row>
    <row r="1531" spans="1:24" x14ac:dyDescent="0.25">
      <c r="A1531" s="234">
        <v>42825</v>
      </c>
      <c r="B1531" t="s">
        <v>5473</v>
      </c>
      <c r="D1531" t="s">
        <v>1495</v>
      </c>
      <c r="E1531" t="s">
        <v>588</v>
      </c>
      <c r="F1531" t="s">
        <v>6212</v>
      </c>
      <c r="H1531" t="s">
        <v>6213</v>
      </c>
      <c r="I1531" t="s">
        <v>3809</v>
      </c>
      <c r="J1531" t="s">
        <v>602</v>
      </c>
      <c r="M1531" s="134">
        <v>354000</v>
      </c>
      <c r="N1531" s="134">
        <v>529500</v>
      </c>
      <c r="O1531" t="s">
        <v>5190</v>
      </c>
      <c r="P1531" t="s">
        <v>6214</v>
      </c>
      <c r="Q1531" t="s">
        <v>29</v>
      </c>
      <c r="R1531" t="s">
        <v>6215</v>
      </c>
      <c r="U1531" t="s">
        <v>491</v>
      </c>
      <c r="X1531">
        <v>1</v>
      </c>
    </row>
    <row r="1532" spans="1:24" x14ac:dyDescent="0.25">
      <c r="A1532" s="234">
        <v>43187</v>
      </c>
      <c r="B1532" t="s">
        <v>328</v>
      </c>
      <c r="C1532" t="s">
        <v>603</v>
      </c>
      <c r="D1532" t="s">
        <v>10338</v>
      </c>
      <c r="E1532" t="s">
        <v>588</v>
      </c>
      <c r="F1532" t="s">
        <v>10715</v>
      </c>
      <c r="G1532" t="s">
        <v>9461</v>
      </c>
      <c r="H1532" t="s">
        <v>10831</v>
      </c>
      <c r="I1532" t="s">
        <v>6587</v>
      </c>
      <c r="J1532" t="s">
        <v>3751</v>
      </c>
      <c r="L1532">
        <v>3</v>
      </c>
      <c r="M1532" s="134">
        <v>354700</v>
      </c>
      <c r="N1532" s="134">
        <v>709400</v>
      </c>
      <c r="O1532" t="s">
        <v>4533</v>
      </c>
      <c r="P1532" t="s">
        <v>10751</v>
      </c>
      <c r="Q1532" t="s">
        <v>1939</v>
      </c>
      <c r="R1532" t="s">
        <v>10716</v>
      </c>
      <c r="U1532" t="s">
        <v>1327</v>
      </c>
      <c r="X1532">
        <v>0</v>
      </c>
    </row>
    <row r="1533" spans="1:24" x14ac:dyDescent="0.25">
      <c r="A1533" s="234">
        <v>42559</v>
      </c>
      <c r="B1533" t="s">
        <v>328</v>
      </c>
      <c r="C1533" t="s">
        <v>603</v>
      </c>
      <c r="D1533" t="s">
        <v>1471</v>
      </c>
      <c r="E1533" t="s">
        <v>588</v>
      </c>
      <c r="F1533" t="s">
        <v>2815</v>
      </c>
      <c r="H1533" t="s">
        <v>607</v>
      </c>
      <c r="I1533" t="s">
        <v>1366</v>
      </c>
      <c r="M1533" s="134">
        <v>355000</v>
      </c>
      <c r="N1533" s="134">
        <v>0</v>
      </c>
      <c r="O1533" t="s">
        <v>2816</v>
      </c>
      <c r="P1533" t="s">
        <v>2817</v>
      </c>
      <c r="Q1533" t="s">
        <v>29</v>
      </c>
      <c r="R1533" t="s">
        <v>2818</v>
      </c>
      <c r="U1533" t="s">
        <v>491</v>
      </c>
      <c r="X1533">
        <v>1</v>
      </c>
    </row>
    <row r="1534" spans="1:24" x14ac:dyDescent="0.25">
      <c r="A1534" s="234">
        <v>42418</v>
      </c>
      <c r="B1534" t="s">
        <v>378</v>
      </c>
      <c r="C1534" t="s">
        <v>623</v>
      </c>
      <c r="D1534" t="s">
        <v>625</v>
      </c>
      <c r="E1534" t="s">
        <v>588</v>
      </c>
      <c r="F1534" t="s">
        <v>1035</v>
      </c>
      <c r="H1534" t="s">
        <v>905</v>
      </c>
      <c r="I1534" t="s">
        <v>1037</v>
      </c>
      <c r="M1534" s="134">
        <v>355000</v>
      </c>
      <c r="N1534" s="134">
        <v>445500</v>
      </c>
      <c r="O1534" t="s">
        <v>1041</v>
      </c>
      <c r="P1534" t="s">
        <v>1042</v>
      </c>
      <c r="Q1534" t="s">
        <v>592</v>
      </c>
      <c r="U1534" t="s">
        <v>491</v>
      </c>
      <c r="X1534">
        <v>0</v>
      </c>
    </row>
    <row r="1535" spans="1:24" x14ac:dyDescent="0.25">
      <c r="A1535" s="234">
        <v>42765</v>
      </c>
      <c r="B1535" t="s">
        <v>328</v>
      </c>
      <c r="C1535" t="s">
        <v>603</v>
      </c>
      <c r="D1535" t="s">
        <v>1401</v>
      </c>
      <c r="E1535" t="s">
        <v>588</v>
      </c>
      <c r="F1535" t="s">
        <v>5512</v>
      </c>
      <c r="H1535" t="s">
        <v>5514</v>
      </c>
      <c r="I1535" t="s">
        <v>5513</v>
      </c>
      <c r="J1535" t="s">
        <v>899</v>
      </c>
      <c r="L1535" t="s">
        <v>5515</v>
      </c>
      <c r="M1535" s="134">
        <v>355000</v>
      </c>
      <c r="N1535" s="134">
        <v>674500</v>
      </c>
      <c r="O1535" t="s">
        <v>3107</v>
      </c>
      <c r="P1535" t="s">
        <v>5614</v>
      </c>
      <c r="Q1535" t="s">
        <v>1939</v>
      </c>
      <c r="R1535" t="s">
        <v>6296</v>
      </c>
      <c r="U1535" t="s">
        <v>491</v>
      </c>
      <c r="X1535">
        <v>0</v>
      </c>
    </row>
    <row r="1536" spans="1:24" x14ac:dyDescent="0.25">
      <c r="A1536" s="234">
        <v>42513</v>
      </c>
      <c r="B1536" t="s">
        <v>328</v>
      </c>
      <c r="D1536" t="s">
        <v>649</v>
      </c>
      <c r="E1536" t="s">
        <v>588</v>
      </c>
      <c r="F1536" t="s">
        <v>2217</v>
      </c>
      <c r="H1536" t="s">
        <v>1819</v>
      </c>
      <c r="I1536" t="s">
        <v>2218</v>
      </c>
      <c r="M1536" s="134">
        <v>355000</v>
      </c>
      <c r="N1536" s="134">
        <v>710000</v>
      </c>
      <c r="O1536" t="s">
        <v>2219</v>
      </c>
      <c r="P1536" t="s">
        <v>2220</v>
      </c>
      <c r="Q1536" t="s">
        <v>620</v>
      </c>
      <c r="R1536" t="s">
        <v>2221</v>
      </c>
      <c r="S1536" t="s">
        <v>2222</v>
      </c>
      <c r="U1536" t="s">
        <v>633</v>
      </c>
      <c r="X1536">
        <v>0</v>
      </c>
    </row>
    <row r="1537" spans="1:24" x14ac:dyDescent="0.25">
      <c r="A1537" s="234">
        <v>43439</v>
      </c>
      <c r="B1537" t="s">
        <v>5360</v>
      </c>
      <c r="C1537" t="s">
        <v>899</v>
      </c>
      <c r="D1537" t="s">
        <v>732</v>
      </c>
      <c r="F1537" t="s">
        <v>13498</v>
      </c>
      <c r="G1537" t="s">
        <v>13499</v>
      </c>
      <c r="H1537" t="s">
        <v>607</v>
      </c>
      <c r="I1537" t="s">
        <v>4279</v>
      </c>
      <c r="J1537" t="s">
        <v>899</v>
      </c>
      <c r="K1537" t="s">
        <v>13500</v>
      </c>
      <c r="L1537">
        <v>9</v>
      </c>
      <c r="M1537" s="134">
        <v>356000</v>
      </c>
      <c r="N1537" s="134">
        <v>710800</v>
      </c>
      <c r="O1537" t="s">
        <v>10766</v>
      </c>
      <c r="P1537" t="s">
        <v>13501</v>
      </c>
      <c r="Q1537" t="s">
        <v>1939</v>
      </c>
      <c r="R1537" t="s">
        <v>13502</v>
      </c>
      <c r="U1537" t="s">
        <v>491</v>
      </c>
      <c r="X1537">
        <v>0</v>
      </c>
    </row>
    <row r="1538" spans="1:24" x14ac:dyDescent="0.25">
      <c r="A1538" s="234">
        <v>42655</v>
      </c>
      <c r="B1538" t="s">
        <v>328</v>
      </c>
      <c r="C1538" t="s">
        <v>603</v>
      </c>
      <c r="D1538" t="s">
        <v>2397</v>
      </c>
      <c r="E1538" t="s">
        <v>588</v>
      </c>
      <c r="F1538" t="s">
        <v>4284</v>
      </c>
      <c r="H1538" t="s">
        <v>607</v>
      </c>
      <c r="I1538" t="s">
        <v>4285</v>
      </c>
      <c r="J1538" t="s">
        <v>3426</v>
      </c>
      <c r="L1538">
        <v>3</v>
      </c>
      <c r="M1538" s="134">
        <v>356000</v>
      </c>
      <c r="N1538" s="134">
        <v>840000</v>
      </c>
      <c r="O1538" t="s">
        <v>4286</v>
      </c>
      <c r="P1538" t="s">
        <v>4287</v>
      </c>
      <c r="Q1538" t="s">
        <v>592</v>
      </c>
      <c r="R1538" t="s">
        <v>4288</v>
      </c>
      <c r="U1538" t="s">
        <v>491</v>
      </c>
      <c r="X1538">
        <v>0</v>
      </c>
    </row>
    <row r="1539" spans="1:24" x14ac:dyDescent="0.25">
      <c r="A1539" s="234">
        <v>42819</v>
      </c>
      <c r="B1539" t="s">
        <v>328</v>
      </c>
      <c r="C1539" t="s">
        <v>603</v>
      </c>
      <c r="D1539" t="s">
        <v>1401</v>
      </c>
      <c r="E1539" t="s">
        <v>588</v>
      </c>
      <c r="F1539" t="s">
        <v>6123</v>
      </c>
      <c r="H1539" t="s">
        <v>607</v>
      </c>
      <c r="I1539" t="s">
        <v>6124</v>
      </c>
      <c r="J1539" t="s">
        <v>3371</v>
      </c>
      <c r="M1539" s="134">
        <v>356100</v>
      </c>
      <c r="N1539" s="134">
        <v>730005</v>
      </c>
      <c r="O1539" t="s">
        <v>3952</v>
      </c>
      <c r="P1539" t="s">
        <v>6125</v>
      </c>
      <c r="Q1539" t="s">
        <v>620</v>
      </c>
      <c r="R1539" t="s">
        <v>6126</v>
      </c>
      <c r="U1539" t="s">
        <v>491</v>
      </c>
      <c r="X1539">
        <v>0</v>
      </c>
    </row>
    <row r="1540" spans="1:24" x14ac:dyDescent="0.25">
      <c r="A1540" s="234">
        <v>43614</v>
      </c>
      <c r="B1540" t="s">
        <v>328</v>
      </c>
      <c r="C1540" t="s">
        <v>603</v>
      </c>
      <c r="D1540" t="s">
        <v>10338</v>
      </c>
      <c r="F1540" t="s">
        <v>15182</v>
      </c>
      <c r="G1540" t="s">
        <v>15788</v>
      </c>
      <c r="H1540" t="s">
        <v>607</v>
      </c>
      <c r="I1540" t="s">
        <v>15789</v>
      </c>
      <c r="J1540" t="s">
        <v>3426</v>
      </c>
      <c r="K1540" t="s">
        <v>15790</v>
      </c>
      <c r="L1540">
        <v>5</v>
      </c>
      <c r="M1540" s="134">
        <v>356200</v>
      </c>
      <c r="N1540" s="134">
        <v>700000</v>
      </c>
      <c r="O1540" t="s">
        <v>4533</v>
      </c>
      <c r="P1540" t="s">
        <v>15791</v>
      </c>
      <c r="Q1540" t="s">
        <v>592</v>
      </c>
      <c r="R1540" t="s">
        <v>15807</v>
      </c>
      <c r="S1540" t="s">
        <v>15792</v>
      </c>
      <c r="U1540" t="s">
        <v>15803</v>
      </c>
      <c r="X1540">
        <v>0</v>
      </c>
    </row>
    <row r="1541" spans="1:24" x14ac:dyDescent="0.25">
      <c r="A1541" s="234">
        <v>42990</v>
      </c>
      <c r="B1541" t="s">
        <v>569</v>
      </c>
      <c r="C1541" t="s">
        <v>899</v>
      </c>
      <c r="D1541" t="s">
        <v>930</v>
      </c>
      <c r="E1541" t="s">
        <v>1707</v>
      </c>
      <c r="F1541" t="s">
        <v>8514</v>
      </c>
      <c r="G1541" t="s">
        <v>8515</v>
      </c>
      <c r="H1541" t="s">
        <v>607</v>
      </c>
      <c r="I1541" t="s">
        <v>7517</v>
      </c>
      <c r="J1541" t="s">
        <v>899</v>
      </c>
      <c r="M1541" s="134">
        <v>357000</v>
      </c>
      <c r="N1541" s="134">
        <v>650000</v>
      </c>
      <c r="O1541" t="s">
        <v>666</v>
      </c>
      <c r="P1541" t="s">
        <v>8516</v>
      </c>
      <c r="Q1541" t="s">
        <v>29</v>
      </c>
      <c r="R1541" t="s">
        <v>8517</v>
      </c>
      <c r="T1541">
        <v>21</v>
      </c>
      <c r="U1541" t="s">
        <v>491</v>
      </c>
      <c r="X1541">
        <v>1</v>
      </c>
    </row>
    <row r="1542" spans="1:24" x14ac:dyDescent="0.25">
      <c r="A1542" s="234">
        <v>42865</v>
      </c>
      <c r="B1542" t="s">
        <v>5992</v>
      </c>
      <c r="D1542" t="s">
        <v>5270</v>
      </c>
      <c r="E1542" t="s">
        <v>588</v>
      </c>
      <c r="F1542" t="s">
        <v>6736</v>
      </c>
      <c r="H1542" t="s">
        <v>607</v>
      </c>
      <c r="I1542" t="s">
        <v>6737</v>
      </c>
      <c r="J1542" t="s">
        <v>899</v>
      </c>
      <c r="M1542" s="134">
        <v>359000</v>
      </c>
      <c r="N1542" s="134">
        <v>0</v>
      </c>
      <c r="O1542" t="s">
        <v>666</v>
      </c>
      <c r="P1542" t="s">
        <v>6738</v>
      </c>
      <c r="Q1542" t="s">
        <v>592</v>
      </c>
      <c r="S1542" t="s">
        <v>6739</v>
      </c>
      <c r="U1542" t="s">
        <v>491</v>
      </c>
      <c r="X1542">
        <v>0</v>
      </c>
    </row>
    <row r="1543" spans="1:24" x14ac:dyDescent="0.25">
      <c r="A1543" s="234">
        <v>43031</v>
      </c>
      <c r="B1543" t="s">
        <v>5176</v>
      </c>
      <c r="C1543" t="s">
        <v>604</v>
      </c>
      <c r="D1543" t="s">
        <v>595</v>
      </c>
      <c r="E1543" t="s">
        <v>821</v>
      </c>
      <c r="F1543" t="s">
        <v>9139</v>
      </c>
      <c r="H1543" t="s">
        <v>905</v>
      </c>
      <c r="I1543" t="s">
        <v>9140</v>
      </c>
      <c r="J1543" t="s">
        <v>604</v>
      </c>
      <c r="M1543" s="134">
        <v>360000</v>
      </c>
      <c r="N1543" s="134">
        <v>420000</v>
      </c>
      <c r="O1543" t="s">
        <v>8628</v>
      </c>
      <c r="P1543" t="s">
        <v>9141</v>
      </c>
      <c r="Q1543" t="s">
        <v>1939</v>
      </c>
      <c r="R1543" t="s">
        <v>9142</v>
      </c>
      <c r="U1543" t="s">
        <v>491</v>
      </c>
      <c r="X1543">
        <v>0</v>
      </c>
    </row>
    <row r="1544" spans="1:24" x14ac:dyDescent="0.25">
      <c r="A1544" s="234">
        <v>42662</v>
      </c>
      <c r="B1544" t="s">
        <v>328</v>
      </c>
      <c r="C1544" t="s">
        <v>603</v>
      </c>
      <c r="D1544" t="s">
        <v>2397</v>
      </c>
      <c r="E1544" t="s">
        <v>588</v>
      </c>
      <c r="F1544" t="s">
        <v>4389</v>
      </c>
      <c r="H1544" t="s">
        <v>607</v>
      </c>
      <c r="I1544" t="s">
        <v>4390</v>
      </c>
      <c r="J1544" t="s">
        <v>899</v>
      </c>
      <c r="L1544">
        <v>9</v>
      </c>
      <c r="M1544" s="134">
        <v>360000</v>
      </c>
      <c r="N1544" s="134">
        <v>601000</v>
      </c>
      <c r="O1544" t="s">
        <v>2680</v>
      </c>
      <c r="P1544" t="s">
        <v>4391</v>
      </c>
      <c r="Q1544" t="s">
        <v>620</v>
      </c>
      <c r="R1544" t="s">
        <v>4392</v>
      </c>
      <c r="U1544" t="s">
        <v>491</v>
      </c>
      <c r="X1544">
        <v>0</v>
      </c>
    </row>
    <row r="1545" spans="1:24" x14ac:dyDescent="0.25">
      <c r="A1545" s="234">
        <v>43549</v>
      </c>
      <c r="B1545" t="s">
        <v>13559</v>
      </c>
      <c r="C1545" t="s">
        <v>3523</v>
      </c>
      <c r="D1545" t="s">
        <v>14673</v>
      </c>
      <c r="F1545" t="s">
        <v>12814</v>
      </c>
      <c r="H1545" t="s">
        <v>607</v>
      </c>
      <c r="I1545" t="s">
        <v>14809</v>
      </c>
      <c r="J1545" t="s">
        <v>3523</v>
      </c>
      <c r="K1545" t="s">
        <v>14810</v>
      </c>
      <c r="M1545" s="134">
        <v>360000</v>
      </c>
      <c r="N1545" s="134">
        <v>640000</v>
      </c>
      <c r="O1545" t="s">
        <v>10766</v>
      </c>
      <c r="P1545" t="s">
        <v>14811</v>
      </c>
      <c r="Q1545" t="s">
        <v>29</v>
      </c>
      <c r="R1545" t="s">
        <v>14812</v>
      </c>
      <c r="U1545" t="s">
        <v>491</v>
      </c>
      <c r="X1545">
        <v>1</v>
      </c>
    </row>
    <row r="1546" spans="1:24" x14ac:dyDescent="0.25">
      <c r="A1546" s="234">
        <v>43308</v>
      </c>
      <c r="B1546" t="s">
        <v>9240</v>
      </c>
      <c r="C1546" t="s">
        <v>603</v>
      </c>
      <c r="D1546" t="s">
        <v>9241</v>
      </c>
      <c r="E1546" t="s">
        <v>588</v>
      </c>
      <c r="F1546" t="s">
        <v>11957</v>
      </c>
      <c r="G1546" t="s">
        <v>11956</v>
      </c>
      <c r="H1546" t="s">
        <v>607</v>
      </c>
      <c r="I1546" t="s">
        <v>7312</v>
      </c>
      <c r="J1546" t="s">
        <v>3612</v>
      </c>
      <c r="L1546">
        <v>2</v>
      </c>
      <c r="M1546" s="134">
        <v>360000</v>
      </c>
      <c r="N1546" s="134">
        <v>682000</v>
      </c>
      <c r="O1546" t="s">
        <v>10766</v>
      </c>
      <c r="P1546" t="s">
        <v>12015</v>
      </c>
      <c r="Q1546" t="s">
        <v>592</v>
      </c>
      <c r="R1546" t="s">
        <v>12016</v>
      </c>
      <c r="U1546" t="s">
        <v>1327</v>
      </c>
      <c r="X1546">
        <v>0</v>
      </c>
    </row>
    <row r="1547" spans="1:24" x14ac:dyDescent="0.25">
      <c r="A1547" s="234">
        <v>42611</v>
      </c>
      <c r="B1547" t="s">
        <v>328</v>
      </c>
      <c r="C1547" t="s">
        <v>603</v>
      </c>
      <c r="D1547" t="s">
        <v>1471</v>
      </c>
      <c r="E1547" t="s">
        <v>588</v>
      </c>
      <c r="F1547" t="s">
        <v>3675</v>
      </c>
      <c r="H1547" t="s">
        <v>607</v>
      </c>
      <c r="I1547" t="s">
        <v>3676</v>
      </c>
      <c r="J1547" t="s">
        <v>899</v>
      </c>
      <c r="L1547">
        <v>10</v>
      </c>
      <c r="M1547" s="134">
        <v>360000</v>
      </c>
      <c r="N1547" s="134">
        <v>738000</v>
      </c>
      <c r="O1547" t="s">
        <v>3677</v>
      </c>
      <c r="P1547" t="s">
        <v>3678</v>
      </c>
      <c r="Q1547" t="s">
        <v>29</v>
      </c>
      <c r="R1547" t="s">
        <v>3823</v>
      </c>
      <c r="U1547" t="s">
        <v>491</v>
      </c>
      <c r="X1547">
        <v>1</v>
      </c>
    </row>
    <row r="1548" spans="1:24" x14ac:dyDescent="0.25">
      <c r="A1548" s="234">
        <v>43105</v>
      </c>
      <c r="B1548" t="s">
        <v>328</v>
      </c>
      <c r="C1548" t="s">
        <v>603</v>
      </c>
      <c r="D1548" t="s">
        <v>2397</v>
      </c>
      <c r="E1548" t="s">
        <v>588</v>
      </c>
      <c r="F1548" t="s">
        <v>9961</v>
      </c>
      <c r="G1548" t="s">
        <v>9962</v>
      </c>
      <c r="H1548" t="s">
        <v>607</v>
      </c>
      <c r="I1548" t="s">
        <v>9963</v>
      </c>
      <c r="J1548" t="s">
        <v>3751</v>
      </c>
      <c r="L1548">
        <v>10</v>
      </c>
      <c r="M1548" s="134">
        <v>360000</v>
      </c>
      <c r="N1548" s="134">
        <v>755000</v>
      </c>
      <c r="O1548" t="s">
        <v>4533</v>
      </c>
      <c r="P1548" t="s">
        <v>10207</v>
      </c>
      <c r="Q1548" t="s">
        <v>29</v>
      </c>
      <c r="R1548" t="s">
        <v>9964</v>
      </c>
      <c r="U1548" t="s">
        <v>1327</v>
      </c>
      <c r="X1548">
        <v>1</v>
      </c>
    </row>
    <row r="1549" spans="1:24" x14ac:dyDescent="0.25">
      <c r="A1549" s="234">
        <v>43119</v>
      </c>
      <c r="B1549" t="s">
        <v>328</v>
      </c>
      <c r="C1549" t="s">
        <v>603</v>
      </c>
      <c r="D1549" t="s">
        <v>649</v>
      </c>
      <c r="E1549" t="s">
        <v>588</v>
      </c>
      <c r="F1549" t="s">
        <v>10068</v>
      </c>
      <c r="G1549" t="s">
        <v>10069</v>
      </c>
      <c r="H1549" t="s">
        <v>10831</v>
      </c>
      <c r="I1549" t="s">
        <v>10070</v>
      </c>
      <c r="J1549" t="s">
        <v>3426</v>
      </c>
      <c r="L1549">
        <v>10</v>
      </c>
      <c r="M1549" s="134">
        <v>360000</v>
      </c>
      <c r="N1549" s="134">
        <v>882000</v>
      </c>
      <c r="O1549" t="s">
        <v>7124</v>
      </c>
      <c r="P1549" t="s">
        <v>10071</v>
      </c>
      <c r="Q1549" t="s">
        <v>592</v>
      </c>
      <c r="R1549" t="s">
        <v>10072</v>
      </c>
      <c r="U1549" t="s">
        <v>1327</v>
      </c>
      <c r="X1549">
        <v>0</v>
      </c>
    </row>
    <row r="1550" spans="1:24" x14ac:dyDescent="0.25">
      <c r="A1550" s="234">
        <v>42685</v>
      </c>
      <c r="B1550" t="s">
        <v>328</v>
      </c>
      <c r="C1550" t="s">
        <v>603</v>
      </c>
      <c r="D1550" t="s">
        <v>2397</v>
      </c>
      <c r="E1550" t="s">
        <v>588</v>
      </c>
      <c r="F1550" t="s">
        <v>4663</v>
      </c>
      <c r="H1550" t="s">
        <v>607</v>
      </c>
      <c r="I1550" t="s">
        <v>3768</v>
      </c>
      <c r="J1550" t="s">
        <v>899</v>
      </c>
      <c r="L1550">
        <v>10</v>
      </c>
      <c r="M1550" s="134">
        <v>362000</v>
      </c>
      <c r="N1550" s="134">
        <v>715400</v>
      </c>
      <c r="O1550" t="s">
        <v>4664</v>
      </c>
      <c r="P1550" t="s">
        <v>4665</v>
      </c>
      <c r="Q1550" t="s">
        <v>1939</v>
      </c>
      <c r="R1550" t="s">
        <v>4666</v>
      </c>
      <c r="U1550" t="s">
        <v>491</v>
      </c>
      <c r="X1550">
        <v>0</v>
      </c>
    </row>
    <row r="1551" spans="1:24" x14ac:dyDescent="0.25">
      <c r="A1551" s="234">
        <v>43418</v>
      </c>
      <c r="B1551" t="s">
        <v>569</v>
      </c>
      <c r="C1551" t="s">
        <v>899</v>
      </c>
      <c r="D1551" t="s">
        <v>1070</v>
      </c>
      <c r="F1551" t="s">
        <v>13183</v>
      </c>
      <c r="G1551" t="s">
        <v>645</v>
      </c>
      <c r="H1551" t="s">
        <v>607</v>
      </c>
      <c r="I1551" t="s">
        <v>3947</v>
      </c>
      <c r="J1551" t="s">
        <v>899</v>
      </c>
      <c r="K1551" t="s">
        <v>13184</v>
      </c>
      <c r="L1551">
        <v>2</v>
      </c>
      <c r="M1551" s="134">
        <v>362267</v>
      </c>
      <c r="N1551" s="134">
        <v>701467</v>
      </c>
      <c r="O1551" t="s">
        <v>10765</v>
      </c>
      <c r="P1551" t="s">
        <v>13185</v>
      </c>
      <c r="Q1551" t="s">
        <v>592</v>
      </c>
      <c r="R1551" t="s">
        <v>13186</v>
      </c>
      <c r="U1551" t="s">
        <v>12344</v>
      </c>
      <c r="X1551">
        <v>0</v>
      </c>
    </row>
    <row r="1552" spans="1:24" x14ac:dyDescent="0.25">
      <c r="A1552" s="234">
        <v>43227</v>
      </c>
      <c r="B1552" t="s">
        <v>643</v>
      </c>
      <c r="C1552" t="s">
        <v>644</v>
      </c>
      <c r="D1552" t="s">
        <v>645</v>
      </c>
      <c r="E1552" t="s">
        <v>588</v>
      </c>
      <c r="F1552" t="s">
        <v>11193</v>
      </c>
      <c r="G1552" t="s">
        <v>11192</v>
      </c>
      <c r="H1552" t="s">
        <v>1050</v>
      </c>
      <c r="I1552" t="s">
        <v>3646</v>
      </c>
      <c r="J1552" t="s">
        <v>644</v>
      </c>
      <c r="L1552">
        <v>2</v>
      </c>
      <c r="M1552" s="134">
        <v>362500</v>
      </c>
      <c r="N1552" s="134">
        <v>362500</v>
      </c>
      <c r="O1552" t="s">
        <v>10765</v>
      </c>
      <c r="P1552" t="s">
        <v>11191</v>
      </c>
      <c r="Q1552" t="s">
        <v>1939</v>
      </c>
      <c r="R1552" t="s">
        <v>11190</v>
      </c>
      <c r="U1552" t="s">
        <v>1327</v>
      </c>
      <c r="X1552">
        <v>0</v>
      </c>
    </row>
    <row r="1553" spans="1:24" x14ac:dyDescent="0.25">
      <c r="A1553" s="234">
        <v>42465</v>
      </c>
      <c r="B1553" t="s">
        <v>328</v>
      </c>
      <c r="C1553" t="s">
        <v>1555</v>
      </c>
      <c r="D1553" t="s">
        <v>649</v>
      </c>
      <c r="E1553" t="s">
        <v>588</v>
      </c>
      <c r="F1553" t="s">
        <v>1556</v>
      </c>
      <c r="H1553" t="s">
        <v>607</v>
      </c>
      <c r="I1553" t="s">
        <v>1557</v>
      </c>
      <c r="M1553" s="134">
        <v>363000</v>
      </c>
      <c r="N1553" s="134">
        <v>793000</v>
      </c>
      <c r="O1553" t="s">
        <v>969</v>
      </c>
      <c r="P1553" t="s">
        <v>15989</v>
      </c>
      <c r="Q1553" t="s">
        <v>592</v>
      </c>
      <c r="R1553" t="s">
        <v>1559</v>
      </c>
      <c r="U1553" t="s">
        <v>491</v>
      </c>
      <c r="X1553">
        <v>0</v>
      </c>
    </row>
    <row r="1554" spans="1:24" x14ac:dyDescent="0.25">
      <c r="A1554" s="234">
        <v>42787</v>
      </c>
      <c r="B1554" t="s">
        <v>328</v>
      </c>
      <c r="C1554" t="s">
        <v>603</v>
      </c>
      <c r="D1554" t="s">
        <v>2397</v>
      </c>
      <c r="E1554" t="s">
        <v>588</v>
      </c>
      <c r="F1554" t="s">
        <v>5742</v>
      </c>
      <c r="H1554" t="s">
        <v>607</v>
      </c>
      <c r="I1554" t="s">
        <v>5743</v>
      </c>
      <c r="J1554" t="s">
        <v>3367</v>
      </c>
      <c r="L1554">
        <v>4</v>
      </c>
      <c r="M1554" s="134">
        <v>364000</v>
      </c>
      <c r="N1554" s="134">
        <v>615400</v>
      </c>
      <c r="O1554" t="s">
        <v>2934</v>
      </c>
      <c r="P1554" t="s">
        <v>5744</v>
      </c>
      <c r="Q1554" t="s">
        <v>1939</v>
      </c>
      <c r="R1554" t="s">
        <v>5745</v>
      </c>
      <c r="U1554" t="s">
        <v>491</v>
      </c>
      <c r="X1554">
        <v>0</v>
      </c>
    </row>
    <row r="1555" spans="1:24" x14ac:dyDescent="0.25">
      <c r="A1555" s="234">
        <v>42445</v>
      </c>
      <c r="B1555" t="s">
        <v>378</v>
      </c>
      <c r="C1555" t="s">
        <v>610</v>
      </c>
      <c r="D1555" t="s">
        <v>1027</v>
      </c>
      <c r="E1555" t="s">
        <v>588</v>
      </c>
      <c r="F1555" t="s">
        <v>1347</v>
      </c>
      <c r="H1555" t="s">
        <v>1348</v>
      </c>
      <c r="M1555" s="134">
        <v>365000</v>
      </c>
      <c r="N1555" s="134">
        <v>489500</v>
      </c>
      <c r="O1555" t="s">
        <v>1349</v>
      </c>
      <c r="P1555" t="s">
        <v>1350</v>
      </c>
      <c r="Q1555" t="s">
        <v>29</v>
      </c>
      <c r="R1555" t="s">
        <v>1482</v>
      </c>
      <c r="U1555" t="s">
        <v>491</v>
      </c>
      <c r="X1555">
        <v>1</v>
      </c>
    </row>
    <row r="1556" spans="1:24" x14ac:dyDescent="0.25">
      <c r="A1556" s="234">
        <v>42636</v>
      </c>
      <c r="B1556" t="s">
        <v>328</v>
      </c>
      <c r="C1556" t="s">
        <v>603</v>
      </c>
      <c r="D1556" t="s">
        <v>1401</v>
      </c>
      <c r="E1556" t="s">
        <v>588</v>
      </c>
      <c r="F1556" t="s">
        <v>4039</v>
      </c>
      <c r="H1556" t="s">
        <v>1391</v>
      </c>
      <c r="I1556" t="s">
        <v>4038</v>
      </c>
      <c r="J1556" t="s">
        <v>761</v>
      </c>
      <c r="L1556" t="s">
        <v>4034</v>
      </c>
      <c r="M1556" s="134">
        <v>365000</v>
      </c>
      <c r="N1556" s="134">
        <v>499500</v>
      </c>
      <c r="O1556" t="s">
        <v>4035</v>
      </c>
      <c r="P1556" t="s">
        <v>4037</v>
      </c>
      <c r="Q1556" t="s">
        <v>620</v>
      </c>
      <c r="R1556" t="s">
        <v>4036</v>
      </c>
      <c r="U1556" t="s">
        <v>1327</v>
      </c>
      <c r="X1556">
        <v>0</v>
      </c>
    </row>
    <row r="1557" spans="1:24" x14ac:dyDescent="0.25">
      <c r="A1557" s="234">
        <v>42929</v>
      </c>
      <c r="B1557" t="s">
        <v>110</v>
      </c>
      <c r="C1557" t="s">
        <v>761</v>
      </c>
      <c r="D1557" t="s">
        <v>715</v>
      </c>
      <c r="E1557" t="s">
        <v>588</v>
      </c>
      <c r="F1557" t="s">
        <v>7596</v>
      </c>
      <c r="H1557" t="s">
        <v>6002</v>
      </c>
      <c r="I1557" t="s">
        <v>6758</v>
      </c>
      <c r="J1557" t="s">
        <v>761</v>
      </c>
      <c r="L1557">
        <v>10</v>
      </c>
      <c r="M1557" s="134">
        <v>365000</v>
      </c>
      <c r="N1557" s="134">
        <v>620500</v>
      </c>
      <c r="O1557" t="s">
        <v>3365</v>
      </c>
      <c r="P1557" t="s">
        <v>7598</v>
      </c>
      <c r="Q1557" t="s">
        <v>1939</v>
      </c>
      <c r="R1557" t="s">
        <v>7597</v>
      </c>
      <c r="U1557" t="s">
        <v>2227</v>
      </c>
      <c r="X1557">
        <v>0</v>
      </c>
    </row>
    <row r="1558" spans="1:24" x14ac:dyDescent="0.25">
      <c r="A1558" s="234">
        <v>43440</v>
      </c>
      <c r="B1558" t="s">
        <v>5360</v>
      </c>
      <c r="C1558" t="s">
        <v>899</v>
      </c>
      <c r="D1558" t="s">
        <v>732</v>
      </c>
      <c r="F1558" t="s">
        <v>9400</v>
      </c>
      <c r="G1558" t="s">
        <v>13514</v>
      </c>
      <c r="H1558" t="s">
        <v>607</v>
      </c>
      <c r="I1558" t="s">
        <v>13515</v>
      </c>
      <c r="J1558" t="s">
        <v>899</v>
      </c>
      <c r="K1558" t="s">
        <v>13516</v>
      </c>
      <c r="L1558">
        <v>4</v>
      </c>
      <c r="M1558" s="134">
        <v>365000</v>
      </c>
      <c r="N1558" s="134">
        <v>730000</v>
      </c>
      <c r="O1558" t="s">
        <v>10766</v>
      </c>
      <c r="P1558" t="s">
        <v>13517</v>
      </c>
      <c r="Q1558" t="s">
        <v>1939</v>
      </c>
      <c r="R1558" t="s">
        <v>13518</v>
      </c>
      <c r="U1558" t="s">
        <v>491</v>
      </c>
      <c r="X1558">
        <v>0</v>
      </c>
    </row>
    <row r="1559" spans="1:24" x14ac:dyDescent="0.25">
      <c r="A1559" s="234">
        <v>43599</v>
      </c>
      <c r="B1559" t="s">
        <v>328</v>
      </c>
      <c r="C1559" t="s">
        <v>603</v>
      </c>
      <c r="D1559" t="s">
        <v>649</v>
      </c>
      <c r="F1559" t="s">
        <v>15561</v>
      </c>
      <c r="G1559" t="s">
        <v>14657</v>
      </c>
      <c r="H1559" t="s">
        <v>905</v>
      </c>
      <c r="I1559" t="s">
        <v>15562</v>
      </c>
      <c r="J1559" t="s">
        <v>3371</v>
      </c>
      <c r="K1559" t="s">
        <v>15563</v>
      </c>
      <c r="M1559" s="134">
        <v>366133</v>
      </c>
      <c r="N1559" s="134">
        <v>460000</v>
      </c>
      <c r="O1559" t="s">
        <v>4533</v>
      </c>
      <c r="P1559" t="s">
        <v>15564</v>
      </c>
      <c r="Q1559" t="s">
        <v>29</v>
      </c>
      <c r="R1559" t="s">
        <v>15565</v>
      </c>
      <c r="U1559" t="s">
        <v>491</v>
      </c>
      <c r="X1559">
        <v>1</v>
      </c>
    </row>
    <row r="1560" spans="1:24" x14ac:dyDescent="0.25">
      <c r="A1560" s="234">
        <v>42871</v>
      </c>
      <c r="B1560" t="s">
        <v>328</v>
      </c>
      <c r="C1560" t="s">
        <v>603</v>
      </c>
      <c r="D1560" t="s">
        <v>672</v>
      </c>
      <c r="E1560" t="s">
        <v>588</v>
      </c>
      <c r="F1560" t="s">
        <v>6806</v>
      </c>
      <c r="H1560" t="s">
        <v>905</v>
      </c>
      <c r="I1560" t="s">
        <v>6807</v>
      </c>
      <c r="J1560" t="s">
        <v>3371</v>
      </c>
      <c r="L1560">
        <v>3</v>
      </c>
      <c r="M1560" s="134">
        <v>367000</v>
      </c>
      <c r="N1560" s="134">
        <v>440400</v>
      </c>
      <c r="O1560" t="s">
        <v>3952</v>
      </c>
      <c r="P1560" t="s">
        <v>6808</v>
      </c>
      <c r="Q1560" t="s">
        <v>29</v>
      </c>
      <c r="R1560" t="s">
        <v>7051</v>
      </c>
      <c r="U1560" t="s">
        <v>491</v>
      </c>
      <c r="X1560">
        <v>1</v>
      </c>
    </row>
    <row r="1561" spans="1:24" x14ac:dyDescent="0.25">
      <c r="A1561" s="234">
        <v>42811</v>
      </c>
      <c r="B1561" t="s">
        <v>569</v>
      </c>
      <c r="C1561" t="s">
        <v>899</v>
      </c>
      <c r="D1561" t="s">
        <v>625</v>
      </c>
      <c r="E1561" t="s">
        <v>588</v>
      </c>
      <c r="F1561" t="s">
        <v>6020</v>
      </c>
      <c r="H1561" t="s">
        <v>6021</v>
      </c>
      <c r="I1561" t="s">
        <v>2054</v>
      </c>
      <c r="J1561" t="s">
        <v>899</v>
      </c>
      <c r="M1561" s="134">
        <v>369000</v>
      </c>
      <c r="N1561" s="134">
        <v>904050</v>
      </c>
      <c r="O1561" t="s">
        <v>3952</v>
      </c>
      <c r="P1561" t="s">
        <v>6022</v>
      </c>
      <c r="Q1561" t="s">
        <v>1939</v>
      </c>
      <c r="R1561" t="s">
        <v>6023</v>
      </c>
      <c r="U1561" t="s">
        <v>1327</v>
      </c>
      <c r="X1561">
        <v>0</v>
      </c>
    </row>
    <row r="1562" spans="1:24" x14ac:dyDescent="0.25">
      <c r="A1562" s="234">
        <v>42517</v>
      </c>
      <c r="B1562" t="s">
        <v>328</v>
      </c>
      <c r="D1562" t="s">
        <v>1401</v>
      </c>
      <c r="E1562" t="s">
        <v>2200</v>
      </c>
      <c r="F1562" t="s">
        <v>2275</v>
      </c>
      <c r="I1562" t="s">
        <v>2276</v>
      </c>
      <c r="M1562" s="134">
        <v>370000</v>
      </c>
      <c r="N1562" s="134">
        <v>0</v>
      </c>
      <c r="O1562" t="s">
        <v>2277</v>
      </c>
      <c r="P1562" t="s">
        <v>2367</v>
      </c>
      <c r="Q1562" t="s">
        <v>1939</v>
      </c>
      <c r="R1562" t="s">
        <v>2278</v>
      </c>
      <c r="U1562" t="s">
        <v>633</v>
      </c>
      <c r="X1562">
        <v>0</v>
      </c>
    </row>
    <row r="1563" spans="1:24" x14ac:dyDescent="0.25">
      <c r="A1563" s="234">
        <v>42416</v>
      </c>
      <c r="B1563" t="s">
        <v>643</v>
      </c>
      <c r="C1563" t="s">
        <v>644</v>
      </c>
      <c r="D1563" t="s">
        <v>645</v>
      </c>
      <c r="E1563" t="s">
        <v>588</v>
      </c>
      <c r="F1563" t="s">
        <v>989</v>
      </c>
      <c r="H1563" t="s">
        <v>886</v>
      </c>
      <c r="I1563" t="s">
        <v>990</v>
      </c>
      <c r="M1563" s="134">
        <v>370000</v>
      </c>
      <c r="N1563" s="134">
        <v>426000</v>
      </c>
      <c r="O1563" t="s">
        <v>991</v>
      </c>
      <c r="P1563" t="s">
        <v>992</v>
      </c>
      <c r="Q1563" t="s">
        <v>29</v>
      </c>
      <c r="R1563" t="s">
        <v>993</v>
      </c>
      <c r="U1563" t="s">
        <v>491</v>
      </c>
      <c r="X1563">
        <v>1</v>
      </c>
    </row>
    <row r="1564" spans="1:24" x14ac:dyDescent="0.25">
      <c r="A1564" s="234">
        <v>43487</v>
      </c>
      <c r="B1564" t="s">
        <v>250</v>
      </c>
      <c r="C1564" t="s">
        <v>3856</v>
      </c>
      <c r="D1564" t="s">
        <v>8730</v>
      </c>
      <c r="F1564" t="s">
        <v>14084</v>
      </c>
      <c r="G1564" t="s">
        <v>8383</v>
      </c>
      <c r="H1564" t="s">
        <v>10831</v>
      </c>
      <c r="I1564" t="s">
        <v>14087</v>
      </c>
      <c r="J1564" t="s">
        <v>3426</v>
      </c>
      <c r="K1564" t="s">
        <v>14088</v>
      </c>
      <c r="L1564">
        <v>6</v>
      </c>
      <c r="M1564" s="134">
        <v>370000</v>
      </c>
      <c r="N1564" s="134">
        <v>481000</v>
      </c>
      <c r="O1564" t="s">
        <v>10766</v>
      </c>
      <c r="P1564" t="s">
        <v>14089</v>
      </c>
      <c r="Q1564" t="s">
        <v>592</v>
      </c>
      <c r="R1564" t="s">
        <v>14090</v>
      </c>
      <c r="U1564" t="s">
        <v>12797</v>
      </c>
      <c r="X1564">
        <v>0</v>
      </c>
    </row>
    <row r="1565" spans="1:24" x14ac:dyDescent="0.25">
      <c r="A1565" s="234">
        <v>42635</v>
      </c>
      <c r="B1565" t="s">
        <v>328</v>
      </c>
      <c r="C1565" t="s">
        <v>603</v>
      </c>
      <c r="D1565" t="s">
        <v>1471</v>
      </c>
      <c r="E1565" t="s">
        <v>588</v>
      </c>
      <c r="F1565" t="s">
        <v>4020</v>
      </c>
      <c r="H1565" t="s">
        <v>607</v>
      </c>
      <c r="I1565" t="s">
        <v>4021</v>
      </c>
      <c r="J1565" t="s">
        <v>899</v>
      </c>
      <c r="L1565">
        <v>9</v>
      </c>
      <c r="M1565" s="134">
        <v>370000</v>
      </c>
      <c r="N1565" s="134">
        <v>519000</v>
      </c>
      <c r="O1565" t="s">
        <v>2680</v>
      </c>
      <c r="P1565" t="s">
        <v>4022</v>
      </c>
      <c r="Q1565" t="s">
        <v>592</v>
      </c>
      <c r="R1565" t="s">
        <v>4023</v>
      </c>
      <c r="U1565" t="s">
        <v>491</v>
      </c>
      <c r="X1565">
        <v>0</v>
      </c>
    </row>
    <row r="1566" spans="1:24" x14ac:dyDescent="0.25">
      <c r="A1566" s="234">
        <v>43621</v>
      </c>
      <c r="B1566" t="s">
        <v>13559</v>
      </c>
      <c r="C1566" t="s">
        <v>6329</v>
      </c>
      <c r="D1566" t="s">
        <v>7761</v>
      </c>
      <c r="F1566" t="s">
        <v>15936</v>
      </c>
      <c r="H1566" t="s">
        <v>607</v>
      </c>
      <c r="I1566" t="s">
        <v>15937</v>
      </c>
      <c r="J1566" t="s">
        <v>6329</v>
      </c>
      <c r="K1566" t="s">
        <v>15938</v>
      </c>
      <c r="M1566" s="134">
        <v>370000</v>
      </c>
      <c r="N1566" s="134">
        <v>660000</v>
      </c>
      <c r="O1566" t="s">
        <v>4533</v>
      </c>
      <c r="P1566" t="s">
        <v>15939</v>
      </c>
      <c r="Q1566" t="s">
        <v>620</v>
      </c>
      <c r="R1566" t="s">
        <v>15940</v>
      </c>
      <c r="U1566" t="s">
        <v>491</v>
      </c>
      <c r="X1566">
        <v>0</v>
      </c>
    </row>
    <row r="1567" spans="1:24" x14ac:dyDescent="0.25">
      <c r="A1567" s="234">
        <v>42688</v>
      </c>
      <c r="B1567" t="s">
        <v>1486</v>
      </c>
      <c r="C1567" t="s">
        <v>1883</v>
      </c>
      <c r="D1567" t="s">
        <v>595</v>
      </c>
      <c r="E1567" t="s">
        <v>588</v>
      </c>
      <c r="F1567" t="s">
        <v>4682</v>
      </c>
      <c r="H1567" t="s">
        <v>607</v>
      </c>
      <c r="I1567" t="s">
        <v>4683</v>
      </c>
      <c r="J1567" t="s">
        <v>4684</v>
      </c>
      <c r="L1567">
        <v>2</v>
      </c>
      <c r="M1567" s="134">
        <v>370000</v>
      </c>
      <c r="N1567" s="134">
        <v>703000</v>
      </c>
      <c r="O1567" t="s">
        <v>4685</v>
      </c>
      <c r="P1567" t="s">
        <v>4686</v>
      </c>
      <c r="Q1567" t="s">
        <v>1939</v>
      </c>
      <c r="R1567" t="s">
        <v>4687</v>
      </c>
      <c r="U1567" t="s">
        <v>491</v>
      </c>
      <c r="X1567">
        <v>0</v>
      </c>
    </row>
    <row r="1568" spans="1:24" x14ac:dyDescent="0.25">
      <c r="A1568" s="234">
        <v>43151</v>
      </c>
      <c r="B1568" t="s">
        <v>569</v>
      </c>
      <c r="C1568" t="s">
        <v>899</v>
      </c>
      <c r="D1568" t="s">
        <v>611</v>
      </c>
      <c r="E1568" t="s">
        <v>588</v>
      </c>
      <c r="F1568" t="s">
        <v>10379</v>
      </c>
      <c r="G1568" t="s">
        <v>8396</v>
      </c>
      <c r="H1568" t="s">
        <v>607</v>
      </c>
      <c r="I1568" t="s">
        <v>4674</v>
      </c>
      <c r="J1568" t="s">
        <v>899</v>
      </c>
      <c r="M1568" s="134">
        <v>371200</v>
      </c>
      <c r="N1568" s="134">
        <v>457200</v>
      </c>
      <c r="O1568" t="s">
        <v>10766</v>
      </c>
      <c r="P1568" t="s">
        <v>10380</v>
      </c>
      <c r="Q1568" t="s">
        <v>1939</v>
      </c>
      <c r="R1568" t="s">
        <v>10381</v>
      </c>
      <c r="U1568" t="s">
        <v>1327</v>
      </c>
      <c r="X1568">
        <v>0</v>
      </c>
    </row>
    <row r="1569" spans="1:24" x14ac:dyDescent="0.25">
      <c r="A1569" s="234">
        <v>43528</v>
      </c>
      <c r="B1569" t="s">
        <v>5956</v>
      </c>
      <c r="C1569" t="s">
        <v>3369</v>
      </c>
      <c r="D1569" t="s">
        <v>8126</v>
      </c>
      <c r="F1569" t="s">
        <v>14646</v>
      </c>
      <c r="G1569" t="s">
        <v>14647</v>
      </c>
      <c r="H1569" t="s">
        <v>607</v>
      </c>
      <c r="I1569" t="s">
        <v>8456</v>
      </c>
      <c r="J1569" t="s">
        <v>959</v>
      </c>
      <c r="K1569" t="s">
        <v>14648</v>
      </c>
      <c r="L1569">
        <v>3</v>
      </c>
      <c r="M1569" s="134">
        <v>372000</v>
      </c>
      <c r="N1569" s="134">
        <v>452000</v>
      </c>
      <c r="O1569" t="s">
        <v>10766</v>
      </c>
      <c r="P1569" t="s">
        <v>14816</v>
      </c>
      <c r="Q1569" t="s">
        <v>620</v>
      </c>
      <c r="R1569" t="s">
        <v>14649</v>
      </c>
      <c r="U1569" t="s">
        <v>12797</v>
      </c>
      <c r="X1569">
        <v>0</v>
      </c>
    </row>
    <row r="1570" spans="1:24" x14ac:dyDescent="0.25">
      <c r="A1570" s="234">
        <v>43019</v>
      </c>
      <c r="B1570" t="s">
        <v>328</v>
      </c>
      <c r="C1570" t="s">
        <v>603</v>
      </c>
      <c r="D1570" t="s">
        <v>5701</v>
      </c>
      <c r="E1570" t="s">
        <v>588</v>
      </c>
      <c r="F1570" t="s">
        <v>8977</v>
      </c>
      <c r="G1570" t="s">
        <v>8978</v>
      </c>
      <c r="H1570" t="s">
        <v>607</v>
      </c>
      <c r="I1570" t="s">
        <v>8982</v>
      </c>
      <c r="J1570" t="s">
        <v>644</v>
      </c>
      <c r="L1570">
        <v>10</v>
      </c>
      <c r="M1570" s="134">
        <v>372400</v>
      </c>
      <c r="N1570" s="134">
        <v>659400</v>
      </c>
      <c r="O1570" t="s">
        <v>7124</v>
      </c>
      <c r="P1570" t="s">
        <v>8979</v>
      </c>
      <c r="Q1570" t="s">
        <v>620</v>
      </c>
      <c r="R1570" t="s">
        <v>8980</v>
      </c>
      <c r="S1570" t="s">
        <v>8981</v>
      </c>
      <c r="U1570" t="s">
        <v>1327</v>
      </c>
      <c r="X1570">
        <v>0</v>
      </c>
    </row>
    <row r="1571" spans="1:24" x14ac:dyDescent="0.25">
      <c r="A1571" s="234">
        <v>43529</v>
      </c>
      <c r="B1571" t="s">
        <v>13559</v>
      </c>
      <c r="C1571" t="s">
        <v>4031</v>
      </c>
      <c r="D1571" t="s">
        <v>13560</v>
      </c>
      <c r="F1571" t="s">
        <v>12698</v>
      </c>
      <c r="G1571" t="s">
        <v>12699</v>
      </c>
      <c r="H1571" t="s">
        <v>886</v>
      </c>
      <c r="J1571" t="s">
        <v>4031</v>
      </c>
      <c r="M1571" s="134">
        <v>375000</v>
      </c>
      <c r="N1571" s="134">
        <v>0</v>
      </c>
      <c r="O1571" t="s">
        <v>10766</v>
      </c>
      <c r="P1571" t="s">
        <v>14612</v>
      </c>
      <c r="Q1571" t="s">
        <v>29</v>
      </c>
      <c r="R1571" t="s">
        <v>14613</v>
      </c>
      <c r="U1571" t="s">
        <v>491</v>
      </c>
      <c r="X1571">
        <v>1</v>
      </c>
    </row>
    <row r="1572" spans="1:24" x14ac:dyDescent="0.25">
      <c r="A1572" s="234">
        <v>43383</v>
      </c>
      <c r="B1572" t="s">
        <v>328</v>
      </c>
      <c r="C1572" t="s">
        <v>603</v>
      </c>
      <c r="D1572" t="s">
        <v>7595</v>
      </c>
      <c r="E1572" t="s">
        <v>588</v>
      </c>
      <c r="F1572" t="s">
        <v>12884</v>
      </c>
      <c r="G1572" t="s">
        <v>8383</v>
      </c>
      <c r="H1572" t="s">
        <v>905</v>
      </c>
      <c r="I1572" t="s">
        <v>12885</v>
      </c>
      <c r="J1572" t="s">
        <v>3533</v>
      </c>
      <c r="L1572">
        <v>10</v>
      </c>
      <c r="M1572" s="134">
        <v>375000</v>
      </c>
      <c r="N1572" s="134">
        <v>375000</v>
      </c>
      <c r="O1572" t="s">
        <v>10763</v>
      </c>
      <c r="P1572" t="s">
        <v>13408</v>
      </c>
      <c r="Q1572" t="s">
        <v>592</v>
      </c>
      <c r="R1572" t="s">
        <v>12886</v>
      </c>
      <c r="U1572" t="s">
        <v>289</v>
      </c>
      <c r="X1572">
        <v>0</v>
      </c>
    </row>
    <row r="1573" spans="1:24" x14ac:dyDescent="0.25">
      <c r="A1573" s="234">
        <v>43600</v>
      </c>
      <c r="B1573" t="s">
        <v>643</v>
      </c>
      <c r="C1573" t="s">
        <v>644</v>
      </c>
      <c r="D1573" t="s">
        <v>645</v>
      </c>
      <c r="F1573" t="s">
        <v>15582</v>
      </c>
      <c r="H1573" t="s">
        <v>1050</v>
      </c>
      <c r="I1573" t="s">
        <v>5212</v>
      </c>
      <c r="J1573" t="s">
        <v>644</v>
      </c>
      <c r="K1573" t="s">
        <v>15583</v>
      </c>
      <c r="L1573">
        <v>3</v>
      </c>
      <c r="M1573" s="134">
        <v>375000</v>
      </c>
      <c r="N1573" s="134">
        <v>410000</v>
      </c>
      <c r="O1573" t="s">
        <v>2295</v>
      </c>
      <c r="P1573" t="s">
        <v>15904</v>
      </c>
      <c r="Q1573" t="s">
        <v>29</v>
      </c>
      <c r="R1573" t="s">
        <v>15584</v>
      </c>
      <c r="U1573" t="s">
        <v>491</v>
      </c>
      <c r="X1573">
        <v>1</v>
      </c>
    </row>
    <row r="1574" spans="1:24" x14ac:dyDescent="0.25">
      <c r="A1574" s="234">
        <v>43056</v>
      </c>
      <c r="B1574" t="s">
        <v>643</v>
      </c>
      <c r="C1574" t="s">
        <v>644</v>
      </c>
      <c r="D1574" t="s">
        <v>645</v>
      </c>
      <c r="E1574" t="s">
        <v>588</v>
      </c>
      <c r="F1574" t="s">
        <v>9508</v>
      </c>
      <c r="G1574" t="s">
        <v>9509</v>
      </c>
      <c r="H1574" t="s">
        <v>9512</v>
      </c>
      <c r="I1574" t="s">
        <v>9510</v>
      </c>
      <c r="J1574" t="s">
        <v>644</v>
      </c>
      <c r="L1574">
        <v>6</v>
      </c>
      <c r="M1574" s="134">
        <v>375000</v>
      </c>
      <c r="N1574" s="134">
        <v>415000</v>
      </c>
      <c r="O1574" t="s">
        <v>33</v>
      </c>
      <c r="P1574" t="s">
        <v>9513</v>
      </c>
      <c r="Q1574" t="s">
        <v>1939</v>
      </c>
      <c r="R1574" t="s">
        <v>9511</v>
      </c>
      <c r="U1574" t="s">
        <v>1327</v>
      </c>
      <c r="X1574">
        <v>0</v>
      </c>
    </row>
    <row r="1575" spans="1:24" x14ac:dyDescent="0.25">
      <c r="A1575" s="234">
        <v>43508</v>
      </c>
      <c r="B1575" t="s">
        <v>5956</v>
      </c>
      <c r="C1575" t="s">
        <v>3369</v>
      </c>
      <c r="D1575" t="s">
        <v>8040</v>
      </c>
      <c r="F1575" t="s">
        <v>14371</v>
      </c>
      <c r="H1575" t="s">
        <v>607</v>
      </c>
      <c r="I1575" t="s">
        <v>12091</v>
      </c>
      <c r="J1575" t="s">
        <v>4825</v>
      </c>
      <c r="M1575" s="134">
        <v>375000</v>
      </c>
      <c r="N1575" s="134">
        <v>420000</v>
      </c>
      <c r="O1575" t="s">
        <v>49</v>
      </c>
      <c r="P1575" t="s">
        <v>14372</v>
      </c>
      <c r="Q1575" t="s">
        <v>29</v>
      </c>
      <c r="R1575" t="s">
        <v>14373</v>
      </c>
      <c r="S1575" t="s">
        <v>14378</v>
      </c>
      <c r="U1575" t="s">
        <v>491</v>
      </c>
      <c r="X1575">
        <v>1</v>
      </c>
    </row>
    <row r="1576" spans="1:24" x14ac:dyDescent="0.25">
      <c r="A1576" s="234">
        <v>43136</v>
      </c>
      <c r="B1576" t="s">
        <v>328</v>
      </c>
      <c r="C1576" t="s">
        <v>603</v>
      </c>
      <c r="D1576" t="s">
        <v>5701</v>
      </c>
      <c r="E1576" t="s">
        <v>588</v>
      </c>
      <c r="F1576" t="s">
        <v>10271</v>
      </c>
      <c r="G1576" t="s">
        <v>10272</v>
      </c>
      <c r="H1576" t="s">
        <v>10831</v>
      </c>
      <c r="I1576" t="s">
        <v>10273</v>
      </c>
      <c r="J1576" t="s">
        <v>899</v>
      </c>
      <c r="L1576">
        <v>5</v>
      </c>
      <c r="M1576" s="134">
        <v>375000</v>
      </c>
      <c r="N1576" s="134">
        <v>492500</v>
      </c>
      <c r="O1576" t="s">
        <v>49</v>
      </c>
      <c r="P1576" t="s">
        <v>10275</v>
      </c>
      <c r="Q1576" t="s">
        <v>1939</v>
      </c>
      <c r="R1576" t="s">
        <v>10274</v>
      </c>
      <c r="U1576" t="s">
        <v>1327</v>
      </c>
      <c r="X1576">
        <v>0</v>
      </c>
    </row>
    <row r="1577" spans="1:24" x14ac:dyDescent="0.25">
      <c r="A1577" s="234">
        <v>43549</v>
      </c>
      <c r="B1577" t="s">
        <v>328</v>
      </c>
      <c r="C1577" t="s">
        <v>603</v>
      </c>
      <c r="D1577" t="s">
        <v>1401</v>
      </c>
      <c r="F1577" t="s">
        <v>14848</v>
      </c>
      <c r="G1577" t="s">
        <v>11277</v>
      </c>
      <c r="H1577" t="s">
        <v>607</v>
      </c>
      <c r="I1577" t="s">
        <v>14849</v>
      </c>
      <c r="J1577" t="s">
        <v>6015</v>
      </c>
      <c r="K1577" t="s">
        <v>14850</v>
      </c>
      <c r="L1577">
        <v>2</v>
      </c>
      <c r="M1577" s="134">
        <v>375000</v>
      </c>
      <c r="N1577" s="134">
        <v>560000</v>
      </c>
      <c r="O1577" t="s">
        <v>4533</v>
      </c>
      <c r="P1577" t="s">
        <v>14946</v>
      </c>
      <c r="Q1577" t="s">
        <v>1939</v>
      </c>
      <c r="R1577" t="s">
        <v>14851</v>
      </c>
      <c r="S1577" t="s">
        <v>14853</v>
      </c>
      <c r="U1577" t="s">
        <v>491</v>
      </c>
      <c r="X1577">
        <v>0</v>
      </c>
    </row>
    <row r="1578" spans="1:24" x14ac:dyDescent="0.25">
      <c r="A1578" s="234">
        <v>42450</v>
      </c>
      <c r="B1578" t="s">
        <v>594</v>
      </c>
      <c r="C1578" t="s">
        <v>1363</v>
      </c>
      <c r="D1578" t="s">
        <v>1382</v>
      </c>
      <c r="E1578" t="s">
        <v>588</v>
      </c>
      <c r="F1578" t="s">
        <v>1381</v>
      </c>
      <c r="H1578" t="s">
        <v>607</v>
      </c>
      <c r="I1578" t="s">
        <v>1383</v>
      </c>
      <c r="M1578" s="134">
        <v>375000</v>
      </c>
      <c r="N1578" s="134">
        <v>600000</v>
      </c>
      <c r="O1578" t="s">
        <v>1384</v>
      </c>
      <c r="P1578" t="s">
        <v>1385</v>
      </c>
      <c r="Q1578" t="s">
        <v>29</v>
      </c>
      <c r="U1578" t="s">
        <v>491</v>
      </c>
      <c r="X1578">
        <v>1</v>
      </c>
    </row>
    <row r="1579" spans="1:24" x14ac:dyDescent="0.25">
      <c r="A1579" s="234">
        <v>43579</v>
      </c>
      <c r="B1579" t="s">
        <v>328</v>
      </c>
      <c r="C1579" t="s">
        <v>603</v>
      </c>
      <c r="D1579" t="s">
        <v>5701</v>
      </c>
      <c r="F1579" t="s">
        <v>15196</v>
      </c>
      <c r="G1579" t="s">
        <v>7830</v>
      </c>
      <c r="H1579" t="s">
        <v>607</v>
      </c>
      <c r="I1579" t="s">
        <v>15197</v>
      </c>
      <c r="J1579" t="s">
        <v>5509</v>
      </c>
      <c r="K1579" t="s">
        <v>15198</v>
      </c>
      <c r="L1579">
        <v>10</v>
      </c>
      <c r="M1579" s="134">
        <v>375000</v>
      </c>
      <c r="N1579" s="134">
        <v>637500</v>
      </c>
      <c r="O1579" t="s">
        <v>7124</v>
      </c>
      <c r="P1579" t="s">
        <v>15199</v>
      </c>
      <c r="Q1579" t="s">
        <v>29</v>
      </c>
      <c r="R1579" t="s">
        <v>15200</v>
      </c>
      <c r="S1579" t="s">
        <v>15201</v>
      </c>
      <c r="U1579" t="s">
        <v>491</v>
      </c>
      <c r="X1579">
        <v>1</v>
      </c>
    </row>
    <row r="1580" spans="1:24" x14ac:dyDescent="0.25">
      <c r="A1580" s="234">
        <v>42831</v>
      </c>
      <c r="B1580" t="s">
        <v>5176</v>
      </c>
      <c r="D1580" t="s">
        <v>727</v>
      </c>
      <c r="E1580" t="s">
        <v>588</v>
      </c>
      <c r="F1580" t="s">
        <v>6279</v>
      </c>
      <c r="H1580" t="s">
        <v>607</v>
      </c>
      <c r="I1580" t="s">
        <v>6280</v>
      </c>
      <c r="J1580" t="s">
        <v>959</v>
      </c>
      <c r="M1580" s="134">
        <v>375000</v>
      </c>
      <c r="N1580" s="134">
        <v>637500</v>
      </c>
      <c r="O1580" t="s">
        <v>6281</v>
      </c>
      <c r="P1580" t="s">
        <v>6282</v>
      </c>
      <c r="Q1580" t="s">
        <v>29</v>
      </c>
      <c r="R1580" t="s">
        <v>6283</v>
      </c>
      <c r="U1580" t="s">
        <v>491</v>
      </c>
      <c r="X1580">
        <v>1</v>
      </c>
    </row>
    <row r="1581" spans="1:24" x14ac:dyDescent="0.25">
      <c r="A1581" s="234">
        <v>42467</v>
      </c>
      <c r="B1581" t="s">
        <v>378</v>
      </c>
      <c r="C1581" t="s">
        <v>623</v>
      </c>
      <c r="D1581" t="s">
        <v>625</v>
      </c>
      <c r="E1581" t="s">
        <v>588</v>
      </c>
      <c r="F1581" t="s">
        <v>1576</v>
      </c>
      <c r="H1581" t="s">
        <v>722</v>
      </c>
      <c r="I1581" t="s">
        <v>1577</v>
      </c>
      <c r="M1581" s="134">
        <v>375000</v>
      </c>
      <c r="N1581" s="134">
        <v>637500</v>
      </c>
      <c r="O1581" t="s">
        <v>901</v>
      </c>
      <c r="P1581" t="s">
        <v>15993</v>
      </c>
      <c r="Q1581" t="s">
        <v>620</v>
      </c>
      <c r="R1581" t="s">
        <v>1578</v>
      </c>
      <c r="U1581" t="s">
        <v>491</v>
      </c>
      <c r="X1581">
        <v>0</v>
      </c>
    </row>
    <row r="1582" spans="1:24" x14ac:dyDescent="0.25">
      <c r="A1582" s="234">
        <v>43599</v>
      </c>
      <c r="B1582" t="s">
        <v>569</v>
      </c>
      <c r="C1582" t="s">
        <v>899</v>
      </c>
      <c r="D1582" t="s">
        <v>3132</v>
      </c>
      <c r="F1582" t="s">
        <v>15548</v>
      </c>
      <c r="G1582" t="s">
        <v>15549</v>
      </c>
      <c r="H1582" t="s">
        <v>607</v>
      </c>
      <c r="I1582" t="s">
        <v>6987</v>
      </c>
      <c r="J1582" t="s">
        <v>899</v>
      </c>
      <c r="K1582" t="s">
        <v>15550</v>
      </c>
      <c r="L1582">
        <v>2</v>
      </c>
      <c r="M1582" s="134">
        <v>375000</v>
      </c>
      <c r="N1582" s="134">
        <v>920000</v>
      </c>
      <c r="O1582" t="s">
        <v>10766</v>
      </c>
      <c r="P1582" t="s">
        <v>15552</v>
      </c>
      <c r="Q1582" t="s">
        <v>620</v>
      </c>
      <c r="R1582" t="s">
        <v>15555</v>
      </c>
      <c r="S1582" t="s">
        <v>15554</v>
      </c>
      <c r="U1582" t="s">
        <v>491</v>
      </c>
      <c r="X1582">
        <v>0</v>
      </c>
    </row>
    <row r="1583" spans="1:24" x14ac:dyDescent="0.25">
      <c r="A1583" s="234">
        <v>43339</v>
      </c>
      <c r="B1583" t="s">
        <v>328</v>
      </c>
      <c r="C1583" t="s">
        <v>603</v>
      </c>
      <c r="D1583" t="s">
        <v>11286</v>
      </c>
      <c r="E1583" t="s">
        <v>588</v>
      </c>
      <c r="F1583" t="s">
        <v>12334</v>
      </c>
      <c r="G1583" t="s">
        <v>12335</v>
      </c>
      <c r="H1583" t="s">
        <v>607</v>
      </c>
      <c r="I1583" t="s">
        <v>10273</v>
      </c>
      <c r="J1583" t="s">
        <v>899</v>
      </c>
      <c r="L1583">
        <v>1</v>
      </c>
      <c r="M1583" s="134">
        <v>376000</v>
      </c>
      <c r="N1583" s="134">
        <v>900000</v>
      </c>
      <c r="O1583" t="s">
        <v>10766</v>
      </c>
      <c r="P1583" t="s">
        <v>12336</v>
      </c>
      <c r="Q1583" t="s">
        <v>592</v>
      </c>
      <c r="R1583" t="s">
        <v>12337</v>
      </c>
      <c r="U1583" t="s">
        <v>491</v>
      </c>
      <c r="X1583">
        <v>0</v>
      </c>
    </row>
    <row r="1584" spans="1:24" x14ac:dyDescent="0.25">
      <c r="A1584" s="234">
        <v>42445</v>
      </c>
      <c r="B1584" t="s">
        <v>328</v>
      </c>
      <c r="C1584" t="s">
        <v>603</v>
      </c>
      <c r="D1584" t="s">
        <v>672</v>
      </c>
      <c r="E1584" t="s">
        <v>588</v>
      </c>
      <c r="F1584" t="s">
        <v>1337</v>
      </c>
      <c r="H1584" t="s">
        <v>607</v>
      </c>
      <c r="I1584" t="s">
        <v>1338</v>
      </c>
      <c r="M1584" s="134">
        <v>377000</v>
      </c>
      <c r="N1584" s="134">
        <v>754000</v>
      </c>
      <c r="O1584" t="s">
        <v>1339</v>
      </c>
      <c r="P1584" t="s">
        <v>1340</v>
      </c>
      <c r="Q1584" t="s">
        <v>592</v>
      </c>
      <c r="R1584" t="s">
        <v>1341</v>
      </c>
      <c r="S1584" t="s">
        <v>3165</v>
      </c>
      <c r="U1584" t="s">
        <v>491</v>
      </c>
      <c r="X1584">
        <v>0</v>
      </c>
    </row>
    <row r="1585" spans="1:24" x14ac:dyDescent="0.25">
      <c r="A1585" s="234">
        <v>43234</v>
      </c>
      <c r="B1585" t="s">
        <v>5176</v>
      </c>
      <c r="C1585" t="s">
        <v>899</v>
      </c>
      <c r="D1585" t="s">
        <v>6995</v>
      </c>
      <c r="E1585" t="s">
        <v>588</v>
      </c>
      <c r="F1585" t="s">
        <v>11251</v>
      </c>
      <c r="G1585" t="s">
        <v>11250</v>
      </c>
      <c r="H1585" t="s">
        <v>886</v>
      </c>
      <c r="J1585" t="s">
        <v>959</v>
      </c>
      <c r="L1585">
        <v>2</v>
      </c>
      <c r="M1585" s="134">
        <v>378000</v>
      </c>
      <c r="N1585" s="134">
        <v>415800</v>
      </c>
      <c r="O1585" t="s">
        <v>10766</v>
      </c>
      <c r="P1585" t="s">
        <v>11396</v>
      </c>
      <c r="Q1585" t="s">
        <v>1939</v>
      </c>
      <c r="R1585" t="s">
        <v>11249</v>
      </c>
      <c r="U1585" t="s">
        <v>1327</v>
      </c>
      <c r="X1585">
        <v>0</v>
      </c>
    </row>
    <row r="1586" spans="1:24" x14ac:dyDescent="0.25">
      <c r="A1586" s="234">
        <v>43339</v>
      </c>
      <c r="B1586" t="s">
        <v>5956</v>
      </c>
      <c r="C1586" t="s">
        <v>3369</v>
      </c>
      <c r="D1586" t="s">
        <v>8126</v>
      </c>
      <c r="E1586" t="s">
        <v>588</v>
      </c>
      <c r="F1586" t="s">
        <v>12326</v>
      </c>
      <c r="G1586" t="s">
        <v>12327</v>
      </c>
      <c r="H1586" t="s">
        <v>886</v>
      </c>
      <c r="J1586" t="s">
        <v>6575</v>
      </c>
      <c r="M1586" s="134">
        <v>379000</v>
      </c>
      <c r="N1586" s="134">
        <v>520000</v>
      </c>
      <c r="O1586" t="s">
        <v>2295</v>
      </c>
      <c r="P1586" t="s">
        <v>12328</v>
      </c>
      <c r="Q1586" t="s">
        <v>29</v>
      </c>
      <c r="R1586" t="s">
        <v>12329</v>
      </c>
      <c r="U1586" t="s">
        <v>491</v>
      </c>
      <c r="X1586">
        <v>1</v>
      </c>
    </row>
    <row r="1587" spans="1:24" x14ac:dyDescent="0.25">
      <c r="A1587" s="234">
        <v>43045</v>
      </c>
      <c r="B1587" t="s">
        <v>569</v>
      </c>
      <c r="C1587" t="s">
        <v>899</v>
      </c>
      <c r="D1587" t="s">
        <v>625</v>
      </c>
      <c r="E1587" t="s">
        <v>588</v>
      </c>
      <c r="F1587" t="s">
        <v>9352</v>
      </c>
      <c r="H1587" t="s">
        <v>1391</v>
      </c>
      <c r="I1587" t="s">
        <v>9353</v>
      </c>
      <c r="J1587" t="s">
        <v>899</v>
      </c>
      <c r="L1587">
        <v>10</v>
      </c>
      <c r="M1587" s="134">
        <v>379000</v>
      </c>
      <c r="N1587" s="134">
        <v>700000</v>
      </c>
      <c r="O1587" t="s">
        <v>35</v>
      </c>
      <c r="P1587" t="s">
        <v>9354</v>
      </c>
      <c r="Q1587" t="s">
        <v>620</v>
      </c>
      <c r="R1587" t="s">
        <v>9355</v>
      </c>
      <c r="U1587" t="s">
        <v>491</v>
      </c>
      <c r="X1587">
        <v>0</v>
      </c>
    </row>
    <row r="1588" spans="1:24" x14ac:dyDescent="0.25">
      <c r="A1588" s="234">
        <v>42993</v>
      </c>
      <c r="B1588" t="s">
        <v>569</v>
      </c>
      <c r="C1588" t="s">
        <v>899</v>
      </c>
      <c r="D1588" t="s">
        <v>930</v>
      </c>
      <c r="E1588" t="s">
        <v>821</v>
      </c>
      <c r="F1588" t="s">
        <v>8577</v>
      </c>
      <c r="H1588" t="s">
        <v>607</v>
      </c>
      <c r="M1588" s="134">
        <v>380000</v>
      </c>
      <c r="N1588" s="134">
        <v>0</v>
      </c>
      <c r="O1588" t="s">
        <v>5611</v>
      </c>
      <c r="P1588" t="s">
        <v>8578</v>
      </c>
      <c r="Q1588" t="s">
        <v>592</v>
      </c>
      <c r="R1588" t="s">
        <v>8579</v>
      </c>
      <c r="T1588">
        <v>13</v>
      </c>
      <c r="U1588" t="s">
        <v>491</v>
      </c>
      <c r="X1588">
        <v>0</v>
      </c>
    </row>
    <row r="1589" spans="1:24" x14ac:dyDescent="0.25">
      <c r="A1589" s="234">
        <v>42983</v>
      </c>
      <c r="B1589" t="s">
        <v>569</v>
      </c>
      <c r="C1589" t="s">
        <v>899</v>
      </c>
      <c r="D1589" t="s">
        <v>624</v>
      </c>
      <c r="E1589" t="s">
        <v>588</v>
      </c>
      <c r="F1589" t="s">
        <v>8543</v>
      </c>
      <c r="G1589" t="s">
        <v>8544</v>
      </c>
      <c r="H1589" t="s">
        <v>4050</v>
      </c>
      <c r="I1589" t="s">
        <v>8545</v>
      </c>
      <c r="J1589" t="s">
        <v>899</v>
      </c>
      <c r="M1589" s="134">
        <v>380000</v>
      </c>
      <c r="N1589" s="134">
        <v>384000</v>
      </c>
      <c r="O1589" t="s">
        <v>8546</v>
      </c>
      <c r="P1589" t="s">
        <v>8547</v>
      </c>
      <c r="Q1589" t="s">
        <v>592</v>
      </c>
      <c r="R1589" t="s">
        <v>8548</v>
      </c>
      <c r="U1589" t="s">
        <v>1327</v>
      </c>
      <c r="X1589">
        <v>0</v>
      </c>
    </row>
    <row r="1590" spans="1:24" x14ac:dyDescent="0.25">
      <c r="A1590" s="234">
        <v>42817</v>
      </c>
      <c r="B1590" t="s">
        <v>569</v>
      </c>
      <c r="C1590" t="s">
        <v>899</v>
      </c>
      <c r="D1590" t="s">
        <v>930</v>
      </c>
      <c r="E1590" t="s">
        <v>588</v>
      </c>
      <c r="F1590" t="s">
        <v>6075</v>
      </c>
      <c r="H1590" t="s">
        <v>607</v>
      </c>
      <c r="I1590" t="s">
        <v>6092</v>
      </c>
      <c r="J1590" t="s">
        <v>899</v>
      </c>
      <c r="L1590">
        <v>4</v>
      </c>
      <c r="M1590" s="134">
        <v>380000</v>
      </c>
      <c r="N1590" s="134">
        <v>760000</v>
      </c>
      <c r="O1590" t="s">
        <v>695</v>
      </c>
      <c r="P1590" t="s">
        <v>6093</v>
      </c>
      <c r="Q1590" t="s">
        <v>1939</v>
      </c>
      <c r="R1590" t="s">
        <v>6094</v>
      </c>
      <c r="U1590" t="s">
        <v>491</v>
      </c>
      <c r="X1590">
        <v>0</v>
      </c>
    </row>
    <row r="1591" spans="1:24" x14ac:dyDescent="0.25">
      <c r="A1591" s="234">
        <v>42865</v>
      </c>
      <c r="B1591" t="s">
        <v>328</v>
      </c>
      <c r="C1591" t="s">
        <v>603</v>
      </c>
      <c r="D1591" t="s">
        <v>2397</v>
      </c>
      <c r="E1591" t="s">
        <v>588</v>
      </c>
      <c r="F1591" t="s">
        <v>6729</v>
      </c>
      <c r="H1591" t="s">
        <v>607</v>
      </c>
      <c r="I1591" t="s">
        <v>6730</v>
      </c>
      <c r="J1591" t="s">
        <v>4031</v>
      </c>
      <c r="L1591">
        <v>2</v>
      </c>
      <c r="M1591" s="134">
        <v>380000</v>
      </c>
      <c r="N1591" s="134">
        <v>760000</v>
      </c>
      <c r="O1591" t="s">
        <v>6522</v>
      </c>
      <c r="P1591" t="s">
        <v>6731</v>
      </c>
      <c r="Q1591" t="s">
        <v>1612</v>
      </c>
      <c r="R1591" t="s">
        <v>6772</v>
      </c>
      <c r="U1591" t="s">
        <v>491</v>
      </c>
      <c r="X1591">
        <v>0</v>
      </c>
    </row>
    <row r="1592" spans="1:24" x14ac:dyDescent="0.25">
      <c r="A1592" s="234">
        <v>43577</v>
      </c>
      <c r="B1592" t="s">
        <v>328</v>
      </c>
      <c r="C1592" t="s">
        <v>603</v>
      </c>
      <c r="D1592" t="s">
        <v>7595</v>
      </c>
      <c r="F1592" t="s">
        <v>15153</v>
      </c>
      <c r="G1592" t="s">
        <v>15154</v>
      </c>
      <c r="H1592" t="s">
        <v>607</v>
      </c>
      <c r="I1592" t="s">
        <v>15155</v>
      </c>
      <c r="J1592" t="s">
        <v>3528</v>
      </c>
      <c r="K1592" t="s">
        <v>15156</v>
      </c>
      <c r="L1592">
        <v>1</v>
      </c>
      <c r="M1592" s="134">
        <v>380000</v>
      </c>
      <c r="N1592" s="134">
        <v>779000</v>
      </c>
      <c r="O1592" t="s">
        <v>4533</v>
      </c>
      <c r="P1592" t="s">
        <v>15184</v>
      </c>
      <c r="Q1592" t="s">
        <v>1939</v>
      </c>
      <c r="R1592" t="s">
        <v>15157</v>
      </c>
      <c r="S1592" t="s">
        <v>15339</v>
      </c>
      <c r="U1592" t="s">
        <v>491</v>
      </c>
      <c r="X1592">
        <v>0</v>
      </c>
    </row>
    <row r="1593" spans="1:24" x14ac:dyDescent="0.25">
      <c r="A1593" s="234">
        <v>43606</v>
      </c>
      <c r="B1593" t="s">
        <v>5956</v>
      </c>
      <c r="C1593" t="s">
        <v>3369</v>
      </c>
      <c r="D1593" t="s">
        <v>8126</v>
      </c>
      <c r="F1593" t="s">
        <v>15682</v>
      </c>
      <c r="G1593" t="s">
        <v>15683</v>
      </c>
      <c r="H1593" t="s">
        <v>607</v>
      </c>
      <c r="I1593" t="s">
        <v>15684</v>
      </c>
      <c r="J1593" t="s">
        <v>4825</v>
      </c>
      <c r="K1593" t="s">
        <v>15685</v>
      </c>
      <c r="L1593">
        <v>10</v>
      </c>
      <c r="M1593" s="134">
        <v>380000</v>
      </c>
      <c r="N1593" s="134">
        <v>830000</v>
      </c>
      <c r="O1593" t="s">
        <v>4533</v>
      </c>
      <c r="P1593" t="s">
        <v>15686</v>
      </c>
      <c r="Q1593" t="s">
        <v>620</v>
      </c>
      <c r="R1593" t="s">
        <v>15687</v>
      </c>
      <c r="S1593" t="s">
        <v>15688</v>
      </c>
      <c r="U1593" t="s">
        <v>491</v>
      </c>
      <c r="X1593">
        <v>0</v>
      </c>
    </row>
    <row r="1594" spans="1:24" x14ac:dyDescent="0.25">
      <c r="A1594" s="234">
        <v>42942</v>
      </c>
      <c r="B1594" t="s">
        <v>5360</v>
      </c>
      <c r="C1594" t="s">
        <v>899</v>
      </c>
      <c r="D1594" t="s">
        <v>732</v>
      </c>
      <c r="E1594" t="s">
        <v>588</v>
      </c>
      <c r="F1594" t="s">
        <v>7768</v>
      </c>
      <c r="G1594" t="s">
        <v>7767</v>
      </c>
      <c r="H1594" t="s">
        <v>6002</v>
      </c>
      <c r="I1594" t="s">
        <v>7766</v>
      </c>
      <c r="J1594" t="s">
        <v>899</v>
      </c>
      <c r="L1594">
        <v>4</v>
      </c>
      <c r="M1594" s="134">
        <v>381000</v>
      </c>
      <c r="N1594" s="134">
        <v>681200</v>
      </c>
      <c r="O1594" t="s">
        <v>7765</v>
      </c>
      <c r="P1594" t="s">
        <v>7764</v>
      </c>
      <c r="Q1594" t="s">
        <v>29</v>
      </c>
      <c r="R1594" t="s">
        <v>7763</v>
      </c>
      <c r="U1594" t="s">
        <v>1327</v>
      </c>
      <c r="X1594">
        <v>1</v>
      </c>
    </row>
    <row r="1595" spans="1:24" x14ac:dyDescent="0.25">
      <c r="A1595" s="234">
        <v>42629</v>
      </c>
      <c r="B1595" t="s">
        <v>328</v>
      </c>
      <c r="C1595" t="s">
        <v>603</v>
      </c>
      <c r="D1595" t="s">
        <v>1471</v>
      </c>
      <c r="E1595" t="s">
        <v>588</v>
      </c>
      <c r="F1595" t="s">
        <v>3946</v>
      </c>
      <c r="H1595" t="s">
        <v>607</v>
      </c>
      <c r="I1595" t="s">
        <v>3947</v>
      </c>
      <c r="J1595" t="s">
        <v>899</v>
      </c>
      <c r="L1595">
        <v>2</v>
      </c>
      <c r="M1595" s="134">
        <v>381900</v>
      </c>
      <c r="N1595" s="134">
        <v>725610</v>
      </c>
      <c r="O1595" t="s">
        <v>3948</v>
      </c>
      <c r="P1595" t="s">
        <v>3949</v>
      </c>
      <c r="Q1595" t="s">
        <v>592</v>
      </c>
      <c r="U1595" t="s">
        <v>491</v>
      </c>
      <c r="X1595">
        <v>0</v>
      </c>
    </row>
    <row r="1596" spans="1:24" x14ac:dyDescent="0.25">
      <c r="A1596" s="234">
        <v>43467</v>
      </c>
      <c r="B1596" t="s">
        <v>5956</v>
      </c>
      <c r="C1596" t="s">
        <v>603</v>
      </c>
      <c r="D1596" t="s">
        <v>8126</v>
      </c>
      <c r="F1596" t="s">
        <v>13784</v>
      </c>
      <c r="H1596" t="s">
        <v>905</v>
      </c>
      <c r="I1596" t="s">
        <v>13785</v>
      </c>
      <c r="J1596" t="s">
        <v>4825</v>
      </c>
      <c r="K1596" t="s">
        <v>13786</v>
      </c>
      <c r="L1596" t="s">
        <v>13787</v>
      </c>
      <c r="M1596" s="134">
        <v>382768</v>
      </c>
      <c r="N1596" s="134">
        <v>397768</v>
      </c>
      <c r="O1596" t="s">
        <v>6745</v>
      </c>
      <c r="P1596" t="s">
        <v>13788</v>
      </c>
      <c r="Q1596" t="s">
        <v>1939</v>
      </c>
      <c r="R1596" t="s">
        <v>13789</v>
      </c>
      <c r="U1596" t="s">
        <v>12797</v>
      </c>
      <c r="X1596">
        <v>0</v>
      </c>
    </row>
    <row r="1597" spans="1:24" x14ac:dyDescent="0.25">
      <c r="A1597" s="234">
        <v>43080</v>
      </c>
      <c r="B1597" t="s">
        <v>110</v>
      </c>
      <c r="C1597" t="s">
        <v>761</v>
      </c>
      <c r="D1597" t="s">
        <v>715</v>
      </c>
      <c r="E1597" t="s">
        <v>588</v>
      </c>
      <c r="F1597" t="s">
        <v>4861</v>
      </c>
      <c r="G1597" t="s">
        <v>9733</v>
      </c>
      <c r="H1597" t="s">
        <v>607</v>
      </c>
      <c r="I1597" t="s">
        <v>9734</v>
      </c>
      <c r="J1597" t="s">
        <v>4785</v>
      </c>
      <c r="L1597">
        <v>10</v>
      </c>
      <c r="M1597" s="134">
        <v>384000</v>
      </c>
      <c r="N1597" s="134">
        <v>652800</v>
      </c>
      <c r="O1597" t="s">
        <v>7124</v>
      </c>
      <c r="P1597" t="s">
        <v>2886</v>
      </c>
      <c r="Q1597" t="s">
        <v>620</v>
      </c>
      <c r="R1597" t="s">
        <v>9735</v>
      </c>
      <c r="U1597" t="s">
        <v>1327</v>
      </c>
      <c r="X1597">
        <v>0</v>
      </c>
    </row>
    <row r="1598" spans="1:24" x14ac:dyDescent="0.25">
      <c r="A1598" s="234">
        <v>43341</v>
      </c>
      <c r="B1598" t="s">
        <v>328</v>
      </c>
      <c r="C1598" t="s">
        <v>603</v>
      </c>
      <c r="D1598" t="s">
        <v>7595</v>
      </c>
      <c r="E1598" t="s">
        <v>588</v>
      </c>
      <c r="F1598" t="s">
        <v>12420</v>
      </c>
      <c r="G1598" t="s">
        <v>12421</v>
      </c>
      <c r="H1598" t="s">
        <v>607</v>
      </c>
      <c r="I1598" t="s">
        <v>8902</v>
      </c>
      <c r="J1598" t="s">
        <v>899</v>
      </c>
      <c r="L1598">
        <v>2</v>
      </c>
      <c r="M1598" s="134">
        <v>384000</v>
      </c>
      <c r="N1598" s="134">
        <v>768000</v>
      </c>
      <c r="O1598" t="s">
        <v>10766</v>
      </c>
      <c r="P1598" t="s">
        <v>12422</v>
      </c>
      <c r="Q1598" t="s">
        <v>1939</v>
      </c>
      <c r="R1598" t="s">
        <v>12485</v>
      </c>
      <c r="U1598" t="s">
        <v>12344</v>
      </c>
      <c r="X1598">
        <v>0</v>
      </c>
    </row>
    <row r="1599" spans="1:24" x14ac:dyDescent="0.25">
      <c r="A1599" s="234">
        <v>43321</v>
      </c>
      <c r="B1599" t="s">
        <v>643</v>
      </c>
      <c r="C1599" t="s">
        <v>644</v>
      </c>
      <c r="D1599" t="s">
        <v>645</v>
      </c>
      <c r="E1599" t="s">
        <v>588</v>
      </c>
      <c r="F1599" t="s">
        <v>12067</v>
      </c>
      <c r="G1599" t="s">
        <v>10007</v>
      </c>
      <c r="H1599" t="s">
        <v>905</v>
      </c>
      <c r="I1599" t="s">
        <v>3563</v>
      </c>
      <c r="J1599" t="s">
        <v>644</v>
      </c>
      <c r="L1599">
        <v>4</v>
      </c>
      <c r="M1599" s="134">
        <v>385000</v>
      </c>
      <c r="N1599" s="134">
        <v>410000</v>
      </c>
      <c r="O1599" t="s">
        <v>10764</v>
      </c>
      <c r="P1599" t="s">
        <v>12068</v>
      </c>
      <c r="Q1599" t="s">
        <v>620</v>
      </c>
      <c r="R1599" t="s">
        <v>12079</v>
      </c>
      <c r="U1599" t="s">
        <v>491</v>
      </c>
      <c r="X1599">
        <v>0</v>
      </c>
    </row>
    <row r="1600" spans="1:24" x14ac:dyDescent="0.25">
      <c r="A1600" s="234">
        <v>43441</v>
      </c>
      <c r="B1600" t="s">
        <v>569</v>
      </c>
      <c r="C1600" t="s">
        <v>899</v>
      </c>
      <c r="D1600" t="s">
        <v>732</v>
      </c>
      <c r="F1600" t="s">
        <v>13549</v>
      </c>
      <c r="G1600" t="s">
        <v>13550</v>
      </c>
      <c r="H1600" t="s">
        <v>607</v>
      </c>
      <c r="I1600" t="s">
        <v>13515</v>
      </c>
      <c r="J1600" t="s">
        <v>899</v>
      </c>
      <c r="K1600" t="s">
        <v>13516</v>
      </c>
      <c r="L1600">
        <v>10</v>
      </c>
      <c r="M1600" s="134">
        <v>385000</v>
      </c>
      <c r="N1600" s="134">
        <v>770000</v>
      </c>
      <c r="O1600" t="s">
        <v>10766</v>
      </c>
      <c r="P1600" t="s">
        <v>13551</v>
      </c>
      <c r="Q1600" t="s">
        <v>620</v>
      </c>
      <c r="R1600" t="s">
        <v>13552</v>
      </c>
      <c r="U1600" t="s">
        <v>491</v>
      </c>
      <c r="X1600">
        <v>0</v>
      </c>
    </row>
    <row r="1601" spans="1:24" x14ac:dyDescent="0.25">
      <c r="A1601" s="234">
        <v>42572</v>
      </c>
      <c r="B1601" t="s">
        <v>378</v>
      </c>
      <c r="C1601" t="s">
        <v>623</v>
      </c>
      <c r="D1601" t="s">
        <v>625</v>
      </c>
      <c r="E1601" t="s">
        <v>588</v>
      </c>
      <c r="F1601" t="s">
        <v>2975</v>
      </c>
      <c r="H1601" t="s">
        <v>2976</v>
      </c>
      <c r="I1601" t="s">
        <v>2977</v>
      </c>
      <c r="M1601" s="134">
        <v>385000</v>
      </c>
      <c r="N1601" s="134">
        <v>770000</v>
      </c>
      <c r="O1601" t="s">
        <v>2978</v>
      </c>
      <c r="P1601" t="s">
        <v>2979</v>
      </c>
      <c r="Q1601" t="s">
        <v>1939</v>
      </c>
      <c r="R1601" t="s">
        <v>2980</v>
      </c>
      <c r="S1601" t="s">
        <v>2993</v>
      </c>
      <c r="U1601" t="s">
        <v>491</v>
      </c>
      <c r="X1601">
        <v>0</v>
      </c>
    </row>
    <row r="1602" spans="1:24" x14ac:dyDescent="0.25">
      <c r="A1602" s="234">
        <v>42907</v>
      </c>
      <c r="B1602" t="s">
        <v>328</v>
      </c>
      <c r="C1602" t="s">
        <v>603</v>
      </c>
      <c r="D1602" t="s">
        <v>2397</v>
      </c>
      <c r="E1602" t="s">
        <v>588</v>
      </c>
      <c r="F1602" t="s">
        <v>7311</v>
      </c>
      <c r="H1602" t="s">
        <v>607</v>
      </c>
      <c r="I1602" t="s">
        <v>7312</v>
      </c>
      <c r="J1602" t="s">
        <v>3612</v>
      </c>
      <c r="M1602" s="134">
        <v>386000</v>
      </c>
      <c r="N1602" s="134">
        <v>694800</v>
      </c>
      <c r="O1602" t="s">
        <v>3952</v>
      </c>
      <c r="P1602" t="s">
        <v>7314</v>
      </c>
      <c r="Q1602" t="s">
        <v>592</v>
      </c>
      <c r="R1602" t="s">
        <v>7313</v>
      </c>
      <c r="U1602" t="s">
        <v>491</v>
      </c>
      <c r="X1602">
        <v>0</v>
      </c>
    </row>
    <row r="1603" spans="1:24" x14ac:dyDescent="0.25">
      <c r="A1603" s="234">
        <v>42881</v>
      </c>
      <c r="B1603" t="s">
        <v>328</v>
      </c>
      <c r="C1603" t="s">
        <v>603</v>
      </c>
      <c r="D1603" t="s">
        <v>672</v>
      </c>
      <c r="E1603" t="s">
        <v>588</v>
      </c>
      <c r="F1603" t="s">
        <v>6935</v>
      </c>
      <c r="H1603" t="s">
        <v>607</v>
      </c>
      <c r="I1603" t="s">
        <v>5212</v>
      </c>
      <c r="J1603" t="s">
        <v>644</v>
      </c>
      <c r="L1603">
        <v>2</v>
      </c>
      <c r="M1603" s="134">
        <v>386000</v>
      </c>
      <c r="N1603" s="134">
        <v>832700</v>
      </c>
      <c r="O1603" t="s">
        <v>639</v>
      </c>
      <c r="P1603" t="s">
        <v>6936</v>
      </c>
      <c r="Q1603" t="s">
        <v>1939</v>
      </c>
      <c r="R1603" t="s">
        <v>6937</v>
      </c>
      <c r="U1603" t="s">
        <v>491</v>
      </c>
      <c r="X1603">
        <v>0</v>
      </c>
    </row>
    <row r="1604" spans="1:24" x14ac:dyDescent="0.25">
      <c r="A1604" s="234">
        <v>43335</v>
      </c>
      <c r="B1604" t="s">
        <v>328</v>
      </c>
      <c r="C1604" t="s">
        <v>603</v>
      </c>
      <c r="D1604" t="s">
        <v>649</v>
      </c>
      <c r="E1604" t="s">
        <v>588</v>
      </c>
      <c r="F1604" t="s">
        <v>12304</v>
      </c>
      <c r="G1604" t="s">
        <v>12305</v>
      </c>
      <c r="H1604" t="s">
        <v>607</v>
      </c>
      <c r="I1604" t="s">
        <v>4399</v>
      </c>
      <c r="J1604" t="s">
        <v>3398</v>
      </c>
      <c r="L1604">
        <v>4</v>
      </c>
      <c r="M1604" s="134">
        <v>386600</v>
      </c>
      <c r="N1604" s="134">
        <v>635000</v>
      </c>
      <c r="O1604" t="s">
        <v>4533</v>
      </c>
      <c r="P1604" t="s">
        <v>12306</v>
      </c>
      <c r="Q1604" t="s">
        <v>592</v>
      </c>
      <c r="R1604" t="s">
        <v>12307</v>
      </c>
      <c r="U1604" t="s">
        <v>491</v>
      </c>
      <c r="X1604">
        <v>0</v>
      </c>
    </row>
    <row r="1605" spans="1:24" x14ac:dyDescent="0.25">
      <c r="A1605" s="234">
        <v>43564</v>
      </c>
      <c r="B1605" t="s">
        <v>643</v>
      </c>
      <c r="C1605" t="s">
        <v>644</v>
      </c>
      <c r="D1605" t="s">
        <v>645</v>
      </c>
      <c r="F1605" t="s">
        <v>14973</v>
      </c>
      <c r="G1605" t="s">
        <v>10007</v>
      </c>
      <c r="H1605" t="s">
        <v>2510</v>
      </c>
      <c r="I1605" t="s">
        <v>3646</v>
      </c>
      <c r="J1605" t="s">
        <v>644</v>
      </c>
      <c r="K1605" t="s">
        <v>13169</v>
      </c>
      <c r="L1605">
        <v>2</v>
      </c>
      <c r="M1605" s="134">
        <v>387000</v>
      </c>
      <c r="N1605" s="134">
        <v>495600</v>
      </c>
      <c r="O1605" t="s">
        <v>10766</v>
      </c>
      <c r="P1605" t="s">
        <v>15015</v>
      </c>
      <c r="Q1605" t="s">
        <v>592</v>
      </c>
      <c r="R1605" t="s">
        <v>15016</v>
      </c>
      <c r="S1605" t="s">
        <v>15037</v>
      </c>
      <c r="U1605" t="s">
        <v>12797</v>
      </c>
      <c r="X1605">
        <v>0</v>
      </c>
    </row>
    <row r="1606" spans="1:24" x14ac:dyDescent="0.25">
      <c r="A1606" s="234">
        <v>43558</v>
      </c>
      <c r="B1606" t="s">
        <v>328</v>
      </c>
      <c r="C1606" t="s">
        <v>603</v>
      </c>
      <c r="D1606" t="s">
        <v>672</v>
      </c>
      <c r="F1606" t="s">
        <v>14973</v>
      </c>
      <c r="G1606" t="s">
        <v>8263</v>
      </c>
      <c r="H1606" t="s">
        <v>2510</v>
      </c>
      <c r="I1606" t="s">
        <v>3646</v>
      </c>
      <c r="J1606" t="s">
        <v>644</v>
      </c>
      <c r="K1606" t="s">
        <v>13169</v>
      </c>
      <c r="L1606">
        <v>2</v>
      </c>
      <c r="M1606" s="134">
        <v>387000</v>
      </c>
      <c r="N1606" s="134">
        <v>573000</v>
      </c>
      <c r="O1606" t="s">
        <v>10766</v>
      </c>
      <c r="P1606" t="s">
        <v>15327</v>
      </c>
      <c r="Q1606" t="s">
        <v>1612</v>
      </c>
      <c r="R1606" t="s">
        <v>15036</v>
      </c>
      <c r="U1606" t="s">
        <v>12797</v>
      </c>
      <c r="X1606">
        <v>0</v>
      </c>
    </row>
    <row r="1607" spans="1:24" x14ac:dyDescent="0.25">
      <c r="A1607" s="234">
        <v>43348</v>
      </c>
      <c r="B1607" t="s">
        <v>328</v>
      </c>
      <c r="C1607" t="s">
        <v>603</v>
      </c>
      <c r="D1607" t="s">
        <v>9977</v>
      </c>
      <c r="E1607" t="s">
        <v>588</v>
      </c>
      <c r="F1607" t="s">
        <v>12473</v>
      </c>
      <c r="G1607" t="s">
        <v>7880</v>
      </c>
      <c r="H1607" t="s">
        <v>905</v>
      </c>
      <c r="I1607" t="s">
        <v>9154</v>
      </c>
      <c r="J1607" t="s">
        <v>604</v>
      </c>
      <c r="L1607">
        <v>6</v>
      </c>
      <c r="M1607" s="134">
        <v>388000</v>
      </c>
      <c r="N1607" s="134">
        <v>412200</v>
      </c>
      <c r="O1607" t="s">
        <v>10766</v>
      </c>
      <c r="P1607" t="s">
        <v>12519</v>
      </c>
      <c r="Q1607" t="s">
        <v>1939</v>
      </c>
      <c r="R1607" t="s">
        <v>12520</v>
      </c>
      <c r="U1607" t="s">
        <v>1327</v>
      </c>
      <c r="X1607">
        <v>0</v>
      </c>
    </row>
    <row r="1608" spans="1:24" x14ac:dyDescent="0.25">
      <c r="A1608" s="234">
        <v>43553</v>
      </c>
      <c r="B1608" t="s">
        <v>328</v>
      </c>
      <c r="C1608" t="s">
        <v>603</v>
      </c>
      <c r="D1608" t="s">
        <v>10705</v>
      </c>
      <c r="F1608" t="s">
        <v>14918</v>
      </c>
      <c r="G1608" t="s">
        <v>14919</v>
      </c>
      <c r="H1608" t="s">
        <v>607</v>
      </c>
      <c r="I1608" t="s">
        <v>6092</v>
      </c>
      <c r="J1608" t="s">
        <v>899</v>
      </c>
      <c r="K1608" t="s">
        <v>13160</v>
      </c>
      <c r="L1608">
        <v>1</v>
      </c>
      <c r="M1608" s="134">
        <v>388150</v>
      </c>
      <c r="N1608" s="134">
        <v>1000000</v>
      </c>
      <c r="O1608" t="s">
        <v>10766</v>
      </c>
      <c r="P1608" t="s">
        <v>14920</v>
      </c>
      <c r="Q1608" t="s">
        <v>29</v>
      </c>
      <c r="R1608" t="s">
        <v>14921</v>
      </c>
      <c r="U1608" t="s">
        <v>491</v>
      </c>
      <c r="X1608">
        <v>1</v>
      </c>
    </row>
    <row r="1609" spans="1:24" x14ac:dyDescent="0.25">
      <c r="A1609" s="234">
        <v>43214</v>
      </c>
      <c r="B1609" t="s">
        <v>569</v>
      </c>
      <c r="C1609" t="s">
        <v>899</v>
      </c>
      <c r="D1609" t="s">
        <v>624</v>
      </c>
      <c r="E1609" t="s">
        <v>588</v>
      </c>
      <c r="F1609" t="s">
        <v>11047</v>
      </c>
      <c r="G1609" t="s">
        <v>11046</v>
      </c>
      <c r="H1609" t="s">
        <v>607</v>
      </c>
      <c r="I1609" t="s">
        <v>11045</v>
      </c>
      <c r="J1609" t="s">
        <v>899</v>
      </c>
      <c r="L1609">
        <v>9</v>
      </c>
      <c r="M1609" s="134">
        <v>389004</v>
      </c>
      <c r="N1609" s="134">
        <v>732532</v>
      </c>
      <c r="O1609" t="s">
        <v>4533</v>
      </c>
      <c r="P1609" t="s">
        <v>11044</v>
      </c>
      <c r="Q1609" t="s">
        <v>29</v>
      </c>
      <c r="R1609" t="s">
        <v>11043</v>
      </c>
      <c r="U1609" t="s">
        <v>1327</v>
      </c>
      <c r="X1609">
        <v>1</v>
      </c>
    </row>
    <row r="1610" spans="1:24" x14ac:dyDescent="0.25">
      <c r="A1610" s="234">
        <v>42453</v>
      </c>
      <c r="B1610" t="s">
        <v>328</v>
      </c>
      <c r="C1610" t="s">
        <v>603</v>
      </c>
      <c r="D1610" t="s">
        <v>1401</v>
      </c>
      <c r="E1610" t="s">
        <v>588</v>
      </c>
      <c r="F1610" t="s">
        <v>1402</v>
      </c>
      <c r="H1610" t="s">
        <v>607</v>
      </c>
      <c r="I1610" t="s">
        <v>1403</v>
      </c>
      <c r="M1610" s="134">
        <v>389200</v>
      </c>
      <c r="N1610" s="134">
        <v>683800</v>
      </c>
      <c r="O1610" t="s">
        <v>1141</v>
      </c>
      <c r="P1610" t="s">
        <v>1404</v>
      </c>
      <c r="Q1610" t="s">
        <v>29</v>
      </c>
      <c r="R1610" t="s">
        <v>1405</v>
      </c>
      <c r="U1610" t="s">
        <v>491</v>
      </c>
      <c r="X1610">
        <v>1</v>
      </c>
    </row>
    <row r="1611" spans="1:24" x14ac:dyDescent="0.25">
      <c r="A1611" s="234">
        <v>43594</v>
      </c>
      <c r="B1611" t="s">
        <v>328</v>
      </c>
      <c r="C1611" t="s">
        <v>603</v>
      </c>
      <c r="D1611" t="s">
        <v>1401</v>
      </c>
      <c r="F1611" t="s">
        <v>15488</v>
      </c>
      <c r="G1611" t="s">
        <v>7714</v>
      </c>
      <c r="H1611" t="s">
        <v>607</v>
      </c>
      <c r="I1611" t="s">
        <v>15489</v>
      </c>
      <c r="J1611" t="s">
        <v>3533</v>
      </c>
      <c r="K1611" t="s">
        <v>15490</v>
      </c>
      <c r="L1611">
        <v>2</v>
      </c>
      <c r="M1611" s="134">
        <v>390000</v>
      </c>
      <c r="N1611" s="134">
        <v>630000</v>
      </c>
      <c r="O1611" t="s">
        <v>4533</v>
      </c>
      <c r="P1611" t="s">
        <v>15491</v>
      </c>
      <c r="Q1611" t="s">
        <v>29</v>
      </c>
      <c r="R1611" t="s">
        <v>15487</v>
      </c>
      <c r="S1611" t="s">
        <v>15492</v>
      </c>
      <c r="U1611" t="s">
        <v>491</v>
      </c>
      <c r="X1611">
        <v>1</v>
      </c>
    </row>
    <row r="1612" spans="1:24" x14ac:dyDescent="0.25">
      <c r="A1612" s="234">
        <v>42587</v>
      </c>
      <c r="B1612" t="s">
        <v>328</v>
      </c>
      <c r="C1612" t="s">
        <v>603</v>
      </c>
      <c r="D1612" t="s">
        <v>1401</v>
      </c>
      <c r="E1612" t="s">
        <v>588</v>
      </c>
      <c r="F1612" t="s">
        <v>1406</v>
      </c>
      <c r="H1612" t="s">
        <v>607</v>
      </c>
      <c r="I1612" t="s">
        <v>3247</v>
      </c>
      <c r="J1612" t="s">
        <v>899</v>
      </c>
      <c r="L1612">
        <v>10</v>
      </c>
      <c r="M1612" s="134">
        <v>390000</v>
      </c>
      <c r="N1612" s="134">
        <v>702000</v>
      </c>
      <c r="O1612" t="s">
        <v>3248</v>
      </c>
      <c r="P1612" t="s">
        <v>3249</v>
      </c>
      <c r="Q1612" t="s">
        <v>29</v>
      </c>
      <c r="R1612" t="s">
        <v>3250</v>
      </c>
      <c r="U1612" t="s">
        <v>491</v>
      </c>
      <c r="X1612">
        <v>1</v>
      </c>
    </row>
    <row r="1613" spans="1:24" x14ac:dyDescent="0.25">
      <c r="A1613" s="234">
        <v>43567</v>
      </c>
      <c r="B1613" t="s">
        <v>13559</v>
      </c>
      <c r="C1613" t="s">
        <v>3523</v>
      </c>
      <c r="D1613" t="s">
        <v>9545</v>
      </c>
      <c r="F1613" t="s">
        <v>15070</v>
      </c>
      <c r="G1613" t="s">
        <v>11233</v>
      </c>
      <c r="H1613" t="s">
        <v>607</v>
      </c>
      <c r="I1613" t="s">
        <v>3388</v>
      </c>
      <c r="J1613" t="s">
        <v>3523</v>
      </c>
      <c r="K1613" t="s">
        <v>15071</v>
      </c>
      <c r="M1613" s="134">
        <v>390000</v>
      </c>
      <c r="N1613" s="134">
        <v>750000</v>
      </c>
      <c r="O1613" t="s">
        <v>10766</v>
      </c>
      <c r="P1613" t="s">
        <v>15072</v>
      </c>
      <c r="Q1613" t="s">
        <v>29</v>
      </c>
      <c r="R1613" t="s">
        <v>15073</v>
      </c>
      <c r="S1613" t="s">
        <v>15069</v>
      </c>
      <c r="U1613" t="s">
        <v>491</v>
      </c>
      <c r="X1613">
        <v>1</v>
      </c>
    </row>
    <row r="1614" spans="1:24" x14ac:dyDescent="0.25">
      <c r="A1614" s="234">
        <v>43054</v>
      </c>
      <c r="B1614" t="s">
        <v>569</v>
      </c>
      <c r="C1614" t="s">
        <v>899</v>
      </c>
      <c r="D1614" t="s">
        <v>930</v>
      </c>
      <c r="E1614" t="s">
        <v>821</v>
      </c>
      <c r="F1614" t="s">
        <v>9457</v>
      </c>
      <c r="G1614" t="s">
        <v>9458</v>
      </c>
      <c r="H1614" t="s">
        <v>809</v>
      </c>
      <c r="I1614" t="s">
        <v>6230</v>
      </c>
      <c r="J1614" t="s">
        <v>899</v>
      </c>
      <c r="M1614" s="134">
        <v>390600</v>
      </c>
      <c r="N1614" s="134">
        <v>0</v>
      </c>
      <c r="O1614" t="s">
        <v>7805</v>
      </c>
      <c r="P1614" t="s">
        <v>9616</v>
      </c>
      <c r="Q1614" t="s">
        <v>1939</v>
      </c>
      <c r="R1614" t="s">
        <v>9459</v>
      </c>
      <c r="U1614" t="s">
        <v>491</v>
      </c>
      <c r="X1614">
        <v>0</v>
      </c>
    </row>
    <row r="1615" spans="1:24" x14ac:dyDescent="0.25">
      <c r="A1615" s="234">
        <v>43361</v>
      </c>
      <c r="B1615" t="s">
        <v>328</v>
      </c>
      <c r="C1615" t="s">
        <v>603</v>
      </c>
      <c r="D1615" t="s">
        <v>7595</v>
      </c>
      <c r="E1615" t="s">
        <v>588</v>
      </c>
      <c r="F1615" t="s">
        <v>12644</v>
      </c>
      <c r="G1615" t="s">
        <v>12645</v>
      </c>
      <c r="H1615" t="s">
        <v>607</v>
      </c>
      <c r="I1615" t="s">
        <v>12652</v>
      </c>
      <c r="J1615" t="s">
        <v>603</v>
      </c>
      <c r="L1615">
        <v>5</v>
      </c>
      <c r="M1615" s="134">
        <v>391400</v>
      </c>
      <c r="N1615" s="134">
        <v>782800</v>
      </c>
      <c r="O1615" t="s">
        <v>4533</v>
      </c>
      <c r="P1615" t="s">
        <v>12646</v>
      </c>
      <c r="Q1615" t="s">
        <v>1939</v>
      </c>
      <c r="R1615" t="s">
        <v>12648</v>
      </c>
      <c r="U1615" t="s">
        <v>12344</v>
      </c>
      <c r="X1615">
        <v>0</v>
      </c>
    </row>
    <row r="1616" spans="1:24" x14ac:dyDescent="0.25">
      <c r="A1616" s="234">
        <v>43598</v>
      </c>
      <c r="B1616" t="s">
        <v>5956</v>
      </c>
      <c r="C1616" t="s">
        <v>3369</v>
      </c>
      <c r="D1616" t="s">
        <v>8126</v>
      </c>
      <c r="F1616" t="s">
        <v>15511</v>
      </c>
      <c r="G1616" t="s">
        <v>15512</v>
      </c>
      <c r="H1616" t="s">
        <v>607</v>
      </c>
      <c r="I1616" t="s">
        <v>4784</v>
      </c>
      <c r="J1616" t="s">
        <v>4825</v>
      </c>
      <c r="K1616" t="s">
        <v>15513</v>
      </c>
      <c r="L1616">
        <v>5</v>
      </c>
      <c r="M1616" s="134">
        <v>392284</v>
      </c>
      <c r="N1616" s="134">
        <v>700000</v>
      </c>
      <c r="O1616" t="s">
        <v>10766</v>
      </c>
      <c r="P1616" t="s">
        <v>15514</v>
      </c>
      <c r="Q1616" t="s">
        <v>592</v>
      </c>
      <c r="R1616" t="s">
        <v>15515</v>
      </c>
      <c r="U1616" t="s">
        <v>491</v>
      </c>
      <c r="X1616">
        <v>0</v>
      </c>
    </row>
    <row r="1617" spans="1:24" x14ac:dyDescent="0.25">
      <c r="A1617" s="234">
        <v>43132</v>
      </c>
      <c r="B1617" t="s">
        <v>328</v>
      </c>
      <c r="C1617" t="s">
        <v>603</v>
      </c>
      <c r="D1617" t="s">
        <v>649</v>
      </c>
      <c r="E1617" t="s">
        <v>588</v>
      </c>
      <c r="F1617" t="s">
        <v>10214</v>
      </c>
      <c r="G1617" t="s">
        <v>10215</v>
      </c>
      <c r="H1617" t="s">
        <v>10831</v>
      </c>
      <c r="I1617" t="s">
        <v>10216</v>
      </c>
      <c r="J1617" t="s">
        <v>959</v>
      </c>
      <c r="L1617">
        <v>3</v>
      </c>
      <c r="M1617" s="134">
        <v>392442</v>
      </c>
      <c r="N1617" s="134">
        <v>522442</v>
      </c>
      <c r="O1617" t="s">
        <v>10764</v>
      </c>
      <c r="P1617" t="s">
        <v>10217</v>
      </c>
      <c r="Q1617" t="s">
        <v>1939</v>
      </c>
      <c r="R1617" t="s">
        <v>10218</v>
      </c>
      <c r="U1617" t="s">
        <v>491</v>
      </c>
      <c r="X1617">
        <v>0</v>
      </c>
    </row>
    <row r="1618" spans="1:24" x14ac:dyDescent="0.25">
      <c r="A1618" s="234">
        <v>42438</v>
      </c>
      <c r="B1618" t="s">
        <v>378</v>
      </c>
      <c r="C1618" t="s">
        <v>623</v>
      </c>
      <c r="D1618" t="s">
        <v>800</v>
      </c>
      <c r="E1618" t="s">
        <v>588</v>
      </c>
      <c r="F1618" t="s">
        <v>1269</v>
      </c>
      <c r="H1618" t="s">
        <v>1271</v>
      </c>
      <c r="I1618" t="s">
        <v>1270</v>
      </c>
      <c r="M1618" s="134">
        <v>393000</v>
      </c>
      <c r="N1618" s="134">
        <v>610600</v>
      </c>
      <c r="O1618" t="s">
        <v>1272</v>
      </c>
      <c r="P1618" t="s">
        <v>1273</v>
      </c>
      <c r="Q1618" t="s">
        <v>620</v>
      </c>
      <c r="R1618" t="s">
        <v>1274</v>
      </c>
      <c r="U1618" t="s">
        <v>491</v>
      </c>
      <c r="X1618">
        <v>0</v>
      </c>
    </row>
    <row r="1619" spans="1:24" x14ac:dyDescent="0.25">
      <c r="A1619" s="234">
        <v>43153</v>
      </c>
      <c r="B1619" t="s">
        <v>5176</v>
      </c>
      <c r="C1619" t="s">
        <v>604</v>
      </c>
      <c r="D1619" t="s">
        <v>595</v>
      </c>
      <c r="E1619" t="s">
        <v>588</v>
      </c>
      <c r="F1619" t="s">
        <v>10399</v>
      </c>
      <c r="G1619" t="s">
        <v>10400</v>
      </c>
      <c r="H1619" t="s">
        <v>607</v>
      </c>
      <c r="I1619" t="s">
        <v>10401</v>
      </c>
      <c r="J1619" t="s">
        <v>959</v>
      </c>
      <c r="L1619">
        <v>4</v>
      </c>
      <c r="M1619" s="134">
        <v>393000</v>
      </c>
      <c r="N1619" s="134">
        <v>707400</v>
      </c>
      <c r="O1619" t="s">
        <v>10766</v>
      </c>
      <c r="P1619" t="s">
        <v>10402</v>
      </c>
      <c r="Q1619" t="s">
        <v>1939</v>
      </c>
      <c r="R1619" t="s">
        <v>10403</v>
      </c>
      <c r="U1619" t="s">
        <v>1327</v>
      </c>
      <c r="X1619">
        <v>0</v>
      </c>
    </row>
    <row r="1620" spans="1:24" x14ac:dyDescent="0.25">
      <c r="A1620" s="234">
        <v>42468</v>
      </c>
      <c r="B1620" t="s">
        <v>378</v>
      </c>
      <c r="C1620" t="s">
        <v>623</v>
      </c>
      <c r="D1620" t="s">
        <v>625</v>
      </c>
      <c r="E1620" t="s">
        <v>588</v>
      </c>
      <c r="F1620" t="s">
        <v>1596</v>
      </c>
      <c r="H1620" t="s">
        <v>809</v>
      </c>
      <c r="I1620" t="s">
        <v>1597</v>
      </c>
      <c r="M1620" s="134">
        <v>394000</v>
      </c>
      <c r="N1620" s="134">
        <v>0</v>
      </c>
      <c r="O1620" t="s">
        <v>1598</v>
      </c>
      <c r="P1620" t="s">
        <v>1599</v>
      </c>
      <c r="Q1620" t="s">
        <v>29</v>
      </c>
      <c r="R1620" t="s">
        <v>1600</v>
      </c>
      <c r="U1620" t="s">
        <v>633</v>
      </c>
      <c r="X1620">
        <v>1</v>
      </c>
    </row>
    <row r="1621" spans="1:24" x14ac:dyDescent="0.25">
      <c r="A1621" s="234">
        <v>43496</v>
      </c>
      <c r="B1621" t="s">
        <v>328</v>
      </c>
      <c r="C1621" t="s">
        <v>603</v>
      </c>
      <c r="D1621" t="s">
        <v>649</v>
      </c>
      <c r="F1621" t="s">
        <v>14184</v>
      </c>
      <c r="H1621" t="s">
        <v>607</v>
      </c>
      <c r="I1621" t="s">
        <v>9769</v>
      </c>
      <c r="J1621" t="s">
        <v>899</v>
      </c>
      <c r="K1621" t="s">
        <v>14185</v>
      </c>
      <c r="L1621">
        <v>4</v>
      </c>
      <c r="M1621" s="134">
        <v>394000</v>
      </c>
      <c r="N1621" s="134">
        <v>735100</v>
      </c>
      <c r="O1621" t="s">
        <v>4533</v>
      </c>
      <c r="P1621" t="s">
        <v>14186</v>
      </c>
      <c r="Q1621" t="s">
        <v>1612</v>
      </c>
      <c r="R1621" t="s">
        <v>14443</v>
      </c>
      <c r="S1621" t="s">
        <v>14444</v>
      </c>
      <c r="U1621" t="s">
        <v>12797</v>
      </c>
      <c r="X1621">
        <v>0</v>
      </c>
    </row>
    <row r="1622" spans="1:24" x14ac:dyDescent="0.25">
      <c r="A1622" s="234">
        <v>43605</v>
      </c>
      <c r="B1622" t="s">
        <v>328</v>
      </c>
      <c r="C1622" t="s">
        <v>603</v>
      </c>
      <c r="D1622" t="s">
        <v>10705</v>
      </c>
      <c r="F1622" t="s">
        <v>15666</v>
      </c>
      <c r="G1622" t="s">
        <v>15667</v>
      </c>
      <c r="H1622" t="s">
        <v>607</v>
      </c>
      <c r="I1622" t="s">
        <v>393</v>
      </c>
      <c r="J1622" t="s">
        <v>761</v>
      </c>
      <c r="K1622" t="s">
        <v>15668</v>
      </c>
      <c r="L1622">
        <v>4</v>
      </c>
      <c r="M1622" s="134">
        <v>394000</v>
      </c>
      <c r="N1622" s="134">
        <v>807200</v>
      </c>
      <c r="O1622" t="s">
        <v>4533</v>
      </c>
      <c r="P1622" t="s">
        <v>15669</v>
      </c>
      <c r="Q1622" t="s">
        <v>592</v>
      </c>
      <c r="R1622" t="s">
        <v>15670</v>
      </c>
      <c r="U1622" t="s">
        <v>491</v>
      </c>
      <c r="X1622">
        <v>0</v>
      </c>
    </row>
    <row r="1623" spans="1:24" x14ac:dyDescent="0.25">
      <c r="A1623" s="234">
        <v>43278</v>
      </c>
      <c r="B1623" t="s">
        <v>1788</v>
      </c>
      <c r="C1623" t="s">
        <v>3369</v>
      </c>
      <c r="D1623" t="s">
        <v>1789</v>
      </c>
      <c r="E1623" t="s">
        <v>588</v>
      </c>
      <c r="F1623" t="s">
        <v>11634</v>
      </c>
      <c r="G1623" t="s">
        <v>11635</v>
      </c>
      <c r="H1623" t="s">
        <v>905</v>
      </c>
      <c r="I1623" t="s">
        <v>11636</v>
      </c>
      <c r="J1623" t="s">
        <v>4825</v>
      </c>
      <c r="L1623">
        <v>1</v>
      </c>
      <c r="M1623" s="134">
        <v>396000</v>
      </c>
      <c r="N1623" s="134">
        <v>470000</v>
      </c>
      <c r="O1623" t="s">
        <v>6745</v>
      </c>
      <c r="P1623" t="s">
        <v>11637</v>
      </c>
      <c r="Q1623" t="s">
        <v>1939</v>
      </c>
      <c r="R1623" t="s">
        <v>11638</v>
      </c>
      <c r="U1623" t="s">
        <v>491</v>
      </c>
      <c r="X1623">
        <v>0</v>
      </c>
    </row>
    <row r="1624" spans="1:24" x14ac:dyDescent="0.25">
      <c r="A1624" s="234">
        <v>43340</v>
      </c>
      <c r="B1624" t="s">
        <v>9240</v>
      </c>
      <c r="C1624" t="s">
        <v>603</v>
      </c>
      <c r="D1624" t="s">
        <v>9849</v>
      </c>
      <c r="E1624" t="s">
        <v>588</v>
      </c>
      <c r="F1624" t="s">
        <v>12410</v>
      </c>
      <c r="G1624" t="s">
        <v>12411</v>
      </c>
      <c r="H1624" t="s">
        <v>607</v>
      </c>
      <c r="I1624" t="s">
        <v>12412</v>
      </c>
      <c r="J1624" t="s">
        <v>4031</v>
      </c>
      <c r="L1624">
        <v>4</v>
      </c>
      <c r="M1624" s="134">
        <v>396000</v>
      </c>
      <c r="N1624" s="134">
        <v>840000</v>
      </c>
      <c r="O1624" t="s">
        <v>10766</v>
      </c>
      <c r="P1624" t="s">
        <v>12413</v>
      </c>
      <c r="Q1624" t="s">
        <v>592</v>
      </c>
      <c r="R1624" t="s">
        <v>12414</v>
      </c>
      <c r="U1624" t="s">
        <v>491</v>
      </c>
      <c r="X1624">
        <v>0</v>
      </c>
    </row>
    <row r="1625" spans="1:24" x14ac:dyDescent="0.25">
      <c r="A1625" s="234">
        <v>43543</v>
      </c>
      <c r="B1625" t="s">
        <v>328</v>
      </c>
      <c r="C1625" t="s">
        <v>603</v>
      </c>
      <c r="D1625" t="s">
        <v>649</v>
      </c>
      <c r="F1625" t="s">
        <v>6046</v>
      </c>
      <c r="G1625" t="s">
        <v>14758</v>
      </c>
      <c r="H1625" t="s">
        <v>607</v>
      </c>
      <c r="I1625" t="s">
        <v>7584</v>
      </c>
      <c r="J1625" t="s">
        <v>604</v>
      </c>
      <c r="K1625" t="s">
        <v>14759</v>
      </c>
      <c r="L1625">
        <v>5</v>
      </c>
      <c r="M1625" s="134">
        <v>396400</v>
      </c>
      <c r="N1625" s="134">
        <v>673880</v>
      </c>
      <c r="O1625" t="s">
        <v>4533</v>
      </c>
      <c r="P1625" t="s">
        <v>14839</v>
      </c>
      <c r="Q1625" t="s">
        <v>1612</v>
      </c>
      <c r="R1625" t="s">
        <v>15055</v>
      </c>
      <c r="U1625" t="s">
        <v>12797</v>
      </c>
      <c r="X1625">
        <v>0</v>
      </c>
    </row>
    <row r="1626" spans="1:24" x14ac:dyDescent="0.25">
      <c r="A1626" s="234">
        <v>43013</v>
      </c>
      <c r="B1626" t="s">
        <v>5992</v>
      </c>
      <c r="C1626" t="s">
        <v>608</v>
      </c>
      <c r="D1626" t="s">
        <v>5270</v>
      </c>
      <c r="E1626" t="s">
        <v>588</v>
      </c>
      <c r="F1626" t="s">
        <v>8908</v>
      </c>
      <c r="G1626" t="s">
        <v>7865</v>
      </c>
      <c r="H1626" t="s">
        <v>607</v>
      </c>
      <c r="I1626" t="s">
        <v>8909</v>
      </c>
      <c r="J1626" t="s">
        <v>608</v>
      </c>
      <c r="L1626">
        <v>4</v>
      </c>
      <c r="M1626" s="134">
        <v>398000</v>
      </c>
      <c r="N1626" s="134">
        <v>600000</v>
      </c>
      <c r="O1626" t="s">
        <v>5311</v>
      </c>
      <c r="P1626" t="s">
        <v>8910</v>
      </c>
      <c r="Q1626" t="s">
        <v>592</v>
      </c>
      <c r="S1626" t="s">
        <v>6739</v>
      </c>
      <c r="T1626">
        <v>25</v>
      </c>
      <c r="U1626" t="s">
        <v>491</v>
      </c>
      <c r="X1626">
        <v>0</v>
      </c>
    </row>
    <row r="1627" spans="1:24" x14ac:dyDescent="0.25">
      <c r="A1627" s="234">
        <v>43364</v>
      </c>
      <c r="B1627" t="s">
        <v>328</v>
      </c>
      <c r="C1627" t="s">
        <v>603</v>
      </c>
      <c r="D1627" t="s">
        <v>649</v>
      </c>
      <c r="E1627" t="s">
        <v>588</v>
      </c>
      <c r="F1627" t="s">
        <v>12678</v>
      </c>
      <c r="H1627" t="s">
        <v>607</v>
      </c>
      <c r="I1627" t="s">
        <v>228</v>
      </c>
      <c r="J1627" t="s">
        <v>899</v>
      </c>
      <c r="L1627">
        <v>4</v>
      </c>
      <c r="M1627" s="134">
        <v>399000</v>
      </c>
      <c r="N1627" s="134">
        <v>635600</v>
      </c>
      <c r="O1627" t="s">
        <v>560</v>
      </c>
      <c r="P1627" t="s">
        <v>12679</v>
      </c>
      <c r="Q1627" t="s">
        <v>592</v>
      </c>
      <c r="R1627" t="s">
        <v>12680</v>
      </c>
      <c r="U1627" t="s">
        <v>12344</v>
      </c>
      <c r="X1627">
        <v>0</v>
      </c>
    </row>
    <row r="1628" spans="1:24" x14ac:dyDescent="0.25">
      <c r="A1628" s="234">
        <v>43619</v>
      </c>
      <c r="B1628" t="s">
        <v>328</v>
      </c>
      <c r="C1628" t="s">
        <v>603</v>
      </c>
      <c r="D1628" t="s">
        <v>10705</v>
      </c>
      <c r="F1628" t="s">
        <v>15832</v>
      </c>
      <c r="G1628" t="s">
        <v>15833</v>
      </c>
      <c r="H1628" t="s">
        <v>10832</v>
      </c>
      <c r="I1628" t="s">
        <v>15835</v>
      </c>
      <c r="J1628" t="s">
        <v>3372</v>
      </c>
      <c r="K1628" t="s">
        <v>15834</v>
      </c>
      <c r="L1628">
        <v>10</v>
      </c>
      <c r="M1628" s="134">
        <v>399000</v>
      </c>
      <c r="N1628" s="134">
        <v>728300</v>
      </c>
      <c r="O1628" t="s">
        <v>7124</v>
      </c>
      <c r="P1628" t="s">
        <v>15838</v>
      </c>
      <c r="Q1628" t="s">
        <v>1939</v>
      </c>
      <c r="R1628" t="s">
        <v>15837</v>
      </c>
      <c r="S1628" t="s">
        <v>15836</v>
      </c>
      <c r="U1628" t="s">
        <v>491</v>
      </c>
      <c r="X1628">
        <v>0</v>
      </c>
    </row>
    <row r="1629" spans="1:24" x14ac:dyDescent="0.25">
      <c r="A1629" s="234">
        <v>42933</v>
      </c>
      <c r="B1629" t="s">
        <v>328</v>
      </c>
      <c r="D1629" t="s">
        <v>649</v>
      </c>
      <c r="E1629" t="s">
        <v>588</v>
      </c>
      <c r="F1629" t="s">
        <v>7626</v>
      </c>
      <c r="H1629" t="s">
        <v>607</v>
      </c>
      <c r="I1629" t="s">
        <v>7627</v>
      </c>
      <c r="J1629" t="s">
        <v>3398</v>
      </c>
      <c r="L1629">
        <v>9</v>
      </c>
      <c r="M1629" s="134">
        <v>399000</v>
      </c>
      <c r="N1629" s="134">
        <v>778050</v>
      </c>
      <c r="O1629" t="s">
        <v>2680</v>
      </c>
      <c r="P1629" t="s">
        <v>7628</v>
      </c>
      <c r="Q1629" t="s">
        <v>1612</v>
      </c>
      <c r="R1629" t="s">
        <v>7694</v>
      </c>
      <c r="S1629" t="s">
        <v>7710</v>
      </c>
      <c r="U1629" t="s">
        <v>491</v>
      </c>
      <c r="X1629">
        <v>0</v>
      </c>
    </row>
    <row r="1630" spans="1:24" x14ac:dyDescent="0.25">
      <c r="A1630" s="234">
        <v>42944</v>
      </c>
      <c r="B1630" t="s">
        <v>569</v>
      </c>
      <c r="D1630" t="s">
        <v>625</v>
      </c>
      <c r="E1630" t="s">
        <v>821</v>
      </c>
      <c r="F1630" t="s">
        <v>7868</v>
      </c>
      <c r="H1630" t="s">
        <v>7869</v>
      </c>
      <c r="J1630" t="s">
        <v>899</v>
      </c>
      <c r="L1630">
        <v>10</v>
      </c>
      <c r="M1630" s="134">
        <v>400000</v>
      </c>
      <c r="N1630" s="134">
        <v>0</v>
      </c>
      <c r="O1630" t="s">
        <v>5354</v>
      </c>
      <c r="P1630" t="s">
        <v>7870</v>
      </c>
      <c r="Q1630" t="s">
        <v>29</v>
      </c>
      <c r="R1630" t="s">
        <v>7875</v>
      </c>
      <c r="T1630">
        <v>17</v>
      </c>
      <c r="U1630" t="s">
        <v>491</v>
      </c>
      <c r="X1630">
        <v>1</v>
      </c>
    </row>
    <row r="1631" spans="1:24" x14ac:dyDescent="0.25">
      <c r="A1631" s="234">
        <v>43319</v>
      </c>
      <c r="B1631" t="s">
        <v>328</v>
      </c>
      <c r="C1631" t="s">
        <v>603</v>
      </c>
      <c r="D1631" t="s">
        <v>649</v>
      </c>
      <c r="E1631" t="s">
        <v>588</v>
      </c>
      <c r="F1631" t="s">
        <v>12113</v>
      </c>
      <c r="G1631" t="s">
        <v>9300</v>
      </c>
      <c r="H1631" t="s">
        <v>1050</v>
      </c>
      <c r="J1631" t="s">
        <v>3751</v>
      </c>
      <c r="L1631">
        <v>3</v>
      </c>
      <c r="M1631" s="134">
        <v>400000</v>
      </c>
      <c r="N1631" s="134">
        <v>400000</v>
      </c>
      <c r="O1631" t="s">
        <v>10766</v>
      </c>
      <c r="P1631" t="s">
        <v>12114</v>
      </c>
      <c r="Q1631" t="s">
        <v>592</v>
      </c>
      <c r="R1631" t="s">
        <v>12115</v>
      </c>
      <c r="U1631" t="s">
        <v>1327</v>
      </c>
      <c r="X1631">
        <v>0</v>
      </c>
    </row>
    <row r="1632" spans="1:24" x14ac:dyDescent="0.25">
      <c r="A1632" s="234">
        <v>42761</v>
      </c>
      <c r="B1632" t="s">
        <v>5176</v>
      </c>
      <c r="D1632" t="s">
        <v>2454</v>
      </c>
      <c r="E1632" t="s">
        <v>588</v>
      </c>
      <c r="F1632" t="s">
        <v>5466</v>
      </c>
      <c r="H1632" t="s">
        <v>809</v>
      </c>
      <c r="I1632" t="s">
        <v>5467</v>
      </c>
      <c r="J1632" t="s">
        <v>3369</v>
      </c>
      <c r="M1632" s="134">
        <v>400000</v>
      </c>
      <c r="N1632" s="134">
        <v>400000</v>
      </c>
      <c r="O1632" t="s">
        <v>5468</v>
      </c>
      <c r="P1632" t="s">
        <v>5469</v>
      </c>
      <c r="Q1632" t="s">
        <v>1939</v>
      </c>
      <c r="R1632" t="s">
        <v>5470</v>
      </c>
      <c r="U1632" t="s">
        <v>491</v>
      </c>
      <c r="X1632">
        <v>0</v>
      </c>
    </row>
    <row r="1633" spans="1:24" x14ac:dyDescent="0.25">
      <c r="A1633" s="234">
        <v>42968</v>
      </c>
      <c r="B1633" t="s">
        <v>5176</v>
      </c>
      <c r="C1633" t="s">
        <v>604</v>
      </c>
      <c r="D1633" t="s">
        <v>2454</v>
      </c>
      <c r="E1633" t="s">
        <v>588</v>
      </c>
      <c r="F1633" t="s">
        <v>8224</v>
      </c>
      <c r="G1633" t="s">
        <v>8225</v>
      </c>
      <c r="H1633" t="s">
        <v>886</v>
      </c>
      <c r="I1633" t="s">
        <v>8226</v>
      </c>
      <c r="J1633" t="s">
        <v>3369</v>
      </c>
      <c r="L1633">
        <v>4</v>
      </c>
      <c r="M1633" s="134">
        <v>400000</v>
      </c>
      <c r="N1633" s="134">
        <v>400000</v>
      </c>
      <c r="O1633" t="s">
        <v>8227</v>
      </c>
      <c r="P1633" t="s">
        <v>8228</v>
      </c>
      <c r="Q1633" t="s">
        <v>29</v>
      </c>
      <c r="R1633" t="s">
        <v>8229</v>
      </c>
      <c r="T1633">
        <v>18</v>
      </c>
      <c r="U1633" t="s">
        <v>491</v>
      </c>
      <c r="X1633">
        <v>1</v>
      </c>
    </row>
    <row r="1634" spans="1:24" x14ac:dyDescent="0.25">
      <c r="A1634" s="234">
        <v>42458</v>
      </c>
      <c r="B1634" t="s">
        <v>328</v>
      </c>
      <c r="C1634" t="s">
        <v>603</v>
      </c>
      <c r="D1634" t="s">
        <v>649</v>
      </c>
      <c r="E1634" t="s">
        <v>588</v>
      </c>
      <c r="F1634" t="s">
        <v>1434</v>
      </c>
      <c r="H1634" t="s">
        <v>1050</v>
      </c>
      <c r="I1634" t="s">
        <v>1004</v>
      </c>
      <c r="M1634" s="134">
        <v>400000</v>
      </c>
      <c r="N1634" s="134">
        <v>400000</v>
      </c>
      <c r="O1634" t="s">
        <v>1435</v>
      </c>
      <c r="P1634" t="s">
        <v>1436</v>
      </c>
      <c r="Q1634" t="s">
        <v>592</v>
      </c>
      <c r="R1634" t="s">
        <v>1437</v>
      </c>
      <c r="U1634" t="s">
        <v>491</v>
      </c>
      <c r="X1634">
        <v>0</v>
      </c>
    </row>
    <row r="1635" spans="1:24" x14ac:dyDescent="0.25">
      <c r="A1635" s="234">
        <v>42537</v>
      </c>
      <c r="B1635" t="s">
        <v>328</v>
      </c>
      <c r="C1635" t="s">
        <v>603</v>
      </c>
      <c r="D1635" t="s">
        <v>1401</v>
      </c>
      <c r="E1635" t="s">
        <v>588</v>
      </c>
      <c r="F1635" t="s">
        <v>2559</v>
      </c>
      <c r="H1635" t="s">
        <v>722</v>
      </c>
      <c r="I1635" t="s">
        <v>2561</v>
      </c>
      <c r="M1635" s="134">
        <v>400000</v>
      </c>
      <c r="N1635" s="134">
        <v>440000</v>
      </c>
      <c r="O1635" t="s">
        <v>2560</v>
      </c>
      <c r="P1635" t="s">
        <v>2562</v>
      </c>
      <c r="Q1635" t="s">
        <v>29</v>
      </c>
      <c r="R1635" t="s">
        <v>2563</v>
      </c>
      <c r="U1635" t="s">
        <v>491</v>
      </c>
      <c r="X1635">
        <v>1</v>
      </c>
    </row>
    <row r="1636" spans="1:24" x14ac:dyDescent="0.25">
      <c r="A1636" s="234">
        <v>42767</v>
      </c>
      <c r="B1636" t="s">
        <v>5176</v>
      </c>
      <c r="C1636" t="s">
        <v>959</v>
      </c>
      <c r="D1636" t="s">
        <v>732</v>
      </c>
      <c r="E1636" t="s">
        <v>588</v>
      </c>
      <c r="F1636" t="s">
        <v>5571</v>
      </c>
      <c r="H1636" t="s">
        <v>905</v>
      </c>
      <c r="I1636" t="s">
        <v>5572</v>
      </c>
      <c r="J1636" t="s">
        <v>959</v>
      </c>
      <c r="M1636" s="134">
        <v>400000</v>
      </c>
      <c r="N1636" s="134">
        <v>450000</v>
      </c>
      <c r="O1636" t="s">
        <v>5573</v>
      </c>
      <c r="P1636" t="s">
        <v>5574</v>
      </c>
      <c r="Q1636" t="s">
        <v>620</v>
      </c>
      <c r="R1636" t="s">
        <v>5575</v>
      </c>
      <c r="U1636" t="s">
        <v>491</v>
      </c>
      <c r="X1636">
        <v>0</v>
      </c>
    </row>
    <row r="1637" spans="1:24" x14ac:dyDescent="0.25">
      <c r="A1637" s="234">
        <v>43207</v>
      </c>
      <c r="B1637" t="s">
        <v>5360</v>
      </c>
      <c r="C1637" t="s">
        <v>899</v>
      </c>
      <c r="D1637" t="s">
        <v>611</v>
      </c>
      <c r="E1637" t="s">
        <v>588</v>
      </c>
      <c r="F1637" t="s">
        <v>10966</v>
      </c>
      <c r="G1637" t="s">
        <v>10967</v>
      </c>
      <c r="H1637" t="s">
        <v>905</v>
      </c>
      <c r="I1637" t="s">
        <v>3959</v>
      </c>
      <c r="J1637" t="s">
        <v>899</v>
      </c>
      <c r="L1637">
        <v>4</v>
      </c>
      <c r="M1637" s="134">
        <v>400000</v>
      </c>
      <c r="N1637" s="134">
        <v>490000</v>
      </c>
      <c r="O1637" t="s">
        <v>10766</v>
      </c>
      <c r="P1637" t="s">
        <v>11146</v>
      </c>
      <c r="Q1637" t="s">
        <v>592</v>
      </c>
      <c r="R1637" t="s">
        <v>10968</v>
      </c>
      <c r="U1637" t="s">
        <v>1327</v>
      </c>
      <c r="X1637">
        <v>0</v>
      </c>
    </row>
    <row r="1638" spans="1:24" x14ac:dyDescent="0.25">
      <c r="A1638" s="234">
        <v>42758</v>
      </c>
      <c r="B1638" t="s">
        <v>643</v>
      </c>
      <c r="C1638" t="s">
        <v>644</v>
      </c>
      <c r="D1638" t="s">
        <v>645</v>
      </c>
      <c r="E1638" t="s">
        <v>588</v>
      </c>
      <c r="F1638" t="s">
        <v>5405</v>
      </c>
      <c r="H1638" t="s">
        <v>722</v>
      </c>
      <c r="I1638" t="s">
        <v>4390</v>
      </c>
      <c r="J1638" t="s">
        <v>644</v>
      </c>
      <c r="L1638" t="s">
        <v>5302</v>
      </c>
      <c r="M1638" s="134">
        <v>400000</v>
      </c>
      <c r="N1638" s="134">
        <v>490000</v>
      </c>
      <c r="O1638" t="s">
        <v>653</v>
      </c>
      <c r="P1638" t="s">
        <v>5406</v>
      </c>
      <c r="Q1638" t="s">
        <v>29</v>
      </c>
      <c r="R1638" t="s">
        <v>5407</v>
      </c>
      <c r="U1638" t="s">
        <v>491</v>
      </c>
      <c r="X1638">
        <v>1</v>
      </c>
    </row>
    <row r="1639" spans="1:24" x14ac:dyDescent="0.25">
      <c r="A1639" s="234">
        <v>42613</v>
      </c>
      <c r="B1639" t="s">
        <v>328</v>
      </c>
      <c r="C1639" t="s">
        <v>603</v>
      </c>
      <c r="D1639" t="s">
        <v>1471</v>
      </c>
      <c r="E1639" t="s">
        <v>588</v>
      </c>
      <c r="F1639" t="s">
        <v>3709</v>
      </c>
      <c r="H1639" t="s">
        <v>607</v>
      </c>
      <c r="I1639" t="s">
        <v>3710</v>
      </c>
      <c r="J1639" t="s">
        <v>899</v>
      </c>
      <c r="L1639">
        <v>10</v>
      </c>
      <c r="M1639" s="134">
        <v>400000</v>
      </c>
      <c r="N1639" s="134">
        <v>490000</v>
      </c>
      <c r="O1639" t="s">
        <v>764</v>
      </c>
      <c r="P1639" t="s">
        <v>3711</v>
      </c>
      <c r="Q1639" t="s">
        <v>1939</v>
      </c>
      <c r="R1639" t="s">
        <v>3712</v>
      </c>
      <c r="U1639" t="s">
        <v>491</v>
      </c>
      <c r="X1639">
        <v>0</v>
      </c>
    </row>
    <row r="1640" spans="1:24" x14ac:dyDescent="0.25">
      <c r="A1640" s="234">
        <v>42389</v>
      </c>
      <c r="B1640" t="s">
        <v>328</v>
      </c>
      <c r="C1640" t="s">
        <v>603</v>
      </c>
      <c r="D1640" t="s">
        <v>587</v>
      </c>
      <c r="E1640" t="s">
        <v>588</v>
      </c>
      <c r="F1640" t="s">
        <v>780</v>
      </c>
      <c r="H1640" t="s">
        <v>722</v>
      </c>
      <c r="I1640" t="s">
        <v>781</v>
      </c>
      <c r="M1640" s="134">
        <v>400000</v>
      </c>
      <c r="N1640" s="134">
        <v>492000</v>
      </c>
      <c r="O1640" t="s">
        <v>782</v>
      </c>
      <c r="P1640" t="s">
        <v>783</v>
      </c>
      <c r="Q1640" t="s">
        <v>620</v>
      </c>
      <c r="R1640" t="s">
        <v>1187</v>
      </c>
      <c r="U1640" t="s">
        <v>491</v>
      </c>
      <c r="X1640">
        <v>0</v>
      </c>
    </row>
    <row r="1641" spans="1:24" x14ac:dyDescent="0.25">
      <c r="A1641" s="234">
        <v>42417</v>
      </c>
      <c r="B1641" t="s">
        <v>320</v>
      </c>
      <c r="D1641" t="s">
        <v>1016</v>
      </c>
      <c r="E1641" t="s">
        <v>588</v>
      </c>
      <c r="F1641" t="s">
        <v>1017</v>
      </c>
      <c r="H1641" t="s">
        <v>607</v>
      </c>
      <c r="I1641" t="s">
        <v>1018</v>
      </c>
      <c r="M1641" s="134">
        <v>400000</v>
      </c>
      <c r="N1641" s="134">
        <v>510000</v>
      </c>
      <c r="O1641" t="s">
        <v>1019</v>
      </c>
      <c r="P1641" t="s">
        <v>1020</v>
      </c>
      <c r="Q1641" t="s">
        <v>592</v>
      </c>
      <c r="R1641" t="s">
        <v>1021</v>
      </c>
      <c r="U1641" t="s">
        <v>491</v>
      </c>
      <c r="X1641">
        <v>0</v>
      </c>
    </row>
    <row r="1642" spans="1:24" x14ac:dyDescent="0.25">
      <c r="A1642" s="234">
        <v>42825</v>
      </c>
      <c r="B1642" t="s">
        <v>320</v>
      </c>
      <c r="C1642" t="s">
        <v>1228</v>
      </c>
      <c r="D1642" t="s">
        <v>1229</v>
      </c>
      <c r="E1642" t="s">
        <v>588</v>
      </c>
      <c r="F1642" t="s">
        <v>6208</v>
      </c>
      <c r="H1642" t="s">
        <v>607</v>
      </c>
      <c r="I1642" t="s">
        <v>6209</v>
      </c>
      <c r="J1642" t="s">
        <v>3856</v>
      </c>
      <c r="M1642" s="134">
        <v>400000</v>
      </c>
      <c r="N1642" s="134">
        <v>515000</v>
      </c>
      <c r="O1642" t="s">
        <v>1680</v>
      </c>
      <c r="P1642" t="s">
        <v>6210</v>
      </c>
      <c r="Q1642" t="s">
        <v>29</v>
      </c>
      <c r="R1642" t="s">
        <v>6211</v>
      </c>
      <c r="U1642" t="s">
        <v>491</v>
      </c>
      <c r="X1642">
        <v>1</v>
      </c>
    </row>
    <row r="1643" spans="1:24" x14ac:dyDescent="0.25">
      <c r="A1643" s="234">
        <v>43622</v>
      </c>
      <c r="B1643" t="s">
        <v>6076</v>
      </c>
      <c r="C1643" t="s">
        <v>3370</v>
      </c>
      <c r="D1643" t="s">
        <v>2836</v>
      </c>
      <c r="F1643" t="s">
        <v>15941</v>
      </c>
      <c r="G1643" t="s">
        <v>2346</v>
      </c>
      <c r="H1643" t="s">
        <v>607</v>
      </c>
      <c r="I1643" t="s">
        <v>6796</v>
      </c>
      <c r="J1643" t="s">
        <v>15942</v>
      </c>
      <c r="K1643" t="s">
        <v>15943</v>
      </c>
      <c r="M1643" s="134">
        <v>400000</v>
      </c>
      <c r="N1643" s="134">
        <v>630000</v>
      </c>
      <c r="O1643" t="s">
        <v>10763</v>
      </c>
      <c r="P1643" t="s">
        <v>15944</v>
      </c>
      <c r="Q1643" t="s">
        <v>29</v>
      </c>
      <c r="R1643" t="s">
        <v>15945</v>
      </c>
      <c r="U1643" t="s">
        <v>491</v>
      </c>
      <c r="X1643">
        <v>1</v>
      </c>
    </row>
    <row r="1644" spans="1:24" x14ac:dyDescent="0.25">
      <c r="A1644" s="234">
        <v>42655</v>
      </c>
      <c r="B1644" t="s">
        <v>328</v>
      </c>
      <c r="C1644" t="s">
        <v>603</v>
      </c>
      <c r="D1644" t="s">
        <v>2397</v>
      </c>
      <c r="E1644" t="s">
        <v>588</v>
      </c>
      <c r="F1644" t="s">
        <v>4278</v>
      </c>
      <c r="H1644" t="s">
        <v>607</v>
      </c>
      <c r="I1644" t="s">
        <v>4279</v>
      </c>
      <c r="J1644" t="s">
        <v>899</v>
      </c>
      <c r="L1644">
        <v>9</v>
      </c>
      <c r="M1644" s="134">
        <v>400000</v>
      </c>
      <c r="N1644" s="134">
        <v>640000</v>
      </c>
      <c r="O1644" t="s">
        <v>3107</v>
      </c>
      <c r="P1644" t="s">
        <v>4280</v>
      </c>
      <c r="Q1644" t="s">
        <v>1939</v>
      </c>
      <c r="R1644" t="s">
        <v>4281</v>
      </c>
      <c r="U1644" t="s">
        <v>491</v>
      </c>
      <c r="X1644">
        <v>0</v>
      </c>
    </row>
    <row r="1645" spans="1:24" x14ac:dyDescent="0.25">
      <c r="A1645" s="234">
        <v>43392</v>
      </c>
      <c r="B1645" t="s">
        <v>250</v>
      </c>
      <c r="C1645" t="s">
        <v>3856</v>
      </c>
      <c r="D1645" t="s">
        <v>12971</v>
      </c>
      <c r="F1645" t="s">
        <v>12972</v>
      </c>
      <c r="G1645" t="s">
        <v>7855</v>
      </c>
      <c r="H1645" t="s">
        <v>607</v>
      </c>
      <c r="I1645" t="s">
        <v>7662</v>
      </c>
      <c r="J1645" t="s">
        <v>3856</v>
      </c>
      <c r="K1645">
        <v>39110</v>
      </c>
      <c r="M1645" s="134">
        <v>400000</v>
      </c>
      <c r="N1645" s="134">
        <v>650000</v>
      </c>
      <c r="O1645" t="s">
        <v>10766</v>
      </c>
      <c r="P1645" t="s">
        <v>12974</v>
      </c>
      <c r="Q1645" t="s">
        <v>1939</v>
      </c>
      <c r="R1645" t="s">
        <v>12975</v>
      </c>
      <c r="U1645" t="s">
        <v>12344</v>
      </c>
      <c r="X1645">
        <v>0</v>
      </c>
    </row>
    <row r="1646" spans="1:24" x14ac:dyDescent="0.25">
      <c r="A1646" s="234">
        <v>43110</v>
      </c>
      <c r="B1646" t="s">
        <v>110</v>
      </c>
      <c r="C1646" t="s">
        <v>761</v>
      </c>
      <c r="D1646" t="s">
        <v>715</v>
      </c>
      <c r="E1646" t="s">
        <v>588</v>
      </c>
      <c r="F1646" t="s">
        <v>9999</v>
      </c>
      <c r="G1646" t="s">
        <v>8198</v>
      </c>
      <c r="H1646" t="s">
        <v>607</v>
      </c>
      <c r="I1646" t="s">
        <v>10000</v>
      </c>
      <c r="J1646" t="s">
        <v>3523</v>
      </c>
      <c r="L1646">
        <v>5</v>
      </c>
      <c r="M1646" s="134">
        <v>400000</v>
      </c>
      <c r="N1646" s="134">
        <v>680000</v>
      </c>
      <c r="O1646" t="s">
        <v>560</v>
      </c>
      <c r="P1646" t="s">
        <v>10001</v>
      </c>
      <c r="Q1646" t="s">
        <v>1939</v>
      </c>
      <c r="R1646" t="s">
        <v>10002</v>
      </c>
      <c r="U1646" t="s">
        <v>1327</v>
      </c>
      <c r="X1646">
        <v>0</v>
      </c>
    </row>
    <row r="1647" spans="1:24" x14ac:dyDescent="0.25">
      <c r="A1647" s="234">
        <v>42950</v>
      </c>
      <c r="B1647" t="s">
        <v>328</v>
      </c>
      <c r="C1647" t="s">
        <v>603</v>
      </c>
      <c r="D1647" t="s">
        <v>649</v>
      </c>
      <c r="E1647" t="s">
        <v>588</v>
      </c>
      <c r="F1647" t="s">
        <v>7982</v>
      </c>
      <c r="G1647" t="s">
        <v>7983</v>
      </c>
      <c r="H1647" t="s">
        <v>607</v>
      </c>
      <c r="I1647" t="s">
        <v>4192</v>
      </c>
      <c r="J1647" t="s">
        <v>3398</v>
      </c>
      <c r="L1647">
        <v>2</v>
      </c>
      <c r="M1647" s="134">
        <v>400000</v>
      </c>
      <c r="N1647" s="134">
        <v>680000</v>
      </c>
      <c r="O1647" t="s">
        <v>1171</v>
      </c>
      <c r="P1647" t="s">
        <v>7984</v>
      </c>
      <c r="Q1647" t="s">
        <v>1612</v>
      </c>
      <c r="R1647" t="s">
        <v>7999</v>
      </c>
      <c r="T1647">
        <v>46</v>
      </c>
      <c r="U1647" t="s">
        <v>491</v>
      </c>
      <c r="X1647">
        <v>0</v>
      </c>
    </row>
    <row r="1648" spans="1:24" x14ac:dyDescent="0.25">
      <c r="A1648" s="234">
        <v>42713</v>
      </c>
      <c r="B1648" t="s">
        <v>378</v>
      </c>
      <c r="C1648" t="s">
        <v>623</v>
      </c>
      <c r="D1648" t="s">
        <v>930</v>
      </c>
      <c r="E1648" t="s">
        <v>588</v>
      </c>
      <c r="F1648" t="s">
        <v>4972</v>
      </c>
      <c r="H1648" t="s">
        <v>607</v>
      </c>
      <c r="I1648" t="s">
        <v>4973</v>
      </c>
      <c r="J1648" t="s">
        <v>899</v>
      </c>
      <c r="L1648">
        <v>4</v>
      </c>
      <c r="M1648" s="134">
        <v>400000</v>
      </c>
      <c r="N1648" s="134">
        <v>690000</v>
      </c>
      <c r="O1648" t="s">
        <v>4974</v>
      </c>
      <c r="P1648" t="s">
        <v>4975</v>
      </c>
      <c r="Q1648" t="s">
        <v>1939</v>
      </c>
      <c r="R1648" t="s">
        <v>4980</v>
      </c>
      <c r="U1648" t="s">
        <v>491</v>
      </c>
      <c r="X1648">
        <v>0</v>
      </c>
    </row>
    <row r="1649" spans="1:24" x14ac:dyDescent="0.25">
      <c r="A1649" s="234">
        <v>42662</v>
      </c>
      <c r="B1649" t="s">
        <v>378</v>
      </c>
      <c r="C1649" t="s">
        <v>623</v>
      </c>
      <c r="D1649" t="s">
        <v>930</v>
      </c>
      <c r="E1649" t="s">
        <v>588</v>
      </c>
      <c r="F1649" t="s">
        <v>4382</v>
      </c>
      <c r="H1649" t="s">
        <v>607</v>
      </c>
      <c r="I1649" t="s">
        <v>4383</v>
      </c>
      <c r="J1649" t="s">
        <v>899</v>
      </c>
      <c r="L1649">
        <v>4</v>
      </c>
      <c r="M1649" s="134">
        <v>400000</v>
      </c>
      <c r="N1649" s="134">
        <v>720000</v>
      </c>
      <c r="O1649" t="s">
        <v>4384</v>
      </c>
      <c r="P1649" t="s">
        <v>4385</v>
      </c>
      <c r="Q1649" t="s">
        <v>592</v>
      </c>
      <c r="U1649" t="s">
        <v>491</v>
      </c>
      <c r="X1649">
        <v>0</v>
      </c>
    </row>
    <row r="1650" spans="1:24" x14ac:dyDescent="0.25">
      <c r="A1650" s="234">
        <v>43126</v>
      </c>
      <c r="B1650" t="s">
        <v>569</v>
      </c>
      <c r="C1650" t="s">
        <v>899</v>
      </c>
      <c r="D1650" t="s">
        <v>930</v>
      </c>
      <c r="E1650" t="s">
        <v>821</v>
      </c>
      <c r="F1650" t="s">
        <v>6124</v>
      </c>
      <c r="H1650" t="s">
        <v>905</v>
      </c>
      <c r="J1650" t="s">
        <v>899</v>
      </c>
      <c r="M1650" s="134">
        <v>400000</v>
      </c>
      <c r="N1650" s="134">
        <v>750000</v>
      </c>
      <c r="O1650" t="s">
        <v>4533</v>
      </c>
      <c r="P1650" t="s">
        <v>10144</v>
      </c>
      <c r="Q1650" t="s">
        <v>1939</v>
      </c>
      <c r="R1650" t="s">
        <v>10145</v>
      </c>
      <c r="U1650" t="s">
        <v>491</v>
      </c>
      <c r="X1650">
        <v>0</v>
      </c>
    </row>
    <row r="1651" spans="1:24" x14ac:dyDescent="0.25">
      <c r="A1651" s="234">
        <v>43131</v>
      </c>
      <c r="B1651" t="s">
        <v>328</v>
      </c>
      <c r="C1651" t="s">
        <v>603</v>
      </c>
      <c r="D1651" t="s">
        <v>5701</v>
      </c>
      <c r="E1651" t="s">
        <v>588</v>
      </c>
      <c r="F1651" t="s">
        <v>10201</v>
      </c>
      <c r="G1651" t="s">
        <v>10173</v>
      </c>
      <c r="H1651" t="s">
        <v>607</v>
      </c>
      <c r="J1651" t="s">
        <v>5610</v>
      </c>
      <c r="L1651">
        <v>10</v>
      </c>
      <c r="M1651" s="134">
        <v>400000</v>
      </c>
      <c r="N1651" s="134">
        <v>750000</v>
      </c>
      <c r="O1651" t="s">
        <v>7124</v>
      </c>
      <c r="P1651" t="s">
        <v>10189</v>
      </c>
      <c r="Q1651" t="s">
        <v>620</v>
      </c>
      <c r="R1651" t="s">
        <v>10205</v>
      </c>
      <c r="S1651" t="s">
        <v>10206</v>
      </c>
      <c r="U1651" t="s">
        <v>1327</v>
      </c>
      <c r="X1651">
        <v>0</v>
      </c>
    </row>
    <row r="1652" spans="1:24" x14ac:dyDescent="0.25">
      <c r="A1652" s="234">
        <v>43132</v>
      </c>
      <c r="B1652" t="s">
        <v>328</v>
      </c>
      <c r="C1652" t="s">
        <v>899</v>
      </c>
      <c r="D1652" t="s">
        <v>649</v>
      </c>
      <c r="E1652" t="s">
        <v>588</v>
      </c>
      <c r="F1652" t="s">
        <v>10201</v>
      </c>
      <c r="G1652" t="s">
        <v>10173</v>
      </c>
      <c r="H1652" t="s">
        <v>607</v>
      </c>
      <c r="I1652" t="s">
        <v>10259</v>
      </c>
      <c r="J1652" t="s">
        <v>5610</v>
      </c>
      <c r="L1652">
        <v>10</v>
      </c>
      <c r="M1652" s="134">
        <v>400000</v>
      </c>
      <c r="N1652" s="134">
        <v>750000</v>
      </c>
      <c r="O1652" t="s">
        <v>7124</v>
      </c>
      <c r="P1652" t="s">
        <v>10438</v>
      </c>
      <c r="Q1652" t="s">
        <v>1939</v>
      </c>
      <c r="R1652" t="s">
        <v>10258</v>
      </c>
      <c r="U1652" t="s">
        <v>1327</v>
      </c>
      <c r="X1652">
        <v>0</v>
      </c>
    </row>
    <row r="1653" spans="1:24" x14ac:dyDescent="0.25">
      <c r="A1653" s="234">
        <v>43468</v>
      </c>
      <c r="B1653" t="s">
        <v>328</v>
      </c>
      <c r="C1653" t="s">
        <v>603</v>
      </c>
      <c r="D1653" t="s">
        <v>7595</v>
      </c>
      <c r="F1653" t="s">
        <v>12440</v>
      </c>
      <c r="G1653" t="s">
        <v>8294</v>
      </c>
      <c r="H1653" t="s">
        <v>607</v>
      </c>
      <c r="I1653" t="s">
        <v>13798</v>
      </c>
      <c r="J1653" t="s">
        <v>3733</v>
      </c>
      <c r="K1653" t="s">
        <v>13799</v>
      </c>
      <c r="L1653">
        <v>2</v>
      </c>
      <c r="M1653" s="134">
        <v>400000</v>
      </c>
      <c r="N1653" s="134">
        <v>760000</v>
      </c>
      <c r="O1653" t="s">
        <v>4533</v>
      </c>
      <c r="P1653" t="s">
        <v>14218</v>
      </c>
      <c r="Q1653" t="s">
        <v>592</v>
      </c>
      <c r="R1653" t="s">
        <v>13800</v>
      </c>
      <c r="U1653" t="s">
        <v>12797</v>
      </c>
      <c r="X1653">
        <v>0</v>
      </c>
    </row>
    <row r="1654" spans="1:24" x14ac:dyDescent="0.25">
      <c r="A1654" s="234">
        <v>42865</v>
      </c>
      <c r="B1654" t="s">
        <v>328</v>
      </c>
      <c r="C1654" t="s">
        <v>603</v>
      </c>
      <c r="D1654" t="s">
        <v>1401</v>
      </c>
      <c r="E1654" t="s">
        <v>588</v>
      </c>
      <c r="F1654" t="s">
        <v>6725</v>
      </c>
      <c r="H1654" t="s">
        <v>607</v>
      </c>
      <c r="I1654" t="s">
        <v>6726</v>
      </c>
      <c r="J1654" t="s">
        <v>899</v>
      </c>
      <c r="L1654">
        <v>2</v>
      </c>
      <c r="M1654" s="134">
        <v>400000</v>
      </c>
      <c r="N1654" s="134">
        <v>760000</v>
      </c>
      <c r="O1654" t="s">
        <v>6522</v>
      </c>
      <c r="P1654" t="s">
        <v>6740</v>
      </c>
      <c r="Q1654" t="s">
        <v>1612</v>
      </c>
      <c r="R1654" t="s">
        <v>6741</v>
      </c>
      <c r="U1654" t="s">
        <v>491</v>
      </c>
      <c r="X1654">
        <v>0</v>
      </c>
    </row>
    <row r="1655" spans="1:24" x14ac:dyDescent="0.25">
      <c r="A1655" s="234">
        <v>42501</v>
      </c>
      <c r="B1655" t="s">
        <v>328</v>
      </c>
      <c r="C1655" t="s">
        <v>603</v>
      </c>
      <c r="D1655" t="s">
        <v>587</v>
      </c>
      <c r="E1655" t="s">
        <v>588</v>
      </c>
      <c r="F1655" t="s">
        <v>2029</v>
      </c>
      <c r="H1655" t="s">
        <v>607</v>
      </c>
      <c r="I1655" t="s">
        <v>2031</v>
      </c>
      <c r="M1655" s="134">
        <v>400000</v>
      </c>
      <c r="N1655" s="134">
        <v>900000</v>
      </c>
      <c r="O1655" t="s">
        <v>2032</v>
      </c>
      <c r="P1655" t="s">
        <v>2030</v>
      </c>
      <c r="Q1655" t="s">
        <v>29</v>
      </c>
      <c r="R1655" t="s">
        <v>2034</v>
      </c>
      <c r="U1655" t="s">
        <v>491</v>
      </c>
      <c r="X1655">
        <v>1</v>
      </c>
    </row>
    <row r="1656" spans="1:24" x14ac:dyDescent="0.25">
      <c r="A1656" s="234">
        <v>43041</v>
      </c>
      <c r="B1656" t="s">
        <v>328</v>
      </c>
      <c r="C1656" t="s">
        <v>603</v>
      </c>
      <c r="D1656" t="s">
        <v>7595</v>
      </c>
      <c r="E1656" t="s">
        <v>588</v>
      </c>
      <c r="F1656" t="s">
        <v>9331</v>
      </c>
      <c r="G1656" t="s">
        <v>9332</v>
      </c>
      <c r="H1656" t="s">
        <v>1391</v>
      </c>
      <c r="J1656" t="s">
        <v>603</v>
      </c>
      <c r="L1656">
        <v>9</v>
      </c>
      <c r="M1656" s="134">
        <v>400000</v>
      </c>
      <c r="N1656" s="134">
        <v>960000</v>
      </c>
      <c r="O1656" t="s">
        <v>4533</v>
      </c>
      <c r="P1656" t="s">
        <v>9333</v>
      </c>
      <c r="Q1656" t="s">
        <v>1939</v>
      </c>
      <c r="R1656" t="s">
        <v>9330</v>
      </c>
      <c r="U1656" t="s">
        <v>1327</v>
      </c>
      <c r="X1656">
        <v>0</v>
      </c>
    </row>
    <row r="1657" spans="1:24" x14ac:dyDescent="0.25">
      <c r="A1657" s="234">
        <v>43308</v>
      </c>
      <c r="B1657" t="s">
        <v>9240</v>
      </c>
      <c r="C1657" t="s">
        <v>603</v>
      </c>
      <c r="D1657" t="s">
        <v>9241</v>
      </c>
      <c r="E1657" t="s">
        <v>588</v>
      </c>
      <c r="F1657" t="s">
        <v>11951</v>
      </c>
      <c r="G1657" t="s">
        <v>11952</v>
      </c>
      <c r="H1657" t="s">
        <v>607</v>
      </c>
      <c r="I1657" t="s">
        <v>11953</v>
      </c>
      <c r="J1657" t="s">
        <v>608</v>
      </c>
      <c r="L1657">
        <v>4</v>
      </c>
      <c r="M1657" s="134">
        <v>401000</v>
      </c>
      <c r="N1657" s="134">
        <v>802001</v>
      </c>
      <c r="O1657" t="s">
        <v>10766</v>
      </c>
      <c r="P1657" t="s">
        <v>11955</v>
      </c>
      <c r="Q1657" t="s">
        <v>1939</v>
      </c>
      <c r="R1657" t="s">
        <v>11954</v>
      </c>
      <c r="U1657" t="s">
        <v>1327</v>
      </c>
      <c r="X1657">
        <v>0</v>
      </c>
    </row>
    <row r="1658" spans="1:24" x14ac:dyDescent="0.25">
      <c r="A1658" s="234">
        <v>43425</v>
      </c>
      <c r="B1658" t="s">
        <v>569</v>
      </c>
      <c r="C1658" t="s">
        <v>899</v>
      </c>
      <c r="D1658" t="s">
        <v>11286</v>
      </c>
      <c r="F1658" t="s">
        <v>11757</v>
      </c>
      <c r="G1658" t="s">
        <v>11981</v>
      </c>
      <c r="H1658" t="s">
        <v>607</v>
      </c>
      <c r="I1658" t="s">
        <v>13274</v>
      </c>
      <c r="J1658" t="s">
        <v>899</v>
      </c>
      <c r="K1658" t="s">
        <v>13275</v>
      </c>
      <c r="M1658" s="134">
        <v>401000</v>
      </c>
      <c r="N1658" s="134">
        <v>843100</v>
      </c>
      <c r="O1658" t="s">
        <v>10766</v>
      </c>
      <c r="P1658" t="s">
        <v>13276</v>
      </c>
      <c r="Q1658" t="s">
        <v>29</v>
      </c>
      <c r="R1658" t="s">
        <v>13277</v>
      </c>
      <c r="U1658" t="s">
        <v>491</v>
      </c>
      <c r="X1658">
        <v>1</v>
      </c>
    </row>
    <row r="1659" spans="1:24" x14ac:dyDescent="0.25">
      <c r="A1659" s="234">
        <v>42485</v>
      </c>
      <c r="B1659" t="s">
        <v>328</v>
      </c>
      <c r="D1659" t="s">
        <v>1401</v>
      </c>
      <c r="E1659" t="s">
        <v>588</v>
      </c>
      <c r="F1659" t="s">
        <v>1825</v>
      </c>
      <c r="H1659" t="s">
        <v>1819</v>
      </c>
      <c r="I1659" t="s">
        <v>1826</v>
      </c>
      <c r="M1659" s="134">
        <v>403000</v>
      </c>
      <c r="N1659" s="134">
        <v>0</v>
      </c>
      <c r="O1659" t="s">
        <v>695</v>
      </c>
      <c r="P1659" t="s">
        <v>1827</v>
      </c>
      <c r="Q1659" t="s">
        <v>620</v>
      </c>
      <c r="R1659" t="s">
        <v>1828</v>
      </c>
      <c r="U1659" t="s">
        <v>633</v>
      </c>
      <c r="X1659">
        <v>0</v>
      </c>
    </row>
    <row r="1660" spans="1:24" x14ac:dyDescent="0.25">
      <c r="A1660" s="234">
        <v>42531</v>
      </c>
      <c r="B1660" t="s">
        <v>594</v>
      </c>
      <c r="C1660" t="s">
        <v>959</v>
      </c>
      <c r="D1660" t="s">
        <v>732</v>
      </c>
      <c r="E1660" t="s">
        <v>588</v>
      </c>
      <c r="F1660" t="s">
        <v>2446</v>
      </c>
      <c r="H1660" t="s">
        <v>607</v>
      </c>
      <c r="I1660" t="s">
        <v>2447</v>
      </c>
      <c r="M1660" s="134">
        <v>403000</v>
      </c>
      <c r="N1660" s="134">
        <v>0</v>
      </c>
      <c r="O1660" t="s">
        <v>2448</v>
      </c>
      <c r="P1660" t="s">
        <v>2449</v>
      </c>
      <c r="Q1660" t="s">
        <v>592</v>
      </c>
      <c r="U1660" t="s">
        <v>491</v>
      </c>
      <c r="X1660">
        <v>0</v>
      </c>
    </row>
    <row r="1661" spans="1:24" x14ac:dyDescent="0.25">
      <c r="A1661" s="234">
        <v>43081</v>
      </c>
      <c r="B1661" t="s">
        <v>328</v>
      </c>
      <c r="C1661" t="s">
        <v>603</v>
      </c>
      <c r="D1661" t="s">
        <v>649</v>
      </c>
      <c r="E1661" t="s">
        <v>588</v>
      </c>
      <c r="F1661" t="s">
        <v>9754</v>
      </c>
      <c r="G1661" t="s">
        <v>9753</v>
      </c>
      <c r="H1661" t="s">
        <v>905</v>
      </c>
      <c r="I1661" t="s">
        <v>8581</v>
      </c>
      <c r="J1661" t="s">
        <v>3533</v>
      </c>
      <c r="L1661">
        <v>2</v>
      </c>
      <c r="M1661" s="134">
        <v>403000</v>
      </c>
      <c r="N1661" s="134">
        <v>423000</v>
      </c>
      <c r="O1661" t="s">
        <v>1844</v>
      </c>
      <c r="P1661" t="s">
        <v>9755</v>
      </c>
      <c r="Q1661" t="s">
        <v>29</v>
      </c>
      <c r="R1661" t="s">
        <v>9756</v>
      </c>
      <c r="U1661" t="s">
        <v>1327</v>
      </c>
      <c r="X1661">
        <v>1</v>
      </c>
    </row>
    <row r="1662" spans="1:24" x14ac:dyDescent="0.25">
      <c r="A1662" s="234">
        <v>42943</v>
      </c>
      <c r="B1662" t="s">
        <v>328</v>
      </c>
      <c r="C1662" t="s">
        <v>603</v>
      </c>
      <c r="D1662" t="s">
        <v>5701</v>
      </c>
      <c r="E1662" t="s">
        <v>588</v>
      </c>
      <c r="F1662" t="s">
        <v>7841</v>
      </c>
      <c r="G1662" t="s">
        <v>7842</v>
      </c>
      <c r="H1662" t="s">
        <v>607</v>
      </c>
      <c r="I1662" t="s">
        <v>7843</v>
      </c>
      <c r="J1662" t="s">
        <v>3533</v>
      </c>
      <c r="L1662">
        <v>1</v>
      </c>
      <c r="M1662" s="134">
        <v>403000</v>
      </c>
      <c r="N1662" s="134">
        <v>644800</v>
      </c>
      <c r="O1662" t="s">
        <v>3107</v>
      </c>
      <c r="P1662" t="s">
        <v>7844</v>
      </c>
      <c r="Q1662" t="s">
        <v>1612</v>
      </c>
      <c r="R1662" t="s">
        <v>7882</v>
      </c>
      <c r="T1662">
        <v>34</v>
      </c>
      <c r="U1662" t="s">
        <v>491</v>
      </c>
      <c r="X1662">
        <v>0</v>
      </c>
    </row>
    <row r="1663" spans="1:24" x14ac:dyDescent="0.25">
      <c r="A1663" s="234">
        <v>43476</v>
      </c>
      <c r="B1663" t="s">
        <v>328</v>
      </c>
      <c r="C1663" t="s">
        <v>603</v>
      </c>
      <c r="D1663" t="s">
        <v>8941</v>
      </c>
      <c r="F1663" t="s">
        <v>13934</v>
      </c>
      <c r="G1663" t="s">
        <v>8515</v>
      </c>
      <c r="H1663" t="s">
        <v>886</v>
      </c>
      <c r="I1663" t="s">
        <v>13939</v>
      </c>
      <c r="J1663" t="s">
        <v>603</v>
      </c>
      <c r="K1663" t="s">
        <v>13935</v>
      </c>
      <c r="L1663">
        <v>5</v>
      </c>
      <c r="M1663" s="134">
        <v>403291</v>
      </c>
      <c r="N1663" s="134">
        <v>700000</v>
      </c>
      <c r="O1663" t="s">
        <v>2295</v>
      </c>
      <c r="P1663" t="s">
        <v>13936</v>
      </c>
      <c r="Q1663" t="s">
        <v>1939</v>
      </c>
      <c r="R1663" t="s">
        <v>14231</v>
      </c>
      <c r="U1663" t="s">
        <v>491</v>
      </c>
      <c r="X1663">
        <v>0</v>
      </c>
    </row>
    <row r="1664" spans="1:24" x14ac:dyDescent="0.25">
      <c r="A1664" s="234">
        <v>42879</v>
      </c>
      <c r="B1664" t="s">
        <v>110</v>
      </c>
      <c r="C1664" t="s">
        <v>761</v>
      </c>
      <c r="D1664" t="s">
        <v>715</v>
      </c>
      <c r="E1664" t="s">
        <v>588</v>
      </c>
      <c r="F1664" t="s">
        <v>6876</v>
      </c>
      <c r="H1664" t="s">
        <v>1391</v>
      </c>
      <c r="I1664" t="s">
        <v>6878</v>
      </c>
      <c r="J1664" t="s">
        <v>761</v>
      </c>
      <c r="L1664">
        <v>10</v>
      </c>
      <c r="M1664" s="134">
        <v>405000</v>
      </c>
      <c r="N1664" s="134">
        <v>688500</v>
      </c>
      <c r="O1664" t="s">
        <v>2886</v>
      </c>
      <c r="P1664" t="s">
        <v>6879</v>
      </c>
      <c r="Q1664" t="s">
        <v>592</v>
      </c>
      <c r="R1664" t="s">
        <v>6880</v>
      </c>
      <c r="U1664" t="s">
        <v>1327</v>
      </c>
      <c r="X1664">
        <v>0</v>
      </c>
    </row>
    <row r="1665" spans="1:24" x14ac:dyDescent="0.25">
      <c r="A1665" s="234">
        <v>43165</v>
      </c>
      <c r="B1665" t="s">
        <v>328</v>
      </c>
      <c r="C1665" t="s">
        <v>603</v>
      </c>
      <c r="D1665" t="s">
        <v>649</v>
      </c>
      <c r="E1665" t="s">
        <v>588</v>
      </c>
      <c r="F1665" t="s">
        <v>10516</v>
      </c>
      <c r="G1665" t="s">
        <v>8396</v>
      </c>
      <c r="H1665" t="s">
        <v>607</v>
      </c>
      <c r="I1665" t="s">
        <v>10517</v>
      </c>
      <c r="J1665" t="s">
        <v>6015</v>
      </c>
      <c r="M1665" s="134">
        <v>405000</v>
      </c>
      <c r="N1665" s="134">
        <v>911250</v>
      </c>
      <c r="O1665" t="s">
        <v>4533</v>
      </c>
      <c r="P1665" t="s">
        <v>10518</v>
      </c>
      <c r="Q1665" t="s">
        <v>1939</v>
      </c>
      <c r="R1665" t="s">
        <v>10754</v>
      </c>
      <c r="U1665" t="s">
        <v>1327</v>
      </c>
      <c r="X1665">
        <v>0</v>
      </c>
    </row>
    <row r="1666" spans="1:24" x14ac:dyDescent="0.25">
      <c r="A1666" s="234">
        <v>42619</v>
      </c>
      <c r="B1666" t="s">
        <v>378</v>
      </c>
      <c r="C1666" t="s">
        <v>610</v>
      </c>
      <c r="D1666" t="s">
        <v>732</v>
      </c>
      <c r="E1666" t="s">
        <v>588</v>
      </c>
      <c r="F1666" t="s">
        <v>3767</v>
      </c>
      <c r="H1666" t="s">
        <v>607</v>
      </c>
      <c r="I1666" t="s">
        <v>3768</v>
      </c>
      <c r="J1666" t="s">
        <v>899</v>
      </c>
      <c r="L1666">
        <v>3</v>
      </c>
      <c r="M1666" s="134">
        <v>406000</v>
      </c>
      <c r="N1666" s="134">
        <v>731200</v>
      </c>
      <c r="O1666" t="s">
        <v>3769</v>
      </c>
      <c r="P1666" t="s">
        <v>3770</v>
      </c>
      <c r="Q1666" t="s">
        <v>1939</v>
      </c>
      <c r="R1666" t="s">
        <v>3771</v>
      </c>
      <c r="U1666" t="s">
        <v>491</v>
      </c>
      <c r="X1666">
        <v>0</v>
      </c>
    </row>
    <row r="1667" spans="1:24" x14ac:dyDescent="0.25">
      <c r="A1667" s="234">
        <v>43299</v>
      </c>
      <c r="B1667" t="s">
        <v>328</v>
      </c>
      <c r="C1667" t="s">
        <v>603</v>
      </c>
      <c r="D1667" t="s">
        <v>649</v>
      </c>
      <c r="E1667" t="s">
        <v>588</v>
      </c>
      <c r="F1667" t="s">
        <v>11381</v>
      </c>
      <c r="G1667" t="s">
        <v>1789</v>
      </c>
      <c r="H1667" t="s">
        <v>607</v>
      </c>
      <c r="I1667" t="s">
        <v>11825</v>
      </c>
      <c r="J1667" t="s">
        <v>899</v>
      </c>
      <c r="L1667">
        <v>2</v>
      </c>
      <c r="M1667" s="134">
        <v>406000</v>
      </c>
      <c r="N1667" s="134">
        <v>1044200</v>
      </c>
      <c r="O1667" t="s">
        <v>4533</v>
      </c>
      <c r="P1667" t="s">
        <v>11826</v>
      </c>
      <c r="Q1667" t="s">
        <v>1939</v>
      </c>
      <c r="R1667" t="s">
        <v>12005</v>
      </c>
      <c r="U1667" t="s">
        <v>1327</v>
      </c>
      <c r="X1667">
        <v>0</v>
      </c>
    </row>
    <row r="1668" spans="1:24" x14ac:dyDescent="0.25">
      <c r="A1668" s="234">
        <v>43424</v>
      </c>
      <c r="B1668" t="s">
        <v>569</v>
      </c>
      <c r="C1668" t="s">
        <v>899</v>
      </c>
      <c r="D1668" t="s">
        <v>3505</v>
      </c>
      <c r="F1668" t="s">
        <v>10857</v>
      </c>
      <c r="G1668" t="s">
        <v>13229</v>
      </c>
      <c r="H1668" t="s">
        <v>2510</v>
      </c>
      <c r="I1668" t="s">
        <v>3947</v>
      </c>
      <c r="J1668" t="s">
        <v>899</v>
      </c>
      <c r="K1668" t="s">
        <v>13184</v>
      </c>
      <c r="L1668">
        <v>2</v>
      </c>
      <c r="M1668" s="134">
        <v>407300</v>
      </c>
      <c r="N1668" s="134">
        <v>720000</v>
      </c>
      <c r="O1668" t="s">
        <v>10766</v>
      </c>
      <c r="P1668" t="s">
        <v>13230</v>
      </c>
      <c r="Q1668" t="s">
        <v>29</v>
      </c>
      <c r="R1668" t="s">
        <v>13231</v>
      </c>
      <c r="S1668" t="s">
        <v>13232</v>
      </c>
      <c r="U1668" t="s">
        <v>491</v>
      </c>
      <c r="X1668">
        <v>1</v>
      </c>
    </row>
    <row r="1669" spans="1:24" x14ac:dyDescent="0.25">
      <c r="A1669" s="234">
        <v>42810</v>
      </c>
      <c r="B1669" t="s">
        <v>328</v>
      </c>
      <c r="C1669" t="s">
        <v>603</v>
      </c>
      <c r="D1669" t="s">
        <v>5701</v>
      </c>
      <c r="E1669" t="s">
        <v>588</v>
      </c>
      <c r="F1669" t="s">
        <v>5989</v>
      </c>
      <c r="H1669" t="s">
        <v>5321</v>
      </c>
      <c r="J1669" t="s">
        <v>899</v>
      </c>
      <c r="M1669" s="134">
        <v>408000</v>
      </c>
      <c r="N1669" s="134">
        <v>611800</v>
      </c>
      <c r="O1669" t="s">
        <v>5965</v>
      </c>
      <c r="Q1669" t="s">
        <v>620</v>
      </c>
      <c r="R1669" t="s">
        <v>5986</v>
      </c>
      <c r="U1669" t="s">
        <v>491</v>
      </c>
      <c r="X1669">
        <v>0</v>
      </c>
    </row>
    <row r="1670" spans="1:24" x14ac:dyDescent="0.25">
      <c r="A1670" s="234">
        <v>43326</v>
      </c>
      <c r="B1670" t="s">
        <v>9240</v>
      </c>
      <c r="C1670" t="s">
        <v>603</v>
      </c>
      <c r="D1670" t="s">
        <v>9241</v>
      </c>
      <c r="E1670" t="s">
        <v>588</v>
      </c>
      <c r="F1670" t="s">
        <v>12197</v>
      </c>
      <c r="G1670" t="s">
        <v>12196</v>
      </c>
      <c r="H1670" t="s">
        <v>607</v>
      </c>
      <c r="I1670" t="s">
        <v>9854</v>
      </c>
      <c r="J1670" t="s">
        <v>5402</v>
      </c>
      <c r="M1670" s="134">
        <v>408000</v>
      </c>
      <c r="N1670" s="134">
        <v>754000</v>
      </c>
      <c r="O1670" t="s">
        <v>10766</v>
      </c>
      <c r="P1670" t="s">
        <v>12195</v>
      </c>
      <c r="Q1670" t="s">
        <v>1939</v>
      </c>
      <c r="R1670" t="s">
        <v>12194</v>
      </c>
      <c r="U1670" t="s">
        <v>1327</v>
      </c>
      <c r="X1670">
        <v>0</v>
      </c>
    </row>
    <row r="1671" spans="1:24" x14ac:dyDescent="0.25">
      <c r="A1671" s="234">
        <v>42394</v>
      </c>
      <c r="B1671" t="s">
        <v>643</v>
      </c>
      <c r="C1671" t="s">
        <v>644</v>
      </c>
      <c r="D1671" t="s">
        <v>645</v>
      </c>
      <c r="E1671" t="s">
        <v>588</v>
      </c>
      <c r="F1671" t="s">
        <v>797</v>
      </c>
      <c r="H1671" t="s">
        <v>607</v>
      </c>
      <c r="I1671" t="s">
        <v>798</v>
      </c>
      <c r="M1671" s="134">
        <v>408770</v>
      </c>
      <c r="N1671" s="134">
        <v>736663</v>
      </c>
      <c r="O1671" t="s">
        <v>799</v>
      </c>
      <c r="P1671" t="s">
        <v>819</v>
      </c>
      <c r="Q1671" t="s">
        <v>592</v>
      </c>
      <c r="R1671" t="s">
        <v>820</v>
      </c>
      <c r="U1671" t="s">
        <v>491</v>
      </c>
      <c r="X1671">
        <v>0</v>
      </c>
    </row>
    <row r="1672" spans="1:24" x14ac:dyDescent="0.25">
      <c r="A1672" s="234">
        <v>42446</v>
      </c>
      <c r="B1672" t="s">
        <v>594</v>
      </c>
      <c r="C1672" t="s">
        <v>1363</v>
      </c>
      <c r="D1672" t="s">
        <v>605</v>
      </c>
      <c r="E1672" t="s">
        <v>588</v>
      </c>
      <c r="F1672" t="s">
        <v>1364</v>
      </c>
      <c r="H1672" t="s">
        <v>1365</v>
      </c>
      <c r="I1672" t="s">
        <v>1366</v>
      </c>
      <c r="M1672" s="134">
        <v>410000</v>
      </c>
      <c r="N1672" s="134">
        <v>0</v>
      </c>
      <c r="O1672" t="s">
        <v>1369</v>
      </c>
      <c r="P1672" t="s">
        <v>1367</v>
      </c>
      <c r="Q1672" t="s">
        <v>29</v>
      </c>
      <c r="R1672" t="s">
        <v>1368</v>
      </c>
      <c r="U1672" t="s">
        <v>491</v>
      </c>
      <c r="X1672">
        <v>1</v>
      </c>
    </row>
    <row r="1673" spans="1:24" x14ac:dyDescent="0.25">
      <c r="A1673" s="234">
        <v>43592</v>
      </c>
      <c r="B1673" t="s">
        <v>328</v>
      </c>
      <c r="C1673" t="s">
        <v>603</v>
      </c>
      <c r="D1673" t="s">
        <v>10338</v>
      </c>
      <c r="F1673" t="s">
        <v>10367</v>
      </c>
      <c r="G1673" t="s">
        <v>8263</v>
      </c>
      <c r="H1673" t="s">
        <v>886</v>
      </c>
      <c r="I1673" t="s">
        <v>15433</v>
      </c>
      <c r="J1673" t="s">
        <v>644</v>
      </c>
      <c r="K1673" t="s">
        <v>15434</v>
      </c>
      <c r="L1673">
        <v>10</v>
      </c>
      <c r="M1673" s="134">
        <v>410000</v>
      </c>
      <c r="N1673" s="134">
        <v>410000</v>
      </c>
      <c r="O1673" t="s">
        <v>2295</v>
      </c>
      <c r="P1673" t="s">
        <v>15435</v>
      </c>
      <c r="Q1673" t="s">
        <v>29</v>
      </c>
      <c r="R1673" t="s">
        <v>15437</v>
      </c>
      <c r="S1673" t="s">
        <v>15436</v>
      </c>
      <c r="U1673" t="s">
        <v>491</v>
      </c>
      <c r="X1673">
        <v>1</v>
      </c>
    </row>
    <row r="1674" spans="1:24" x14ac:dyDescent="0.25">
      <c r="A1674" s="234">
        <v>43578</v>
      </c>
      <c r="B1674" t="s">
        <v>328</v>
      </c>
      <c r="C1674" t="s">
        <v>603</v>
      </c>
      <c r="D1674" t="s">
        <v>10338</v>
      </c>
      <c r="F1674" t="s">
        <v>15170</v>
      </c>
      <c r="G1674" t="s">
        <v>7721</v>
      </c>
      <c r="H1674" t="s">
        <v>886</v>
      </c>
      <c r="I1674" t="s">
        <v>15171</v>
      </c>
      <c r="J1674" t="s">
        <v>959</v>
      </c>
      <c r="K1674" t="s">
        <v>15172</v>
      </c>
      <c r="L1674">
        <v>1</v>
      </c>
      <c r="M1674" s="134">
        <v>410000</v>
      </c>
      <c r="N1674" s="134">
        <v>458000</v>
      </c>
      <c r="O1674" t="s">
        <v>10762</v>
      </c>
      <c r="P1674" t="s">
        <v>15173</v>
      </c>
      <c r="Q1674" t="s">
        <v>592</v>
      </c>
      <c r="R1674" t="s">
        <v>15174</v>
      </c>
      <c r="U1674" t="s">
        <v>491</v>
      </c>
      <c r="X1674">
        <v>0</v>
      </c>
    </row>
    <row r="1675" spans="1:24" x14ac:dyDescent="0.25">
      <c r="A1675" s="234">
        <v>43011</v>
      </c>
      <c r="B1675" t="s">
        <v>328</v>
      </c>
      <c r="C1675" t="s">
        <v>603</v>
      </c>
      <c r="D1675" t="s">
        <v>649</v>
      </c>
      <c r="E1675" t="s">
        <v>588</v>
      </c>
      <c r="F1675" t="s">
        <v>8845</v>
      </c>
      <c r="G1675" t="s">
        <v>8846</v>
      </c>
      <c r="H1675" t="s">
        <v>905</v>
      </c>
      <c r="I1675" t="s">
        <v>232</v>
      </c>
      <c r="J1675" t="s">
        <v>899</v>
      </c>
      <c r="L1675">
        <v>10</v>
      </c>
      <c r="M1675" s="134">
        <v>410000</v>
      </c>
      <c r="N1675" s="134">
        <v>476000</v>
      </c>
      <c r="O1675" t="s">
        <v>2680</v>
      </c>
      <c r="P1675" t="s">
        <v>8847</v>
      </c>
      <c r="Q1675" t="s">
        <v>29</v>
      </c>
      <c r="R1675" t="s">
        <v>8848</v>
      </c>
      <c r="T1675">
        <v>25</v>
      </c>
      <c r="U1675" t="s">
        <v>491</v>
      </c>
      <c r="X1675">
        <v>1</v>
      </c>
    </row>
    <row r="1676" spans="1:24" x14ac:dyDescent="0.25">
      <c r="A1676" s="234">
        <v>43291</v>
      </c>
      <c r="B1676" t="s">
        <v>9240</v>
      </c>
      <c r="C1676" t="s">
        <v>603</v>
      </c>
      <c r="D1676" t="s">
        <v>7814</v>
      </c>
      <c r="E1676" t="s">
        <v>588</v>
      </c>
      <c r="F1676" t="s">
        <v>11769</v>
      </c>
      <c r="G1676" t="s">
        <v>11770</v>
      </c>
      <c r="H1676" t="s">
        <v>607</v>
      </c>
      <c r="I1676" t="s">
        <v>11771</v>
      </c>
      <c r="J1676" t="s">
        <v>603</v>
      </c>
      <c r="M1676" s="134">
        <v>410000</v>
      </c>
      <c r="N1676" s="134">
        <v>740000</v>
      </c>
      <c r="O1676" t="s">
        <v>4533</v>
      </c>
      <c r="P1676" t="s">
        <v>11772</v>
      </c>
      <c r="Q1676" t="s">
        <v>29</v>
      </c>
      <c r="R1676" t="s">
        <v>11773</v>
      </c>
      <c r="U1676" t="s">
        <v>1327</v>
      </c>
      <c r="X1676">
        <v>1</v>
      </c>
    </row>
    <row r="1677" spans="1:24" x14ac:dyDescent="0.25">
      <c r="A1677" s="234">
        <v>42788</v>
      </c>
      <c r="B1677" t="s">
        <v>328</v>
      </c>
      <c r="C1677" t="s">
        <v>603</v>
      </c>
      <c r="D1677" t="s">
        <v>2397</v>
      </c>
      <c r="E1677" t="s">
        <v>588</v>
      </c>
      <c r="F1677" t="s">
        <v>5769</v>
      </c>
      <c r="H1677" t="s">
        <v>607</v>
      </c>
      <c r="I1677" t="s">
        <v>5770</v>
      </c>
      <c r="J1677" t="s">
        <v>899</v>
      </c>
      <c r="L1677">
        <v>2</v>
      </c>
      <c r="M1677" s="134">
        <v>410000</v>
      </c>
      <c r="N1677" s="134">
        <v>820000</v>
      </c>
      <c r="O1677" t="s">
        <v>4959</v>
      </c>
      <c r="P1677" t="s">
        <v>5771</v>
      </c>
      <c r="Q1677" t="s">
        <v>1939</v>
      </c>
      <c r="R1677" t="s">
        <v>5772</v>
      </c>
      <c r="U1677" t="s">
        <v>491</v>
      </c>
      <c r="X1677">
        <v>0</v>
      </c>
    </row>
    <row r="1678" spans="1:24" x14ac:dyDescent="0.25">
      <c r="A1678" s="234">
        <v>43252</v>
      </c>
      <c r="B1678" t="s">
        <v>569</v>
      </c>
      <c r="C1678" t="s">
        <v>899</v>
      </c>
      <c r="D1678" t="s">
        <v>611</v>
      </c>
      <c r="E1678" t="s">
        <v>588</v>
      </c>
      <c r="F1678" t="s">
        <v>11445</v>
      </c>
      <c r="G1678" t="s">
        <v>11446</v>
      </c>
      <c r="H1678" t="s">
        <v>607</v>
      </c>
      <c r="I1678" t="s">
        <v>2054</v>
      </c>
      <c r="J1678" t="s">
        <v>899</v>
      </c>
      <c r="M1678" s="134">
        <v>410000</v>
      </c>
      <c r="N1678" s="134">
        <v>910000</v>
      </c>
      <c r="O1678" t="s">
        <v>7564</v>
      </c>
      <c r="P1678" t="s">
        <v>11447</v>
      </c>
      <c r="Q1678" t="s">
        <v>592</v>
      </c>
      <c r="R1678" t="s">
        <v>11448</v>
      </c>
      <c r="U1678" t="s">
        <v>1327</v>
      </c>
      <c r="X1678">
        <v>0</v>
      </c>
    </row>
    <row r="1679" spans="1:24" x14ac:dyDescent="0.25">
      <c r="A1679" s="234">
        <v>43377</v>
      </c>
      <c r="B1679" t="s">
        <v>328</v>
      </c>
      <c r="C1679" t="s">
        <v>603</v>
      </c>
      <c r="D1679" t="s">
        <v>5701</v>
      </c>
      <c r="E1679" t="s">
        <v>588</v>
      </c>
      <c r="F1679" t="s">
        <v>12843</v>
      </c>
      <c r="G1679" t="s">
        <v>12844</v>
      </c>
      <c r="H1679" t="s">
        <v>809</v>
      </c>
      <c r="I1679" t="s">
        <v>12845</v>
      </c>
      <c r="J1679" t="s">
        <v>4031</v>
      </c>
      <c r="L1679">
        <v>3</v>
      </c>
      <c r="M1679" s="134">
        <v>412000</v>
      </c>
      <c r="N1679" s="134">
        <v>493800</v>
      </c>
      <c r="O1679" t="s">
        <v>4533</v>
      </c>
      <c r="P1679" t="s">
        <v>12846</v>
      </c>
      <c r="Q1679" t="s">
        <v>1939</v>
      </c>
      <c r="R1679" t="s">
        <v>12847</v>
      </c>
      <c r="U1679" t="s">
        <v>12797</v>
      </c>
      <c r="X1679">
        <v>0</v>
      </c>
    </row>
    <row r="1680" spans="1:24" x14ac:dyDescent="0.25">
      <c r="A1680" s="234">
        <v>43474</v>
      </c>
      <c r="B1680" t="s">
        <v>5956</v>
      </c>
      <c r="C1680" t="s">
        <v>3369</v>
      </c>
      <c r="D1680" t="s">
        <v>8126</v>
      </c>
      <c r="F1680" t="s">
        <v>13901</v>
      </c>
      <c r="G1680" t="s">
        <v>13902</v>
      </c>
      <c r="H1680" t="s">
        <v>10831</v>
      </c>
      <c r="I1680" t="s">
        <v>13903</v>
      </c>
      <c r="J1680" t="s">
        <v>4825</v>
      </c>
      <c r="K1680" t="s">
        <v>13904</v>
      </c>
      <c r="L1680">
        <v>4</v>
      </c>
      <c r="M1680" s="134">
        <v>412000</v>
      </c>
      <c r="N1680" s="134">
        <v>782800</v>
      </c>
      <c r="O1680" t="s">
        <v>10879</v>
      </c>
      <c r="P1680" t="s">
        <v>13905</v>
      </c>
      <c r="Q1680" t="s">
        <v>1939</v>
      </c>
      <c r="R1680" t="s">
        <v>14229</v>
      </c>
      <c r="U1680" t="s">
        <v>12797</v>
      </c>
      <c r="X1680">
        <v>0</v>
      </c>
    </row>
    <row r="1681" spans="1:24" x14ac:dyDescent="0.25">
      <c r="A1681" s="234">
        <v>43231</v>
      </c>
      <c r="B1681" t="s">
        <v>6076</v>
      </c>
      <c r="C1681" t="s">
        <v>3370</v>
      </c>
      <c r="D1681" t="s">
        <v>10524</v>
      </c>
      <c r="E1681" t="s">
        <v>588</v>
      </c>
      <c r="F1681" t="s">
        <v>11240</v>
      </c>
      <c r="G1681" t="s">
        <v>11239</v>
      </c>
      <c r="H1681" t="s">
        <v>607</v>
      </c>
      <c r="I1681" t="s">
        <v>3691</v>
      </c>
      <c r="J1681" t="s">
        <v>3370</v>
      </c>
      <c r="L1681">
        <v>5</v>
      </c>
      <c r="M1681" s="134">
        <v>413000</v>
      </c>
      <c r="N1681" s="134">
        <v>660800</v>
      </c>
      <c r="O1681" t="s">
        <v>10879</v>
      </c>
      <c r="P1681" t="s">
        <v>11238</v>
      </c>
      <c r="Q1681" t="s">
        <v>592</v>
      </c>
      <c r="R1681" t="s">
        <v>11237</v>
      </c>
      <c r="U1681" t="s">
        <v>1327</v>
      </c>
      <c r="X1681">
        <v>0</v>
      </c>
    </row>
    <row r="1682" spans="1:24" x14ac:dyDescent="0.25">
      <c r="A1682" s="234">
        <v>43257</v>
      </c>
      <c r="B1682" t="s">
        <v>328</v>
      </c>
      <c r="C1682" t="s">
        <v>603</v>
      </c>
      <c r="D1682" t="s">
        <v>757</v>
      </c>
      <c r="E1682" t="s">
        <v>588</v>
      </c>
      <c r="F1682" t="s">
        <v>11473</v>
      </c>
      <c r="G1682" t="s">
        <v>11472</v>
      </c>
      <c r="H1682" t="s">
        <v>607</v>
      </c>
      <c r="J1682" t="s">
        <v>3398</v>
      </c>
      <c r="L1682">
        <v>2</v>
      </c>
      <c r="M1682" s="134">
        <v>413000</v>
      </c>
      <c r="N1682" s="134">
        <v>727100</v>
      </c>
      <c r="O1682" t="s">
        <v>10766</v>
      </c>
      <c r="P1682" t="s">
        <v>11471</v>
      </c>
      <c r="Q1682" t="s">
        <v>1939</v>
      </c>
      <c r="R1682" t="s">
        <v>11470</v>
      </c>
      <c r="U1682" t="s">
        <v>1327</v>
      </c>
      <c r="X1682">
        <v>0</v>
      </c>
    </row>
    <row r="1683" spans="1:24" x14ac:dyDescent="0.25">
      <c r="A1683" s="234">
        <v>42607</v>
      </c>
      <c r="B1683" t="s">
        <v>643</v>
      </c>
      <c r="C1683" t="s">
        <v>644</v>
      </c>
      <c r="D1683" t="s">
        <v>3132</v>
      </c>
      <c r="E1683" t="s">
        <v>588</v>
      </c>
      <c r="F1683" t="s">
        <v>3623</v>
      </c>
      <c r="H1683" t="s">
        <v>905</v>
      </c>
      <c r="I1683" t="s">
        <v>3624</v>
      </c>
      <c r="J1683" t="s">
        <v>644</v>
      </c>
      <c r="L1683">
        <v>2</v>
      </c>
      <c r="M1683" s="134">
        <v>413900</v>
      </c>
      <c r="N1683" s="134">
        <v>506680</v>
      </c>
      <c r="O1683" t="s">
        <v>3625</v>
      </c>
      <c r="P1683" t="s">
        <v>3626</v>
      </c>
      <c r="Q1683" t="s">
        <v>29</v>
      </c>
      <c r="R1683" t="s">
        <v>3627</v>
      </c>
      <c r="U1683" t="s">
        <v>491</v>
      </c>
      <c r="X1683">
        <v>1</v>
      </c>
    </row>
    <row r="1684" spans="1:24" x14ac:dyDescent="0.25">
      <c r="A1684" s="234">
        <v>43081</v>
      </c>
      <c r="B1684" t="s">
        <v>328</v>
      </c>
      <c r="C1684" t="s">
        <v>603</v>
      </c>
      <c r="D1684" t="s">
        <v>649</v>
      </c>
      <c r="E1684" t="s">
        <v>588</v>
      </c>
      <c r="F1684" t="s">
        <v>9019</v>
      </c>
      <c r="G1684" t="s">
        <v>2186</v>
      </c>
      <c r="H1684" t="s">
        <v>607</v>
      </c>
      <c r="I1684" t="s">
        <v>9757</v>
      </c>
      <c r="J1684" t="s">
        <v>3523</v>
      </c>
      <c r="L1684">
        <v>10</v>
      </c>
      <c r="M1684" s="134">
        <v>414000</v>
      </c>
      <c r="N1684" s="134">
        <v>745200</v>
      </c>
      <c r="O1684" t="s">
        <v>3871</v>
      </c>
      <c r="P1684" t="s">
        <v>9758</v>
      </c>
      <c r="Q1684" t="s">
        <v>592</v>
      </c>
      <c r="R1684" t="s">
        <v>9759</v>
      </c>
      <c r="U1684" t="s">
        <v>1327</v>
      </c>
      <c r="X1684">
        <v>0</v>
      </c>
    </row>
    <row r="1685" spans="1:24" x14ac:dyDescent="0.25">
      <c r="A1685" s="234">
        <v>42864</v>
      </c>
      <c r="B1685" t="s">
        <v>569</v>
      </c>
      <c r="D1685" t="s">
        <v>930</v>
      </c>
      <c r="E1685" t="s">
        <v>821</v>
      </c>
      <c r="F1685" t="s">
        <v>6711</v>
      </c>
      <c r="H1685" t="s">
        <v>5991</v>
      </c>
      <c r="I1685" t="s">
        <v>6712</v>
      </c>
      <c r="J1685" t="s">
        <v>899</v>
      </c>
      <c r="M1685" s="134">
        <v>416000</v>
      </c>
      <c r="N1685" s="134">
        <v>0</v>
      </c>
      <c r="O1685" t="s">
        <v>2527</v>
      </c>
      <c r="P1685" t="s">
        <v>6713</v>
      </c>
      <c r="Q1685" t="s">
        <v>1939</v>
      </c>
      <c r="R1685" t="s">
        <v>6714</v>
      </c>
      <c r="U1685" t="s">
        <v>491</v>
      </c>
      <c r="X1685">
        <v>0</v>
      </c>
    </row>
    <row r="1686" spans="1:24" x14ac:dyDescent="0.25">
      <c r="A1686" s="234">
        <v>43056</v>
      </c>
      <c r="B1686" t="s">
        <v>643</v>
      </c>
      <c r="C1686" t="s">
        <v>644</v>
      </c>
      <c r="D1686" t="s">
        <v>645</v>
      </c>
      <c r="E1686" t="s">
        <v>692</v>
      </c>
      <c r="F1686" t="s">
        <v>9504</v>
      </c>
      <c r="G1686" t="s">
        <v>9505</v>
      </c>
      <c r="H1686" t="s">
        <v>1391</v>
      </c>
      <c r="I1686" t="s">
        <v>9506</v>
      </c>
      <c r="J1686" t="s">
        <v>3501</v>
      </c>
      <c r="L1686">
        <v>10</v>
      </c>
      <c r="M1686" s="134">
        <v>416000</v>
      </c>
      <c r="N1686" s="134">
        <v>707200</v>
      </c>
      <c r="O1686" t="s">
        <v>3871</v>
      </c>
      <c r="P1686" t="s">
        <v>9618</v>
      </c>
      <c r="Q1686" t="s">
        <v>29</v>
      </c>
      <c r="R1686" t="s">
        <v>9507</v>
      </c>
      <c r="S1686" t="s">
        <v>9539</v>
      </c>
      <c r="U1686" t="s">
        <v>491</v>
      </c>
      <c r="X1686">
        <v>1</v>
      </c>
    </row>
    <row r="1687" spans="1:24" x14ac:dyDescent="0.25">
      <c r="A1687" s="234">
        <v>43305</v>
      </c>
      <c r="B1687" t="s">
        <v>643</v>
      </c>
      <c r="C1687" t="s">
        <v>644</v>
      </c>
      <c r="D1687" t="s">
        <v>645</v>
      </c>
      <c r="E1687" t="s">
        <v>588</v>
      </c>
      <c r="F1687" t="s">
        <v>11900</v>
      </c>
      <c r="G1687" t="s">
        <v>11900</v>
      </c>
      <c r="H1687" t="s">
        <v>10831</v>
      </c>
      <c r="I1687" t="s">
        <v>11899</v>
      </c>
      <c r="J1687" t="s">
        <v>644</v>
      </c>
      <c r="L1687">
        <v>9</v>
      </c>
      <c r="M1687" s="134">
        <v>416500</v>
      </c>
      <c r="N1687" s="134">
        <v>416500</v>
      </c>
      <c r="O1687" t="s">
        <v>7124</v>
      </c>
      <c r="P1687" t="s">
        <v>11898</v>
      </c>
      <c r="Q1687" t="s">
        <v>1939</v>
      </c>
      <c r="R1687" t="s">
        <v>11897</v>
      </c>
      <c r="U1687" t="s">
        <v>1327</v>
      </c>
      <c r="X1687">
        <v>0</v>
      </c>
    </row>
    <row r="1688" spans="1:24" x14ac:dyDescent="0.25">
      <c r="A1688" s="234">
        <v>43622</v>
      </c>
      <c r="B1688" t="s">
        <v>328</v>
      </c>
      <c r="C1688" t="s">
        <v>603</v>
      </c>
      <c r="D1688" t="s">
        <v>649</v>
      </c>
      <c r="F1688" t="s">
        <v>15957</v>
      </c>
      <c r="G1688" t="s">
        <v>645</v>
      </c>
      <c r="H1688" t="s">
        <v>607</v>
      </c>
      <c r="I1688" t="s">
        <v>15958</v>
      </c>
      <c r="J1688" t="s">
        <v>3885</v>
      </c>
      <c r="K1688" t="s">
        <v>15959</v>
      </c>
      <c r="L1688">
        <v>9</v>
      </c>
      <c r="M1688" s="134">
        <v>418567</v>
      </c>
      <c r="N1688" s="134">
        <v>720000</v>
      </c>
      <c r="O1688" t="s">
        <v>4533</v>
      </c>
      <c r="P1688" t="s">
        <v>15960</v>
      </c>
      <c r="Q1688" t="s">
        <v>29</v>
      </c>
      <c r="R1688" t="s">
        <v>15962</v>
      </c>
      <c r="S1688" t="s">
        <v>15961</v>
      </c>
      <c r="U1688" t="s">
        <v>491</v>
      </c>
      <c r="X1688">
        <v>1</v>
      </c>
    </row>
    <row r="1689" spans="1:24" x14ac:dyDescent="0.25">
      <c r="A1689" s="234">
        <v>42801</v>
      </c>
      <c r="B1689" t="s">
        <v>320</v>
      </c>
      <c r="C1689" t="s">
        <v>1228</v>
      </c>
      <c r="D1689" t="s">
        <v>1229</v>
      </c>
      <c r="E1689" t="s">
        <v>588</v>
      </c>
      <c r="F1689" t="s">
        <v>5874</v>
      </c>
      <c r="H1689" t="s">
        <v>607</v>
      </c>
      <c r="I1689" t="s">
        <v>5875</v>
      </c>
      <c r="J1689" t="s">
        <v>3856</v>
      </c>
      <c r="L1689">
        <v>8</v>
      </c>
      <c r="M1689" s="134">
        <v>420000</v>
      </c>
      <c r="N1689" s="134">
        <v>532000</v>
      </c>
      <c r="O1689" t="s">
        <v>5876</v>
      </c>
      <c r="P1689" t="s">
        <v>5877</v>
      </c>
      <c r="Q1689" t="s">
        <v>1939</v>
      </c>
      <c r="R1689" t="s">
        <v>5878</v>
      </c>
      <c r="U1689" t="s">
        <v>491</v>
      </c>
      <c r="X1689">
        <v>0</v>
      </c>
    </row>
    <row r="1690" spans="1:24" x14ac:dyDescent="0.25">
      <c r="A1690" s="234">
        <v>42825</v>
      </c>
      <c r="B1690" t="s">
        <v>569</v>
      </c>
      <c r="C1690" t="s">
        <v>899</v>
      </c>
      <c r="D1690" t="s">
        <v>625</v>
      </c>
      <c r="E1690" t="s">
        <v>588</v>
      </c>
      <c r="F1690" t="s">
        <v>6216</v>
      </c>
      <c r="H1690" t="s">
        <v>722</v>
      </c>
      <c r="I1690" t="s">
        <v>6217</v>
      </c>
      <c r="J1690" t="s">
        <v>899</v>
      </c>
      <c r="L1690">
        <v>1</v>
      </c>
      <c r="M1690" s="134">
        <v>420000</v>
      </c>
      <c r="N1690" s="134">
        <v>646000</v>
      </c>
      <c r="O1690" t="s">
        <v>695</v>
      </c>
      <c r="P1690" t="s">
        <v>6218</v>
      </c>
      <c r="Q1690" t="s">
        <v>592</v>
      </c>
      <c r="U1690" t="s">
        <v>491</v>
      </c>
      <c r="X1690">
        <v>0</v>
      </c>
    </row>
    <row r="1691" spans="1:24" x14ac:dyDescent="0.25">
      <c r="A1691" s="234">
        <v>42457</v>
      </c>
      <c r="B1691" t="s">
        <v>328</v>
      </c>
      <c r="C1691" t="s">
        <v>603</v>
      </c>
      <c r="D1691" t="s">
        <v>587</v>
      </c>
      <c r="E1691" t="s">
        <v>588</v>
      </c>
      <c r="F1691" t="s">
        <v>1424</v>
      </c>
      <c r="H1691" t="s">
        <v>607</v>
      </c>
      <c r="I1691" t="s">
        <v>1425</v>
      </c>
      <c r="M1691" s="134">
        <v>420000</v>
      </c>
      <c r="N1691" s="134">
        <v>772000</v>
      </c>
      <c r="O1691" t="s">
        <v>1156</v>
      </c>
      <c r="P1691" t="s">
        <v>1426</v>
      </c>
      <c r="Q1691" t="s">
        <v>592</v>
      </c>
      <c r="R1691" t="s">
        <v>1427</v>
      </c>
      <c r="U1691" t="s">
        <v>491</v>
      </c>
      <c r="X1691">
        <v>0</v>
      </c>
    </row>
    <row r="1692" spans="1:24" x14ac:dyDescent="0.25">
      <c r="A1692" s="234">
        <v>43439</v>
      </c>
      <c r="B1692" t="s">
        <v>5360</v>
      </c>
      <c r="C1692" t="s">
        <v>899</v>
      </c>
      <c r="D1692" t="s">
        <v>732</v>
      </c>
      <c r="F1692" t="s">
        <v>13503</v>
      </c>
      <c r="G1692" t="s">
        <v>8648</v>
      </c>
      <c r="H1692" t="s">
        <v>607</v>
      </c>
      <c r="I1692" t="s">
        <v>13504</v>
      </c>
      <c r="J1692" t="s">
        <v>899</v>
      </c>
      <c r="K1692" t="s">
        <v>13505</v>
      </c>
      <c r="L1692">
        <v>4</v>
      </c>
      <c r="M1692" s="134">
        <v>420000</v>
      </c>
      <c r="N1692" s="134">
        <v>798000</v>
      </c>
      <c r="O1692" t="s">
        <v>10766</v>
      </c>
      <c r="P1692" t="s">
        <v>13506</v>
      </c>
      <c r="Q1692" t="s">
        <v>1939</v>
      </c>
      <c r="R1692" t="s">
        <v>13507</v>
      </c>
      <c r="U1692" t="s">
        <v>491</v>
      </c>
      <c r="X1692">
        <v>0</v>
      </c>
    </row>
    <row r="1693" spans="1:24" x14ac:dyDescent="0.25">
      <c r="A1693" s="234">
        <v>43601</v>
      </c>
      <c r="B1693" t="s">
        <v>328</v>
      </c>
      <c r="C1693" t="s">
        <v>603</v>
      </c>
      <c r="D1693" t="s">
        <v>10705</v>
      </c>
      <c r="F1693" t="s">
        <v>15594</v>
      </c>
      <c r="G1693" t="s">
        <v>14630</v>
      </c>
      <c r="H1693" t="s">
        <v>5321</v>
      </c>
      <c r="I1693" t="s">
        <v>14849</v>
      </c>
      <c r="J1693" t="s">
        <v>6015</v>
      </c>
      <c r="K1693" t="s">
        <v>14850</v>
      </c>
      <c r="L1693">
        <v>2</v>
      </c>
      <c r="M1693" s="134">
        <v>420000</v>
      </c>
      <c r="N1693" s="134">
        <v>804000</v>
      </c>
      <c r="O1693" t="s">
        <v>10762</v>
      </c>
      <c r="P1693" t="s">
        <v>15595</v>
      </c>
      <c r="Q1693" t="s">
        <v>1939</v>
      </c>
      <c r="R1693" t="s">
        <v>15782</v>
      </c>
      <c r="S1693" t="s">
        <v>15596</v>
      </c>
      <c r="U1693" t="s">
        <v>491</v>
      </c>
      <c r="X1693">
        <v>0</v>
      </c>
    </row>
    <row r="1694" spans="1:24" x14ac:dyDescent="0.25">
      <c r="A1694" s="234">
        <v>43536</v>
      </c>
      <c r="B1694" t="s">
        <v>328</v>
      </c>
      <c r="C1694" t="s">
        <v>603</v>
      </c>
      <c r="D1694" t="s">
        <v>7595</v>
      </c>
      <c r="F1694" t="s">
        <v>14684</v>
      </c>
      <c r="G1694" t="s">
        <v>14685</v>
      </c>
      <c r="H1694" t="s">
        <v>607</v>
      </c>
      <c r="I1694" t="s">
        <v>14686</v>
      </c>
      <c r="J1694" t="s">
        <v>14074</v>
      </c>
      <c r="K1694" t="s">
        <v>14687</v>
      </c>
      <c r="L1694">
        <v>4</v>
      </c>
      <c r="M1694" s="134">
        <v>421000</v>
      </c>
      <c r="N1694" s="134">
        <v>715700</v>
      </c>
      <c r="O1694" t="s">
        <v>4533</v>
      </c>
      <c r="P1694" t="s">
        <v>14826</v>
      </c>
      <c r="Q1694" t="s">
        <v>1939</v>
      </c>
      <c r="R1694" t="s">
        <v>14688</v>
      </c>
      <c r="U1694" t="s">
        <v>12797</v>
      </c>
      <c r="X1694">
        <v>0</v>
      </c>
    </row>
    <row r="1695" spans="1:24" x14ac:dyDescent="0.25">
      <c r="A1695" s="234">
        <v>43075</v>
      </c>
      <c r="B1695" t="s">
        <v>5992</v>
      </c>
      <c r="C1695" t="s">
        <v>608</v>
      </c>
      <c r="D1695" t="s">
        <v>7858</v>
      </c>
      <c r="E1695" t="s">
        <v>588</v>
      </c>
      <c r="F1695" t="s">
        <v>9675</v>
      </c>
      <c r="G1695" t="s">
        <v>9676</v>
      </c>
      <c r="H1695" t="s">
        <v>607</v>
      </c>
      <c r="I1695" t="s">
        <v>6220</v>
      </c>
      <c r="J1695" t="s">
        <v>608</v>
      </c>
      <c r="M1695" s="134">
        <v>421000</v>
      </c>
      <c r="N1695" s="134">
        <v>757800</v>
      </c>
      <c r="O1695" t="s">
        <v>9534</v>
      </c>
      <c r="P1695" t="s">
        <v>9677</v>
      </c>
      <c r="Q1695" t="s">
        <v>1939</v>
      </c>
      <c r="R1695" t="s">
        <v>9248</v>
      </c>
      <c r="U1695" t="s">
        <v>1327</v>
      </c>
      <c r="X1695">
        <v>0</v>
      </c>
    </row>
    <row r="1696" spans="1:24" x14ac:dyDescent="0.25">
      <c r="A1696" s="234">
        <v>43357</v>
      </c>
      <c r="B1696" t="s">
        <v>328</v>
      </c>
      <c r="C1696" t="s">
        <v>603</v>
      </c>
      <c r="D1696" t="s">
        <v>7595</v>
      </c>
      <c r="E1696" t="s">
        <v>588</v>
      </c>
      <c r="F1696" t="s">
        <v>12612</v>
      </c>
      <c r="G1696" t="s">
        <v>10007</v>
      </c>
      <c r="H1696" t="s">
        <v>607</v>
      </c>
      <c r="I1696" t="s">
        <v>12613</v>
      </c>
      <c r="J1696" t="s">
        <v>4031</v>
      </c>
      <c r="L1696">
        <v>9</v>
      </c>
      <c r="M1696" s="134">
        <v>421000</v>
      </c>
      <c r="N1696" s="134">
        <v>884350</v>
      </c>
      <c r="O1696" t="s">
        <v>4533</v>
      </c>
      <c r="P1696" t="s">
        <v>12649</v>
      </c>
      <c r="Q1696" t="s">
        <v>1939</v>
      </c>
      <c r="R1696" t="s">
        <v>12650</v>
      </c>
      <c r="U1696" t="s">
        <v>12344</v>
      </c>
      <c r="X1696">
        <v>0</v>
      </c>
    </row>
    <row r="1697" spans="1:24" x14ac:dyDescent="0.25">
      <c r="A1697" s="234">
        <v>42786</v>
      </c>
      <c r="B1697" t="s">
        <v>569</v>
      </c>
      <c r="D1697" t="s">
        <v>625</v>
      </c>
      <c r="E1697" t="s">
        <v>588</v>
      </c>
      <c r="F1697" t="s">
        <v>5733</v>
      </c>
      <c r="H1697" t="s">
        <v>607</v>
      </c>
      <c r="I1697" t="s">
        <v>3635</v>
      </c>
      <c r="J1697" t="s">
        <v>899</v>
      </c>
      <c r="M1697" s="134">
        <v>422000</v>
      </c>
      <c r="N1697" s="134">
        <v>750000</v>
      </c>
      <c r="O1697" t="s">
        <v>3625</v>
      </c>
      <c r="P1697" t="s">
        <v>5734</v>
      </c>
      <c r="Q1697" t="s">
        <v>592</v>
      </c>
      <c r="U1697" t="s">
        <v>491</v>
      </c>
      <c r="X1697">
        <v>0</v>
      </c>
    </row>
    <row r="1698" spans="1:24" x14ac:dyDescent="0.25">
      <c r="A1698" s="234">
        <v>43096</v>
      </c>
      <c r="B1698" t="s">
        <v>9240</v>
      </c>
      <c r="C1698" t="s">
        <v>603</v>
      </c>
      <c r="D1698" t="s">
        <v>9849</v>
      </c>
      <c r="E1698" t="s">
        <v>588</v>
      </c>
      <c r="F1698" t="s">
        <v>9852</v>
      </c>
      <c r="G1698" t="s">
        <v>9853</v>
      </c>
      <c r="H1698" t="s">
        <v>2912</v>
      </c>
      <c r="I1698" t="s">
        <v>9854</v>
      </c>
      <c r="J1698" t="s">
        <v>5402</v>
      </c>
      <c r="L1698">
        <v>2</v>
      </c>
      <c r="M1698" s="134">
        <v>422000</v>
      </c>
      <c r="N1698" s="134">
        <v>850000</v>
      </c>
      <c r="O1698" t="s">
        <v>666</v>
      </c>
      <c r="P1698" t="s">
        <v>9856</v>
      </c>
      <c r="Q1698" t="s">
        <v>1939</v>
      </c>
      <c r="R1698" t="s">
        <v>9858</v>
      </c>
      <c r="U1698" t="s">
        <v>491</v>
      </c>
      <c r="X1698">
        <v>0</v>
      </c>
    </row>
    <row r="1699" spans="1:24" x14ac:dyDescent="0.25">
      <c r="A1699" s="234">
        <v>42957</v>
      </c>
      <c r="B1699" t="s">
        <v>328</v>
      </c>
      <c r="C1699" t="s">
        <v>603</v>
      </c>
      <c r="D1699" t="s">
        <v>649</v>
      </c>
      <c r="E1699" t="s">
        <v>588</v>
      </c>
      <c r="F1699" t="s">
        <v>8092</v>
      </c>
      <c r="G1699" t="s">
        <v>8093</v>
      </c>
      <c r="H1699" t="s">
        <v>607</v>
      </c>
      <c r="I1699" t="s">
        <v>8094</v>
      </c>
      <c r="J1699" t="s">
        <v>3751</v>
      </c>
      <c r="M1699" s="134">
        <v>422100</v>
      </c>
      <c r="N1699" s="134">
        <v>1000000</v>
      </c>
      <c r="O1699" t="s">
        <v>8095</v>
      </c>
      <c r="P1699" t="s">
        <v>8096</v>
      </c>
      <c r="Q1699" t="s">
        <v>620</v>
      </c>
      <c r="R1699" t="s">
        <v>8097</v>
      </c>
      <c r="T1699">
        <v>28</v>
      </c>
      <c r="U1699" t="s">
        <v>491</v>
      </c>
      <c r="X1699">
        <v>0</v>
      </c>
    </row>
    <row r="1700" spans="1:24" x14ac:dyDescent="0.25">
      <c r="A1700" s="234">
        <v>42996</v>
      </c>
      <c r="B1700" t="s">
        <v>328</v>
      </c>
      <c r="C1700" t="s">
        <v>603</v>
      </c>
      <c r="D1700" t="s">
        <v>649</v>
      </c>
      <c r="E1700" t="s">
        <v>588</v>
      </c>
      <c r="F1700" t="s">
        <v>8589</v>
      </c>
      <c r="G1700" t="s">
        <v>8590</v>
      </c>
      <c r="H1700" t="s">
        <v>886</v>
      </c>
      <c r="I1700" t="s">
        <v>8591</v>
      </c>
      <c r="J1700" t="s">
        <v>3371</v>
      </c>
      <c r="L1700">
        <v>3</v>
      </c>
      <c r="M1700" s="134">
        <v>422500</v>
      </c>
      <c r="N1700" s="134">
        <v>465000</v>
      </c>
      <c r="O1700" t="s">
        <v>8592</v>
      </c>
      <c r="P1700" t="s">
        <v>8593</v>
      </c>
      <c r="Q1700" t="s">
        <v>29</v>
      </c>
      <c r="R1700" t="s">
        <v>8595</v>
      </c>
      <c r="S1700" t="s">
        <v>8594</v>
      </c>
      <c r="T1700">
        <v>51</v>
      </c>
      <c r="U1700" t="s">
        <v>491</v>
      </c>
      <c r="X1700">
        <v>1</v>
      </c>
    </row>
    <row r="1701" spans="1:24" x14ac:dyDescent="0.25">
      <c r="A1701" s="234">
        <v>43433</v>
      </c>
      <c r="B1701" t="s">
        <v>5360</v>
      </c>
      <c r="C1701" t="s">
        <v>899</v>
      </c>
      <c r="D1701" t="s">
        <v>1027</v>
      </c>
      <c r="F1701" t="s">
        <v>11667</v>
      </c>
      <c r="G1701" t="s">
        <v>7714</v>
      </c>
      <c r="H1701" t="s">
        <v>10832</v>
      </c>
      <c r="I1701" t="s">
        <v>7558</v>
      </c>
      <c r="J1701" t="s">
        <v>899</v>
      </c>
      <c r="K1701" t="s">
        <v>13353</v>
      </c>
      <c r="L1701">
        <v>3</v>
      </c>
      <c r="M1701" s="134">
        <v>423300</v>
      </c>
      <c r="N1701" s="134">
        <v>483600</v>
      </c>
      <c r="O1701" t="s">
        <v>10766</v>
      </c>
      <c r="P1701" t="s">
        <v>13354</v>
      </c>
      <c r="Q1701" t="s">
        <v>1939</v>
      </c>
      <c r="R1701" t="s">
        <v>13355</v>
      </c>
      <c r="U1701" t="s">
        <v>491</v>
      </c>
      <c r="X1701">
        <v>0</v>
      </c>
    </row>
    <row r="1702" spans="1:24" x14ac:dyDescent="0.25">
      <c r="A1702" s="234">
        <v>43279</v>
      </c>
      <c r="B1702" t="s">
        <v>328</v>
      </c>
      <c r="C1702" t="s">
        <v>603</v>
      </c>
      <c r="D1702" t="s">
        <v>10338</v>
      </c>
      <c r="E1702" t="s">
        <v>588</v>
      </c>
      <c r="F1702" t="s">
        <v>11667</v>
      </c>
      <c r="G1702" t="s">
        <v>7714</v>
      </c>
      <c r="H1702" t="s">
        <v>905</v>
      </c>
      <c r="J1702" t="s">
        <v>899</v>
      </c>
      <c r="L1702">
        <v>3</v>
      </c>
      <c r="M1702" s="134">
        <v>423300</v>
      </c>
      <c r="N1702" s="134">
        <v>592560</v>
      </c>
      <c r="O1702" t="s">
        <v>10766</v>
      </c>
      <c r="P1702" t="s">
        <v>11701</v>
      </c>
      <c r="Q1702" t="s">
        <v>1939</v>
      </c>
      <c r="R1702" t="s">
        <v>11666</v>
      </c>
      <c r="U1702" t="s">
        <v>1327</v>
      </c>
      <c r="X1702">
        <v>0</v>
      </c>
    </row>
    <row r="1703" spans="1:24" x14ac:dyDescent="0.25">
      <c r="A1703" s="234">
        <v>43368</v>
      </c>
      <c r="B1703" t="s">
        <v>328</v>
      </c>
      <c r="C1703" t="s">
        <v>603</v>
      </c>
      <c r="D1703" t="s">
        <v>10338</v>
      </c>
      <c r="E1703" t="s">
        <v>588</v>
      </c>
      <c r="F1703" t="s">
        <v>12711</v>
      </c>
      <c r="G1703" t="s">
        <v>12712</v>
      </c>
      <c r="H1703" t="s">
        <v>905</v>
      </c>
      <c r="I1703" t="s">
        <v>12713</v>
      </c>
      <c r="J1703" t="s">
        <v>899</v>
      </c>
      <c r="L1703">
        <v>9</v>
      </c>
      <c r="M1703" s="134">
        <v>425000</v>
      </c>
      <c r="N1703" s="134">
        <v>577500</v>
      </c>
      <c r="O1703" t="s">
        <v>7124</v>
      </c>
      <c r="P1703" t="s">
        <v>12714</v>
      </c>
      <c r="Q1703" t="s">
        <v>29</v>
      </c>
      <c r="R1703" t="s">
        <v>12715</v>
      </c>
      <c r="U1703" t="s">
        <v>12344</v>
      </c>
      <c r="X1703">
        <v>1</v>
      </c>
    </row>
    <row r="1704" spans="1:24" x14ac:dyDescent="0.25">
      <c r="A1704" s="234">
        <v>43565</v>
      </c>
      <c r="B1704" t="s">
        <v>13559</v>
      </c>
      <c r="C1704" t="s">
        <v>4031</v>
      </c>
      <c r="D1704" t="s">
        <v>13560</v>
      </c>
      <c r="F1704" t="s">
        <v>14997</v>
      </c>
      <c r="G1704" t="s">
        <v>14121</v>
      </c>
      <c r="H1704" t="s">
        <v>607</v>
      </c>
      <c r="I1704" t="s">
        <v>15026</v>
      </c>
      <c r="J1704" t="s">
        <v>3371</v>
      </c>
      <c r="K1704" t="s">
        <v>15027</v>
      </c>
      <c r="L1704">
        <v>5</v>
      </c>
      <c r="M1704" s="134">
        <v>425000</v>
      </c>
      <c r="N1704" s="134">
        <v>625000</v>
      </c>
      <c r="O1704" t="s">
        <v>7564</v>
      </c>
      <c r="P1704" t="s">
        <v>15028</v>
      </c>
      <c r="Q1704" t="s">
        <v>1939</v>
      </c>
      <c r="R1704" t="s">
        <v>15030</v>
      </c>
      <c r="U1704" t="s">
        <v>491</v>
      </c>
      <c r="X1704">
        <v>0</v>
      </c>
    </row>
    <row r="1705" spans="1:24" x14ac:dyDescent="0.25">
      <c r="A1705" s="234">
        <v>42902</v>
      </c>
      <c r="B1705" t="s">
        <v>569</v>
      </c>
      <c r="D1705" t="s">
        <v>624</v>
      </c>
      <c r="E1705" t="s">
        <v>821</v>
      </c>
      <c r="F1705" t="s">
        <v>7288</v>
      </c>
      <c r="H1705" t="s">
        <v>886</v>
      </c>
      <c r="I1705" t="s">
        <v>5972</v>
      </c>
      <c r="J1705" t="s">
        <v>899</v>
      </c>
      <c r="M1705" s="134">
        <v>425000</v>
      </c>
      <c r="N1705" s="134">
        <v>625000</v>
      </c>
      <c r="O1705" t="s">
        <v>5926</v>
      </c>
      <c r="P1705" t="s">
        <v>7212</v>
      </c>
      <c r="Q1705" t="s">
        <v>1612</v>
      </c>
      <c r="R1705" t="s">
        <v>7289</v>
      </c>
      <c r="U1705" t="s">
        <v>491</v>
      </c>
      <c r="X1705">
        <v>0</v>
      </c>
    </row>
    <row r="1706" spans="1:24" x14ac:dyDescent="0.25">
      <c r="A1706" s="234">
        <v>43375</v>
      </c>
      <c r="B1706" t="s">
        <v>328</v>
      </c>
      <c r="C1706" t="s">
        <v>603</v>
      </c>
      <c r="D1706" t="s">
        <v>1401</v>
      </c>
      <c r="E1706" t="s">
        <v>588</v>
      </c>
      <c r="F1706" t="s">
        <v>12787</v>
      </c>
      <c r="G1706" t="s">
        <v>7714</v>
      </c>
      <c r="H1706" t="s">
        <v>607</v>
      </c>
      <c r="I1706" t="s">
        <v>12788</v>
      </c>
      <c r="J1706" t="s">
        <v>899</v>
      </c>
      <c r="L1706">
        <v>3</v>
      </c>
      <c r="M1706" s="134">
        <v>425000</v>
      </c>
      <c r="N1706" s="134">
        <v>722500</v>
      </c>
      <c r="O1706" t="s">
        <v>10763</v>
      </c>
      <c r="P1706" t="s">
        <v>12789</v>
      </c>
      <c r="Q1706" t="s">
        <v>29</v>
      </c>
      <c r="R1706" t="s">
        <v>12790</v>
      </c>
      <c r="U1706" t="s">
        <v>12344</v>
      </c>
      <c r="X1706">
        <v>1</v>
      </c>
    </row>
    <row r="1707" spans="1:24" x14ac:dyDescent="0.25">
      <c r="A1707" s="234">
        <v>43091</v>
      </c>
      <c r="B1707" t="s">
        <v>569</v>
      </c>
      <c r="C1707" t="s">
        <v>899</v>
      </c>
      <c r="D1707" t="s">
        <v>930</v>
      </c>
      <c r="E1707" t="s">
        <v>1707</v>
      </c>
      <c r="F1707" t="s">
        <v>9825</v>
      </c>
      <c r="H1707" t="s">
        <v>607</v>
      </c>
      <c r="I1707" t="s">
        <v>9826</v>
      </c>
      <c r="J1707" t="s">
        <v>899</v>
      </c>
      <c r="M1707" s="134">
        <v>425000</v>
      </c>
      <c r="N1707" s="134">
        <v>750000</v>
      </c>
      <c r="O1707" t="s">
        <v>4533</v>
      </c>
      <c r="P1707" t="s">
        <v>9827</v>
      </c>
      <c r="Q1707" t="s">
        <v>29</v>
      </c>
      <c r="R1707" t="s">
        <v>9828</v>
      </c>
      <c r="U1707" t="s">
        <v>491</v>
      </c>
      <c r="X1707">
        <v>1</v>
      </c>
    </row>
    <row r="1708" spans="1:24" x14ac:dyDescent="0.25">
      <c r="A1708" s="234">
        <v>42933</v>
      </c>
      <c r="B1708" t="s">
        <v>110</v>
      </c>
      <c r="C1708" t="s">
        <v>761</v>
      </c>
      <c r="D1708" t="s">
        <v>715</v>
      </c>
      <c r="E1708" t="s">
        <v>588</v>
      </c>
      <c r="F1708" t="s">
        <v>7623</v>
      </c>
      <c r="H1708" t="s">
        <v>607</v>
      </c>
      <c r="I1708" t="s">
        <v>4230</v>
      </c>
      <c r="J1708" t="s">
        <v>761</v>
      </c>
      <c r="L1708">
        <v>5</v>
      </c>
      <c r="M1708" s="134">
        <v>425000</v>
      </c>
      <c r="N1708" s="134">
        <v>790000</v>
      </c>
      <c r="O1708" t="s">
        <v>1171</v>
      </c>
      <c r="P1708" t="s">
        <v>7624</v>
      </c>
      <c r="Q1708" t="s">
        <v>1939</v>
      </c>
      <c r="R1708" t="s">
        <v>7625</v>
      </c>
      <c r="U1708" t="s">
        <v>491</v>
      </c>
      <c r="X1708">
        <v>0</v>
      </c>
    </row>
    <row r="1709" spans="1:24" x14ac:dyDescent="0.25">
      <c r="A1709" s="234">
        <v>43447</v>
      </c>
      <c r="B1709" t="s">
        <v>5956</v>
      </c>
      <c r="C1709" t="s">
        <v>3369</v>
      </c>
      <c r="D1709" t="s">
        <v>8126</v>
      </c>
      <c r="F1709" t="s">
        <v>13647</v>
      </c>
      <c r="G1709" t="s">
        <v>8941</v>
      </c>
      <c r="H1709" t="s">
        <v>607</v>
      </c>
      <c r="I1709" t="s">
        <v>13648</v>
      </c>
      <c r="J1709" t="s">
        <v>4825</v>
      </c>
      <c r="K1709" t="s">
        <v>13649</v>
      </c>
      <c r="M1709" s="134">
        <v>425000</v>
      </c>
      <c r="N1709" s="134">
        <v>807500</v>
      </c>
      <c r="O1709" t="s">
        <v>10763</v>
      </c>
      <c r="P1709" t="s">
        <v>13759</v>
      </c>
      <c r="Q1709" t="s">
        <v>620</v>
      </c>
      <c r="R1709" t="s">
        <v>13760</v>
      </c>
      <c r="U1709" t="s">
        <v>12797</v>
      </c>
      <c r="X1709">
        <v>0</v>
      </c>
    </row>
    <row r="1710" spans="1:24" x14ac:dyDescent="0.25">
      <c r="A1710" s="234">
        <v>43496</v>
      </c>
      <c r="B1710" t="s">
        <v>328</v>
      </c>
      <c r="C1710" t="s">
        <v>603</v>
      </c>
      <c r="D1710" t="s">
        <v>5701</v>
      </c>
      <c r="F1710" t="s">
        <v>11667</v>
      </c>
      <c r="G1710" t="s">
        <v>7814</v>
      </c>
      <c r="H1710" t="s">
        <v>607</v>
      </c>
      <c r="I1710" t="s">
        <v>6836</v>
      </c>
      <c r="J1710" t="s">
        <v>3523</v>
      </c>
      <c r="K1710" t="s">
        <v>14149</v>
      </c>
      <c r="L1710">
        <v>10</v>
      </c>
      <c r="M1710" s="134">
        <v>425000</v>
      </c>
      <c r="N1710" s="134">
        <v>875000</v>
      </c>
      <c r="O1710" t="s">
        <v>4533</v>
      </c>
      <c r="P1710" t="s">
        <v>14150</v>
      </c>
      <c r="Q1710" t="s">
        <v>1939</v>
      </c>
      <c r="R1710" t="s">
        <v>14261</v>
      </c>
      <c r="U1710" t="s">
        <v>491</v>
      </c>
      <c r="X1710">
        <v>0</v>
      </c>
    </row>
    <row r="1711" spans="1:24" x14ac:dyDescent="0.25">
      <c r="A1711" s="234">
        <v>43326</v>
      </c>
      <c r="B1711" t="s">
        <v>569</v>
      </c>
      <c r="C1711" t="s">
        <v>899</v>
      </c>
      <c r="D1711" t="s">
        <v>3505</v>
      </c>
      <c r="E1711" t="s">
        <v>588</v>
      </c>
      <c r="F1711" t="s">
        <v>12190</v>
      </c>
      <c r="G1711" t="s">
        <v>12189</v>
      </c>
      <c r="H1711" t="s">
        <v>607</v>
      </c>
      <c r="I1711" t="s">
        <v>5998</v>
      </c>
      <c r="J1711" t="s">
        <v>899</v>
      </c>
      <c r="M1711" s="134">
        <v>425000</v>
      </c>
      <c r="N1711" s="134">
        <v>956350</v>
      </c>
      <c r="O1711" t="s">
        <v>6745</v>
      </c>
      <c r="P1711" t="s">
        <v>12188</v>
      </c>
      <c r="Q1711" t="s">
        <v>1939</v>
      </c>
      <c r="R1711" t="s">
        <v>12187</v>
      </c>
      <c r="U1711" t="s">
        <v>1327</v>
      </c>
      <c r="X1711">
        <v>0</v>
      </c>
    </row>
    <row r="1712" spans="1:24" x14ac:dyDescent="0.25">
      <c r="A1712" s="234">
        <v>42825</v>
      </c>
      <c r="B1712" t="s">
        <v>328</v>
      </c>
      <c r="C1712" t="s">
        <v>603</v>
      </c>
      <c r="D1712" t="s">
        <v>1401</v>
      </c>
      <c r="E1712" t="s">
        <v>588</v>
      </c>
      <c r="F1712" t="s">
        <v>6178</v>
      </c>
      <c r="H1712" t="s">
        <v>607</v>
      </c>
      <c r="I1712" t="s">
        <v>6179</v>
      </c>
      <c r="J1712" t="s">
        <v>3523</v>
      </c>
      <c r="M1712" s="134">
        <v>425340</v>
      </c>
      <c r="N1712" s="134">
        <v>665340</v>
      </c>
      <c r="O1712" t="s">
        <v>3952</v>
      </c>
      <c r="P1712" t="s">
        <v>6180</v>
      </c>
      <c r="Q1712" t="s">
        <v>1939</v>
      </c>
      <c r="R1712" t="s">
        <v>6181</v>
      </c>
      <c r="U1712" t="s">
        <v>491</v>
      </c>
      <c r="X1712">
        <v>0</v>
      </c>
    </row>
    <row r="1713" spans="1:24" x14ac:dyDescent="0.25">
      <c r="A1713" s="234">
        <v>43434</v>
      </c>
      <c r="B1713" t="s">
        <v>328</v>
      </c>
      <c r="C1713" t="s">
        <v>603</v>
      </c>
      <c r="D1713" t="s">
        <v>649</v>
      </c>
      <c r="F1713" t="s">
        <v>13375</v>
      </c>
      <c r="H1713" t="s">
        <v>607</v>
      </c>
      <c r="I1713" t="s">
        <v>13376</v>
      </c>
      <c r="J1713" t="s">
        <v>3523</v>
      </c>
      <c r="K1713" t="s">
        <v>13377</v>
      </c>
      <c r="M1713" s="134">
        <v>426000</v>
      </c>
      <c r="N1713" s="134">
        <v>426000</v>
      </c>
      <c r="O1713" t="s">
        <v>10762</v>
      </c>
      <c r="P1713" t="s">
        <v>13378</v>
      </c>
      <c r="Q1713" t="s">
        <v>1939</v>
      </c>
      <c r="R1713" t="s">
        <v>13379</v>
      </c>
      <c r="U1713" t="s">
        <v>491</v>
      </c>
      <c r="X1713">
        <v>0</v>
      </c>
    </row>
    <row r="1714" spans="1:24" x14ac:dyDescent="0.25">
      <c r="A1714" s="234">
        <v>43138</v>
      </c>
      <c r="B1714" t="s">
        <v>328</v>
      </c>
      <c r="C1714" t="s">
        <v>603</v>
      </c>
      <c r="D1714" t="s">
        <v>5701</v>
      </c>
      <c r="E1714" t="s">
        <v>588</v>
      </c>
      <c r="F1714" t="s">
        <v>10304</v>
      </c>
      <c r="G1714" t="s">
        <v>10305</v>
      </c>
      <c r="H1714" t="s">
        <v>607</v>
      </c>
      <c r="J1714" t="s">
        <v>3370</v>
      </c>
      <c r="L1714">
        <v>4</v>
      </c>
      <c r="M1714" s="134">
        <v>427500</v>
      </c>
      <c r="N1714" s="134">
        <v>237500</v>
      </c>
      <c r="O1714" t="s">
        <v>4533</v>
      </c>
      <c r="P1714" t="s">
        <v>10306</v>
      </c>
      <c r="Q1714" t="s">
        <v>1939</v>
      </c>
      <c r="R1714" t="s">
        <v>10307</v>
      </c>
      <c r="U1714" t="s">
        <v>1327</v>
      </c>
      <c r="X1714">
        <v>0</v>
      </c>
    </row>
    <row r="1715" spans="1:24" x14ac:dyDescent="0.25">
      <c r="A1715" s="234">
        <v>43041</v>
      </c>
      <c r="B1715" t="s">
        <v>328</v>
      </c>
      <c r="C1715" t="s">
        <v>603</v>
      </c>
      <c r="D1715" t="s">
        <v>2500</v>
      </c>
      <c r="E1715" t="s">
        <v>588</v>
      </c>
      <c r="F1715" t="s">
        <v>8254</v>
      </c>
      <c r="G1715" t="s">
        <v>9316</v>
      </c>
      <c r="H1715" t="s">
        <v>9317</v>
      </c>
      <c r="I1715" t="s">
        <v>9318</v>
      </c>
      <c r="J1715" t="s">
        <v>3751</v>
      </c>
      <c r="L1715">
        <v>3</v>
      </c>
      <c r="M1715" s="134">
        <v>429867</v>
      </c>
      <c r="N1715" s="134">
        <v>816741</v>
      </c>
      <c r="O1715" t="s">
        <v>9214</v>
      </c>
      <c r="P1715" t="s">
        <v>9319</v>
      </c>
      <c r="Q1715" t="s">
        <v>1939</v>
      </c>
      <c r="R1715" t="s">
        <v>9320</v>
      </c>
      <c r="U1715" t="s">
        <v>1327</v>
      </c>
      <c r="X1715">
        <v>0</v>
      </c>
    </row>
    <row r="1716" spans="1:24" x14ac:dyDescent="0.25">
      <c r="A1716" s="234">
        <v>42706</v>
      </c>
      <c r="B1716" t="s">
        <v>378</v>
      </c>
      <c r="C1716" t="s">
        <v>623</v>
      </c>
      <c r="D1716" t="s">
        <v>624</v>
      </c>
      <c r="E1716" t="s">
        <v>588</v>
      </c>
      <c r="F1716" t="s">
        <v>4911</v>
      </c>
      <c r="H1716" t="s">
        <v>905</v>
      </c>
      <c r="I1716" t="s">
        <v>2054</v>
      </c>
      <c r="J1716" t="s">
        <v>899</v>
      </c>
      <c r="L1716">
        <v>3</v>
      </c>
      <c r="M1716" s="134">
        <v>430000</v>
      </c>
      <c r="N1716" s="134">
        <v>455000</v>
      </c>
      <c r="O1716" t="s">
        <v>666</v>
      </c>
      <c r="P1716" t="s">
        <v>4912</v>
      </c>
      <c r="Q1716" t="s">
        <v>1939</v>
      </c>
      <c r="R1716" t="s">
        <v>4913</v>
      </c>
      <c r="U1716" t="s">
        <v>491</v>
      </c>
      <c r="X1716">
        <v>0</v>
      </c>
    </row>
    <row r="1717" spans="1:24" x14ac:dyDescent="0.25">
      <c r="A1717" s="234">
        <v>43460</v>
      </c>
      <c r="B1717" t="s">
        <v>569</v>
      </c>
      <c r="C1717" t="s">
        <v>899</v>
      </c>
      <c r="D1717" t="s">
        <v>11031</v>
      </c>
      <c r="F1717" t="s">
        <v>13700</v>
      </c>
      <c r="G1717" t="s">
        <v>7814</v>
      </c>
      <c r="H1717" t="s">
        <v>607</v>
      </c>
      <c r="I1717" t="s">
        <v>13701</v>
      </c>
      <c r="J1717" t="s">
        <v>899</v>
      </c>
      <c r="K1717" t="s">
        <v>13702</v>
      </c>
      <c r="L1717">
        <v>2</v>
      </c>
      <c r="M1717" s="134">
        <v>430000</v>
      </c>
      <c r="N1717" s="134">
        <v>667000</v>
      </c>
      <c r="O1717" t="s">
        <v>10765</v>
      </c>
      <c r="P1717" t="s">
        <v>13765</v>
      </c>
      <c r="Q1717" t="s">
        <v>1939</v>
      </c>
      <c r="R1717" t="s">
        <v>13766</v>
      </c>
      <c r="U1717" t="s">
        <v>12797</v>
      </c>
      <c r="X1717">
        <v>0</v>
      </c>
    </row>
    <row r="1718" spans="1:24" x14ac:dyDescent="0.25">
      <c r="A1718" s="234">
        <v>43273</v>
      </c>
      <c r="B1718" t="s">
        <v>5360</v>
      </c>
      <c r="C1718" t="s">
        <v>899</v>
      </c>
      <c r="D1718" t="s">
        <v>732</v>
      </c>
      <c r="E1718" t="s">
        <v>588</v>
      </c>
      <c r="F1718" t="s">
        <v>8193</v>
      </c>
      <c r="G1718" t="s">
        <v>11606</v>
      </c>
      <c r="H1718" t="s">
        <v>10832</v>
      </c>
      <c r="I1718" t="s">
        <v>7484</v>
      </c>
      <c r="J1718" t="s">
        <v>899</v>
      </c>
      <c r="L1718">
        <v>2</v>
      </c>
      <c r="M1718" s="134">
        <v>430000</v>
      </c>
      <c r="N1718" s="134">
        <v>774000</v>
      </c>
      <c r="O1718" t="s">
        <v>10765</v>
      </c>
      <c r="P1718" t="s">
        <v>11607</v>
      </c>
      <c r="Q1718" t="s">
        <v>1939</v>
      </c>
      <c r="R1718" t="s">
        <v>11608</v>
      </c>
      <c r="U1718" t="s">
        <v>1327</v>
      </c>
      <c r="X1718">
        <v>0</v>
      </c>
    </row>
    <row r="1719" spans="1:24" x14ac:dyDescent="0.25">
      <c r="A1719" s="234">
        <v>43521</v>
      </c>
      <c r="B1719" t="s">
        <v>13559</v>
      </c>
      <c r="C1719" t="s">
        <v>4031</v>
      </c>
      <c r="D1719" t="s">
        <v>13560</v>
      </c>
      <c r="F1719" t="s">
        <v>8424</v>
      </c>
      <c r="G1719" t="s">
        <v>11155</v>
      </c>
      <c r="H1719" t="s">
        <v>10831</v>
      </c>
      <c r="I1719" t="s">
        <v>14521</v>
      </c>
      <c r="J1719" t="s">
        <v>608</v>
      </c>
      <c r="K1719" t="s">
        <v>14522</v>
      </c>
      <c r="L1719">
        <v>5</v>
      </c>
      <c r="M1719" s="134">
        <v>430000</v>
      </c>
      <c r="N1719" s="134">
        <v>903000</v>
      </c>
      <c r="O1719" t="s">
        <v>10763</v>
      </c>
      <c r="P1719" t="s">
        <v>14523</v>
      </c>
      <c r="Q1719" t="s">
        <v>1939</v>
      </c>
      <c r="R1719" t="s">
        <v>14524</v>
      </c>
      <c r="U1719" t="s">
        <v>12797</v>
      </c>
      <c r="X1719">
        <v>0</v>
      </c>
    </row>
    <row r="1720" spans="1:24" x14ac:dyDescent="0.25">
      <c r="A1720" s="234">
        <v>42718</v>
      </c>
      <c r="B1720" t="s">
        <v>328</v>
      </c>
      <c r="C1720" t="s">
        <v>603</v>
      </c>
      <c r="D1720" t="s">
        <v>1471</v>
      </c>
      <c r="E1720" t="s">
        <v>588</v>
      </c>
      <c r="F1720" t="s">
        <v>5023</v>
      </c>
      <c r="H1720" t="s">
        <v>607</v>
      </c>
      <c r="I1720" t="s">
        <v>2054</v>
      </c>
      <c r="J1720" t="s">
        <v>899</v>
      </c>
      <c r="L1720">
        <v>1</v>
      </c>
      <c r="M1720" s="134">
        <v>430000</v>
      </c>
      <c r="N1720" s="134">
        <v>903000</v>
      </c>
      <c r="O1720" t="s">
        <v>4575</v>
      </c>
      <c r="P1720" t="s">
        <v>5024</v>
      </c>
      <c r="Q1720" t="s">
        <v>1939</v>
      </c>
      <c r="R1720" t="s">
        <v>5025</v>
      </c>
      <c r="U1720" t="s">
        <v>491</v>
      </c>
      <c r="X1720">
        <v>0</v>
      </c>
    </row>
    <row r="1721" spans="1:24" x14ac:dyDescent="0.25">
      <c r="A1721" s="234">
        <v>42629</v>
      </c>
      <c r="B1721" t="s">
        <v>328</v>
      </c>
      <c r="C1721" t="s">
        <v>603</v>
      </c>
      <c r="D1721" t="s">
        <v>1401</v>
      </c>
      <c r="E1721" t="s">
        <v>588</v>
      </c>
      <c r="F1721" t="s">
        <v>3950</v>
      </c>
      <c r="H1721" t="s">
        <v>607</v>
      </c>
      <c r="I1721" t="s">
        <v>3951</v>
      </c>
      <c r="J1721" t="s">
        <v>3369</v>
      </c>
      <c r="M1721" s="134">
        <v>431000</v>
      </c>
      <c r="N1721" s="134">
        <v>732700</v>
      </c>
      <c r="O1721" t="s">
        <v>3952</v>
      </c>
      <c r="P1721" t="s">
        <v>3953</v>
      </c>
      <c r="Q1721" t="s">
        <v>620</v>
      </c>
      <c r="R1721" t="s">
        <v>3954</v>
      </c>
      <c r="U1721" t="s">
        <v>491</v>
      </c>
      <c r="X1721">
        <v>0</v>
      </c>
    </row>
    <row r="1722" spans="1:24" x14ac:dyDescent="0.25">
      <c r="A1722" s="234">
        <v>42874</v>
      </c>
      <c r="B1722" t="s">
        <v>328</v>
      </c>
      <c r="C1722" t="s">
        <v>603</v>
      </c>
      <c r="D1722" t="s">
        <v>5701</v>
      </c>
      <c r="E1722" t="s">
        <v>588</v>
      </c>
      <c r="F1722" t="s">
        <v>6846</v>
      </c>
      <c r="H1722" t="s">
        <v>607</v>
      </c>
      <c r="I1722" t="s">
        <v>6847</v>
      </c>
      <c r="J1722" t="s">
        <v>5562</v>
      </c>
      <c r="L1722">
        <v>9</v>
      </c>
      <c r="M1722" s="134">
        <v>431000</v>
      </c>
      <c r="N1722" s="134">
        <v>924000</v>
      </c>
      <c r="O1722" t="s">
        <v>6848</v>
      </c>
      <c r="P1722" t="s">
        <v>6849</v>
      </c>
      <c r="Q1722" t="s">
        <v>1939</v>
      </c>
      <c r="R1722" t="s">
        <v>6851</v>
      </c>
      <c r="S1722" t="s">
        <v>6850</v>
      </c>
      <c r="U1722" t="s">
        <v>491</v>
      </c>
      <c r="X1722">
        <v>0</v>
      </c>
    </row>
    <row r="1723" spans="1:24" x14ac:dyDescent="0.25">
      <c r="A1723" s="234">
        <v>43514</v>
      </c>
      <c r="B1723" t="s">
        <v>569</v>
      </c>
      <c r="C1723" t="s">
        <v>899</v>
      </c>
      <c r="D1723" t="s">
        <v>11286</v>
      </c>
      <c r="F1723" t="s">
        <v>14425</v>
      </c>
      <c r="G1723" t="s">
        <v>14426</v>
      </c>
      <c r="H1723" t="s">
        <v>607</v>
      </c>
      <c r="I1723" t="s">
        <v>13686</v>
      </c>
      <c r="J1723" t="s">
        <v>899</v>
      </c>
      <c r="K1723" t="s">
        <v>13687</v>
      </c>
      <c r="L1723">
        <v>10</v>
      </c>
      <c r="M1723" s="134">
        <v>432064</v>
      </c>
      <c r="N1723" s="134">
        <v>432064</v>
      </c>
      <c r="O1723" t="s">
        <v>10766</v>
      </c>
      <c r="P1723" t="s">
        <v>14428</v>
      </c>
      <c r="Q1723" t="s">
        <v>620</v>
      </c>
      <c r="R1723" t="s">
        <v>14700</v>
      </c>
      <c r="S1723" t="s">
        <v>14427</v>
      </c>
      <c r="U1723" t="s">
        <v>491</v>
      </c>
      <c r="X1723">
        <v>0</v>
      </c>
    </row>
    <row r="1724" spans="1:24" x14ac:dyDescent="0.25">
      <c r="A1724" s="234">
        <v>43553</v>
      </c>
      <c r="B1724" t="s">
        <v>328</v>
      </c>
      <c r="C1724" t="s">
        <v>603</v>
      </c>
      <c r="D1724" t="s">
        <v>10705</v>
      </c>
      <c r="F1724" t="s">
        <v>14899</v>
      </c>
      <c r="G1724" t="s">
        <v>12377</v>
      </c>
      <c r="H1724" t="s">
        <v>607</v>
      </c>
      <c r="I1724" t="s">
        <v>14900</v>
      </c>
      <c r="J1724" t="s">
        <v>3501</v>
      </c>
      <c r="K1724" t="s">
        <v>14901</v>
      </c>
      <c r="L1724">
        <v>5</v>
      </c>
      <c r="M1724" s="134">
        <v>433000</v>
      </c>
      <c r="N1724" s="134">
        <v>800000</v>
      </c>
      <c r="O1724" t="s">
        <v>4533</v>
      </c>
      <c r="P1724" t="s">
        <v>14902</v>
      </c>
      <c r="Q1724" t="s">
        <v>29</v>
      </c>
      <c r="R1724" t="s">
        <v>14953</v>
      </c>
      <c r="U1724" t="s">
        <v>491</v>
      </c>
      <c r="X1724">
        <v>1</v>
      </c>
    </row>
    <row r="1725" spans="1:24" x14ac:dyDescent="0.25">
      <c r="A1725" s="234">
        <v>42479</v>
      </c>
      <c r="B1725" t="s">
        <v>328</v>
      </c>
      <c r="C1725" t="s">
        <v>603</v>
      </c>
      <c r="D1725" t="s">
        <v>1401</v>
      </c>
      <c r="E1725" t="s">
        <v>588</v>
      </c>
      <c r="F1725" t="s">
        <v>1736</v>
      </c>
      <c r="H1725" t="s">
        <v>607</v>
      </c>
      <c r="I1725" t="s">
        <v>1738</v>
      </c>
      <c r="M1725" s="134">
        <v>433290</v>
      </c>
      <c r="N1725" s="134">
        <v>736593</v>
      </c>
      <c r="O1725" t="s">
        <v>686</v>
      </c>
      <c r="P1725" t="s">
        <v>1737</v>
      </c>
      <c r="Q1725" t="s">
        <v>620</v>
      </c>
      <c r="R1725" t="s">
        <v>1739</v>
      </c>
      <c r="U1725" t="s">
        <v>491</v>
      </c>
      <c r="X1725">
        <v>0</v>
      </c>
    </row>
    <row r="1726" spans="1:24" x14ac:dyDescent="0.25">
      <c r="A1726" s="234">
        <v>42886</v>
      </c>
      <c r="B1726" t="s">
        <v>5176</v>
      </c>
      <c r="C1726" t="s">
        <v>604</v>
      </c>
      <c r="D1726" t="s">
        <v>6995</v>
      </c>
      <c r="E1726" t="s">
        <v>588</v>
      </c>
      <c r="F1726" t="s">
        <v>6996</v>
      </c>
      <c r="H1726" t="s">
        <v>607</v>
      </c>
      <c r="I1726" t="s">
        <v>6997</v>
      </c>
      <c r="J1726" t="s">
        <v>959</v>
      </c>
      <c r="M1726" s="134">
        <v>434000</v>
      </c>
      <c r="N1726" s="134">
        <v>0</v>
      </c>
      <c r="O1726" t="s">
        <v>5190</v>
      </c>
      <c r="P1726" t="s">
        <v>6998</v>
      </c>
      <c r="Q1726" t="s">
        <v>29</v>
      </c>
      <c r="R1726" t="s">
        <v>7008</v>
      </c>
      <c r="U1726" t="s">
        <v>491</v>
      </c>
      <c r="X1726">
        <v>1</v>
      </c>
    </row>
    <row r="1727" spans="1:24" x14ac:dyDescent="0.25">
      <c r="A1727" s="234">
        <v>43388</v>
      </c>
      <c r="B1727" t="s">
        <v>328</v>
      </c>
      <c r="C1727" t="s">
        <v>603</v>
      </c>
      <c r="D1727" t="s">
        <v>5701</v>
      </c>
      <c r="F1727" t="s">
        <v>12919</v>
      </c>
      <c r="G1727" t="s">
        <v>12920</v>
      </c>
      <c r="H1727" t="s">
        <v>607</v>
      </c>
      <c r="I1727" t="s">
        <v>12922</v>
      </c>
      <c r="J1727" t="s">
        <v>604</v>
      </c>
      <c r="L1727">
        <v>6</v>
      </c>
      <c r="M1727" s="134">
        <v>435000</v>
      </c>
      <c r="N1727" s="134">
        <v>826500</v>
      </c>
      <c r="O1727" t="s">
        <v>10879</v>
      </c>
      <c r="P1727" t="s">
        <v>12921</v>
      </c>
      <c r="Q1727" t="s">
        <v>1939</v>
      </c>
      <c r="R1727" t="s">
        <v>12923</v>
      </c>
      <c r="U1727" t="s">
        <v>12344</v>
      </c>
      <c r="X1727">
        <v>0</v>
      </c>
    </row>
    <row r="1728" spans="1:24" x14ac:dyDescent="0.25">
      <c r="A1728" s="234">
        <v>43467</v>
      </c>
      <c r="B1728" t="s">
        <v>13559</v>
      </c>
      <c r="C1728" t="s">
        <v>4031</v>
      </c>
      <c r="D1728" t="s">
        <v>13560</v>
      </c>
      <c r="F1728" t="s">
        <v>13793</v>
      </c>
      <c r="G1728" t="s">
        <v>13794</v>
      </c>
      <c r="H1728" t="s">
        <v>607</v>
      </c>
      <c r="I1728" t="s">
        <v>11959</v>
      </c>
      <c r="J1728" t="s">
        <v>3751</v>
      </c>
      <c r="K1728" t="s">
        <v>13795</v>
      </c>
      <c r="L1728">
        <v>10</v>
      </c>
      <c r="M1728" s="134">
        <v>435000</v>
      </c>
      <c r="N1728" s="134">
        <v>870000</v>
      </c>
      <c r="O1728" t="s">
        <v>7124</v>
      </c>
      <c r="P1728" t="s">
        <v>14217</v>
      </c>
      <c r="Q1728" t="s">
        <v>1939</v>
      </c>
      <c r="R1728" t="s">
        <v>13796</v>
      </c>
      <c r="U1728" t="s">
        <v>12797</v>
      </c>
      <c r="X1728">
        <v>0</v>
      </c>
    </row>
    <row r="1729" spans="1:24" x14ac:dyDescent="0.25">
      <c r="A1729" s="234">
        <v>43013</v>
      </c>
      <c r="B1729" t="s">
        <v>328</v>
      </c>
      <c r="C1729" t="s">
        <v>899</v>
      </c>
      <c r="D1729" t="s">
        <v>587</v>
      </c>
      <c r="E1729" t="s">
        <v>588</v>
      </c>
      <c r="F1729" t="s">
        <v>8887</v>
      </c>
      <c r="G1729" t="s">
        <v>8888</v>
      </c>
      <c r="H1729" t="s">
        <v>607</v>
      </c>
      <c r="I1729" t="s">
        <v>4674</v>
      </c>
      <c r="J1729" t="s">
        <v>899</v>
      </c>
      <c r="L1729">
        <v>9</v>
      </c>
      <c r="M1729" s="134">
        <v>440000</v>
      </c>
      <c r="N1729" s="134">
        <v>0</v>
      </c>
      <c r="O1729" t="s">
        <v>695</v>
      </c>
      <c r="P1729" t="s">
        <v>8889</v>
      </c>
      <c r="Q1729" t="s">
        <v>1939</v>
      </c>
      <c r="R1729" t="s">
        <v>8890</v>
      </c>
      <c r="T1729">
        <v>22</v>
      </c>
      <c r="U1729" t="s">
        <v>491</v>
      </c>
      <c r="X1729">
        <v>0</v>
      </c>
    </row>
    <row r="1730" spans="1:24" x14ac:dyDescent="0.25">
      <c r="A1730" s="234">
        <v>43258</v>
      </c>
      <c r="B1730" t="s">
        <v>5176</v>
      </c>
      <c r="C1730" t="s">
        <v>604</v>
      </c>
      <c r="D1730" t="s">
        <v>595</v>
      </c>
      <c r="E1730" t="s">
        <v>588</v>
      </c>
      <c r="F1730" t="s">
        <v>11424</v>
      </c>
      <c r="H1730" t="s">
        <v>10832</v>
      </c>
      <c r="I1730" t="s">
        <v>10216</v>
      </c>
      <c r="J1730" t="s">
        <v>959</v>
      </c>
      <c r="L1730">
        <v>3</v>
      </c>
      <c r="M1730" s="134">
        <v>440000</v>
      </c>
      <c r="N1730" s="134">
        <v>440000</v>
      </c>
      <c r="O1730" t="s">
        <v>10766</v>
      </c>
      <c r="P1730" t="s">
        <v>11425</v>
      </c>
      <c r="Q1730" t="s">
        <v>1939</v>
      </c>
      <c r="R1730" t="s">
        <v>11691</v>
      </c>
      <c r="U1730" t="s">
        <v>491</v>
      </c>
      <c r="X1730">
        <v>0</v>
      </c>
    </row>
    <row r="1731" spans="1:24" x14ac:dyDescent="0.25">
      <c r="A1731" s="234">
        <v>42892</v>
      </c>
      <c r="B1731" t="s">
        <v>643</v>
      </c>
      <c r="C1731" t="s">
        <v>644</v>
      </c>
      <c r="D1731" t="s">
        <v>645</v>
      </c>
      <c r="E1731" t="s">
        <v>588</v>
      </c>
      <c r="F1731" t="s">
        <v>3198</v>
      </c>
      <c r="H1731" t="s">
        <v>722</v>
      </c>
      <c r="I1731" t="s">
        <v>3199</v>
      </c>
      <c r="J1731" t="s">
        <v>644</v>
      </c>
      <c r="L1731">
        <v>10</v>
      </c>
      <c r="M1731" s="134">
        <v>440000</v>
      </c>
      <c r="N1731" s="134">
        <v>660000</v>
      </c>
      <c r="O1731" t="s">
        <v>1651</v>
      </c>
      <c r="P1731" t="s">
        <v>3201</v>
      </c>
      <c r="Q1731" t="s">
        <v>1939</v>
      </c>
      <c r="R1731" t="s">
        <v>3200</v>
      </c>
      <c r="U1731" t="s">
        <v>491</v>
      </c>
      <c r="X1731">
        <v>0</v>
      </c>
    </row>
    <row r="1732" spans="1:24" x14ac:dyDescent="0.25">
      <c r="A1732" s="234">
        <v>42585</v>
      </c>
      <c r="B1732" t="s">
        <v>643</v>
      </c>
      <c r="C1732" t="s">
        <v>644</v>
      </c>
      <c r="D1732" t="s">
        <v>645</v>
      </c>
      <c r="E1732" t="s">
        <v>588</v>
      </c>
      <c r="F1732" t="s">
        <v>3198</v>
      </c>
      <c r="H1732" t="s">
        <v>722</v>
      </c>
      <c r="I1732" t="s">
        <v>3199</v>
      </c>
      <c r="J1732" t="s">
        <v>644</v>
      </c>
      <c r="L1732">
        <v>10</v>
      </c>
      <c r="M1732" s="134">
        <v>440000</v>
      </c>
      <c r="N1732" s="134">
        <v>660000</v>
      </c>
      <c r="O1732" t="s">
        <v>1651</v>
      </c>
      <c r="P1732" t="s">
        <v>3201</v>
      </c>
      <c r="Q1732" t="s">
        <v>1939</v>
      </c>
      <c r="R1732" t="s">
        <v>3200</v>
      </c>
      <c r="U1732" t="s">
        <v>491</v>
      </c>
      <c r="X1732">
        <v>0</v>
      </c>
    </row>
    <row r="1733" spans="1:24" x14ac:dyDescent="0.25">
      <c r="A1733" s="234">
        <v>42622</v>
      </c>
      <c r="B1733" t="s">
        <v>328</v>
      </c>
      <c r="C1733" t="s">
        <v>603</v>
      </c>
      <c r="D1733" t="s">
        <v>1401</v>
      </c>
      <c r="E1733" t="s">
        <v>588</v>
      </c>
      <c r="F1733" t="s">
        <v>3870</v>
      </c>
      <c r="H1733" t="s">
        <v>607</v>
      </c>
      <c r="I1733" t="s">
        <v>3875</v>
      </c>
      <c r="J1733" t="s">
        <v>899</v>
      </c>
      <c r="L1733">
        <v>9</v>
      </c>
      <c r="M1733" s="134">
        <v>440000</v>
      </c>
      <c r="N1733" s="134">
        <v>660000</v>
      </c>
      <c r="O1733" t="s">
        <v>3871</v>
      </c>
      <c r="P1733" t="s">
        <v>3872</v>
      </c>
      <c r="Q1733" t="s">
        <v>29</v>
      </c>
      <c r="R1733" t="s">
        <v>3873</v>
      </c>
      <c r="U1733" t="s">
        <v>491</v>
      </c>
      <c r="X1733">
        <v>1</v>
      </c>
    </row>
    <row r="1734" spans="1:24" x14ac:dyDescent="0.25">
      <c r="A1734" s="234">
        <v>43598</v>
      </c>
      <c r="B1734" t="s">
        <v>328</v>
      </c>
      <c r="C1734" t="s">
        <v>603</v>
      </c>
      <c r="D1734" t="s">
        <v>10338</v>
      </c>
      <c r="F1734" t="s">
        <v>15540</v>
      </c>
      <c r="G1734" t="s">
        <v>7792</v>
      </c>
      <c r="H1734" t="s">
        <v>607</v>
      </c>
      <c r="I1734" t="s">
        <v>3646</v>
      </c>
      <c r="J1734" t="s">
        <v>644</v>
      </c>
      <c r="K1734" t="s">
        <v>13169</v>
      </c>
      <c r="L1734">
        <v>3</v>
      </c>
      <c r="M1734" s="134">
        <v>440000</v>
      </c>
      <c r="N1734" s="134">
        <v>792000</v>
      </c>
      <c r="O1734" t="s">
        <v>10766</v>
      </c>
      <c r="P1734" t="s">
        <v>15541</v>
      </c>
      <c r="Q1734" t="s">
        <v>29</v>
      </c>
      <c r="R1734" t="s">
        <v>15542</v>
      </c>
      <c r="S1734" t="s">
        <v>15543</v>
      </c>
      <c r="U1734" t="s">
        <v>491</v>
      </c>
      <c r="X1734">
        <v>1</v>
      </c>
    </row>
    <row r="1735" spans="1:24" x14ac:dyDescent="0.25">
      <c r="A1735" s="234">
        <v>43454</v>
      </c>
      <c r="B1735" t="s">
        <v>569</v>
      </c>
      <c r="C1735" t="s">
        <v>899</v>
      </c>
      <c r="D1735" t="s">
        <v>9981</v>
      </c>
      <c r="F1735" t="s">
        <v>13684</v>
      </c>
      <c r="G1735" t="s">
        <v>13685</v>
      </c>
      <c r="H1735" t="s">
        <v>607</v>
      </c>
      <c r="I1735" t="s">
        <v>13686</v>
      </c>
      <c r="J1735" t="s">
        <v>899</v>
      </c>
      <c r="K1735" t="s">
        <v>13687</v>
      </c>
      <c r="L1735">
        <v>3</v>
      </c>
      <c r="M1735" s="134">
        <v>440000</v>
      </c>
      <c r="N1735" s="134">
        <v>797500</v>
      </c>
      <c r="O1735" t="s">
        <v>10766</v>
      </c>
      <c r="P1735" t="s">
        <v>13688</v>
      </c>
      <c r="Q1735" t="s">
        <v>1939</v>
      </c>
      <c r="R1735" t="s">
        <v>13764</v>
      </c>
      <c r="U1735" t="s">
        <v>12797</v>
      </c>
      <c r="X1735">
        <v>0</v>
      </c>
    </row>
    <row r="1736" spans="1:24" x14ac:dyDescent="0.25">
      <c r="A1736" s="234">
        <v>42697</v>
      </c>
      <c r="B1736" t="s">
        <v>328</v>
      </c>
      <c r="C1736" t="s">
        <v>603</v>
      </c>
      <c r="D1736" t="s">
        <v>1471</v>
      </c>
      <c r="E1736" t="s">
        <v>588</v>
      </c>
      <c r="F1736" t="s">
        <v>4819</v>
      </c>
      <c r="H1736" t="s">
        <v>1119</v>
      </c>
      <c r="I1736" t="s">
        <v>4818</v>
      </c>
      <c r="J1736" t="s">
        <v>3888</v>
      </c>
      <c r="L1736">
        <v>10</v>
      </c>
      <c r="M1736" s="134">
        <v>441500</v>
      </c>
      <c r="N1736" s="134">
        <v>485650</v>
      </c>
      <c r="O1736" t="s">
        <v>4817</v>
      </c>
      <c r="P1736" t="s">
        <v>4815</v>
      </c>
      <c r="Q1736" t="s">
        <v>29</v>
      </c>
      <c r="R1736" t="s">
        <v>4816</v>
      </c>
      <c r="U1736" t="s">
        <v>1327</v>
      </c>
      <c r="X1736">
        <v>1</v>
      </c>
    </row>
    <row r="1737" spans="1:24" x14ac:dyDescent="0.25">
      <c r="A1737" s="234">
        <v>43328</v>
      </c>
      <c r="B1737" t="s">
        <v>12367</v>
      </c>
      <c r="C1737" t="s">
        <v>5610</v>
      </c>
      <c r="D1737" t="s">
        <v>10458</v>
      </c>
      <c r="E1737" t="s">
        <v>588</v>
      </c>
      <c r="F1737" t="s">
        <v>12246</v>
      </c>
      <c r="G1737" t="s">
        <v>12245</v>
      </c>
      <c r="H1737" t="s">
        <v>607</v>
      </c>
      <c r="I1737" t="s">
        <v>12244</v>
      </c>
      <c r="J1737" t="s">
        <v>3523</v>
      </c>
      <c r="L1737">
        <v>6</v>
      </c>
      <c r="M1737" s="134">
        <v>444000</v>
      </c>
      <c r="N1737" s="134">
        <v>763680</v>
      </c>
      <c r="O1737" t="s">
        <v>10765</v>
      </c>
      <c r="P1737" t="s">
        <v>12243</v>
      </c>
      <c r="Q1737" t="s">
        <v>1939</v>
      </c>
      <c r="R1737" t="s">
        <v>12242</v>
      </c>
      <c r="U1737" t="s">
        <v>1327</v>
      </c>
      <c r="X1737">
        <v>0</v>
      </c>
    </row>
    <row r="1738" spans="1:24" x14ac:dyDescent="0.25">
      <c r="A1738" s="234">
        <v>42615</v>
      </c>
      <c r="B1738" t="s">
        <v>1486</v>
      </c>
      <c r="C1738" t="s">
        <v>1363</v>
      </c>
      <c r="D1738" t="s">
        <v>2346</v>
      </c>
      <c r="E1738" t="s">
        <v>588</v>
      </c>
      <c r="F1738" t="s">
        <v>3762</v>
      </c>
      <c r="H1738" t="s">
        <v>607</v>
      </c>
      <c r="I1738" t="s">
        <v>3763</v>
      </c>
      <c r="J1738" t="s">
        <v>602</v>
      </c>
      <c r="L1738">
        <v>3</v>
      </c>
      <c r="M1738" s="134">
        <v>448000</v>
      </c>
      <c r="N1738" s="134">
        <v>473000</v>
      </c>
      <c r="O1738" t="s">
        <v>3764</v>
      </c>
      <c r="P1738" t="s">
        <v>3765</v>
      </c>
      <c r="Q1738" t="s">
        <v>29</v>
      </c>
      <c r="R1738" t="s">
        <v>3766</v>
      </c>
      <c r="U1738" t="s">
        <v>491</v>
      </c>
      <c r="X1738">
        <v>1</v>
      </c>
    </row>
    <row r="1739" spans="1:24" x14ac:dyDescent="0.25">
      <c r="A1739" s="234">
        <v>42717</v>
      </c>
      <c r="B1739" t="s">
        <v>378</v>
      </c>
      <c r="C1739" t="s">
        <v>623</v>
      </c>
      <c r="D1739" t="s">
        <v>930</v>
      </c>
      <c r="E1739" t="s">
        <v>588</v>
      </c>
      <c r="F1739" t="s">
        <v>5010</v>
      </c>
      <c r="H1739" t="s">
        <v>722</v>
      </c>
      <c r="I1739" t="s">
        <v>3452</v>
      </c>
      <c r="J1739" t="s">
        <v>899</v>
      </c>
      <c r="L1739">
        <v>8</v>
      </c>
      <c r="M1739" s="134">
        <v>448000</v>
      </c>
      <c r="N1739" s="134">
        <v>797800</v>
      </c>
      <c r="O1739" t="s">
        <v>35</v>
      </c>
      <c r="P1739" t="s">
        <v>5012</v>
      </c>
      <c r="Q1739" t="s">
        <v>1939</v>
      </c>
      <c r="R1739" t="s">
        <v>5011</v>
      </c>
      <c r="S1739" t="s">
        <v>5108</v>
      </c>
      <c r="X1739">
        <v>0</v>
      </c>
    </row>
    <row r="1740" spans="1:24" x14ac:dyDescent="0.25">
      <c r="A1740" s="234">
        <v>42501</v>
      </c>
      <c r="B1740" t="s">
        <v>1486</v>
      </c>
      <c r="C1740" t="s">
        <v>1883</v>
      </c>
      <c r="D1740" t="s">
        <v>595</v>
      </c>
      <c r="E1740" t="s">
        <v>588</v>
      </c>
      <c r="F1740" t="s">
        <v>2020</v>
      </c>
      <c r="H1740" t="s">
        <v>2021</v>
      </c>
      <c r="I1740" t="s">
        <v>2022</v>
      </c>
      <c r="M1740" s="134">
        <v>449000</v>
      </c>
      <c r="N1740" s="134">
        <v>830650</v>
      </c>
      <c r="O1740" t="s">
        <v>2023</v>
      </c>
      <c r="P1740" t="s">
        <v>2024</v>
      </c>
      <c r="Q1740" t="s">
        <v>1612</v>
      </c>
      <c r="R1740" t="s">
        <v>2033</v>
      </c>
      <c r="S1740" t="s">
        <v>2035</v>
      </c>
      <c r="U1740" t="s">
        <v>491</v>
      </c>
      <c r="X1740">
        <v>0</v>
      </c>
    </row>
    <row r="1741" spans="1:24" x14ac:dyDescent="0.25">
      <c r="A1741" s="234">
        <v>43525</v>
      </c>
      <c r="B1741" t="s">
        <v>569</v>
      </c>
      <c r="C1741" t="s">
        <v>899</v>
      </c>
      <c r="D1741" t="s">
        <v>611</v>
      </c>
      <c r="F1741" t="s">
        <v>14579</v>
      </c>
      <c r="G1741" t="s">
        <v>1789</v>
      </c>
      <c r="H1741" t="s">
        <v>607</v>
      </c>
      <c r="I1741" t="s">
        <v>14580</v>
      </c>
      <c r="J1741" t="s">
        <v>899</v>
      </c>
      <c r="K1741" t="s">
        <v>14581</v>
      </c>
      <c r="L1741" t="s">
        <v>7579</v>
      </c>
      <c r="M1741" s="134">
        <v>449000</v>
      </c>
      <c r="N1741" s="134">
        <v>1010250</v>
      </c>
      <c r="O1741" t="s">
        <v>10766</v>
      </c>
      <c r="P1741" t="s">
        <v>14582</v>
      </c>
      <c r="Q1741" t="s">
        <v>29</v>
      </c>
      <c r="R1741" t="s">
        <v>14583</v>
      </c>
      <c r="U1741" t="s">
        <v>12797</v>
      </c>
      <c r="X1741">
        <v>1</v>
      </c>
    </row>
    <row r="1742" spans="1:24" x14ac:dyDescent="0.25">
      <c r="A1742" s="234">
        <v>42747</v>
      </c>
      <c r="B1742" t="s">
        <v>569</v>
      </c>
      <c r="D1742" t="s">
        <v>625</v>
      </c>
      <c r="E1742" t="s">
        <v>588</v>
      </c>
      <c r="F1742" t="s">
        <v>5295</v>
      </c>
      <c r="H1742" t="s">
        <v>607</v>
      </c>
      <c r="M1742" s="134">
        <v>450000</v>
      </c>
      <c r="N1742" s="134">
        <v>0</v>
      </c>
      <c r="O1742" t="s">
        <v>1171</v>
      </c>
      <c r="P1742" t="s">
        <v>5296</v>
      </c>
      <c r="Q1742" t="s">
        <v>1939</v>
      </c>
      <c r="R1742" t="s">
        <v>5319</v>
      </c>
      <c r="S1742" t="s">
        <v>5327</v>
      </c>
      <c r="U1742" t="s">
        <v>491</v>
      </c>
      <c r="X1742">
        <v>0</v>
      </c>
    </row>
    <row r="1743" spans="1:24" x14ac:dyDescent="0.25">
      <c r="A1743" s="234">
        <v>42643</v>
      </c>
      <c r="B1743" t="s">
        <v>378</v>
      </c>
      <c r="C1743" t="s">
        <v>623</v>
      </c>
      <c r="D1743" t="s">
        <v>624</v>
      </c>
      <c r="E1743" t="s">
        <v>588</v>
      </c>
      <c r="F1743" t="s">
        <v>4126</v>
      </c>
      <c r="H1743" t="s">
        <v>607</v>
      </c>
      <c r="I1743" t="s">
        <v>3649</v>
      </c>
      <c r="J1743" t="s">
        <v>899</v>
      </c>
      <c r="M1743" s="134">
        <v>450000</v>
      </c>
      <c r="N1743" s="134">
        <v>0</v>
      </c>
      <c r="O1743" t="s">
        <v>4127</v>
      </c>
      <c r="P1743" t="s">
        <v>4128</v>
      </c>
      <c r="Q1743" t="s">
        <v>592</v>
      </c>
      <c r="R1743" t="s">
        <v>4129</v>
      </c>
      <c r="U1743" t="s">
        <v>491</v>
      </c>
      <c r="X1743">
        <v>0</v>
      </c>
    </row>
    <row r="1744" spans="1:24" x14ac:dyDescent="0.25">
      <c r="A1744" s="234">
        <v>43209</v>
      </c>
      <c r="B1744" t="s">
        <v>9240</v>
      </c>
      <c r="C1744" t="s">
        <v>603</v>
      </c>
      <c r="D1744" t="s">
        <v>9241</v>
      </c>
      <c r="E1744" t="s">
        <v>588</v>
      </c>
      <c r="F1744" t="s">
        <v>15</v>
      </c>
      <c r="G1744" t="s">
        <v>11014</v>
      </c>
      <c r="H1744" t="s">
        <v>607</v>
      </c>
      <c r="I1744" t="s">
        <v>11013</v>
      </c>
      <c r="J1744" t="s">
        <v>5402</v>
      </c>
      <c r="L1744">
        <v>4</v>
      </c>
      <c r="M1744" s="134">
        <v>450000</v>
      </c>
      <c r="N1744" s="134">
        <v>450000</v>
      </c>
      <c r="O1744" t="s">
        <v>10766</v>
      </c>
      <c r="P1744" t="s">
        <v>11012</v>
      </c>
      <c r="Q1744" t="s">
        <v>1939</v>
      </c>
      <c r="R1744" t="s">
        <v>11011</v>
      </c>
      <c r="U1744" t="s">
        <v>1327</v>
      </c>
      <c r="X1744">
        <v>0</v>
      </c>
    </row>
    <row r="1745" spans="1:24" x14ac:dyDescent="0.25">
      <c r="A1745" s="234">
        <v>43385</v>
      </c>
      <c r="B1745" t="s">
        <v>5176</v>
      </c>
      <c r="D1745" t="s">
        <v>727</v>
      </c>
      <c r="F1745" t="s">
        <v>12929</v>
      </c>
      <c r="G1745" t="s">
        <v>7814</v>
      </c>
      <c r="H1745" t="s">
        <v>886</v>
      </c>
      <c r="I1745" t="s">
        <v>11776</v>
      </c>
      <c r="J1745" t="s">
        <v>11776</v>
      </c>
      <c r="L1745">
        <v>2</v>
      </c>
      <c r="M1745" s="134">
        <v>450000</v>
      </c>
      <c r="N1745" s="134">
        <v>450000</v>
      </c>
      <c r="O1745" t="s">
        <v>10766</v>
      </c>
      <c r="P1745" t="s">
        <v>12931</v>
      </c>
      <c r="Q1745" t="s">
        <v>29</v>
      </c>
      <c r="R1745" t="s">
        <v>12932</v>
      </c>
      <c r="U1745" t="s">
        <v>12344</v>
      </c>
      <c r="X1745">
        <v>1</v>
      </c>
    </row>
    <row r="1746" spans="1:24" x14ac:dyDescent="0.25">
      <c r="A1746" s="234">
        <v>43388</v>
      </c>
      <c r="B1746" t="s">
        <v>328</v>
      </c>
      <c r="C1746" t="s">
        <v>603</v>
      </c>
      <c r="D1746" t="s">
        <v>5701</v>
      </c>
      <c r="F1746" t="s">
        <v>12929</v>
      </c>
      <c r="G1746" t="s">
        <v>12924</v>
      </c>
      <c r="H1746" t="s">
        <v>886</v>
      </c>
      <c r="I1746" t="s">
        <v>11776</v>
      </c>
      <c r="J1746" t="s">
        <v>11776</v>
      </c>
      <c r="L1746">
        <v>2</v>
      </c>
      <c r="M1746" s="134">
        <v>450000</v>
      </c>
      <c r="N1746" s="134">
        <v>450000</v>
      </c>
      <c r="O1746" t="s">
        <v>10766</v>
      </c>
      <c r="P1746" t="s">
        <v>12930</v>
      </c>
      <c r="Q1746" t="s">
        <v>29</v>
      </c>
      <c r="R1746" t="s">
        <v>12932</v>
      </c>
      <c r="U1746" t="s">
        <v>12344</v>
      </c>
      <c r="X1746">
        <v>1</v>
      </c>
    </row>
    <row r="1747" spans="1:24" x14ac:dyDescent="0.25">
      <c r="A1747" s="234">
        <v>42906</v>
      </c>
      <c r="B1747" t="s">
        <v>569</v>
      </c>
      <c r="D1747" t="s">
        <v>625</v>
      </c>
      <c r="E1747" t="s">
        <v>692</v>
      </c>
      <c r="F1747" t="s">
        <v>7283</v>
      </c>
      <c r="H1747" t="s">
        <v>886</v>
      </c>
      <c r="I1747" t="s">
        <v>7284</v>
      </c>
      <c r="J1747" t="s">
        <v>899</v>
      </c>
      <c r="M1747" s="134">
        <v>450000</v>
      </c>
      <c r="N1747" s="134">
        <v>450000</v>
      </c>
      <c r="O1747" t="s">
        <v>7285</v>
      </c>
      <c r="P1747" t="s">
        <v>7286</v>
      </c>
      <c r="Q1747" t="s">
        <v>592</v>
      </c>
      <c r="R1747" t="s">
        <v>7287</v>
      </c>
      <c r="U1747" t="s">
        <v>491</v>
      </c>
      <c r="X1747">
        <v>0</v>
      </c>
    </row>
    <row r="1748" spans="1:24" x14ac:dyDescent="0.25">
      <c r="A1748" s="234">
        <v>42762</v>
      </c>
      <c r="B1748" t="s">
        <v>569</v>
      </c>
      <c r="D1748" t="s">
        <v>625</v>
      </c>
      <c r="E1748" t="s">
        <v>692</v>
      </c>
      <c r="F1748" t="s">
        <v>5487</v>
      </c>
      <c r="H1748" t="s">
        <v>5488</v>
      </c>
      <c r="I1748" t="s">
        <v>5489</v>
      </c>
      <c r="J1748" t="s">
        <v>899</v>
      </c>
      <c r="M1748" s="134">
        <v>450000</v>
      </c>
      <c r="N1748" s="134">
        <v>495000</v>
      </c>
      <c r="O1748" t="s">
        <v>5490</v>
      </c>
      <c r="P1748" t="s">
        <v>5491</v>
      </c>
      <c r="Q1748" t="s">
        <v>29</v>
      </c>
      <c r="R1748" t="s">
        <v>5492</v>
      </c>
      <c r="U1748" t="s">
        <v>491</v>
      </c>
      <c r="X1748">
        <v>1</v>
      </c>
    </row>
    <row r="1749" spans="1:24" x14ac:dyDescent="0.25">
      <c r="A1749" s="234">
        <v>42789</v>
      </c>
      <c r="B1749" t="s">
        <v>569</v>
      </c>
      <c r="D1749" t="s">
        <v>625</v>
      </c>
      <c r="E1749" t="s">
        <v>588</v>
      </c>
      <c r="F1749" t="s">
        <v>5786</v>
      </c>
      <c r="H1749" t="s">
        <v>843</v>
      </c>
      <c r="M1749" s="134">
        <v>450000</v>
      </c>
      <c r="N1749" s="134">
        <v>495000</v>
      </c>
      <c r="O1749" t="s">
        <v>5787</v>
      </c>
      <c r="P1749" t="s">
        <v>5788</v>
      </c>
      <c r="Q1749" t="s">
        <v>1939</v>
      </c>
      <c r="R1749" t="s">
        <v>5789</v>
      </c>
      <c r="U1749" t="s">
        <v>491</v>
      </c>
      <c r="X1749">
        <v>0</v>
      </c>
    </row>
    <row r="1750" spans="1:24" x14ac:dyDescent="0.25">
      <c r="A1750" s="234">
        <v>43599</v>
      </c>
      <c r="B1750" t="s">
        <v>569</v>
      </c>
      <c r="C1750" t="s">
        <v>899</v>
      </c>
      <c r="D1750" t="s">
        <v>11286</v>
      </c>
      <c r="F1750" t="s">
        <v>15545</v>
      </c>
      <c r="G1750" t="s">
        <v>9881</v>
      </c>
      <c r="H1750" t="s">
        <v>905</v>
      </c>
      <c r="I1750" t="s">
        <v>10273</v>
      </c>
      <c r="J1750" t="s">
        <v>899</v>
      </c>
      <c r="K1750" t="s">
        <v>15546</v>
      </c>
      <c r="L1750">
        <v>2</v>
      </c>
      <c r="M1750" s="134">
        <v>450000</v>
      </c>
      <c r="N1750" s="134">
        <v>545000</v>
      </c>
      <c r="O1750" t="s">
        <v>10766</v>
      </c>
      <c r="P1750" t="s">
        <v>15551</v>
      </c>
      <c r="Q1750" t="s">
        <v>620</v>
      </c>
      <c r="R1750" t="s">
        <v>15547</v>
      </c>
      <c r="S1750" t="s">
        <v>15553</v>
      </c>
      <c r="U1750" t="s">
        <v>491</v>
      </c>
      <c r="X1750">
        <v>0</v>
      </c>
    </row>
    <row r="1751" spans="1:24" x14ac:dyDescent="0.25">
      <c r="A1751" s="234">
        <v>42769</v>
      </c>
      <c r="B1751" t="s">
        <v>569</v>
      </c>
      <c r="D1751" t="s">
        <v>930</v>
      </c>
      <c r="E1751" t="s">
        <v>588</v>
      </c>
      <c r="F1751" t="s">
        <v>5594</v>
      </c>
      <c r="H1751" t="s">
        <v>905</v>
      </c>
      <c r="I1751" t="s">
        <v>5595</v>
      </c>
      <c r="J1751" t="s">
        <v>899</v>
      </c>
      <c r="M1751" s="134">
        <v>450000</v>
      </c>
      <c r="N1751" s="134">
        <v>545000</v>
      </c>
      <c r="O1751" t="s">
        <v>35</v>
      </c>
      <c r="P1751" t="s">
        <v>5596</v>
      </c>
      <c r="Q1751" t="s">
        <v>592</v>
      </c>
      <c r="R1751" t="s">
        <v>5597</v>
      </c>
      <c r="S1751" t="s">
        <v>5619</v>
      </c>
      <c r="U1751" t="s">
        <v>491</v>
      </c>
      <c r="X1751">
        <v>0</v>
      </c>
    </row>
    <row r="1752" spans="1:24" x14ac:dyDescent="0.25">
      <c r="A1752" s="234">
        <v>42557</v>
      </c>
      <c r="B1752" t="s">
        <v>378</v>
      </c>
      <c r="C1752" t="s">
        <v>610</v>
      </c>
      <c r="D1752" t="s">
        <v>732</v>
      </c>
      <c r="E1752" t="s">
        <v>588</v>
      </c>
      <c r="F1752" t="s">
        <v>2752</v>
      </c>
      <c r="H1752" t="s">
        <v>1044</v>
      </c>
      <c r="I1752" t="s">
        <v>2439</v>
      </c>
      <c r="M1752" s="134">
        <v>450000</v>
      </c>
      <c r="N1752" s="134">
        <v>592000</v>
      </c>
      <c r="O1752" t="s">
        <v>2753</v>
      </c>
      <c r="P1752" t="s">
        <v>2755</v>
      </c>
      <c r="Q1752" t="s">
        <v>1939</v>
      </c>
      <c r="R1752" t="s">
        <v>2754</v>
      </c>
      <c r="U1752" t="s">
        <v>491</v>
      </c>
      <c r="X1752">
        <v>0</v>
      </c>
    </row>
    <row r="1753" spans="1:24" x14ac:dyDescent="0.25">
      <c r="A1753" s="234">
        <v>43258</v>
      </c>
      <c r="B1753" t="s">
        <v>569</v>
      </c>
      <c r="C1753" t="s">
        <v>899</v>
      </c>
      <c r="D1753" t="s">
        <v>624</v>
      </c>
      <c r="E1753" t="s">
        <v>588</v>
      </c>
      <c r="F1753" t="s">
        <v>11433</v>
      </c>
      <c r="H1753" t="s">
        <v>905</v>
      </c>
      <c r="I1753" t="s">
        <v>8144</v>
      </c>
      <c r="J1753" t="s">
        <v>899</v>
      </c>
      <c r="L1753">
        <v>5</v>
      </c>
      <c r="M1753" s="134">
        <v>450000</v>
      </c>
      <c r="N1753" s="134">
        <v>600000</v>
      </c>
      <c r="O1753" t="s">
        <v>10763</v>
      </c>
      <c r="P1753" t="s">
        <v>11434</v>
      </c>
      <c r="Q1753" t="s">
        <v>592</v>
      </c>
      <c r="R1753" t="s">
        <v>11435</v>
      </c>
      <c r="U1753" t="s">
        <v>491</v>
      </c>
      <c r="X1753">
        <v>0</v>
      </c>
    </row>
    <row r="1754" spans="1:24" x14ac:dyDescent="0.25">
      <c r="A1754" s="234">
        <v>43073</v>
      </c>
      <c r="B1754" t="s">
        <v>5473</v>
      </c>
      <c r="C1754" t="s">
        <v>608</v>
      </c>
      <c r="D1754" t="s">
        <v>605</v>
      </c>
      <c r="E1754" t="s">
        <v>588</v>
      </c>
      <c r="F1754" t="s">
        <v>134</v>
      </c>
      <c r="G1754" t="s">
        <v>9626</v>
      </c>
      <c r="H1754" t="s">
        <v>5991</v>
      </c>
      <c r="I1754" t="s">
        <v>9627</v>
      </c>
      <c r="J1754" t="s">
        <v>602</v>
      </c>
      <c r="L1754">
        <v>4</v>
      </c>
      <c r="M1754" s="134">
        <v>450000</v>
      </c>
      <c r="N1754" s="134">
        <v>600000</v>
      </c>
      <c r="O1754" t="s">
        <v>8628</v>
      </c>
      <c r="P1754" t="s">
        <v>9628</v>
      </c>
      <c r="Q1754" t="s">
        <v>1939</v>
      </c>
      <c r="R1754" t="s">
        <v>9629</v>
      </c>
      <c r="S1754" t="s">
        <v>9630</v>
      </c>
      <c r="U1754" t="s">
        <v>491</v>
      </c>
      <c r="X1754">
        <v>0</v>
      </c>
    </row>
    <row r="1755" spans="1:24" x14ac:dyDescent="0.25">
      <c r="A1755" s="234">
        <v>42583</v>
      </c>
      <c r="B1755" t="s">
        <v>328</v>
      </c>
      <c r="C1755" t="s">
        <v>603</v>
      </c>
      <c r="D1755" t="s">
        <v>1471</v>
      </c>
      <c r="E1755" t="s">
        <v>588</v>
      </c>
      <c r="F1755" t="s">
        <v>3148</v>
      </c>
      <c r="H1755" t="s">
        <v>3149</v>
      </c>
      <c r="I1755" t="s">
        <v>3150</v>
      </c>
      <c r="J1755" t="s">
        <v>3367</v>
      </c>
      <c r="L1755">
        <v>4</v>
      </c>
      <c r="M1755" s="134">
        <v>450000</v>
      </c>
      <c r="N1755" s="134">
        <v>600000</v>
      </c>
      <c r="O1755" t="s">
        <v>3151</v>
      </c>
      <c r="P1755" t="s">
        <v>3152</v>
      </c>
      <c r="Q1755" t="s">
        <v>29</v>
      </c>
      <c r="R1755" t="s">
        <v>3153</v>
      </c>
      <c r="U1755" t="s">
        <v>491</v>
      </c>
      <c r="X1755">
        <v>1</v>
      </c>
    </row>
    <row r="1756" spans="1:24" x14ac:dyDescent="0.25">
      <c r="A1756" s="234">
        <v>42835</v>
      </c>
      <c r="B1756" t="s">
        <v>328</v>
      </c>
      <c r="C1756" t="s">
        <v>603</v>
      </c>
      <c r="D1756" t="s">
        <v>5701</v>
      </c>
      <c r="E1756" t="s">
        <v>588</v>
      </c>
      <c r="F1756" t="s">
        <v>6352</v>
      </c>
      <c r="H1756" t="s">
        <v>6354</v>
      </c>
      <c r="I1756" t="s">
        <v>6353</v>
      </c>
      <c r="J1756" t="s">
        <v>899</v>
      </c>
      <c r="L1756">
        <v>9</v>
      </c>
      <c r="M1756" s="134">
        <v>450000</v>
      </c>
      <c r="N1756" s="134">
        <v>610000</v>
      </c>
      <c r="O1756" t="s">
        <v>2680</v>
      </c>
      <c r="P1756" t="s">
        <v>6664</v>
      </c>
      <c r="Q1756" t="s">
        <v>1612</v>
      </c>
      <c r="R1756" t="s">
        <v>15979</v>
      </c>
      <c r="U1756" t="s">
        <v>491</v>
      </c>
      <c r="X1756">
        <v>0</v>
      </c>
    </row>
    <row r="1757" spans="1:24" x14ac:dyDescent="0.25">
      <c r="A1757" s="234">
        <v>43529</v>
      </c>
      <c r="B1757" t="s">
        <v>5956</v>
      </c>
      <c r="C1757" t="s">
        <v>3369</v>
      </c>
      <c r="D1757" t="s">
        <v>8126</v>
      </c>
      <c r="F1757" t="s">
        <v>14618</v>
      </c>
      <c r="G1757" t="s">
        <v>14619</v>
      </c>
      <c r="H1757" t="s">
        <v>607</v>
      </c>
      <c r="I1757" t="s">
        <v>10173</v>
      </c>
      <c r="J1757" t="s">
        <v>3369</v>
      </c>
      <c r="K1757" t="s">
        <v>14620</v>
      </c>
      <c r="L1757">
        <v>4</v>
      </c>
      <c r="M1757" s="134">
        <v>450000</v>
      </c>
      <c r="N1757" s="134">
        <v>635000</v>
      </c>
      <c r="O1757" t="s">
        <v>10766</v>
      </c>
      <c r="P1757" t="s">
        <v>14820</v>
      </c>
      <c r="Q1757" t="s">
        <v>29</v>
      </c>
      <c r="R1757" t="s">
        <v>14621</v>
      </c>
      <c r="U1757" t="s">
        <v>12797</v>
      </c>
      <c r="X1757">
        <v>1</v>
      </c>
    </row>
    <row r="1758" spans="1:24" x14ac:dyDescent="0.25">
      <c r="A1758" s="234">
        <v>42818</v>
      </c>
      <c r="B1758" t="s">
        <v>328</v>
      </c>
      <c r="C1758" t="s">
        <v>603</v>
      </c>
      <c r="D1758" t="s">
        <v>1401</v>
      </c>
      <c r="E1758" t="s">
        <v>588</v>
      </c>
      <c r="F1758" t="s">
        <v>6108</v>
      </c>
      <c r="H1758" t="s">
        <v>607</v>
      </c>
      <c r="I1758" t="s">
        <v>6109</v>
      </c>
      <c r="J1758" t="s">
        <v>4785</v>
      </c>
      <c r="M1758" s="134">
        <v>450000</v>
      </c>
      <c r="N1758" s="134">
        <v>640000</v>
      </c>
      <c r="O1758" t="s">
        <v>3952</v>
      </c>
      <c r="P1758" t="s">
        <v>6110</v>
      </c>
      <c r="Q1758" t="s">
        <v>1939</v>
      </c>
      <c r="R1758" t="s">
        <v>6111</v>
      </c>
      <c r="U1758" t="s">
        <v>491</v>
      </c>
      <c r="X1758">
        <v>0</v>
      </c>
    </row>
    <row r="1759" spans="1:24" x14ac:dyDescent="0.25">
      <c r="A1759" s="234">
        <v>43528</v>
      </c>
      <c r="B1759" t="s">
        <v>328</v>
      </c>
      <c r="C1759" t="s">
        <v>603</v>
      </c>
      <c r="D1759" t="s">
        <v>5701</v>
      </c>
      <c r="F1759" t="s">
        <v>14595</v>
      </c>
      <c r="G1759" t="s">
        <v>9300</v>
      </c>
      <c r="H1759" t="s">
        <v>607</v>
      </c>
      <c r="I1759" t="s">
        <v>14596</v>
      </c>
      <c r="J1759" t="s">
        <v>6015</v>
      </c>
      <c r="K1759" t="s">
        <v>14597</v>
      </c>
      <c r="L1759">
        <v>9</v>
      </c>
      <c r="M1759" s="134">
        <v>450000</v>
      </c>
      <c r="N1759" s="134">
        <v>645000</v>
      </c>
      <c r="O1759" t="s">
        <v>4533</v>
      </c>
      <c r="P1759" t="s">
        <v>14817</v>
      </c>
      <c r="Q1759" t="s">
        <v>1939</v>
      </c>
      <c r="R1759" t="s">
        <v>14598</v>
      </c>
      <c r="U1759" t="s">
        <v>12797</v>
      </c>
      <c r="X1759">
        <v>0</v>
      </c>
    </row>
    <row r="1760" spans="1:24" x14ac:dyDescent="0.25">
      <c r="A1760" s="234">
        <v>42936</v>
      </c>
      <c r="B1760" t="s">
        <v>328</v>
      </c>
      <c r="C1760" t="s">
        <v>603</v>
      </c>
      <c r="D1760" t="s">
        <v>1401</v>
      </c>
      <c r="E1760" t="s">
        <v>588</v>
      </c>
      <c r="F1760" t="s">
        <v>7684</v>
      </c>
      <c r="H1760" t="s">
        <v>607</v>
      </c>
      <c r="I1760" t="s">
        <v>7685</v>
      </c>
      <c r="J1760" t="s">
        <v>3733</v>
      </c>
      <c r="M1760" s="134">
        <v>450000</v>
      </c>
      <c r="N1760" s="134">
        <v>695000</v>
      </c>
      <c r="O1760" t="s">
        <v>7592</v>
      </c>
      <c r="P1760" t="s">
        <v>7687</v>
      </c>
      <c r="Q1760" t="s">
        <v>1939</v>
      </c>
      <c r="R1760" t="s">
        <v>7686</v>
      </c>
      <c r="U1760" t="s">
        <v>2227</v>
      </c>
      <c r="X1760">
        <v>0</v>
      </c>
    </row>
    <row r="1761" spans="1:24" x14ac:dyDescent="0.25">
      <c r="A1761" s="234">
        <v>42944</v>
      </c>
      <c r="B1761" t="s">
        <v>328</v>
      </c>
      <c r="C1761" t="s">
        <v>603</v>
      </c>
      <c r="D1761" t="s">
        <v>1401</v>
      </c>
      <c r="E1761" t="s">
        <v>588</v>
      </c>
      <c r="F1761" t="s">
        <v>7864</v>
      </c>
      <c r="G1761" t="s">
        <v>7865</v>
      </c>
      <c r="H1761" t="s">
        <v>607</v>
      </c>
      <c r="I1761" t="s">
        <v>7866</v>
      </c>
      <c r="J1761" t="s">
        <v>3751</v>
      </c>
      <c r="L1761">
        <v>9</v>
      </c>
      <c r="M1761" s="134">
        <v>450000</v>
      </c>
      <c r="N1761" s="134">
        <v>740000</v>
      </c>
      <c r="O1761" t="s">
        <v>3107</v>
      </c>
      <c r="P1761" t="s">
        <v>7867</v>
      </c>
      <c r="Q1761" t="s">
        <v>1612</v>
      </c>
      <c r="R1761" t="s">
        <v>7909</v>
      </c>
      <c r="T1761">
        <v>39</v>
      </c>
      <c r="U1761" t="s">
        <v>491</v>
      </c>
      <c r="X1761">
        <v>0</v>
      </c>
    </row>
    <row r="1762" spans="1:24" x14ac:dyDescent="0.25">
      <c r="A1762" s="234">
        <v>42619</v>
      </c>
      <c r="B1762" t="s">
        <v>378</v>
      </c>
      <c r="C1762" t="s">
        <v>623</v>
      </c>
      <c r="D1762" t="s">
        <v>625</v>
      </c>
      <c r="E1762" t="s">
        <v>588</v>
      </c>
      <c r="F1762" t="s">
        <v>3772</v>
      </c>
      <c r="H1762" t="s">
        <v>905</v>
      </c>
      <c r="I1762" t="s">
        <v>2054</v>
      </c>
      <c r="J1762" t="s">
        <v>899</v>
      </c>
      <c r="L1762">
        <v>2</v>
      </c>
      <c r="M1762" s="134">
        <v>450000</v>
      </c>
      <c r="N1762" s="134">
        <v>745000</v>
      </c>
      <c r="O1762" t="s">
        <v>695</v>
      </c>
      <c r="P1762" t="s">
        <v>3773</v>
      </c>
      <c r="Q1762" t="s">
        <v>592</v>
      </c>
      <c r="R1762" t="s">
        <v>3774</v>
      </c>
      <c r="U1762" t="s">
        <v>491</v>
      </c>
      <c r="X1762">
        <v>0</v>
      </c>
    </row>
    <row r="1763" spans="1:24" x14ac:dyDescent="0.25">
      <c r="A1763" s="234">
        <v>43362</v>
      </c>
      <c r="B1763" t="s">
        <v>5473</v>
      </c>
      <c r="C1763" t="s">
        <v>608</v>
      </c>
      <c r="D1763" t="s">
        <v>1382</v>
      </c>
      <c r="E1763" t="s">
        <v>588</v>
      </c>
      <c r="F1763" t="s">
        <v>12653</v>
      </c>
      <c r="G1763" t="s">
        <v>8044</v>
      </c>
      <c r="H1763" t="s">
        <v>12311</v>
      </c>
      <c r="I1763" t="s">
        <v>3809</v>
      </c>
      <c r="J1763" t="s">
        <v>602</v>
      </c>
      <c r="L1763">
        <v>3</v>
      </c>
      <c r="M1763" s="134">
        <v>450000</v>
      </c>
      <c r="N1763" s="134">
        <v>750000</v>
      </c>
      <c r="O1763" t="s">
        <v>560</v>
      </c>
      <c r="P1763" t="s">
        <v>12654</v>
      </c>
      <c r="Q1763" t="s">
        <v>620</v>
      </c>
      <c r="R1763" t="s">
        <v>12655</v>
      </c>
      <c r="U1763" t="s">
        <v>12344</v>
      </c>
      <c r="X1763">
        <v>0</v>
      </c>
    </row>
    <row r="1764" spans="1:24" x14ac:dyDescent="0.25">
      <c r="A1764" s="234">
        <v>43431</v>
      </c>
      <c r="B1764" t="s">
        <v>569</v>
      </c>
      <c r="C1764" t="s">
        <v>899</v>
      </c>
      <c r="D1764" t="s">
        <v>624</v>
      </c>
      <c r="F1764" t="s">
        <v>10107</v>
      </c>
      <c r="G1764" t="s">
        <v>13302</v>
      </c>
      <c r="H1764" t="s">
        <v>607</v>
      </c>
      <c r="I1764" t="s">
        <v>13303</v>
      </c>
      <c r="J1764" t="s">
        <v>899</v>
      </c>
      <c r="K1764" t="s">
        <v>13304</v>
      </c>
      <c r="L1764">
        <v>2</v>
      </c>
      <c r="M1764" s="134">
        <v>450000</v>
      </c>
      <c r="N1764" s="134">
        <v>760000</v>
      </c>
      <c r="O1764" t="s">
        <v>10766</v>
      </c>
      <c r="P1764" t="s">
        <v>13305</v>
      </c>
      <c r="Q1764" t="s">
        <v>1939</v>
      </c>
      <c r="R1764" t="s">
        <v>13306</v>
      </c>
      <c r="U1764" t="s">
        <v>491</v>
      </c>
      <c r="X1764">
        <v>0</v>
      </c>
    </row>
    <row r="1765" spans="1:24" x14ac:dyDescent="0.25">
      <c r="A1765" s="234">
        <v>42740</v>
      </c>
      <c r="B1765" t="s">
        <v>569</v>
      </c>
      <c r="D1765" t="s">
        <v>625</v>
      </c>
      <c r="E1765" t="s">
        <v>692</v>
      </c>
      <c r="F1765" t="s">
        <v>5205</v>
      </c>
      <c r="H1765" t="s">
        <v>722</v>
      </c>
      <c r="I1765" t="s">
        <v>4507</v>
      </c>
      <c r="J1765" t="s">
        <v>899</v>
      </c>
      <c r="L1765">
        <v>3</v>
      </c>
      <c r="M1765" s="134">
        <v>450000</v>
      </c>
      <c r="N1765" s="134">
        <v>765000</v>
      </c>
      <c r="O1765" t="s">
        <v>695</v>
      </c>
      <c r="P1765" t="s">
        <v>5206</v>
      </c>
      <c r="Q1765" t="s">
        <v>1939</v>
      </c>
      <c r="R1765" t="s">
        <v>5207</v>
      </c>
      <c r="U1765" t="s">
        <v>491</v>
      </c>
      <c r="X1765">
        <v>0</v>
      </c>
    </row>
    <row r="1766" spans="1:24" x14ac:dyDescent="0.25">
      <c r="A1766" s="234">
        <v>42914</v>
      </c>
      <c r="B1766" t="s">
        <v>569</v>
      </c>
      <c r="D1766" t="s">
        <v>625</v>
      </c>
      <c r="E1766" t="s">
        <v>692</v>
      </c>
      <c r="F1766" t="s">
        <v>7446</v>
      </c>
      <c r="H1766" t="s">
        <v>7449</v>
      </c>
      <c r="I1766" t="s">
        <v>7447</v>
      </c>
      <c r="J1766" t="s">
        <v>899</v>
      </c>
      <c r="L1766">
        <v>9</v>
      </c>
      <c r="M1766" s="134">
        <v>450000</v>
      </c>
      <c r="N1766" s="134">
        <v>765000</v>
      </c>
      <c r="O1766" t="s">
        <v>7448</v>
      </c>
      <c r="P1766" t="s">
        <v>7450</v>
      </c>
      <c r="Q1766" t="s">
        <v>1612</v>
      </c>
      <c r="R1766" t="s">
        <v>7461</v>
      </c>
      <c r="U1766" t="s">
        <v>491</v>
      </c>
      <c r="X1766">
        <v>0</v>
      </c>
    </row>
    <row r="1767" spans="1:24" x14ac:dyDescent="0.25">
      <c r="A1767" s="234">
        <v>42711</v>
      </c>
      <c r="B1767" t="s">
        <v>328</v>
      </c>
      <c r="C1767" t="s">
        <v>603</v>
      </c>
      <c r="D1767" t="s">
        <v>1471</v>
      </c>
      <c r="E1767" t="s">
        <v>588</v>
      </c>
      <c r="F1767" t="s">
        <v>4957</v>
      </c>
      <c r="H1767" t="s">
        <v>607</v>
      </c>
      <c r="I1767" t="s">
        <v>4958</v>
      </c>
      <c r="J1767" t="s">
        <v>3373</v>
      </c>
      <c r="M1767" s="134">
        <v>450000</v>
      </c>
      <c r="N1767" s="134">
        <v>765000</v>
      </c>
      <c r="O1767" t="s">
        <v>4959</v>
      </c>
      <c r="P1767" t="s">
        <v>4960</v>
      </c>
      <c r="Q1767" t="s">
        <v>1939</v>
      </c>
      <c r="R1767" t="s">
        <v>4961</v>
      </c>
      <c r="U1767" t="s">
        <v>491</v>
      </c>
      <c r="X1767">
        <v>0</v>
      </c>
    </row>
    <row r="1768" spans="1:24" x14ac:dyDescent="0.25">
      <c r="A1768" s="234">
        <v>42731</v>
      </c>
      <c r="B1768" t="s">
        <v>328</v>
      </c>
      <c r="C1768" t="s">
        <v>603</v>
      </c>
      <c r="D1768" t="s">
        <v>2282</v>
      </c>
      <c r="E1768" t="s">
        <v>588</v>
      </c>
      <c r="F1768" t="s">
        <v>5123</v>
      </c>
      <c r="H1768" t="s">
        <v>1057</v>
      </c>
      <c r="I1768" t="s">
        <v>5124</v>
      </c>
      <c r="J1768" t="s">
        <v>3373</v>
      </c>
      <c r="L1768">
        <v>6</v>
      </c>
      <c r="M1768" s="134">
        <v>450000</v>
      </c>
      <c r="N1768" s="134">
        <v>765000</v>
      </c>
      <c r="O1768" t="s">
        <v>5125</v>
      </c>
      <c r="P1768" t="s">
        <v>5126</v>
      </c>
      <c r="Q1768" t="s">
        <v>1939</v>
      </c>
      <c r="R1768" t="s">
        <v>5127</v>
      </c>
      <c r="U1768" t="s">
        <v>1327</v>
      </c>
      <c r="X1768">
        <v>0</v>
      </c>
    </row>
    <row r="1769" spans="1:24" x14ac:dyDescent="0.25">
      <c r="A1769" s="234">
        <v>42557</v>
      </c>
      <c r="B1769" t="s">
        <v>328</v>
      </c>
      <c r="C1769" t="s">
        <v>603</v>
      </c>
      <c r="D1769" t="s">
        <v>1401</v>
      </c>
      <c r="E1769" t="s">
        <v>588</v>
      </c>
      <c r="F1769" t="s">
        <v>2756</v>
      </c>
      <c r="H1769" t="s">
        <v>607</v>
      </c>
      <c r="I1769" t="s">
        <v>2757</v>
      </c>
      <c r="M1769" s="134">
        <v>450000</v>
      </c>
      <c r="N1769" s="134">
        <v>810000</v>
      </c>
      <c r="O1769" t="s">
        <v>2758</v>
      </c>
      <c r="P1769" t="s">
        <v>2760</v>
      </c>
      <c r="Q1769" t="s">
        <v>1939</v>
      </c>
      <c r="R1769" t="s">
        <v>2759</v>
      </c>
      <c r="U1769" t="s">
        <v>491</v>
      </c>
      <c r="X1769">
        <v>0</v>
      </c>
    </row>
    <row r="1770" spans="1:24" x14ac:dyDescent="0.25">
      <c r="A1770" s="234">
        <v>43376</v>
      </c>
      <c r="B1770" t="s">
        <v>328</v>
      </c>
      <c r="C1770" t="s">
        <v>603</v>
      </c>
      <c r="D1770" t="s">
        <v>10705</v>
      </c>
      <c r="E1770" t="s">
        <v>588</v>
      </c>
      <c r="F1770" t="s">
        <v>12830</v>
      </c>
      <c r="G1770" t="s">
        <v>9461</v>
      </c>
      <c r="H1770" t="s">
        <v>607</v>
      </c>
      <c r="I1770" t="s">
        <v>12831</v>
      </c>
      <c r="J1770" t="s">
        <v>4031</v>
      </c>
      <c r="L1770">
        <v>3</v>
      </c>
      <c r="M1770" s="134">
        <v>450000</v>
      </c>
      <c r="N1770" s="134">
        <v>900000</v>
      </c>
      <c r="O1770" t="s">
        <v>10763</v>
      </c>
      <c r="P1770" t="s">
        <v>13403</v>
      </c>
      <c r="Q1770" t="s">
        <v>1939</v>
      </c>
      <c r="R1770" t="s">
        <v>13404</v>
      </c>
      <c r="U1770" t="s">
        <v>12344</v>
      </c>
      <c r="X1770">
        <v>0</v>
      </c>
    </row>
    <row r="1771" spans="1:24" x14ac:dyDescent="0.25">
      <c r="A1771" s="234">
        <v>43398</v>
      </c>
      <c r="B1771" t="s">
        <v>328</v>
      </c>
      <c r="C1771" t="s">
        <v>603</v>
      </c>
      <c r="D1771" t="s">
        <v>649</v>
      </c>
      <c r="F1771" t="s">
        <v>13043</v>
      </c>
      <c r="G1771" t="s">
        <v>9375</v>
      </c>
      <c r="H1771" t="s">
        <v>607</v>
      </c>
      <c r="I1771" t="s">
        <v>11589</v>
      </c>
      <c r="J1771" t="s">
        <v>3751</v>
      </c>
      <c r="K1771">
        <v>65201</v>
      </c>
      <c r="L1771">
        <v>2</v>
      </c>
      <c r="M1771" s="134">
        <v>450000</v>
      </c>
      <c r="N1771" s="134">
        <v>900000</v>
      </c>
      <c r="O1771" t="s">
        <v>10766</v>
      </c>
      <c r="P1771" t="s">
        <v>13422</v>
      </c>
      <c r="Q1771" t="s">
        <v>1939</v>
      </c>
      <c r="R1771" t="s">
        <v>13042</v>
      </c>
      <c r="U1771" t="s">
        <v>12344</v>
      </c>
      <c r="X1771">
        <v>0</v>
      </c>
    </row>
    <row r="1772" spans="1:24" x14ac:dyDescent="0.25">
      <c r="A1772" s="234">
        <v>43440</v>
      </c>
      <c r="B1772" t="s">
        <v>5360</v>
      </c>
      <c r="C1772" t="s">
        <v>899</v>
      </c>
      <c r="D1772" t="s">
        <v>732</v>
      </c>
      <c r="F1772" t="s">
        <v>13542</v>
      </c>
      <c r="G1772" t="s">
        <v>13543</v>
      </c>
      <c r="H1772" t="s">
        <v>607</v>
      </c>
      <c r="I1772" t="s">
        <v>13504</v>
      </c>
      <c r="J1772" t="s">
        <v>899</v>
      </c>
      <c r="K1772" t="s">
        <v>13505</v>
      </c>
      <c r="L1772">
        <v>4</v>
      </c>
      <c r="M1772" s="134">
        <v>450000</v>
      </c>
      <c r="N1772" s="134">
        <v>900000</v>
      </c>
      <c r="O1772" t="s">
        <v>10766</v>
      </c>
      <c r="P1772" t="s">
        <v>13673</v>
      </c>
      <c r="Q1772" t="s">
        <v>592</v>
      </c>
      <c r="R1772" t="s">
        <v>13544</v>
      </c>
      <c r="U1772" t="s">
        <v>491</v>
      </c>
      <c r="X1772">
        <v>0</v>
      </c>
    </row>
    <row r="1773" spans="1:24" x14ac:dyDescent="0.25">
      <c r="A1773" s="234">
        <v>43080</v>
      </c>
      <c r="B1773" t="s">
        <v>328</v>
      </c>
      <c r="C1773" t="s">
        <v>603</v>
      </c>
      <c r="D1773" t="s">
        <v>672</v>
      </c>
      <c r="E1773" t="s">
        <v>588</v>
      </c>
      <c r="F1773" t="s">
        <v>134</v>
      </c>
      <c r="G1773" t="s">
        <v>9736</v>
      </c>
      <c r="H1773" t="s">
        <v>607</v>
      </c>
      <c r="I1773" t="s">
        <v>5366</v>
      </c>
      <c r="J1773" t="s">
        <v>899</v>
      </c>
      <c r="L1773">
        <v>3</v>
      </c>
      <c r="M1773" s="134">
        <v>450000</v>
      </c>
      <c r="N1773" s="134">
        <v>900000</v>
      </c>
      <c r="O1773" t="s">
        <v>4533</v>
      </c>
      <c r="P1773" t="s">
        <v>9737</v>
      </c>
      <c r="Q1773" t="s">
        <v>1939</v>
      </c>
      <c r="R1773" t="s">
        <v>9738</v>
      </c>
      <c r="U1773" t="s">
        <v>1327</v>
      </c>
      <c r="X1773">
        <v>0</v>
      </c>
    </row>
    <row r="1774" spans="1:24" x14ac:dyDescent="0.25">
      <c r="A1774" s="234">
        <v>42453</v>
      </c>
      <c r="B1774" t="s">
        <v>328</v>
      </c>
      <c r="C1774" t="s">
        <v>603</v>
      </c>
      <c r="D1774" t="s">
        <v>587</v>
      </c>
      <c r="E1774" t="s">
        <v>588</v>
      </c>
      <c r="F1774" t="s">
        <v>1396</v>
      </c>
      <c r="H1774" t="s">
        <v>607</v>
      </c>
      <c r="I1774" t="s">
        <v>1397</v>
      </c>
      <c r="M1774" s="134">
        <v>450000</v>
      </c>
      <c r="N1774" s="134">
        <v>900000</v>
      </c>
      <c r="O1774" t="s">
        <v>1398</v>
      </c>
      <c r="P1774" t="s">
        <v>1400</v>
      </c>
      <c r="Q1774" t="s">
        <v>620</v>
      </c>
      <c r="R1774" t="s">
        <v>1399</v>
      </c>
      <c r="U1774" t="s">
        <v>491</v>
      </c>
      <c r="X1774">
        <v>0</v>
      </c>
    </row>
    <row r="1775" spans="1:24" x14ac:dyDescent="0.25">
      <c r="A1775" s="234">
        <v>42607</v>
      </c>
      <c r="B1775" t="s">
        <v>328</v>
      </c>
      <c r="C1775" t="s">
        <v>603</v>
      </c>
      <c r="D1775" t="s">
        <v>1401</v>
      </c>
      <c r="E1775" t="s">
        <v>588</v>
      </c>
      <c r="F1775" t="s">
        <v>3619</v>
      </c>
      <c r="H1775" t="s">
        <v>607</v>
      </c>
      <c r="I1775" t="s">
        <v>3620</v>
      </c>
      <c r="J1775" t="s">
        <v>899</v>
      </c>
      <c r="L1775">
        <v>10</v>
      </c>
      <c r="M1775" s="134">
        <v>450000</v>
      </c>
      <c r="N1775" s="134">
        <v>945000</v>
      </c>
      <c r="O1775" t="s">
        <v>764</v>
      </c>
      <c r="P1775" t="s">
        <v>3621</v>
      </c>
      <c r="Q1775" t="s">
        <v>1939</v>
      </c>
      <c r="R1775" t="s">
        <v>3622</v>
      </c>
      <c r="U1775" t="s">
        <v>491</v>
      </c>
      <c r="X1775">
        <v>0</v>
      </c>
    </row>
    <row r="1776" spans="1:24" x14ac:dyDescent="0.25">
      <c r="A1776" s="234">
        <v>42614</v>
      </c>
      <c r="B1776" t="s">
        <v>328</v>
      </c>
      <c r="C1776" t="s">
        <v>603</v>
      </c>
      <c r="D1776" t="s">
        <v>2500</v>
      </c>
      <c r="E1776" t="s">
        <v>588</v>
      </c>
      <c r="F1776" t="s">
        <v>3619</v>
      </c>
      <c r="H1776" t="s">
        <v>607</v>
      </c>
      <c r="I1776" t="s">
        <v>3620</v>
      </c>
      <c r="J1776" t="s">
        <v>899</v>
      </c>
      <c r="L1776">
        <v>10</v>
      </c>
      <c r="M1776" s="134">
        <v>450000</v>
      </c>
      <c r="N1776" s="134">
        <v>1040000</v>
      </c>
      <c r="O1776" t="s">
        <v>3734</v>
      </c>
      <c r="P1776" t="s">
        <v>3729</v>
      </c>
      <c r="Q1776" t="s">
        <v>1939</v>
      </c>
      <c r="R1776" t="s">
        <v>3730</v>
      </c>
      <c r="U1776" t="s">
        <v>491</v>
      </c>
      <c r="X1776">
        <v>0</v>
      </c>
    </row>
    <row r="1777" spans="1:24" x14ac:dyDescent="0.25">
      <c r="A1777" s="234">
        <v>43207</v>
      </c>
      <c r="B1777" t="s">
        <v>328</v>
      </c>
      <c r="C1777" t="s">
        <v>603</v>
      </c>
      <c r="D1777" t="s">
        <v>10338</v>
      </c>
      <c r="E1777" t="s">
        <v>588</v>
      </c>
      <c r="F1777" t="s">
        <v>10969</v>
      </c>
      <c r="G1777" t="s">
        <v>10967</v>
      </c>
      <c r="H1777" t="s">
        <v>607</v>
      </c>
      <c r="I1777" t="s">
        <v>10970</v>
      </c>
      <c r="J1777" t="s">
        <v>4031</v>
      </c>
      <c r="L1777">
        <v>4</v>
      </c>
      <c r="M1777" s="134">
        <v>450000</v>
      </c>
      <c r="N1777" s="134">
        <v>1060836</v>
      </c>
      <c r="O1777" t="s">
        <v>10762</v>
      </c>
      <c r="P1777" t="s">
        <v>10971</v>
      </c>
      <c r="Q1777" t="s">
        <v>592</v>
      </c>
      <c r="R1777" t="s">
        <v>10972</v>
      </c>
      <c r="U1777" t="s">
        <v>1327</v>
      </c>
      <c r="X1777">
        <v>0</v>
      </c>
    </row>
    <row r="1778" spans="1:24" x14ac:dyDescent="0.25">
      <c r="A1778" s="234">
        <v>42772</v>
      </c>
      <c r="B1778" t="s">
        <v>643</v>
      </c>
      <c r="C1778" t="s">
        <v>644</v>
      </c>
      <c r="D1778" t="s">
        <v>645</v>
      </c>
      <c r="E1778" t="s">
        <v>588</v>
      </c>
      <c r="F1778" t="s">
        <v>5658</v>
      </c>
      <c r="H1778" t="s">
        <v>1391</v>
      </c>
      <c r="I1778" t="s">
        <v>4926</v>
      </c>
      <c r="J1778" t="s">
        <v>644</v>
      </c>
      <c r="M1778" s="134">
        <v>450090</v>
      </c>
      <c r="N1778" s="134">
        <v>650000</v>
      </c>
      <c r="O1778" t="s">
        <v>5659</v>
      </c>
      <c r="P1778" t="s">
        <v>5660</v>
      </c>
      <c r="Q1778" t="s">
        <v>29</v>
      </c>
      <c r="R1778" t="s">
        <v>5661</v>
      </c>
      <c r="U1778" t="s">
        <v>1327</v>
      </c>
      <c r="X1778">
        <v>1</v>
      </c>
    </row>
    <row r="1779" spans="1:24" x14ac:dyDescent="0.25">
      <c r="A1779" s="234">
        <v>43480</v>
      </c>
      <c r="B1779" t="s">
        <v>328</v>
      </c>
      <c r="C1779" t="s">
        <v>603</v>
      </c>
      <c r="D1779" t="s">
        <v>10338</v>
      </c>
      <c r="F1779" t="s">
        <v>13999</v>
      </c>
      <c r="H1779" t="s">
        <v>10831</v>
      </c>
      <c r="I1779" t="s">
        <v>14000</v>
      </c>
      <c r="J1779" t="s">
        <v>3523</v>
      </c>
      <c r="K1779" t="s">
        <v>14001</v>
      </c>
      <c r="L1779">
        <v>3</v>
      </c>
      <c r="M1779" s="134">
        <v>451000</v>
      </c>
      <c r="N1779" s="134">
        <v>751000</v>
      </c>
      <c r="O1779" t="s">
        <v>4533</v>
      </c>
      <c r="P1779" t="s">
        <v>14238</v>
      </c>
      <c r="Q1779" t="s">
        <v>1939</v>
      </c>
      <c r="R1779" t="s">
        <v>14002</v>
      </c>
      <c r="U1779" t="s">
        <v>12797</v>
      </c>
      <c r="X1779">
        <v>0</v>
      </c>
    </row>
    <row r="1780" spans="1:24" x14ac:dyDescent="0.25">
      <c r="A1780" s="234">
        <v>43266</v>
      </c>
      <c r="B1780" t="s">
        <v>328</v>
      </c>
      <c r="C1780" t="s">
        <v>603</v>
      </c>
      <c r="D1780" t="s">
        <v>7595</v>
      </c>
      <c r="E1780" t="s">
        <v>588</v>
      </c>
      <c r="F1780" t="s">
        <v>11509</v>
      </c>
      <c r="G1780" t="s">
        <v>11510</v>
      </c>
      <c r="H1780" t="s">
        <v>607</v>
      </c>
      <c r="I1780" t="s">
        <v>11511</v>
      </c>
      <c r="J1780" t="s">
        <v>3501</v>
      </c>
      <c r="L1780">
        <v>6</v>
      </c>
      <c r="M1780" s="134">
        <v>451000</v>
      </c>
      <c r="N1780" s="134">
        <v>800000</v>
      </c>
      <c r="O1780" t="s">
        <v>10766</v>
      </c>
      <c r="P1780" t="s">
        <v>11512</v>
      </c>
      <c r="Q1780" t="s">
        <v>592</v>
      </c>
      <c r="R1780" t="s">
        <v>11513</v>
      </c>
      <c r="U1780" t="s">
        <v>491</v>
      </c>
      <c r="X1780">
        <v>0</v>
      </c>
    </row>
    <row r="1781" spans="1:24" x14ac:dyDescent="0.25">
      <c r="A1781" s="234">
        <v>43256</v>
      </c>
      <c r="B1781" t="s">
        <v>328</v>
      </c>
      <c r="C1781" t="s">
        <v>603</v>
      </c>
      <c r="D1781" t="s">
        <v>649</v>
      </c>
      <c r="E1781" t="s">
        <v>588</v>
      </c>
      <c r="F1781" t="s">
        <v>11454</v>
      </c>
      <c r="G1781" t="s">
        <v>11454</v>
      </c>
      <c r="H1781" t="s">
        <v>905</v>
      </c>
      <c r="J1781" t="s">
        <v>899</v>
      </c>
      <c r="L1781">
        <v>9</v>
      </c>
      <c r="M1781" s="134">
        <v>452000</v>
      </c>
      <c r="N1781" s="134">
        <v>497200</v>
      </c>
      <c r="O1781" t="s">
        <v>7124</v>
      </c>
      <c r="P1781" t="s">
        <v>11456</v>
      </c>
      <c r="Q1781" t="s">
        <v>1939</v>
      </c>
      <c r="R1781" t="s">
        <v>11455</v>
      </c>
      <c r="U1781" t="s">
        <v>1327</v>
      </c>
      <c r="X1781">
        <v>0</v>
      </c>
    </row>
    <row r="1782" spans="1:24" x14ac:dyDescent="0.25">
      <c r="A1782" s="234">
        <v>43602</v>
      </c>
      <c r="B1782" t="s">
        <v>13559</v>
      </c>
      <c r="C1782" t="s">
        <v>3523</v>
      </c>
      <c r="D1782" t="s">
        <v>14673</v>
      </c>
      <c r="F1782" t="s">
        <v>15642</v>
      </c>
      <c r="G1782" t="s">
        <v>5372</v>
      </c>
      <c r="H1782" t="s">
        <v>607</v>
      </c>
      <c r="I1782" t="s">
        <v>6836</v>
      </c>
      <c r="J1782" t="s">
        <v>3523</v>
      </c>
      <c r="K1782" t="s">
        <v>15643</v>
      </c>
      <c r="L1782">
        <v>3</v>
      </c>
      <c r="M1782" s="134">
        <v>452000</v>
      </c>
      <c r="N1782" s="134">
        <v>935200</v>
      </c>
      <c r="O1782" t="s">
        <v>10766</v>
      </c>
      <c r="P1782" t="s">
        <v>15659</v>
      </c>
      <c r="Q1782" t="s">
        <v>29</v>
      </c>
      <c r="R1782" t="s">
        <v>15647</v>
      </c>
      <c r="S1782" t="s">
        <v>15646</v>
      </c>
      <c r="U1782" t="s">
        <v>12344</v>
      </c>
      <c r="X1782">
        <v>1</v>
      </c>
    </row>
    <row r="1783" spans="1:24" x14ac:dyDescent="0.25">
      <c r="A1783" s="234">
        <v>43592</v>
      </c>
      <c r="B1783" t="s">
        <v>328</v>
      </c>
      <c r="C1783" t="s">
        <v>603</v>
      </c>
      <c r="D1783" t="s">
        <v>10338</v>
      </c>
      <c r="F1783" t="s">
        <v>14010</v>
      </c>
      <c r="G1783" t="s">
        <v>8990</v>
      </c>
      <c r="H1783" t="s">
        <v>607</v>
      </c>
      <c r="I1783" t="s">
        <v>15420</v>
      </c>
      <c r="J1783" t="s">
        <v>644</v>
      </c>
      <c r="K1783" t="s">
        <v>15421</v>
      </c>
      <c r="L1783">
        <v>5</v>
      </c>
      <c r="M1783" s="134">
        <v>453000</v>
      </c>
      <c r="N1783" s="134">
        <v>848300</v>
      </c>
      <c r="O1783" t="s">
        <v>10766</v>
      </c>
      <c r="P1783" t="s">
        <v>15544</v>
      </c>
      <c r="Q1783" t="s">
        <v>1939</v>
      </c>
      <c r="R1783" t="s">
        <v>15500</v>
      </c>
      <c r="S1783" t="s">
        <v>15422</v>
      </c>
      <c r="U1783" t="s">
        <v>491</v>
      </c>
      <c r="X1783">
        <v>0</v>
      </c>
    </row>
    <row r="1784" spans="1:24" x14ac:dyDescent="0.25">
      <c r="A1784" s="234">
        <v>42674</v>
      </c>
      <c r="B1784" t="s">
        <v>328</v>
      </c>
      <c r="C1784" t="s">
        <v>603</v>
      </c>
      <c r="D1784" t="s">
        <v>1471</v>
      </c>
      <c r="E1784" t="s">
        <v>588</v>
      </c>
      <c r="F1784" t="s">
        <v>4556</v>
      </c>
      <c r="H1784" t="s">
        <v>905</v>
      </c>
      <c r="J1784" t="s">
        <v>4557</v>
      </c>
      <c r="L1784">
        <v>10</v>
      </c>
      <c r="M1784" s="134">
        <v>453934</v>
      </c>
      <c r="N1784" s="134">
        <v>590113</v>
      </c>
      <c r="O1784" t="s">
        <v>4558</v>
      </c>
      <c r="P1784" t="s">
        <v>4559</v>
      </c>
      <c r="Q1784" t="s">
        <v>29</v>
      </c>
      <c r="R1784" t="s">
        <v>4560</v>
      </c>
      <c r="U1784" t="s">
        <v>491</v>
      </c>
      <c r="X1784">
        <v>1</v>
      </c>
    </row>
    <row r="1785" spans="1:24" x14ac:dyDescent="0.25">
      <c r="A1785" s="234">
        <v>42796</v>
      </c>
      <c r="B1785" t="s">
        <v>328</v>
      </c>
      <c r="C1785" t="s">
        <v>603</v>
      </c>
      <c r="D1785" t="s">
        <v>2397</v>
      </c>
      <c r="E1785" t="s">
        <v>588</v>
      </c>
      <c r="F1785" t="s">
        <v>5861</v>
      </c>
      <c r="H1785" t="s">
        <v>607</v>
      </c>
      <c r="I1785" t="s">
        <v>5862</v>
      </c>
      <c r="J1785" t="s">
        <v>3751</v>
      </c>
      <c r="L1785">
        <v>2</v>
      </c>
      <c r="M1785" s="134">
        <v>454472</v>
      </c>
      <c r="N1785" s="134">
        <v>0</v>
      </c>
      <c r="O1785" t="s">
        <v>35</v>
      </c>
      <c r="P1785" t="s">
        <v>5863</v>
      </c>
      <c r="Q1785" t="s">
        <v>1612</v>
      </c>
      <c r="R1785" t="s">
        <v>5864</v>
      </c>
      <c r="U1785" t="s">
        <v>491</v>
      </c>
      <c r="X1785">
        <v>0</v>
      </c>
    </row>
    <row r="1786" spans="1:24" x14ac:dyDescent="0.25">
      <c r="A1786" s="234">
        <v>42711</v>
      </c>
      <c r="B1786" t="s">
        <v>328</v>
      </c>
      <c r="C1786" t="s">
        <v>603</v>
      </c>
      <c r="D1786" t="s">
        <v>1471</v>
      </c>
      <c r="E1786" t="s">
        <v>588</v>
      </c>
      <c r="F1786" t="s">
        <v>4951</v>
      </c>
      <c r="H1786" t="s">
        <v>4952</v>
      </c>
      <c r="I1786" t="s">
        <v>4953</v>
      </c>
      <c r="J1786" t="s">
        <v>3888</v>
      </c>
      <c r="M1786" s="134">
        <v>455000</v>
      </c>
      <c r="N1786" s="134">
        <v>695500</v>
      </c>
      <c r="O1786" t="s">
        <v>3952</v>
      </c>
      <c r="P1786" t="s">
        <v>4954</v>
      </c>
      <c r="Q1786" t="s">
        <v>29</v>
      </c>
      <c r="R1786" t="s">
        <v>4955</v>
      </c>
      <c r="U1786" t="s">
        <v>491</v>
      </c>
      <c r="X1786">
        <v>1</v>
      </c>
    </row>
    <row r="1787" spans="1:24" x14ac:dyDescent="0.25">
      <c r="A1787" s="234">
        <v>43538</v>
      </c>
      <c r="B1787" t="s">
        <v>12367</v>
      </c>
      <c r="C1787" t="s">
        <v>5610</v>
      </c>
      <c r="D1787" t="s">
        <v>7814</v>
      </c>
      <c r="F1787" t="s">
        <v>14701</v>
      </c>
      <c r="G1787" t="s">
        <v>12397</v>
      </c>
      <c r="H1787" t="s">
        <v>607</v>
      </c>
      <c r="I1787" t="s">
        <v>14702</v>
      </c>
      <c r="J1787" t="s">
        <v>3751</v>
      </c>
      <c r="K1787" t="s">
        <v>14703</v>
      </c>
      <c r="L1787">
        <v>4</v>
      </c>
      <c r="M1787" s="134">
        <v>455328</v>
      </c>
      <c r="N1787" s="134">
        <v>826928</v>
      </c>
      <c r="O1787" t="s">
        <v>10766</v>
      </c>
      <c r="P1787" t="s">
        <v>14704</v>
      </c>
      <c r="Q1787" t="s">
        <v>29</v>
      </c>
      <c r="R1787" t="s">
        <v>14705</v>
      </c>
      <c r="U1787" t="s">
        <v>12797</v>
      </c>
      <c r="X1787">
        <v>1</v>
      </c>
    </row>
    <row r="1788" spans="1:24" x14ac:dyDescent="0.25">
      <c r="A1788" s="234">
        <v>42500</v>
      </c>
      <c r="B1788" t="s">
        <v>1486</v>
      </c>
      <c r="C1788" t="s">
        <v>1883</v>
      </c>
      <c r="D1788" t="s">
        <v>732</v>
      </c>
      <c r="E1788" t="s">
        <v>588</v>
      </c>
      <c r="F1788" t="s">
        <v>2004</v>
      </c>
      <c r="H1788" t="s">
        <v>607</v>
      </c>
      <c r="I1788" t="s">
        <v>2005</v>
      </c>
      <c r="M1788" s="134">
        <v>459000</v>
      </c>
      <c r="N1788" s="134">
        <v>779000</v>
      </c>
      <c r="O1788" t="s">
        <v>2006</v>
      </c>
      <c r="P1788" t="s">
        <v>2007</v>
      </c>
      <c r="Q1788" t="s">
        <v>1939</v>
      </c>
      <c r="R1788" t="s">
        <v>2008</v>
      </c>
      <c r="U1788" t="s">
        <v>491</v>
      </c>
      <c r="X1788">
        <v>0</v>
      </c>
    </row>
    <row r="1789" spans="1:24" x14ac:dyDescent="0.25">
      <c r="A1789" s="234">
        <v>43481</v>
      </c>
      <c r="B1789" t="s">
        <v>328</v>
      </c>
      <c r="C1789" t="s">
        <v>603</v>
      </c>
      <c r="D1789" t="s">
        <v>10705</v>
      </c>
      <c r="F1789" t="s">
        <v>14026</v>
      </c>
      <c r="G1789" t="s">
        <v>9473</v>
      </c>
      <c r="H1789" t="s">
        <v>607</v>
      </c>
      <c r="I1789" t="s">
        <v>12459</v>
      </c>
      <c r="J1789" t="s">
        <v>899</v>
      </c>
      <c r="K1789" t="s">
        <v>14027</v>
      </c>
      <c r="L1789">
        <v>6</v>
      </c>
      <c r="M1789" s="134">
        <v>459000</v>
      </c>
      <c r="N1789" s="134">
        <v>844400</v>
      </c>
      <c r="O1789" t="s">
        <v>4533</v>
      </c>
      <c r="P1789" t="s">
        <v>14239</v>
      </c>
      <c r="Q1789" t="s">
        <v>1939</v>
      </c>
      <c r="R1789" t="s">
        <v>14028</v>
      </c>
      <c r="S1789" t="s">
        <v>14029</v>
      </c>
      <c r="U1789" t="s">
        <v>12797</v>
      </c>
      <c r="X1789">
        <v>0</v>
      </c>
    </row>
    <row r="1790" spans="1:24" x14ac:dyDescent="0.25">
      <c r="A1790" s="234">
        <v>43438</v>
      </c>
      <c r="B1790" t="s">
        <v>328</v>
      </c>
      <c r="C1790" t="s">
        <v>603</v>
      </c>
      <c r="D1790" t="s">
        <v>10338</v>
      </c>
      <c r="F1790" t="s">
        <v>13485</v>
      </c>
      <c r="G1790" t="s">
        <v>13486</v>
      </c>
      <c r="H1790" t="s">
        <v>607</v>
      </c>
      <c r="I1790" t="s">
        <v>13476</v>
      </c>
      <c r="J1790" t="s">
        <v>899</v>
      </c>
      <c r="K1790" t="s">
        <v>13477</v>
      </c>
      <c r="L1790">
        <v>3</v>
      </c>
      <c r="M1790" s="134">
        <v>459000</v>
      </c>
      <c r="N1790" s="134">
        <v>918000</v>
      </c>
      <c r="O1790" t="s">
        <v>4533</v>
      </c>
      <c r="P1790" t="s">
        <v>13487</v>
      </c>
      <c r="Q1790" t="s">
        <v>592</v>
      </c>
      <c r="R1790" t="s">
        <v>13488</v>
      </c>
      <c r="U1790" t="s">
        <v>491</v>
      </c>
      <c r="X1790">
        <v>0</v>
      </c>
    </row>
    <row r="1791" spans="1:24" x14ac:dyDescent="0.25">
      <c r="A1791" s="234">
        <v>42927</v>
      </c>
      <c r="B1791" t="s">
        <v>5992</v>
      </c>
      <c r="C1791" t="s">
        <v>608</v>
      </c>
      <c r="D1791" t="s">
        <v>5270</v>
      </c>
      <c r="E1791" t="s">
        <v>588</v>
      </c>
      <c r="F1791" t="s">
        <v>7561</v>
      </c>
      <c r="H1791" t="s">
        <v>1391</v>
      </c>
      <c r="I1791" t="s">
        <v>5630</v>
      </c>
      <c r="J1791" t="s">
        <v>608</v>
      </c>
      <c r="L1791">
        <v>5</v>
      </c>
      <c r="M1791" s="134">
        <v>459500</v>
      </c>
      <c r="N1791" s="134">
        <v>919000</v>
      </c>
      <c r="O1791" t="s">
        <v>7929</v>
      </c>
      <c r="P1791" t="s">
        <v>7560</v>
      </c>
      <c r="Q1791" t="s">
        <v>620</v>
      </c>
      <c r="R1791" t="s">
        <v>7933</v>
      </c>
      <c r="U1791" t="s">
        <v>2227</v>
      </c>
      <c r="X1791">
        <v>0</v>
      </c>
    </row>
    <row r="1792" spans="1:24" x14ac:dyDescent="0.25">
      <c r="A1792" s="234">
        <v>43249</v>
      </c>
      <c r="B1792" t="s">
        <v>328</v>
      </c>
      <c r="C1792" t="s">
        <v>603</v>
      </c>
      <c r="D1792" t="s">
        <v>649</v>
      </c>
      <c r="E1792" t="s">
        <v>588</v>
      </c>
      <c r="F1792" t="s">
        <v>115</v>
      </c>
      <c r="G1792" t="s">
        <v>10669</v>
      </c>
      <c r="H1792" t="s">
        <v>10831</v>
      </c>
      <c r="J1792" t="s">
        <v>8194</v>
      </c>
      <c r="L1792">
        <v>10</v>
      </c>
      <c r="M1792" s="134">
        <v>460000</v>
      </c>
      <c r="N1792" s="134">
        <v>736000</v>
      </c>
      <c r="O1792" t="s">
        <v>7124</v>
      </c>
      <c r="P1792" t="s">
        <v>11351</v>
      </c>
      <c r="Q1792" t="s">
        <v>1939</v>
      </c>
      <c r="R1792" t="s">
        <v>11352</v>
      </c>
      <c r="U1792" t="s">
        <v>1327</v>
      </c>
      <c r="X1792">
        <v>0</v>
      </c>
    </row>
    <row r="1793" spans="1:24" x14ac:dyDescent="0.25">
      <c r="A1793" s="234">
        <v>42894</v>
      </c>
      <c r="B1793" t="s">
        <v>110</v>
      </c>
      <c r="C1793" t="s">
        <v>761</v>
      </c>
      <c r="D1793" t="s">
        <v>715</v>
      </c>
      <c r="E1793" t="s">
        <v>588</v>
      </c>
      <c r="F1793" t="s">
        <v>7116</v>
      </c>
      <c r="H1793" t="s">
        <v>607</v>
      </c>
      <c r="I1793" t="s">
        <v>3059</v>
      </c>
      <c r="J1793" t="s">
        <v>761</v>
      </c>
      <c r="M1793" s="134">
        <v>460000</v>
      </c>
      <c r="N1793" s="134">
        <v>782000</v>
      </c>
      <c r="O1793" t="s">
        <v>5953</v>
      </c>
      <c r="P1793" t="s">
        <v>7121</v>
      </c>
      <c r="Q1793" t="s">
        <v>1939</v>
      </c>
      <c r="R1793" t="s">
        <v>7118</v>
      </c>
      <c r="U1793" t="s">
        <v>1327</v>
      </c>
      <c r="X1793">
        <v>0</v>
      </c>
    </row>
    <row r="1794" spans="1:24" x14ac:dyDescent="0.25">
      <c r="A1794" s="234">
        <v>43271</v>
      </c>
      <c r="B1794" t="s">
        <v>328</v>
      </c>
      <c r="C1794" t="s">
        <v>603</v>
      </c>
      <c r="D1794" t="s">
        <v>10338</v>
      </c>
      <c r="E1794" t="s">
        <v>588</v>
      </c>
      <c r="F1794" t="s">
        <v>11583</v>
      </c>
      <c r="G1794" t="s">
        <v>11687</v>
      </c>
      <c r="H1794" t="s">
        <v>607</v>
      </c>
      <c r="I1794" t="s">
        <v>11584</v>
      </c>
      <c r="J1794" t="s">
        <v>5402</v>
      </c>
      <c r="L1794">
        <v>5</v>
      </c>
      <c r="M1794" s="134">
        <v>460000</v>
      </c>
      <c r="N1794" s="134">
        <v>851000</v>
      </c>
      <c r="O1794" t="s">
        <v>4533</v>
      </c>
      <c r="P1794" t="s">
        <v>11585</v>
      </c>
      <c r="Q1794" t="s">
        <v>1939</v>
      </c>
      <c r="R1794" t="s">
        <v>11586</v>
      </c>
      <c r="U1794" t="s">
        <v>1327</v>
      </c>
      <c r="X1794">
        <v>0</v>
      </c>
    </row>
    <row r="1795" spans="1:24" x14ac:dyDescent="0.25">
      <c r="A1795" s="234">
        <v>43279</v>
      </c>
      <c r="B1795" t="s">
        <v>6076</v>
      </c>
      <c r="C1795" t="s">
        <v>3370</v>
      </c>
      <c r="D1795" t="s">
        <v>10524</v>
      </c>
      <c r="E1795" t="s">
        <v>588</v>
      </c>
      <c r="F1795" t="s">
        <v>11675</v>
      </c>
      <c r="G1795" t="s">
        <v>11674</v>
      </c>
      <c r="H1795" t="s">
        <v>607</v>
      </c>
      <c r="I1795" t="s">
        <v>4016</v>
      </c>
      <c r="J1795" t="s">
        <v>3370</v>
      </c>
      <c r="L1795">
        <v>2</v>
      </c>
      <c r="M1795" s="134">
        <v>460000</v>
      </c>
      <c r="N1795" s="134">
        <v>880000</v>
      </c>
      <c r="O1795" t="s">
        <v>10879</v>
      </c>
      <c r="P1795" t="s">
        <v>11673</v>
      </c>
      <c r="Q1795" t="s">
        <v>592</v>
      </c>
      <c r="R1795" t="s">
        <v>11672</v>
      </c>
      <c r="U1795" t="s">
        <v>1327</v>
      </c>
      <c r="X1795">
        <v>0</v>
      </c>
    </row>
    <row r="1796" spans="1:24" x14ac:dyDescent="0.25">
      <c r="A1796" s="234">
        <v>42443</v>
      </c>
      <c r="B1796" t="s">
        <v>378</v>
      </c>
      <c r="C1796" t="s">
        <v>899</v>
      </c>
      <c r="D1796" t="s">
        <v>625</v>
      </c>
      <c r="E1796" t="s">
        <v>588</v>
      </c>
      <c r="F1796" t="s">
        <v>1318</v>
      </c>
      <c r="H1796" t="s">
        <v>607</v>
      </c>
      <c r="I1796" t="s">
        <v>1321</v>
      </c>
      <c r="M1796" s="134">
        <v>460000</v>
      </c>
      <c r="N1796" s="134">
        <v>1283000</v>
      </c>
      <c r="O1796" t="s">
        <v>1319</v>
      </c>
      <c r="P1796" t="s">
        <v>1320</v>
      </c>
      <c r="Q1796" t="s">
        <v>592</v>
      </c>
      <c r="U1796" t="s">
        <v>1327</v>
      </c>
      <c r="X1796">
        <v>0</v>
      </c>
    </row>
    <row r="1797" spans="1:24" x14ac:dyDescent="0.25">
      <c r="A1797" s="234">
        <v>43600</v>
      </c>
      <c r="B1797" t="s">
        <v>328</v>
      </c>
      <c r="C1797" t="s">
        <v>603</v>
      </c>
      <c r="D1797" t="s">
        <v>649</v>
      </c>
      <c r="F1797" t="s">
        <v>12092</v>
      </c>
      <c r="G1797" t="s">
        <v>15572</v>
      </c>
      <c r="H1797" t="s">
        <v>607</v>
      </c>
      <c r="I1797" t="s">
        <v>15573</v>
      </c>
      <c r="J1797" t="s">
        <v>603</v>
      </c>
      <c r="K1797" t="s">
        <v>15574</v>
      </c>
      <c r="L1797">
        <v>3</v>
      </c>
      <c r="M1797" s="134">
        <v>462000</v>
      </c>
      <c r="N1797" s="134">
        <v>1200000</v>
      </c>
      <c r="O1797" t="s">
        <v>4533</v>
      </c>
      <c r="P1797" t="s">
        <v>15575</v>
      </c>
      <c r="Q1797" t="s">
        <v>592</v>
      </c>
      <c r="R1797" t="s">
        <v>15576</v>
      </c>
      <c r="U1797" t="s">
        <v>491</v>
      </c>
      <c r="X1797">
        <v>0</v>
      </c>
    </row>
    <row r="1798" spans="1:24" x14ac:dyDescent="0.25">
      <c r="A1798" s="234">
        <v>43119</v>
      </c>
      <c r="B1798" t="s">
        <v>328</v>
      </c>
      <c r="C1798" t="s">
        <v>603</v>
      </c>
      <c r="D1798" t="s">
        <v>2397</v>
      </c>
      <c r="E1798" t="s">
        <v>588</v>
      </c>
      <c r="F1798" t="s">
        <v>7831</v>
      </c>
      <c r="G1798" t="s">
        <v>10073</v>
      </c>
      <c r="H1798" t="s">
        <v>5321</v>
      </c>
      <c r="J1798" t="s">
        <v>3751</v>
      </c>
      <c r="L1798">
        <v>2</v>
      </c>
      <c r="M1798" s="134">
        <v>462239</v>
      </c>
      <c r="N1798" s="134">
        <v>764639</v>
      </c>
      <c r="O1798" t="s">
        <v>10765</v>
      </c>
      <c r="P1798" t="s">
        <v>10074</v>
      </c>
      <c r="Q1798" t="s">
        <v>620</v>
      </c>
      <c r="R1798" t="s">
        <v>10075</v>
      </c>
      <c r="U1798" t="s">
        <v>1327</v>
      </c>
      <c r="X1798">
        <v>0</v>
      </c>
    </row>
    <row r="1799" spans="1:24" x14ac:dyDescent="0.25">
      <c r="A1799" s="234">
        <v>42992</v>
      </c>
      <c r="B1799" t="s">
        <v>110</v>
      </c>
      <c r="C1799" t="s">
        <v>761</v>
      </c>
      <c r="D1799" t="s">
        <v>715</v>
      </c>
      <c r="E1799" t="s">
        <v>588</v>
      </c>
      <c r="F1799" t="s">
        <v>8556</v>
      </c>
      <c r="G1799" t="s">
        <v>8556</v>
      </c>
      <c r="H1799" t="s">
        <v>8551</v>
      </c>
      <c r="I1799" t="s">
        <v>8557</v>
      </c>
      <c r="J1799" t="s">
        <v>4785</v>
      </c>
      <c r="L1799">
        <v>9</v>
      </c>
      <c r="M1799" s="134">
        <v>463000</v>
      </c>
      <c r="N1799" s="134">
        <v>555000</v>
      </c>
      <c r="O1799" t="s">
        <v>7124</v>
      </c>
      <c r="P1799" t="s">
        <v>8558</v>
      </c>
      <c r="Q1799" t="s">
        <v>592</v>
      </c>
      <c r="R1799" t="s">
        <v>8559</v>
      </c>
      <c r="U1799" t="s">
        <v>1327</v>
      </c>
      <c r="X1799">
        <v>0</v>
      </c>
    </row>
    <row r="1800" spans="1:24" x14ac:dyDescent="0.25">
      <c r="A1800" s="234">
        <v>43319</v>
      </c>
      <c r="B1800" t="s">
        <v>569</v>
      </c>
      <c r="C1800" t="s">
        <v>899</v>
      </c>
      <c r="D1800" t="s">
        <v>11286</v>
      </c>
      <c r="E1800" t="s">
        <v>588</v>
      </c>
      <c r="F1800" t="s">
        <v>12096</v>
      </c>
      <c r="G1800" t="s">
        <v>12097</v>
      </c>
      <c r="H1800" t="s">
        <v>607</v>
      </c>
      <c r="I1800" t="s">
        <v>12098</v>
      </c>
      <c r="J1800" t="s">
        <v>899</v>
      </c>
      <c r="L1800">
        <v>1</v>
      </c>
      <c r="M1800" s="134">
        <v>463000</v>
      </c>
      <c r="N1800" s="134">
        <v>1134350</v>
      </c>
      <c r="O1800" t="s">
        <v>6745</v>
      </c>
      <c r="P1800" t="s">
        <v>12099</v>
      </c>
      <c r="Q1800" t="s">
        <v>592</v>
      </c>
      <c r="R1800" t="s">
        <v>12100</v>
      </c>
      <c r="U1800" t="s">
        <v>1327</v>
      </c>
      <c r="X1800">
        <v>0</v>
      </c>
    </row>
    <row r="1801" spans="1:24" x14ac:dyDescent="0.25">
      <c r="A1801" s="234">
        <v>43133</v>
      </c>
      <c r="B1801" t="s">
        <v>5176</v>
      </c>
      <c r="C1801" t="s">
        <v>604</v>
      </c>
      <c r="D1801" t="s">
        <v>595</v>
      </c>
      <c r="E1801" t="s">
        <v>588</v>
      </c>
      <c r="F1801" t="s">
        <v>10267</v>
      </c>
      <c r="G1801" t="s">
        <v>10268</v>
      </c>
      <c r="H1801" t="s">
        <v>607</v>
      </c>
      <c r="I1801" t="s">
        <v>10269</v>
      </c>
      <c r="J1801" t="s">
        <v>604</v>
      </c>
      <c r="M1801" s="134">
        <v>463139</v>
      </c>
      <c r="N1801" s="134">
        <v>972592</v>
      </c>
      <c r="O1801" t="s">
        <v>10765</v>
      </c>
      <c r="P1801" t="s">
        <v>10270</v>
      </c>
      <c r="Q1801" t="s">
        <v>592</v>
      </c>
      <c r="R1801" t="s">
        <v>10322</v>
      </c>
      <c r="U1801" t="s">
        <v>1327</v>
      </c>
      <c r="X1801">
        <v>0</v>
      </c>
    </row>
    <row r="1802" spans="1:24" x14ac:dyDescent="0.25">
      <c r="A1802" s="234">
        <v>43110</v>
      </c>
      <c r="B1802" t="s">
        <v>5176</v>
      </c>
      <c r="C1802" t="s">
        <v>604</v>
      </c>
      <c r="D1802" t="s">
        <v>595</v>
      </c>
      <c r="F1802" t="s">
        <v>10173</v>
      </c>
      <c r="G1802" t="s">
        <v>15</v>
      </c>
      <c r="H1802" t="s">
        <v>905</v>
      </c>
      <c r="I1802" t="s">
        <v>1487</v>
      </c>
      <c r="J1802" t="s">
        <v>604</v>
      </c>
      <c r="K1802" t="s">
        <v>13913</v>
      </c>
      <c r="M1802" s="134">
        <v>463740</v>
      </c>
      <c r="N1802" s="134">
        <v>500000</v>
      </c>
      <c r="O1802" t="s">
        <v>10766</v>
      </c>
      <c r="P1802" t="s">
        <v>13915</v>
      </c>
      <c r="Q1802" t="s">
        <v>29</v>
      </c>
      <c r="R1802" t="s">
        <v>13914</v>
      </c>
      <c r="U1802" t="s">
        <v>491</v>
      </c>
      <c r="X1802">
        <v>1</v>
      </c>
    </row>
    <row r="1803" spans="1:24" x14ac:dyDescent="0.25">
      <c r="A1803" s="234">
        <v>43402</v>
      </c>
      <c r="B1803" t="s">
        <v>569</v>
      </c>
      <c r="C1803" t="s">
        <v>899</v>
      </c>
      <c r="D1803" t="s">
        <v>1070</v>
      </c>
      <c r="F1803" t="s">
        <v>13085</v>
      </c>
      <c r="G1803" t="s">
        <v>10080</v>
      </c>
      <c r="H1803" t="s">
        <v>10831</v>
      </c>
      <c r="I1803" t="s">
        <v>4528</v>
      </c>
      <c r="J1803" t="s">
        <v>899</v>
      </c>
      <c r="K1803" t="s">
        <v>13086</v>
      </c>
      <c r="L1803">
        <v>10</v>
      </c>
      <c r="M1803" s="134">
        <v>463760</v>
      </c>
      <c r="N1803" s="134">
        <v>799760</v>
      </c>
      <c r="O1803" t="s">
        <v>7124</v>
      </c>
      <c r="P1803" t="s">
        <v>13427</v>
      </c>
      <c r="Q1803" t="s">
        <v>1612</v>
      </c>
      <c r="R1803" t="s">
        <v>13104</v>
      </c>
      <c r="S1803">
        <v>473035.2</v>
      </c>
      <c r="U1803" t="s">
        <v>12344</v>
      </c>
      <c r="X1803">
        <v>0</v>
      </c>
    </row>
    <row r="1804" spans="1:24" x14ac:dyDescent="0.25">
      <c r="A1804" s="234">
        <v>43052</v>
      </c>
      <c r="B1804" t="s">
        <v>328</v>
      </c>
      <c r="C1804" t="s">
        <v>603</v>
      </c>
      <c r="D1804" t="s">
        <v>672</v>
      </c>
      <c r="E1804" t="s">
        <v>588</v>
      </c>
      <c r="F1804" t="s">
        <v>9442</v>
      </c>
      <c r="G1804" t="s">
        <v>9443</v>
      </c>
      <c r="H1804" t="s">
        <v>607</v>
      </c>
      <c r="J1804" t="s">
        <v>3533</v>
      </c>
      <c r="L1804">
        <v>1</v>
      </c>
      <c r="M1804" s="134">
        <v>464000</v>
      </c>
      <c r="N1804" s="134">
        <v>951200</v>
      </c>
      <c r="O1804" t="s">
        <v>4533</v>
      </c>
      <c r="P1804" t="s">
        <v>9441</v>
      </c>
      <c r="Q1804" t="s">
        <v>29</v>
      </c>
      <c r="R1804" t="s">
        <v>9614</v>
      </c>
      <c r="U1804" t="s">
        <v>1327</v>
      </c>
      <c r="X1804">
        <v>1</v>
      </c>
    </row>
    <row r="1805" spans="1:24" x14ac:dyDescent="0.25">
      <c r="A1805" s="234">
        <v>43004</v>
      </c>
      <c r="B1805" t="s">
        <v>328</v>
      </c>
      <c r="C1805" t="s">
        <v>603</v>
      </c>
      <c r="D1805" t="s">
        <v>587</v>
      </c>
      <c r="E1805" t="s">
        <v>3748</v>
      </c>
      <c r="F1805" t="s">
        <v>8703</v>
      </c>
      <c r="G1805" t="s">
        <v>8704</v>
      </c>
      <c r="H1805" t="s">
        <v>607</v>
      </c>
      <c r="I1805" t="s">
        <v>8705</v>
      </c>
      <c r="J1805" t="s">
        <v>959</v>
      </c>
      <c r="L1805">
        <v>3</v>
      </c>
      <c r="M1805" s="134">
        <v>465000</v>
      </c>
      <c r="N1805" s="134">
        <v>790500</v>
      </c>
      <c r="O1805" t="s">
        <v>8219</v>
      </c>
      <c r="P1805" t="s">
        <v>8706</v>
      </c>
      <c r="Q1805" t="s">
        <v>29</v>
      </c>
      <c r="R1805" t="s">
        <v>8808</v>
      </c>
      <c r="T1805">
        <v>28</v>
      </c>
      <c r="U1805" t="s">
        <v>491</v>
      </c>
      <c r="X1805">
        <v>1</v>
      </c>
    </row>
    <row r="1806" spans="1:24" x14ac:dyDescent="0.25">
      <c r="A1806" s="234">
        <v>43578</v>
      </c>
      <c r="B1806" t="s">
        <v>328</v>
      </c>
      <c r="C1806" t="s">
        <v>603</v>
      </c>
      <c r="D1806" t="s">
        <v>10705</v>
      </c>
      <c r="F1806" t="s">
        <v>15182</v>
      </c>
      <c r="G1806" t="s">
        <v>4118</v>
      </c>
      <c r="H1806" t="s">
        <v>607</v>
      </c>
      <c r="I1806" t="s">
        <v>9854</v>
      </c>
      <c r="J1806" t="s">
        <v>644</v>
      </c>
      <c r="K1806" t="s">
        <v>15183</v>
      </c>
      <c r="L1806">
        <v>10</v>
      </c>
      <c r="M1806" s="134">
        <v>466000</v>
      </c>
      <c r="N1806" s="134">
        <v>838200</v>
      </c>
      <c r="O1806" t="s">
        <v>7124</v>
      </c>
      <c r="P1806" t="s">
        <v>15186</v>
      </c>
      <c r="Q1806" t="s">
        <v>29</v>
      </c>
      <c r="R1806" t="s">
        <v>15187</v>
      </c>
      <c r="U1806" t="s">
        <v>491</v>
      </c>
      <c r="X1806">
        <v>1</v>
      </c>
    </row>
    <row r="1807" spans="1:24" x14ac:dyDescent="0.25">
      <c r="A1807" s="234">
        <v>42537</v>
      </c>
      <c r="B1807" t="s">
        <v>328</v>
      </c>
      <c r="C1807" t="s">
        <v>603</v>
      </c>
      <c r="D1807" t="s">
        <v>1401</v>
      </c>
      <c r="E1807" t="s">
        <v>588</v>
      </c>
      <c r="F1807" t="s">
        <v>2521</v>
      </c>
      <c r="H1807" t="s">
        <v>607</v>
      </c>
      <c r="I1807" t="s">
        <v>2522</v>
      </c>
      <c r="M1807" s="134">
        <v>466000</v>
      </c>
      <c r="N1807" s="134">
        <v>838800</v>
      </c>
      <c r="O1807" t="s">
        <v>2032</v>
      </c>
      <c r="P1807" t="s">
        <v>2523</v>
      </c>
      <c r="Q1807" t="s">
        <v>1612</v>
      </c>
      <c r="R1807" t="s">
        <v>2524</v>
      </c>
      <c r="S1807" t="s">
        <v>2778</v>
      </c>
      <c r="U1807" t="s">
        <v>491</v>
      </c>
      <c r="X1807">
        <v>0</v>
      </c>
    </row>
    <row r="1808" spans="1:24" x14ac:dyDescent="0.25">
      <c r="A1808" s="234">
        <v>42482</v>
      </c>
      <c r="B1808" t="s">
        <v>378</v>
      </c>
      <c r="C1808" t="s">
        <v>623</v>
      </c>
      <c r="D1808" t="s">
        <v>800</v>
      </c>
      <c r="E1808" t="s">
        <v>588</v>
      </c>
      <c r="F1808" t="s">
        <v>1778</v>
      </c>
      <c r="H1808" t="s">
        <v>607</v>
      </c>
      <c r="M1808" s="134">
        <v>466000</v>
      </c>
      <c r="N1808" s="134">
        <v>1048500</v>
      </c>
      <c r="O1808" t="s">
        <v>1771</v>
      </c>
      <c r="P1808" t="s">
        <v>1772</v>
      </c>
      <c r="Q1808" t="s">
        <v>1612</v>
      </c>
      <c r="R1808" t="s">
        <v>1773</v>
      </c>
      <c r="S1808" t="s">
        <v>15997</v>
      </c>
      <c r="X1808">
        <v>0</v>
      </c>
    </row>
    <row r="1809" spans="1:24" x14ac:dyDescent="0.25">
      <c r="A1809" s="234">
        <v>42836</v>
      </c>
      <c r="B1809" t="s">
        <v>328</v>
      </c>
      <c r="C1809" t="s">
        <v>603</v>
      </c>
      <c r="D1809" t="s">
        <v>672</v>
      </c>
      <c r="E1809" t="s">
        <v>588</v>
      </c>
      <c r="F1809" t="s">
        <v>6375</v>
      </c>
      <c r="H1809" t="s">
        <v>607</v>
      </c>
      <c r="J1809" t="s">
        <v>5610</v>
      </c>
      <c r="L1809">
        <v>4</v>
      </c>
      <c r="M1809" s="134">
        <v>468000</v>
      </c>
      <c r="N1809" s="134">
        <v>928000</v>
      </c>
      <c r="O1809" t="s">
        <v>695</v>
      </c>
      <c r="P1809" t="s">
        <v>6378</v>
      </c>
      <c r="Q1809" t="s">
        <v>592</v>
      </c>
      <c r="S1809" t="s">
        <v>6376</v>
      </c>
      <c r="U1809" t="s">
        <v>491</v>
      </c>
      <c r="X1809">
        <v>0</v>
      </c>
    </row>
    <row r="1810" spans="1:24" x14ac:dyDescent="0.25">
      <c r="A1810" s="234">
        <v>43353</v>
      </c>
      <c r="B1810" t="s">
        <v>5176</v>
      </c>
      <c r="C1810" t="s">
        <v>604</v>
      </c>
      <c r="D1810" t="s">
        <v>6995</v>
      </c>
      <c r="E1810" t="s">
        <v>588</v>
      </c>
      <c r="F1810" t="s">
        <v>12558</v>
      </c>
      <c r="G1810" t="s">
        <v>7714</v>
      </c>
      <c r="H1810" t="s">
        <v>886</v>
      </c>
      <c r="I1810" t="s">
        <v>12561</v>
      </c>
      <c r="J1810" t="s">
        <v>959</v>
      </c>
      <c r="L1810">
        <v>5</v>
      </c>
      <c r="M1810" s="134">
        <v>469000</v>
      </c>
      <c r="N1810" s="134">
        <v>599000</v>
      </c>
      <c r="O1810" t="s">
        <v>10763</v>
      </c>
      <c r="P1810" t="s">
        <v>12560</v>
      </c>
      <c r="Q1810" t="s">
        <v>29</v>
      </c>
      <c r="R1810" t="s">
        <v>12559</v>
      </c>
      <c r="U1810" t="s">
        <v>12344</v>
      </c>
      <c r="X1810">
        <v>1</v>
      </c>
    </row>
    <row r="1811" spans="1:24" x14ac:dyDescent="0.25">
      <c r="A1811" s="234">
        <v>42997</v>
      </c>
      <c r="B1811" t="s">
        <v>328</v>
      </c>
      <c r="C1811" t="s">
        <v>603</v>
      </c>
      <c r="D1811" t="s">
        <v>649</v>
      </c>
      <c r="E1811" t="s">
        <v>588</v>
      </c>
      <c r="F1811" t="s">
        <v>8606</v>
      </c>
      <c r="G1811" t="s">
        <v>8607</v>
      </c>
      <c r="H1811" t="s">
        <v>607</v>
      </c>
      <c r="I1811" t="s">
        <v>3408</v>
      </c>
      <c r="J1811" t="s">
        <v>3371</v>
      </c>
      <c r="L1811">
        <v>6</v>
      </c>
      <c r="M1811" s="134">
        <v>470000</v>
      </c>
      <c r="N1811" s="134">
        <v>0</v>
      </c>
      <c r="O1811" t="s">
        <v>3107</v>
      </c>
      <c r="P1811" t="s">
        <v>8608</v>
      </c>
      <c r="Q1811" t="s">
        <v>620</v>
      </c>
      <c r="R1811" t="s">
        <v>8834</v>
      </c>
      <c r="T1811">
        <v>43</v>
      </c>
      <c r="U1811" t="s">
        <v>491</v>
      </c>
      <c r="X1811">
        <v>0</v>
      </c>
    </row>
    <row r="1812" spans="1:24" x14ac:dyDescent="0.25">
      <c r="A1812" s="234">
        <v>43532</v>
      </c>
      <c r="B1812" t="s">
        <v>5956</v>
      </c>
      <c r="C1812" t="s">
        <v>3369</v>
      </c>
      <c r="D1812" t="s">
        <v>8126</v>
      </c>
      <c r="F1812" t="s">
        <v>14667</v>
      </c>
      <c r="G1812" t="s">
        <v>14668</v>
      </c>
      <c r="H1812" t="s">
        <v>607</v>
      </c>
      <c r="I1812" t="s">
        <v>14669</v>
      </c>
      <c r="J1812" t="s">
        <v>4825</v>
      </c>
      <c r="K1812" t="s">
        <v>14670</v>
      </c>
      <c r="M1812" s="134">
        <v>472000</v>
      </c>
      <c r="N1812" s="134">
        <v>1100000</v>
      </c>
      <c r="O1812" t="s">
        <v>10766</v>
      </c>
      <c r="P1812" t="s">
        <v>14671</v>
      </c>
      <c r="Q1812" t="s">
        <v>620</v>
      </c>
      <c r="R1812" t="s">
        <v>14672</v>
      </c>
      <c r="U1812" t="s">
        <v>491</v>
      </c>
      <c r="X1812">
        <v>0</v>
      </c>
    </row>
    <row r="1813" spans="1:24" x14ac:dyDescent="0.25">
      <c r="A1813" s="234">
        <v>43552</v>
      </c>
      <c r="B1813" t="s">
        <v>328</v>
      </c>
      <c r="C1813" t="s">
        <v>603</v>
      </c>
      <c r="D1813" t="s">
        <v>5701</v>
      </c>
      <c r="F1813" t="s">
        <v>228</v>
      </c>
      <c r="G1813" t="s">
        <v>9305</v>
      </c>
      <c r="H1813" t="s">
        <v>607</v>
      </c>
      <c r="I1813" t="s">
        <v>6288</v>
      </c>
      <c r="J1813" t="s">
        <v>603</v>
      </c>
      <c r="K1813" t="s">
        <v>14922</v>
      </c>
      <c r="L1813">
        <v>7</v>
      </c>
      <c r="M1813" s="134">
        <v>473000</v>
      </c>
      <c r="N1813" s="134">
        <v>1168700</v>
      </c>
      <c r="O1813" t="s">
        <v>4533</v>
      </c>
      <c r="P1813" t="s">
        <v>14923</v>
      </c>
      <c r="Q1813" t="s">
        <v>29</v>
      </c>
      <c r="R1813" t="s">
        <v>14950</v>
      </c>
      <c r="U1813" t="s">
        <v>12797</v>
      </c>
      <c r="X1813">
        <v>1</v>
      </c>
    </row>
    <row r="1814" spans="1:24" x14ac:dyDescent="0.25">
      <c r="A1814" s="234">
        <v>42900</v>
      </c>
      <c r="B1814" t="s">
        <v>569</v>
      </c>
      <c r="D1814" t="s">
        <v>611</v>
      </c>
      <c r="E1814" t="s">
        <v>588</v>
      </c>
      <c r="F1814" t="s">
        <v>7179</v>
      </c>
      <c r="H1814" t="s">
        <v>722</v>
      </c>
      <c r="I1814" t="s">
        <v>5423</v>
      </c>
      <c r="J1814" t="s">
        <v>899</v>
      </c>
      <c r="M1814" s="134">
        <v>473013</v>
      </c>
      <c r="N1814" s="134">
        <v>675000</v>
      </c>
      <c r="O1814" t="s">
        <v>6980</v>
      </c>
      <c r="P1814" t="s">
        <v>7180</v>
      </c>
      <c r="Q1814" t="s">
        <v>29</v>
      </c>
      <c r="U1814" t="s">
        <v>491</v>
      </c>
      <c r="X1814">
        <v>1</v>
      </c>
    </row>
    <row r="1815" spans="1:24" x14ac:dyDescent="0.25">
      <c r="A1815" s="234">
        <v>43118</v>
      </c>
      <c r="B1815" t="s">
        <v>5956</v>
      </c>
      <c r="C1815" t="s">
        <v>959</v>
      </c>
      <c r="D1815" t="s">
        <v>9234</v>
      </c>
      <c r="E1815" t="s">
        <v>588</v>
      </c>
      <c r="F1815" t="s">
        <v>10031</v>
      </c>
      <c r="H1815" t="s">
        <v>905</v>
      </c>
      <c r="I1815" t="s">
        <v>10032</v>
      </c>
      <c r="J1815" t="s">
        <v>959</v>
      </c>
      <c r="L1815">
        <v>2</v>
      </c>
      <c r="M1815" s="134">
        <v>474000</v>
      </c>
      <c r="N1815" s="134">
        <v>100000</v>
      </c>
      <c r="O1815" t="s">
        <v>10763</v>
      </c>
      <c r="P1815" t="s">
        <v>10033</v>
      </c>
      <c r="Q1815" t="s">
        <v>592</v>
      </c>
      <c r="R1815" t="s">
        <v>10034</v>
      </c>
      <c r="U1815" t="s">
        <v>491</v>
      </c>
      <c r="X1815">
        <v>0</v>
      </c>
    </row>
    <row r="1816" spans="1:24" x14ac:dyDescent="0.25">
      <c r="A1816" s="234">
        <v>43012</v>
      </c>
      <c r="B1816" t="s">
        <v>569</v>
      </c>
      <c r="C1816" t="s">
        <v>899</v>
      </c>
      <c r="D1816" t="s">
        <v>625</v>
      </c>
      <c r="E1816" t="s">
        <v>821</v>
      </c>
      <c r="F1816" t="s">
        <v>8884</v>
      </c>
      <c r="G1816" t="s">
        <v>8885</v>
      </c>
      <c r="H1816" t="s">
        <v>607</v>
      </c>
      <c r="I1816" t="s">
        <v>8058</v>
      </c>
      <c r="J1816" t="s">
        <v>899</v>
      </c>
      <c r="L1816">
        <v>2</v>
      </c>
      <c r="M1816" s="134">
        <v>474000</v>
      </c>
      <c r="N1816" s="134">
        <v>750000</v>
      </c>
      <c r="O1816" t="s">
        <v>1171</v>
      </c>
      <c r="P1816" t="s">
        <v>8886</v>
      </c>
      <c r="Q1816" t="s">
        <v>29</v>
      </c>
      <c r="R1816" t="s">
        <v>8899</v>
      </c>
      <c r="T1816">
        <v>29</v>
      </c>
      <c r="U1816" t="s">
        <v>491</v>
      </c>
      <c r="X1816">
        <v>1</v>
      </c>
    </row>
    <row r="1817" spans="1:24" x14ac:dyDescent="0.25">
      <c r="A1817" s="234">
        <v>43529</v>
      </c>
      <c r="B1817" t="s">
        <v>569</v>
      </c>
      <c r="C1817" t="s">
        <v>899</v>
      </c>
      <c r="D1817" t="s">
        <v>11031</v>
      </c>
      <c r="F1817" t="s">
        <v>14630</v>
      </c>
      <c r="G1817" t="s">
        <v>7792</v>
      </c>
      <c r="H1817" t="s">
        <v>607</v>
      </c>
      <c r="I1817" t="s">
        <v>2054</v>
      </c>
      <c r="J1817" t="s">
        <v>899</v>
      </c>
      <c r="K1817" t="s">
        <v>14631</v>
      </c>
      <c r="L1817">
        <v>1</v>
      </c>
      <c r="M1817" s="134">
        <v>475000</v>
      </c>
      <c r="N1817" s="134">
        <v>715000</v>
      </c>
      <c r="O1817" t="s">
        <v>10766</v>
      </c>
      <c r="P1817" t="s">
        <v>14821</v>
      </c>
      <c r="Q1817" t="s">
        <v>592</v>
      </c>
      <c r="R1817" t="s">
        <v>14632</v>
      </c>
      <c r="U1817" t="s">
        <v>12797</v>
      </c>
      <c r="X1817">
        <v>0</v>
      </c>
    </row>
    <row r="1818" spans="1:24" x14ac:dyDescent="0.25">
      <c r="A1818" s="234">
        <v>42577</v>
      </c>
      <c r="B1818" t="s">
        <v>328</v>
      </c>
      <c r="C1818" t="s">
        <v>603</v>
      </c>
      <c r="D1818" t="s">
        <v>1401</v>
      </c>
      <c r="E1818" t="s">
        <v>588</v>
      </c>
      <c r="F1818" t="s">
        <v>3042</v>
      </c>
      <c r="H1818" t="s">
        <v>3043</v>
      </c>
      <c r="I1818" t="s">
        <v>3044</v>
      </c>
      <c r="M1818" s="134">
        <v>475000</v>
      </c>
      <c r="N1818" s="134">
        <v>720000</v>
      </c>
      <c r="O1818" t="s">
        <v>3045</v>
      </c>
      <c r="P1818" t="s">
        <v>3046</v>
      </c>
      <c r="Q1818" t="s">
        <v>1939</v>
      </c>
      <c r="R1818" t="s">
        <v>3047</v>
      </c>
      <c r="U1818" t="s">
        <v>491</v>
      </c>
      <c r="X1818">
        <v>0</v>
      </c>
    </row>
    <row r="1819" spans="1:24" x14ac:dyDescent="0.25">
      <c r="A1819" s="234">
        <v>42835</v>
      </c>
      <c r="B1819" t="s">
        <v>110</v>
      </c>
      <c r="C1819" t="s">
        <v>761</v>
      </c>
      <c r="D1819" t="s">
        <v>4782</v>
      </c>
      <c r="E1819" t="s">
        <v>588</v>
      </c>
      <c r="F1819" t="s">
        <v>6367</v>
      </c>
      <c r="H1819" t="s">
        <v>607</v>
      </c>
      <c r="I1819" t="s">
        <v>4230</v>
      </c>
      <c r="J1819" t="s">
        <v>761</v>
      </c>
      <c r="L1819">
        <v>5</v>
      </c>
      <c r="M1819" s="134">
        <v>475000</v>
      </c>
      <c r="N1819" s="134">
        <v>807500</v>
      </c>
      <c r="O1819" t="s">
        <v>5953</v>
      </c>
      <c r="P1819" t="s">
        <v>6368</v>
      </c>
      <c r="Q1819" t="s">
        <v>1939</v>
      </c>
      <c r="R1819" t="s">
        <v>6369</v>
      </c>
      <c r="U1819" t="s">
        <v>491</v>
      </c>
      <c r="X1819">
        <v>0</v>
      </c>
    </row>
    <row r="1820" spans="1:24" x14ac:dyDescent="0.25">
      <c r="A1820" s="234">
        <v>42573</v>
      </c>
      <c r="B1820" t="s">
        <v>328</v>
      </c>
      <c r="C1820" t="s">
        <v>603</v>
      </c>
      <c r="D1820" t="s">
        <v>1471</v>
      </c>
      <c r="E1820" t="s">
        <v>588</v>
      </c>
      <c r="F1820" t="s">
        <v>2989</v>
      </c>
      <c r="H1820" t="s">
        <v>607</v>
      </c>
      <c r="I1820" t="s">
        <v>2990</v>
      </c>
      <c r="M1820" s="134">
        <v>475000</v>
      </c>
      <c r="N1820" s="134">
        <v>855000</v>
      </c>
      <c r="O1820" t="s">
        <v>1581</v>
      </c>
      <c r="P1820" t="s">
        <v>2991</v>
      </c>
      <c r="Q1820" t="s">
        <v>620</v>
      </c>
      <c r="R1820" t="s">
        <v>2992</v>
      </c>
      <c r="S1820" t="s">
        <v>3071</v>
      </c>
      <c r="U1820" t="s">
        <v>491</v>
      </c>
      <c r="X1820">
        <v>0</v>
      </c>
    </row>
    <row r="1821" spans="1:24" x14ac:dyDescent="0.25">
      <c r="A1821" s="234">
        <v>42480</v>
      </c>
      <c r="B1821" t="s">
        <v>1486</v>
      </c>
      <c r="C1821" t="s">
        <v>959</v>
      </c>
      <c r="D1821" t="s">
        <v>732</v>
      </c>
      <c r="E1821" t="s">
        <v>588</v>
      </c>
      <c r="F1821" t="s">
        <v>1748</v>
      </c>
      <c r="H1821" t="s">
        <v>886</v>
      </c>
      <c r="I1821" t="s">
        <v>1749</v>
      </c>
      <c r="M1821" s="134">
        <v>475000</v>
      </c>
      <c r="N1821" s="134">
        <v>997500</v>
      </c>
      <c r="O1821" t="s">
        <v>1750</v>
      </c>
      <c r="P1821" t="s">
        <v>1751</v>
      </c>
      <c r="Q1821" t="s">
        <v>592</v>
      </c>
      <c r="R1821" t="s">
        <v>1752</v>
      </c>
      <c r="U1821" t="s">
        <v>491</v>
      </c>
      <c r="X1821">
        <v>0</v>
      </c>
    </row>
    <row r="1822" spans="1:24" x14ac:dyDescent="0.25">
      <c r="A1822" s="234">
        <v>42674</v>
      </c>
      <c r="B1822" t="s">
        <v>643</v>
      </c>
      <c r="C1822" t="s">
        <v>644</v>
      </c>
      <c r="D1822" t="s">
        <v>645</v>
      </c>
      <c r="E1822" t="s">
        <v>588</v>
      </c>
      <c r="F1822" t="s">
        <v>4542</v>
      </c>
      <c r="H1822" t="s">
        <v>4543</v>
      </c>
      <c r="I1822" t="s">
        <v>4544</v>
      </c>
      <c r="J1822" t="s">
        <v>644</v>
      </c>
      <c r="L1822">
        <v>4</v>
      </c>
      <c r="M1822" s="134">
        <v>475000</v>
      </c>
      <c r="N1822" s="134">
        <v>1019800</v>
      </c>
      <c r="O1822" t="s">
        <v>1171</v>
      </c>
      <c r="P1822" t="s">
        <v>4545</v>
      </c>
      <c r="Q1822" t="s">
        <v>29</v>
      </c>
      <c r="R1822" t="s">
        <v>4546</v>
      </c>
      <c r="U1822" t="s">
        <v>491</v>
      </c>
      <c r="X1822">
        <v>1</v>
      </c>
    </row>
    <row r="1823" spans="1:24" x14ac:dyDescent="0.25">
      <c r="A1823" s="234">
        <v>43360</v>
      </c>
      <c r="B1823" t="s">
        <v>328</v>
      </c>
      <c r="C1823" t="s">
        <v>603</v>
      </c>
      <c r="D1823" t="s">
        <v>5701</v>
      </c>
      <c r="E1823" t="s">
        <v>588</v>
      </c>
      <c r="F1823" t="s">
        <v>12618</v>
      </c>
      <c r="G1823" t="s">
        <v>12619</v>
      </c>
      <c r="H1823" t="s">
        <v>809</v>
      </c>
      <c r="I1823" t="s">
        <v>12620</v>
      </c>
      <c r="J1823" t="s">
        <v>3528</v>
      </c>
      <c r="L1823">
        <v>10</v>
      </c>
      <c r="M1823" s="134">
        <v>477000</v>
      </c>
      <c r="N1823" s="134">
        <v>524700</v>
      </c>
      <c r="O1823" t="s">
        <v>10766</v>
      </c>
      <c r="P1823" t="s">
        <v>12621</v>
      </c>
      <c r="Q1823" t="s">
        <v>1939</v>
      </c>
      <c r="R1823" t="s">
        <v>13391</v>
      </c>
      <c r="U1823" t="s">
        <v>12344</v>
      </c>
      <c r="X1823">
        <v>0</v>
      </c>
    </row>
    <row r="1824" spans="1:24" x14ac:dyDescent="0.25">
      <c r="A1824" s="234">
        <v>42733</v>
      </c>
      <c r="B1824" t="s">
        <v>378</v>
      </c>
      <c r="C1824" t="s">
        <v>899</v>
      </c>
      <c r="D1824" t="s">
        <v>624</v>
      </c>
      <c r="E1824" t="s">
        <v>588</v>
      </c>
      <c r="F1824" t="s">
        <v>5152</v>
      </c>
      <c r="H1824" t="s">
        <v>5146</v>
      </c>
      <c r="I1824" t="s">
        <v>5153</v>
      </c>
      <c r="J1824" t="s">
        <v>899</v>
      </c>
      <c r="L1824">
        <v>3</v>
      </c>
      <c r="M1824" s="134">
        <v>477200</v>
      </c>
      <c r="N1824" s="134">
        <v>552640</v>
      </c>
      <c r="O1824" t="s">
        <v>5154</v>
      </c>
      <c r="P1824" t="s">
        <v>5155</v>
      </c>
      <c r="Q1824" t="s">
        <v>1939</v>
      </c>
      <c r="R1824" t="s">
        <v>5156</v>
      </c>
      <c r="U1824" t="s">
        <v>1327</v>
      </c>
      <c r="X1824">
        <v>0</v>
      </c>
    </row>
    <row r="1825" spans="1:24" x14ac:dyDescent="0.25">
      <c r="A1825" s="234">
        <v>43605</v>
      </c>
      <c r="B1825" t="s">
        <v>328</v>
      </c>
      <c r="C1825" t="s">
        <v>603</v>
      </c>
      <c r="D1825" t="s">
        <v>10705</v>
      </c>
      <c r="F1825" t="s">
        <v>15654</v>
      </c>
      <c r="G1825" t="s">
        <v>9305</v>
      </c>
      <c r="H1825" t="s">
        <v>10832</v>
      </c>
      <c r="I1825" t="s">
        <v>15655</v>
      </c>
      <c r="J1825" t="s">
        <v>4031</v>
      </c>
      <c r="K1825" t="s">
        <v>15656</v>
      </c>
      <c r="L1825">
        <v>3</v>
      </c>
      <c r="M1825" s="134">
        <v>480000</v>
      </c>
      <c r="N1825" s="134">
        <v>816000</v>
      </c>
      <c r="O1825" t="s">
        <v>4533</v>
      </c>
      <c r="P1825" t="s">
        <v>15657</v>
      </c>
      <c r="Q1825" t="s">
        <v>29</v>
      </c>
      <c r="R1825" t="s">
        <v>15658</v>
      </c>
      <c r="U1825" t="s">
        <v>491</v>
      </c>
      <c r="X1825">
        <v>1</v>
      </c>
    </row>
    <row r="1826" spans="1:24" x14ac:dyDescent="0.25">
      <c r="A1826" s="234">
        <v>42991</v>
      </c>
      <c r="B1826" t="s">
        <v>110</v>
      </c>
      <c r="C1826" t="s">
        <v>761</v>
      </c>
      <c r="D1826" t="s">
        <v>715</v>
      </c>
      <c r="E1826" t="s">
        <v>8527</v>
      </c>
      <c r="F1826" t="s">
        <v>8528</v>
      </c>
      <c r="G1826" t="s">
        <v>8529</v>
      </c>
      <c r="H1826" t="s">
        <v>607</v>
      </c>
      <c r="I1826" t="s">
        <v>8530</v>
      </c>
      <c r="J1826" t="s">
        <v>4785</v>
      </c>
      <c r="L1826">
        <v>6</v>
      </c>
      <c r="M1826" s="134">
        <v>480000</v>
      </c>
      <c r="N1826" s="134">
        <v>816000</v>
      </c>
      <c r="O1826" t="s">
        <v>1171</v>
      </c>
      <c r="P1826" t="s">
        <v>8531</v>
      </c>
      <c r="Q1826" t="s">
        <v>1939</v>
      </c>
      <c r="R1826" t="s">
        <v>8532</v>
      </c>
      <c r="T1826">
        <v>23</v>
      </c>
      <c r="U1826" t="s">
        <v>491</v>
      </c>
      <c r="X1826">
        <v>0</v>
      </c>
    </row>
    <row r="1827" spans="1:24" x14ac:dyDescent="0.25">
      <c r="A1827" s="234">
        <v>43103</v>
      </c>
      <c r="B1827" t="s">
        <v>328</v>
      </c>
      <c r="C1827" t="s">
        <v>603</v>
      </c>
      <c r="D1827" t="s">
        <v>1401</v>
      </c>
      <c r="E1827" t="s">
        <v>588</v>
      </c>
      <c r="F1827" t="s">
        <v>9938</v>
      </c>
      <c r="G1827" t="s">
        <v>9939</v>
      </c>
      <c r="H1827" t="s">
        <v>607</v>
      </c>
      <c r="I1827" t="s">
        <v>4674</v>
      </c>
      <c r="J1827" t="s">
        <v>899</v>
      </c>
      <c r="M1827" s="134">
        <v>480000</v>
      </c>
      <c r="N1827" s="134">
        <v>864000</v>
      </c>
      <c r="O1827" t="s">
        <v>7564</v>
      </c>
      <c r="P1827" t="s">
        <v>9940</v>
      </c>
      <c r="Q1827" t="s">
        <v>592</v>
      </c>
      <c r="R1827" t="s">
        <v>9941</v>
      </c>
      <c r="U1827" t="s">
        <v>1327</v>
      </c>
      <c r="X1827">
        <v>0</v>
      </c>
    </row>
    <row r="1828" spans="1:24" x14ac:dyDescent="0.25">
      <c r="A1828" s="234">
        <v>43326</v>
      </c>
      <c r="B1828" t="s">
        <v>328</v>
      </c>
      <c r="C1828" t="s">
        <v>603</v>
      </c>
      <c r="D1828" t="s">
        <v>7595</v>
      </c>
      <c r="E1828" t="s">
        <v>588</v>
      </c>
      <c r="F1828" t="s">
        <v>12191</v>
      </c>
      <c r="G1828" t="s">
        <v>7714</v>
      </c>
      <c r="H1828" t="s">
        <v>607</v>
      </c>
      <c r="J1828" t="s">
        <v>603</v>
      </c>
      <c r="M1828" s="134">
        <v>480000</v>
      </c>
      <c r="N1828" s="134">
        <v>960000</v>
      </c>
      <c r="O1828" t="s">
        <v>10766</v>
      </c>
      <c r="P1828" t="s">
        <v>12192</v>
      </c>
      <c r="Q1828" t="s">
        <v>1939</v>
      </c>
      <c r="R1828" t="s">
        <v>12193</v>
      </c>
      <c r="U1828" t="s">
        <v>1327</v>
      </c>
      <c r="X1828">
        <v>0</v>
      </c>
    </row>
    <row r="1829" spans="1:24" x14ac:dyDescent="0.25">
      <c r="A1829" s="234">
        <v>42909</v>
      </c>
      <c r="B1829" t="s">
        <v>5176</v>
      </c>
      <c r="D1829" t="s">
        <v>6995</v>
      </c>
      <c r="E1829" t="s">
        <v>588</v>
      </c>
      <c r="F1829" t="s">
        <v>7352</v>
      </c>
      <c r="H1829" t="s">
        <v>886</v>
      </c>
      <c r="I1829" t="s">
        <v>7353</v>
      </c>
      <c r="J1829" t="s">
        <v>604</v>
      </c>
      <c r="M1829" s="134">
        <v>480200</v>
      </c>
      <c r="N1829" s="134">
        <v>0</v>
      </c>
      <c r="O1829" t="s">
        <v>5926</v>
      </c>
      <c r="P1829" t="s">
        <v>7360</v>
      </c>
      <c r="Q1829" t="s">
        <v>1612</v>
      </c>
      <c r="R1829" t="s">
        <v>7536</v>
      </c>
      <c r="U1829" t="s">
        <v>491</v>
      </c>
      <c r="X1829">
        <v>0</v>
      </c>
    </row>
    <row r="1830" spans="1:24" x14ac:dyDescent="0.25">
      <c r="A1830" s="234">
        <v>43075</v>
      </c>
      <c r="B1830" t="s">
        <v>328</v>
      </c>
      <c r="C1830" t="s">
        <v>603</v>
      </c>
      <c r="D1830" t="s">
        <v>649</v>
      </c>
      <c r="E1830" t="s">
        <v>588</v>
      </c>
      <c r="F1830" t="s">
        <v>9667</v>
      </c>
      <c r="G1830" t="s">
        <v>9667</v>
      </c>
      <c r="H1830" t="s">
        <v>905</v>
      </c>
      <c r="I1830" t="s">
        <v>9668</v>
      </c>
      <c r="J1830" t="s">
        <v>3533</v>
      </c>
      <c r="L1830">
        <v>6</v>
      </c>
      <c r="M1830" s="134">
        <v>481000</v>
      </c>
      <c r="N1830" s="134">
        <v>501000</v>
      </c>
      <c r="O1830" t="s">
        <v>9633</v>
      </c>
      <c r="P1830" t="s">
        <v>9669</v>
      </c>
      <c r="Q1830" t="s">
        <v>1939</v>
      </c>
      <c r="R1830" t="s">
        <v>9670</v>
      </c>
      <c r="U1830" t="s">
        <v>1327</v>
      </c>
      <c r="X1830">
        <v>0</v>
      </c>
    </row>
    <row r="1831" spans="1:24" x14ac:dyDescent="0.25">
      <c r="A1831" s="234">
        <v>43507</v>
      </c>
      <c r="B1831" t="s">
        <v>5956</v>
      </c>
      <c r="C1831" t="s">
        <v>3369</v>
      </c>
      <c r="D1831" t="s">
        <v>8126</v>
      </c>
      <c r="F1831" t="s">
        <v>14348</v>
      </c>
      <c r="G1831" t="s">
        <v>8515</v>
      </c>
      <c r="H1831" t="s">
        <v>607</v>
      </c>
      <c r="I1831" t="s">
        <v>14349</v>
      </c>
      <c r="J1831" t="s">
        <v>959</v>
      </c>
      <c r="K1831" t="s">
        <v>14350</v>
      </c>
      <c r="M1831" s="134">
        <v>484025</v>
      </c>
      <c r="N1831" s="134">
        <v>968051</v>
      </c>
      <c r="O1831" t="s">
        <v>4533</v>
      </c>
      <c r="P1831" t="s">
        <v>14351</v>
      </c>
      <c r="Q1831" t="s">
        <v>592</v>
      </c>
      <c r="R1831" t="s">
        <v>14352</v>
      </c>
      <c r="S1831" t="s">
        <v>14378</v>
      </c>
      <c r="U1831" t="s">
        <v>12797</v>
      </c>
      <c r="X1831">
        <v>0</v>
      </c>
    </row>
    <row r="1832" spans="1:24" x14ac:dyDescent="0.25">
      <c r="A1832" s="234">
        <v>43340</v>
      </c>
      <c r="B1832" t="s">
        <v>9240</v>
      </c>
      <c r="C1832" t="s">
        <v>603</v>
      </c>
      <c r="D1832" t="s">
        <v>9241</v>
      </c>
      <c r="E1832" t="s">
        <v>588</v>
      </c>
      <c r="F1832" t="s">
        <v>12351</v>
      </c>
      <c r="G1832" t="s">
        <v>12352</v>
      </c>
      <c r="H1832" t="s">
        <v>607</v>
      </c>
      <c r="I1832" t="s">
        <v>5691</v>
      </c>
      <c r="J1832" t="s">
        <v>3751</v>
      </c>
      <c r="L1832">
        <v>9</v>
      </c>
      <c r="M1832" s="134">
        <v>484600</v>
      </c>
      <c r="N1832" s="134">
        <v>750000</v>
      </c>
      <c r="O1832" t="s">
        <v>10766</v>
      </c>
      <c r="P1832" t="s">
        <v>12353</v>
      </c>
      <c r="Q1832" t="s">
        <v>592</v>
      </c>
      <c r="R1832" t="s">
        <v>12354</v>
      </c>
      <c r="U1832" t="s">
        <v>491</v>
      </c>
      <c r="X1832">
        <v>0</v>
      </c>
    </row>
    <row r="1833" spans="1:24" x14ac:dyDescent="0.25">
      <c r="A1833" s="234">
        <v>43194</v>
      </c>
      <c r="B1833" t="s">
        <v>328</v>
      </c>
      <c r="C1833" t="s">
        <v>603</v>
      </c>
      <c r="D1833" t="s">
        <v>2397</v>
      </c>
      <c r="E1833" t="s">
        <v>588</v>
      </c>
      <c r="F1833" t="s">
        <v>10799</v>
      </c>
      <c r="H1833" t="s">
        <v>809</v>
      </c>
      <c r="I1833" t="s">
        <v>300</v>
      </c>
      <c r="J1833" t="s">
        <v>8194</v>
      </c>
      <c r="L1833">
        <v>10</v>
      </c>
      <c r="M1833" s="134">
        <v>485000</v>
      </c>
      <c r="N1833" s="134">
        <v>558500</v>
      </c>
      <c r="O1833" t="s">
        <v>7124</v>
      </c>
      <c r="P1833" t="s">
        <v>10800</v>
      </c>
      <c r="Q1833" t="s">
        <v>1939</v>
      </c>
      <c r="R1833" t="s">
        <v>10801</v>
      </c>
      <c r="S1833" t="s">
        <v>10802</v>
      </c>
      <c r="U1833" t="s">
        <v>491</v>
      </c>
      <c r="X1833">
        <v>0</v>
      </c>
    </row>
    <row r="1834" spans="1:24" x14ac:dyDescent="0.25">
      <c r="A1834" s="234">
        <v>43074</v>
      </c>
      <c r="B1834" t="s">
        <v>5176</v>
      </c>
      <c r="C1834" t="s">
        <v>959</v>
      </c>
      <c r="D1834" t="s">
        <v>732</v>
      </c>
      <c r="E1834" t="s">
        <v>588</v>
      </c>
      <c r="F1834" t="s">
        <v>9631</v>
      </c>
      <c r="H1834" t="s">
        <v>905</v>
      </c>
      <c r="I1834" t="s">
        <v>9632</v>
      </c>
      <c r="J1834" t="s">
        <v>959</v>
      </c>
      <c r="M1834" s="134">
        <v>485000</v>
      </c>
      <c r="N1834" s="134">
        <v>598500</v>
      </c>
      <c r="O1834" t="s">
        <v>9633</v>
      </c>
      <c r="P1834" t="s">
        <v>9634</v>
      </c>
      <c r="Q1834" t="s">
        <v>592</v>
      </c>
      <c r="U1834" t="s">
        <v>491</v>
      </c>
      <c r="X1834">
        <v>0</v>
      </c>
    </row>
    <row r="1835" spans="1:24" x14ac:dyDescent="0.25">
      <c r="A1835" s="234">
        <v>43620</v>
      </c>
      <c r="B1835" t="s">
        <v>13559</v>
      </c>
      <c r="C1835" t="s">
        <v>4031</v>
      </c>
      <c r="D1835" t="s">
        <v>13560</v>
      </c>
      <c r="F1835" t="s">
        <v>15870</v>
      </c>
      <c r="G1835" t="s">
        <v>9300</v>
      </c>
      <c r="H1835" t="s">
        <v>2510</v>
      </c>
      <c r="I1835" t="s">
        <v>6563</v>
      </c>
      <c r="J1835" t="s">
        <v>3523</v>
      </c>
      <c r="K1835" t="s">
        <v>15871</v>
      </c>
      <c r="L1835">
        <v>5</v>
      </c>
      <c r="M1835" s="134">
        <v>485000</v>
      </c>
      <c r="N1835" s="134">
        <v>785500</v>
      </c>
      <c r="O1835" t="s">
        <v>560</v>
      </c>
      <c r="P1835" t="s">
        <v>15872</v>
      </c>
      <c r="Q1835" t="s">
        <v>592</v>
      </c>
      <c r="R1835" t="s">
        <v>15873</v>
      </c>
      <c r="U1835" t="s">
        <v>491</v>
      </c>
      <c r="X1835">
        <v>0</v>
      </c>
    </row>
    <row r="1836" spans="1:24" x14ac:dyDescent="0.25">
      <c r="A1836" s="234">
        <v>43451</v>
      </c>
      <c r="B1836" t="s">
        <v>643</v>
      </c>
      <c r="C1836" t="s">
        <v>644</v>
      </c>
      <c r="D1836" t="s">
        <v>645</v>
      </c>
      <c r="F1836" t="s">
        <v>15</v>
      </c>
      <c r="G1836" t="s">
        <v>8518</v>
      </c>
      <c r="H1836" t="s">
        <v>607</v>
      </c>
      <c r="I1836" t="s">
        <v>4740</v>
      </c>
      <c r="J1836" t="s">
        <v>644</v>
      </c>
      <c r="K1836" t="s">
        <v>13663</v>
      </c>
      <c r="L1836">
        <v>3</v>
      </c>
      <c r="M1836" s="134">
        <v>486000</v>
      </c>
      <c r="N1836" s="134">
        <v>1020400</v>
      </c>
      <c r="O1836" t="s">
        <v>10765</v>
      </c>
      <c r="P1836" t="s">
        <v>13664</v>
      </c>
      <c r="Q1836" t="s">
        <v>1939</v>
      </c>
      <c r="R1836" t="s">
        <v>13665</v>
      </c>
      <c r="U1836" t="s">
        <v>491</v>
      </c>
      <c r="X1836">
        <v>0</v>
      </c>
    </row>
    <row r="1837" spans="1:24" x14ac:dyDescent="0.25">
      <c r="A1837" s="234">
        <v>43096</v>
      </c>
      <c r="B1837" t="s">
        <v>9240</v>
      </c>
      <c r="C1837" t="s">
        <v>603</v>
      </c>
      <c r="D1837" t="s">
        <v>9849</v>
      </c>
      <c r="E1837" t="s">
        <v>588</v>
      </c>
      <c r="F1837" t="s">
        <v>9859</v>
      </c>
      <c r="G1837" t="s">
        <v>9860</v>
      </c>
      <c r="H1837" t="s">
        <v>607</v>
      </c>
      <c r="I1837" t="s">
        <v>9861</v>
      </c>
      <c r="J1837" t="s">
        <v>5402</v>
      </c>
      <c r="L1837">
        <v>3</v>
      </c>
      <c r="M1837" s="134">
        <v>486090</v>
      </c>
      <c r="N1837" s="134">
        <v>1000000</v>
      </c>
      <c r="O1837" t="s">
        <v>666</v>
      </c>
      <c r="P1837" t="s">
        <v>9862</v>
      </c>
      <c r="Q1837" t="s">
        <v>1939</v>
      </c>
      <c r="R1837" t="s">
        <v>9863</v>
      </c>
      <c r="U1837" t="s">
        <v>491</v>
      </c>
      <c r="X1837">
        <v>0</v>
      </c>
    </row>
    <row r="1838" spans="1:24" x14ac:dyDescent="0.25">
      <c r="A1838" s="234">
        <v>43542</v>
      </c>
      <c r="B1838" t="s">
        <v>569</v>
      </c>
      <c r="C1838" t="s">
        <v>899</v>
      </c>
      <c r="D1838" t="s">
        <v>9981</v>
      </c>
      <c r="F1838" t="s">
        <v>14745</v>
      </c>
      <c r="G1838" t="s">
        <v>14746</v>
      </c>
      <c r="H1838" t="s">
        <v>607</v>
      </c>
      <c r="I1838" t="s">
        <v>14747</v>
      </c>
      <c r="J1838" t="s">
        <v>899</v>
      </c>
      <c r="K1838" t="s">
        <v>14748</v>
      </c>
      <c r="M1838" s="134">
        <v>486948</v>
      </c>
      <c r="N1838" s="134">
        <v>797548</v>
      </c>
      <c r="O1838" t="s">
        <v>10766</v>
      </c>
      <c r="P1838" t="s">
        <v>14749</v>
      </c>
      <c r="Q1838" t="s">
        <v>1939</v>
      </c>
      <c r="R1838" t="s">
        <v>14837</v>
      </c>
      <c r="U1838" t="s">
        <v>12797</v>
      </c>
      <c r="X1838">
        <v>0</v>
      </c>
    </row>
    <row r="1839" spans="1:24" x14ac:dyDescent="0.25">
      <c r="A1839" s="234">
        <v>42465</v>
      </c>
      <c r="B1839" t="s">
        <v>378</v>
      </c>
      <c r="C1839" t="s">
        <v>623</v>
      </c>
      <c r="D1839" t="s">
        <v>624</v>
      </c>
      <c r="E1839" t="s">
        <v>588</v>
      </c>
      <c r="F1839" t="s">
        <v>1546</v>
      </c>
      <c r="H1839" t="s">
        <v>607</v>
      </c>
      <c r="I1839" t="s">
        <v>1547</v>
      </c>
      <c r="M1839" s="134">
        <v>487868</v>
      </c>
      <c r="N1839" s="134">
        <v>682868</v>
      </c>
      <c r="O1839" t="s">
        <v>1272</v>
      </c>
      <c r="P1839" t="s">
        <v>1550</v>
      </c>
      <c r="Q1839" t="s">
        <v>592</v>
      </c>
      <c r="U1839" t="s">
        <v>491</v>
      </c>
      <c r="X1839">
        <v>0</v>
      </c>
    </row>
    <row r="1840" spans="1:24" x14ac:dyDescent="0.25">
      <c r="A1840" s="234">
        <v>42853</v>
      </c>
      <c r="B1840" t="s">
        <v>569</v>
      </c>
      <c r="D1840" t="s">
        <v>625</v>
      </c>
      <c r="E1840" t="s">
        <v>1707</v>
      </c>
      <c r="F1840" t="s">
        <v>6611</v>
      </c>
      <c r="H1840" t="s">
        <v>1044</v>
      </c>
      <c r="I1840" t="s">
        <v>4507</v>
      </c>
      <c r="J1840" t="s">
        <v>899</v>
      </c>
      <c r="L1840">
        <v>4</v>
      </c>
      <c r="M1840" s="134">
        <v>488000</v>
      </c>
      <c r="N1840" s="134">
        <v>745000</v>
      </c>
      <c r="O1840" t="s">
        <v>35</v>
      </c>
      <c r="P1840" t="s">
        <v>6673</v>
      </c>
      <c r="Q1840" t="s">
        <v>592</v>
      </c>
      <c r="R1840" t="s">
        <v>6613</v>
      </c>
      <c r="U1840" t="s">
        <v>491</v>
      </c>
      <c r="X1840">
        <v>0</v>
      </c>
    </row>
    <row r="1841" spans="1:24" x14ac:dyDescent="0.25">
      <c r="A1841" s="234">
        <v>43500</v>
      </c>
      <c r="B1841" t="s">
        <v>13559</v>
      </c>
      <c r="C1841" t="s">
        <v>608</v>
      </c>
      <c r="D1841" t="s">
        <v>8573</v>
      </c>
      <c r="F1841" t="s">
        <v>12119</v>
      </c>
      <c r="G1841" t="s">
        <v>14206</v>
      </c>
      <c r="H1841" t="s">
        <v>607</v>
      </c>
      <c r="I1841" t="s">
        <v>14207</v>
      </c>
      <c r="J1841" t="s">
        <v>1228</v>
      </c>
      <c r="K1841" t="s">
        <v>14208</v>
      </c>
      <c r="L1841" t="s">
        <v>833</v>
      </c>
      <c r="M1841" s="134">
        <v>488000</v>
      </c>
      <c r="N1841" s="134">
        <v>850000</v>
      </c>
      <c r="O1841" t="s">
        <v>6745</v>
      </c>
      <c r="P1841" t="s">
        <v>14209</v>
      </c>
      <c r="Q1841" t="s">
        <v>29</v>
      </c>
      <c r="R1841" t="s">
        <v>14295</v>
      </c>
      <c r="U1841" t="s">
        <v>491</v>
      </c>
      <c r="X1841">
        <v>1</v>
      </c>
    </row>
    <row r="1842" spans="1:24" x14ac:dyDescent="0.25">
      <c r="A1842" s="234">
        <v>42606</v>
      </c>
      <c r="B1842" t="s">
        <v>328</v>
      </c>
      <c r="C1842" t="s">
        <v>603</v>
      </c>
      <c r="D1842" t="s">
        <v>1471</v>
      </c>
      <c r="E1842" t="s">
        <v>588</v>
      </c>
      <c r="F1842" t="s">
        <v>3598</v>
      </c>
      <c r="H1842" t="s">
        <v>3599</v>
      </c>
      <c r="I1842" t="s">
        <v>3600</v>
      </c>
      <c r="J1842" t="s">
        <v>899</v>
      </c>
      <c r="M1842" s="134">
        <v>490000</v>
      </c>
      <c r="N1842" s="134">
        <v>550000</v>
      </c>
      <c r="O1842" t="s">
        <v>3601</v>
      </c>
      <c r="P1842" t="s">
        <v>3602</v>
      </c>
      <c r="Q1842" t="s">
        <v>29</v>
      </c>
      <c r="R1842" t="s">
        <v>3603</v>
      </c>
      <c r="U1842" t="s">
        <v>491</v>
      </c>
      <c r="X1842">
        <v>1</v>
      </c>
    </row>
    <row r="1843" spans="1:24" x14ac:dyDescent="0.25">
      <c r="A1843" s="234">
        <v>43150</v>
      </c>
      <c r="B1843" t="s">
        <v>328</v>
      </c>
      <c r="C1843" t="s">
        <v>603</v>
      </c>
      <c r="D1843" t="s">
        <v>8941</v>
      </c>
      <c r="E1843" t="s">
        <v>588</v>
      </c>
      <c r="F1843" t="s">
        <v>10371</v>
      </c>
      <c r="G1843" t="s">
        <v>10372</v>
      </c>
      <c r="H1843" t="s">
        <v>607</v>
      </c>
      <c r="I1843" t="s">
        <v>3691</v>
      </c>
      <c r="J1843" t="s">
        <v>3612</v>
      </c>
      <c r="L1843">
        <v>3</v>
      </c>
      <c r="M1843" s="134">
        <v>490000</v>
      </c>
      <c r="N1843" s="134">
        <v>833000</v>
      </c>
      <c r="O1843" t="s">
        <v>4533</v>
      </c>
      <c r="P1843" t="s">
        <v>10373</v>
      </c>
      <c r="Q1843" t="s">
        <v>1939</v>
      </c>
      <c r="R1843" t="s">
        <v>10374</v>
      </c>
      <c r="U1843" t="s">
        <v>1327</v>
      </c>
      <c r="X1843">
        <v>0</v>
      </c>
    </row>
    <row r="1844" spans="1:24" x14ac:dyDescent="0.25">
      <c r="A1844" s="234">
        <v>42880</v>
      </c>
      <c r="B1844" t="s">
        <v>569</v>
      </c>
      <c r="D1844" t="s">
        <v>625</v>
      </c>
      <c r="E1844" t="s">
        <v>588</v>
      </c>
      <c r="F1844" t="s">
        <v>6893</v>
      </c>
      <c r="H1844" t="s">
        <v>607</v>
      </c>
      <c r="I1844" t="s">
        <v>6894</v>
      </c>
      <c r="J1844" t="s">
        <v>899</v>
      </c>
      <c r="M1844" s="134">
        <v>490000</v>
      </c>
      <c r="N1844" s="134">
        <v>900000</v>
      </c>
      <c r="O1844" t="s">
        <v>1171</v>
      </c>
      <c r="P1844" t="s">
        <v>6895</v>
      </c>
      <c r="Q1844" t="s">
        <v>1939</v>
      </c>
      <c r="R1844" t="s">
        <v>6896</v>
      </c>
      <c r="U1844" t="s">
        <v>491</v>
      </c>
      <c r="X1844">
        <v>0</v>
      </c>
    </row>
    <row r="1845" spans="1:24" x14ac:dyDescent="0.25">
      <c r="A1845" s="234">
        <v>43336</v>
      </c>
      <c r="B1845" t="s">
        <v>328</v>
      </c>
      <c r="C1845" t="s">
        <v>603</v>
      </c>
      <c r="D1845" t="s">
        <v>672</v>
      </c>
      <c r="E1845" t="s">
        <v>588</v>
      </c>
      <c r="F1845" t="s">
        <v>12316</v>
      </c>
      <c r="G1845" t="s">
        <v>12317</v>
      </c>
      <c r="H1845" t="s">
        <v>607</v>
      </c>
      <c r="I1845" t="s">
        <v>5212</v>
      </c>
      <c r="J1845" t="s">
        <v>644</v>
      </c>
      <c r="L1845">
        <v>4</v>
      </c>
      <c r="M1845" s="134">
        <v>490000</v>
      </c>
      <c r="N1845" s="134">
        <v>999600</v>
      </c>
      <c r="O1845" t="s">
        <v>10765</v>
      </c>
      <c r="P1845" t="s">
        <v>12318</v>
      </c>
      <c r="Q1845" t="s">
        <v>592</v>
      </c>
      <c r="R1845" t="s">
        <v>12319</v>
      </c>
      <c r="U1845" t="s">
        <v>491</v>
      </c>
      <c r="X1845">
        <v>0</v>
      </c>
    </row>
    <row r="1846" spans="1:24" x14ac:dyDescent="0.25">
      <c r="A1846" s="234">
        <v>43605</v>
      </c>
      <c r="B1846" t="s">
        <v>569</v>
      </c>
      <c r="C1846" t="s">
        <v>899</v>
      </c>
      <c r="D1846" t="s">
        <v>3132</v>
      </c>
      <c r="F1846" t="s">
        <v>10006</v>
      </c>
      <c r="G1846" t="s">
        <v>15660</v>
      </c>
      <c r="H1846" t="s">
        <v>607</v>
      </c>
      <c r="I1846" t="s">
        <v>15661</v>
      </c>
      <c r="J1846" t="s">
        <v>899</v>
      </c>
      <c r="K1846" t="s">
        <v>15662</v>
      </c>
      <c r="L1846">
        <v>5</v>
      </c>
      <c r="M1846" s="134">
        <v>490600</v>
      </c>
      <c r="N1846" s="134">
        <v>800000</v>
      </c>
      <c r="O1846" t="s">
        <v>10766</v>
      </c>
      <c r="P1846" t="s">
        <v>15663</v>
      </c>
      <c r="Q1846" t="s">
        <v>1939</v>
      </c>
      <c r="R1846" t="s">
        <v>15664</v>
      </c>
      <c r="U1846" t="s">
        <v>491</v>
      </c>
      <c r="X1846">
        <v>0</v>
      </c>
    </row>
    <row r="1847" spans="1:24" x14ac:dyDescent="0.25">
      <c r="A1847" s="234">
        <v>43245</v>
      </c>
      <c r="B1847" t="s">
        <v>9240</v>
      </c>
      <c r="C1847" t="s">
        <v>603</v>
      </c>
      <c r="D1847" t="s">
        <v>9241</v>
      </c>
      <c r="E1847" t="s">
        <v>2200</v>
      </c>
      <c r="F1847" t="s">
        <v>8806</v>
      </c>
      <c r="G1847" t="s">
        <v>7830</v>
      </c>
      <c r="H1847" t="s">
        <v>905</v>
      </c>
      <c r="I1847" t="s">
        <v>11301</v>
      </c>
      <c r="J1847" t="s">
        <v>603</v>
      </c>
      <c r="L1847">
        <v>6</v>
      </c>
      <c r="M1847" s="134">
        <v>491000</v>
      </c>
      <c r="N1847" s="134">
        <v>0</v>
      </c>
      <c r="O1847" t="s">
        <v>10762</v>
      </c>
      <c r="P1847" t="s">
        <v>11302</v>
      </c>
      <c r="Q1847" t="s">
        <v>592</v>
      </c>
      <c r="R1847" t="s">
        <v>37</v>
      </c>
      <c r="U1847" t="s">
        <v>633</v>
      </c>
      <c r="X1847">
        <v>0</v>
      </c>
    </row>
    <row r="1848" spans="1:24" x14ac:dyDescent="0.25">
      <c r="A1848" s="234">
        <v>42809</v>
      </c>
      <c r="B1848" t="s">
        <v>5473</v>
      </c>
      <c r="D1848" t="s">
        <v>1495</v>
      </c>
      <c r="E1848" t="s">
        <v>588</v>
      </c>
      <c r="F1848" t="s">
        <v>5966</v>
      </c>
      <c r="H1848" t="s">
        <v>886</v>
      </c>
      <c r="I1848" t="s">
        <v>5967</v>
      </c>
      <c r="J1848" t="s">
        <v>602</v>
      </c>
      <c r="M1848" s="134">
        <v>492000</v>
      </c>
      <c r="N1848" s="134">
        <v>642000</v>
      </c>
      <c r="O1848" t="s">
        <v>5968</v>
      </c>
      <c r="P1848" t="s">
        <v>6306</v>
      </c>
      <c r="Q1848" t="s">
        <v>592</v>
      </c>
      <c r="U1848" t="s">
        <v>491</v>
      </c>
      <c r="X1848">
        <v>0</v>
      </c>
    </row>
    <row r="1849" spans="1:24" x14ac:dyDescent="0.25">
      <c r="A1849" s="234">
        <v>42636</v>
      </c>
      <c r="B1849" t="s">
        <v>328</v>
      </c>
      <c r="C1849" t="s">
        <v>603</v>
      </c>
      <c r="D1849" t="s">
        <v>1471</v>
      </c>
      <c r="E1849" t="s">
        <v>588</v>
      </c>
      <c r="F1849" t="s">
        <v>4046</v>
      </c>
      <c r="H1849" t="s">
        <v>4041</v>
      </c>
      <c r="I1849" t="s">
        <v>3710</v>
      </c>
      <c r="J1849" t="s">
        <v>899</v>
      </c>
      <c r="L1849">
        <v>10</v>
      </c>
      <c r="M1849" s="134">
        <v>494000</v>
      </c>
      <c r="N1849" s="134">
        <v>889200</v>
      </c>
      <c r="O1849" t="s">
        <v>4047</v>
      </c>
      <c r="P1849" t="s">
        <v>4048</v>
      </c>
      <c r="Q1849" t="s">
        <v>29</v>
      </c>
      <c r="U1849" t="s">
        <v>1327</v>
      </c>
      <c r="X1849">
        <v>1</v>
      </c>
    </row>
    <row r="1850" spans="1:24" x14ac:dyDescent="0.25">
      <c r="A1850" s="234">
        <v>43105</v>
      </c>
      <c r="B1850" t="s">
        <v>328</v>
      </c>
      <c r="C1850" t="s">
        <v>603</v>
      </c>
      <c r="D1850" t="s">
        <v>649</v>
      </c>
      <c r="E1850" t="s">
        <v>588</v>
      </c>
      <c r="F1850" t="s">
        <v>9960</v>
      </c>
      <c r="G1850" t="s">
        <v>9960</v>
      </c>
      <c r="H1850" t="s">
        <v>607</v>
      </c>
      <c r="J1850" t="s">
        <v>3751</v>
      </c>
      <c r="L1850">
        <v>4</v>
      </c>
      <c r="M1850" s="134">
        <v>495000</v>
      </c>
      <c r="N1850" s="134">
        <v>565000</v>
      </c>
      <c r="O1850" t="s">
        <v>4533</v>
      </c>
      <c r="P1850" t="s">
        <v>9959</v>
      </c>
      <c r="Q1850" t="s">
        <v>1939</v>
      </c>
      <c r="R1850" t="s">
        <v>9958</v>
      </c>
      <c r="U1850" t="s">
        <v>1327</v>
      </c>
      <c r="X1850">
        <v>0</v>
      </c>
    </row>
    <row r="1851" spans="1:24" x14ac:dyDescent="0.25">
      <c r="A1851" s="234">
        <v>43347</v>
      </c>
      <c r="B1851" t="s">
        <v>569</v>
      </c>
      <c r="C1851" t="s">
        <v>899</v>
      </c>
      <c r="D1851" t="s">
        <v>11031</v>
      </c>
      <c r="E1851" t="s">
        <v>588</v>
      </c>
      <c r="F1851" t="s">
        <v>12479</v>
      </c>
      <c r="G1851" t="s">
        <v>12479</v>
      </c>
      <c r="H1851" t="s">
        <v>5321</v>
      </c>
      <c r="I1851" t="s">
        <v>12480</v>
      </c>
      <c r="J1851" t="s">
        <v>899</v>
      </c>
      <c r="L1851">
        <v>1</v>
      </c>
      <c r="M1851" s="134">
        <v>496000</v>
      </c>
      <c r="N1851" s="134">
        <v>1215200</v>
      </c>
      <c r="O1851" t="s">
        <v>10762</v>
      </c>
      <c r="P1851" t="s">
        <v>12513</v>
      </c>
      <c r="Q1851" t="s">
        <v>592</v>
      </c>
      <c r="R1851" t="s">
        <v>12481</v>
      </c>
      <c r="U1851" t="s">
        <v>1327</v>
      </c>
      <c r="X1851">
        <v>0</v>
      </c>
    </row>
    <row r="1852" spans="1:24" x14ac:dyDescent="0.25">
      <c r="A1852" s="234">
        <v>42591</v>
      </c>
      <c r="B1852" t="s">
        <v>1486</v>
      </c>
      <c r="C1852" t="s">
        <v>1883</v>
      </c>
      <c r="D1852" t="s">
        <v>595</v>
      </c>
      <c r="E1852" t="s">
        <v>588</v>
      </c>
      <c r="F1852" t="s">
        <v>3316</v>
      </c>
      <c r="H1852" t="s">
        <v>3317</v>
      </c>
      <c r="I1852" t="s">
        <v>3318</v>
      </c>
      <c r="J1852" t="s">
        <v>959</v>
      </c>
      <c r="M1852" s="134">
        <v>498000</v>
      </c>
      <c r="N1852" s="134">
        <v>594000</v>
      </c>
      <c r="O1852" t="s">
        <v>3319</v>
      </c>
      <c r="P1852" t="s">
        <v>3320</v>
      </c>
      <c r="Q1852" t="s">
        <v>29</v>
      </c>
      <c r="R1852" t="s">
        <v>3321</v>
      </c>
      <c r="U1852" t="s">
        <v>491</v>
      </c>
      <c r="X1852">
        <v>1</v>
      </c>
    </row>
    <row r="1853" spans="1:24" x14ac:dyDescent="0.25">
      <c r="A1853" s="234">
        <v>43165</v>
      </c>
      <c r="B1853" t="s">
        <v>569</v>
      </c>
      <c r="C1853" t="s">
        <v>899</v>
      </c>
      <c r="D1853" t="s">
        <v>625</v>
      </c>
      <c r="E1853" t="s">
        <v>821</v>
      </c>
      <c r="F1853" t="s">
        <v>8966</v>
      </c>
      <c r="H1853" t="s">
        <v>607</v>
      </c>
      <c r="J1853" t="s">
        <v>899</v>
      </c>
      <c r="M1853" s="134">
        <v>500000</v>
      </c>
      <c r="N1853" s="134">
        <v>0</v>
      </c>
      <c r="O1853" t="s">
        <v>10766</v>
      </c>
      <c r="P1853" t="s">
        <v>10461</v>
      </c>
      <c r="Q1853" t="s">
        <v>1939</v>
      </c>
      <c r="R1853" t="s">
        <v>10462</v>
      </c>
      <c r="U1853" t="s">
        <v>491</v>
      </c>
      <c r="X1853">
        <v>0</v>
      </c>
    </row>
    <row r="1854" spans="1:24" x14ac:dyDescent="0.25">
      <c r="A1854" s="234">
        <v>42787</v>
      </c>
      <c r="B1854" t="s">
        <v>569</v>
      </c>
      <c r="D1854" t="s">
        <v>930</v>
      </c>
      <c r="E1854" t="s">
        <v>821</v>
      </c>
      <c r="F1854" t="s">
        <v>5749</v>
      </c>
      <c r="H1854" t="s">
        <v>5321</v>
      </c>
      <c r="M1854" s="134">
        <v>500000</v>
      </c>
      <c r="N1854" s="134">
        <v>0</v>
      </c>
      <c r="O1854" t="s">
        <v>5751</v>
      </c>
      <c r="P1854" t="s">
        <v>5750</v>
      </c>
      <c r="Q1854" t="s">
        <v>1939</v>
      </c>
      <c r="R1854" t="s">
        <v>5752</v>
      </c>
      <c r="U1854" t="s">
        <v>491</v>
      </c>
      <c r="X1854">
        <v>0</v>
      </c>
    </row>
    <row r="1855" spans="1:24" x14ac:dyDescent="0.25">
      <c r="A1855" s="234">
        <v>42817</v>
      </c>
      <c r="B1855" t="s">
        <v>6076</v>
      </c>
      <c r="C1855" t="s">
        <v>3370</v>
      </c>
      <c r="D1855" t="s">
        <v>2836</v>
      </c>
      <c r="E1855" t="s">
        <v>588</v>
      </c>
      <c r="F1855" t="s">
        <v>6077</v>
      </c>
      <c r="H1855" t="s">
        <v>722</v>
      </c>
      <c r="I1855" t="s">
        <v>6078</v>
      </c>
      <c r="J1855" t="s">
        <v>3370</v>
      </c>
      <c r="M1855" s="134">
        <v>500000</v>
      </c>
      <c r="N1855" s="134">
        <v>0</v>
      </c>
      <c r="O1855" t="s">
        <v>6079</v>
      </c>
      <c r="P1855" t="s">
        <v>6080</v>
      </c>
      <c r="Q1855" t="s">
        <v>592</v>
      </c>
      <c r="R1855" t="s">
        <v>6081</v>
      </c>
      <c r="U1855" t="s">
        <v>491</v>
      </c>
      <c r="X1855">
        <v>0</v>
      </c>
    </row>
    <row r="1856" spans="1:24" x14ac:dyDescent="0.25">
      <c r="A1856" s="234">
        <v>42912</v>
      </c>
      <c r="B1856" t="s">
        <v>569</v>
      </c>
      <c r="D1856" t="s">
        <v>930</v>
      </c>
      <c r="E1856" t="s">
        <v>821</v>
      </c>
      <c r="F1856" t="s">
        <v>7378</v>
      </c>
      <c r="H1856" t="s">
        <v>607</v>
      </c>
      <c r="J1856" t="s">
        <v>899</v>
      </c>
      <c r="M1856" s="134">
        <v>500000</v>
      </c>
      <c r="N1856" s="134">
        <v>0</v>
      </c>
      <c r="O1856" t="s">
        <v>7380</v>
      </c>
      <c r="P1856" t="s">
        <v>7381</v>
      </c>
      <c r="Q1856" t="s">
        <v>592</v>
      </c>
      <c r="U1856" t="s">
        <v>491</v>
      </c>
      <c r="X1856">
        <v>0</v>
      </c>
    </row>
    <row r="1857" spans="1:24" x14ac:dyDescent="0.25">
      <c r="A1857" s="234">
        <v>43013</v>
      </c>
      <c r="B1857" t="s">
        <v>5176</v>
      </c>
      <c r="C1857" t="s">
        <v>604</v>
      </c>
      <c r="D1857" t="s">
        <v>595</v>
      </c>
      <c r="E1857" t="s">
        <v>821</v>
      </c>
      <c r="F1857" t="s">
        <v>8924</v>
      </c>
      <c r="H1857" t="s">
        <v>8925</v>
      </c>
      <c r="I1857" t="s">
        <v>8926</v>
      </c>
      <c r="J1857" t="s">
        <v>959</v>
      </c>
      <c r="M1857" s="134">
        <v>500000</v>
      </c>
      <c r="N1857" s="134">
        <v>0</v>
      </c>
      <c r="O1857" t="s">
        <v>35</v>
      </c>
      <c r="P1857" t="s">
        <v>8928</v>
      </c>
      <c r="Q1857" t="s">
        <v>1939</v>
      </c>
      <c r="R1857" t="s">
        <v>8927</v>
      </c>
      <c r="T1857">
        <v>25</v>
      </c>
      <c r="U1857" t="s">
        <v>491</v>
      </c>
      <c r="X1857">
        <v>0</v>
      </c>
    </row>
    <row r="1858" spans="1:24" x14ac:dyDescent="0.25">
      <c r="A1858" s="234">
        <v>42424</v>
      </c>
      <c r="B1858" t="s">
        <v>110</v>
      </c>
      <c r="D1858" t="s">
        <v>1122</v>
      </c>
      <c r="E1858" t="s">
        <v>588</v>
      </c>
      <c r="F1858" t="s">
        <v>1123</v>
      </c>
      <c r="H1858" t="s">
        <v>607</v>
      </c>
      <c r="I1858" t="s">
        <v>1137</v>
      </c>
      <c r="M1858" s="134">
        <v>500000</v>
      </c>
      <c r="N1858" s="134">
        <v>0</v>
      </c>
      <c r="O1858" t="s">
        <v>1124</v>
      </c>
      <c r="P1858" t="s">
        <v>1125</v>
      </c>
      <c r="Q1858" t="s">
        <v>592</v>
      </c>
      <c r="R1858" t="s">
        <v>1126</v>
      </c>
      <c r="U1858" t="s">
        <v>491</v>
      </c>
      <c r="X1858">
        <v>0</v>
      </c>
    </row>
    <row r="1859" spans="1:24" x14ac:dyDescent="0.25">
      <c r="A1859" s="234">
        <v>42612</v>
      </c>
      <c r="B1859" t="s">
        <v>378</v>
      </c>
      <c r="C1859" t="s">
        <v>623</v>
      </c>
      <c r="D1859" t="s">
        <v>930</v>
      </c>
      <c r="E1859" t="s">
        <v>821</v>
      </c>
      <c r="H1859" t="s">
        <v>905</v>
      </c>
      <c r="M1859" s="134">
        <v>500000</v>
      </c>
      <c r="N1859" s="134">
        <v>0</v>
      </c>
      <c r="O1859" t="s">
        <v>3717</v>
      </c>
      <c r="P1859" t="s">
        <v>3718</v>
      </c>
      <c r="Q1859" t="s">
        <v>1939</v>
      </c>
      <c r="R1859" t="s">
        <v>3719</v>
      </c>
      <c r="X1859">
        <v>0</v>
      </c>
    </row>
    <row r="1860" spans="1:24" x14ac:dyDescent="0.25">
      <c r="A1860" s="234">
        <v>43544</v>
      </c>
      <c r="B1860" t="s">
        <v>328</v>
      </c>
      <c r="C1860" t="s">
        <v>603</v>
      </c>
      <c r="D1860" t="s">
        <v>649</v>
      </c>
      <c r="F1860" t="s">
        <v>14776</v>
      </c>
      <c r="G1860" t="s">
        <v>14777</v>
      </c>
      <c r="H1860" t="s">
        <v>809</v>
      </c>
      <c r="I1860" t="s">
        <v>8982</v>
      </c>
      <c r="J1860" t="s">
        <v>644</v>
      </c>
      <c r="K1860" t="s">
        <v>14778</v>
      </c>
      <c r="L1860">
        <v>9</v>
      </c>
      <c r="M1860" s="134">
        <v>500000</v>
      </c>
      <c r="N1860" s="134">
        <v>500000</v>
      </c>
      <c r="O1860" t="s">
        <v>10763</v>
      </c>
      <c r="P1860" t="s">
        <v>14840</v>
      </c>
      <c r="Q1860" t="s">
        <v>620</v>
      </c>
      <c r="R1860" t="s">
        <v>14779</v>
      </c>
      <c r="U1860" t="s">
        <v>12797</v>
      </c>
      <c r="X1860">
        <v>0</v>
      </c>
    </row>
    <row r="1861" spans="1:24" x14ac:dyDescent="0.25">
      <c r="A1861" s="234">
        <v>42440</v>
      </c>
      <c r="B1861" t="s">
        <v>378</v>
      </c>
      <c r="C1861" t="s">
        <v>610</v>
      </c>
      <c r="D1861" t="s">
        <v>732</v>
      </c>
      <c r="E1861" t="s">
        <v>588</v>
      </c>
      <c r="F1861" t="s">
        <v>1292</v>
      </c>
      <c r="H1861" t="s">
        <v>1050</v>
      </c>
      <c r="I1861" t="s">
        <v>1293</v>
      </c>
      <c r="M1861" s="134">
        <v>500000</v>
      </c>
      <c r="N1861" s="134">
        <v>500000</v>
      </c>
      <c r="O1861" t="s">
        <v>1294</v>
      </c>
      <c r="P1861" t="s">
        <v>1295</v>
      </c>
      <c r="Q1861" t="s">
        <v>29</v>
      </c>
      <c r="R1861" t="s">
        <v>1296</v>
      </c>
      <c r="S1861" t="s">
        <v>1480</v>
      </c>
      <c r="U1861" t="s">
        <v>1328</v>
      </c>
      <c r="X1861">
        <v>1</v>
      </c>
    </row>
    <row r="1862" spans="1:24" x14ac:dyDescent="0.25">
      <c r="A1862" s="234">
        <v>42627</v>
      </c>
      <c r="B1862" t="s">
        <v>378</v>
      </c>
      <c r="C1862" t="s">
        <v>623</v>
      </c>
      <c r="D1862" t="s">
        <v>624</v>
      </c>
      <c r="E1862" t="s">
        <v>588</v>
      </c>
      <c r="F1862" t="s">
        <v>3904</v>
      </c>
      <c r="H1862" t="s">
        <v>886</v>
      </c>
      <c r="I1862" t="s">
        <v>3905</v>
      </c>
      <c r="J1862" t="s">
        <v>899</v>
      </c>
      <c r="L1862">
        <v>5</v>
      </c>
      <c r="M1862" s="134">
        <v>500000</v>
      </c>
      <c r="N1862" s="134">
        <v>500000</v>
      </c>
      <c r="O1862" t="s">
        <v>3906</v>
      </c>
      <c r="P1862" t="s">
        <v>3907</v>
      </c>
      <c r="Q1862" t="s">
        <v>29</v>
      </c>
      <c r="R1862" t="s">
        <v>3908</v>
      </c>
      <c r="U1862" t="s">
        <v>491</v>
      </c>
      <c r="X1862">
        <v>1</v>
      </c>
    </row>
    <row r="1863" spans="1:24" x14ac:dyDescent="0.25">
      <c r="A1863" s="234">
        <v>42587</v>
      </c>
      <c r="B1863" t="s">
        <v>1486</v>
      </c>
      <c r="C1863" t="s">
        <v>1883</v>
      </c>
      <c r="D1863" t="s">
        <v>595</v>
      </c>
      <c r="E1863" t="s">
        <v>588</v>
      </c>
      <c r="F1863" t="s">
        <v>3255</v>
      </c>
      <c r="H1863" t="s">
        <v>886</v>
      </c>
      <c r="I1863" t="s">
        <v>3256</v>
      </c>
      <c r="J1863" t="s">
        <v>604</v>
      </c>
      <c r="L1863">
        <v>3</v>
      </c>
      <c r="M1863" s="134">
        <v>500000</v>
      </c>
      <c r="N1863" s="134">
        <v>505000</v>
      </c>
      <c r="O1863" t="s">
        <v>2121</v>
      </c>
      <c r="P1863" t="s">
        <v>3257</v>
      </c>
      <c r="Q1863" t="s">
        <v>29</v>
      </c>
      <c r="R1863" t="s">
        <v>3258</v>
      </c>
      <c r="U1863" t="s">
        <v>491</v>
      </c>
      <c r="X1863">
        <v>1</v>
      </c>
    </row>
    <row r="1864" spans="1:24" x14ac:dyDescent="0.25">
      <c r="A1864" s="234">
        <v>43068</v>
      </c>
      <c r="B1864" t="s">
        <v>5360</v>
      </c>
      <c r="C1864" t="s">
        <v>899</v>
      </c>
      <c r="D1864" t="s">
        <v>732</v>
      </c>
      <c r="E1864" t="s">
        <v>588</v>
      </c>
      <c r="F1864" t="s">
        <v>9561</v>
      </c>
      <c r="G1864" t="s">
        <v>8533</v>
      </c>
      <c r="H1864" t="s">
        <v>9562</v>
      </c>
      <c r="I1864" t="s">
        <v>9563</v>
      </c>
      <c r="J1864" t="s">
        <v>899</v>
      </c>
      <c r="M1864" s="134">
        <v>500000</v>
      </c>
      <c r="N1864" s="134">
        <v>538000</v>
      </c>
      <c r="O1864" t="s">
        <v>5659</v>
      </c>
      <c r="P1864" t="s">
        <v>9564</v>
      </c>
      <c r="Q1864" t="s">
        <v>1939</v>
      </c>
      <c r="R1864" t="s">
        <v>9565</v>
      </c>
      <c r="U1864" t="s">
        <v>1327</v>
      </c>
      <c r="X1864">
        <v>0</v>
      </c>
    </row>
    <row r="1865" spans="1:24" x14ac:dyDescent="0.25">
      <c r="A1865" s="234">
        <v>42871</v>
      </c>
      <c r="B1865" t="s">
        <v>569</v>
      </c>
      <c r="D1865" t="s">
        <v>625</v>
      </c>
      <c r="E1865" t="s">
        <v>588</v>
      </c>
      <c r="F1865" t="s">
        <v>6810</v>
      </c>
      <c r="H1865" t="s">
        <v>809</v>
      </c>
      <c r="I1865" t="s">
        <v>5668</v>
      </c>
      <c r="J1865" t="s">
        <v>899</v>
      </c>
      <c r="M1865" s="134">
        <v>500000</v>
      </c>
      <c r="N1865" s="134">
        <v>550000</v>
      </c>
      <c r="O1865" t="s">
        <v>5926</v>
      </c>
      <c r="P1865" t="s">
        <v>6811</v>
      </c>
      <c r="Q1865" t="s">
        <v>1939</v>
      </c>
      <c r="R1865" t="s">
        <v>6812</v>
      </c>
      <c r="U1865" t="s">
        <v>491</v>
      </c>
      <c r="X1865">
        <v>0</v>
      </c>
    </row>
    <row r="1866" spans="1:24" x14ac:dyDescent="0.25">
      <c r="A1866" s="234">
        <v>42793</v>
      </c>
      <c r="B1866" t="s">
        <v>569</v>
      </c>
      <c r="D1866" t="s">
        <v>625</v>
      </c>
      <c r="E1866" t="s">
        <v>588</v>
      </c>
      <c r="F1866" t="s">
        <v>5806</v>
      </c>
      <c r="H1866" t="s">
        <v>843</v>
      </c>
      <c r="I1866" t="s">
        <v>4057</v>
      </c>
      <c r="J1866" t="s">
        <v>899</v>
      </c>
      <c r="L1866">
        <v>2</v>
      </c>
      <c r="M1866" s="134">
        <v>500000</v>
      </c>
      <c r="N1866" s="134">
        <v>600000</v>
      </c>
      <c r="O1866" t="s">
        <v>5807</v>
      </c>
      <c r="P1866" t="s">
        <v>5810</v>
      </c>
      <c r="Q1866" t="s">
        <v>1612</v>
      </c>
      <c r="R1866" t="s">
        <v>5856</v>
      </c>
      <c r="U1866" t="s">
        <v>491</v>
      </c>
      <c r="X1866">
        <v>0</v>
      </c>
    </row>
    <row r="1867" spans="1:24" x14ac:dyDescent="0.25">
      <c r="A1867" s="234">
        <v>43424</v>
      </c>
      <c r="B1867" t="s">
        <v>643</v>
      </c>
      <c r="C1867" t="s">
        <v>644</v>
      </c>
      <c r="D1867" t="s">
        <v>645</v>
      </c>
      <c r="F1867" t="s">
        <v>13224</v>
      </c>
      <c r="G1867" t="s">
        <v>8366</v>
      </c>
      <c r="H1867" t="s">
        <v>10831</v>
      </c>
      <c r="I1867" t="s">
        <v>13225</v>
      </c>
      <c r="J1867" t="s">
        <v>644</v>
      </c>
      <c r="K1867" t="s">
        <v>13226</v>
      </c>
      <c r="L1867">
        <v>10</v>
      </c>
      <c r="M1867" s="134">
        <v>500000</v>
      </c>
      <c r="N1867" s="134">
        <v>610000</v>
      </c>
      <c r="O1867" t="s">
        <v>10764</v>
      </c>
      <c r="P1867" t="s">
        <v>13227</v>
      </c>
      <c r="Q1867" t="s">
        <v>29</v>
      </c>
      <c r="R1867" t="s">
        <v>13228</v>
      </c>
      <c r="U1867" t="s">
        <v>491</v>
      </c>
      <c r="X1867">
        <v>1</v>
      </c>
    </row>
    <row r="1868" spans="1:24" x14ac:dyDescent="0.25">
      <c r="A1868" s="234">
        <v>42492</v>
      </c>
      <c r="B1868" t="s">
        <v>1486</v>
      </c>
      <c r="C1868" t="s">
        <v>959</v>
      </c>
      <c r="D1868" t="s">
        <v>727</v>
      </c>
      <c r="E1868" t="s">
        <v>588</v>
      </c>
      <c r="F1868" t="s">
        <v>1913</v>
      </c>
      <c r="H1868" t="s">
        <v>886</v>
      </c>
      <c r="I1868" t="s">
        <v>1914</v>
      </c>
      <c r="M1868" s="134">
        <v>500000</v>
      </c>
      <c r="N1868" s="134">
        <v>610000</v>
      </c>
      <c r="O1868" t="s">
        <v>1915</v>
      </c>
      <c r="P1868" t="s">
        <v>1916</v>
      </c>
      <c r="Q1868" t="s">
        <v>1612</v>
      </c>
      <c r="R1868" t="s">
        <v>1917</v>
      </c>
      <c r="U1868" t="s">
        <v>491</v>
      </c>
      <c r="X1868">
        <v>0</v>
      </c>
    </row>
    <row r="1869" spans="1:24" x14ac:dyDescent="0.25">
      <c r="A1869" s="234">
        <v>42538</v>
      </c>
      <c r="B1869" t="s">
        <v>328</v>
      </c>
      <c r="C1869" t="s">
        <v>603</v>
      </c>
      <c r="D1869" t="s">
        <v>649</v>
      </c>
      <c r="E1869" t="s">
        <v>588</v>
      </c>
      <c r="F1869" t="s">
        <v>2577</v>
      </c>
      <c r="H1869" t="s">
        <v>905</v>
      </c>
      <c r="I1869" t="s">
        <v>2578</v>
      </c>
      <c r="M1869" s="134">
        <v>500000</v>
      </c>
      <c r="N1869" s="134">
        <v>610000</v>
      </c>
      <c r="O1869" t="s">
        <v>695</v>
      </c>
      <c r="P1869" t="s">
        <v>2580</v>
      </c>
      <c r="Q1869" t="s">
        <v>29</v>
      </c>
      <c r="R1869" t="s">
        <v>2581</v>
      </c>
      <c r="U1869" t="s">
        <v>491</v>
      </c>
      <c r="X1869">
        <v>1</v>
      </c>
    </row>
    <row r="1870" spans="1:24" x14ac:dyDescent="0.25">
      <c r="A1870" s="234">
        <v>42745</v>
      </c>
      <c r="B1870" t="s">
        <v>328</v>
      </c>
      <c r="C1870" t="s">
        <v>603</v>
      </c>
      <c r="D1870" t="s">
        <v>2397</v>
      </c>
      <c r="E1870" t="s">
        <v>588</v>
      </c>
      <c r="F1870" t="s">
        <v>5261</v>
      </c>
      <c r="H1870" t="s">
        <v>905</v>
      </c>
      <c r="I1870" t="s">
        <v>5262</v>
      </c>
      <c r="J1870" t="s">
        <v>899</v>
      </c>
      <c r="L1870">
        <v>4</v>
      </c>
      <c r="M1870" s="134">
        <v>500000</v>
      </c>
      <c r="N1870" s="134">
        <v>615000</v>
      </c>
      <c r="O1870" t="s">
        <v>5263</v>
      </c>
      <c r="P1870" t="s">
        <v>5264</v>
      </c>
      <c r="Q1870" t="s">
        <v>1612</v>
      </c>
      <c r="R1870" t="s">
        <v>5568</v>
      </c>
      <c r="U1870" t="s">
        <v>491</v>
      </c>
      <c r="X1870">
        <v>0</v>
      </c>
    </row>
    <row r="1871" spans="1:24" x14ac:dyDescent="0.25">
      <c r="A1871" s="234">
        <v>43300</v>
      </c>
      <c r="B1871" t="s">
        <v>328</v>
      </c>
      <c r="C1871" t="s">
        <v>603</v>
      </c>
      <c r="D1871" t="s">
        <v>649</v>
      </c>
      <c r="E1871" t="s">
        <v>588</v>
      </c>
      <c r="F1871" t="s">
        <v>11860</v>
      </c>
      <c r="G1871" t="s">
        <v>11861</v>
      </c>
      <c r="H1871" t="s">
        <v>607</v>
      </c>
      <c r="J1871" t="s">
        <v>899</v>
      </c>
      <c r="L1871">
        <v>2</v>
      </c>
      <c r="M1871" s="134">
        <v>500000</v>
      </c>
      <c r="N1871" s="134">
        <v>632000</v>
      </c>
      <c r="O1871" t="s">
        <v>4533</v>
      </c>
      <c r="P1871" t="s">
        <v>11862</v>
      </c>
      <c r="Q1871" t="s">
        <v>1939</v>
      </c>
      <c r="R1871" t="s">
        <v>12007</v>
      </c>
      <c r="U1871" t="s">
        <v>1327</v>
      </c>
      <c r="X1871">
        <v>0</v>
      </c>
    </row>
    <row r="1872" spans="1:24" x14ac:dyDescent="0.25">
      <c r="A1872" s="234">
        <v>43328</v>
      </c>
      <c r="B1872" t="s">
        <v>5956</v>
      </c>
      <c r="C1872" t="s">
        <v>3369</v>
      </c>
      <c r="D1872" t="s">
        <v>9234</v>
      </c>
      <c r="E1872" t="s">
        <v>588</v>
      </c>
      <c r="F1872" t="s">
        <v>12368</v>
      </c>
      <c r="G1872" t="s">
        <v>649</v>
      </c>
      <c r="H1872" t="s">
        <v>905</v>
      </c>
      <c r="I1872" t="s">
        <v>12369</v>
      </c>
      <c r="J1872" t="s">
        <v>4825</v>
      </c>
      <c r="M1872" s="134">
        <v>500000</v>
      </c>
      <c r="N1872" s="134">
        <v>650000</v>
      </c>
      <c r="O1872" t="s">
        <v>10765</v>
      </c>
      <c r="P1872" t="s">
        <v>12504</v>
      </c>
      <c r="Q1872" t="s">
        <v>29</v>
      </c>
      <c r="R1872" t="s">
        <v>12370</v>
      </c>
      <c r="U1872" t="s">
        <v>1327</v>
      </c>
      <c r="X1872">
        <v>1</v>
      </c>
    </row>
    <row r="1873" spans="1:24" x14ac:dyDescent="0.25">
      <c r="A1873" s="234">
        <v>43503</v>
      </c>
      <c r="B1873" t="s">
        <v>5473</v>
      </c>
      <c r="C1873" t="s">
        <v>608</v>
      </c>
      <c r="D1873" t="s">
        <v>11795</v>
      </c>
      <c r="F1873" t="s">
        <v>5096</v>
      </c>
      <c r="G1873" t="s">
        <v>11933</v>
      </c>
      <c r="H1873" t="s">
        <v>2510</v>
      </c>
      <c r="I1873" t="s">
        <v>3809</v>
      </c>
      <c r="J1873" t="s">
        <v>608</v>
      </c>
      <c r="K1873" t="s">
        <v>14304</v>
      </c>
      <c r="L1873">
        <v>1</v>
      </c>
      <c r="M1873" s="134">
        <v>500000</v>
      </c>
      <c r="N1873" s="134">
        <v>750000</v>
      </c>
      <c r="O1873" t="s">
        <v>560</v>
      </c>
      <c r="P1873" t="s">
        <v>14305</v>
      </c>
      <c r="Q1873" t="s">
        <v>592</v>
      </c>
      <c r="R1873" t="s">
        <v>14306</v>
      </c>
      <c r="U1873" t="s">
        <v>491</v>
      </c>
      <c r="X1873">
        <v>0</v>
      </c>
    </row>
    <row r="1874" spans="1:24" x14ac:dyDescent="0.25">
      <c r="A1874" s="234">
        <v>43384</v>
      </c>
      <c r="B1874" t="s">
        <v>569</v>
      </c>
      <c r="C1874" t="s">
        <v>899</v>
      </c>
      <c r="D1874" t="s">
        <v>624</v>
      </c>
      <c r="E1874" t="s">
        <v>588</v>
      </c>
      <c r="F1874" t="s">
        <v>12888</v>
      </c>
      <c r="G1874" t="s">
        <v>10156</v>
      </c>
      <c r="H1874" t="s">
        <v>607</v>
      </c>
      <c r="I1874" t="s">
        <v>12889</v>
      </c>
      <c r="J1874" t="s">
        <v>899</v>
      </c>
      <c r="L1874">
        <v>3</v>
      </c>
      <c r="M1874" s="134">
        <v>500000</v>
      </c>
      <c r="N1874" s="134">
        <v>750000</v>
      </c>
      <c r="O1874" t="s">
        <v>10766</v>
      </c>
      <c r="P1874" t="s">
        <v>12890</v>
      </c>
      <c r="Q1874" t="s">
        <v>1939</v>
      </c>
      <c r="R1874" t="s">
        <v>12891</v>
      </c>
      <c r="U1874" t="s">
        <v>12797</v>
      </c>
      <c r="X1874">
        <v>0</v>
      </c>
    </row>
    <row r="1875" spans="1:24" x14ac:dyDescent="0.25">
      <c r="A1875" s="234">
        <v>42768</v>
      </c>
      <c r="B1875" t="s">
        <v>328</v>
      </c>
      <c r="C1875" t="s">
        <v>603</v>
      </c>
      <c r="D1875" t="s">
        <v>1401</v>
      </c>
      <c r="E1875" t="s">
        <v>588</v>
      </c>
      <c r="F1875" t="s">
        <v>5589</v>
      </c>
      <c r="H1875" t="s">
        <v>905</v>
      </c>
      <c r="I1875" t="s">
        <v>2054</v>
      </c>
      <c r="J1875" t="s">
        <v>899</v>
      </c>
      <c r="M1875" s="134">
        <v>500000</v>
      </c>
      <c r="N1875" s="134">
        <v>750000</v>
      </c>
      <c r="O1875" t="s">
        <v>695</v>
      </c>
      <c r="P1875" t="s">
        <v>5590</v>
      </c>
      <c r="Q1875" t="s">
        <v>592</v>
      </c>
      <c r="U1875" t="s">
        <v>491</v>
      </c>
      <c r="X1875">
        <v>0</v>
      </c>
    </row>
    <row r="1876" spans="1:24" x14ac:dyDescent="0.25">
      <c r="A1876" s="234">
        <v>42551</v>
      </c>
      <c r="B1876" t="s">
        <v>328</v>
      </c>
      <c r="C1876" t="s">
        <v>603</v>
      </c>
      <c r="D1876" t="s">
        <v>1471</v>
      </c>
      <c r="E1876" t="s">
        <v>588</v>
      </c>
      <c r="F1876" t="s">
        <v>2729</v>
      </c>
      <c r="H1876" t="s">
        <v>607</v>
      </c>
      <c r="I1876" t="s">
        <v>2730</v>
      </c>
      <c r="M1876" s="134">
        <v>500000</v>
      </c>
      <c r="N1876" s="134">
        <v>755000</v>
      </c>
      <c r="O1876" t="s">
        <v>2731</v>
      </c>
      <c r="P1876" t="s">
        <v>2733</v>
      </c>
      <c r="Q1876" t="s">
        <v>620</v>
      </c>
      <c r="R1876" t="s">
        <v>2732</v>
      </c>
      <c r="U1876" t="s">
        <v>491</v>
      </c>
      <c r="X1876">
        <v>0</v>
      </c>
    </row>
    <row r="1877" spans="1:24" x14ac:dyDescent="0.25">
      <c r="A1877" s="234">
        <v>42479</v>
      </c>
      <c r="B1877" t="s">
        <v>328</v>
      </c>
      <c r="C1877" t="s">
        <v>603</v>
      </c>
      <c r="D1877" t="s">
        <v>649</v>
      </c>
      <c r="E1877" t="s">
        <v>588</v>
      </c>
      <c r="F1877" t="s">
        <v>1724</v>
      </c>
      <c r="H1877" t="s">
        <v>905</v>
      </c>
      <c r="I1877" t="s">
        <v>1725</v>
      </c>
      <c r="M1877" s="134">
        <v>500000</v>
      </c>
      <c r="N1877" s="134">
        <v>780000</v>
      </c>
      <c r="O1877" t="s">
        <v>1705</v>
      </c>
      <c r="P1877" t="s">
        <v>1726</v>
      </c>
      <c r="Q1877" t="s">
        <v>592</v>
      </c>
      <c r="R1877" t="s">
        <v>1727</v>
      </c>
      <c r="U1877" t="s">
        <v>491</v>
      </c>
      <c r="X1877">
        <v>0</v>
      </c>
    </row>
    <row r="1878" spans="1:24" x14ac:dyDescent="0.25">
      <c r="A1878" s="234">
        <v>43601</v>
      </c>
      <c r="B1878" t="s">
        <v>643</v>
      </c>
      <c r="C1878" t="s">
        <v>644</v>
      </c>
      <c r="D1878" t="s">
        <v>645</v>
      </c>
      <c r="F1878" t="s">
        <v>10173</v>
      </c>
      <c r="G1878" t="s">
        <v>15623</v>
      </c>
      <c r="H1878" t="s">
        <v>2510</v>
      </c>
      <c r="I1878" t="s">
        <v>5212</v>
      </c>
      <c r="J1878" t="s">
        <v>644</v>
      </c>
      <c r="K1878" t="s">
        <v>15529</v>
      </c>
      <c r="L1878">
        <v>1</v>
      </c>
      <c r="M1878" s="134">
        <v>500000</v>
      </c>
      <c r="N1878" s="134">
        <v>820000</v>
      </c>
      <c r="O1878" t="s">
        <v>10766</v>
      </c>
      <c r="P1878" t="s">
        <v>15624</v>
      </c>
      <c r="Q1878" t="s">
        <v>1939</v>
      </c>
      <c r="R1878" t="s">
        <v>15625</v>
      </c>
      <c r="S1878" t="s">
        <v>15626</v>
      </c>
      <c r="U1878" t="s">
        <v>491</v>
      </c>
      <c r="X1878">
        <v>0</v>
      </c>
    </row>
    <row r="1879" spans="1:24" x14ac:dyDescent="0.25">
      <c r="A1879" s="234">
        <v>42437</v>
      </c>
      <c r="B1879" t="s">
        <v>110</v>
      </c>
      <c r="D1879" t="s">
        <v>715</v>
      </c>
      <c r="E1879" t="s">
        <v>588</v>
      </c>
      <c r="F1879" t="s">
        <v>1251</v>
      </c>
      <c r="H1879" t="s">
        <v>722</v>
      </c>
      <c r="I1879" t="s">
        <v>1253</v>
      </c>
      <c r="M1879" s="134">
        <v>500000</v>
      </c>
      <c r="N1879" s="134">
        <v>850000</v>
      </c>
      <c r="O1879" t="s">
        <v>764</v>
      </c>
      <c r="P1879" t="s">
        <v>1254</v>
      </c>
      <c r="Q1879" t="s">
        <v>592</v>
      </c>
      <c r="R1879" t="s">
        <v>1255</v>
      </c>
      <c r="U1879" t="s">
        <v>491</v>
      </c>
      <c r="X1879">
        <v>0</v>
      </c>
    </row>
    <row r="1880" spans="1:24" x14ac:dyDescent="0.25">
      <c r="A1880" s="234">
        <v>42380</v>
      </c>
      <c r="B1880" t="s">
        <v>378</v>
      </c>
      <c r="C1880" t="s">
        <v>623</v>
      </c>
      <c r="D1880" t="s">
        <v>624</v>
      </c>
      <c r="E1880" t="s">
        <v>588</v>
      </c>
      <c r="F1880" t="s">
        <v>684</v>
      </c>
      <c r="H1880" t="s">
        <v>607</v>
      </c>
      <c r="I1880" t="s">
        <v>685</v>
      </c>
      <c r="M1880" s="134">
        <v>500000</v>
      </c>
      <c r="N1880" s="134">
        <v>900000</v>
      </c>
      <c r="O1880" t="s">
        <v>686</v>
      </c>
      <c r="P1880" t="s">
        <v>687</v>
      </c>
      <c r="Q1880" t="s">
        <v>592</v>
      </c>
      <c r="R1880" t="s">
        <v>1184</v>
      </c>
      <c r="U1880" t="s">
        <v>491</v>
      </c>
      <c r="X1880">
        <v>0</v>
      </c>
    </row>
    <row r="1881" spans="1:24" x14ac:dyDescent="0.25">
      <c r="A1881" s="234">
        <v>42459</v>
      </c>
      <c r="B1881" t="s">
        <v>328</v>
      </c>
      <c r="C1881" t="s">
        <v>603</v>
      </c>
      <c r="D1881" t="s">
        <v>1401</v>
      </c>
      <c r="E1881" t="s">
        <v>588</v>
      </c>
      <c r="F1881" t="s">
        <v>1443</v>
      </c>
      <c r="H1881" t="s">
        <v>607</v>
      </c>
      <c r="I1881" t="s">
        <v>802</v>
      </c>
      <c r="M1881" s="134">
        <v>500000</v>
      </c>
      <c r="N1881" s="134">
        <v>900000</v>
      </c>
      <c r="O1881" t="s">
        <v>695</v>
      </c>
      <c r="P1881" t="s">
        <v>1478</v>
      </c>
      <c r="Q1881" t="s">
        <v>592</v>
      </c>
      <c r="R1881" t="s">
        <v>1477</v>
      </c>
      <c r="U1881" t="s">
        <v>491</v>
      </c>
      <c r="X1881">
        <v>0</v>
      </c>
    </row>
    <row r="1882" spans="1:24" x14ac:dyDescent="0.25">
      <c r="A1882" s="234">
        <v>42576</v>
      </c>
      <c r="B1882" t="s">
        <v>1788</v>
      </c>
      <c r="D1882" t="s">
        <v>3013</v>
      </c>
      <c r="E1882" t="s">
        <v>588</v>
      </c>
      <c r="F1882" t="s">
        <v>3014</v>
      </c>
      <c r="H1882" t="s">
        <v>607</v>
      </c>
      <c r="I1882" t="s">
        <v>3015</v>
      </c>
      <c r="M1882" s="134">
        <v>500000</v>
      </c>
      <c r="N1882" s="134">
        <v>900000</v>
      </c>
      <c r="O1882" t="s">
        <v>1581</v>
      </c>
      <c r="P1882" t="s">
        <v>3016</v>
      </c>
      <c r="Q1882" t="s">
        <v>29</v>
      </c>
      <c r="R1882" t="s">
        <v>3017</v>
      </c>
      <c r="U1882" t="s">
        <v>491</v>
      </c>
      <c r="X1882">
        <v>1</v>
      </c>
    </row>
    <row r="1883" spans="1:24" x14ac:dyDescent="0.25">
      <c r="A1883" s="234">
        <v>43619</v>
      </c>
      <c r="B1883" t="s">
        <v>328</v>
      </c>
      <c r="C1883" t="s">
        <v>603</v>
      </c>
      <c r="D1883" t="s">
        <v>1401</v>
      </c>
      <c r="F1883" t="s">
        <v>15839</v>
      </c>
      <c r="G1883" t="s">
        <v>15840</v>
      </c>
      <c r="H1883" t="s">
        <v>607</v>
      </c>
      <c r="I1883" t="s">
        <v>15841</v>
      </c>
      <c r="J1883" t="s">
        <v>3374</v>
      </c>
      <c r="K1883" t="s">
        <v>15842</v>
      </c>
      <c r="M1883" s="134">
        <v>500000</v>
      </c>
      <c r="N1883" s="134">
        <v>910000</v>
      </c>
      <c r="O1883" t="s">
        <v>4533</v>
      </c>
      <c r="P1883" t="s">
        <v>15843</v>
      </c>
      <c r="Q1883" t="s">
        <v>29</v>
      </c>
      <c r="R1883" t="s">
        <v>15844</v>
      </c>
      <c r="U1883" t="s">
        <v>491</v>
      </c>
      <c r="X1883">
        <v>1</v>
      </c>
    </row>
    <row r="1884" spans="1:24" x14ac:dyDescent="0.25">
      <c r="A1884" s="234">
        <v>43544</v>
      </c>
      <c r="B1884" t="s">
        <v>9240</v>
      </c>
      <c r="C1884" t="s">
        <v>603</v>
      </c>
      <c r="D1884" t="s">
        <v>9241</v>
      </c>
      <c r="F1884" t="s">
        <v>11555</v>
      </c>
      <c r="G1884" t="s">
        <v>10569</v>
      </c>
      <c r="H1884" t="s">
        <v>607</v>
      </c>
      <c r="I1884" t="s">
        <v>14766</v>
      </c>
      <c r="J1884" t="s">
        <v>602</v>
      </c>
      <c r="K1884" t="s">
        <v>14412</v>
      </c>
      <c r="L1884">
        <v>5</v>
      </c>
      <c r="M1884" s="134">
        <v>500000</v>
      </c>
      <c r="N1884" s="134">
        <v>1000000</v>
      </c>
      <c r="O1884" t="s">
        <v>10763</v>
      </c>
      <c r="P1884" t="s">
        <v>14767</v>
      </c>
      <c r="Q1884" t="s">
        <v>29</v>
      </c>
      <c r="R1884" t="s">
        <v>14768</v>
      </c>
      <c r="U1884" t="s">
        <v>491</v>
      </c>
      <c r="X1884">
        <v>1</v>
      </c>
    </row>
    <row r="1885" spans="1:24" x14ac:dyDescent="0.25">
      <c r="A1885" s="234">
        <v>43193</v>
      </c>
      <c r="B1885" t="s">
        <v>328</v>
      </c>
      <c r="C1885" t="s">
        <v>603</v>
      </c>
      <c r="D1885" t="s">
        <v>7595</v>
      </c>
      <c r="E1885" t="s">
        <v>588</v>
      </c>
      <c r="F1885" t="s">
        <v>3975</v>
      </c>
      <c r="G1885" t="s">
        <v>10773</v>
      </c>
      <c r="H1885" t="s">
        <v>10831</v>
      </c>
      <c r="I1885" t="s">
        <v>7662</v>
      </c>
      <c r="J1885" t="s">
        <v>3533</v>
      </c>
      <c r="L1885">
        <v>10</v>
      </c>
      <c r="M1885" s="134">
        <v>500000</v>
      </c>
      <c r="N1885" s="134">
        <v>1000000</v>
      </c>
      <c r="O1885" t="s">
        <v>7124</v>
      </c>
      <c r="P1885" t="s">
        <v>10772</v>
      </c>
      <c r="Q1885" t="s">
        <v>1939</v>
      </c>
      <c r="R1885" t="s">
        <v>10771</v>
      </c>
      <c r="U1885" t="s">
        <v>1327</v>
      </c>
      <c r="X1885">
        <v>0</v>
      </c>
    </row>
    <row r="1886" spans="1:24" x14ac:dyDescent="0.25">
      <c r="A1886" s="234">
        <v>43068</v>
      </c>
      <c r="B1886" t="s">
        <v>569</v>
      </c>
      <c r="C1886" t="s">
        <v>899</v>
      </c>
      <c r="D1886" t="s">
        <v>625</v>
      </c>
      <c r="E1886" t="s">
        <v>588</v>
      </c>
      <c r="F1886" t="s">
        <v>9570</v>
      </c>
      <c r="G1886" t="s">
        <v>9571</v>
      </c>
      <c r="H1886" t="s">
        <v>607</v>
      </c>
      <c r="I1886" t="s">
        <v>3956</v>
      </c>
      <c r="J1886" t="s">
        <v>899</v>
      </c>
      <c r="L1886">
        <v>5</v>
      </c>
      <c r="M1886" s="134">
        <v>500000</v>
      </c>
      <c r="N1886" s="134">
        <v>1000000</v>
      </c>
      <c r="O1886" t="s">
        <v>1844</v>
      </c>
      <c r="P1886" t="s">
        <v>9572</v>
      </c>
      <c r="Q1886" t="s">
        <v>1939</v>
      </c>
      <c r="R1886" t="s">
        <v>9573</v>
      </c>
      <c r="U1886" t="s">
        <v>491</v>
      </c>
      <c r="X1886">
        <v>0</v>
      </c>
    </row>
    <row r="1887" spans="1:24" x14ac:dyDescent="0.25">
      <c r="A1887" s="234">
        <v>42717</v>
      </c>
      <c r="B1887" t="s">
        <v>378</v>
      </c>
      <c r="C1887" t="s">
        <v>623</v>
      </c>
      <c r="D1887" t="s">
        <v>625</v>
      </c>
      <c r="E1887" t="s">
        <v>588</v>
      </c>
      <c r="F1887" t="s">
        <v>5004</v>
      </c>
      <c r="H1887" t="s">
        <v>607</v>
      </c>
      <c r="I1887" t="s">
        <v>2054</v>
      </c>
      <c r="J1887" t="s">
        <v>899</v>
      </c>
      <c r="M1887" s="134">
        <v>500225</v>
      </c>
      <c r="N1887" s="134">
        <v>892225</v>
      </c>
      <c r="O1887" t="s">
        <v>4104</v>
      </c>
      <c r="P1887" t="s">
        <v>5005</v>
      </c>
      <c r="Q1887" t="s">
        <v>1939</v>
      </c>
      <c r="R1887" t="s">
        <v>5006</v>
      </c>
      <c r="X1887">
        <v>0</v>
      </c>
    </row>
    <row r="1888" spans="1:24" x14ac:dyDescent="0.25">
      <c r="A1888" s="234">
        <v>43497</v>
      </c>
      <c r="B1888" t="s">
        <v>569</v>
      </c>
      <c r="C1888" t="s">
        <v>899</v>
      </c>
      <c r="D1888" t="s">
        <v>625</v>
      </c>
      <c r="F1888" t="s">
        <v>14158</v>
      </c>
      <c r="G1888" t="s">
        <v>14159</v>
      </c>
      <c r="H1888" t="s">
        <v>607</v>
      </c>
      <c r="I1888" t="s">
        <v>14160</v>
      </c>
      <c r="J1888" t="s">
        <v>899</v>
      </c>
      <c r="K1888" t="s">
        <v>14161</v>
      </c>
      <c r="M1888" s="134">
        <v>501000</v>
      </c>
      <c r="N1888" s="134">
        <v>701100</v>
      </c>
      <c r="O1888" t="s">
        <v>10766</v>
      </c>
      <c r="P1888" t="s">
        <v>14162</v>
      </c>
      <c r="Q1888" t="s">
        <v>1612</v>
      </c>
      <c r="R1888" t="s">
        <v>14262</v>
      </c>
      <c r="U1888" t="s">
        <v>491</v>
      </c>
      <c r="X1888">
        <v>0</v>
      </c>
    </row>
    <row r="1889" spans="1:24" x14ac:dyDescent="0.25">
      <c r="A1889" s="234">
        <v>43098</v>
      </c>
      <c r="B1889" t="s">
        <v>328</v>
      </c>
      <c r="C1889" t="s">
        <v>603</v>
      </c>
      <c r="D1889" t="s">
        <v>649</v>
      </c>
      <c r="E1889" t="s">
        <v>588</v>
      </c>
      <c r="F1889" t="s">
        <v>9914</v>
      </c>
      <c r="G1889" t="s">
        <v>9915</v>
      </c>
      <c r="H1889" t="s">
        <v>607</v>
      </c>
      <c r="I1889" t="s">
        <v>9916</v>
      </c>
      <c r="J1889" t="s">
        <v>959</v>
      </c>
      <c r="L1889">
        <v>2</v>
      </c>
      <c r="M1889" s="134">
        <v>501000</v>
      </c>
      <c r="N1889" s="134">
        <v>1100000</v>
      </c>
      <c r="O1889" t="s">
        <v>3952</v>
      </c>
      <c r="P1889" t="s">
        <v>9917</v>
      </c>
      <c r="Q1889" t="s">
        <v>1939</v>
      </c>
      <c r="R1889" t="s">
        <v>9918</v>
      </c>
      <c r="U1889" t="s">
        <v>491</v>
      </c>
      <c r="X1889">
        <v>0</v>
      </c>
    </row>
    <row r="1890" spans="1:24" x14ac:dyDescent="0.25">
      <c r="A1890" s="234">
        <v>42837</v>
      </c>
      <c r="B1890" t="s">
        <v>569</v>
      </c>
      <c r="D1890" t="s">
        <v>625</v>
      </c>
      <c r="E1890" t="s">
        <v>588</v>
      </c>
      <c r="F1890" t="s">
        <v>6382</v>
      </c>
      <c r="H1890" t="s">
        <v>607</v>
      </c>
      <c r="I1890" t="s">
        <v>6383</v>
      </c>
      <c r="J1890" t="s">
        <v>899</v>
      </c>
      <c r="L1890" t="s">
        <v>833</v>
      </c>
      <c r="M1890" s="134">
        <v>502000</v>
      </c>
      <c r="N1890" s="134">
        <v>652000</v>
      </c>
      <c r="O1890" t="s">
        <v>639</v>
      </c>
      <c r="P1890" t="s">
        <v>6384</v>
      </c>
      <c r="Q1890" t="s">
        <v>592</v>
      </c>
      <c r="R1890" t="s">
        <v>6385</v>
      </c>
      <c r="U1890" t="s">
        <v>491</v>
      </c>
      <c r="X1890">
        <v>0</v>
      </c>
    </row>
    <row r="1891" spans="1:24" x14ac:dyDescent="0.25">
      <c r="A1891" s="234">
        <v>43531</v>
      </c>
      <c r="B1891" t="s">
        <v>328</v>
      </c>
      <c r="C1891" t="s">
        <v>603</v>
      </c>
      <c r="D1891" t="s">
        <v>10705</v>
      </c>
      <c r="F1891" t="s">
        <v>1027</v>
      </c>
      <c r="G1891" t="s">
        <v>13499</v>
      </c>
      <c r="H1891" t="s">
        <v>607</v>
      </c>
      <c r="I1891" t="s">
        <v>2054</v>
      </c>
      <c r="J1891" t="s">
        <v>899</v>
      </c>
      <c r="K1891" t="s">
        <v>14012</v>
      </c>
      <c r="L1891">
        <v>1</v>
      </c>
      <c r="M1891" s="134">
        <v>504000</v>
      </c>
      <c r="N1891" s="134">
        <v>869400</v>
      </c>
      <c r="O1891" t="s">
        <v>7564</v>
      </c>
      <c r="P1891" t="s">
        <v>14650</v>
      </c>
      <c r="Q1891" t="s">
        <v>592</v>
      </c>
      <c r="R1891" t="s">
        <v>14651</v>
      </c>
      <c r="U1891" t="s">
        <v>12797</v>
      </c>
      <c r="X1891">
        <v>0</v>
      </c>
    </row>
    <row r="1892" spans="1:24" x14ac:dyDescent="0.25">
      <c r="A1892" s="234">
        <v>43102</v>
      </c>
      <c r="B1892" t="s">
        <v>569</v>
      </c>
      <c r="C1892" t="s">
        <v>899</v>
      </c>
      <c r="D1892" t="s">
        <v>625</v>
      </c>
      <c r="E1892" t="s">
        <v>588</v>
      </c>
      <c r="F1892" t="s">
        <v>8966</v>
      </c>
      <c r="H1892" t="s">
        <v>905</v>
      </c>
      <c r="I1892" t="s">
        <v>3557</v>
      </c>
      <c r="J1892" t="s">
        <v>899</v>
      </c>
      <c r="M1892" s="134">
        <v>505000</v>
      </c>
      <c r="N1892" s="134">
        <v>0</v>
      </c>
      <c r="O1892" t="s">
        <v>10762</v>
      </c>
      <c r="P1892" t="s">
        <v>10191</v>
      </c>
      <c r="Q1892" t="s">
        <v>29</v>
      </c>
      <c r="R1892" t="s">
        <v>10192</v>
      </c>
      <c r="U1892" t="s">
        <v>491</v>
      </c>
      <c r="X1892">
        <v>1</v>
      </c>
    </row>
    <row r="1893" spans="1:24" x14ac:dyDescent="0.25">
      <c r="A1893" s="234">
        <v>43494</v>
      </c>
      <c r="B1893" t="s">
        <v>5176</v>
      </c>
      <c r="C1893" t="s">
        <v>959</v>
      </c>
      <c r="D1893" t="s">
        <v>732</v>
      </c>
      <c r="F1893" t="s">
        <v>6688</v>
      </c>
      <c r="G1893" t="s">
        <v>10967</v>
      </c>
      <c r="H1893" t="s">
        <v>809</v>
      </c>
      <c r="I1893" t="s">
        <v>14130</v>
      </c>
      <c r="J1893" t="s">
        <v>4684</v>
      </c>
      <c r="K1893" t="s">
        <v>14131</v>
      </c>
      <c r="M1893" s="134">
        <v>505000</v>
      </c>
      <c r="N1893" s="134">
        <v>555000</v>
      </c>
      <c r="O1893" t="s">
        <v>10762</v>
      </c>
      <c r="P1893" t="s">
        <v>14132</v>
      </c>
      <c r="Q1893" t="s">
        <v>29</v>
      </c>
      <c r="R1893" t="s">
        <v>14133</v>
      </c>
      <c r="U1893" t="s">
        <v>491</v>
      </c>
      <c r="X1893">
        <v>1</v>
      </c>
    </row>
    <row r="1894" spans="1:24" x14ac:dyDescent="0.25">
      <c r="A1894" s="234">
        <v>43090</v>
      </c>
      <c r="B1894" t="s">
        <v>328</v>
      </c>
      <c r="C1894" t="s">
        <v>603</v>
      </c>
      <c r="D1894" t="s">
        <v>649</v>
      </c>
      <c r="E1894" t="s">
        <v>588</v>
      </c>
      <c r="F1894" t="s">
        <v>9821</v>
      </c>
      <c r="G1894" t="s">
        <v>8941</v>
      </c>
      <c r="H1894" t="s">
        <v>607</v>
      </c>
      <c r="I1894" t="s">
        <v>7073</v>
      </c>
      <c r="J1894" t="s">
        <v>899</v>
      </c>
      <c r="L1894">
        <v>4</v>
      </c>
      <c r="M1894" s="134">
        <v>505000</v>
      </c>
      <c r="N1894" s="134">
        <v>1220000</v>
      </c>
      <c r="O1894" t="s">
        <v>9822</v>
      </c>
      <c r="P1894" t="s">
        <v>9872</v>
      </c>
      <c r="Q1894" t="s">
        <v>1612</v>
      </c>
      <c r="R1894" t="s">
        <v>9873</v>
      </c>
      <c r="U1894" t="s">
        <v>491</v>
      </c>
      <c r="X1894">
        <v>0</v>
      </c>
    </row>
    <row r="1895" spans="1:24" x14ac:dyDescent="0.25">
      <c r="A1895" s="234">
        <v>42877</v>
      </c>
      <c r="B1895" t="s">
        <v>569</v>
      </c>
      <c r="C1895" t="s">
        <v>899</v>
      </c>
      <c r="D1895" t="s">
        <v>625</v>
      </c>
      <c r="E1895" t="s">
        <v>588</v>
      </c>
      <c r="F1895" t="s">
        <v>6858</v>
      </c>
      <c r="H1895" t="s">
        <v>607</v>
      </c>
      <c r="I1895" t="s">
        <v>6857</v>
      </c>
      <c r="J1895" t="s">
        <v>899</v>
      </c>
      <c r="L1895">
        <v>2</v>
      </c>
      <c r="M1895" s="134">
        <v>506000</v>
      </c>
      <c r="N1895" s="134">
        <v>806600</v>
      </c>
      <c r="O1895" t="s">
        <v>6856</v>
      </c>
      <c r="P1895" t="s">
        <v>6855</v>
      </c>
      <c r="Q1895" t="s">
        <v>1939</v>
      </c>
      <c r="R1895" t="s">
        <v>6854</v>
      </c>
      <c r="U1895" t="s">
        <v>1327</v>
      </c>
      <c r="X1895">
        <v>0</v>
      </c>
    </row>
    <row r="1896" spans="1:24" x14ac:dyDescent="0.25">
      <c r="A1896" s="234">
        <v>43202</v>
      </c>
      <c r="B1896" t="s">
        <v>328</v>
      </c>
      <c r="C1896" t="s">
        <v>603</v>
      </c>
      <c r="D1896" t="s">
        <v>649</v>
      </c>
      <c r="E1896" t="s">
        <v>588</v>
      </c>
      <c r="F1896" t="s">
        <v>10902</v>
      </c>
      <c r="G1896" t="s">
        <v>10903</v>
      </c>
      <c r="H1896" t="s">
        <v>607</v>
      </c>
      <c r="I1896" t="s">
        <v>10904</v>
      </c>
      <c r="J1896" t="s">
        <v>3371</v>
      </c>
      <c r="L1896">
        <v>6</v>
      </c>
      <c r="M1896" s="134">
        <v>509000</v>
      </c>
      <c r="N1896" s="134">
        <v>1100000</v>
      </c>
      <c r="O1896" t="s">
        <v>4533</v>
      </c>
      <c r="P1896" t="s">
        <v>10905</v>
      </c>
      <c r="Q1896" t="s">
        <v>592</v>
      </c>
      <c r="R1896" t="s">
        <v>10906</v>
      </c>
      <c r="U1896" t="s">
        <v>491</v>
      </c>
      <c r="X1896">
        <v>0</v>
      </c>
    </row>
    <row r="1897" spans="1:24" x14ac:dyDescent="0.25">
      <c r="A1897" s="234">
        <v>42972</v>
      </c>
      <c r="B1897" t="s">
        <v>328</v>
      </c>
      <c r="C1897" t="s">
        <v>603</v>
      </c>
      <c r="D1897" t="s">
        <v>649</v>
      </c>
      <c r="E1897" t="s">
        <v>588</v>
      </c>
      <c r="F1897" t="s">
        <v>8312</v>
      </c>
      <c r="G1897" t="s">
        <v>8313</v>
      </c>
      <c r="H1897" t="s">
        <v>4261</v>
      </c>
      <c r="I1897" t="s">
        <v>8314</v>
      </c>
      <c r="J1897" t="s">
        <v>3398</v>
      </c>
      <c r="L1897">
        <v>5</v>
      </c>
      <c r="M1897" s="134">
        <v>510000</v>
      </c>
      <c r="N1897" s="134">
        <v>711000</v>
      </c>
      <c r="O1897" t="s">
        <v>3952</v>
      </c>
      <c r="P1897" t="s">
        <v>8315</v>
      </c>
      <c r="Q1897" t="s">
        <v>1939</v>
      </c>
      <c r="R1897" t="s">
        <v>8316</v>
      </c>
      <c r="T1897">
        <v>23</v>
      </c>
      <c r="U1897" t="s">
        <v>491</v>
      </c>
      <c r="X1897">
        <v>0</v>
      </c>
    </row>
    <row r="1898" spans="1:24" x14ac:dyDescent="0.25">
      <c r="A1898" s="234">
        <v>43452</v>
      </c>
      <c r="B1898" t="s">
        <v>328</v>
      </c>
      <c r="C1898" t="s">
        <v>603</v>
      </c>
      <c r="D1898" t="s">
        <v>7595</v>
      </c>
      <c r="F1898" t="s">
        <v>12020</v>
      </c>
      <c r="G1898" t="s">
        <v>10705</v>
      </c>
      <c r="H1898" t="s">
        <v>10831</v>
      </c>
      <c r="I1898" t="s">
        <v>6979</v>
      </c>
      <c r="J1898" t="s">
        <v>603</v>
      </c>
      <c r="K1898" t="s">
        <v>13671</v>
      </c>
      <c r="L1898">
        <v>3</v>
      </c>
      <c r="M1898" s="134">
        <v>510000</v>
      </c>
      <c r="N1898" s="134">
        <v>911000</v>
      </c>
      <c r="O1898" t="s">
        <v>7564</v>
      </c>
      <c r="P1898" t="s">
        <v>13762</v>
      </c>
      <c r="Q1898" t="s">
        <v>29</v>
      </c>
      <c r="R1898" t="s">
        <v>13672</v>
      </c>
      <c r="U1898" t="s">
        <v>12797</v>
      </c>
      <c r="X1898">
        <v>1</v>
      </c>
    </row>
    <row r="1899" spans="1:24" x14ac:dyDescent="0.25">
      <c r="A1899" s="234">
        <v>42464</v>
      </c>
      <c r="B1899" t="s">
        <v>328</v>
      </c>
      <c r="C1899" t="s">
        <v>603</v>
      </c>
      <c r="D1899" t="s">
        <v>1401</v>
      </c>
      <c r="E1899" t="s">
        <v>588</v>
      </c>
      <c r="F1899" t="s">
        <v>1665</v>
      </c>
      <c r="H1899" t="s">
        <v>809</v>
      </c>
      <c r="I1899" t="s">
        <v>1527</v>
      </c>
      <c r="M1899" s="134">
        <v>510000</v>
      </c>
      <c r="N1899" s="134">
        <v>969000</v>
      </c>
      <c r="O1899" t="s">
        <v>1524</v>
      </c>
      <c r="P1899" t="s">
        <v>1666</v>
      </c>
      <c r="Q1899" t="s">
        <v>1612</v>
      </c>
      <c r="R1899" t="s">
        <v>1667</v>
      </c>
      <c r="U1899" t="s">
        <v>491</v>
      </c>
      <c r="X1899">
        <v>0</v>
      </c>
    </row>
    <row r="1900" spans="1:24" x14ac:dyDescent="0.25">
      <c r="A1900" s="234">
        <v>43586</v>
      </c>
      <c r="B1900" t="s">
        <v>328</v>
      </c>
      <c r="C1900" t="s">
        <v>603</v>
      </c>
      <c r="D1900" t="s">
        <v>10338</v>
      </c>
      <c r="F1900" t="s">
        <v>15314</v>
      </c>
      <c r="G1900" t="s">
        <v>12341</v>
      </c>
      <c r="H1900" t="s">
        <v>607</v>
      </c>
      <c r="I1900" t="s">
        <v>9318</v>
      </c>
      <c r="J1900" t="s">
        <v>3751</v>
      </c>
      <c r="K1900" t="s">
        <v>15315</v>
      </c>
      <c r="L1900">
        <v>2</v>
      </c>
      <c r="M1900" s="134">
        <v>511100</v>
      </c>
      <c r="N1900" s="134">
        <v>919800</v>
      </c>
      <c r="O1900" t="s">
        <v>10766</v>
      </c>
      <c r="P1900" t="s">
        <v>15316</v>
      </c>
      <c r="Q1900" t="s">
        <v>592</v>
      </c>
      <c r="R1900" t="s">
        <v>15901</v>
      </c>
      <c r="S1900" t="s">
        <v>15317</v>
      </c>
      <c r="U1900" t="s">
        <v>491</v>
      </c>
      <c r="X1900">
        <v>0</v>
      </c>
    </row>
    <row r="1901" spans="1:24" x14ac:dyDescent="0.25">
      <c r="A1901" s="234">
        <v>42467</v>
      </c>
      <c r="B1901" t="s">
        <v>1486</v>
      </c>
      <c r="C1901" t="s">
        <v>604</v>
      </c>
      <c r="D1901" t="s">
        <v>727</v>
      </c>
      <c r="E1901" t="s">
        <v>588</v>
      </c>
      <c r="F1901" t="s">
        <v>1592</v>
      </c>
      <c r="H1901" t="s">
        <v>607</v>
      </c>
      <c r="I1901" t="s">
        <v>1593</v>
      </c>
      <c r="M1901" s="134">
        <v>511200</v>
      </c>
      <c r="N1901" s="134">
        <v>621200</v>
      </c>
      <c r="O1901" t="s">
        <v>1594</v>
      </c>
      <c r="P1901" t="s">
        <v>1595</v>
      </c>
      <c r="Q1901" t="s">
        <v>1612</v>
      </c>
      <c r="R1901" t="s">
        <v>1605</v>
      </c>
      <c r="U1901" t="s">
        <v>1328</v>
      </c>
      <c r="X1901">
        <v>0</v>
      </c>
    </row>
    <row r="1902" spans="1:24" x14ac:dyDescent="0.25">
      <c r="A1902" s="234">
        <v>43476</v>
      </c>
      <c r="B1902" t="s">
        <v>569</v>
      </c>
      <c r="C1902" t="s">
        <v>899</v>
      </c>
      <c r="D1902" t="s">
        <v>1070</v>
      </c>
      <c r="F1902" t="s">
        <v>6360</v>
      </c>
      <c r="G1902" t="s">
        <v>13963</v>
      </c>
      <c r="H1902" t="s">
        <v>607</v>
      </c>
      <c r="I1902" t="s">
        <v>6587</v>
      </c>
      <c r="J1902" t="s">
        <v>899</v>
      </c>
      <c r="K1902" t="s">
        <v>13964</v>
      </c>
      <c r="L1902">
        <v>5</v>
      </c>
      <c r="M1902" s="134">
        <v>511877</v>
      </c>
      <c r="N1902" s="134">
        <v>940477</v>
      </c>
      <c r="O1902" t="s">
        <v>10765</v>
      </c>
      <c r="P1902" t="s">
        <v>14232</v>
      </c>
      <c r="Q1902" t="s">
        <v>29</v>
      </c>
      <c r="R1902" t="s">
        <v>13965</v>
      </c>
      <c r="U1902" t="s">
        <v>12797</v>
      </c>
      <c r="X1902">
        <v>1</v>
      </c>
    </row>
    <row r="1903" spans="1:24" x14ac:dyDescent="0.25">
      <c r="A1903" s="234">
        <v>43172</v>
      </c>
      <c r="B1903" t="s">
        <v>569</v>
      </c>
      <c r="C1903" t="s">
        <v>899</v>
      </c>
      <c r="D1903" t="s">
        <v>624</v>
      </c>
      <c r="E1903" t="s">
        <v>588</v>
      </c>
      <c r="F1903" t="s">
        <v>10572</v>
      </c>
      <c r="G1903" t="s">
        <v>10573</v>
      </c>
      <c r="H1903" t="s">
        <v>607</v>
      </c>
      <c r="I1903" t="s">
        <v>10574</v>
      </c>
      <c r="J1903" t="s">
        <v>899</v>
      </c>
      <c r="M1903" s="134">
        <v>512000</v>
      </c>
      <c r="N1903" s="134">
        <v>10752000</v>
      </c>
      <c r="O1903" t="s">
        <v>10765</v>
      </c>
      <c r="P1903" t="s">
        <v>10575</v>
      </c>
      <c r="Q1903" t="s">
        <v>1939</v>
      </c>
      <c r="R1903" t="s">
        <v>10576</v>
      </c>
      <c r="U1903" t="s">
        <v>1327</v>
      </c>
      <c r="X1903">
        <v>0</v>
      </c>
    </row>
    <row r="1904" spans="1:24" x14ac:dyDescent="0.25">
      <c r="A1904" s="234">
        <v>42565</v>
      </c>
      <c r="B1904" t="s">
        <v>328</v>
      </c>
      <c r="C1904" t="s">
        <v>603</v>
      </c>
      <c r="D1904" t="s">
        <v>2282</v>
      </c>
      <c r="E1904" t="s">
        <v>588</v>
      </c>
      <c r="F1904" t="s">
        <v>2883</v>
      </c>
      <c r="H1904" t="s">
        <v>710</v>
      </c>
      <c r="I1904" t="s">
        <v>2880</v>
      </c>
      <c r="M1904" s="134">
        <v>515000</v>
      </c>
      <c r="N1904" s="134">
        <v>875500</v>
      </c>
      <c r="O1904" t="s">
        <v>2032</v>
      </c>
      <c r="P1904" t="s">
        <v>2881</v>
      </c>
      <c r="Q1904" t="s">
        <v>620</v>
      </c>
      <c r="R1904" t="s">
        <v>2882</v>
      </c>
      <c r="U1904" t="s">
        <v>2889</v>
      </c>
      <c r="X1904">
        <v>0</v>
      </c>
    </row>
    <row r="1905" spans="1:24" x14ac:dyDescent="0.25">
      <c r="A1905" s="234">
        <v>42824</v>
      </c>
      <c r="B1905" t="s">
        <v>5992</v>
      </c>
      <c r="C1905" t="s">
        <v>608</v>
      </c>
      <c r="D1905" t="s">
        <v>5270</v>
      </c>
      <c r="E1905" t="s">
        <v>588</v>
      </c>
      <c r="F1905" t="s">
        <v>6192</v>
      </c>
      <c r="H1905" t="s">
        <v>607</v>
      </c>
      <c r="I1905" t="s">
        <v>6193</v>
      </c>
      <c r="J1905" t="s">
        <v>608</v>
      </c>
      <c r="L1905">
        <v>2</v>
      </c>
      <c r="M1905" s="134">
        <v>515000</v>
      </c>
      <c r="N1905" s="134">
        <v>916500</v>
      </c>
      <c r="O1905" t="s">
        <v>6201</v>
      </c>
      <c r="P1905" t="s">
        <v>6194</v>
      </c>
      <c r="Q1905" t="s">
        <v>1939</v>
      </c>
      <c r="R1905" t="s">
        <v>6195</v>
      </c>
      <c r="S1905" t="s">
        <v>6196</v>
      </c>
      <c r="U1905" t="s">
        <v>1327</v>
      </c>
      <c r="X1905">
        <v>0</v>
      </c>
    </row>
    <row r="1906" spans="1:24" x14ac:dyDescent="0.25">
      <c r="A1906" s="234">
        <v>43398</v>
      </c>
      <c r="B1906" t="s">
        <v>5176</v>
      </c>
      <c r="C1906" t="s">
        <v>604</v>
      </c>
      <c r="D1906" t="s">
        <v>727</v>
      </c>
      <c r="F1906" t="s">
        <v>11894</v>
      </c>
      <c r="G1906" t="s">
        <v>10086</v>
      </c>
      <c r="H1906" t="s">
        <v>607</v>
      </c>
      <c r="I1906" t="s">
        <v>13049</v>
      </c>
      <c r="J1906" t="s">
        <v>761</v>
      </c>
      <c r="K1906">
        <v>20136</v>
      </c>
      <c r="L1906">
        <v>3</v>
      </c>
      <c r="M1906" s="134">
        <v>515000</v>
      </c>
      <c r="N1906" s="134">
        <v>1030000</v>
      </c>
      <c r="O1906" t="s">
        <v>10766</v>
      </c>
      <c r="P1906" t="s">
        <v>13047</v>
      </c>
      <c r="Q1906" t="s">
        <v>592</v>
      </c>
      <c r="R1906" t="s">
        <v>13048</v>
      </c>
      <c r="U1906" t="s">
        <v>12344</v>
      </c>
      <c r="X1906">
        <v>0</v>
      </c>
    </row>
    <row r="1907" spans="1:24" x14ac:dyDescent="0.25">
      <c r="A1907" s="234">
        <v>43186</v>
      </c>
      <c r="B1907" t="s">
        <v>328</v>
      </c>
      <c r="C1907" t="s">
        <v>603</v>
      </c>
      <c r="D1907" t="s">
        <v>7595</v>
      </c>
      <c r="E1907" t="s">
        <v>588</v>
      </c>
      <c r="F1907" t="s">
        <v>10706</v>
      </c>
      <c r="G1907" t="s">
        <v>10705</v>
      </c>
      <c r="H1907" t="s">
        <v>1050</v>
      </c>
      <c r="I1907" t="s">
        <v>10704</v>
      </c>
      <c r="J1907" t="s">
        <v>5509</v>
      </c>
      <c r="L1907">
        <v>2</v>
      </c>
      <c r="M1907" s="134">
        <v>515300</v>
      </c>
      <c r="N1907" s="134">
        <v>633360</v>
      </c>
      <c r="O1907" t="s">
        <v>10766</v>
      </c>
      <c r="P1907" t="s">
        <v>10707</v>
      </c>
      <c r="Q1907" t="s">
        <v>592</v>
      </c>
      <c r="R1907" t="s">
        <v>10750</v>
      </c>
      <c r="U1907" t="s">
        <v>1327</v>
      </c>
      <c r="X1907">
        <v>0</v>
      </c>
    </row>
    <row r="1908" spans="1:24" x14ac:dyDescent="0.25">
      <c r="A1908" s="234">
        <v>43476</v>
      </c>
      <c r="B1908" t="s">
        <v>5360</v>
      </c>
      <c r="C1908" t="s">
        <v>899</v>
      </c>
      <c r="D1908" t="s">
        <v>611</v>
      </c>
      <c r="F1908" t="s">
        <v>13931</v>
      </c>
      <c r="G1908" t="s">
        <v>12555</v>
      </c>
      <c r="H1908" t="s">
        <v>607</v>
      </c>
      <c r="I1908" t="s">
        <v>13504</v>
      </c>
      <c r="J1908" t="s">
        <v>899</v>
      </c>
      <c r="K1908" t="s">
        <v>13505</v>
      </c>
      <c r="L1908">
        <v>4</v>
      </c>
      <c r="M1908" s="134">
        <v>516000</v>
      </c>
      <c r="N1908" s="134">
        <v>800000</v>
      </c>
      <c r="O1908" t="s">
        <v>10766</v>
      </c>
      <c r="P1908" t="s">
        <v>13932</v>
      </c>
      <c r="Q1908" t="s">
        <v>620</v>
      </c>
      <c r="R1908" t="s">
        <v>13933</v>
      </c>
      <c r="U1908" t="s">
        <v>491</v>
      </c>
      <c r="X1908">
        <v>0</v>
      </c>
    </row>
    <row r="1909" spans="1:24" x14ac:dyDescent="0.25">
      <c r="A1909" s="234">
        <v>42662</v>
      </c>
      <c r="B1909" t="s">
        <v>643</v>
      </c>
      <c r="C1909" t="s">
        <v>644</v>
      </c>
      <c r="D1909" t="s">
        <v>3132</v>
      </c>
      <c r="E1909" t="s">
        <v>588</v>
      </c>
      <c r="F1909" t="s">
        <v>4398</v>
      </c>
      <c r="H1909" t="s">
        <v>1057</v>
      </c>
      <c r="I1909" t="s">
        <v>4399</v>
      </c>
      <c r="J1909" t="s">
        <v>644</v>
      </c>
      <c r="L1909">
        <v>5</v>
      </c>
      <c r="M1909" s="134">
        <v>516000</v>
      </c>
      <c r="N1909" s="134">
        <v>873000</v>
      </c>
      <c r="O1909" t="s">
        <v>1171</v>
      </c>
      <c r="P1909" t="s">
        <v>4400</v>
      </c>
      <c r="Q1909" t="s">
        <v>1939</v>
      </c>
      <c r="R1909" t="s">
        <v>4401</v>
      </c>
      <c r="U1909" t="s">
        <v>491</v>
      </c>
      <c r="X1909">
        <v>0</v>
      </c>
    </row>
    <row r="1910" spans="1:24" x14ac:dyDescent="0.25">
      <c r="A1910" s="234">
        <v>42852</v>
      </c>
      <c r="B1910" t="s">
        <v>328</v>
      </c>
      <c r="C1910" t="s">
        <v>603</v>
      </c>
      <c r="D1910" t="s">
        <v>2397</v>
      </c>
      <c r="E1910" t="s">
        <v>588</v>
      </c>
      <c r="F1910" t="s">
        <v>6569</v>
      </c>
      <c r="H1910" t="s">
        <v>607</v>
      </c>
      <c r="I1910" t="s">
        <v>2054</v>
      </c>
      <c r="J1910" t="s">
        <v>899</v>
      </c>
      <c r="L1910">
        <v>1</v>
      </c>
      <c r="M1910" s="134">
        <v>517000</v>
      </c>
      <c r="N1910" s="134">
        <v>922100</v>
      </c>
      <c r="O1910" t="s">
        <v>695</v>
      </c>
      <c r="P1910" t="s">
        <v>6570</v>
      </c>
      <c r="Q1910" t="s">
        <v>592</v>
      </c>
      <c r="R1910" t="s">
        <v>6571</v>
      </c>
      <c r="U1910" t="s">
        <v>491</v>
      </c>
      <c r="X1910">
        <v>0</v>
      </c>
    </row>
    <row r="1911" spans="1:24" x14ac:dyDescent="0.25">
      <c r="A1911" s="234">
        <v>43551</v>
      </c>
      <c r="B1911" t="s">
        <v>13559</v>
      </c>
      <c r="C1911" t="s">
        <v>3370</v>
      </c>
      <c r="D1911" t="s">
        <v>14656</v>
      </c>
      <c r="F1911" t="s">
        <v>14892</v>
      </c>
      <c r="G1911" t="s">
        <v>14893</v>
      </c>
      <c r="H1911" t="s">
        <v>607</v>
      </c>
      <c r="I1911" t="s">
        <v>14894</v>
      </c>
      <c r="J1911" t="s">
        <v>3370</v>
      </c>
      <c r="K1911" t="s">
        <v>14895</v>
      </c>
      <c r="L1911">
        <v>5</v>
      </c>
      <c r="M1911" s="134">
        <v>520000</v>
      </c>
      <c r="N1911" s="134">
        <v>936000</v>
      </c>
      <c r="O1911" t="s">
        <v>10766</v>
      </c>
      <c r="P1911" t="s">
        <v>14956</v>
      </c>
      <c r="Q1911" t="s">
        <v>1939</v>
      </c>
      <c r="R1911" t="s">
        <v>14957</v>
      </c>
      <c r="U1911" t="s">
        <v>491</v>
      </c>
      <c r="X1911">
        <v>0</v>
      </c>
    </row>
    <row r="1912" spans="1:24" x14ac:dyDescent="0.25">
      <c r="A1912" s="234">
        <v>43445</v>
      </c>
      <c r="B1912" t="s">
        <v>643</v>
      </c>
      <c r="C1912" t="s">
        <v>644</v>
      </c>
      <c r="D1912" t="s">
        <v>645</v>
      </c>
      <c r="F1912" t="s">
        <v>13581</v>
      </c>
      <c r="G1912" t="s">
        <v>13582</v>
      </c>
      <c r="H1912" t="s">
        <v>607</v>
      </c>
      <c r="I1912" t="s">
        <v>11305</v>
      </c>
      <c r="J1912" t="s">
        <v>899</v>
      </c>
      <c r="K1912" t="s">
        <v>13101</v>
      </c>
      <c r="L1912">
        <v>2</v>
      </c>
      <c r="M1912" s="134">
        <v>520000</v>
      </c>
      <c r="N1912" s="134">
        <v>936000</v>
      </c>
      <c r="O1912" t="s">
        <v>10765</v>
      </c>
      <c r="P1912" t="s">
        <v>13583</v>
      </c>
      <c r="Q1912" t="s">
        <v>1939</v>
      </c>
      <c r="R1912" t="s">
        <v>13748</v>
      </c>
      <c r="U1912" t="s">
        <v>12797</v>
      </c>
      <c r="X1912">
        <v>0</v>
      </c>
    </row>
    <row r="1913" spans="1:24" x14ac:dyDescent="0.25">
      <c r="A1913" s="234">
        <v>42486</v>
      </c>
      <c r="B1913" t="s">
        <v>643</v>
      </c>
      <c r="D1913" t="s">
        <v>645</v>
      </c>
      <c r="E1913" t="s">
        <v>588</v>
      </c>
      <c r="F1913" t="s">
        <v>1830</v>
      </c>
      <c r="H1913" t="s">
        <v>1831</v>
      </c>
      <c r="I1913" t="s">
        <v>1832</v>
      </c>
      <c r="M1913" s="134">
        <v>520000</v>
      </c>
      <c r="N1913" s="134">
        <v>936000</v>
      </c>
      <c r="O1913" t="s">
        <v>991</v>
      </c>
      <c r="P1913" t="s">
        <v>1833</v>
      </c>
      <c r="Q1913" t="s">
        <v>592</v>
      </c>
      <c r="U1913" t="s">
        <v>633</v>
      </c>
      <c r="X1913">
        <v>0</v>
      </c>
    </row>
    <row r="1914" spans="1:24" x14ac:dyDescent="0.25">
      <c r="A1914" s="234">
        <v>42928</v>
      </c>
      <c r="B1914" t="s">
        <v>643</v>
      </c>
      <c r="C1914" t="s">
        <v>644</v>
      </c>
      <c r="D1914" t="s">
        <v>645</v>
      </c>
      <c r="E1914" t="s">
        <v>588</v>
      </c>
      <c r="F1914" t="s">
        <v>7588</v>
      </c>
      <c r="H1914" t="s">
        <v>6002</v>
      </c>
      <c r="I1914" t="s">
        <v>7587</v>
      </c>
      <c r="J1914" t="s">
        <v>644</v>
      </c>
      <c r="L1914">
        <v>7</v>
      </c>
      <c r="M1914" s="134">
        <v>520000</v>
      </c>
      <c r="N1914" s="134">
        <v>1040000</v>
      </c>
      <c r="O1914" t="s">
        <v>1033</v>
      </c>
      <c r="P1914" t="s">
        <v>7589</v>
      </c>
      <c r="Q1914" t="s">
        <v>1939</v>
      </c>
      <c r="R1914" t="s">
        <v>7590</v>
      </c>
      <c r="U1914" t="s">
        <v>2227</v>
      </c>
      <c r="X1914">
        <v>0</v>
      </c>
    </row>
    <row r="1915" spans="1:24" x14ac:dyDescent="0.25">
      <c r="A1915" s="234">
        <v>42683</v>
      </c>
      <c r="B1915" t="s">
        <v>1486</v>
      </c>
      <c r="C1915" t="s">
        <v>1363</v>
      </c>
      <c r="D1915" t="s">
        <v>4655</v>
      </c>
      <c r="E1915" t="s">
        <v>588</v>
      </c>
      <c r="F1915" t="s">
        <v>4656</v>
      </c>
      <c r="H1915" t="s">
        <v>607</v>
      </c>
      <c r="I1915" t="s">
        <v>3809</v>
      </c>
      <c r="J1915" t="s">
        <v>602</v>
      </c>
      <c r="M1915" s="134">
        <v>520050</v>
      </c>
      <c r="N1915" s="134">
        <v>0</v>
      </c>
      <c r="O1915" t="s">
        <v>4657</v>
      </c>
      <c r="P1915" t="s">
        <v>4658</v>
      </c>
      <c r="Q1915" t="s">
        <v>29</v>
      </c>
      <c r="R1915" t="s">
        <v>4659</v>
      </c>
      <c r="U1915" t="s">
        <v>491</v>
      </c>
      <c r="X1915">
        <v>1</v>
      </c>
    </row>
    <row r="1916" spans="1:24" x14ac:dyDescent="0.25">
      <c r="A1916" s="234">
        <v>43083</v>
      </c>
      <c r="B1916" t="s">
        <v>569</v>
      </c>
      <c r="C1916" t="s">
        <v>899</v>
      </c>
      <c r="D1916" t="s">
        <v>3505</v>
      </c>
      <c r="E1916" t="s">
        <v>588</v>
      </c>
      <c r="F1916" t="s">
        <v>9750</v>
      </c>
      <c r="G1916" t="s">
        <v>8289</v>
      </c>
      <c r="H1916" t="s">
        <v>1819</v>
      </c>
      <c r="I1916" t="s">
        <v>3649</v>
      </c>
      <c r="J1916" t="s">
        <v>899</v>
      </c>
      <c r="M1916" s="134">
        <v>520470</v>
      </c>
      <c r="N1916" s="134">
        <v>700000</v>
      </c>
      <c r="O1916" t="s">
        <v>695</v>
      </c>
      <c r="P1916" t="s">
        <v>9751</v>
      </c>
      <c r="Q1916" t="s">
        <v>592</v>
      </c>
      <c r="R1916" t="s">
        <v>9752</v>
      </c>
      <c r="U1916" t="s">
        <v>491</v>
      </c>
      <c r="X1916">
        <v>0</v>
      </c>
    </row>
    <row r="1917" spans="1:24" x14ac:dyDescent="0.25">
      <c r="A1917" s="234">
        <v>43325</v>
      </c>
      <c r="B1917" t="s">
        <v>328</v>
      </c>
      <c r="C1917" t="s">
        <v>603</v>
      </c>
      <c r="D1917" t="s">
        <v>5701</v>
      </c>
      <c r="E1917" t="s">
        <v>588</v>
      </c>
      <c r="F1917" t="s">
        <v>12179</v>
      </c>
      <c r="G1917" t="s">
        <v>2346</v>
      </c>
      <c r="H1917" t="s">
        <v>809</v>
      </c>
      <c r="J1917" t="s">
        <v>3533</v>
      </c>
      <c r="L1917">
        <v>2</v>
      </c>
      <c r="M1917" s="134">
        <v>521000</v>
      </c>
      <c r="N1917" s="134">
        <v>521000</v>
      </c>
      <c r="O1917" t="s">
        <v>10762</v>
      </c>
      <c r="P1917" t="s">
        <v>12181</v>
      </c>
      <c r="Q1917" t="s">
        <v>1939</v>
      </c>
      <c r="R1917" t="s">
        <v>12180</v>
      </c>
      <c r="U1917" t="s">
        <v>1327</v>
      </c>
      <c r="X1917">
        <v>0</v>
      </c>
    </row>
    <row r="1918" spans="1:24" x14ac:dyDescent="0.25">
      <c r="A1918" s="234">
        <v>43322</v>
      </c>
      <c r="B1918" t="s">
        <v>328</v>
      </c>
      <c r="C1918" t="s">
        <v>603</v>
      </c>
      <c r="D1918" t="s">
        <v>649</v>
      </c>
      <c r="E1918" t="s">
        <v>588</v>
      </c>
      <c r="F1918" t="s">
        <v>12144</v>
      </c>
      <c r="G1918" t="s">
        <v>10951</v>
      </c>
      <c r="H1918" t="s">
        <v>809</v>
      </c>
      <c r="J1918" t="s">
        <v>4031</v>
      </c>
      <c r="L1918">
        <v>10</v>
      </c>
      <c r="M1918" s="134">
        <v>521029</v>
      </c>
      <c r="N1918" s="134">
        <v>583131</v>
      </c>
      <c r="O1918" t="s">
        <v>7124</v>
      </c>
      <c r="P1918" t="s">
        <v>12143</v>
      </c>
      <c r="Q1918" t="s">
        <v>1939</v>
      </c>
      <c r="R1918" t="s">
        <v>12142</v>
      </c>
      <c r="U1918" t="s">
        <v>1327</v>
      </c>
      <c r="X1918">
        <v>0</v>
      </c>
    </row>
    <row r="1919" spans="1:24" x14ac:dyDescent="0.25">
      <c r="A1919" s="234">
        <v>43329</v>
      </c>
      <c r="B1919" t="s">
        <v>5360</v>
      </c>
      <c r="C1919" t="s">
        <v>899</v>
      </c>
      <c r="D1919" t="s">
        <v>11031</v>
      </c>
      <c r="E1919" t="s">
        <v>588</v>
      </c>
      <c r="F1919" t="s">
        <v>12397</v>
      </c>
      <c r="G1919" t="s">
        <v>12396</v>
      </c>
      <c r="H1919" t="s">
        <v>607</v>
      </c>
      <c r="I1919" t="s">
        <v>8058</v>
      </c>
      <c r="J1919" t="s">
        <v>899</v>
      </c>
      <c r="L1919">
        <v>3</v>
      </c>
      <c r="M1919" s="134">
        <v>522000</v>
      </c>
      <c r="N1919" s="134">
        <v>1017900</v>
      </c>
      <c r="O1919" t="s">
        <v>10766</v>
      </c>
      <c r="P1919" t="s">
        <v>12395</v>
      </c>
      <c r="Q1919" t="s">
        <v>592</v>
      </c>
      <c r="R1919" t="s">
        <v>12394</v>
      </c>
      <c r="U1919" t="s">
        <v>1327</v>
      </c>
      <c r="X1919">
        <v>0</v>
      </c>
    </row>
    <row r="1920" spans="1:24" x14ac:dyDescent="0.25">
      <c r="A1920" s="234">
        <v>43126</v>
      </c>
      <c r="B1920" t="s">
        <v>5176</v>
      </c>
      <c r="C1920" t="s">
        <v>604</v>
      </c>
      <c r="D1920" t="s">
        <v>595</v>
      </c>
      <c r="E1920" t="s">
        <v>821</v>
      </c>
      <c r="F1920" t="s">
        <v>10148</v>
      </c>
      <c r="G1920" t="s">
        <v>10149</v>
      </c>
      <c r="H1920" t="s">
        <v>809</v>
      </c>
      <c r="I1920" t="s">
        <v>10106</v>
      </c>
      <c r="J1920" t="s">
        <v>604</v>
      </c>
      <c r="M1920" s="134">
        <v>525000</v>
      </c>
      <c r="N1920" s="134">
        <v>0</v>
      </c>
      <c r="O1920" t="s">
        <v>10766</v>
      </c>
      <c r="P1920" t="s">
        <v>10150</v>
      </c>
      <c r="Q1920" t="s">
        <v>1939</v>
      </c>
      <c r="R1920" t="s">
        <v>10186</v>
      </c>
      <c r="U1920" t="s">
        <v>491</v>
      </c>
      <c r="X1920">
        <v>0</v>
      </c>
    </row>
    <row r="1921" spans="1:24" x14ac:dyDescent="0.25">
      <c r="A1921" s="234">
        <v>42956</v>
      </c>
      <c r="B1921" t="s">
        <v>328</v>
      </c>
      <c r="C1921" t="s">
        <v>603</v>
      </c>
      <c r="D1921" t="s">
        <v>5701</v>
      </c>
      <c r="E1921" t="s">
        <v>588</v>
      </c>
      <c r="F1921" t="s">
        <v>149</v>
      </c>
      <c r="G1921" t="s">
        <v>8044</v>
      </c>
      <c r="H1921" t="s">
        <v>905</v>
      </c>
      <c r="I1921" t="s">
        <v>3809</v>
      </c>
      <c r="J1921" t="s">
        <v>602</v>
      </c>
      <c r="L1921">
        <v>2</v>
      </c>
      <c r="M1921" s="134">
        <v>525000</v>
      </c>
      <c r="N1921" s="134">
        <v>595000</v>
      </c>
      <c r="O1921" t="s">
        <v>8045</v>
      </c>
      <c r="P1921" t="s">
        <v>8046</v>
      </c>
      <c r="Q1921" t="s">
        <v>1939</v>
      </c>
      <c r="R1921" t="s">
        <v>8047</v>
      </c>
      <c r="T1921">
        <v>30</v>
      </c>
      <c r="U1921" t="s">
        <v>491</v>
      </c>
      <c r="X1921">
        <v>0</v>
      </c>
    </row>
    <row r="1922" spans="1:24" x14ac:dyDescent="0.25">
      <c r="A1922" s="234">
        <v>43530</v>
      </c>
      <c r="B1922" t="s">
        <v>13559</v>
      </c>
      <c r="C1922" t="s">
        <v>602</v>
      </c>
      <c r="D1922" t="s">
        <v>14639</v>
      </c>
      <c r="F1922" t="s">
        <v>14640</v>
      </c>
      <c r="G1922" t="s">
        <v>14641</v>
      </c>
      <c r="H1922" t="s">
        <v>607</v>
      </c>
      <c r="I1922" t="s">
        <v>9788</v>
      </c>
      <c r="J1922" t="s">
        <v>602</v>
      </c>
      <c r="K1922" t="s">
        <v>13992</v>
      </c>
      <c r="L1922">
        <v>2</v>
      </c>
      <c r="M1922" s="134">
        <v>525000</v>
      </c>
      <c r="N1922" s="134">
        <v>790000</v>
      </c>
      <c r="O1922" t="s">
        <v>10879</v>
      </c>
      <c r="P1922" t="s">
        <v>14642</v>
      </c>
      <c r="Q1922" t="s">
        <v>1939</v>
      </c>
      <c r="R1922" t="s">
        <v>14822</v>
      </c>
      <c r="U1922" t="s">
        <v>12797</v>
      </c>
      <c r="X1922">
        <v>0</v>
      </c>
    </row>
    <row r="1923" spans="1:24" x14ac:dyDescent="0.25">
      <c r="A1923" s="234">
        <v>42613</v>
      </c>
      <c r="B1923" t="s">
        <v>643</v>
      </c>
      <c r="C1923" t="s">
        <v>644</v>
      </c>
      <c r="D1923" t="s">
        <v>3132</v>
      </c>
      <c r="E1923" t="s">
        <v>588</v>
      </c>
      <c r="F1923" t="s">
        <v>3698</v>
      </c>
      <c r="H1923" t="s">
        <v>607</v>
      </c>
      <c r="I1923" t="s">
        <v>3699</v>
      </c>
      <c r="J1923" t="s">
        <v>644</v>
      </c>
      <c r="L1923">
        <v>4</v>
      </c>
      <c r="M1923" s="134">
        <v>525000</v>
      </c>
      <c r="N1923" s="134">
        <v>895000</v>
      </c>
      <c r="O1923" t="s">
        <v>3107</v>
      </c>
      <c r="P1923" t="s">
        <v>3700</v>
      </c>
      <c r="Q1923" t="s">
        <v>620</v>
      </c>
      <c r="R1923" t="s">
        <v>3701</v>
      </c>
      <c r="U1923" t="s">
        <v>491</v>
      </c>
      <c r="X1923">
        <v>0</v>
      </c>
    </row>
    <row r="1924" spans="1:24" x14ac:dyDescent="0.25">
      <c r="A1924" s="234">
        <v>42569</v>
      </c>
      <c r="B1924" t="s">
        <v>328</v>
      </c>
      <c r="C1924" t="s">
        <v>603</v>
      </c>
      <c r="D1924" t="s">
        <v>1471</v>
      </c>
      <c r="E1924" t="s">
        <v>588</v>
      </c>
      <c r="F1924" t="s">
        <v>2905</v>
      </c>
      <c r="H1924" t="s">
        <v>607</v>
      </c>
      <c r="I1924" t="s">
        <v>789</v>
      </c>
      <c r="M1924" s="134">
        <v>525000</v>
      </c>
      <c r="N1924" s="134">
        <v>933900</v>
      </c>
      <c r="O1924" t="s">
        <v>695</v>
      </c>
      <c r="P1924" t="s">
        <v>2906</v>
      </c>
      <c r="Q1924" t="s">
        <v>592</v>
      </c>
      <c r="U1924" t="s">
        <v>491</v>
      </c>
      <c r="X1924">
        <v>0</v>
      </c>
    </row>
    <row r="1925" spans="1:24" x14ac:dyDescent="0.25">
      <c r="A1925" s="234">
        <v>42664</v>
      </c>
      <c r="B1925" t="s">
        <v>378</v>
      </c>
      <c r="C1925" t="s">
        <v>623</v>
      </c>
      <c r="D1925" t="s">
        <v>624</v>
      </c>
      <c r="E1925" t="s">
        <v>588</v>
      </c>
      <c r="F1925" t="s">
        <v>4440</v>
      </c>
      <c r="H1925" t="s">
        <v>607</v>
      </c>
      <c r="I1925" t="s">
        <v>3672</v>
      </c>
      <c r="J1925" t="s">
        <v>899</v>
      </c>
      <c r="L1925">
        <v>5</v>
      </c>
      <c r="M1925" s="134">
        <v>525000</v>
      </c>
      <c r="N1925" s="134">
        <v>945000</v>
      </c>
      <c r="O1925" t="s">
        <v>3107</v>
      </c>
      <c r="P1925" t="s">
        <v>4441</v>
      </c>
      <c r="Q1925" t="s">
        <v>620</v>
      </c>
      <c r="R1925" t="s">
        <v>4442</v>
      </c>
      <c r="U1925" t="s">
        <v>491</v>
      </c>
      <c r="X1925">
        <v>0</v>
      </c>
    </row>
    <row r="1926" spans="1:24" x14ac:dyDescent="0.25">
      <c r="A1926" s="234">
        <v>42615</v>
      </c>
      <c r="B1926" t="s">
        <v>328</v>
      </c>
      <c r="C1926" t="s">
        <v>603</v>
      </c>
      <c r="D1926" t="s">
        <v>1471</v>
      </c>
      <c r="E1926" t="s">
        <v>588</v>
      </c>
      <c r="F1926" t="s">
        <v>3757</v>
      </c>
      <c r="H1926" t="s">
        <v>607</v>
      </c>
      <c r="I1926" t="s">
        <v>3758</v>
      </c>
      <c r="J1926" t="s">
        <v>899</v>
      </c>
      <c r="L1926">
        <v>10</v>
      </c>
      <c r="M1926" s="134">
        <v>525000</v>
      </c>
      <c r="N1926" s="134">
        <v>1152500</v>
      </c>
      <c r="O1926" t="s">
        <v>3759</v>
      </c>
      <c r="P1926" t="s">
        <v>3760</v>
      </c>
      <c r="Q1926" t="s">
        <v>1939</v>
      </c>
      <c r="R1926" t="s">
        <v>3761</v>
      </c>
      <c r="U1926" t="s">
        <v>491</v>
      </c>
      <c r="X1926">
        <v>0</v>
      </c>
    </row>
    <row r="1927" spans="1:24" x14ac:dyDescent="0.25">
      <c r="A1927" s="234">
        <v>42571</v>
      </c>
      <c r="B1927" t="s">
        <v>643</v>
      </c>
      <c r="C1927" t="s">
        <v>644</v>
      </c>
      <c r="D1927" t="s">
        <v>645</v>
      </c>
      <c r="E1927" t="s">
        <v>588</v>
      </c>
      <c r="F1927" t="s">
        <v>2951</v>
      </c>
      <c r="H1927" t="s">
        <v>607</v>
      </c>
      <c r="I1927" t="s">
        <v>2952</v>
      </c>
      <c r="M1927" s="134">
        <v>526000</v>
      </c>
      <c r="N1927" s="134">
        <v>894200</v>
      </c>
      <c r="O1927" t="s">
        <v>2953</v>
      </c>
      <c r="P1927" t="s">
        <v>2954</v>
      </c>
      <c r="Q1927" t="s">
        <v>29</v>
      </c>
      <c r="R1927" t="s">
        <v>2955</v>
      </c>
      <c r="U1927" t="s">
        <v>491</v>
      </c>
      <c r="X1927">
        <v>1</v>
      </c>
    </row>
    <row r="1928" spans="1:24" x14ac:dyDescent="0.25">
      <c r="A1928" s="234">
        <v>43007</v>
      </c>
      <c r="B1928" t="s">
        <v>569</v>
      </c>
      <c r="C1928" t="s">
        <v>899</v>
      </c>
      <c r="D1928" t="s">
        <v>624</v>
      </c>
      <c r="E1928" t="s">
        <v>588</v>
      </c>
      <c r="F1928" t="s">
        <v>8799</v>
      </c>
      <c r="G1928" t="s">
        <v>8800</v>
      </c>
      <c r="H1928" t="s">
        <v>607</v>
      </c>
      <c r="I1928" t="s">
        <v>4342</v>
      </c>
      <c r="J1928" t="s">
        <v>899</v>
      </c>
      <c r="L1928">
        <v>2</v>
      </c>
      <c r="M1928" s="134">
        <v>526000</v>
      </c>
      <c r="N1928" s="134">
        <v>980000</v>
      </c>
      <c r="O1928" t="s">
        <v>1171</v>
      </c>
      <c r="P1928" t="s">
        <v>8838</v>
      </c>
      <c r="Q1928" t="s">
        <v>1939</v>
      </c>
      <c r="R1928" t="s">
        <v>8801</v>
      </c>
      <c r="T1928">
        <v>19</v>
      </c>
      <c r="U1928" t="s">
        <v>491</v>
      </c>
      <c r="X1928">
        <v>0</v>
      </c>
    </row>
    <row r="1929" spans="1:24" x14ac:dyDescent="0.25">
      <c r="A1929" s="234">
        <v>42607</v>
      </c>
      <c r="B1929" t="s">
        <v>1486</v>
      </c>
      <c r="C1929" t="s">
        <v>1883</v>
      </c>
      <c r="D1929" t="s">
        <v>595</v>
      </c>
      <c r="E1929" t="s">
        <v>821</v>
      </c>
      <c r="H1929" t="s">
        <v>607</v>
      </c>
      <c r="I1929" t="s">
        <v>3639</v>
      </c>
      <c r="J1929" t="s">
        <v>959</v>
      </c>
      <c r="M1929" s="134">
        <v>528000</v>
      </c>
      <c r="N1929" s="134">
        <v>0</v>
      </c>
      <c r="O1929" t="s">
        <v>1844</v>
      </c>
      <c r="P1929" t="s">
        <v>16005</v>
      </c>
      <c r="Q1929" t="s">
        <v>620</v>
      </c>
      <c r="R1929" t="s">
        <v>3638</v>
      </c>
      <c r="U1929" t="s">
        <v>491</v>
      </c>
      <c r="X1929">
        <v>0</v>
      </c>
    </row>
    <row r="1930" spans="1:24" x14ac:dyDescent="0.25">
      <c r="A1930" s="234">
        <v>42681</v>
      </c>
      <c r="B1930" t="s">
        <v>378</v>
      </c>
      <c r="C1930" t="s">
        <v>623</v>
      </c>
      <c r="D1930" t="s">
        <v>625</v>
      </c>
      <c r="E1930" t="s">
        <v>821</v>
      </c>
      <c r="F1930" t="s">
        <v>4762</v>
      </c>
      <c r="H1930" t="s">
        <v>607</v>
      </c>
      <c r="I1930" t="s">
        <v>4763</v>
      </c>
      <c r="J1930" t="s">
        <v>899</v>
      </c>
      <c r="L1930">
        <v>5</v>
      </c>
      <c r="M1930" s="134">
        <v>530000</v>
      </c>
      <c r="N1930" s="134">
        <v>0</v>
      </c>
      <c r="O1930" t="s">
        <v>4626</v>
      </c>
      <c r="P1930" t="s">
        <v>4629</v>
      </c>
      <c r="Q1930" t="s">
        <v>592</v>
      </c>
      <c r="R1930" t="s">
        <v>4630</v>
      </c>
      <c r="S1930" t="s">
        <v>4776</v>
      </c>
      <c r="U1930" t="s">
        <v>4764</v>
      </c>
      <c r="X1930">
        <v>0</v>
      </c>
    </row>
    <row r="1931" spans="1:24" x14ac:dyDescent="0.25">
      <c r="A1931" s="234">
        <v>42440</v>
      </c>
      <c r="B1931" t="s">
        <v>328</v>
      </c>
      <c r="C1931" t="s">
        <v>603</v>
      </c>
      <c r="D1931" t="s">
        <v>757</v>
      </c>
      <c r="E1931" t="s">
        <v>588</v>
      </c>
      <c r="F1931" t="s">
        <v>1305</v>
      </c>
      <c r="H1931" t="s">
        <v>607</v>
      </c>
      <c r="I1931" t="s">
        <v>1306</v>
      </c>
      <c r="M1931" s="134">
        <v>530000</v>
      </c>
      <c r="N1931" s="134">
        <v>90000</v>
      </c>
      <c r="O1931" t="s">
        <v>764</v>
      </c>
      <c r="P1931" t="s">
        <v>1307</v>
      </c>
      <c r="Q1931" t="s">
        <v>29</v>
      </c>
      <c r="R1931" t="s">
        <v>1308</v>
      </c>
      <c r="U1931" t="s">
        <v>491</v>
      </c>
      <c r="X1931">
        <v>1</v>
      </c>
    </row>
    <row r="1932" spans="1:24" x14ac:dyDescent="0.25">
      <c r="A1932" s="234">
        <v>43109</v>
      </c>
      <c r="B1932" t="s">
        <v>328</v>
      </c>
      <c r="C1932" t="s">
        <v>603</v>
      </c>
      <c r="D1932" t="s">
        <v>8941</v>
      </c>
      <c r="E1932" t="s">
        <v>588</v>
      </c>
      <c r="F1932" t="s">
        <v>9989</v>
      </c>
      <c r="G1932" t="s">
        <v>6161</v>
      </c>
      <c r="H1932" t="s">
        <v>607</v>
      </c>
      <c r="I1932" t="s">
        <v>8298</v>
      </c>
      <c r="J1932" t="s">
        <v>899</v>
      </c>
      <c r="L1932">
        <v>5</v>
      </c>
      <c r="M1932" s="134">
        <v>530000</v>
      </c>
      <c r="N1932" s="134">
        <v>954000</v>
      </c>
      <c r="O1932" t="s">
        <v>10763</v>
      </c>
      <c r="P1932" t="s">
        <v>10208</v>
      </c>
      <c r="Q1932" t="s">
        <v>1939</v>
      </c>
      <c r="R1932" t="s">
        <v>10209</v>
      </c>
      <c r="U1932" t="s">
        <v>1327</v>
      </c>
      <c r="X1932">
        <v>0</v>
      </c>
    </row>
    <row r="1933" spans="1:24" x14ac:dyDescent="0.25">
      <c r="A1933" s="234">
        <v>43074</v>
      </c>
      <c r="B1933" t="s">
        <v>5176</v>
      </c>
      <c r="C1933" t="s">
        <v>959</v>
      </c>
      <c r="D1933" t="s">
        <v>732</v>
      </c>
      <c r="E1933" t="s">
        <v>588</v>
      </c>
      <c r="F1933" t="s">
        <v>8806</v>
      </c>
      <c r="G1933" t="s">
        <v>9638</v>
      </c>
      <c r="H1933" t="s">
        <v>607</v>
      </c>
      <c r="I1933" t="s">
        <v>6598</v>
      </c>
      <c r="J1933" t="s">
        <v>959</v>
      </c>
      <c r="L1933">
        <v>5</v>
      </c>
      <c r="M1933" s="134">
        <v>531000</v>
      </c>
      <c r="N1933" s="134">
        <v>950000</v>
      </c>
      <c r="O1933" t="s">
        <v>35</v>
      </c>
      <c r="P1933" t="s">
        <v>9639</v>
      </c>
      <c r="Q1933" t="s">
        <v>592</v>
      </c>
      <c r="R1933" t="s">
        <v>9640</v>
      </c>
      <c r="U1933" t="s">
        <v>491</v>
      </c>
      <c r="X1933">
        <v>0</v>
      </c>
    </row>
    <row r="1934" spans="1:24" x14ac:dyDescent="0.25">
      <c r="A1934" s="234">
        <v>42571</v>
      </c>
      <c r="B1934" t="s">
        <v>378</v>
      </c>
      <c r="C1934" t="s">
        <v>610</v>
      </c>
      <c r="D1934" t="s">
        <v>732</v>
      </c>
      <c r="E1934" t="s">
        <v>588</v>
      </c>
      <c r="F1934" t="s">
        <v>2962</v>
      </c>
      <c r="H1934" t="s">
        <v>2074</v>
      </c>
      <c r="I1934" t="s">
        <v>2963</v>
      </c>
      <c r="M1934" s="134">
        <v>532000</v>
      </c>
      <c r="N1934" s="134">
        <v>685000</v>
      </c>
      <c r="O1934" t="s">
        <v>1498</v>
      </c>
      <c r="P1934" t="s">
        <v>2964</v>
      </c>
      <c r="Q1934" t="s">
        <v>1939</v>
      </c>
      <c r="R1934" t="s">
        <v>2965</v>
      </c>
      <c r="S1934" t="s">
        <v>2967</v>
      </c>
      <c r="U1934" t="s">
        <v>491</v>
      </c>
      <c r="X1934">
        <v>0</v>
      </c>
    </row>
    <row r="1935" spans="1:24" x14ac:dyDescent="0.25">
      <c r="A1935" s="234">
        <v>43461</v>
      </c>
      <c r="B1935" t="s">
        <v>569</v>
      </c>
      <c r="C1935" t="s">
        <v>899</v>
      </c>
      <c r="D1935" t="s">
        <v>624</v>
      </c>
      <c r="F1935" t="s">
        <v>13717</v>
      </c>
      <c r="G1935" t="s">
        <v>13718</v>
      </c>
      <c r="H1935" t="s">
        <v>10831</v>
      </c>
      <c r="I1935" t="s">
        <v>7164</v>
      </c>
      <c r="J1935" t="s">
        <v>899</v>
      </c>
      <c r="K1935" t="s">
        <v>13719</v>
      </c>
      <c r="L1935">
        <v>1</v>
      </c>
      <c r="M1935" s="134">
        <v>532000</v>
      </c>
      <c r="N1935" s="134">
        <v>1022400</v>
      </c>
      <c r="O1935" t="s">
        <v>10879</v>
      </c>
      <c r="P1935" t="s">
        <v>13720</v>
      </c>
      <c r="Q1935" t="s">
        <v>620</v>
      </c>
      <c r="R1935" t="s">
        <v>13721</v>
      </c>
      <c r="U1935" t="s">
        <v>12797</v>
      </c>
      <c r="X1935">
        <v>0</v>
      </c>
    </row>
    <row r="1936" spans="1:24" x14ac:dyDescent="0.25">
      <c r="A1936" s="234">
        <v>42531</v>
      </c>
      <c r="B1936" t="s">
        <v>328</v>
      </c>
      <c r="C1936" t="s">
        <v>603</v>
      </c>
      <c r="D1936" t="s">
        <v>1471</v>
      </c>
      <c r="E1936" t="s">
        <v>588</v>
      </c>
      <c r="F1936" t="s">
        <v>2450</v>
      </c>
      <c r="H1936" t="s">
        <v>607</v>
      </c>
      <c r="M1936" s="134">
        <v>534000</v>
      </c>
      <c r="N1936" s="134">
        <v>961200</v>
      </c>
      <c r="O1936" t="s">
        <v>2451</v>
      </c>
      <c r="P1936" t="s">
        <v>2452</v>
      </c>
      <c r="Q1936" t="s">
        <v>1939</v>
      </c>
      <c r="R1936" t="s">
        <v>2453</v>
      </c>
      <c r="S1936" t="s">
        <v>2462</v>
      </c>
      <c r="U1936" t="s">
        <v>491</v>
      </c>
      <c r="X1936">
        <v>0</v>
      </c>
    </row>
    <row r="1937" spans="1:24" x14ac:dyDescent="0.25">
      <c r="A1937" s="234">
        <v>43395</v>
      </c>
      <c r="B1937" t="s">
        <v>328</v>
      </c>
      <c r="C1937" t="s">
        <v>603</v>
      </c>
      <c r="D1937" t="s">
        <v>5701</v>
      </c>
      <c r="F1937" t="s">
        <v>12976</v>
      </c>
      <c r="G1937" t="s">
        <v>7747</v>
      </c>
      <c r="H1937" t="s">
        <v>607</v>
      </c>
      <c r="I1937" t="s">
        <v>2054</v>
      </c>
      <c r="J1937" t="s">
        <v>899</v>
      </c>
      <c r="K1937">
        <v>90068</v>
      </c>
      <c r="L1937">
        <v>1</v>
      </c>
      <c r="M1937" s="134">
        <v>537000</v>
      </c>
      <c r="N1937" s="134">
        <v>966600</v>
      </c>
      <c r="O1937" t="s">
        <v>7564</v>
      </c>
      <c r="P1937" t="s">
        <v>13414</v>
      </c>
      <c r="Q1937" t="s">
        <v>592</v>
      </c>
      <c r="R1937" t="s">
        <v>12977</v>
      </c>
      <c r="U1937" t="s">
        <v>12344</v>
      </c>
      <c r="X1937">
        <v>0</v>
      </c>
    </row>
    <row r="1938" spans="1:24" x14ac:dyDescent="0.25">
      <c r="A1938" s="234">
        <v>42856</v>
      </c>
      <c r="B1938" t="s">
        <v>328</v>
      </c>
      <c r="C1938" t="s">
        <v>899</v>
      </c>
      <c r="D1938" t="s">
        <v>649</v>
      </c>
      <c r="E1938" t="s">
        <v>588</v>
      </c>
      <c r="F1938" t="s">
        <v>6627</v>
      </c>
      <c r="H1938" t="s">
        <v>6002</v>
      </c>
      <c r="I1938" t="s">
        <v>6598</v>
      </c>
      <c r="J1938" t="s">
        <v>4031</v>
      </c>
      <c r="L1938">
        <v>5</v>
      </c>
      <c r="M1938" s="134">
        <v>539000</v>
      </c>
      <c r="N1938" s="134">
        <v>860000</v>
      </c>
      <c r="O1938" t="s">
        <v>6628</v>
      </c>
      <c r="P1938" t="s">
        <v>6630</v>
      </c>
      <c r="Q1938" t="s">
        <v>1939</v>
      </c>
      <c r="R1938" t="s">
        <v>6629</v>
      </c>
      <c r="U1938" t="s">
        <v>1327</v>
      </c>
      <c r="X1938">
        <v>0</v>
      </c>
    </row>
    <row r="1939" spans="1:24" x14ac:dyDescent="0.25">
      <c r="A1939" s="234">
        <v>42853</v>
      </c>
      <c r="B1939" t="s">
        <v>328</v>
      </c>
      <c r="C1939" t="s">
        <v>603</v>
      </c>
      <c r="D1939" t="s">
        <v>5701</v>
      </c>
      <c r="E1939" t="s">
        <v>588</v>
      </c>
      <c r="F1939" t="s">
        <v>6595</v>
      </c>
      <c r="H1939" t="s">
        <v>607</v>
      </c>
      <c r="I1939" t="s">
        <v>6598</v>
      </c>
      <c r="J1939" t="s">
        <v>4031</v>
      </c>
      <c r="L1939">
        <v>5</v>
      </c>
      <c r="M1939" s="134">
        <v>539016</v>
      </c>
      <c r="N1939" s="134">
        <v>860418</v>
      </c>
      <c r="O1939" t="s">
        <v>6522</v>
      </c>
      <c r="P1939" t="s">
        <v>6596</v>
      </c>
      <c r="Q1939" t="s">
        <v>620</v>
      </c>
      <c r="R1939" t="s">
        <v>6599</v>
      </c>
      <c r="U1939" t="s">
        <v>491</v>
      </c>
      <c r="X1939">
        <v>0</v>
      </c>
    </row>
    <row r="1940" spans="1:24" x14ac:dyDescent="0.25">
      <c r="A1940" s="234">
        <v>42999</v>
      </c>
      <c r="B1940" t="s">
        <v>643</v>
      </c>
      <c r="C1940" t="s">
        <v>644</v>
      </c>
      <c r="D1940" t="s">
        <v>645</v>
      </c>
      <c r="E1940" t="s">
        <v>821</v>
      </c>
      <c r="F1940" t="s">
        <v>8650</v>
      </c>
      <c r="G1940" t="s">
        <v>8651</v>
      </c>
      <c r="H1940" t="s">
        <v>607</v>
      </c>
      <c r="I1940" t="s">
        <v>5546</v>
      </c>
      <c r="J1940" t="s">
        <v>644</v>
      </c>
      <c r="M1940" s="134">
        <v>540000</v>
      </c>
      <c r="N1940" s="134">
        <v>0</v>
      </c>
      <c r="O1940" t="s">
        <v>754</v>
      </c>
      <c r="P1940" t="s">
        <v>8837</v>
      </c>
      <c r="Q1940" t="s">
        <v>1939</v>
      </c>
      <c r="R1940" t="s">
        <v>8652</v>
      </c>
      <c r="T1940">
        <v>10</v>
      </c>
      <c r="U1940" t="s">
        <v>491</v>
      </c>
      <c r="X1940">
        <v>0</v>
      </c>
    </row>
    <row r="1941" spans="1:24" x14ac:dyDescent="0.25">
      <c r="A1941" s="234">
        <v>42559</v>
      </c>
      <c r="B1941" t="s">
        <v>643</v>
      </c>
      <c r="C1941" t="s">
        <v>644</v>
      </c>
      <c r="D1941" t="s">
        <v>645</v>
      </c>
      <c r="E1941" t="s">
        <v>588</v>
      </c>
      <c r="F1941" t="s">
        <v>2825</v>
      </c>
      <c r="H1941" t="s">
        <v>1890</v>
      </c>
      <c r="I1941" t="s">
        <v>2827</v>
      </c>
      <c r="M1941" s="134">
        <v>540000</v>
      </c>
      <c r="N1941" s="134">
        <v>590000</v>
      </c>
      <c r="O1941" t="s">
        <v>2826</v>
      </c>
      <c r="P1941" t="s">
        <v>2828</v>
      </c>
      <c r="Q1941" t="s">
        <v>29</v>
      </c>
      <c r="R1941" t="s">
        <v>2867</v>
      </c>
      <c r="U1941" t="s">
        <v>491</v>
      </c>
      <c r="X1941">
        <v>1</v>
      </c>
    </row>
    <row r="1942" spans="1:24" x14ac:dyDescent="0.25">
      <c r="A1942" s="234">
        <v>42767</v>
      </c>
      <c r="B1942" t="s">
        <v>569</v>
      </c>
      <c r="D1942" t="s">
        <v>930</v>
      </c>
      <c r="E1942" t="s">
        <v>588</v>
      </c>
      <c r="F1942" t="s">
        <v>5576</v>
      </c>
      <c r="H1942" t="s">
        <v>722</v>
      </c>
      <c r="I1942" t="s">
        <v>5577</v>
      </c>
      <c r="J1942" t="s">
        <v>899</v>
      </c>
      <c r="L1942">
        <v>8</v>
      </c>
      <c r="M1942" s="134">
        <v>540000</v>
      </c>
      <c r="N1942" s="134">
        <v>800000</v>
      </c>
      <c r="O1942" t="s">
        <v>5383</v>
      </c>
      <c r="P1942" t="s">
        <v>5578</v>
      </c>
      <c r="Q1942" t="s">
        <v>29</v>
      </c>
      <c r="U1942" t="s">
        <v>491</v>
      </c>
      <c r="X1942">
        <v>1</v>
      </c>
    </row>
    <row r="1943" spans="1:24" x14ac:dyDescent="0.25">
      <c r="A1943" s="234">
        <v>42769</v>
      </c>
      <c r="B1943" t="s">
        <v>328</v>
      </c>
      <c r="C1943" t="s">
        <v>603</v>
      </c>
      <c r="D1943" t="s">
        <v>2397</v>
      </c>
      <c r="E1943" t="s">
        <v>588</v>
      </c>
      <c r="F1943" t="s">
        <v>5608</v>
      </c>
      <c r="H1943" t="s">
        <v>607</v>
      </c>
      <c r="I1943" t="s">
        <v>5609</v>
      </c>
      <c r="J1943" t="s">
        <v>5610</v>
      </c>
      <c r="L1943">
        <v>2</v>
      </c>
      <c r="M1943" s="134">
        <v>541000</v>
      </c>
      <c r="N1943" s="134">
        <v>1082000</v>
      </c>
      <c r="O1943" t="s">
        <v>5611</v>
      </c>
      <c r="P1943" t="s">
        <v>5612</v>
      </c>
      <c r="Q1943" t="s">
        <v>1939</v>
      </c>
      <c r="R1943" t="s">
        <v>5613</v>
      </c>
      <c r="U1943" t="s">
        <v>491</v>
      </c>
      <c r="X1943">
        <v>0</v>
      </c>
    </row>
    <row r="1944" spans="1:24" x14ac:dyDescent="0.25">
      <c r="A1944" s="234">
        <v>42657</v>
      </c>
      <c r="B1944" t="s">
        <v>378</v>
      </c>
      <c r="C1944" t="s">
        <v>623</v>
      </c>
      <c r="D1944" t="s">
        <v>625</v>
      </c>
      <c r="E1944" t="s">
        <v>588</v>
      </c>
      <c r="F1944" t="s">
        <v>4326</v>
      </c>
      <c r="H1944" t="s">
        <v>607</v>
      </c>
      <c r="I1944" t="s">
        <v>4327</v>
      </c>
      <c r="J1944" t="s">
        <v>899</v>
      </c>
      <c r="L1944">
        <v>3</v>
      </c>
      <c r="M1944" s="134">
        <v>542000</v>
      </c>
      <c r="N1944" s="134">
        <v>1062000</v>
      </c>
      <c r="O1944" t="s">
        <v>35</v>
      </c>
      <c r="P1944" t="s">
        <v>4328</v>
      </c>
      <c r="Q1944" t="s">
        <v>29</v>
      </c>
      <c r="R1944" t="s">
        <v>4329</v>
      </c>
      <c r="U1944" t="s">
        <v>491</v>
      </c>
      <c r="X1944">
        <v>1</v>
      </c>
    </row>
    <row r="1945" spans="1:24" x14ac:dyDescent="0.25">
      <c r="A1945" s="234">
        <v>43601</v>
      </c>
      <c r="B1945" t="s">
        <v>328</v>
      </c>
      <c r="C1945" t="s">
        <v>603</v>
      </c>
      <c r="D1945" t="s">
        <v>649</v>
      </c>
      <c r="F1945" t="s">
        <v>15606</v>
      </c>
      <c r="G1945" t="s">
        <v>256</v>
      </c>
      <c r="H1945" t="s">
        <v>886</v>
      </c>
      <c r="I1945" t="s">
        <v>15607</v>
      </c>
      <c r="J1945" t="s">
        <v>899</v>
      </c>
      <c r="K1945" t="s">
        <v>15608</v>
      </c>
      <c r="L1945">
        <v>1</v>
      </c>
      <c r="M1945" s="134">
        <v>544577</v>
      </c>
      <c r="N1945" s="134">
        <v>900000</v>
      </c>
      <c r="O1945" t="s">
        <v>10766</v>
      </c>
      <c r="P1945" t="s">
        <v>15609</v>
      </c>
      <c r="Q1945" t="s">
        <v>29</v>
      </c>
      <c r="R1945" t="s">
        <v>15611</v>
      </c>
      <c r="S1945" t="s">
        <v>15610</v>
      </c>
      <c r="U1945" t="s">
        <v>491</v>
      </c>
      <c r="X1945">
        <v>1</v>
      </c>
    </row>
    <row r="1946" spans="1:24" x14ac:dyDescent="0.25">
      <c r="A1946" s="234">
        <v>43140</v>
      </c>
      <c r="B1946" t="s">
        <v>9240</v>
      </c>
      <c r="C1946" t="s">
        <v>603</v>
      </c>
      <c r="D1946" t="s">
        <v>9241</v>
      </c>
      <c r="E1946" t="s">
        <v>588</v>
      </c>
      <c r="F1946" t="s">
        <v>10285</v>
      </c>
      <c r="G1946" t="s">
        <v>8044</v>
      </c>
      <c r="H1946" t="s">
        <v>10830</v>
      </c>
      <c r="I1946" t="s">
        <v>266</v>
      </c>
      <c r="J1946" t="s">
        <v>5402</v>
      </c>
      <c r="L1946">
        <v>5</v>
      </c>
      <c r="M1946" s="134">
        <v>545000</v>
      </c>
      <c r="N1946" s="134">
        <v>1000000</v>
      </c>
      <c r="O1946" t="s">
        <v>10766</v>
      </c>
      <c r="P1946" t="s">
        <v>10286</v>
      </c>
      <c r="Q1946" t="s">
        <v>1939</v>
      </c>
      <c r="R1946" t="s">
        <v>10287</v>
      </c>
      <c r="U1946" t="s">
        <v>491</v>
      </c>
      <c r="X1946">
        <v>0</v>
      </c>
    </row>
    <row r="1947" spans="1:24" x14ac:dyDescent="0.25">
      <c r="A1947" s="234">
        <v>42600</v>
      </c>
      <c r="B1947" t="s">
        <v>378</v>
      </c>
      <c r="C1947" t="s">
        <v>623</v>
      </c>
      <c r="D1947" t="s">
        <v>625</v>
      </c>
      <c r="E1947" t="s">
        <v>588</v>
      </c>
      <c r="F1947" t="s">
        <v>3482</v>
      </c>
      <c r="H1947" t="s">
        <v>607</v>
      </c>
      <c r="I1947" t="s">
        <v>3382</v>
      </c>
      <c r="J1947" t="s">
        <v>899</v>
      </c>
      <c r="L1947">
        <v>3</v>
      </c>
      <c r="M1947" s="134">
        <v>546000</v>
      </c>
      <c r="N1947" s="134">
        <v>1077600</v>
      </c>
      <c r="O1947" t="s">
        <v>2758</v>
      </c>
      <c r="P1947" t="s">
        <v>3483</v>
      </c>
      <c r="Q1947" t="s">
        <v>592</v>
      </c>
      <c r="R1947" t="s">
        <v>3484</v>
      </c>
      <c r="U1947" t="s">
        <v>491</v>
      </c>
      <c r="X1947">
        <v>0</v>
      </c>
    </row>
    <row r="1948" spans="1:24" x14ac:dyDescent="0.25">
      <c r="A1948" s="234">
        <v>43209</v>
      </c>
      <c r="B1948" t="s">
        <v>328</v>
      </c>
      <c r="C1948" t="s">
        <v>603</v>
      </c>
      <c r="D1948" t="s">
        <v>5701</v>
      </c>
      <c r="E1948" t="s">
        <v>588</v>
      </c>
      <c r="F1948" t="s">
        <v>10990</v>
      </c>
      <c r="G1948" t="s">
        <v>10991</v>
      </c>
      <c r="H1948" t="s">
        <v>607</v>
      </c>
      <c r="I1948" t="s">
        <v>4342</v>
      </c>
      <c r="J1948" t="s">
        <v>899</v>
      </c>
      <c r="L1948">
        <v>1</v>
      </c>
      <c r="M1948" s="134">
        <v>547000</v>
      </c>
      <c r="N1948" s="134">
        <v>929900</v>
      </c>
      <c r="O1948" t="s">
        <v>7564</v>
      </c>
      <c r="P1948" t="s">
        <v>10992</v>
      </c>
      <c r="Q1948" t="s">
        <v>592</v>
      </c>
      <c r="R1948" t="s">
        <v>10993</v>
      </c>
      <c r="U1948" t="s">
        <v>1327</v>
      </c>
      <c r="X1948">
        <v>0</v>
      </c>
    </row>
    <row r="1949" spans="1:24" x14ac:dyDescent="0.25">
      <c r="A1949" s="234">
        <v>43518</v>
      </c>
      <c r="B1949" t="s">
        <v>328</v>
      </c>
      <c r="C1949" t="s">
        <v>603</v>
      </c>
      <c r="D1949" t="s">
        <v>649</v>
      </c>
      <c r="F1949" t="s">
        <v>14482</v>
      </c>
      <c r="G1949" t="s">
        <v>14483</v>
      </c>
      <c r="H1949" t="s">
        <v>905</v>
      </c>
      <c r="I1949" t="s">
        <v>14484</v>
      </c>
      <c r="J1949" t="s">
        <v>3523</v>
      </c>
      <c r="K1949" t="s">
        <v>14485</v>
      </c>
      <c r="L1949">
        <v>6</v>
      </c>
      <c r="M1949" s="134">
        <v>548000</v>
      </c>
      <c r="N1949" s="134">
        <v>588480</v>
      </c>
      <c r="O1949" t="s">
        <v>10766</v>
      </c>
      <c r="P1949" t="s">
        <v>14486</v>
      </c>
      <c r="Q1949" t="s">
        <v>29</v>
      </c>
      <c r="R1949" t="s">
        <v>14487</v>
      </c>
      <c r="U1949" t="s">
        <v>12797</v>
      </c>
      <c r="X1949">
        <v>1</v>
      </c>
    </row>
    <row r="1950" spans="1:24" x14ac:dyDescent="0.25">
      <c r="A1950" s="234">
        <v>43497</v>
      </c>
      <c r="B1950" t="s">
        <v>5956</v>
      </c>
      <c r="C1950" t="s">
        <v>3369</v>
      </c>
      <c r="D1950" t="s">
        <v>8126</v>
      </c>
      <c r="F1950" t="s">
        <v>14163</v>
      </c>
      <c r="G1950" t="s">
        <v>14164</v>
      </c>
      <c r="H1950" t="s">
        <v>607</v>
      </c>
      <c r="I1950" t="s">
        <v>13057</v>
      </c>
      <c r="J1950" t="s">
        <v>3617</v>
      </c>
      <c r="K1950" t="s">
        <v>14165</v>
      </c>
      <c r="L1950">
        <v>9</v>
      </c>
      <c r="M1950" s="134">
        <v>548000</v>
      </c>
      <c r="N1950" s="134">
        <v>700000</v>
      </c>
      <c r="O1950" t="s">
        <v>6745</v>
      </c>
      <c r="P1950" t="s">
        <v>14166</v>
      </c>
      <c r="Q1950" t="s">
        <v>29</v>
      </c>
      <c r="R1950" t="s">
        <v>14168</v>
      </c>
      <c r="S1950" t="s">
        <v>14167</v>
      </c>
      <c r="U1950" t="s">
        <v>491</v>
      </c>
      <c r="X1950">
        <v>1</v>
      </c>
    </row>
    <row r="1951" spans="1:24" x14ac:dyDescent="0.25">
      <c r="A1951" s="234">
        <v>43006</v>
      </c>
      <c r="B1951" t="s">
        <v>328</v>
      </c>
      <c r="C1951" t="s">
        <v>603</v>
      </c>
      <c r="D1951" t="s">
        <v>1401</v>
      </c>
      <c r="E1951" t="s">
        <v>588</v>
      </c>
      <c r="F1951" t="s">
        <v>8770</v>
      </c>
      <c r="G1951" t="s">
        <v>8771</v>
      </c>
      <c r="H1951" t="s">
        <v>607</v>
      </c>
      <c r="I1951" t="s">
        <v>8772</v>
      </c>
      <c r="J1951" t="s">
        <v>603</v>
      </c>
      <c r="L1951">
        <v>9</v>
      </c>
      <c r="M1951" s="134">
        <v>548100</v>
      </c>
      <c r="N1951" s="134">
        <v>970000</v>
      </c>
      <c r="O1951" t="s">
        <v>3107</v>
      </c>
      <c r="P1951" t="s">
        <v>8773</v>
      </c>
      <c r="Q1951" t="s">
        <v>1939</v>
      </c>
      <c r="R1951" t="s">
        <v>8774</v>
      </c>
      <c r="S1951" t="s">
        <v>8775</v>
      </c>
      <c r="T1951">
        <v>49</v>
      </c>
      <c r="U1951" t="s">
        <v>491</v>
      </c>
      <c r="X1951">
        <v>0</v>
      </c>
    </row>
    <row r="1952" spans="1:24" x14ac:dyDescent="0.25">
      <c r="A1952" s="234">
        <v>43587</v>
      </c>
      <c r="B1952" t="s">
        <v>1788</v>
      </c>
      <c r="C1952" t="s">
        <v>3369</v>
      </c>
      <c r="D1952" t="s">
        <v>1789</v>
      </c>
      <c r="F1952" t="s">
        <v>15364</v>
      </c>
      <c r="G1952" t="s">
        <v>15365</v>
      </c>
      <c r="H1952" t="s">
        <v>905</v>
      </c>
      <c r="I1952" t="s">
        <v>1790</v>
      </c>
      <c r="J1952" t="s">
        <v>3369</v>
      </c>
      <c r="K1952" t="s">
        <v>15366</v>
      </c>
      <c r="M1952" s="134">
        <v>550000</v>
      </c>
      <c r="N1952" s="134">
        <v>550000</v>
      </c>
      <c r="O1952" t="s">
        <v>10766</v>
      </c>
      <c r="P1952" t="s">
        <v>15367</v>
      </c>
      <c r="Q1952" t="s">
        <v>29</v>
      </c>
      <c r="R1952" t="s">
        <v>15368</v>
      </c>
      <c r="U1952" t="s">
        <v>491</v>
      </c>
      <c r="X1952">
        <v>1</v>
      </c>
    </row>
    <row r="1953" spans="1:24" x14ac:dyDescent="0.25">
      <c r="A1953" s="234">
        <v>43364</v>
      </c>
      <c r="B1953" t="s">
        <v>569</v>
      </c>
      <c r="C1953" t="s">
        <v>899</v>
      </c>
      <c r="D1953" t="s">
        <v>624</v>
      </c>
      <c r="E1953" t="s">
        <v>588</v>
      </c>
      <c r="F1953" t="s">
        <v>12681</v>
      </c>
      <c r="G1953" t="s">
        <v>1789</v>
      </c>
      <c r="H1953" t="s">
        <v>809</v>
      </c>
      <c r="I1953" t="s">
        <v>12682</v>
      </c>
      <c r="J1953" t="s">
        <v>899</v>
      </c>
      <c r="L1953">
        <v>4</v>
      </c>
      <c r="M1953" s="134">
        <v>550000</v>
      </c>
      <c r="N1953" s="134">
        <v>610000</v>
      </c>
      <c r="O1953" t="s">
        <v>10766</v>
      </c>
      <c r="P1953" t="s">
        <v>12683</v>
      </c>
      <c r="Q1953" t="s">
        <v>592</v>
      </c>
      <c r="R1953" t="s">
        <v>12684</v>
      </c>
      <c r="U1953" t="s">
        <v>12344</v>
      </c>
      <c r="X1953">
        <v>0</v>
      </c>
    </row>
    <row r="1954" spans="1:24" x14ac:dyDescent="0.25">
      <c r="A1954" s="234">
        <v>43262</v>
      </c>
      <c r="B1954" t="s">
        <v>328</v>
      </c>
      <c r="C1954" t="s">
        <v>603</v>
      </c>
      <c r="D1954" t="s">
        <v>5701</v>
      </c>
      <c r="E1954" t="s">
        <v>588</v>
      </c>
      <c r="F1954" t="s">
        <v>11526</v>
      </c>
      <c r="G1954" t="s">
        <v>7172</v>
      </c>
      <c r="H1954" t="s">
        <v>905</v>
      </c>
      <c r="I1954" t="s">
        <v>10000</v>
      </c>
      <c r="J1954" t="s">
        <v>3523</v>
      </c>
      <c r="L1954">
        <v>2</v>
      </c>
      <c r="M1954" s="134">
        <v>550000</v>
      </c>
      <c r="N1954" s="134">
        <v>615000</v>
      </c>
      <c r="O1954" t="s">
        <v>7564</v>
      </c>
      <c r="P1954" t="s">
        <v>11525</v>
      </c>
      <c r="Q1954" t="s">
        <v>592</v>
      </c>
      <c r="R1954" t="s">
        <v>11524</v>
      </c>
      <c r="U1954" t="s">
        <v>1327</v>
      </c>
      <c r="X1954">
        <v>0</v>
      </c>
    </row>
    <row r="1955" spans="1:24" x14ac:dyDescent="0.25">
      <c r="A1955" s="234">
        <v>43276</v>
      </c>
      <c r="B1955" t="s">
        <v>569</v>
      </c>
      <c r="C1955" t="s">
        <v>899</v>
      </c>
      <c r="D1955" t="s">
        <v>624</v>
      </c>
      <c r="E1955" t="s">
        <v>588</v>
      </c>
      <c r="F1955" t="s">
        <v>11621</v>
      </c>
      <c r="G1955" t="s">
        <v>11621</v>
      </c>
      <c r="H1955" t="s">
        <v>607</v>
      </c>
      <c r="I1955" t="s">
        <v>3929</v>
      </c>
      <c r="J1955" t="s">
        <v>899</v>
      </c>
      <c r="M1955" s="134">
        <v>550000</v>
      </c>
      <c r="N1955" s="134">
        <v>630000</v>
      </c>
      <c r="O1955" t="s">
        <v>6745</v>
      </c>
      <c r="P1955" t="s">
        <v>11699</v>
      </c>
      <c r="Q1955" t="s">
        <v>1939</v>
      </c>
      <c r="R1955" t="s">
        <v>11622</v>
      </c>
      <c r="U1955" t="s">
        <v>1327</v>
      </c>
      <c r="X1955">
        <v>0</v>
      </c>
    </row>
    <row r="1956" spans="1:24" x14ac:dyDescent="0.25">
      <c r="A1956" s="234">
        <v>43476</v>
      </c>
      <c r="B1956" t="s">
        <v>569</v>
      </c>
      <c r="C1956" t="s">
        <v>899</v>
      </c>
      <c r="D1956" t="s">
        <v>625</v>
      </c>
      <c r="F1956" t="s">
        <v>13927</v>
      </c>
      <c r="G1956" t="s">
        <v>15</v>
      </c>
      <c r="H1956" t="s">
        <v>607</v>
      </c>
      <c r="I1956" t="s">
        <v>6894</v>
      </c>
      <c r="J1956" t="s">
        <v>899</v>
      </c>
      <c r="K1956" t="s">
        <v>13928</v>
      </c>
      <c r="L1956">
        <v>3</v>
      </c>
      <c r="M1956" s="134">
        <v>550000</v>
      </c>
      <c r="N1956" s="134">
        <v>880000</v>
      </c>
      <c r="O1956" t="s">
        <v>7564</v>
      </c>
      <c r="P1956" t="s">
        <v>13929</v>
      </c>
      <c r="Q1956" t="s">
        <v>592</v>
      </c>
      <c r="R1956" t="s">
        <v>13930</v>
      </c>
      <c r="U1956" t="s">
        <v>491</v>
      </c>
      <c r="X1956">
        <v>0</v>
      </c>
    </row>
    <row r="1957" spans="1:24" x14ac:dyDescent="0.25">
      <c r="A1957" s="234">
        <v>43024</v>
      </c>
      <c r="B1957" t="s">
        <v>569</v>
      </c>
      <c r="C1957" t="s">
        <v>899</v>
      </c>
      <c r="D1957" t="s">
        <v>625</v>
      </c>
      <c r="E1957" t="s">
        <v>588</v>
      </c>
      <c r="F1957" t="s">
        <v>9027</v>
      </c>
      <c r="G1957" t="s">
        <v>7880</v>
      </c>
      <c r="H1957" t="s">
        <v>607</v>
      </c>
      <c r="I1957" t="s">
        <v>2054</v>
      </c>
      <c r="J1957" t="s">
        <v>899</v>
      </c>
      <c r="M1957" s="134">
        <v>550000</v>
      </c>
      <c r="N1957" s="134">
        <v>900000</v>
      </c>
      <c r="O1957" t="s">
        <v>695</v>
      </c>
      <c r="P1957" t="s">
        <v>9028</v>
      </c>
      <c r="Q1957" t="s">
        <v>592</v>
      </c>
      <c r="R1957" t="s">
        <v>3386</v>
      </c>
      <c r="U1957" t="s">
        <v>491</v>
      </c>
      <c r="X1957">
        <v>0</v>
      </c>
    </row>
    <row r="1958" spans="1:24" x14ac:dyDescent="0.25">
      <c r="A1958" s="234">
        <v>43467</v>
      </c>
      <c r="B1958" t="s">
        <v>5956</v>
      </c>
      <c r="C1958" t="s">
        <v>603</v>
      </c>
      <c r="D1958" t="s">
        <v>8126</v>
      </c>
      <c r="F1958" t="s">
        <v>245</v>
      </c>
      <c r="G1958" t="s">
        <v>7880</v>
      </c>
      <c r="H1958" t="s">
        <v>607</v>
      </c>
      <c r="I1958" t="s">
        <v>13790</v>
      </c>
      <c r="J1958" t="s">
        <v>4825</v>
      </c>
      <c r="K1958" t="s">
        <v>13791</v>
      </c>
      <c r="L1958">
        <v>3</v>
      </c>
      <c r="M1958" s="134">
        <v>550000</v>
      </c>
      <c r="N1958" s="134">
        <v>905000</v>
      </c>
      <c r="O1958" t="s">
        <v>4533</v>
      </c>
      <c r="P1958" t="s">
        <v>13792</v>
      </c>
      <c r="Q1958" t="s">
        <v>1939</v>
      </c>
      <c r="R1958" t="s">
        <v>13797</v>
      </c>
      <c r="U1958" t="s">
        <v>12797</v>
      </c>
      <c r="X1958">
        <v>0</v>
      </c>
    </row>
    <row r="1959" spans="1:24" x14ac:dyDescent="0.25">
      <c r="A1959" s="234">
        <v>43481</v>
      </c>
      <c r="B1959" t="s">
        <v>328</v>
      </c>
      <c r="C1959" t="s">
        <v>603</v>
      </c>
      <c r="D1959" t="s">
        <v>1401</v>
      </c>
      <c r="F1959" t="s">
        <v>14021</v>
      </c>
      <c r="G1959" t="s">
        <v>11704</v>
      </c>
      <c r="H1959" t="s">
        <v>607</v>
      </c>
      <c r="I1959" t="s">
        <v>14022</v>
      </c>
      <c r="J1959" t="s">
        <v>899</v>
      </c>
      <c r="K1959" t="s">
        <v>14023</v>
      </c>
      <c r="L1959">
        <v>9</v>
      </c>
      <c r="M1959" s="134">
        <v>550000</v>
      </c>
      <c r="N1959" s="134">
        <v>935000</v>
      </c>
      <c r="O1959" t="s">
        <v>7124</v>
      </c>
      <c r="P1959" t="s">
        <v>14024</v>
      </c>
      <c r="Q1959" t="s">
        <v>29</v>
      </c>
      <c r="R1959" t="s">
        <v>14025</v>
      </c>
      <c r="U1959" t="s">
        <v>12797</v>
      </c>
      <c r="X1959">
        <v>1</v>
      </c>
    </row>
    <row r="1960" spans="1:24" x14ac:dyDescent="0.25">
      <c r="A1960" s="234">
        <v>42787</v>
      </c>
      <c r="B1960" t="s">
        <v>569</v>
      </c>
      <c r="D1960" t="s">
        <v>930</v>
      </c>
      <c r="E1960" t="s">
        <v>692</v>
      </c>
      <c r="F1960" t="s">
        <v>5756</v>
      </c>
      <c r="H1960" t="s">
        <v>607</v>
      </c>
      <c r="I1960" t="s">
        <v>5757</v>
      </c>
      <c r="J1960" t="s">
        <v>899</v>
      </c>
      <c r="M1960" s="134">
        <v>550000</v>
      </c>
      <c r="N1960" s="134">
        <v>935000</v>
      </c>
      <c r="O1960" t="s">
        <v>1171</v>
      </c>
      <c r="P1960" t="s">
        <v>5758</v>
      </c>
      <c r="Q1960" t="s">
        <v>1939</v>
      </c>
      <c r="R1960" t="s">
        <v>5759</v>
      </c>
      <c r="U1960" t="s">
        <v>491</v>
      </c>
      <c r="X1960">
        <v>0</v>
      </c>
    </row>
    <row r="1961" spans="1:24" x14ac:dyDescent="0.25">
      <c r="A1961" s="234">
        <v>42516</v>
      </c>
      <c r="B1961" t="s">
        <v>328</v>
      </c>
      <c r="D1961" t="s">
        <v>2204</v>
      </c>
      <c r="E1961" t="s">
        <v>2200</v>
      </c>
      <c r="F1961" t="s">
        <v>2249</v>
      </c>
      <c r="H1961" t="s">
        <v>2250</v>
      </c>
      <c r="I1961" t="s">
        <v>2251</v>
      </c>
      <c r="M1961" s="134">
        <v>550000</v>
      </c>
      <c r="N1961" s="134">
        <v>935000</v>
      </c>
      <c r="O1961" t="s">
        <v>2252</v>
      </c>
      <c r="P1961" t="s">
        <v>2365</v>
      </c>
      <c r="Q1961" t="s">
        <v>1939</v>
      </c>
      <c r="R1961" t="s">
        <v>2253</v>
      </c>
      <c r="U1961" t="s">
        <v>1327</v>
      </c>
      <c r="X1961">
        <v>0</v>
      </c>
    </row>
    <row r="1962" spans="1:24" x14ac:dyDescent="0.25">
      <c r="A1962" s="234">
        <v>43483</v>
      </c>
      <c r="B1962" t="s">
        <v>5360</v>
      </c>
      <c r="C1962" t="s">
        <v>899</v>
      </c>
      <c r="D1962" t="s">
        <v>732</v>
      </c>
      <c r="F1962" t="s">
        <v>8053</v>
      </c>
      <c r="G1962" t="s">
        <v>14066</v>
      </c>
      <c r="H1962" t="s">
        <v>607</v>
      </c>
      <c r="I1962" t="s">
        <v>14067</v>
      </c>
      <c r="J1962" t="s">
        <v>899</v>
      </c>
      <c r="K1962" t="s">
        <v>14068</v>
      </c>
      <c r="L1962">
        <v>4</v>
      </c>
      <c r="M1962" s="134">
        <v>550000</v>
      </c>
      <c r="N1962" s="134">
        <v>990000</v>
      </c>
      <c r="O1962" t="s">
        <v>10766</v>
      </c>
      <c r="P1962" t="s">
        <v>14069</v>
      </c>
      <c r="Q1962" t="s">
        <v>592</v>
      </c>
      <c r="R1962" t="s">
        <v>14070</v>
      </c>
      <c r="U1962" t="s">
        <v>12797</v>
      </c>
      <c r="X1962">
        <v>0</v>
      </c>
    </row>
    <row r="1963" spans="1:24" x14ac:dyDescent="0.25">
      <c r="A1963" s="234">
        <v>43328</v>
      </c>
      <c r="B1963" t="s">
        <v>569</v>
      </c>
      <c r="C1963" t="s">
        <v>899</v>
      </c>
      <c r="D1963" t="s">
        <v>11031</v>
      </c>
      <c r="E1963" t="s">
        <v>588</v>
      </c>
      <c r="F1963" t="s">
        <v>8275</v>
      </c>
      <c r="G1963" t="s">
        <v>12239</v>
      </c>
      <c r="H1963" t="s">
        <v>607</v>
      </c>
      <c r="I1963" t="s">
        <v>12240</v>
      </c>
      <c r="J1963" t="s">
        <v>899</v>
      </c>
      <c r="L1963">
        <v>3</v>
      </c>
      <c r="M1963" s="134">
        <v>550000</v>
      </c>
      <c r="N1963" s="134">
        <v>990000</v>
      </c>
      <c r="O1963" t="s">
        <v>10766</v>
      </c>
      <c r="P1963" t="s">
        <v>12241</v>
      </c>
      <c r="Q1963" t="s">
        <v>1939</v>
      </c>
      <c r="R1963" t="s">
        <v>12238</v>
      </c>
      <c r="U1963" t="s">
        <v>1327</v>
      </c>
      <c r="X1963">
        <v>0</v>
      </c>
    </row>
    <row r="1964" spans="1:24" x14ac:dyDescent="0.25">
      <c r="A1964" s="234">
        <v>43360</v>
      </c>
      <c r="B1964" t="s">
        <v>328</v>
      </c>
      <c r="C1964" t="s">
        <v>603</v>
      </c>
      <c r="D1964" t="s">
        <v>7595</v>
      </c>
      <c r="E1964" t="s">
        <v>588</v>
      </c>
      <c r="F1964" t="s">
        <v>12624</v>
      </c>
      <c r="G1964" t="s">
        <v>12555</v>
      </c>
      <c r="H1964" t="s">
        <v>607</v>
      </c>
      <c r="I1964" t="s">
        <v>12625</v>
      </c>
      <c r="J1964" t="s">
        <v>899</v>
      </c>
      <c r="L1964">
        <v>2</v>
      </c>
      <c r="M1964" s="134">
        <v>550000</v>
      </c>
      <c r="N1964" s="134">
        <v>990000</v>
      </c>
      <c r="O1964" t="s">
        <v>4533</v>
      </c>
      <c r="P1964" t="s">
        <v>12626</v>
      </c>
      <c r="Q1964" t="s">
        <v>29</v>
      </c>
      <c r="R1964" t="s">
        <v>12627</v>
      </c>
      <c r="U1964" t="s">
        <v>12344</v>
      </c>
      <c r="X1964">
        <v>1</v>
      </c>
    </row>
    <row r="1965" spans="1:24" x14ac:dyDescent="0.25">
      <c r="A1965" s="234">
        <v>43005</v>
      </c>
      <c r="B1965" t="s">
        <v>328</v>
      </c>
      <c r="C1965" t="s">
        <v>603</v>
      </c>
      <c r="D1965" t="s">
        <v>5701</v>
      </c>
      <c r="E1965" t="s">
        <v>588</v>
      </c>
      <c r="F1965" t="s">
        <v>84</v>
      </c>
      <c r="G1965" t="s">
        <v>2204</v>
      </c>
      <c r="H1965" t="s">
        <v>607</v>
      </c>
      <c r="I1965" t="s">
        <v>8733</v>
      </c>
      <c r="J1965" t="s">
        <v>602</v>
      </c>
      <c r="L1965">
        <v>1</v>
      </c>
      <c r="M1965" s="134">
        <v>550000</v>
      </c>
      <c r="N1965" s="134">
        <v>990000</v>
      </c>
      <c r="O1965" t="s">
        <v>7540</v>
      </c>
      <c r="P1965" t="s">
        <v>8734</v>
      </c>
      <c r="Q1965" t="s">
        <v>1612</v>
      </c>
      <c r="R1965" t="s">
        <v>8748</v>
      </c>
      <c r="S1965" t="s">
        <v>8749</v>
      </c>
      <c r="T1965">
        <v>36</v>
      </c>
      <c r="U1965" t="s">
        <v>491</v>
      </c>
      <c r="X1965">
        <v>0</v>
      </c>
    </row>
    <row r="1966" spans="1:24" x14ac:dyDescent="0.25">
      <c r="A1966" s="234">
        <v>43580</v>
      </c>
      <c r="B1966" t="s">
        <v>328</v>
      </c>
      <c r="C1966" t="s">
        <v>603</v>
      </c>
      <c r="D1966" t="s">
        <v>10338</v>
      </c>
      <c r="F1966" t="s">
        <v>15216</v>
      </c>
      <c r="G1966" t="s">
        <v>8383</v>
      </c>
      <c r="H1966" t="s">
        <v>607</v>
      </c>
      <c r="I1966" t="s">
        <v>9018</v>
      </c>
      <c r="J1966" t="s">
        <v>3373</v>
      </c>
      <c r="K1966" t="s">
        <v>15217</v>
      </c>
      <c r="L1966">
        <v>10</v>
      </c>
      <c r="M1966" s="134">
        <v>550000</v>
      </c>
      <c r="N1966" s="134">
        <v>1075000</v>
      </c>
      <c r="O1966" t="s">
        <v>4533</v>
      </c>
      <c r="P1966" t="s">
        <v>15218</v>
      </c>
      <c r="Q1966" t="s">
        <v>1939</v>
      </c>
      <c r="R1966" t="s">
        <v>15220</v>
      </c>
      <c r="S1966" t="s">
        <v>15219</v>
      </c>
      <c r="U1966" t="s">
        <v>491</v>
      </c>
      <c r="X1966">
        <v>0</v>
      </c>
    </row>
    <row r="1967" spans="1:24" x14ac:dyDescent="0.25">
      <c r="A1967" s="234">
        <v>42976</v>
      </c>
      <c r="B1967" t="s">
        <v>5360</v>
      </c>
      <c r="C1967" t="s">
        <v>899</v>
      </c>
      <c r="D1967" t="s">
        <v>732</v>
      </c>
      <c r="E1967" t="s">
        <v>588</v>
      </c>
      <c r="F1967" t="s">
        <v>134</v>
      </c>
      <c r="G1967" t="s">
        <v>8331</v>
      </c>
      <c r="H1967" t="s">
        <v>607</v>
      </c>
      <c r="I1967" t="s">
        <v>8332</v>
      </c>
      <c r="J1967" t="s">
        <v>899</v>
      </c>
      <c r="L1967">
        <v>4</v>
      </c>
      <c r="M1967" s="134">
        <v>550000</v>
      </c>
      <c r="N1967" s="134">
        <v>1100000</v>
      </c>
      <c r="O1967" t="s">
        <v>666</v>
      </c>
      <c r="P1967" t="s">
        <v>8333</v>
      </c>
      <c r="Q1967" t="s">
        <v>620</v>
      </c>
      <c r="R1967" t="s">
        <v>15984</v>
      </c>
      <c r="S1967" t="s">
        <v>8360</v>
      </c>
      <c r="T1967">
        <v>35</v>
      </c>
      <c r="U1967" t="s">
        <v>491</v>
      </c>
      <c r="X1967">
        <v>0</v>
      </c>
    </row>
    <row r="1968" spans="1:24" x14ac:dyDescent="0.25">
      <c r="A1968" s="234">
        <v>43081</v>
      </c>
      <c r="B1968" t="s">
        <v>328</v>
      </c>
      <c r="C1968" t="s">
        <v>603</v>
      </c>
      <c r="D1968" t="s">
        <v>649</v>
      </c>
      <c r="E1968" t="s">
        <v>588</v>
      </c>
      <c r="F1968" t="s">
        <v>9760</v>
      </c>
      <c r="G1968" t="s">
        <v>9761</v>
      </c>
      <c r="H1968" t="s">
        <v>607</v>
      </c>
      <c r="I1968" t="s">
        <v>9762</v>
      </c>
      <c r="J1968" t="s">
        <v>899</v>
      </c>
      <c r="L1968">
        <v>7</v>
      </c>
      <c r="M1968" s="134">
        <v>550000</v>
      </c>
      <c r="N1968" s="134">
        <v>1100000</v>
      </c>
      <c r="O1968" t="s">
        <v>9763</v>
      </c>
      <c r="P1968" t="s">
        <v>9764</v>
      </c>
      <c r="Q1968" t="s">
        <v>1939</v>
      </c>
      <c r="R1968" t="s">
        <v>9765</v>
      </c>
      <c r="U1968" t="s">
        <v>1327</v>
      </c>
      <c r="X1968">
        <v>0</v>
      </c>
    </row>
    <row r="1969" spans="1:24" x14ac:dyDescent="0.25">
      <c r="A1969" s="234">
        <v>42850</v>
      </c>
      <c r="B1969" t="s">
        <v>569</v>
      </c>
      <c r="D1969" t="s">
        <v>930</v>
      </c>
      <c r="E1969" t="s">
        <v>821</v>
      </c>
      <c r="H1969" t="s">
        <v>607</v>
      </c>
      <c r="J1969" t="s">
        <v>899</v>
      </c>
      <c r="M1969" s="134">
        <v>550000</v>
      </c>
      <c r="N1969" s="134">
        <v>1200000</v>
      </c>
      <c r="O1969" t="s">
        <v>6549</v>
      </c>
      <c r="P1969" t="s">
        <v>6550</v>
      </c>
      <c r="Q1969" t="s">
        <v>592</v>
      </c>
      <c r="U1969" t="s">
        <v>491</v>
      </c>
      <c r="X1969">
        <v>0</v>
      </c>
    </row>
    <row r="1970" spans="1:24" x14ac:dyDescent="0.25">
      <c r="A1970" s="234">
        <v>42535</v>
      </c>
      <c r="B1970" t="s">
        <v>378</v>
      </c>
      <c r="C1970" t="s">
        <v>623</v>
      </c>
      <c r="D1970" t="s">
        <v>625</v>
      </c>
      <c r="E1970" t="s">
        <v>588</v>
      </c>
      <c r="F1970" t="s">
        <v>2487</v>
      </c>
      <c r="H1970" t="s">
        <v>607</v>
      </c>
      <c r="I1970" t="s">
        <v>2488</v>
      </c>
      <c r="M1970" s="134">
        <v>550000</v>
      </c>
      <c r="N1970" s="134">
        <v>1471520</v>
      </c>
      <c r="O1970" t="s">
        <v>2489</v>
      </c>
      <c r="P1970" t="s">
        <v>2490</v>
      </c>
      <c r="Q1970" t="s">
        <v>1939</v>
      </c>
      <c r="R1970" t="s">
        <v>2491</v>
      </c>
      <c r="U1970" t="s">
        <v>491</v>
      </c>
      <c r="X1970">
        <v>0</v>
      </c>
    </row>
    <row r="1971" spans="1:24" x14ac:dyDescent="0.25">
      <c r="A1971" s="234">
        <v>42934</v>
      </c>
      <c r="B1971" t="s">
        <v>5176</v>
      </c>
      <c r="D1971" t="s">
        <v>595</v>
      </c>
      <c r="E1971" t="s">
        <v>588</v>
      </c>
      <c r="F1971" t="s">
        <v>7661</v>
      </c>
      <c r="H1971" t="s">
        <v>607</v>
      </c>
      <c r="I1971" t="s">
        <v>7662</v>
      </c>
      <c r="J1971" t="s">
        <v>959</v>
      </c>
      <c r="M1971" s="134">
        <v>551000</v>
      </c>
      <c r="N1971" s="134">
        <v>0</v>
      </c>
      <c r="O1971" t="s">
        <v>1844</v>
      </c>
      <c r="P1971" t="s">
        <v>7663</v>
      </c>
      <c r="Q1971" t="s">
        <v>1939</v>
      </c>
      <c r="R1971" t="s">
        <v>7664</v>
      </c>
      <c r="U1971" t="s">
        <v>491</v>
      </c>
      <c r="X1971">
        <v>0</v>
      </c>
    </row>
    <row r="1972" spans="1:24" x14ac:dyDescent="0.25">
      <c r="A1972" s="234">
        <v>42403</v>
      </c>
      <c r="B1972" t="s">
        <v>328</v>
      </c>
      <c r="C1972" t="s">
        <v>603</v>
      </c>
      <c r="D1972" t="s">
        <v>672</v>
      </c>
      <c r="E1972" t="s">
        <v>588</v>
      </c>
      <c r="F1972" t="s">
        <v>910</v>
      </c>
      <c r="H1972" t="s">
        <v>911</v>
      </c>
      <c r="I1972" t="s">
        <v>912</v>
      </c>
      <c r="M1972" s="134">
        <v>553669</v>
      </c>
      <c r="N1972" s="134">
        <v>941236</v>
      </c>
      <c r="O1972" t="s">
        <v>913</v>
      </c>
      <c r="P1972" t="s">
        <v>914</v>
      </c>
      <c r="Q1972" t="s">
        <v>592</v>
      </c>
      <c r="U1972" t="s">
        <v>491</v>
      </c>
      <c r="X1972">
        <v>0</v>
      </c>
    </row>
    <row r="1973" spans="1:24" x14ac:dyDescent="0.25">
      <c r="A1973" s="234">
        <v>43270</v>
      </c>
      <c r="B1973" t="s">
        <v>328</v>
      </c>
      <c r="C1973" t="s">
        <v>603</v>
      </c>
      <c r="D1973" t="s">
        <v>7595</v>
      </c>
      <c r="E1973" t="s">
        <v>588</v>
      </c>
      <c r="F1973" t="s">
        <v>11566</v>
      </c>
      <c r="G1973" t="s">
        <v>8331</v>
      </c>
      <c r="H1973" t="s">
        <v>905</v>
      </c>
      <c r="I1973" t="s">
        <v>11567</v>
      </c>
      <c r="J1973" t="s">
        <v>899</v>
      </c>
      <c r="L1973">
        <v>4</v>
      </c>
      <c r="M1973" s="134">
        <v>554000</v>
      </c>
      <c r="N1973" s="134">
        <v>609400</v>
      </c>
      <c r="O1973" t="s">
        <v>6745</v>
      </c>
      <c r="P1973" t="s">
        <v>11568</v>
      </c>
      <c r="Q1973" t="s">
        <v>29</v>
      </c>
      <c r="R1973" t="s">
        <v>11569</v>
      </c>
      <c r="U1973" t="s">
        <v>1327</v>
      </c>
      <c r="X1973">
        <v>1</v>
      </c>
    </row>
    <row r="1974" spans="1:24" x14ac:dyDescent="0.25">
      <c r="A1974" s="234">
        <v>43273</v>
      </c>
      <c r="B1974" t="s">
        <v>9240</v>
      </c>
      <c r="C1974" t="s">
        <v>603</v>
      </c>
      <c r="D1974" t="s">
        <v>9241</v>
      </c>
      <c r="E1974" t="s">
        <v>588</v>
      </c>
      <c r="F1974" t="s">
        <v>11598</v>
      </c>
      <c r="G1974" t="s">
        <v>11598</v>
      </c>
      <c r="H1974" t="s">
        <v>607</v>
      </c>
      <c r="I1974" t="s">
        <v>11599</v>
      </c>
      <c r="J1974" t="s">
        <v>603</v>
      </c>
      <c r="L1974">
        <v>10</v>
      </c>
      <c r="M1974" s="134">
        <v>554000</v>
      </c>
      <c r="N1974" s="134">
        <v>1385850</v>
      </c>
      <c r="O1974" t="s">
        <v>7124</v>
      </c>
      <c r="P1974" t="s">
        <v>11601</v>
      </c>
      <c r="Q1974" t="s">
        <v>29</v>
      </c>
      <c r="R1974" t="s">
        <v>11602</v>
      </c>
      <c r="U1974" t="s">
        <v>1327</v>
      </c>
      <c r="X1974">
        <v>1</v>
      </c>
    </row>
    <row r="1975" spans="1:24" x14ac:dyDescent="0.25">
      <c r="A1975" s="234">
        <v>42942</v>
      </c>
      <c r="B1975" t="s">
        <v>569</v>
      </c>
      <c r="D1975" t="s">
        <v>625</v>
      </c>
      <c r="E1975" t="s">
        <v>588</v>
      </c>
      <c r="F1975" t="s">
        <v>7770</v>
      </c>
      <c r="H1975" t="s">
        <v>7247</v>
      </c>
      <c r="I1975" t="s">
        <v>4674</v>
      </c>
      <c r="J1975" t="s">
        <v>899</v>
      </c>
      <c r="M1975" s="134">
        <v>556200</v>
      </c>
      <c r="N1975" s="134">
        <v>667440</v>
      </c>
      <c r="O1975" t="s">
        <v>7771</v>
      </c>
      <c r="P1975" t="s">
        <v>7939</v>
      </c>
      <c r="Q1975" t="s">
        <v>1939</v>
      </c>
      <c r="R1975" t="s">
        <v>7772</v>
      </c>
      <c r="U1975" t="s">
        <v>491</v>
      </c>
      <c r="X1975">
        <v>0</v>
      </c>
    </row>
    <row r="1976" spans="1:24" x14ac:dyDescent="0.25">
      <c r="A1976" s="234">
        <v>43398</v>
      </c>
      <c r="B1976" t="s">
        <v>569</v>
      </c>
      <c r="C1976" t="s">
        <v>899</v>
      </c>
      <c r="D1976" t="s">
        <v>3505</v>
      </c>
      <c r="F1976" t="s">
        <v>13038</v>
      </c>
      <c r="G1976" t="s">
        <v>13039</v>
      </c>
      <c r="H1976" t="s">
        <v>607</v>
      </c>
      <c r="I1976" t="s">
        <v>2054</v>
      </c>
      <c r="J1976" t="s">
        <v>899</v>
      </c>
      <c r="K1976">
        <v>91748</v>
      </c>
      <c r="L1976">
        <v>2</v>
      </c>
      <c r="M1976" s="134">
        <v>557000</v>
      </c>
      <c r="N1976" s="134">
        <v>1169700</v>
      </c>
      <c r="O1976" t="s">
        <v>10766</v>
      </c>
      <c r="P1976" t="s">
        <v>13040</v>
      </c>
      <c r="Q1976" t="s">
        <v>592</v>
      </c>
      <c r="R1976" t="s">
        <v>13041</v>
      </c>
      <c r="U1976" t="s">
        <v>12344</v>
      </c>
      <c r="X1976">
        <v>0</v>
      </c>
    </row>
    <row r="1977" spans="1:24" x14ac:dyDescent="0.25">
      <c r="A1977" s="234">
        <v>43514</v>
      </c>
      <c r="B1977" t="s">
        <v>13559</v>
      </c>
      <c r="C1977" t="s">
        <v>4031</v>
      </c>
      <c r="D1977" t="s">
        <v>13560</v>
      </c>
      <c r="F1977" t="s">
        <v>11923</v>
      </c>
      <c r="G1977" t="s">
        <v>11924</v>
      </c>
      <c r="H1977" t="s">
        <v>809</v>
      </c>
      <c r="I1977" t="s">
        <v>14434</v>
      </c>
      <c r="J1977" t="s">
        <v>5402</v>
      </c>
      <c r="K1977" t="s">
        <v>14435</v>
      </c>
      <c r="L1977">
        <v>2</v>
      </c>
      <c r="M1977" s="134">
        <v>558000</v>
      </c>
      <c r="N1977" s="134">
        <v>558000</v>
      </c>
      <c r="O1977" t="s">
        <v>7564</v>
      </c>
      <c r="P1977" t="s">
        <v>14436</v>
      </c>
      <c r="Q1977" t="s">
        <v>1612</v>
      </c>
      <c r="R1977" t="s">
        <v>14437</v>
      </c>
      <c r="U1977" t="s">
        <v>491</v>
      </c>
      <c r="X1977">
        <v>0</v>
      </c>
    </row>
    <row r="1978" spans="1:24" x14ac:dyDescent="0.25">
      <c r="A1978" s="234">
        <v>43306</v>
      </c>
      <c r="B1978" t="s">
        <v>328</v>
      </c>
      <c r="C1978" t="s">
        <v>603</v>
      </c>
      <c r="D1978" t="s">
        <v>1401</v>
      </c>
      <c r="E1978" t="s">
        <v>588</v>
      </c>
      <c r="F1978" t="s">
        <v>11923</v>
      </c>
      <c r="G1978" t="s">
        <v>11924</v>
      </c>
      <c r="H1978" t="s">
        <v>809</v>
      </c>
      <c r="J1978" t="s">
        <v>5402</v>
      </c>
      <c r="L1978">
        <v>2</v>
      </c>
      <c r="M1978" s="134">
        <v>558000</v>
      </c>
      <c r="N1978" s="134">
        <v>613800</v>
      </c>
      <c r="O1978" t="s">
        <v>7564</v>
      </c>
      <c r="P1978" t="s">
        <v>11925</v>
      </c>
      <c r="Q1978" t="s">
        <v>1939</v>
      </c>
      <c r="R1978" t="s">
        <v>11926</v>
      </c>
      <c r="U1978" t="s">
        <v>1327</v>
      </c>
      <c r="X1978">
        <v>0</v>
      </c>
    </row>
    <row r="1979" spans="1:24" x14ac:dyDescent="0.25">
      <c r="A1979" s="234">
        <v>43276</v>
      </c>
      <c r="B1979" t="s">
        <v>9240</v>
      </c>
      <c r="C1979" t="s">
        <v>603</v>
      </c>
      <c r="D1979" t="s">
        <v>9849</v>
      </c>
      <c r="E1979" t="s">
        <v>588</v>
      </c>
      <c r="F1979" t="s">
        <v>9299</v>
      </c>
      <c r="G1979" t="s">
        <v>15</v>
      </c>
      <c r="H1979" t="s">
        <v>607</v>
      </c>
      <c r="I1979" t="s">
        <v>6974</v>
      </c>
      <c r="J1979" t="s">
        <v>3373</v>
      </c>
      <c r="L1979">
        <v>9</v>
      </c>
      <c r="M1979" s="134">
        <v>558000</v>
      </c>
      <c r="N1979" s="134">
        <v>1034176</v>
      </c>
      <c r="O1979" t="s">
        <v>4533</v>
      </c>
      <c r="P1979" t="s">
        <v>11627</v>
      </c>
      <c r="Q1979" t="s">
        <v>592</v>
      </c>
      <c r="R1979" t="s">
        <v>11626</v>
      </c>
      <c r="U1979" t="s">
        <v>1327</v>
      </c>
      <c r="X1979">
        <v>0</v>
      </c>
    </row>
    <row r="1980" spans="1:24" x14ac:dyDescent="0.25">
      <c r="A1980" s="234">
        <v>43132</v>
      </c>
      <c r="B1980" t="s">
        <v>569</v>
      </c>
      <c r="C1980" t="s">
        <v>899</v>
      </c>
      <c r="D1980" t="s">
        <v>624</v>
      </c>
      <c r="E1980" t="s">
        <v>588</v>
      </c>
      <c r="F1980" t="s">
        <v>461</v>
      </c>
      <c r="G1980" t="s">
        <v>7855</v>
      </c>
      <c r="H1980" t="s">
        <v>905</v>
      </c>
      <c r="I1980" t="s">
        <v>10223</v>
      </c>
      <c r="J1980" t="s">
        <v>899</v>
      </c>
      <c r="M1980" s="134">
        <v>560000</v>
      </c>
      <c r="N1980" s="134">
        <v>0</v>
      </c>
      <c r="O1980" t="s">
        <v>560</v>
      </c>
      <c r="P1980" t="s">
        <v>10224</v>
      </c>
      <c r="Q1980" t="s">
        <v>1939</v>
      </c>
      <c r="R1980" t="s">
        <v>10225</v>
      </c>
      <c r="U1980" t="s">
        <v>491</v>
      </c>
      <c r="X1980">
        <v>0</v>
      </c>
    </row>
    <row r="1981" spans="1:24" x14ac:dyDescent="0.25">
      <c r="A1981" s="234">
        <v>42808</v>
      </c>
      <c r="B1981" t="s">
        <v>5956</v>
      </c>
      <c r="D1981" t="s">
        <v>1016</v>
      </c>
      <c r="E1981" t="s">
        <v>588</v>
      </c>
      <c r="F1981" t="s">
        <v>5958</v>
      </c>
      <c r="H1981" t="s">
        <v>905</v>
      </c>
      <c r="M1981" s="134">
        <v>560000</v>
      </c>
      <c r="N1981" s="134">
        <v>0</v>
      </c>
      <c r="O1981" t="s">
        <v>2908</v>
      </c>
      <c r="P1981" t="s">
        <v>5957</v>
      </c>
      <c r="Q1981" t="s">
        <v>592</v>
      </c>
      <c r="U1981" t="s">
        <v>491</v>
      </c>
      <c r="V1981" t="s">
        <v>3985</v>
      </c>
      <c r="W1981" t="s">
        <v>5959</v>
      </c>
      <c r="X1981">
        <v>0</v>
      </c>
    </row>
    <row r="1982" spans="1:24" x14ac:dyDescent="0.25">
      <c r="A1982" s="234">
        <v>42650</v>
      </c>
      <c r="B1982" t="s">
        <v>328</v>
      </c>
      <c r="C1982" t="s">
        <v>603</v>
      </c>
      <c r="D1982" t="s">
        <v>587</v>
      </c>
      <c r="E1982" t="s">
        <v>692</v>
      </c>
      <c r="F1982" t="s">
        <v>4212</v>
      </c>
      <c r="H1982" t="s">
        <v>905</v>
      </c>
      <c r="I1982" t="s">
        <v>4213</v>
      </c>
      <c r="J1982" t="s">
        <v>3373</v>
      </c>
      <c r="M1982" s="134">
        <v>560000</v>
      </c>
      <c r="N1982" s="134">
        <v>605000</v>
      </c>
      <c r="O1982" t="s">
        <v>4214</v>
      </c>
      <c r="P1982" t="s">
        <v>4215</v>
      </c>
      <c r="Q1982" t="s">
        <v>1939</v>
      </c>
      <c r="R1982" t="s">
        <v>4216</v>
      </c>
      <c r="U1982" t="s">
        <v>491</v>
      </c>
      <c r="X1982">
        <v>0</v>
      </c>
    </row>
    <row r="1983" spans="1:24" x14ac:dyDescent="0.25">
      <c r="A1983" s="234">
        <v>43180</v>
      </c>
      <c r="B1983" t="s">
        <v>328</v>
      </c>
      <c r="C1983" t="s">
        <v>603</v>
      </c>
      <c r="D1983" t="s">
        <v>7595</v>
      </c>
      <c r="E1983" t="s">
        <v>588</v>
      </c>
      <c r="F1983" t="s">
        <v>10668</v>
      </c>
      <c r="G1983" t="s">
        <v>10669</v>
      </c>
      <c r="H1983" t="s">
        <v>607</v>
      </c>
      <c r="I1983" t="s">
        <v>2054</v>
      </c>
      <c r="J1983" t="s">
        <v>899</v>
      </c>
      <c r="M1983" s="134">
        <v>560000</v>
      </c>
      <c r="N1983" s="134">
        <v>810000</v>
      </c>
      <c r="O1983" t="s">
        <v>7564</v>
      </c>
      <c r="P1983" t="s">
        <v>10670</v>
      </c>
      <c r="Q1983" t="s">
        <v>592</v>
      </c>
      <c r="R1983" t="s">
        <v>10671</v>
      </c>
      <c r="U1983" t="s">
        <v>1327</v>
      </c>
      <c r="X1983">
        <v>0</v>
      </c>
    </row>
    <row r="1984" spans="1:24" x14ac:dyDescent="0.25">
      <c r="A1984" s="234">
        <v>43258</v>
      </c>
      <c r="B1984" t="s">
        <v>5360</v>
      </c>
      <c r="C1984" t="s">
        <v>899</v>
      </c>
      <c r="D1984" t="s">
        <v>732</v>
      </c>
      <c r="E1984" t="s">
        <v>588</v>
      </c>
      <c r="F1984" t="s">
        <v>11415</v>
      </c>
      <c r="G1984" t="s">
        <v>11416</v>
      </c>
      <c r="H1984" t="s">
        <v>607</v>
      </c>
      <c r="I1984" t="s">
        <v>11417</v>
      </c>
      <c r="J1984" t="s">
        <v>899</v>
      </c>
      <c r="L1984">
        <v>9</v>
      </c>
      <c r="M1984" s="134">
        <v>560000</v>
      </c>
      <c r="N1984" s="134">
        <v>896000</v>
      </c>
      <c r="O1984" t="s">
        <v>4533</v>
      </c>
      <c r="P1984" t="s">
        <v>11418</v>
      </c>
      <c r="Q1984" t="s">
        <v>1939</v>
      </c>
      <c r="R1984" t="s">
        <v>11419</v>
      </c>
      <c r="U1984" t="s">
        <v>491</v>
      </c>
      <c r="X1984">
        <v>0</v>
      </c>
    </row>
    <row r="1985" spans="1:24" x14ac:dyDescent="0.25">
      <c r="A1985" s="234">
        <v>42878</v>
      </c>
      <c r="B1985" t="s">
        <v>569</v>
      </c>
      <c r="C1985" t="s">
        <v>899</v>
      </c>
      <c r="D1985" t="s">
        <v>930</v>
      </c>
      <c r="E1985" t="s">
        <v>821</v>
      </c>
      <c r="F1985" t="s">
        <v>6874</v>
      </c>
      <c r="H1985" t="s">
        <v>607</v>
      </c>
      <c r="I1985" t="s">
        <v>5366</v>
      </c>
      <c r="J1985" t="s">
        <v>899</v>
      </c>
      <c r="M1985" s="134">
        <v>560000</v>
      </c>
      <c r="N1985" s="134">
        <v>962000</v>
      </c>
      <c r="O1985" t="s">
        <v>5125</v>
      </c>
      <c r="P1985" t="s">
        <v>7054</v>
      </c>
      <c r="Q1985" t="s">
        <v>1939</v>
      </c>
      <c r="R1985" t="s">
        <v>6873</v>
      </c>
      <c r="U1985" t="s">
        <v>1327</v>
      </c>
      <c r="X1985">
        <v>0</v>
      </c>
    </row>
    <row r="1986" spans="1:24" x14ac:dyDescent="0.25">
      <c r="A1986" s="234">
        <v>43461</v>
      </c>
      <c r="B1986" t="s">
        <v>569</v>
      </c>
      <c r="C1986" t="s">
        <v>899</v>
      </c>
      <c r="D1986" t="s">
        <v>624</v>
      </c>
      <c r="F1986" t="s">
        <v>13725</v>
      </c>
      <c r="G1986" t="s">
        <v>10527</v>
      </c>
      <c r="H1986" t="s">
        <v>607</v>
      </c>
      <c r="I1986" t="s">
        <v>12584</v>
      </c>
      <c r="J1986" t="s">
        <v>899</v>
      </c>
      <c r="K1986" t="s">
        <v>13726</v>
      </c>
      <c r="L1986">
        <v>2</v>
      </c>
      <c r="M1986" s="134">
        <v>562500</v>
      </c>
      <c r="N1986" s="134">
        <v>1125000</v>
      </c>
      <c r="O1986" t="s">
        <v>6745</v>
      </c>
      <c r="P1986" t="s">
        <v>13727</v>
      </c>
      <c r="Q1986" t="s">
        <v>29</v>
      </c>
      <c r="R1986" t="s">
        <v>13728</v>
      </c>
      <c r="U1986" t="s">
        <v>12797</v>
      </c>
      <c r="X1986">
        <v>1</v>
      </c>
    </row>
    <row r="1987" spans="1:24" x14ac:dyDescent="0.25">
      <c r="A1987" s="234">
        <v>43378</v>
      </c>
      <c r="B1987" t="s">
        <v>643</v>
      </c>
      <c r="C1987" t="s">
        <v>644</v>
      </c>
      <c r="D1987" t="s">
        <v>645</v>
      </c>
      <c r="E1987" t="s">
        <v>588</v>
      </c>
      <c r="F1987" t="s">
        <v>12856</v>
      </c>
      <c r="G1987" t="s">
        <v>11286</v>
      </c>
      <c r="H1987" t="s">
        <v>607</v>
      </c>
      <c r="I1987" t="s">
        <v>5195</v>
      </c>
      <c r="J1987" t="s">
        <v>644</v>
      </c>
      <c r="L1987">
        <v>2</v>
      </c>
      <c r="M1987" s="134">
        <v>563000</v>
      </c>
      <c r="N1987" s="134">
        <v>957000</v>
      </c>
      <c r="O1987" t="s">
        <v>4533</v>
      </c>
      <c r="P1987" t="s">
        <v>13405</v>
      </c>
      <c r="Q1987" t="s">
        <v>1939</v>
      </c>
      <c r="R1987" t="s">
        <v>12857</v>
      </c>
      <c r="U1987" t="s">
        <v>12797</v>
      </c>
      <c r="X1987">
        <v>0</v>
      </c>
    </row>
    <row r="1988" spans="1:24" x14ac:dyDescent="0.25">
      <c r="A1988" s="234">
        <v>42891</v>
      </c>
      <c r="B1988" t="s">
        <v>5360</v>
      </c>
      <c r="D1988" t="s">
        <v>732</v>
      </c>
      <c r="E1988" t="s">
        <v>588</v>
      </c>
      <c r="F1988" t="s">
        <v>7039</v>
      </c>
      <c r="H1988" t="s">
        <v>2074</v>
      </c>
      <c r="I1988" t="s">
        <v>3925</v>
      </c>
      <c r="J1988" t="s">
        <v>899</v>
      </c>
      <c r="L1988">
        <v>3</v>
      </c>
      <c r="M1988" s="134">
        <v>564000</v>
      </c>
      <c r="N1988" s="134">
        <v>784000</v>
      </c>
      <c r="O1988" t="s">
        <v>7040</v>
      </c>
      <c r="P1988" t="s">
        <v>7041</v>
      </c>
      <c r="Q1988" t="s">
        <v>1612</v>
      </c>
      <c r="R1988" t="s">
        <v>7079</v>
      </c>
      <c r="U1988" t="s">
        <v>491</v>
      </c>
      <c r="X1988">
        <v>0</v>
      </c>
    </row>
    <row r="1989" spans="1:24" x14ac:dyDescent="0.25">
      <c r="A1989" s="234">
        <v>43336</v>
      </c>
      <c r="B1989" t="s">
        <v>328</v>
      </c>
      <c r="C1989" t="s">
        <v>603</v>
      </c>
      <c r="D1989" t="s">
        <v>672</v>
      </c>
      <c r="E1989" t="s">
        <v>588</v>
      </c>
      <c r="F1989" t="s">
        <v>12314</v>
      </c>
      <c r="G1989" t="s">
        <v>2186</v>
      </c>
      <c r="H1989" t="s">
        <v>607</v>
      </c>
      <c r="I1989" t="s">
        <v>6965</v>
      </c>
      <c r="J1989" t="s">
        <v>3371</v>
      </c>
      <c r="M1989" s="134">
        <v>564000</v>
      </c>
      <c r="N1989" s="134">
        <v>1156200</v>
      </c>
      <c r="O1989" t="s">
        <v>4533</v>
      </c>
      <c r="P1989" t="s">
        <v>12333</v>
      </c>
      <c r="Q1989" t="s">
        <v>1939</v>
      </c>
      <c r="R1989" t="s">
        <v>12315</v>
      </c>
      <c r="S1989" t="s">
        <v>12418</v>
      </c>
      <c r="U1989" t="s">
        <v>491</v>
      </c>
      <c r="X1989">
        <v>0</v>
      </c>
    </row>
    <row r="1990" spans="1:24" x14ac:dyDescent="0.25">
      <c r="A1990" s="234">
        <v>43600</v>
      </c>
      <c r="B1990" t="s">
        <v>643</v>
      </c>
      <c r="C1990" t="s">
        <v>644</v>
      </c>
      <c r="D1990" t="s">
        <v>645</v>
      </c>
      <c r="F1990" t="s">
        <v>15588</v>
      </c>
      <c r="G1990" t="s">
        <v>15589</v>
      </c>
      <c r="H1990" t="s">
        <v>607</v>
      </c>
      <c r="I1990" t="s">
        <v>4390</v>
      </c>
      <c r="J1990" t="s">
        <v>644</v>
      </c>
      <c r="K1990" t="s">
        <v>13910</v>
      </c>
      <c r="L1990" t="s">
        <v>12803</v>
      </c>
      <c r="M1990" s="134">
        <v>565000</v>
      </c>
      <c r="N1990" s="134">
        <v>900000</v>
      </c>
      <c r="O1990" t="s">
        <v>10765</v>
      </c>
      <c r="P1990" t="s">
        <v>15906</v>
      </c>
      <c r="Q1990" t="s">
        <v>1939</v>
      </c>
      <c r="R1990" t="s">
        <v>15641</v>
      </c>
      <c r="S1990" t="s">
        <v>15591</v>
      </c>
      <c r="U1990" t="s">
        <v>491</v>
      </c>
      <c r="X1990">
        <v>0</v>
      </c>
    </row>
    <row r="1991" spans="1:24" x14ac:dyDescent="0.25">
      <c r="A1991" s="234">
        <v>42765</v>
      </c>
      <c r="B1991" t="s">
        <v>569</v>
      </c>
      <c r="D1991" t="s">
        <v>625</v>
      </c>
      <c r="E1991" t="s">
        <v>588</v>
      </c>
      <c r="F1991" t="s">
        <v>5529</v>
      </c>
      <c r="H1991" t="s">
        <v>607</v>
      </c>
      <c r="I1991" t="s">
        <v>5530</v>
      </c>
      <c r="J1991" t="s">
        <v>899</v>
      </c>
      <c r="L1991" t="s">
        <v>5280</v>
      </c>
      <c r="M1991" s="134">
        <v>565000</v>
      </c>
      <c r="N1991" s="134">
        <v>976000</v>
      </c>
      <c r="O1991" t="s">
        <v>5220</v>
      </c>
      <c r="P1991" t="s">
        <v>5531</v>
      </c>
      <c r="Q1991" t="s">
        <v>592</v>
      </c>
      <c r="U1991" t="s">
        <v>491</v>
      </c>
      <c r="X1991">
        <v>0</v>
      </c>
    </row>
    <row r="1992" spans="1:24" x14ac:dyDescent="0.25">
      <c r="A1992" s="234">
        <v>42655</v>
      </c>
      <c r="B1992" t="s">
        <v>328</v>
      </c>
      <c r="C1992" t="s">
        <v>603</v>
      </c>
      <c r="D1992" t="s">
        <v>2397</v>
      </c>
      <c r="E1992" t="s">
        <v>588</v>
      </c>
      <c r="F1992" t="s">
        <v>4282</v>
      </c>
      <c r="H1992" t="s">
        <v>607</v>
      </c>
      <c r="I1992" t="s">
        <v>3639</v>
      </c>
      <c r="J1992" t="s">
        <v>3373</v>
      </c>
      <c r="L1992">
        <v>4</v>
      </c>
      <c r="M1992" s="134">
        <v>565300</v>
      </c>
      <c r="N1992" s="134">
        <v>975000</v>
      </c>
      <c r="O1992" t="s">
        <v>3107</v>
      </c>
      <c r="P1992" t="s">
        <v>4283</v>
      </c>
      <c r="Q1992" t="s">
        <v>1939</v>
      </c>
      <c r="R1992" t="s">
        <v>4308</v>
      </c>
      <c r="U1992" t="s">
        <v>491</v>
      </c>
      <c r="X1992">
        <v>0</v>
      </c>
    </row>
    <row r="1993" spans="1:24" x14ac:dyDescent="0.25">
      <c r="A1993" s="234">
        <v>43552</v>
      </c>
      <c r="B1993" t="s">
        <v>5473</v>
      </c>
      <c r="C1993" t="s">
        <v>608</v>
      </c>
      <c r="D1993" t="s">
        <v>14932</v>
      </c>
      <c r="F1993" t="s">
        <v>13613</v>
      </c>
      <c r="G1993" t="s">
        <v>14933</v>
      </c>
      <c r="H1993" t="s">
        <v>10832</v>
      </c>
      <c r="I1993" t="s">
        <v>3809</v>
      </c>
      <c r="J1993" t="s">
        <v>602</v>
      </c>
      <c r="K1993" t="s">
        <v>14304</v>
      </c>
      <c r="L1993">
        <v>1</v>
      </c>
      <c r="M1993" s="134">
        <v>565488</v>
      </c>
      <c r="N1993" s="134">
        <v>615488</v>
      </c>
      <c r="O1993" t="s">
        <v>10763</v>
      </c>
      <c r="P1993" t="s">
        <v>14934</v>
      </c>
      <c r="Q1993" t="s">
        <v>1939</v>
      </c>
      <c r="R1993" t="s">
        <v>14935</v>
      </c>
      <c r="U1993" t="s">
        <v>12797</v>
      </c>
      <c r="X1993">
        <v>0</v>
      </c>
    </row>
    <row r="1994" spans="1:24" x14ac:dyDescent="0.25">
      <c r="A1994" s="234">
        <v>42646</v>
      </c>
      <c r="B1994" t="s">
        <v>328</v>
      </c>
      <c r="C1994" t="s">
        <v>603</v>
      </c>
      <c r="D1994" t="s">
        <v>649</v>
      </c>
      <c r="E1994" t="s">
        <v>588</v>
      </c>
      <c r="F1994" t="s">
        <v>4149</v>
      </c>
      <c r="H1994" t="s">
        <v>607</v>
      </c>
      <c r="I1994" t="s">
        <v>4150</v>
      </c>
      <c r="J1994" t="s">
        <v>899</v>
      </c>
      <c r="M1994" s="134">
        <v>566000</v>
      </c>
      <c r="N1994" s="134">
        <v>722600</v>
      </c>
      <c r="O1994" t="s">
        <v>4151</v>
      </c>
      <c r="P1994" t="s">
        <v>4152</v>
      </c>
      <c r="Q1994" t="s">
        <v>1939</v>
      </c>
      <c r="R1994" t="s">
        <v>4153</v>
      </c>
      <c r="U1994" t="s">
        <v>491</v>
      </c>
      <c r="X1994">
        <v>0</v>
      </c>
    </row>
    <row r="1995" spans="1:24" x14ac:dyDescent="0.25">
      <c r="A1995" s="234">
        <v>43437</v>
      </c>
      <c r="B1995" t="s">
        <v>569</v>
      </c>
      <c r="C1995" t="s">
        <v>899</v>
      </c>
      <c r="D1995" t="s">
        <v>625</v>
      </c>
      <c r="F1995" t="s">
        <v>13457</v>
      </c>
      <c r="G1995" t="s">
        <v>13458</v>
      </c>
      <c r="H1995" t="s">
        <v>607</v>
      </c>
      <c r="I1995" t="s">
        <v>13459</v>
      </c>
      <c r="J1995" t="s">
        <v>899</v>
      </c>
      <c r="K1995" t="s">
        <v>13460</v>
      </c>
      <c r="L1995">
        <v>3</v>
      </c>
      <c r="M1995" s="134">
        <v>566800</v>
      </c>
      <c r="N1995" s="134">
        <v>1100000</v>
      </c>
      <c r="O1995" t="s">
        <v>10766</v>
      </c>
      <c r="P1995" t="s">
        <v>13461</v>
      </c>
      <c r="Q1995" t="s">
        <v>1939</v>
      </c>
      <c r="R1995" t="s">
        <v>13462</v>
      </c>
      <c r="U1995" t="s">
        <v>491</v>
      </c>
      <c r="X1995">
        <v>0</v>
      </c>
    </row>
    <row r="1996" spans="1:24" x14ac:dyDescent="0.25">
      <c r="A1996" s="234">
        <v>43172</v>
      </c>
      <c r="B1996" t="s">
        <v>5360</v>
      </c>
      <c r="C1996" t="s">
        <v>899</v>
      </c>
      <c r="D1996" t="s">
        <v>732</v>
      </c>
      <c r="E1996" t="s">
        <v>588</v>
      </c>
      <c r="F1996" t="s">
        <v>10577</v>
      </c>
      <c r="G1996" t="s">
        <v>10578</v>
      </c>
      <c r="H1996" t="s">
        <v>607</v>
      </c>
      <c r="I1996" t="s">
        <v>7799</v>
      </c>
      <c r="J1996" t="s">
        <v>899</v>
      </c>
      <c r="L1996">
        <v>4</v>
      </c>
      <c r="M1996" s="134">
        <v>567000</v>
      </c>
      <c r="N1996" s="134">
        <v>1020600</v>
      </c>
      <c r="O1996" t="s">
        <v>10879</v>
      </c>
      <c r="P1996" t="s">
        <v>10579</v>
      </c>
      <c r="Q1996" t="s">
        <v>1939</v>
      </c>
      <c r="R1996" t="s">
        <v>10580</v>
      </c>
      <c r="U1996" t="s">
        <v>1327</v>
      </c>
      <c r="X1996">
        <v>0</v>
      </c>
    </row>
    <row r="1997" spans="1:24" x14ac:dyDescent="0.25">
      <c r="A1997" s="234">
        <v>42993</v>
      </c>
      <c r="B1997" t="s">
        <v>5176</v>
      </c>
      <c r="C1997" t="s">
        <v>604</v>
      </c>
      <c r="D1997" t="s">
        <v>595</v>
      </c>
      <c r="E1997" t="s">
        <v>588</v>
      </c>
      <c r="F1997" t="s">
        <v>240</v>
      </c>
      <c r="G1997" t="s">
        <v>4818</v>
      </c>
      <c r="H1997" t="s">
        <v>809</v>
      </c>
      <c r="I1997" t="s">
        <v>8586</v>
      </c>
      <c r="J1997" t="s">
        <v>959</v>
      </c>
      <c r="M1997" s="134">
        <v>570000</v>
      </c>
      <c r="N1997" s="134">
        <v>595000</v>
      </c>
      <c r="O1997" t="s">
        <v>639</v>
      </c>
      <c r="P1997" t="s">
        <v>8587</v>
      </c>
      <c r="Q1997" t="s">
        <v>29</v>
      </c>
      <c r="R1997" t="s">
        <v>8588</v>
      </c>
      <c r="T1997">
        <v>31</v>
      </c>
      <c r="U1997" t="s">
        <v>491</v>
      </c>
      <c r="X1997">
        <v>1</v>
      </c>
    </row>
    <row r="1998" spans="1:24" x14ac:dyDescent="0.25">
      <c r="A1998" s="234">
        <v>42389</v>
      </c>
      <c r="B1998" t="s">
        <v>110</v>
      </c>
      <c r="D1998" t="s">
        <v>715</v>
      </c>
      <c r="E1998" t="s">
        <v>588</v>
      </c>
      <c r="F1998" t="s">
        <v>776</v>
      </c>
      <c r="H1998" t="s">
        <v>607</v>
      </c>
      <c r="I1998" t="s">
        <v>777</v>
      </c>
      <c r="M1998" s="134">
        <v>573000</v>
      </c>
      <c r="N1998" s="134">
        <v>974100</v>
      </c>
      <c r="O1998" t="s">
        <v>778</v>
      </c>
      <c r="P1998" t="s">
        <v>779</v>
      </c>
      <c r="Q1998" t="s">
        <v>29</v>
      </c>
      <c r="R1998" t="s">
        <v>1186</v>
      </c>
      <c r="U1998" t="s">
        <v>491</v>
      </c>
      <c r="X1998">
        <v>1</v>
      </c>
    </row>
    <row r="1999" spans="1:24" x14ac:dyDescent="0.25">
      <c r="A1999" s="234">
        <v>42657</v>
      </c>
      <c r="B1999" t="s">
        <v>643</v>
      </c>
      <c r="C1999" t="s">
        <v>644</v>
      </c>
      <c r="D1999" t="s">
        <v>3132</v>
      </c>
      <c r="E1999" t="s">
        <v>588</v>
      </c>
      <c r="F1999" t="s">
        <v>4334</v>
      </c>
      <c r="H1999" t="s">
        <v>607</v>
      </c>
      <c r="I1999" t="s">
        <v>4335</v>
      </c>
      <c r="J1999" t="s">
        <v>644</v>
      </c>
      <c r="L1999">
        <v>5</v>
      </c>
      <c r="M1999" s="134">
        <v>575000</v>
      </c>
      <c r="N1999" s="134">
        <v>732500</v>
      </c>
      <c r="O1999" t="s">
        <v>2744</v>
      </c>
      <c r="P1999" t="s">
        <v>4336</v>
      </c>
      <c r="Q1999" t="s">
        <v>29</v>
      </c>
      <c r="R1999" t="s">
        <v>4337</v>
      </c>
      <c r="U1999" t="s">
        <v>491</v>
      </c>
      <c r="X1999">
        <v>1</v>
      </c>
    </row>
    <row r="2000" spans="1:24" x14ac:dyDescent="0.25">
      <c r="A2000" s="234">
        <v>43292</v>
      </c>
      <c r="B2000" t="s">
        <v>569</v>
      </c>
      <c r="C2000" t="s">
        <v>899</v>
      </c>
      <c r="D2000" t="s">
        <v>625</v>
      </c>
      <c r="E2000" t="s">
        <v>588</v>
      </c>
      <c r="F2000" t="s">
        <v>11723</v>
      </c>
      <c r="G2000" t="s">
        <v>11724</v>
      </c>
      <c r="H2000" t="s">
        <v>905</v>
      </c>
      <c r="I2000" t="s">
        <v>3672</v>
      </c>
      <c r="J2000" t="s">
        <v>899</v>
      </c>
      <c r="M2000" s="134">
        <v>575000</v>
      </c>
      <c r="N2000" s="134">
        <v>750000</v>
      </c>
      <c r="O2000" t="s">
        <v>10766</v>
      </c>
      <c r="P2000" t="s">
        <v>11725</v>
      </c>
      <c r="Q2000" t="s">
        <v>1939</v>
      </c>
      <c r="R2000" t="s">
        <v>11726</v>
      </c>
      <c r="U2000" t="s">
        <v>491</v>
      </c>
      <c r="X2000">
        <v>0</v>
      </c>
    </row>
    <row r="2001" spans="1:24" x14ac:dyDescent="0.25">
      <c r="A2001" s="234">
        <v>43433</v>
      </c>
      <c r="B2001" t="s">
        <v>569</v>
      </c>
      <c r="C2001" t="s">
        <v>899</v>
      </c>
      <c r="D2001" t="s">
        <v>1070</v>
      </c>
      <c r="F2001" t="s">
        <v>13335</v>
      </c>
      <c r="G2001" t="s">
        <v>13336</v>
      </c>
      <c r="H2001" t="s">
        <v>607</v>
      </c>
      <c r="I2001" t="s">
        <v>6012</v>
      </c>
      <c r="J2001" t="s">
        <v>899</v>
      </c>
      <c r="K2001" t="s">
        <v>13337</v>
      </c>
      <c r="L2001">
        <v>3</v>
      </c>
      <c r="M2001" s="134">
        <v>576300</v>
      </c>
      <c r="N2001" s="134">
        <v>1020000</v>
      </c>
      <c r="O2001" t="s">
        <v>10766</v>
      </c>
      <c r="P2001" t="s">
        <v>13338</v>
      </c>
      <c r="Q2001" t="s">
        <v>1939</v>
      </c>
      <c r="R2001" t="s">
        <v>13340</v>
      </c>
      <c r="U2001" t="s">
        <v>491</v>
      </c>
      <c r="X2001">
        <v>0</v>
      </c>
    </row>
    <row r="2002" spans="1:24" x14ac:dyDescent="0.25">
      <c r="A2002" s="234">
        <v>43048</v>
      </c>
      <c r="B2002" t="s">
        <v>328</v>
      </c>
      <c r="C2002" t="s">
        <v>603</v>
      </c>
      <c r="D2002" t="s">
        <v>649</v>
      </c>
      <c r="E2002" t="s">
        <v>588</v>
      </c>
      <c r="F2002" t="s">
        <v>9391</v>
      </c>
      <c r="G2002" t="s">
        <v>757</v>
      </c>
      <c r="H2002" t="s">
        <v>1391</v>
      </c>
      <c r="J2002" t="s">
        <v>3501</v>
      </c>
      <c r="L2002">
        <v>10</v>
      </c>
      <c r="M2002" s="134">
        <v>578000</v>
      </c>
      <c r="N2002" s="134">
        <v>793600</v>
      </c>
      <c r="O2002" t="s">
        <v>2680</v>
      </c>
      <c r="P2002" t="s">
        <v>9611</v>
      </c>
      <c r="Q2002" t="s">
        <v>29</v>
      </c>
      <c r="R2002" t="s">
        <v>9612</v>
      </c>
      <c r="U2002" t="s">
        <v>1327</v>
      </c>
      <c r="X2002">
        <v>1</v>
      </c>
    </row>
    <row r="2003" spans="1:24" x14ac:dyDescent="0.25">
      <c r="A2003" s="234">
        <v>43084</v>
      </c>
      <c r="B2003" t="s">
        <v>569</v>
      </c>
      <c r="C2003" t="s">
        <v>899</v>
      </c>
      <c r="D2003" t="s">
        <v>625</v>
      </c>
      <c r="E2003" t="s">
        <v>588</v>
      </c>
      <c r="F2003" t="s">
        <v>9476</v>
      </c>
      <c r="G2003" t="s">
        <v>9782</v>
      </c>
      <c r="H2003" t="s">
        <v>1391</v>
      </c>
      <c r="I2003" t="s">
        <v>4674</v>
      </c>
      <c r="J2003" t="s">
        <v>899</v>
      </c>
      <c r="L2003">
        <v>4</v>
      </c>
      <c r="M2003" s="134">
        <v>579825</v>
      </c>
      <c r="N2003" s="134">
        <v>927808</v>
      </c>
      <c r="O2003" t="s">
        <v>9783</v>
      </c>
      <c r="P2003" t="s">
        <v>9784</v>
      </c>
      <c r="Q2003" t="s">
        <v>1939</v>
      </c>
      <c r="R2003" t="s">
        <v>9785</v>
      </c>
      <c r="U2003" t="s">
        <v>1327</v>
      </c>
      <c r="X2003">
        <v>0</v>
      </c>
    </row>
    <row r="2004" spans="1:24" x14ac:dyDescent="0.25">
      <c r="A2004" s="234">
        <v>43538</v>
      </c>
      <c r="B2004" t="s">
        <v>9240</v>
      </c>
      <c r="C2004" t="s">
        <v>603</v>
      </c>
      <c r="D2004" t="s">
        <v>9241</v>
      </c>
      <c r="F2004" t="s">
        <v>14458</v>
      </c>
      <c r="G2004" t="s">
        <v>11187</v>
      </c>
      <c r="H2004" t="s">
        <v>607</v>
      </c>
      <c r="I2004" t="s">
        <v>14459</v>
      </c>
      <c r="J2004" t="s">
        <v>4031</v>
      </c>
      <c r="K2004" t="s">
        <v>14460</v>
      </c>
      <c r="L2004">
        <v>3</v>
      </c>
      <c r="M2004" s="134">
        <v>580000</v>
      </c>
      <c r="N2004" s="134">
        <v>1044000</v>
      </c>
      <c r="O2004" t="s">
        <v>10766</v>
      </c>
      <c r="P2004" t="s">
        <v>14708</v>
      </c>
      <c r="Q2004" t="s">
        <v>1939</v>
      </c>
      <c r="R2004" t="s">
        <v>14832</v>
      </c>
      <c r="U2004" t="s">
        <v>12797</v>
      </c>
      <c r="X2004">
        <v>0</v>
      </c>
    </row>
    <row r="2005" spans="1:24" x14ac:dyDescent="0.25">
      <c r="A2005" s="234">
        <v>42629</v>
      </c>
      <c r="B2005" t="s">
        <v>328</v>
      </c>
      <c r="C2005" t="s">
        <v>603</v>
      </c>
      <c r="D2005" t="s">
        <v>1471</v>
      </c>
      <c r="E2005" t="s">
        <v>588</v>
      </c>
      <c r="F2005" t="s">
        <v>3940</v>
      </c>
      <c r="H2005" t="s">
        <v>607</v>
      </c>
      <c r="I2005" t="s">
        <v>3941</v>
      </c>
      <c r="J2005" t="s">
        <v>899</v>
      </c>
      <c r="L2005">
        <v>4</v>
      </c>
      <c r="M2005" s="134">
        <v>580000</v>
      </c>
      <c r="N2005" s="134">
        <v>1044000</v>
      </c>
      <c r="O2005" t="s">
        <v>3625</v>
      </c>
      <c r="P2005" t="s">
        <v>3942</v>
      </c>
      <c r="Q2005" t="s">
        <v>1939</v>
      </c>
      <c r="R2005" t="s">
        <v>3943</v>
      </c>
      <c r="U2005" t="s">
        <v>491</v>
      </c>
      <c r="X2005">
        <v>0</v>
      </c>
    </row>
    <row r="2006" spans="1:24" x14ac:dyDescent="0.25">
      <c r="A2006" s="234">
        <v>43027</v>
      </c>
      <c r="B2006" t="s">
        <v>328</v>
      </c>
      <c r="C2006" t="s">
        <v>603</v>
      </c>
      <c r="D2006" t="s">
        <v>2500</v>
      </c>
      <c r="E2006" t="s">
        <v>588</v>
      </c>
      <c r="F2006" t="s">
        <v>9095</v>
      </c>
      <c r="G2006" t="s">
        <v>9096</v>
      </c>
      <c r="H2006" t="s">
        <v>607</v>
      </c>
      <c r="I2006" t="s">
        <v>3563</v>
      </c>
      <c r="J2006" t="s">
        <v>899</v>
      </c>
      <c r="L2006">
        <v>10</v>
      </c>
      <c r="M2006" s="134">
        <v>581000</v>
      </c>
      <c r="N2006" s="134">
        <v>1045800</v>
      </c>
      <c r="O2006" t="s">
        <v>2680</v>
      </c>
      <c r="P2006" t="s">
        <v>9276</v>
      </c>
      <c r="Q2006" t="s">
        <v>1939</v>
      </c>
      <c r="R2006" t="s">
        <v>9097</v>
      </c>
      <c r="U2006" t="s">
        <v>491</v>
      </c>
      <c r="X2006">
        <v>0</v>
      </c>
    </row>
    <row r="2007" spans="1:24" x14ac:dyDescent="0.25">
      <c r="A2007" s="234">
        <v>42506</v>
      </c>
      <c r="B2007" t="s">
        <v>378</v>
      </c>
      <c r="C2007" t="s">
        <v>610</v>
      </c>
      <c r="D2007" t="s">
        <v>1027</v>
      </c>
      <c r="E2007" t="s">
        <v>588</v>
      </c>
      <c r="F2007" t="s">
        <v>2102</v>
      </c>
      <c r="H2007" t="s">
        <v>2103</v>
      </c>
      <c r="I2007" t="s">
        <v>2104</v>
      </c>
      <c r="M2007" s="134">
        <v>583000</v>
      </c>
      <c r="N2007" s="134">
        <v>714000</v>
      </c>
      <c r="O2007" t="s">
        <v>1498</v>
      </c>
      <c r="P2007" t="s">
        <v>2105</v>
      </c>
      <c r="Q2007" t="s">
        <v>1939</v>
      </c>
      <c r="R2007" t="s">
        <v>2106</v>
      </c>
      <c r="U2007" t="s">
        <v>491</v>
      </c>
      <c r="X2007">
        <v>0</v>
      </c>
    </row>
    <row r="2008" spans="1:24" x14ac:dyDescent="0.25">
      <c r="A2008" s="234">
        <v>43374</v>
      </c>
      <c r="B2008" t="s">
        <v>9240</v>
      </c>
      <c r="C2008" t="s">
        <v>603</v>
      </c>
      <c r="D2008" t="s">
        <v>9241</v>
      </c>
      <c r="E2008" t="s">
        <v>588</v>
      </c>
      <c r="F2008" t="s">
        <v>491</v>
      </c>
      <c r="G2008" t="s">
        <v>12777</v>
      </c>
      <c r="H2008" t="s">
        <v>607</v>
      </c>
      <c r="I2008" t="s">
        <v>9018</v>
      </c>
      <c r="J2008" t="s">
        <v>3373</v>
      </c>
      <c r="L2008">
        <v>5</v>
      </c>
      <c r="M2008" s="134">
        <v>584608</v>
      </c>
      <c r="N2008" s="134">
        <v>1169215</v>
      </c>
      <c r="O2008" t="s">
        <v>10766</v>
      </c>
      <c r="P2008" t="s">
        <v>12778</v>
      </c>
      <c r="Q2008" t="s">
        <v>1939</v>
      </c>
      <c r="R2008" t="s">
        <v>12779</v>
      </c>
      <c r="U2008" t="s">
        <v>12344</v>
      </c>
      <c r="X2008">
        <v>0</v>
      </c>
    </row>
    <row r="2009" spans="1:24" x14ac:dyDescent="0.25">
      <c r="A2009" s="234">
        <v>43122</v>
      </c>
      <c r="B2009" t="s">
        <v>328</v>
      </c>
      <c r="C2009" t="s">
        <v>603</v>
      </c>
      <c r="D2009" t="s">
        <v>649</v>
      </c>
      <c r="E2009" t="s">
        <v>588</v>
      </c>
      <c r="F2009" t="s">
        <v>10107</v>
      </c>
      <c r="G2009" t="s">
        <v>10108</v>
      </c>
      <c r="H2009" t="s">
        <v>607</v>
      </c>
      <c r="I2009" t="s">
        <v>6987</v>
      </c>
      <c r="J2009" t="s">
        <v>959</v>
      </c>
      <c r="L2009">
        <v>5</v>
      </c>
      <c r="M2009" s="134">
        <v>585000</v>
      </c>
      <c r="N2009" s="134">
        <v>872000</v>
      </c>
      <c r="O2009" t="s">
        <v>4533</v>
      </c>
      <c r="P2009" t="s">
        <v>10109</v>
      </c>
      <c r="Q2009" t="s">
        <v>1939</v>
      </c>
      <c r="R2009" t="s">
        <v>10020</v>
      </c>
      <c r="U2009" t="s">
        <v>1327</v>
      </c>
      <c r="X2009">
        <v>0</v>
      </c>
    </row>
    <row r="2010" spans="1:24" x14ac:dyDescent="0.25">
      <c r="A2010" s="234">
        <v>43389</v>
      </c>
      <c r="B2010" t="s">
        <v>643</v>
      </c>
      <c r="C2010" t="s">
        <v>644</v>
      </c>
      <c r="D2010" t="s">
        <v>12940</v>
      </c>
      <c r="F2010" t="s">
        <v>12941</v>
      </c>
      <c r="G2010" t="s">
        <v>7792</v>
      </c>
      <c r="H2010" t="s">
        <v>12311</v>
      </c>
      <c r="I2010" t="s">
        <v>2054</v>
      </c>
      <c r="J2010" t="s">
        <v>899</v>
      </c>
      <c r="L2010">
        <v>5</v>
      </c>
      <c r="M2010" s="134">
        <v>587000</v>
      </c>
      <c r="N2010" s="134">
        <v>587000</v>
      </c>
      <c r="O2010" t="s">
        <v>10766</v>
      </c>
      <c r="P2010" t="s">
        <v>12942</v>
      </c>
      <c r="Q2010" t="s">
        <v>620</v>
      </c>
      <c r="R2010" t="s">
        <v>12943</v>
      </c>
      <c r="U2010" t="s">
        <v>12344</v>
      </c>
      <c r="X2010">
        <v>0</v>
      </c>
    </row>
    <row r="2011" spans="1:24" x14ac:dyDescent="0.25">
      <c r="A2011" s="234">
        <v>43402</v>
      </c>
      <c r="B2011" t="s">
        <v>328</v>
      </c>
      <c r="C2011" t="s">
        <v>603</v>
      </c>
      <c r="D2011" t="s">
        <v>10705</v>
      </c>
      <c r="F2011" t="s">
        <v>7974</v>
      </c>
      <c r="G2011" t="s">
        <v>7172</v>
      </c>
      <c r="H2011" t="s">
        <v>886</v>
      </c>
      <c r="I2011" t="s">
        <v>4390</v>
      </c>
      <c r="J2011" t="s">
        <v>644</v>
      </c>
      <c r="K2011" t="s">
        <v>13083</v>
      </c>
      <c r="L2011">
        <v>3</v>
      </c>
      <c r="M2011" s="134">
        <v>589000</v>
      </c>
      <c r="N2011" s="134">
        <v>1236900</v>
      </c>
      <c r="O2011" t="s">
        <v>10766</v>
      </c>
      <c r="P2011" t="s">
        <v>13084</v>
      </c>
      <c r="Q2011" t="s">
        <v>1612</v>
      </c>
      <c r="R2011" t="s">
        <v>13161</v>
      </c>
      <c r="U2011" t="s">
        <v>12344</v>
      </c>
      <c r="X2011">
        <v>0</v>
      </c>
    </row>
    <row r="2012" spans="1:24" x14ac:dyDescent="0.25">
      <c r="A2012" s="234">
        <v>42612</v>
      </c>
      <c r="B2012" t="s">
        <v>328</v>
      </c>
      <c r="C2012" t="s">
        <v>603</v>
      </c>
      <c r="D2012" t="s">
        <v>587</v>
      </c>
      <c r="E2012" t="s">
        <v>588</v>
      </c>
      <c r="F2012" t="s">
        <v>8542</v>
      </c>
      <c r="H2012" t="s">
        <v>607</v>
      </c>
      <c r="I2012" t="s">
        <v>3691</v>
      </c>
      <c r="J2012" t="s">
        <v>3612</v>
      </c>
      <c r="L2012">
        <v>9</v>
      </c>
      <c r="M2012" s="134">
        <v>590000</v>
      </c>
      <c r="N2012" s="134">
        <v>1225000</v>
      </c>
      <c r="O2012" t="s">
        <v>2596</v>
      </c>
      <c r="P2012" t="s">
        <v>3692</v>
      </c>
      <c r="Q2012" t="s">
        <v>620</v>
      </c>
      <c r="R2012" t="s">
        <v>3693</v>
      </c>
      <c r="U2012" t="s">
        <v>491</v>
      </c>
      <c r="X2012">
        <v>0</v>
      </c>
    </row>
    <row r="2013" spans="1:24" x14ac:dyDescent="0.25">
      <c r="A2013" s="234">
        <v>43115</v>
      </c>
      <c r="B2013" t="s">
        <v>9240</v>
      </c>
      <c r="C2013" t="s">
        <v>603</v>
      </c>
      <c r="D2013" t="s">
        <v>9241</v>
      </c>
      <c r="E2013" t="s">
        <v>588</v>
      </c>
      <c r="F2013" t="s">
        <v>272</v>
      </c>
      <c r="G2013" t="s">
        <v>2346</v>
      </c>
      <c r="H2013" t="s">
        <v>10832</v>
      </c>
      <c r="I2013" t="s">
        <v>9985</v>
      </c>
      <c r="J2013" t="s">
        <v>603</v>
      </c>
      <c r="L2013" t="s">
        <v>9986</v>
      </c>
      <c r="M2013" s="134">
        <v>592577</v>
      </c>
      <c r="N2013" s="134">
        <v>1200000</v>
      </c>
      <c r="O2013" t="s">
        <v>10766</v>
      </c>
      <c r="P2013" t="s">
        <v>9987</v>
      </c>
      <c r="Q2013" t="s">
        <v>1939</v>
      </c>
      <c r="R2013" t="s">
        <v>9988</v>
      </c>
      <c r="U2013" t="s">
        <v>491</v>
      </c>
      <c r="X2013">
        <v>0</v>
      </c>
    </row>
    <row r="2014" spans="1:24" x14ac:dyDescent="0.25">
      <c r="A2014" s="234">
        <v>43229</v>
      </c>
      <c r="B2014" t="s">
        <v>328</v>
      </c>
      <c r="C2014" t="s">
        <v>603</v>
      </c>
      <c r="D2014" t="s">
        <v>748</v>
      </c>
      <c r="E2014" t="s">
        <v>588</v>
      </c>
      <c r="F2014" t="s">
        <v>11221</v>
      </c>
      <c r="G2014" t="s">
        <v>8657</v>
      </c>
      <c r="H2014" t="s">
        <v>607</v>
      </c>
      <c r="J2014" t="s">
        <v>3398</v>
      </c>
      <c r="L2014">
        <v>5</v>
      </c>
      <c r="M2014" s="134">
        <v>593000</v>
      </c>
      <c r="N2014" s="134">
        <v>1186000</v>
      </c>
      <c r="O2014" t="s">
        <v>7564</v>
      </c>
      <c r="P2014" t="s">
        <v>11220</v>
      </c>
      <c r="Q2014" t="s">
        <v>29</v>
      </c>
      <c r="R2014" t="s">
        <v>11219</v>
      </c>
      <c r="U2014" t="s">
        <v>1327</v>
      </c>
      <c r="X2014">
        <v>1</v>
      </c>
    </row>
    <row r="2015" spans="1:24" x14ac:dyDescent="0.25">
      <c r="A2015" s="234">
        <v>42633</v>
      </c>
      <c r="B2015" t="s">
        <v>320</v>
      </c>
      <c r="C2015" t="s">
        <v>1228</v>
      </c>
      <c r="D2015" t="s">
        <v>1229</v>
      </c>
      <c r="E2015" t="s">
        <v>588</v>
      </c>
      <c r="F2015" t="s">
        <v>3993</v>
      </c>
      <c r="H2015" t="s">
        <v>2021</v>
      </c>
      <c r="I2015" t="s">
        <v>3855</v>
      </c>
      <c r="J2015" t="s">
        <v>3856</v>
      </c>
      <c r="M2015" s="134">
        <v>594150</v>
      </c>
      <c r="N2015" s="134">
        <v>944150</v>
      </c>
      <c r="O2015" t="s">
        <v>3994</v>
      </c>
      <c r="P2015" t="s">
        <v>3995</v>
      </c>
      <c r="Q2015" t="s">
        <v>620</v>
      </c>
      <c r="R2015" t="s">
        <v>3996</v>
      </c>
      <c r="U2015" t="s">
        <v>491</v>
      </c>
      <c r="X2015">
        <v>0</v>
      </c>
    </row>
    <row r="2016" spans="1:24" x14ac:dyDescent="0.25">
      <c r="A2016" s="234">
        <v>42934</v>
      </c>
      <c r="B2016" t="s">
        <v>110</v>
      </c>
      <c r="C2016" t="s">
        <v>761</v>
      </c>
      <c r="D2016" t="s">
        <v>715</v>
      </c>
      <c r="E2016" t="s">
        <v>588</v>
      </c>
      <c r="F2016" t="s">
        <v>7640</v>
      </c>
      <c r="H2016" t="s">
        <v>905</v>
      </c>
      <c r="I2016" t="s">
        <v>7641</v>
      </c>
      <c r="J2016" t="s">
        <v>4785</v>
      </c>
      <c r="L2016">
        <v>9</v>
      </c>
      <c r="M2016" s="134">
        <v>595000</v>
      </c>
      <c r="N2016" s="134">
        <v>719000</v>
      </c>
      <c r="O2016" t="s">
        <v>840</v>
      </c>
      <c r="P2016" t="s">
        <v>7642</v>
      </c>
      <c r="Q2016" t="s">
        <v>1939</v>
      </c>
      <c r="R2016" t="s">
        <v>7643</v>
      </c>
      <c r="U2016" t="s">
        <v>491</v>
      </c>
      <c r="X2016">
        <v>0</v>
      </c>
    </row>
    <row r="2017" spans="1:24" x14ac:dyDescent="0.25">
      <c r="A2017" s="234">
        <v>43580</v>
      </c>
      <c r="B2017" t="s">
        <v>13559</v>
      </c>
      <c r="C2017" t="s">
        <v>602</v>
      </c>
      <c r="D2017" t="s">
        <v>14496</v>
      </c>
      <c r="F2017" t="s">
        <v>9350</v>
      </c>
      <c r="G2017" t="s">
        <v>15233</v>
      </c>
      <c r="H2017" t="s">
        <v>607</v>
      </c>
      <c r="I2017" t="s">
        <v>5967</v>
      </c>
      <c r="J2017" t="s">
        <v>602</v>
      </c>
      <c r="K2017" t="s">
        <v>15234</v>
      </c>
      <c r="L2017">
        <v>5</v>
      </c>
      <c r="M2017" s="134">
        <v>595000</v>
      </c>
      <c r="N2017" s="134">
        <v>975000</v>
      </c>
      <c r="O2017" t="s">
        <v>10766</v>
      </c>
      <c r="P2017" t="s">
        <v>15235</v>
      </c>
      <c r="Q2017" t="s">
        <v>1612</v>
      </c>
      <c r="R2017" t="s">
        <v>15237</v>
      </c>
      <c r="S2017" t="s">
        <v>15236</v>
      </c>
      <c r="U2017" t="s">
        <v>491</v>
      </c>
      <c r="X2017">
        <v>0</v>
      </c>
    </row>
    <row r="2018" spans="1:24" x14ac:dyDescent="0.25">
      <c r="A2018" s="234">
        <v>42594</v>
      </c>
      <c r="B2018" t="s">
        <v>328</v>
      </c>
      <c r="C2018" t="s">
        <v>603</v>
      </c>
      <c r="D2018" t="s">
        <v>1471</v>
      </c>
      <c r="E2018" t="s">
        <v>588</v>
      </c>
      <c r="F2018" t="s">
        <v>3391</v>
      </c>
      <c r="H2018" t="s">
        <v>607</v>
      </c>
      <c r="I2018" t="s">
        <v>3392</v>
      </c>
      <c r="J2018" t="s">
        <v>899</v>
      </c>
      <c r="L2018">
        <v>9</v>
      </c>
      <c r="M2018" s="134">
        <v>596000</v>
      </c>
      <c r="N2018" s="134">
        <v>1013200</v>
      </c>
      <c r="O2018" t="s">
        <v>3393</v>
      </c>
      <c r="P2018" t="s">
        <v>3394</v>
      </c>
      <c r="Q2018" t="s">
        <v>1939</v>
      </c>
      <c r="R2018" t="s">
        <v>3395</v>
      </c>
      <c r="U2018" t="s">
        <v>491</v>
      </c>
      <c r="X2018">
        <v>0</v>
      </c>
    </row>
    <row r="2019" spans="1:24" x14ac:dyDescent="0.25">
      <c r="A2019" s="234">
        <v>43619</v>
      </c>
      <c r="B2019" t="s">
        <v>643</v>
      </c>
      <c r="C2019" t="s">
        <v>644</v>
      </c>
      <c r="D2019" t="s">
        <v>645</v>
      </c>
      <c r="F2019" t="s">
        <v>15240</v>
      </c>
      <c r="G2019" t="s">
        <v>8383</v>
      </c>
      <c r="H2019" t="s">
        <v>607</v>
      </c>
      <c r="I2019" t="s">
        <v>15242</v>
      </c>
      <c r="J2019" t="s">
        <v>3372</v>
      </c>
      <c r="K2019" t="s">
        <v>15243</v>
      </c>
      <c r="L2019">
        <v>10</v>
      </c>
      <c r="M2019" s="134">
        <v>599760</v>
      </c>
      <c r="N2019" s="134">
        <v>1200000</v>
      </c>
      <c r="O2019" t="s">
        <v>10766</v>
      </c>
      <c r="P2019" t="s">
        <v>15857</v>
      </c>
      <c r="Q2019" t="s">
        <v>29</v>
      </c>
      <c r="R2019" t="s">
        <v>15858</v>
      </c>
      <c r="U2019" t="s">
        <v>491</v>
      </c>
      <c r="X2019">
        <v>1</v>
      </c>
    </row>
    <row r="2020" spans="1:24" x14ac:dyDescent="0.25">
      <c r="A2020" s="234">
        <v>43193</v>
      </c>
      <c r="B2020" t="s">
        <v>9240</v>
      </c>
      <c r="C2020" t="s">
        <v>603</v>
      </c>
      <c r="D2020" t="s">
        <v>9241</v>
      </c>
      <c r="E2020" t="s">
        <v>588</v>
      </c>
      <c r="F2020" t="s">
        <v>10775</v>
      </c>
      <c r="G2020" t="s">
        <v>10776</v>
      </c>
      <c r="H2020" t="s">
        <v>607</v>
      </c>
      <c r="I2020" t="s">
        <v>10777</v>
      </c>
      <c r="J2020" t="s">
        <v>603</v>
      </c>
      <c r="M2020" s="134">
        <v>600000</v>
      </c>
      <c r="N2020" s="134">
        <v>0</v>
      </c>
      <c r="O2020" t="s">
        <v>10766</v>
      </c>
      <c r="P2020" t="s">
        <v>10778</v>
      </c>
      <c r="Q2020" t="s">
        <v>592</v>
      </c>
      <c r="U2020" t="s">
        <v>491</v>
      </c>
      <c r="X2020">
        <v>0</v>
      </c>
    </row>
    <row r="2021" spans="1:24" x14ac:dyDescent="0.25">
      <c r="A2021" s="234">
        <v>42900</v>
      </c>
      <c r="B2021" t="s">
        <v>569</v>
      </c>
      <c r="D2021" t="s">
        <v>930</v>
      </c>
      <c r="E2021" t="s">
        <v>588</v>
      </c>
      <c r="F2021" t="s">
        <v>7183</v>
      </c>
      <c r="H2021" t="s">
        <v>886</v>
      </c>
      <c r="I2021" t="s">
        <v>833</v>
      </c>
      <c r="J2021" t="s">
        <v>899</v>
      </c>
      <c r="M2021" s="134">
        <v>600000</v>
      </c>
      <c r="N2021" s="134">
        <v>0</v>
      </c>
      <c r="O2021" t="s">
        <v>7184</v>
      </c>
      <c r="P2021" t="s">
        <v>7185</v>
      </c>
      <c r="Q2021" t="s">
        <v>1939</v>
      </c>
      <c r="R2021" t="s">
        <v>7186</v>
      </c>
      <c r="U2021" t="s">
        <v>491</v>
      </c>
      <c r="X2021">
        <v>0</v>
      </c>
    </row>
    <row r="2022" spans="1:24" x14ac:dyDescent="0.25">
      <c r="A2022" s="234">
        <v>42969</v>
      </c>
      <c r="B2022" t="s">
        <v>569</v>
      </c>
      <c r="C2022" t="s">
        <v>899</v>
      </c>
      <c r="D2022" t="s">
        <v>625</v>
      </c>
      <c r="E2022" t="s">
        <v>821</v>
      </c>
      <c r="F2022" t="s">
        <v>8271</v>
      </c>
      <c r="H2022" t="s">
        <v>1050</v>
      </c>
      <c r="M2022" s="134">
        <v>600000</v>
      </c>
      <c r="N2022" s="134">
        <v>0</v>
      </c>
      <c r="O2022" t="s">
        <v>8272</v>
      </c>
      <c r="P2022" t="s">
        <v>8273</v>
      </c>
      <c r="Q2022" t="s">
        <v>1939</v>
      </c>
      <c r="R2022" t="s">
        <v>8274</v>
      </c>
      <c r="T2022">
        <v>10</v>
      </c>
      <c r="U2022" t="s">
        <v>491</v>
      </c>
      <c r="X2022">
        <v>0</v>
      </c>
    </row>
    <row r="2023" spans="1:24" x14ac:dyDescent="0.25">
      <c r="A2023" s="234">
        <v>43042</v>
      </c>
      <c r="B2023" t="s">
        <v>569</v>
      </c>
      <c r="C2023" t="s">
        <v>899</v>
      </c>
      <c r="D2023" t="s">
        <v>624</v>
      </c>
      <c r="E2023" t="s">
        <v>821</v>
      </c>
      <c r="F2023" t="s">
        <v>8966</v>
      </c>
      <c r="H2023" t="s">
        <v>9085</v>
      </c>
      <c r="I2023" t="s">
        <v>3649</v>
      </c>
      <c r="J2023" t="s">
        <v>899</v>
      </c>
      <c r="M2023" s="134">
        <v>600000</v>
      </c>
      <c r="N2023" s="134">
        <v>0</v>
      </c>
      <c r="O2023" t="s">
        <v>7015</v>
      </c>
      <c r="P2023" t="s">
        <v>9344</v>
      </c>
      <c r="Q2023" t="s">
        <v>1939</v>
      </c>
      <c r="R2023" t="s">
        <v>9345</v>
      </c>
      <c r="U2023" t="s">
        <v>491</v>
      </c>
      <c r="X2023">
        <v>0</v>
      </c>
    </row>
    <row r="2024" spans="1:24" x14ac:dyDescent="0.25">
      <c r="A2024" s="234">
        <v>42524</v>
      </c>
      <c r="B2024" t="s">
        <v>378</v>
      </c>
      <c r="D2024" t="s">
        <v>930</v>
      </c>
      <c r="E2024" t="s">
        <v>2333</v>
      </c>
      <c r="F2024" t="s">
        <v>2334</v>
      </c>
      <c r="H2024" t="s">
        <v>710</v>
      </c>
      <c r="I2024" t="s">
        <v>2335</v>
      </c>
      <c r="M2024" s="134">
        <v>600000</v>
      </c>
      <c r="N2024" s="134">
        <v>0</v>
      </c>
      <c r="O2024" t="s">
        <v>2336</v>
      </c>
      <c r="P2024" t="s">
        <v>2337</v>
      </c>
      <c r="Q2024" t="s">
        <v>592</v>
      </c>
      <c r="R2024" t="s">
        <v>2338</v>
      </c>
      <c r="U2024" t="s">
        <v>2227</v>
      </c>
      <c r="X2024">
        <v>0</v>
      </c>
    </row>
    <row r="2025" spans="1:24" x14ac:dyDescent="0.25">
      <c r="A2025" s="234">
        <v>42572</v>
      </c>
      <c r="B2025" t="s">
        <v>328</v>
      </c>
      <c r="C2025" t="s">
        <v>603</v>
      </c>
      <c r="D2025" t="s">
        <v>1401</v>
      </c>
      <c r="E2025" t="s">
        <v>588</v>
      </c>
      <c r="F2025" t="s">
        <v>2970</v>
      </c>
      <c r="H2025" t="s">
        <v>905</v>
      </c>
      <c r="I2025" t="s">
        <v>2971</v>
      </c>
      <c r="M2025" s="134">
        <v>600000</v>
      </c>
      <c r="N2025" s="134">
        <v>0</v>
      </c>
      <c r="O2025" t="s">
        <v>2972</v>
      </c>
      <c r="P2025" t="s">
        <v>2973</v>
      </c>
      <c r="Q2025" t="s">
        <v>592</v>
      </c>
      <c r="R2025" t="s">
        <v>2974</v>
      </c>
      <c r="U2025" t="s">
        <v>491</v>
      </c>
      <c r="X2025">
        <v>0</v>
      </c>
    </row>
    <row r="2026" spans="1:24" x14ac:dyDescent="0.25">
      <c r="A2026" s="234">
        <v>42634</v>
      </c>
      <c r="B2026" t="s">
        <v>378</v>
      </c>
      <c r="C2026" t="s">
        <v>623</v>
      </c>
      <c r="D2026" t="s">
        <v>625</v>
      </c>
      <c r="E2026" t="s">
        <v>821</v>
      </c>
      <c r="F2026" t="s">
        <v>4005</v>
      </c>
      <c r="H2026" t="s">
        <v>809</v>
      </c>
      <c r="M2026" s="134">
        <v>600000</v>
      </c>
      <c r="N2026" s="134">
        <v>0</v>
      </c>
      <c r="O2026" t="s">
        <v>4006</v>
      </c>
      <c r="P2026" t="s">
        <v>4007</v>
      </c>
      <c r="Q2026" t="s">
        <v>1939</v>
      </c>
      <c r="R2026" t="s">
        <v>4008</v>
      </c>
      <c r="U2026" t="s">
        <v>491</v>
      </c>
      <c r="X2026">
        <v>0</v>
      </c>
    </row>
    <row r="2027" spans="1:24" x14ac:dyDescent="0.25">
      <c r="A2027" s="234">
        <v>42646</v>
      </c>
      <c r="B2027" t="s">
        <v>378</v>
      </c>
      <c r="C2027" t="s">
        <v>623</v>
      </c>
      <c r="D2027" t="s">
        <v>930</v>
      </c>
      <c r="E2027" t="s">
        <v>1707</v>
      </c>
      <c r="F2027" t="s">
        <v>4157</v>
      </c>
      <c r="H2027" t="s">
        <v>886</v>
      </c>
      <c r="I2027" t="s">
        <v>3929</v>
      </c>
      <c r="J2027" t="s">
        <v>899</v>
      </c>
      <c r="M2027" s="134">
        <v>600000</v>
      </c>
      <c r="N2027" s="134">
        <v>0</v>
      </c>
      <c r="O2027" t="s">
        <v>4158</v>
      </c>
      <c r="P2027" t="s">
        <v>4160</v>
      </c>
      <c r="Q2027" t="s">
        <v>1939</v>
      </c>
      <c r="R2027" t="s">
        <v>4159</v>
      </c>
      <c r="U2027" t="s">
        <v>491</v>
      </c>
      <c r="X2027">
        <v>0</v>
      </c>
    </row>
    <row r="2028" spans="1:24" x14ac:dyDescent="0.25">
      <c r="A2028" s="234">
        <v>42662</v>
      </c>
      <c r="B2028" t="s">
        <v>643</v>
      </c>
      <c r="C2028" t="s">
        <v>644</v>
      </c>
      <c r="D2028" t="s">
        <v>3132</v>
      </c>
      <c r="E2028" t="s">
        <v>588</v>
      </c>
      <c r="F2028" t="s">
        <v>4407</v>
      </c>
      <c r="H2028" t="s">
        <v>1050</v>
      </c>
      <c r="I2028" t="s">
        <v>3814</v>
      </c>
      <c r="J2028" t="s">
        <v>644</v>
      </c>
      <c r="L2028">
        <v>5</v>
      </c>
      <c r="M2028" s="134">
        <v>600000</v>
      </c>
      <c r="N2028" s="134">
        <v>0</v>
      </c>
      <c r="O2028" t="s">
        <v>4408</v>
      </c>
      <c r="P2028" t="s">
        <v>4409</v>
      </c>
      <c r="Q2028" t="s">
        <v>1939</v>
      </c>
      <c r="R2028" t="s">
        <v>4499</v>
      </c>
      <c r="U2028" t="s">
        <v>491</v>
      </c>
      <c r="X2028">
        <v>0</v>
      </c>
    </row>
    <row r="2029" spans="1:24" x14ac:dyDescent="0.25">
      <c r="A2029" s="234">
        <v>43103</v>
      </c>
      <c r="B2029" t="s">
        <v>5956</v>
      </c>
      <c r="C2029" t="s">
        <v>3369</v>
      </c>
      <c r="D2029" t="s">
        <v>9234</v>
      </c>
      <c r="E2029" t="s">
        <v>588</v>
      </c>
      <c r="F2029" t="s">
        <v>9927</v>
      </c>
      <c r="G2029" t="s">
        <v>7714</v>
      </c>
      <c r="H2029" t="s">
        <v>905</v>
      </c>
      <c r="I2029" t="s">
        <v>9928</v>
      </c>
      <c r="J2029" t="s">
        <v>4825</v>
      </c>
      <c r="L2029">
        <v>4</v>
      </c>
      <c r="M2029" s="134">
        <v>600000</v>
      </c>
      <c r="N2029" s="134">
        <v>660000</v>
      </c>
      <c r="O2029" t="s">
        <v>10879</v>
      </c>
      <c r="P2029" t="s">
        <v>9929</v>
      </c>
      <c r="Q2029" t="s">
        <v>1939</v>
      </c>
      <c r="R2029" t="s">
        <v>9930</v>
      </c>
      <c r="U2029" t="s">
        <v>491</v>
      </c>
      <c r="X2029">
        <v>0</v>
      </c>
    </row>
    <row r="2030" spans="1:24" x14ac:dyDescent="0.25">
      <c r="A2030" s="234">
        <v>43417</v>
      </c>
      <c r="B2030" t="s">
        <v>643</v>
      </c>
      <c r="C2030" t="s">
        <v>644</v>
      </c>
      <c r="D2030" t="s">
        <v>8518</v>
      </c>
      <c r="F2030" t="s">
        <v>13162</v>
      </c>
      <c r="G2030" t="s">
        <v>8518</v>
      </c>
      <c r="H2030" t="s">
        <v>607</v>
      </c>
      <c r="I2030" t="s">
        <v>5546</v>
      </c>
      <c r="J2030" t="s">
        <v>644</v>
      </c>
      <c r="K2030" t="s">
        <v>13163</v>
      </c>
      <c r="L2030">
        <v>5</v>
      </c>
      <c r="M2030" s="134">
        <v>600000</v>
      </c>
      <c r="N2030" s="134">
        <v>660000</v>
      </c>
      <c r="O2030" t="s">
        <v>10763</v>
      </c>
      <c r="P2030" t="s">
        <v>13164</v>
      </c>
      <c r="Q2030" t="s">
        <v>1939</v>
      </c>
      <c r="R2030" t="s">
        <v>13165</v>
      </c>
      <c r="U2030" t="s">
        <v>12344</v>
      </c>
      <c r="X2030">
        <v>0</v>
      </c>
    </row>
    <row r="2031" spans="1:24" x14ac:dyDescent="0.25">
      <c r="A2031" s="234">
        <v>42850</v>
      </c>
      <c r="B2031" t="s">
        <v>569</v>
      </c>
      <c r="D2031" t="s">
        <v>624</v>
      </c>
      <c r="E2031" t="s">
        <v>588</v>
      </c>
      <c r="F2031" t="s">
        <v>6542</v>
      </c>
      <c r="H2031" t="s">
        <v>886</v>
      </c>
      <c r="I2031" t="s">
        <v>3672</v>
      </c>
      <c r="J2031" t="s">
        <v>899</v>
      </c>
      <c r="M2031" s="134">
        <v>600000</v>
      </c>
      <c r="N2031" s="134">
        <v>660000</v>
      </c>
      <c r="O2031" t="s">
        <v>6543</v>
      </c>
      <c r="P2031" t="s">
        <v>6544</v>
      </c>
      <c r="Q2031" t="s">
        <v>592</v>
      </c>
      <c r="U2031" t="s">
        <v>491</v>
      </c>
      <c r="X2031">
        <v>0</v>
      </c>
    </row>
    <row r="2032" spans="1:24" x14ac:dyDescent="0.25">
      <c r="A2032" s="234">
        <v>42851</v>
      </c>
      <c r="B2032" t="s">
        <v>328</v>
      </c>
      <c r="C2032" t="s">
        <v>603</v>
      </c>
      <c r="D2032" t="s">
        <v>5701</v>
      </c>
      <c r="E2032" t="s">
        <v>588</v>
      </c>
      <c r="F2032" t="s">
        <v>6562</v>
      </c>
      <c r="H2032" t="s">
        <v>722</v>
      </c>
      <c r="I2032" t="s">
        <v>6563</v>
      </c>
      <c r="J2032" t="s">
        <v>3523</v>
      </c>
      <c r="L2032">
        <v>5</v>
      </c>
      <c r="M2032" s="134">
        <v>600000</v>
      </c>
      <c r="N2032" s="134">
        <v>695000</v>
      </c>
      <c r="O2032" t="s">
        <v>695</v>
      </c>
      <c r="P2032" t="s">
        <v>6564</v>
      </c>
      <c r="Q2032" t="s">
        <v>620</v>
      </c>
      <c r="R2032" t="s">
        <v>6565</v>
      </c>
      <c r="U2032" t="s">
        <v>491</v>
      </c>
      <c r="X2032">
        <v>0</v>
      </c>
    </row>
    <row r="2033" spans="1:24" x14ac:dyDescent="0.25">
      <c r="A2033" s="234">
        <v>43011</v>
      </c>
      <c r="B2033" t="s">
        <v>5176</v>
      </c>
      <c r="C2033" t="s">
        <v>604</v>
      </c>
      <c r="D2033" t="s">
        <v>595</v>
      </c>
      <c r="E2033" t="s">
        <v>1707</v>
      </c>
      <c r="F2033" t="s">
        <v>8856</v>
      </c>
      <c r="H2033" t="s">
        <v>1615</v>
      </c>
      <c r="I2033" t="s">
        <v>8857</v>
      </c>
      <c r="J2033" t="s">
        <v>959</v>
      </c>
      <c r="M2033" s="134">
        <v>600000</v>
      </c>
      <c r="N2033" s="134">
        <v>710000</v>
      </c>
      <c r="O2033" t="s">
        <v>639</v>
      </c>
      <c r="P2033" t="s">
        <v>8862</v>
      </c>
      <c r="Q2033" t="s">
        <v>1939</v>
      </c>
      <c r="R2033" t="s">
        <v>8861</v>
      </c>
      <c r="T2033">
        <v>55</v>
      </c>
      <c r="U2033" t="s">
        <v>491</v>
      </c>
      <c r="X2033">
        <v>0</v>
      </c>
    </row>
    <row r="2034" spans="1:24" x14ac:dyDescent="0.25">
      <c r="A2034" s="234">
        <v>42765</v>
      </c>
      <c r="B2034" t="s">
        <v>5176</v>
      </c>
      <c r="C2034" t="s">
        <v>959</v>
      </c>
      <c r="D2034" t="s">
        <v>732</v>
      </c>
      <c r="E2034" t="s">
        <v>588</v>
      </c>
      <c r="F2034" t="s">
        <v>5523</v>
      </c>
      <c r="H2034" t="s">
        <v>905</v>
      </c>
      <c r="I2034" t="s">
        <v>5524</v>
      </c>
      <c r="J2034" t="s">
        <v>959</v>
      </c>
      <c r="M2034" s="134">
        <v>600000</v>
      </c>
      <c r="N2034" s="134">
        <v>743000</v>
      </c>
      <c r="O2034" t="s">
        <v>3625</v>
      </c>
      <c r="P2034" t="s">
        <v>5525</v>
      </c>
      <c r="Q2034" t="s">
        <v>1612</v>
      </c>
      <c r="R2034" t="s">
        <v>7137</v>
      </c>
      <c r="U2034" t="s">
        <v>491</v>
      </c>
      <c r="X2034">
        <v>0</v>
      </c>
    </row>
    <row r="2035" spans="1:24" x14ac:dyDescent="0.25">
      <c r="A2035" s="234">
        <v>43613</v>
      </c>
      <c r="B2035" t="s">
        <v>13559</v>
      </c>
      <c r="C2035" t="s">
        <v>3523</v>
      </c>
      <c r="D2035" t="s">
        <v>13560</v>
      </c>
      <c r="F2035" t="s">
        <v>15754</v>
      </c>
      <c r="G2035" t="s">
        <v>15755</v>
      </c>
      <c r="H2035" t="s">
        <v>10831</v>
      </c>
      <c r="I2035" t="s">
        <v>15756</v>
      </c>
      <c r="J2035" t="s">
        <v>3523</v>
      </c>
      <c r="K2035" t="s">
        <v>15757</v>
      </c>
      <c r="L2035">
        <v>6</v>
      </c>
      <c r="M2035" s="134">
        <v>600000</v>
      </c>
      <c r="N2035" s="134">
        <v>800000</v>
      </c>
      <c r="O2035" t="s">
        <v>49</v>
      </c>
      <c r="P2035" t="s">
        <v>15758</v>
      </c>
      <c r="Q2035" t="s">
        <v>592</v>
      </c>
      <c r="R2035" t="s">
        <v>15759</v>
      </c>
      <c r="U2035" t="s">
        <v>491</v>
      </c>
      <c r="X2035">
        <v>0</v>
      </c>
    </row>
    <row r="2036" spans="1:24" x14ac:dyDescent="0.25">
      <c r="A2036" s="234">
        <v>42459</v>
      </c>
      <c r="B2036" t="s">
        <v>643</v>
      </c>
      <c r="C2036" t="s">
        <v>644</v>
      </c>
      <c r="D2036" t="s">
        <v>645</v>
      </c>
      <c r="E2036" t="s">
        <v>588</v>
      </c>
      <c r="F2036" t="s">
        <v>1461</v>
      </c>
      <c r="H2036" t="s">
        <v>1391</v>
      </c>
      <c r="I2036" t="s">
        <v>1464</v>
      </c>
      <c r="M2036" s="134">
        <v>600000</v>
      </c>
      <c r="N2036" s="134">
        <v>815000</v>
      </c>
      <c r="O2036" t="s">
        <v>1462</v>
      </c>
      <c r="P2036" t="s">
        <v>1463</v>
      </c>
      <c r="Q2036" t="s">
        <v>620</v>
      </c>
      <c r="R2036" t="s">
        <v>1484</v>
      </c>
      <c r="U2036" t="s">
        <v>491</v>
      </c>
      <c r="X2036">
        <v>0</v>
      </c>
    </row>
    <row r="2037" spans="1:24" x14ac:dyDescent="0.25">
      <c r="A2037" s="234">
        <v>43623</v>
      </c>
      <c r="B2037" t="s">
        <v>328</v>
      </c>
      <c r="C2037" t="s">
        <v>603</v>
      </c>
      <c r="D2037" t="s">
        <v>10705</v>
      </c>
      <c r="F2037" t="s">
        <v>9394</v>
      </c>
      <c r="G2037" t="s">
        <v>15967</v>
      </c>
      <c r="H2037" t="s">
        <v>2510</v>
      </c>
      <c r="I2037" t="s">
        <v>6328</v>
      </c>
      <c r="J2037" t="s">
        <v>6329</v>
      </c>
      <c r="K2037" t="s">
        <v>15968</v>
      </c>
      <c r="L2037">
        <v>2</v>
      </c>
      <c r="M2037" s="134">
        <v>600000</v>
      </c>
      <c r="N2037" s="134">
        <v>900000</v>
      </c>
      <c r="O2037" t="s">
        <v>7564</v>
      </c>
      <c r="P2037" t="s">
        <v>15969</v>
      </c>
      <c r="Q2037" t="s">
        <v>29</v>
      </c>
      <c r="R2037" t="s">
        <v>15970</v>
      </c>
      <c r="S2037" t="s">
        <v>15971</v>
      </c>
      <c r="U2037" t="s">
        <v>491</v>
      </c>
      <c r="X2037">
        <v>1</v>
      </c>
    </row>
    <row r="2038" spans="1:24" x14ac:dyDescent="0.25">
      <c r="A2038" s="234">
        <v>43052</v>
      </c>
      <c r="B2038" t="s">
        <v>643</v>
      </c>
      <c r="C2038" t="s">
        <v>644</v>
      </c>
      <c r="D2038" t="s">
        <v>645</v>
      </c>
      <c r="E2038" t="s">
        <v>588</v>
      </c>
      <c r="F2038" t="s">
        <v>9414</v>
      </c>
      <c r="G2038" t="s">
        <v>9415</v>
      </c>
      <c r="H2038" t="s">
        <v>607</v>
      </c>
      <c r="I2038" t="s">
        <v>5212</v>
      </c>
      <c r="J2038" t="s">
        <v>644</v>
      </c>
      <c r="L2038">
        <v>2</v>
      </c>
      <c r="M2038" s="134">
        <v>600000</v>
      </c>
      <c r="N2038" s="134">
        <v>910000</v>
      </c>
      <c r="O2038" t="s">
        <v>4330</v>
      </c>
      <c r="P2038" t="s">
        <v>9416</v>
      </c>
      <c r="Q2038" t="s">
        <v>1939</v>
      </c>
      <c r="R2038" t="s">
        <v>9417</v>
      </c>
      <c r="U2038" t="s">
        <v>491</v>
      </c>
      <c r="X2038">
        <v>0</v>
      </c>
    </row>
    <row r="2039" spans="1:24" x14ac:dyDescent="0.25">
      <c r="A2039" s="234">
        <v>42597</v>
      </c>
      <c r="B2039" t="s">
        <v>378</v>
      </c>
      <c r="C2039" t="s">
        <v>610</v>
      </c>
      <c r="D2039" t="s">
        <v>732</v>
      </c>
      <c r="E2039" t="s">
        <v>588</v>
      </c>
      <c r="F2039" t="s">
        <v>3420</v>
      </c>
      <c r="H2039" t="s">
        <v>2074</v>
      </c>
      <c r="I2039" t="s">
        <v>3421</v>
      </c>
      <c r="J2039" t="s">
        <v>899</v>
      </c>
      <c r="L2039">
        <v>4</v>
      </c>
      <c r="M2039" s="134">
        <v>600000</v>
      </c>
      <c r="N2039" s="134">
        <v>930000</v>
      </c>
      <c r="O2039" t="s">
        <v>35</v>
      </c>
      <c r="P2039" t="s">
        <v>3422</v>
      </c>
      <c r="Q2039" t="s">
        <v>1939</v>
      </c>
      <c r="R2039" t="s">
        <v>3423</v>
      </c>
      <c r="S2039" t="s">
        <v>3430</v>
      </c>
      <c r="U2039" t="s">
        <v>491</v>
      </c>
      <c r="X2039">
        <v>0</v>
      </c>
    </row>
    <row r="2040" spans="1:24" x14ac:dyDescent="0.25">
      <c r="A2040" s="234">
        <v>43417</v>
      </c>
      <c r="B2040" t="s">
        <v>569</v>
      </c>
      <c r="C2040" t="s">
        <v>899</v>
      </c>
      <c r="D2040" t="s">
        <v>611</v>
      </c>
      <c r="F2040" t="s">
        <v>13174</v>
      </c>
      <c r="G2040" t="s">
        <v>9170</v>
      </c>
      <c r="H2040" t="s">
        <v>607</v>
      </c>
      <c r="I2040" t="s">
        <v>13175</v>
      </c>
      <c r="J2040" t="s">
        <v>899</v>
      </c>
      <c r="K2040" t="s">
        <v>13176</v>
      </c>
      <c r="L2040">
        <v>10</v>
      </c>
      <c r="M2040" s="134">
        <v>600000</v>
      </c>
      <c r="N2040" s="134">
        <v>955000</v>
      </c>
      <c r="O2040" t="s">
        <v>7124</v>
      </c>
      <c r="P2040" t="s">
        <v>13438</v>
      </c>
      <c r="Q2040" t="s">
        <v>29</v>
      </c>
      <c r="R2040" t="s">
        <v>13177</v>
      </c>
      <c r="U2040" t="s">
        <v>12344</v>
      </c>
      <c r="X2040">
        <v>1</v>
      </c>
    </row>
    <row r="2041" spans="1:24" x14ac:dyDescent="0.25">
      <c r="A2041" s="234">
        <v>43503</v>
      </c>
      <c r="B2041" t="s">
        <v>13559</v>
      </c>
      <c r="C2041" t="s">
        <v>6575</v>
      </c>
      <c r="D2041" t="s">
        <v>9183</v>
      </c>
      <c r="F2041" t="s">
        <v>8719</v>
      </c>
      <c r="G2041" t="s">
        <v>14296</v>
      </c>
      <c r="H2041" t="s">
        <v>607</v>
      </c>
      <c r="I2041" t="s">
        <v>5967</v>
      </c>
      <c r="J2041" t="s">
        <v>602</v>
      </c>
      <c r="K2041" t="s">
        <v>14297</v>
      </c>
      <c r="L2041">
        <v>3</v>
      </c>
      <c r="M2041" s="134">
        <v>600000</v>
      </c>
      <c r="N2041" s="134">
        <v>975000</v>
      </c>
      <c r="O2041" t="s">
        <v>10763</v>
      </c>
      <c r="P2041" t="s">
        <v>14298</v>
      </c>
      <c r="Q2041" t="s">
        <v>1939</v>
      </c>
      <c r="R2041" t="s">
        <v>14299</v>
      </c>
      <c r="U2041" t="s">
        <v>491</v>
      </c>
      <c r="X2041">
        <v>0</v>
      </c>
    </row>
    <row r="2042" spans="1:24" x14ac:dyDescent="0.25">
      <c r="A2042" s="234">
        <v>43565</v>
      </c>
      <c r="B2042" t="s">
        <v>5956</v>
      </c>
      <c r="C2042" t="s">
        <v>3369</v>
      </c>
      <c r="D2042" t="s">
        <v>8126</v>
      </c>
      <c r="F2042" t="s">
        <v>15031</v>
      </c>
      <c r="G2042" t="s">
        <v>15032</v>
      </c>
      <c r="H2042" t="s">
        <v>607</v>
      </c>
      <c r="I2042" t="s">
        <v>14669</v>
      </c>
      <c r="J2042" t="s">
        <v>4825</v>
      </c>
      <c r="K2042" t="s">
        <v>15033</v>
      </c>
      <c r="L2042">
        <v>4</v>
      </c>
      <c r="M2042" s="134">
        <v>600000</v>
      </c>
      <c r="N2042" s="134">
        <v>980000</v>
      </c>
      <c r="O2042" t="s">
        <v>10766</v>
      </c>
      <c r="P2042" t="s">
        <v>15034</v>
      </c>
      <c r="Q2042" t="s">
        <v>1939</v>
      </c>
      <c r="R2042" t="s">
        <v>15075</v>
      </c>
      <c r="U2042" t="s">
        <v>491</v>
      </c>
      <c r="X2042">
        <v>0</v>
      </c>
    </row>
    <row r="2043" spans="1:24" x14ac:dyDescent="0.25">
      <c r="A2043" s="234">
        <v>43244</v>
      </c>
      <c r="B2043" t="s">
        <v>569</v>
      </c>
      <c r="C2043" t="s">
        <v>899</v>
      </c>
      <c r="D2043" t="s">
        <v>11286</v>
      </c>
      <c r="E2043" t="s">
        <v>2200</v>
      </c>
      <c r="F2043" t="s">
        <v>11287</v>
      </c>
      <c r="G2043" t="s">
        <v>11288</v>
      </c>
      <c r="H2043" t="s">
        <v>607</v>
      </c>
      <c r="I2043" t="s">
        <v>3649</v>
      </c>
      <c r="L2043">
        <v>4</v>
      </c>
      <c r="M2043" s="134">
        <v>600000</v>
      </c>
      <c r="N2043" s="134">
        <v>980000</v>
      </c>
      <c r="O2043" t="s">
        <v>10763</v>
      </c>
      <c r="P2043" t="s">
        <v>11402</v>
      </c>
      <c r="Q2043" t="s">
        <v>1939</v>
      </c>
      <c r="R2043" t="s">
        <v>11403</v>
      </c>
      <c r="U2043" t="s">
        <v>633</v>
      </c>
      <c r="X2043">
        <v>0</v>
      </c>
    </row>
    <row r="2044" spans="1:24" x14ac:dyDescent="0.25">
      <c r="A2044" s="234">
        <v>42905</v>
      </c>
      <c r="B2044" t="s">
        <v>5176</v>
      </c>
      <c r="D2044" t="s">
        <v>732</v>
      </c>
      <c r="E2044" t="s">
        <v>588</v>
      </c>
      <c r="F2044" t="s">
        <v>7237</v>
      </c>
      <c r="H2044" t="s">
        <v>607</v>
      </c>
      <c r="I2044" t="s">
        <v>7238</v>
      </c>
      <c r="J2044" t="s">
        <v>959</v>
      </c>
      <c r="L2044">
        <v>3</v>
      </c>
      <c r="M2044" s="134">
        <v>600000</v>
      </c>
      <c r="N2044" s="134">
        <v>1035000</v>
      </c>
      <c r="O2044" t="s">
        <v>35</v>
      </c>
      <c r="P2044" t="s">
        <v>7239</v>
      </c>
      <c r="Q2044" t="s">
        <v>1612</v>
      </c>
      <c r="R2044" t="s">
        <v>7240</v>
      </c>
      <c r="U2044" t="s">
        <v>491</v>
      </c>
      <c r="X2044">
        <v>0</v>
      </c>
    </row>
    <row r="2045" spans="1:24" x14ac:dyDescent="0.25">
      <c r="A2045" s="234">
        <v>43509</v>
      </c>
      <c r="B2045" t="s">
        <v>643</v>
      </c>
      <c r="C2045" t="s">
        <v>644</v>
      </c>
      <c r="D2045" t="s">
        <v>645</v>
      </c>
      <c r="F2045" t="s">
        <v>14374</v>
      </c>
      <c r="G2045" t="s">
        <v>14375</v>
      </c>
      <c r="H2045" t="s">
        <v>10831</v>
      </c>
      <c r="J2045" t="s">
        <v>644</v>
      </c>
      <c r="L2045">
        <v>10</v>
      </c>
      <c r="M2045" s="134">
        <v>600000</v>
      </c>
      <c r="N2045" s="134">
        <v>1074000</v>
      </c>
      <c r="O2045" t="s">
        <v>7124</v>
      </c>
      <c r="P2045" t="s">
        <v>14376</v>
      </c>
      <c r="Q2045" t="s">
        <v>1939</v>
      </c>
      <c r="R2045" t="s">
        <v>14377</v>
      </c>
      <c r="S2045" t="s">
        <v>14378</v>
      </c>
      <c r="U2045" t="s">
        <v>491</v>
      </c>
      <c r="X2045">
        <v>0</v>
      </c>
    </row>
    <row r="2046" spans="1:24" x14ac:dyDescent="0.25">
      <c r="A2046" s="234">
        <v>43462</v>
      </c>
      <c r="B2046" t="s">
        <v>5360</v>
      </c>
      <c r="C2046" t="s">
        <v>899</v>
      </c>
      <c r="D2046" t="s">
        <v>732</v>
      </c>
      <c r="F2046" t="s">
        <v>9683</v>
      </c>
      <c r="G2046" t="s">
        <v>13729</v>
      </c>
      <c r="H2046" t="s">
        <v>607</v>
      </c>
      <c r="I2046" t="s">
        <v>13519</v>
      </c>
      <c r="J2046" t="s">
        <v>899</v>
      </c>
      <c r="K2046" t="s">
        <v>13520</v>
      </c>
      <c r="L2046">
        <v>4</v>
      </c>
      <c r="M2046" s="134">
        <v>600000</v>
      </c>
      <c r="N2046" s="134">
        <v>1080000</v>
      </c>
      <c r="O2046" t="s">
        <v>10766</v>
      </c>
      <c r="P2046" t="s">
        <v>13730</v>
      </c>
      <c r="Q2046" t="s">
        <v>1939</v>
      </c>
      <c r="R2046" t="s">
        <v>13731</v>
      </c>
      <c r="U2046" t="s">
        <v>491</v>
      </c>
      <c r="X2046">
        <v>0</v>
      </c>
    </row>
    <row r="2047" spans="1:24" x14ac:dyDescent="0.25">
      <c r="A2047" s="234">
        <v>43355</v>
      </c>
      <c r="B2047" t="s">
        <v>569</v>
      </c>
      <c r="C2047" t="s">
        <v>899</v>
      </c>
      <c r="D2047" t="s">
        <v>11286</v>
      </c>
      <c r="E2047" t="s">
        <v>588</v>
      </c>
      <c r="F2047" t="s">
        <v>12578</v>
      </c>
      <c r="G2047" t="s">
        <v>12579</v>
      </c>
      <c r="H2047" t="s">
        <v>607</v>
      </c>
      <c r="I2047" t="s">
        <v>3947</v>
      </c>
      <c r="J2047" t="s">
        <v>899</v>
      </c>
      <c r="L2047">
        <v>5</v>
      </c>
      <c r="M2047" s="134">
        <v>600000</v>
      </c>
      <c r="N2047" s="134">
        <v>1121000</v>
      </c>
      <c r="O2047" t="s">
        <v>4533</v>
      </c>
      <c r="P2047" t="s">
        <v>12580</v>
      </c>
      <c r="Q2047" t="s">
        <v>29</v>
      </c>
      <c r="R2047" t="s">
        <v>13387</v>
      </c>
      <c r="U2047" t="s">
        <v>12344</v>
      </c>
      <c r="X2047">
        <v>1</v>
      </c>
    </row>
    <row r="2048" spans="1:24" x14ac:dyDescent="0.25">
      <c r="A2048" s="234">
        <v>42523</v>
      </c>
      <c r="B2048" t="s">
        <v>328</v>
      </c>
      <c r="C2048" t="s">
        <v>603</v>
      </c>
      <c r="D2048" t="s">
        <v>2204</v>
      </c>
      <c r="E2048" t="s">
        <v>588</v>
      </c>
      <c r="F2048" t="s">
        <v>2303</v>
      </c>
      <c r="H2048" t="s">
        <v>710</v>
      </c>
      <c r="I2048" t="s">
        <v>2304</v>
      </c>
      <c r="M2048" s="134">
        <v>600000</v>
      </c>
      <c r="N2048" s="134">
        <v>1130000</v>
      </c>
      <c r="O2048" t="s">
        <v>2301</v>
      </c>
      <c r="P2048" t="s">
        <v>2307</v>
      </c>
      <c r="Q2048" t="s">
        <v>1939</v>
      </c>
      <c r="R2048" t="s">
        <v>2308</v>
      </c>
      <c r="U2048" t="s">
        <v>2227</v>
      </c>
      <c r="X2048">
        <v>0</v>
      </c>
    </row>
    <row r="2049" spans="1:24" x14ac:dyDescent="0.25">
      <c r="A2049" s="234">
        <v>43510</v>
      </c>
      <c r="B2049" t="s">
        <v>5956</v>
      </c>
      <c r="C2049" t="s">
        <v>3369</v>
      </c>
      <c r="D2049" t="s">
        <v>8126</v>
      </c>
      <c r="F2049" t="s">
        <v>14391</v>
      </c>
      <c r="G2049" t="s">
        <v>14392</v>
      </c>
      <c r="H2049" t="s">
        <v>607</v>
      </c>
      <c r="I2049" t="s">
        <v>14393</v>
      </c>
      <c r="J2049" t="s">
        <v>4825</v>
      </c>
      <c r="K2049" t="s">
        <v>14394</v>
      </c>
      <c r="L2049" t="s">
        <v>14395</v>
      </c>
      <c r="M2049" s="134">
        <v>600000</v>
      </c>
      <c r="N2049" s="134">
        <v>1200000</v>
      </c>
      <c r="O2049" t="s">
        <v>10879</v>
      </c>
      <c r="P2049" t="s">
        <v>14396</v>
      </c>
      <c r="Q2049" t="s">
        <v>1939</v>
      </c>
      <c r="R2049" t="s">
        <v>14397</v>
      </c>
      <c r="U2049" t="s">
        <v>491</v>
      </c>
      <c r="X2049">
        <v>0</v>
      </c>
    </row>
    <row r="2050" spans="1:24" x14ac:dyDescent="0.25">
      <c r="A2050" s="234">
        <v>42473</v>
      </c>
      <c r="B2050" t="s">
        <v>328</v>
      </c>
      <c r="C2050" t="s">
        <v>603</v>
      </c>
      <c r="D2050" t="s">
        <v>1471</v>
      </c>
      <c r="E2050" t="s">
        <v>588</v>
      </c>
      <c r="F2050" t="s">
        <v>1649</v>
      </c>
      <c r="H2050" t="s">
        <v>722</v>
      </c>
      <c r="I2050" t="s">
        <v>1650</v>
      </c>
      <c r="M2050" s="134">
        <v>600000</v>
      </c>
      <c r="N2050" s="134">
        <v>1200000</v>
      </c>
      <c r="O2050" t="s">
        <v>1651</v>
      </c>
      <c r="P2050" t="s">
        <v>1652</v>
      </c>
      <c r="Q2050" t="s">
        <v>29</v>
      </c>
      <c r="R2050" t="s">
        <v>1653</v>
      </c>
      <c r="U2050" t="s">
        <v>491</v>
      </c>
      <c r="X2050">
        <v>1</v>
      </c>
    </row>
    <row r="2051" spans="1:24" x14ac:dyDescent="0.25">
      <c r="A2051" s="234">
        <v>43545</v>
      </c>
      <c r="B2051" t="s">
        <v>6076</v>
      </c>
      <c r="C2051" t="s">
        <v>3370</v>
      </c>
      <c r="D2051" t="s">
        <v>14806</v>
      </c>
      <c r="F2051" t="s">
        <v>8966</v>
      </c>
      <c r="H2051" t="s">
        <v>607</v>
      </c>
      <c r="J2051" t="s">
        <v>602</v>
      </c>
      <c r="M2051" s="134">
        <v>600000</v>
      </c>
      <c r="N2051" s="134">
        <v>1260000</v>
      </c>
      <c r="O2051" t="s">
        <v>4533</v>
      </c>
      <c r="P2051" t="s">
        <v>14808</v>
      </c>
      <c r="Q2051" t="s">
        <v>620</v>
      </c>
      <c r="R2051" t="s">
        <v>14807</v>
      </c>
      <c r="U2051" t="s">
        <v>491</v>
      </c>
      <c r="X2051">
        <v>0</v>
      </c>
    </row>
    <row r="2052" spans="1:24" x14ac:dyDescent="0.25">
      <c r="A2052" s="234">
        <v>43056</v>
      </c>
      <c r="B2052" t="s">
        <v>328</v>
      </c>
      <c r="C2052" t="s">
        <v>603</v>
      </c>
      <c r="D2052" t="s">
        <v>649</v>
      </c>
      <c r="E2052" t="s">
        <v>588</v>
      </c>
      <c r="F2052" t="s">
        <v>9486</v>
      </c>
      <c r="G2052" t="s">
        <v>9487</v>
      </c>
      <c r="H2052" t="s">
        <v>607</v>
      </c>
      <c r="I2052" t="s">
        <v>3649</v>
      </c>
      <c r="J2052" t="s">
        <v>899</v>
      </c>
      <c r="L2052">
        <v>10</v>
      </c>
      <c r="M2052" s="134">
        <v>600000</v>
      </c>
      <c r="N2052" s="134">
        <v>1290000</v>
      </c>
      <c r="O2052" t="s">
        <v>2680</v>
      </c>
      <c r="P2052" t="s">
        <v>9617</v>
      </c>
      <c r="Q2052" t="s">
        <v>29</v>
      </c>
      <c r="R2052" t="s">
        <v>9488</v>
      </c>
      <c r="U2052" t="s">
        <v>491</v>
      </c>
      <c r="X2052">
        <v>1</v>
      </c>
    </row>
    <row r="2053" spans="1:24" x14ac:dyDescent="0.25">
      <c r="A2053" s="234">
        <v>42745</v>
      </c>
      <c r="B2053" t="s">
        <v>569</v>
      </c>
      <c r="D2053" t="s">
        <v>930</v>
      </c>
      <c r="E2053" t="s">
        <v>692</v>
      </c>
      <c r="F2053" t="s">
        <v>5265</v>
      </c>
      <c r="H2053" t="s">
        <v>607</v>
      </c>
      <c r="I2053" t="s">
        <v>5266</v>
      </c>
      <c r="J2053" t="s">
        <v>899</v>
      </c>
      <c r="M2053" s="134">
        <v>600000</v>
      </c>
      <c r="N2053" s="134">
        <v>1500000</v>
      </c>
      <c r="O2053" t="s">
        <v>5267</v>
      </c>
      <c r="P2053" t="s">
        <v>5268</v>
      </c>
      <c r="Q2053" t="s">
        <v>1939</v>
      </c>
      <c r="R2053" t="s">
        <v>5269</v>
      </c>
      <c r="U2053" t="s">
        <v>491</v>
      </c>
      <c r="X2053">
        <v>0</v>
      </c>
    </row>
    <row r="2054" spans="1:24" x14ac:dyDescent="0.25">
      <c r="A2054" s="234">
        <v>42990</v>
      </c>
      <c r="B2054" t="s">
        <v>328</v>
      </c>
      <c r="C2054" t="s">
        <v>603</v>
      </c>
      <c r="D2054" t="s">
        <v>649</v>
      </c>
      <c r="E2054" t="s">
        <v>588</v>
      </c>
      <c r="F2054" t="s">
        <v>8499</v>
      </c>
      <c r="H2054" t="s">
        <v>1391</v>
      </c>
      <c r="I2054" t="s">
        <v>8500</v>
      </c>
      <c r="J2054" t="s">
        <v>3733</v>
      </c>
      <c r="L2054">
        <v>6</v>
      </c>
      <c r="M2054" s="134">
        <v>600000</v>
      </c>
      <c r="N2054" s="134">
        <v>1500000</v>
      </c>
      <c r="O2054" t="s">
        <v>7066</v>
      </c>
      <c r="P2054" t="s">
        <v>8501</v>
      </c>
      <c r="Q2054" t="s">
        <v>1939</v>
      </c>
      <c r="T2054">
        <v>26</v>
      </c>
      <c r="U2054" t="s">
        <v>491</v>
      </c>
      <c r="X2054">
        <v>0</v>
      </c>
    </row>
    <row r="2055" spans="1:24" x14ac:dyDescent="0.25">
      <c r="A2055" s="234">
        <v>43326</v>
      </c>
      <c r="B2055" t="s">
        <v>328</v>
      </c>
      <c r="C2055" t="s">
        <v>603</v>
      </c>
      <c r="D2055" t="s">
        <v>8941</v>
      </c>
      <c r="E2055" t="s">
        <v>588</v>
      </c>
      <c r="F2055" t="s">
        <v>12184</v>
      </c>
      <c r="G2055" t="s">
        <v>8515</v>
      </c>
      <c r="H2055" t="s">
        <v>607</v>
      </c>
      <c r="I2055" t="s">
        <v>12185</v>
      </c>
      <c r="J2055" t="s">
        <v>3373</v>
      </c>
      <c r="L2055">
        <v>9</v>
      </c>
      <c r="M2055" s="134">
        <v>602000</v>
      </c>
      <c r="N2055" s="134">
        <v>1173000</v>
      </c>
      <c r="O2055" t="s">
        <v>10766</v>
      </c>
      <c r="P2055" t="s">
        <v>12499</v>
      </c>
      <c r="Q2055" t="s">
        <v>1939</v>
      </c>
      <c r="R2055" t="s">
        <v>12186</v>
      </c>
      <c r="U2055" t="s">
        <v>1327</v>
      </c>
      <c r="X2055">
        <v>0</v>
      </c>
    </row>
    <row r="2056" spans="1:24" x14ac:dyDescent="0.25">
      <c r="A2056" s="234">
        <v>43430</v>
      </c>
      <c r="B2056" t="s">
        <v>5956</v>
      </c>
      <c r="C2056" t="s">
        <v>3369</v>
      </c>
      <c r="D2056" t="s">
        <v>8126</v>
      </c>
      <c r="F2056" t="s">
        <v>13292</v>
      </c>
      <c r="G2056" t="s">
        <v>13293</v>
      </c>
      <c r="H2056" t="s">
        <v>607</v>
      </c>
      <c r="I2056" t="s">
        <v>12926</v>
      </c>
      <c r="J2056" t="s">
        <v>4825</v>
      </c>
      <c r="K2056" t="s">
        <v>13294</v>
      </c>
      <c r="L2056">
        <v>9</v>
      </c>
      <c r="M2056" s="134">
        <v>604000</v>
      </c>
      <c r="N2056" s="134">
        <v>1300000</v>
      </c>
      <c r="O2056" t="s">
        <v>10766</v>
      </c>
      <c r="P2056" t="s">
        <v>13295</v>
      </c>
      <c r="Q2056" t="s">
        <v>1612</v>
      </c>
      <c r="R2056" t="s">
        <v>13307</v>
      </c>
      <c r="U2056" t="s">
        <v>491</v>
      </c>
      <c r="X2056">
        <v>0</v>
      </c>
    </row>
    <row r="2057" spans="1:24" x14ac:dyDescent="0.25">
      <c r="A2057" s="234">
        <v>43488</v>
      </c>
      <c r="B2057" t="s">
        <v>9240</v>
      </c>
      <c r="C2057" t="s">
        <v>603</v>
      </c>
      <c r="D2057" t="s">
        <v>9241</v>
      </c>
      <c r="F2057" t="s">
        <v>14096</v>
      </c>
      <c r="G2057" t="s">
        <v>14097</v>
      </c>
      <c r="H2057" t="s">
        <v>607</v>
      </c>
      <c r="I2057" t="s">
        <v>6730</v>
      </c>
      <c r="J2057" t="s">
        <v>4031</v>
      </c>
      <c r="K2057" t="s">
        <v>14098</v>
      </c>
      <c r="L2057">
        <v>1</v>
      </c>
      <c r="M2057" s="134">
        <v>607000</v>
      </c>
      <c r="N2057" s="134">
        <v>1050000</v>
      </c>
      <c r="O2057" t="s">
        <v>10766</v>
      </c>
      <c r="P2057" t="s">
        <v>14099</v>
      </c>
      <c r="Q2057" t="s">
        <v>1939</v>
      </c>
      <c r="R2057" t="s">
        <v>14100</v>
      </c>
      <c r="U2057" t="s">
        <v>491</v>
      </c>
      <c r="X2057">
        <v>0</v>
      </c>
    </row>
    <row r="2058" spans="1:24" x14ac:dyDescent="0.25">
      <c r="A2058" s="234">
        <v>43227</v>
      </c>
      <c r="B2058" t="s">
        <v>569</v>
      </c>
      <c r="C2058" t="s">
        <v>899</v>
      </c>
      <c r="D2058" t="s">
        <v>625</v>
      </c>
      <c r="E2058" t="s">
        <v>588</v>
      </c>
      <c r="F2058" t="s">
        <v>11201</v>
      </c>
      <c r="G2058" t="s">
        <v>11202</v>
      </c>
      <c r="H2058" t="s">
        <v>607</v>
      </c>
      <c r="I2058" t="s">
        <v>9791</v>
      </c>
      <c r="J2058" t="s">
        <v>899</v>
      </c>
      <c r="L2058">
        <v>4</v>
      </c>
      <c r="M2058" s="134">
        <v>608000</v>
      </c>
      <c r="N2058" s="134">
        <v>1094400</v>
      </c>
      <c r="O2058" t="s">
        <v>10766</v>
      </c>
      <c r="P2058" t="s">
        <v>11203</v>
      </c>
      <c r="Q2058" t="s">
        <v>1939</v>
      </c>
      <c r="R2058" t="s">
        <v>11204</v>
      </c>
      <c r="U2058" t="s">
        <v>1327</v>
      </c>
      <c r="X2058">
        <v>0</v>
      </c>
    </row>
    <row r="2059" spans="1:24" x14ac:dyDescent="0.25">
      <c r="A2059" s="234">
        <v>43438</v>
      </c>
      <c r="B2059" t="s">
        <v>569</v>
      </c>
      <c r="C2059" t="s">
        <v>899</v>
      </c>
      <c r="D2059" t="s">
        <v>11286</v>
      </c>
      <c r="F2059" t="s">
        <v>566</v>
      </c>
      <c r="G2059" t="s">
        <v>13468</v>
      </c>
      <c r="H2059" t="s">
        <v>607</v>
      </c>
      <c r="I2059" t="s">
        <v>13469</v>
      </c>
      <c r="J2059" t="s">
        <v>13470</v>
      </c>
      <c r="K2059" t="s">
        <v>13471</v>
      </c>
      <c r="L2059">
        <v>1</v>
      </c>
      <c r="M2059" s="134">
        <v>608000</v>
      </c>
      <c r="N2059" s="134">
        <v>1500000</v>
      </c>
      <c r="O2059" t="s">
        <v>10766</v>
      </c>
      <c r="P2059" t="s">
        <v>13472</v>
      </c>
      <c r="Q2059" t="s">
        <v>29</v>
      </c>
      <c r="R2059" t="s">
        <v>13474</v>
      </c>
      <c r="S2059" t="s">
        <v>13473</v>
      </c>
      <c r="U2059" t="s">
        <v>491</v>
      </c>
      <c r="X2059">
        <v>1</v>
      </c>
    </row>
    <row r="2060" spans="1:24" x14ac:dyDescent="0.25">
      <c r="A2060" s="234">
        <v>43277</v>
      </c>
      <c r="B2060" t="s">
        <v>569</v>
      </c>
      <c r="C2060" t="s">
        <v>899</v>
      </c>
      <c r="D2060" t="s">
        <v>625</v>
      </c>
      <c r="E2060" t="s">
        <v>588</v>
      </c>
      <c r="F2060" t="s">
        <v>11646</v>
      </c>
      <c r="G2060" t="s">
        <v>11645</v>
      </c>
      <c r="H2060" t="s">
        <v>607</v>
      </c>
      <c r="I2060" t="s">
        <v>2054</v>
      </c>
      <c r="J2060" t="s">
        <v>899</v>
      </c>
      <c r="M2060" s="134">
        <v>609000</v>
      </c>
      <c r="N2060" s="134">
        <v>1200000</v>
      </c>
      <c r="O2060" t="s">
        <v>10766</v>
      </c>
      <c r="P2060" t="s">
        <v>11644</v>
      </c>
      <c r="Q2060" t="s">
        <v>620</v>
      </c>
      <c r="R2060" t="s">
        <v>11643</v>
      </c>
      <c r="U2060" t="s">
        <v>1327</v>
      </c>
      <c r="X2060">
        <v>0</v>
      </c>
    </row>
    <row r="2061" spans="1:24" x14ac:dyDescent="0.25">
      <c r="A2061" s="234">
        <v>42475</v>
      </c>
      <c r="B2061" t="s">
        <v>1486</v>
      </c>
      <c r="C2061" t="s">
        <v>959</v>
      </c>
      <c r="D2061" t="s">
        <v>732</v>
      </c>
      <c r="E2061" t="s">
        <v>588</v>
      </c>
      <c r="F2061" t="s">
        <v>1688</v>
      </c>
      <c r="H2061" t="s">
        <v>1050</v>
      </c>
      <c r="I2061" t="s">
        <v>1689</v>
      </c>
      <c r="M2061" s="134">
        <v>610000</v>
      </c>
      <c r="N2061" s="134">
        <v>0</v>
      </c>
      <c r="O2061" t="s">
        <v>1680</v>
      </c>
      <c r="P2061" t="s">
        <v>1690</v>
      </c>
      <c r="Q2061" t="s">
        <v>592</v>
      </c>
      <c r="R2061" t="s">
        <v>1702</v>
      </c>
      <c r="U2061" t="s">
        <v>491</v>
      </c>
      <c r="X2061">
        <v>0</v>
      </c>
    </row>
    <row r="2062" spans="1:24" x14ac:dyDescent="0.25">
      <c r="A2062" s="234">
        <v>42514</v>
      </c>
      <c r="B2062" t="s">
        <v>328</v>
      </c>
      <c r="C2062" t="s">
        <v>603</v>
      </c>
      <c r="D2062" t="s">
        <v>649</v>
      </c>
      <c r="E2062" t="s">
        <v>588</v>
      </c>
      <c r="F2062" t="s">
        <v>2234</v>
      </c>
      <c r="H2062" t="s">
        <v>1819</v>
      </c>
      <c r="I2062" t="s">
        <v>2235</v>
      </c>
      <c r="M2062" s="134">
        <v>611000</v>
      </c>
      <c r="N2062" s="134">
        <v>1039550</v>
      </c>
      <c r="O2062" t="s">
        <v>2236</v>
      </c>
      <c r="P2062" t="s">
        <v>2237</v>
      </c>
      <c r="Q2062" t="s">
        <v>1939</v>
      </c>
      <c r="R2062" t="s">
        <v>2243</v>
      </c>
      <c r="U2062" t="s">
        <v>2227</v>
      </c>
      <c r="X2062">
        <v>0</v>
      </c>
    </row>
    <row r="2063" spans="1:24" x14ac:dyDescent="0.25">
      <c r="A2063" s="234">
        <v>43468</v>
      </c>
      <c r="B2063" t="s">
        <v>5360</v>
      </c>
      <c r="C2063" t="s">
        <v>899</v>
      </c>
      <c r="D2063" t="s">
        <v>1027</v>
      </c>
      <c r="F2063" t="s">
        <v>13812</v>
      </c>
      <c r="G2063" t="s">
        <v>9525</v>
      </c>
      <c r="H2063" t="s">
        <v>607</v>
      </c>
      <c r="I2063" t="s">
        <v>13607</v>
      </c>
      <c r="J2063" t="s">
        <v>899</v>
      </c>
      <c r="K2063" t="s">
        <v>13813</v>
      </c>
      <c r="L2063">
        <v>3</v>
      </c>
      <c r="M2063" s="134">
        <v>612000</v>
      </c>
      <c r="N2063" s="134">
        <v>1224000</v>
      </c>
      <c r="O2063" t="s">
        <v>10766</v>
      </c>
      <c r="P2063" t="s">
        <v>14222</v>
      </c>
      <c r="Q2063" t="s">
        <v>29</v>
      </c>
      <c r="R2063" t="s">
        <v>14223</v>
      </c>
      <c r="U2063" t="s">
        <v>12797</v>
      </c>
      <c r="X2063">
        <v>1</v>
      </c>
    </row>
    <row r="2064" spans="1:24" x14ac:dyDescent="0.25">
      <c r="A2064" s="234">
        <v>43370</v>
      </c>
      <c r="B2064" t="s">
        <v>569</v>
      </c>
      <c r="C2064" t="s">
        <v>899</v>
      </c>
      <c r="D2064" t="s">
        <v>3505</v>
      </c>
      <c r="E2064" t="s">
        <v>588</v>
      </c>
      <c r="F2064" t="s">
        <v>12747</v>
      </c>
      <c r="G2064" t="s">
        <v>930</v>
      </c>
      <c r="H2064" t="s">
        <v>886</v>
      </c>
      <c r="I2064" t="s">
        <v>2054</v>
      </c>
      <c r="J2064" t="s">
        <v>899</v>
      </c>
      <c r="L2064">
        <v>2</v>
      </c>
      <c r="M2064" s="134">
        <v>613000</v>
      </c>
      <c r="N2064" s="134">
        <v>1093000</v>
      </c>
      <c r="O2064" t="s">
        <v>10766</v>
      </c>
      <c r="P2064" t="s">
        <v>12748</v>
      </c>
      <c r="Q2064" t="s">
        <v>592</v>
      </c>
      <c r="R2064" t="s">
        <v>12749</v>
      </c>
      <c r="U2064" t="s">
        <v>12344</v>
      </c>
      <c r="X2064">
        <v>0</v>
      </c>
    </row>
    <row r="2065" spans="1:24" x14ac:dyDescent="0.25">
      <c r="A2065" s="234">
        <v>43334</v>
      </c>
      <c r="B2065" t="s">
        <v>328</v>
      </c>
      <c r="C2065" t="s">
        <v>603</v>
      </c>
      <c r="D2065" t="s">
        <v>12274</v>
      </c>
      <c r="E2065" t="s">
        <v>588</v>
      </c>
      <c r="F2065" t="s">
        <v>12275</v>
      </c>
      <c r="G2065" t="s">
        <v>10080</v>
      </c>
      <c r="H2065" t="s">
        <v>607</v>
      </c>
      <c r="I2065" t="s">
        <v>11028</v>
      </c>
      <c r="J2065" t="s">
        <v>3733</v>
      </c>
      <c r="L2065">
        <v>2</v>
      </c>
      <c r="M2065" s="134">
        <v>615000</v>
      </c>
      <c r="N2065" s="134">
        <v>669220</v>
      </c>
      <c r="O2065" t="s">
        <v>2295</v>
      </c>
      <c r="P2065" t="s">
        <v>12276</v>
      </c>
      <c r="Q2065" t="s">
        <v>592</v>
      </c>
      <c r="R2065" t="s">
        <v>12277</v>
      </c>
      <c r="U2065" t="s">
        <v>491</v>
      </c>
      <c r="X2065">
        <v>0</v>
      </c>
    </row>
    <row r="2066" spans="1:24" x14ac:dyDescent="0.25">
      <c r="A2066" s="234">
        <v>42564</v>
      </c>
      <c r="B2066" t="s">
        <v>328</v>
      </c>
      <c r="C2066" t="s">
        <v>603</v>
      </c>
      <c r="D2066" t="s">
        <v>1471</v>
      </c>
      <c r="E2066" t="s">
        <v>588</v>
      </c>
      <c r="F2066" t="s">
        <v>2868</v>
      </c>
      <c r="H2066" t="s">
        <v>607</v>
      </c>
      <c r="I2066" t="s">
        <v>2869</v>
      </c>
      <c r="M2066" s="134">
        <v>615000</v>
      </c>
      <c r="N2066" s="134">
        <v>1107000</v>
      </c>
      <c r="O2066" t="s">
        <v>2870</v>
      </c>
      <c r="P2066" t="s">
        <v>2871</v>
      </c>
      <c r="Q2066" t="s">
        <v>1939</v>
      </c>
      <c r="R2066" t="s">
        <v>2872</v>
      </c>
      <c r="U2066" t="s">
        <v>491</v>
      </c>
      <c r="X2066">
        <v>0</v>
      </c>
    </row>
    <row r="2067" spans="1:24" x14ac:dyDescent="0.25">
      <c r="A2067" s="234">
        <v>42636</v>
      </c>
      <c r="B2067" t="s">
        <v>328</v>
      </c>
      <c r="C2067" t="s">
        <v>603</v>
      </c>
      <c r="D2067" t="s">
        <v>1471</v>
      </c>
      <c r="E2067" t="s">
        <v>588</v>
      </c>
      <c r="F2067" t="s">
        <v>4029</v>
      </c>
      <c r="H2067" t="s">
        <v>607</v>
      </c>
      <c r="I2067" t="s">
        <v>4030</v>
      </c>
      <c r="J2067" t="s">
        <v>4031</v>
      </c>
      <c r="L2067">
        <v>7</v>
      </c>
      <c r="M2067" s="134">
        <v>615000</v>
      </c>
      <c r="N2067" s="134">
        <v>1107000</v>
      </c>
      <c r="O2067" t="s">
        <v>4032</v>
      </c>
      <c r="P2067" t="s">
        <v>4033</v>
      </c>
      <c r="Q2067" t="s">
        <v>1612</v>
      </c>
      <c r="R2067" t="s">
        <v>4130</v>
      </c>
      <c r="U2067" t="s">
        <v>491</v>
      </c>
      <c r="X2067">
        <v>0</v>
      </c>
    </row>
    <row r="2068" spans="1:24" x14ac:dyDescent="0.25">
      <c r="A2068" s="234">
        <v>43423</v>
      </c>
      <c r="B2068" t="s">
        <v>110</v>
      </c>
      <c r="C2068" t="s">
        <v>761</v>
      </c>
      <c r="D2068" t="s">
        <v>1122</v>
      </c>
      <c r="F2068" t="s">
        <v>473</v>
      </c>
      <c r="G2068" t="s">
        <v>13191</v>
      </c>
      <c r="H2068" t="s">
        <v>607</v>
      </c>
      <c r="I2068" t="s">
        <v>13192</v>
      </c>
      <c r="J2068" t="s">
        <v>4785</v>
      </c>
      <c r="K2068" t="s">
        <v>13193</v>
      </c>
      <c r="L2068">
        <v>5</v>
      </c>
      <c r="M2068" s="134">
        <v>616000</v>
      </c>
      <c r="N2068" s="134">
        <v>1047200</v>
      </c>
      <c r="O2068" t="s">
        <v>10766</v>
      </c>
      <c r="P2068" t="s">
        <v>13194</v>
      </c>
      <c r="Q2068" t="s">
        <v>1939</v>
      </c>
      <c r="R2068" t="s">
        <v>13195</v>
      </c>
      <c r="U2068" t="s">
        <v>491</v>
      </c>
      <c r="X2068">
        <v>0</v>
      </c>
    </row>
    <row r="2069" spans="1:24" x14ac:dyDescent="0.25">
      <c r="A2069" s="234">
        <v>43264</v>
      </c>
      <c r="B2069" t="s">
        <v>328</v>
      </c>
      <c r="C2069" t="s">
        <v>603</v>
      </c>
      <c r="D2069" t="s">
        <v>5701</v>
      </c>
      <c r="E2069" t="s">
        <v>588</v>
      </c>
      <c r="F2069" t="s">
        <v>11490</v>
      </c>
      <c r="G2069" t="s">
        <v>11491</v>
      </c>
      <c r="H2069" t="s">
        <v>607</v>
      </c>
      <c r="I2069" t="s">
        <v>11492</v>
      </c>
      <c r="J2069" t="s">
        <v>3523</v>
      </c>
      <c r="L2069">
        <v>3</v>
      </c>
      <c r="M2069" s="134">
        <v>620000</v>
      </c>
      <c r="N2069" s="134">
        <v>1297000</v>
      </c>
      <c r="O2069" t="s">
        <v>7564</v>
      </c>
      <c r="P2069" t="s">
        <v>11493</v>
      </c>
      <c r="Q2069" t="s">
        <v>1939</v>
      </c>
      <c r="R2069" t="s">
        <v>11494</v>
      </c>
      <c r="U2069" t="s">
        <v>491</v>
      </c>
      <c r="X2069">
        <v>0</v>
      </c>
    </row>
    <row r="2070" spans="1:24" x14ac:dyDescent="0.25">
      <c r="A2070" s="234">
        <v>43469</v>
      </c>
      <c r="B2070" t="s">
        <v>328</v>
      </c>
      <c r="C2070" t="s">
        <v>603</v>
      </c>
      <c r="D2070" t="s">
        <v>10338</v>
      </c>
      <c r="F2070" t="s">
        <v>13820</v>
      </c>
      <c r="G2070" t="s">
        <v>13821</v>
      </c>
      <c r="H2070" t="s">
        <v>607</v>
      </c>
      <c r="I2070" t="s">
        <v>4864</v>
      </c>
      <c r="J2070" t="s">
        <v>899</v>
      </c>
      <c r="K2070" t="s">
        <v>13822</v>
      </c>
      <c r="L2070">
        <v>3</v>
      </c>
      <c r="M2070" s="134">
        <v>624000</v>
      </c>
      <c r="N2070" s="134">
        <v>1248000</v>
      </c>
      <c r="O2070" t="s">
        <v>10766</v>
      </c>
      <c r="P2070" t="s">
        <v>14226</v>
      </c>
      <c r="Q2070" t="s">
        <v>620</v>
      </c>
      <c r="R2070" t="s">
        <v>14227</v>
      </c>
      <c r="U2070" t="s">
        <v>12797</v>
      </c>
      <c r="X2070">
        <v>0</v>
      </c>
    </row>
    <row r="2071" spans="1:24" x14ac:dyDescent="0.25">
      <c r="A2071" s="234">
        <v>43475</v>
      </c>
      <c r="B2071" t="s">
        <v>328</v>
      </c>
      <c r="C2071" t="s">
        <v>603</v>
      </c>
      <c r="D2071" t="s">
        <v>10338</v>
      </c>
      <c r="F2071" t="s">
        <v>13820</v>
      </c>
      <c r="G2071" t="s">
        <v>13821</v>
      </c>
      <c r="H2071" t="s">
        <v>607</v>
      </c>
      <c r="I2071" t="s">
        <v>4864</v>
      </c>
      <c r="J2071" t="s">
        <v>899</v>
      </c>
      <c r="K2071" t="s">
        <v>13822</v>
      </c>
      <c r="L2071">
        <v>3</v>
      </c>
      <c r="M2071" s="134">
        <v>624000</v>
      </c>
      <c r="N2071" s="134">
        <v>1248000</v>
      </c>
      <c r="O2071" t="s">
        <v>10766</v>
      </c>
      <c r="P2071" t="s">
        <v>14230</v>
      </c>
      <c r="Q2071" t="s">
        <v>1939</v>
      </c>
      <c r="R2071" t="s">
        <v>13906</v>
      </c>
      <c r="S2071" t="s">
        <v>13907</v>
      </c>
      <c r="U2071" t="s">
        <v>12797</v>
      </c>
      <c r="X2071">
        <v>0</v>
      </c>
    </row>
    <row r="2072" spans="1:24" x14ac:dyDescent="0.25">
      <c r="A2072" s="234">
        <v>43504</v>
      </c>
      <c r="B2072" t="s">
        <v>569</v>
      </c>
      <c r="C2072" t="s">
        <v>899</v>
      </c>
      <c r="D2072" t="s">
        <v>611</v>
      </c>
      <c r="F2072" t="s">
        <v>7831</v>
      </c>
      <c r="G2072" t="s">
        <v>14317</v>
      </c>
      <c r="I2072" t="s">
        <v>14318</v>
      </c>
      <c r="J2072" t="s">
        <v>899</v>
      </c>
      <c r="K2072" t="s">
        <v>14319</v>
      </c>
      <c r="M2072" s="134">
        <v>624781</v>
      </c>
      <c r="N2072" s="134">
        <v>1094061</v>
      </c>
      <c r="O2072" t="s">
        <v>10766</v>
      </c>
      <c r="P2072" t="s">
        <v>14320</v>
      </c>
      <c r="Q2072" t="s">
        <v>29</v>
      </c>
      <c r="R2072" t="s">
        <v>14321</v>
      </c>
      <c r="S2072" t="s">
        <v>14322</v>
      </c>
      <c r="U2072" t="s">
        <v>12797</v>
      </c>
      <c r="X2072">
        <v>1</v>
      </c>
    </row>
    <row r="2073" spans="1:24" x14ac:dyDescent="0.25">
      <c r="A2073" s="234">
        <v>42943</v>
      </c>
      <c r="B2073" t="s">
        <v>5176</v>
      </c>
      <c r="D2073" t="s">
        <v>732</v>
      </c>
      <c r="E2073" t="s">
        <v>588</v>
      </c>
      <c r="F2073" t="s">
        <v>7854</v>
      </c>
      <c r="G2073" t="s">
        <v>7855</v>
      </c>
      <c r="H2073" t="s">
        <v>905</v>
      </c>
      <c r="I2073" t="s">
        <v>7856</v>
      </c>
      <c r="J2073" t="s">
        <v>959</v>
      </c>
      <c r="M2073" s="134">
        <v>625000</v>
      </c>
      <c r="N2073" s="134">
        <v>754000</v>
      </c>
      <c r="O2073" t="s">
        <v>2908</v>
      </c>
      <c r="P2073" t="s">
        <v>7857</v>
      </c>
      <c r="Q2073" t="s">
        <v>592</v>
      </c>
      <c r="T2073">
        <v>15</v>
      </c>
      <c r="U2073" t="s">
        <v>491</v>
      </c>
      <c r="X2073">
        <v>0</v>
      </c>
    </row>
    <row r="2074" spans="1:24" x14ac:dyDescent="0.25">
      <c r="A2074" s="234">
        <v>43116</v>
      </c>
      <c r="B2074" t="s">
        <v>5176</v>
      </c>
      <c r="C2074" t="s">
        <v>604</v>
      </c>
      <c r="D2074" t="s">
        <v>595</v>
      </c>
      <c r="E2074" t="s">
        <v>588</v>
      </c>
      <c r="F2074" t="s">
        <v>10022</v>
      </c>
      <c r="H2074" t="s">
        <v>886</v>
      </c>
      <c r="I2074" t="s">
        <v>10023</v>
      </c>
      <c r="J2074" t="s">
        <v>604</v>
      </c>
      <c r="M2074" s="134">
        <v>625000</v>
      </c>
      <c r="N2074" s="134">
        <v>1000000</v>
      </c>
      <c r="O2074" t="s">
        <v>10879</v>
      </c>
      <c r="P2074" t="s">
        <v>10024</v>
      </c>
      <c r="Q2074" t="s">
        <v>1612</v>
      </c>
      <c r="R2074" t="s">
        <v>10025</v>
      </c>
      <c r="U2074" t="s">
        <v>491</v>
      </c>
      <c r="X2074">
        <v>0</v>
      </c>
    </row>
    <row r="2075" spans="1:24" x14ac:dyDescent="0.25">
      <c r="A2075" s="234">
        <v>42781</v>
      </c>
      <c r="B2075" t="s">
        <v>110</v>
      </c>
      <c r="D2075" t="s">
        <v>4782</v>
      </c>
      <c r="E2075" t="s">
        <v>588</v>
      </c>
      <c r="F2075" t="s">
        <v>5690</v>
      </c>
      <c r="H2075" t="s">
        <v>607</v>
      </c>
      <c r="I2075" t="s">
        <v>5691</v>
      </c>
      <c r="J2075" t="s">
        <v>761</v>
      </c>
      <c r="L2075">
        <v>10</v>
      </c>
      <c r="M2075" s="134">
        <v>625000</v>
      </c>
      <c r="N2075" s="134">
        <v>1062500</v>
      </c>
      <c r="O2075" t="s">
        <v>5692</v>
      </c>
      <c r="P2075" t="s">
        <v>5693</v>
      </c>
      <c r="Q2075" t="s">
        <v>592</v>
      </c>
      <c r="U2075" t="s">
        <v>491</v>
      </c>
      <c r="X2075">
        <v>0</v>
      </c>
    </row>
    <row r="2076" spans="1:24" x14ac:dyDescent="0.25">
      <c r="A2076" s="234">
        <v>42688</v>
      </c>
      <c r="B2076" t="s">
        <v>328</v>
      </c>
      <c r="C2076" t="s">
        <v>603</v>
      </c>
      <c r="D2076" t="s">
        <v>1471</v>
      </c>
      <c r="E2076" t="s">
        <v>588</v>
      </c>
      <c r="F2076" t="s">
        <v>4679</v>
      </c>
      <c r="H2076" t="s">
        <v>607</v>
      </c>
      <c r="I2076" t="s">
        <v>4535</v>
      </c>
      <c r="J2076" t="s">
        <v>3373</v>
      </c>
      <c r="L2076">
        <v>5</v>
      </c>
      <c r="M2076" s="134">
        <v>626000</v>
      </c>
      <c r="N2076" s="134">
        <v>1064200</v>
      </c>
      <c r="O2076" t="s">
        <v>695</v>
      </c>
      <c r="P2076" t="s">
        <v>4680</v>
      </c>
      <c r="Q2076" t="s">
        <v>1939</v>
      </c>
      <c r="R2076" t="s">
        <v>4681</v>
      </c>
      <c r="U2076" t="s">
        <v>491</v>
      </c>
      <c r="X2076">
        <v>0</v>
      </c>
    </row>
    <row r="2077" spans="1:24" x14ac:dyDescent="0.25">
      <c r="A2077" s="234">
        <v>43235</v>
      </c>
      <c r="B2077" t="s">
        <v>328</v>
      </c>
      <c r="C2077" t="s">
        <v>603</v>
      </c>
      <c r="D2077" t="s">
        <v>757</v>
      </c>
      <c r="E2077" t="s">
        <v>588</v>
      </c>
      <c r="F2077" t="s">
        <v>11253</v>
      </c>
      <c r="G2077" t="s">
        <v>7714</v>
      </c>
      <c r="H2077" t="s">
        <v>10831</v>
      </c>
      <c r="J2077" t="s">
        <v>6015</v>
      </c>
      <c r="L2077">
        <v>5</v>
      </c>
      <c r="M2077" s="134">
        <v>626000</v>
      </c>
      <c r="N2077" s="134">
        <v>1126000</v>
      </c>
      <c r="O2077" t="s">
        <v>10766</v>
      </c>
      <c r="P2077" t="s">
        <v>11254</v>
      </c>
      <c r="Q2077" t="s">
        <v>1939</v>
      </c>
      <c r="R2077" t="s">
        <v>11255</v>
      </c>
      <c r="U2077" t="s">
        <v>1327</v>
      </c>
      <c r="X2077">
        <v>0</v>
      </c>
    </row>
    <row r="2078" spans="1:24" x14ac:dyDescent="0.25">
      <c r="A2078" s="234">
        <v>43180</v>
      </c>
      <c r="B2078" t="s">
        <v>5360</v>
      </c>
      <c r="C2078" t="s">
        <v>603</v>
      </c>
      <c r="D2078" t="s">
        <v>9849</v>
      </c>
      <c r="E2078" t="s">
        <v>588</v>
      </c>
      <c r="F2078" t="s">
        <v>134</v>
      </c>
      <c r="G2078" t="s">
        <v>10675</v>
      </c>
      <c r="H2078" t="s">
        <v>607</v>
      </c>
      <c r="I2078" t="s">
        <v>7428</v>
      </c>
      <c r="J2078" t="s">
        <v>3373</v>
      </c>
      <c r="L2078">
        <v>4</v>
      </c>
      <c r="M2078" s="134">
        <v>626000</v>
      </c>
      <c r="N2078" s="134">
        <v>1189200</v>
      </c>
      <c r="O2078" t="s">
        <v>10766</v>
      </c>
      <c r="P2078" t="s">
        <v>10676</v>
      </c>
      <c r="Q2078" t="s">
        <v>1939</v>
      </c>
      <c r="R2078" t="s">
        <v>10678</v>
      </c>
      <c r="U2078" t="s">
        <v>1327</v>
      </c>
      <c r="X2078">
        <v>0</v>
      </c>
    </row>
    <row r="2079" spans="1:24" x14ac:dyDescent="0.25">
      <c r="A2079" s="234">
        <v>42592</v>
      </c>
      <c r="B2079" t="s">
        <v>328</v>
      </c>
      <c r="C2079" t="s">
        <v>603</v>
      </c>
      <c r="D2079" t="s">
        <v>1471</v>
      </c>
      <c r="E2079" t="s">
        <v>588</v>
      </c>
      <c r="F2079" t="s">
        <v>3332</v>
      </c>
      <c r="H2079" t="s">
        <v>607</v>
      </c>
      <c r="I2079" t="s">
        <v>2666</v>
      </c>
      <c r="J2079" t="s">
        <v>3373</v>
      </c>
      <c r="L2079">
        <v>4</v>
      </c>
      <c r="M2079" s="134">
        <v>628000</v>
      </c>
      <c r="N2079" s="134">
        <v>1287400</v>
      </c>
      <c r="O2079" t="s">
        <v>3333</v>
      </c>
      <c r="P2079" t="s">
        <v>3334</v>
      </c>
      <c r="Q2079" t="s">
        <v>1939</v>
      </c>
      <c r="R2079" t="s">
        <v>3336</v>
      </c>
      <c r="U2079" t="s">
        <v>491</v>
      </c>
      <c r="X2079">
        <v>0</v>
      </c>
    </row>
    <row r="2080" spans="1:24" x14ac:dyDescent="0.25">
      <c r="A2080" s="234">
        <v>43622</v>
      </c>
      <c r="B2080" t="s">
        <v>328</v>
      </c>
      <c r="C2080" t="s">
        <v>603</v>
      </c>
      <c r="D2080" t="s">
        <v>10705</v>
      </c>
      <c r="F2080" t="s">
        <v>15963</v>
      </c>
      <c r="G2080" t="s">
        <v>7855</v>
      </c>
      <c r="H2080" t="s">
        <v>10831</v>
      </c>
      <c r="I2080" t="s">
        <v>4926</v>
      </c>
      <c r="J2080" t="s">
        <v>644</v>
      </c>
      <c r="K2080" t="s">
        <v>15966</v>
      </c>
      <c r="L2080">
        <v>4</v>
      </c>
      <c r="M2080" s="134">
        <v>629000</v>
      </c>
      <c r="N2080" s="134">
        <v>921900</v>
      </c>
      <c r="O2080" t="s">
        <v>7564</v>
      </c>
      <c r="P2080" t="s">
        <v>15964</v>
      </c>
      <c r="Q2080" t="s">
        <v>1939</v>
      </c>
      <c r="R2080" t="s">
        <v>15965</v>
      </c>
      <c r="S2080" t="s">
        <v>15436</v>
      </c>
      <c r="U2080" t="s">
        <v>491</v>
      </c>
      <c r="X2080">
        <v>0</v>
      </c>
    </row>
    <row r="2081" spans="1:24" x14ac:dyDescent="0.25">
      <c r="A2081" s="234">
        <v>42628</v>
      </c>
      <c r="B2081" t="s">
        <v>378</v>
      </c>
      <c r="C2081" t="s">
        <v>623</v>
      </c>
      <c r="D2081" t="s">
        <v>625</v>
      </c>
      <c r="E2081" t="s">
        <v>1707</v>
      </c>
      <c r="F2081" t="s">
        <v>3917</v>
      </c>
      <c r="H2081" t="s">
        <v>843</v>
      </c>
      <c r="I2081" t="s">
        <v>3918</v>
      </c>
      <c r="J2081" t="s">
        <v>899</v>
      </c>
      <c r="M2081" s="134">
        <v>630000</v>
      </c>
      <c r="N2081" s="134">
        <v>0</v>
      </c>
      <c r="O2081" t="s">
        <v>3919</v>
      </c>
      <c r="P2081" t="s">
        <v>3920</v>
      </c>
      <c r="Q2081" t="s">
        <v>1939</v>
      </c>
      <c r="R2081" t="s">
        <v>3921</v>
      </c>
      <c r="U2081" t="s">
        <v>491</v>
      </c>
      <c r="X2081">
        <v>0</v>
      </c>
    </row>
    <row r="2082" spans="1:24" x14ac:dyDescent="0.25">
      <c r="A2082" s="234">
        <v>43399</v>
      </c>
      <c r="B2082" t="s">
        <v>5473</v>
      </c>
      <c r="C2082" t="s">
        <v>608</v>
      </c>
      <c r="D2082" t="s">
        <v>1382</v>
      </c>
      <c r="F2082" t="s">
        <v>13062</v>
      </c>
      <c r="G2082" t="s">
        <v>2454</v>
      </c>
      <c r="H2082" t="s">
        <v>607</v>
      </c>
      <c r="I2082" t="s">
        <v>13063</v>
      </c>
      <c r="J2082" t="s">
        <v>602</v>
      </c>
      <c r="K2082">
        <v>29487</v>
      </c>
      <c r="L2082">
        <v>5</v>
      </c>
      <c r="M2082" s="134">
        <v>630000</v>
      </c>
      <c r="N2082" s="134">
        <v>1039500</v>
      </c>
      <c r="P2082" t="s">
        <v>13425</v>
      </c>
      <c r="Q2082" t="s">
        <v>1939</v>
      </c>
      <c r="R2082" t="s">
        <v>13072</v>
      </c>
      <c r="U2082" t="s">
        <v>12344</v>
      </c>
      <c r="X2082">
        <v>0</v>
      </c>
    </row>
    <row r="2083" spans="1:24" x14ac:dyDescent="0.25">
      <c r="A2083" s="234">
        <v>43473</v>
      </c>
      <c r="B2083" t="s">
        <v>328</v>
      </c>
      <c r="C2083" t="s">
        <v>603</v>
      </c>
      <c r="D2083" t="s">
        <v>649</v>
      </c>
      <c r="F2083" t="s">
        <v>13695</v>
      </c>
      <c r="G2083" t="s">
        <v>13696</v>
      </c>
      <c r="H2083" t="s">
        <v>607</v>
      </c>
      <c r="J2083" t="s">
        <v>4031</v>
      </c>
      <c r="L2083">
        <v>3</v>
      </c>
      <c r="M2083" s="134">
        <v>630990</v>
      </c>
      <c r="N2083" s="134">
        <v>1250438</v>
      </c>
      <c r="O2083" t="s">
        <v>10766</v>
      </c>
      <c r="P2083" t="s">
        <v>13900</v>
      </c>
      <c r="Q2083" t="s">
        <v>1612</v>
      </c>
      <c r="R2083" t="s">
        <v>14228</v>
      </c>
      <c r="U2083" t="s">
        <v>491</v>
      </c>
      <c r="X2083">
        <v>0</v>
      </c>
    </row>
    <row r="2084" spans="1:24" x14ac:dyDescent="0.25">
      <c r="A2084" s="234">
        <v>43460</v>
      </c>
      <c r="B2084" t="s">
        <v>328</v>
      </c>
      <c r="C2084" t="s">
        <v>603</v>
      </c>
      <c r="D2084" t="s">
        <v>10705</v>
      </c>
      <c r="F2084" t="s">
        <v>13695</v>
      </c>
      <c r="G2084" t="s">
        <v>13696</v>
      </c>
      <c r="H2084" t="s">
        <v>607</v>
      </c>
      <c r="I2084" t="s">
        <v>13697</v>
      </c>
      <c r="J2084" t="s">
        <v>4031</v>
      </c>
      <c r="K2084" t="s">
        <v>13698</v>
      </c>
      <c r="L2084">
        <v>3</v>
      </c>
      <c r="M2084" s="134">
        <v>630990</v>
      </c>
      <c r="N2084" s="134">
        <v>1250438</v>
      </c>
      <c r="O2084" t="s">
        <v>10766</v>
      </c>
      <c r="P2084" t="s">
        <v>13699</v>
      </c>
      <c r="Q2084" t="s">
        <v>1612</v>
      </c>
      <c r="R2084" t="s">
        <v>13856</v>
      </c>
      <c r="U2084" t="s">
        <v>491</v>
      </c>
      <c r="X2084">
        <v>0</v>
      </c>
    </row>
    <row r="2085" spans="1:24" x14ac:dyDescent="0.25">
      <c r="A2085" s="234">
        <v>42513</v>
      </c>
      <c r="B2085" t="s">
        <v>378</v>
      </c>
      <c r="C2085" t="s">
        <v>610</v>
      </c>
      <c r="D2085" t="s">
        <v>732</v>
      </c>
      <c r="E2085" t="s">
        <v>588</v>
      </c>
      <c r="F2085" t="s">
        <v>2211</v>
      </c>
      <c r="H2085" t="s">
        <v>2212</v>
      </c>
      <c r="I2085" t="s">
        <v>2213</v>
      </c>
      <c r="M2085" s="134">
        <v>631000</v>
      </c>
      <c r="N2085" s="134">
        <v>1743400</v>
      </c>
      <c r="O2085" t="s">
        <v>2214</v>
      </c>
      <c r="P2085" t="s">
        <v>2215</v>
      </c>
      <c r="Q2085" t="s">
        <v>592</v>
      </c>
      <c r="R2085" t="s">
        <v>2364</v>
      </c>
      <c r="S2085" t="s">
        <v>2216</v>
      </c>
      <c r="U2085" t="s">
        <v>633</v>
      </c>
      <c r="X2085">
        <v>0</v>
      </c>
    </row>
    <row r="2086" spans="1:24" x14ac:dyDescent="0.25">
      <c r="A2086" s="234">
        <v>43061</v>
      </c>
      <c r="B2086" t="s">
        <v>1788</v>
      </c>
      <c r="C2086" t="s">
        <v>3369</v>
      </c>
      <c r="D2086" t="s">
        <v>8216</v>
      </c>
      <c r="E2086" t="s">
        <v>588</v>
      </c>
      <c r="F2086" t="s">
        <v>9544</v>
      </c>
      <c r="G2086" t="s">
        <v>9545</v>
      </c>
      <c r="H2086" t="s">
        <v>607</v>
      </c>
      <c r="I2086" t="s">
        <v>9546</v>
      </c>
      <c r="J2086" t="s">
        <v>3369</v>
      </c>
      <c r="M2086" s="134">
        <v>632000</v>
      </c>
      <c r="N2086" s="134">
        <v>1074400</v>
      </c>
      <c r="O2086" t="s">
        <v>1013</v>
      </c>
      <c r="P2086" t="s">
        <v>9547</v>
      </c>
      <c r="Q2086" t="s">
        <v>29</v>
      </c>
      <c r="R2086" t="s">
        <v>9548</v>
      </c>
      <c r="U2086" t="s">
        <v>1327</v>
      </c>
      <c r="X2086">
        <v>1</v>
      </c>
    </row>
    <row r="2087" spans="1:24" x14ac:dyDescent="0.25">
      <c r="A2087" s="234">
        <v>42516</v>
      </c>
      <c r="B2087" t="s">
        <v>328</v>
      </c>
      <c r="D2087" t="s">
        <v>672</v>
      </c>
      <c r="E2087" t="s">
        <v>588</v>
      </c>
      <c r="F2087" t="s">
        <v>2256</v>
      </c>
      <c r="H2087" t="s">
        <v>607</v>
      </c>
      <c r="I2087" t="s">
        <v>2257</v>
      </c>
      <c r="M2087" s="134">
        <v>632000</v>
      </c>
      <c r="N2087" s="134">
        <v>2182800</v>
      </c>
      <c r="O2087" t="s">
        <v>1474</v>
      </c>
      <c r="P2087" t="s">
        <v>2258</v>
      </c>
      <c r="Q2087" t="s">
        <v>1612</v>
      </c>
      <c r="R2087" t="s">
        <v>2259</v>
      </c>
      <c r="S2087" t="s">
        <v>16002</v>
      </c>
      <c r="U2087" t="s">
        <v>491</v>
      </c>
      <c r="X2087">
        <v>0</v>
      </c>
    </row>
    <row r="2088" spans="1:24" x14ac:dyDescent="0.25">
      <c r="A2088" s="234">
        <v>42422</v>
      </c>
      <c r="B2088" t="s">
        <v>378</v>
      </c>
      <c r="C2088" t="s">
        <v>610</v>
      </c>
      <c r="D2088" t="s">
        <v>732</v>
      </c>
      <c r="E2088" t="s">
        <v>588</v>
      </c>
      <c r="F2088" t="s">
        <v>1083</v>
      </c>
      <c r="H2088" t="s">
        <v>607</v>
      </c>
      <c r="I2088" t="s">
        <v>1084</v>
      </c>
      <c r="M2088" s="134">
        <v>632000</v>
      </c>
      <c r="N2088" s="134">
        <v>19137600</v>
      </c>
      <c r="O2088" t="s">
        <v>1085</v>
      </c>
      <c r="P2088" t="s">
        <v>1086</v>
      </c>
      <c r="Q2088" t="s">
        <v>592</v>
      </c>
      <c r="R2088" t="s">
        <v>1087</v>
      </c>
      <c r="U2088" t="s">
        <v>491</v>
      </c>
      <c r="X2088">
        <v>0</v>
      </c>
    </row>
    <row r="2089" spans="1:24" x14ac:dyDescent="0.25">
      <c r="A2089" s="234">
        <v>42957</v>
      </c>
      <c r="B2089" t="s">
        <v>328</v>
      </c>
      <c r="C2089" t="s">
        <v>603</v>
      </c>
      <c r="D2089" t="s">
        <v>649</v>
      </c>
      <c r="E2089" t="s">
        <v>588</v>
      </c>
      <c r="F2089" t="s">
        <v>8107</v>
      </c>
      <c r="G2089" t="s">
        <v>8108</v>
      </c>
      <c r="H2089" t="s">
        <v>607</v>
      </c>
      <c r="I2089" t="s">
        <v>8109</v>
      </c>
      <c r="J2089" t="s">
        <v>899</v>
      </c>
      <c r="L2089">
        <v>1</v>
      </c>
      <c r="M2089" s="134">
        <v>633000</v>
      </c>
      <c r="N2089" s="134">
        <v>1130000</v>
      </c>
      <c r="O2089" t="s">
        <v>695</v>
      </c>
      <c r="P2089" t="s">
        <v>8110</v>
      </c>
      <c r="Q2089" t="s">
        <v>1939</v>
      </c>
      <c r="R2089" t="s">
        <v>8111</v>
      </c>
      <c r="T2089">
        <v>17</v>
      </c>
      <c r="U2089" t="s">
        <v>491</v>
      </c>
      <c r="X2089">
        <v>0</v>
      </c>
    </row>
    <row r="2090" spans="1:24" x14ac:dyDescent="0.25">
      <c r="A2090" s="234">
        <v>43495</v>
      </c>
      <c r="B2090" t="s">
        <v>12367</v>
      </c>
      <c r="C2090" t="s">
        <v>5610</v>
      </c>
      <c r="D2090" t="s">
        <v>7814</v>
      </c>
      <c r="F2090" t="s">
        <v>14140</v>
      </c>
      <c r="G2090" t="s">
        <v>7855</v>
      </c>
      <c r="H2090" t="s">
        <v>607</v>
      </c>
      <c r="I2090" t="s">
        <v>12745</v>
      </c>
      <c r="J2090" t="s">
        <v>644</v>
      </c>
      <c r="K2090" t="s">
        <v>14141</v>
      </c>
      <c r="L2090">
        <v>3</v>
      </c>
      <c r="M2090" s="134">
        <v>635646</v>
      </c>
      <c r="N2090" s="134">
        <v>780000</v>
      </c>
      <c r="O2090" t="s">
        <v>10766</v>
      </c>
      <c r="P2090" t="s">
        <v>14142</v>
      </c>
      <c r="Q2090" t="s">
        <v>1612</v>
      </c>
      <c r="R2090" t="s">
        <v>14316</v>
      </c>
      <c r="U2090" t="s">
        <v>491</v>
      </c>
      <c r="X2090">
        <v>0</v>
      </c>
    </row>
    <row r="2091" spans="1:24" x14ac:dyDescent="0.25">
      <c r="A2091" s="234">
        <v>42758</v>
      </c>
      <c r="B2091" t="s">
        <v>328</v>
      </c>
      <c r="C2091" t="s">
        <v>603</v>
      </c>
      <c r="D2091" t="s">
        <v>2397</v>
      </c>
      <c r="E2091" t="s">
        <v>588</v>
      </c>
      <c r="F2091" t="s">
        <v>5408</v>
      </c>
      <c r="H2091" t="s">
        <v>607</v>
      </c>
      <c r="I2091" t="s">
        <v>5409</v>
      </c>
      <c r="J2091" t="s">
        <v>3373</v>
      </c>
      <c r="L2091" t="s">
        <v>5302</v>
      </c>
      <c r="M2091" s="134">
        <v>637000</v>
      </c>
      <c r="N2091" s="134">
        <v>1274000</v>
      </c>
      <c r="O2091" t="s">
        <v>3107</v>
      </c>
      <c r="P2091" t="s">
        <v>5410</v>
      </c>
      <c r="Q2091" t="s">
        <v>620</v>
      </c>
      <c r="R2091" t="s">
        <v>5411</v>
      </c>
      <c r="U2091" t="s">
        <v>491</v>
      </c>
      <c r="X2091">
        <v>0</v>
      </c>
    </row>
    <row r="2092" spans="1:24" x14ac:dyDescent="0.25">
      <c r="A2092" s="234">
        <v>42972</v>
      </c>
      <c r="B2092" t="s">
        <v>328</v>
      </c>
      <c r="C2092" t="s">
        <v>603</v>
      </c>
      <c r="D2092" t="s">
        <v>649</v>
      </c>
      <c r="E2092" t="s">
        <v>588</v>
      </c>
      <c r="F2092" t="s">
        <v>8319</v>
      </c>
      <c r="G2092" t="s">
        <v>8320</v>
      </c>
      <c r="H2092" t="s">
        <v>607</v>
      </c>
      <c r="I2092" t="s">
        <v>2054</v>
      </c>
      <c r="J2092" t="s">
        <v>899</v>
      </c>
      <c r="L2092">
        <v>1</v>
      </c>
      <c r="M2092" s="134">
        <v>638000</v>
      </c>
      <c r="N2092" s="134">
        <v>1130000</v>
      </c>
      <c r="O2092" t="s">
        <v>695</v>
      </c>
      <c r="P2092" t="s">
        <v>8321</v>
      </c>
      <c r="Q2092" t="s">
        <v>1939</v>
      </c>
      <c r="R2092" t="s">
        <v>8322</v>
      </c>
      <c r="S2092" t="s">
        <v>8323</v>
      </c>
      <c r="T2092">
        <v>25</v>
      </c>
      <c r="U2092" t="s">
        <v>491</v>
      </c>
      <c r="X2092">
        <v>0</v>
      </c>
    </row>
    <row r="2093" spans="1:24" x14ac:dyDescent="0.25">
      <c r="A2093" s="234">
        <v>43124</v>
      </c>
      <c r="B2093" t="s">
        <v>5176</v>
      </c>
      <c r="C2093" t="s">
        <v>604</v>
      </c>
      <c r="D2093" t="s">
        <v>595</v>
      </c>
      <c r="E2093" t="s">
        <v>588</v>
      </c>
      <c r="F2093" t="s">
        <v>10085</v>
      </c>
      <c r="G2093" t="s">
        <v>10086</v>
      </c>
      <c r="H2093" t="s">
        <v>905</v>
      </c>
      <c r="I2093" t="s">
        <v>1487</v>
      </c>
      <c r="J2093" t="s">
        <v>604</v>
      </c>
      <c r="M2093" s="134">
        <v>640000</v>
      </c>
      <c r="N2093" s="134">
        <v>0</v>
      </c>
      <c r="O2093" t="s">
        <v>10762</v>
      </c>
      <c r="P2093" t="s">
        <v>10087</v>
      </c>
      <c r="Q2093" t="s">
        <v>1939</v>
      </c>
      <c r="R2093" t="s">
        <v>10088</v>
      </c>
      <c r="U2093" t="s">
        <v>491</v>
      </c>
      <c r="X2093">
        <v>0</v>
      </c>
    </row>
    <row r="2094" spans="1:24" x14ac:dyDescent="0.25">
      <c r="A2094" s="234">
        <v>43444</v>
      </c>
      <c r="B2094" t="s">
        <v>5176</v>
      </c>
      <c r="C2094" t="s">
        <v>604</v>
      </c>
      <c r="D2094" t="s">
        <v>595</v>
      </c>
      <c r="F2094" t="s">
        <v>13569</v>
      </c>
      <c r="G2094" t="s">
        <v>10086</v>
      </c>
      <c r="H2094" t="s">
        <v>905</v>
      </c>
      <c r="I2094" t="s">
        <v>1487</v>
      </c>
      <c r="J2094" t="s">
        <v>604</v>
      </c>
      <c r="K2094" t="s">
        <v>13570</v>
      </c>
      <c r="M2094" s="134">
        <v>640000</v>
      </c>
      <c r="N2094" s="134">
        <v>804000</v>
      </c>
      <c r="O2094" t="s">
        <v>10762</v>
      </c>
      <c r="P2094" t="s">
        <v>13571</v>
      </c>
      <c r="Q2094" t="s">
        <v>1612</v>
      </c>
      <c r="R2094" t="s">
        <v>13588</v>
      </c>
      <c r="U2094" t="s">
        <v>12797</v>
      </c>
      <c r="X2094">
        <v>0</v>
      </c>
    </row>
    <row r="2095" spans="1:24" x14ac:dyDescent="0.25">
      <c r="A2095" s="234">
        <v>43396</v>
      </c>
      <c r="B2095" t="s">
        <v>569</v>
      </c>
      <c r="C2095" t="s">
        <v>899</v>
      </c>
      <c r="D2095" t="s">
        <v>625</v>
      </c>
      <c r="F2095" t="s">
        <v>12995</v>
      </c>
      <c r="H2095" t="s">
        <v>905</v>
      </c>
      <c r="I2095" t="s">
        <v>4070</v>
      </c>
      <c r="J2095" t="s">
        <v>899</v>
      </c>
      <c r="K2095">
        <v>92651</v>
      </c>
      <c r="L2095">
        <v>3</v>
      </c>
      <c r="M2095" s="134">
        <v>640563</v>
      </c>
      <c r="N2095" s="134">
        <v>661626</v>
      </c>
      <c r="O2095" t="s">
        <v>10763</v>
      </c>
      <c r="P2095" t="s">
        <v>12996</v>
      </c>
      <c r="Q2095" t="s">
        <v>1939</v>
      </c>
      <c r="R2095" t="s">
        <v>12997</v>
      </c>
      <c r="U2095" t="s">
        <v>12344</v>
      </c>
      <c r="X2095">
        <v>0</v>
      </c>
    </row>
    <row r="2096" spans="1:24" x14ac:dyDescent="0.25">
      <c r="A2096" s="234">
        <v>43287</v>
      </c>
      <c r="B2096" t="s">
        <v>5360</v>
      </c>
      <c r="C2096" t="s">
        <v>899</v>
      </c>
      <c r="D2096" t="s">
        <v>732</v>
      </c>
      <c r="E2096" t="s">
        <v>588</v>
      </c>
      <c r="F2096" t="s">
        <v>11757</v>
      </c>
      <c r="G2096" t="s">
        <v>11758</v>
      </c>
      <c r="H2096" t="s">
        <v>607</v>
      </c>
      <c r="I2096" t="s">
        <v>10542</v>
      </c>
      <c r="J2096" t="s">
        <v>899</v>
      </c>
      <c r="L2096">
        <v>3</v>
      </c>
      <c r="M2096" s="134">
        <v>643000</v>
      </c>
      <c r="N2096" s="134">
        <v>971600</v>
      </c>
      <c r="O2096" t="s">
        <v>4533</v>
      </c>
      <c r="P2096" t="s">
        <v>11997</v>
      </c>
      <c r="Q2096" t="s">
        <v>1939</v>
      </c>
      <c r="R2096" t="s">
        <v>11759</v>
      </c>
      <c r="U2096" t="s">
        <v>1327</v>
      </c>
      <c r="X2096">
        <v>0</v>
      </c>
    </row>
    <row r="2097" spans="1:24" x14ac:dyDescent="0.25">
      <c r="A2097" s="234">
        <v>42832</v>
      </c>
      <c r="B2097" t="s">
        <v>328</v>
      </c>
      <c r="C2097" t="s">
        <v>603</v>
      </c>
      <c r="D2097" t="s">
        <v>672</v>
      </c>
      <c r="E2097" t="s">
        <v>588</v>
      </c>
      <c r="F2097" t="s">
        <v>6343</v>
      </c>
      <c r="H2097" t="s">
        <v>5244</v>
      </c>
      <c r="I2097" t="s">
        <v>6344</v>
      </c>
      <c r="J2097" t="s">
        <v>899</v>
      </c>
      <c r="L2097">
        <v>10</v>
      </c>
      <c r="M2097" s="134">
        <v>644000</v>
      </c>
      <c r="N2097" s="134">
        <v>1159200</v>
      </c>
      <c r="O2097" t="s">
        <v>2680</v>
      </c>
      <c r="P2097" t="s">
        <v>6345</v>
      </c>
      <c r="Q2097" t="s">
        <v>592</v>
      </c>
      <c r="U2097" t="s">
        <v>491</v>
      </c>
      <c r="X2097">
        <v>0</v>
      </c>
    </row>
    <row r="2098" spans="1:24" x14ac:dyDescent="0.25">
      <c r="A2098" s="234">
        <v>43371</v>
      </c>
      <c r="B2098" t="s">
        <v>569</v>
      </c>
      <c r="C2098" t="s">
        <v>899</v>
      </c>
      <c r="D2098" t="s">
        <v>625</v>
      </c>
      <c r="E2098" t="s">
        <v>588</v>
      </c>
      <c r="F2098" t="s">
        <v>12768</v>
      </c>
      <c r="G2098" t="s">
        <v>12769</v>
      </c>
      <c r="H2098" t="s">
        <v>607</v>
      </c>
      <c r="I2098" t="s">
        <v>4674</v>
      </c>
      <c r="J2098" t="s">
        <v>899</v>
      </c>
      <c r="L2098">
        <v>4</v>
      </c>
      <c r="M2098" s="134">
        <v>645000</v>
      </c>
      <c r="N2098" s="134">
        <v>909500</v>
      </c>
      <c r="O2098" t="s">
        <v>10763</v>
      </c>
      <c r="P2098" t="s">
        <v>12770</v>
      </c>
      <c r="Q2098" t="s">
        <v>1939</v>
      </c>
      <c r="R2098" t="s">
        <v>12771</v>
      </c>
      <c r="U2098" t="s">
        <v>12344</v>
      </c>
      <c r="X2098">
        <v>0</v>
      </c>
    </row>
    <row r="2099" spans="1:24" x14ac:dyDescent="0.25">
      <c r="A2099" s="234">
        <v>43601</v>
      </c>
      <c r="B2099" t="s">
        <v>328</v>
      </c>
      <c r="C2099" t="s">
        <v>603</v>
      </c>
      <c r="D2099" t="s">
        <v>10705</v>
      </c>
      <c r="F2099" t="s">
        <v>12116</v>
      </c>
      <c r="G2099" t="s">
        <v>732</v>
      </c>
      <c r="H2099" t="s">
        <v>607</v>
      </c>
      <c r="I2099" t="s">
        <v>12287</v>
      </c>
      <c r="J2099" t="s">
        <v>899</v>
      </c>
      <c r="K2099" t="s">
        <v>15602</v>
      </c>
      <c r="L2099">
        <v>3</v>
      </c>
      <c r="M2099" s="134">
        <v>645000</v>
      </c>
      <c r="N2099" s="134">
        <v>1096500</v>
      </c>
      <c r="O2099" t="s">
        <v>4533</v>
      </c>
      <c r="P2099" t="s">
        <v>15603</v>
      </c>
      <c r="Q2099" t="s">
        <v>1939</v>
      </c>
      <c r="R2099" t="s">
        <v>15604</v>
      </c>
      <c r="U2099" t="s">
        <v>491</v>
      </c>
      <c r="X2099">
        <v>0</v>
      </c>
    </row>
    <row r="2100" spans="1:24" x14ac:dyDescent="0.25">
      <c r="A2100" s="234">
        <v>43502</v>
      </c>
      <c r="B2100" t="s">
        <v>328</v>
      </c>
      <c r="C2100" t="s">
        <v>603</v>
      </c>
      <c r="D2100" t="s">
        <v>5701</v>
      </c>
      <c r="F2100" t="s">
        <v>14279</v>
      </c>
      <c r="G2100" t="s">
        <v>14280</v>
      </c>
      <c r="H2100" t="s">
        <v>607</v>
      </c>
      <c r="I2100" t="s">
        <v>14281</v>
      </c>
      <c r="J2100" t="s">
        <v>3523</v>
      </c>
      <c r="K2100" t="s">
        <v>14282</v>
      </c>
      <c r="L2100">
        <v>9</v>
      </c>
      <c r="M2100" s="134">
        <v>646000</v>
      </c>
      <c r="N2100" s="134">
        <v>1300000</v>
      </c>
      <c r="O2100" t="s">
        <v>4533</v>
      </c>
      <c r="P2100" t="s">
        <v>14558</v>
      </c>
      <c r="Q2100" t="s">
        <v>29</v>
      </c>
      <c r="R2100" t="s">
        <v>14559</v>
      </c>
      <c r="U2100" t="s">
        <v>14283</v>
      </c>
      <c r="X2100">
        <v>1</v>
      </c>
    </row>
    <row r="2101" spans="1:24" x14ac:dyDescent="0.25">
      <c r="A2101" s="234">
        <v>43118</v>
      </c>
      <c r="B2101" t="s">
        <v>5473</v>
      </c>
      <c r="C2101" t="s">
        <v>608</v>
      </c>
      <c r="D2101" t="s">
        <v>1495</v>
      </c>
      <c r="E2101" t="s">
        <v>588</v>
      </c>
      <c r="F2101" t="s">
        <v>10035</v>
      </c>
      <c r="G2101" t="s">
        <v>2678</v>
      </c>
      <c r="H2101" t="s">
        <v>809</v>
      </c>
      <c r="I2101" t="s">
        <v>10036</v>
      </c>
      <c r="J2101" t="s">
        <v>602</v>
      </c>
      <c r="M2101" s="134">
        <v>646200</v>
      </c>
      <c r="N2101" s="134">
        <v>716200</v>
      </c>
      <c r="O2101" t="s">
        <v>10762</v>
      </c>
      <c r="P2101" t="s">
        <v>10037</v>
      </c>
      <c r="Q2101" t="s">
        <v>1939</v>
      </c>
      <c r="R2101" t="s">
        <v>10067</v>
      </c>
      <c r="U2101" t="s">
        <v>491</v>
      </c>
      <c r="X2101">
        <v>0</v>
      </c>
    </row>
    <row r="2102" spans="1:24" x14ac:dyDescent="0.25">
      <c r="A2102" s="234">
        <v>43510</v>
      </c>
      <c r="B2102" t="s">
        <v>328</v>
      </c>
      <c r="C2102" t="s">
        <v>603</v>
      </c>
      <c r="D2102" t="s">
        <v>649</v>
      </c>
      <c r="F2102" t="s">
        <v>14398</v>
      </c>
      <c r="H2102" t="s">
        <v>10831</v>
      </c>
      <c r="I2102" t="s">
        <v>14399</v>
      </c>
      <c r="J2102" t="s">
        <v>4031</v>
      </c>
      <c r="K2102" t="s">
        <v>14400</v>
      </c>
      <c r="L2102">
        <v>3</v>
      </c>
      <c r="M2102" s="134">
        <v>646610</v>
      </c>
      <c r="N2102" s="134">
        <v>850000</v>
      </c>
      <c r="O2102" t="s">
        <v>6745</v>
      </c>
      <c r="P2102" t="s">
        <v>14401</v>
      </c>
      <c r="Q2102" t="s">
        <v>1939</v>
      </c>
      <c r="R2102" t="s">
        <v>14402</v>
      </c>
      <c r="S2102" t="s">
        <v>14403</v>
      </c>
      <c r="U2102" t="s">
        <v>491</v>
      </c>
      <c r="X2102">
        <v>0</v>
      </c>
    </row>
    <row r="2103" spans="1:24" x14ac:dyDescent="0.25">
      <c r="A2103" s="234">
        <v>42993</v>
      </c>
      <c r="B2103" t="s">
        <v>5176</v>
      </c>
      <c r="C2103" t="s">
        <v>604</v>
      </c>
      <c r="D2103" t="s">
        <v>595</v>
      </c>
      <c r="E2103" t="s">
        <v>588</v>
      </c>
      <c r="F2103" t="s">
        <v>384</v>
      </c>
      <c r="G2103" t="s">
        <v>8565</v>
      </c>
      <c r="H2103" t="s">
        <v>607</v>
      </c>
      <c r="I2103" t="s">
        <v>8566</v>
      </c>
      <c r="J2103" t="s">
        <v>604</v>
      </c>
      <c r="L2103">
        <v>9</v>
      </c>
      <c r="M2103" s="134">
        <v>650000</v>
      </c>
      <c r="N2103" s="134">
        <v>655000</v>
      </c>
      <c r="O2103" t="s">
        <v>1844</v>
      </c>
      <c r="P2103" t="s">
        <v>8567</v>
      </c>
      <c r="Q2103" t="s">
        <v>29</v>
      </c>
      <c r="R2103" t="s">
        <v>8568</v>
      </c>
      <c r="S2103" t="s">
        <v>8569</v>
      </c>
      <c r="T2103">
        <v>26</v>
      </c>
      <c r="U2103" t="s">
        <v>491</v>
      </c>
      <c r="X2103">
        <v>1</v>
      </c>
    </row>
    <row r="2104" spans="1:24" x14ac:dyDescent="0.25">
      <c r="A2104" s="234">
        <v>43579</v>
      </c>
      <c r="B2104" t="s">
        <v>328</v>
      </c>
      <c r="C2104" t="s">
        <v>603</v>
      </c>
      <c r="D2104" t="s">
        <v>10338</v>
      </c>
      <c r="F2104" t="s">
        <v>12895</v>
      </c>
      <c r="G2104" t="s">
        <v>7855</v>
      </c>
      <c r="H2104" t="s">
        <v>809</v>
      </c>
      <c r="I2104" t="s">
        <v>5925</v>
      </c>
      <c r="J2104" t="s">
        <v>644</v>
      </c>
      <c r="K2104" t="s">
        <v>14141</v>
      </c>
      <c r="M2104" s="134">
        <v>650000</v>
      </c>
      <c r="N2104" s="134">
        <v>665000</v>
      </c>
      <c r="O2104" t="s">
        <v>10766</v>
      </c>
      <c r="P2104" t="s">
        <v>15213</v>
      </c>
      <c r="Q2104" t="s">
        <v>29</v>
      </c>
      <c r="R2104" t="s">
        <v>15239</v>
      </c>
      <c r="S2104" t="s">
        <v>15238</v>
      </c>
      <c r="U2104" t="s">
        <v>491</v>
      </c>
      <c r="X2104">
        <v>1</v>
      </c>
    </row>
    <row r="2105" spans="1:24" x14ac:dyDescent="0.25">
      <c r="A2105" s="234">
        <v>43389</v>
      </c>
      <c r="B2105" t="s">
        <v>9240</v>
      </c>
      <c r="C2105" t="s">
        <v>603</v>
      </c>
      <c r="D2105" t="s">
        <v>9241</v>
      </c>
      <c r="F2105" t="s">
        <v>12944</v>
      </c>
      <c r="G2105" t="s">
        <v>10241</v>
      </c>
      <c r="H2105" t="s">
        <v>905</v>
      </c>
      <c r="I2105" t="s">
        <v>12945</v>
      </c>
      <c r="J2105" t="s">
        <v>603</v>
      </c>
      <c r="M2105" s="134">
        <v>650000</v>
      </c>
      <c r="N2105" s="134">
        <v>720000</v>
      </c>
      <c r="O2105" t="s">
        <v>10766</v>
      </c>
      <c r="P2105" t="s">
        <v>12946</v>
      </c>
      <c r="Q2105" t="s">
        <v>1939</v>
      </c>
      <c r="R2105" t="s">
        <v>12947</v>
      </c>
      <c r="U2105" t="s">
        <v>12344</v>
      </c>
      <c r="X2105">
        <v>0</v>
      </c>
    </row>
    <row r="2106" spans="1:24" x14ac:dyDescent="0.25">
      <c r="A2106" s="234">
        <v>42793</v>
      </c>
      <c r="B2106" t="s">
        <v>569</v>
      </c>
      <c r="D2106" t="s">
        <v>930</v>
      </c>
      <c r="E2106" t="s">
        <v>588</v>
      </c>
      <c r="F2106" t="s">
        <v>5808</v>
      </c>
      <c r="H2106" t="s">
        <v>843</v>
      </c>
      <c r="I2106" t="s">
        <v>3452</v>
      </c>
      <c r="J2106" t="s">
        <v>899</v>
      </c>
      <c r="L2106">
        <v>5</v>
      </c>
      <c r="M2106" s="134">
        <v>650000</v>
      </c>
      <c r="N2106" s="134">
        <v>880000</v>
      </c>
      <c r="O2106" t="s">
        <v>5809</v>
      </c>
      <c r="P2106" t="s">
        <v>5811</v>
      </c>
      <c r="Q2106" t="s">
        <v>1939</v>
      </c>
      <c r="R2106" t="s">
        <v>5812</v>
      </c>
      <c r="U2106" t="s">
        <v>491</v>
      </c>
      <c r="X2106">
        <v>0</v>
      </c>
    </row>
    <row r="2107" spans="1:24" x14ac:dyDescent="0.25">
      <c r="A2107" s="234">
        <v>43322</v>
      </c>
      <c r="B2107" t="s">
        <v>569</v>
      </c>
      <c r="C2107" t="s">
        <v>899</v>
      </c>
      <c r="D2107" t="s">
        <v>11031</v>
      </c>
      <c r="E2107" t="s">
        <v>588</v>
      </c>
      <c r="F2107" t="s">
        <v>12153</v>
      </c>
      <c r="G2107" t="s">
        <v>12153</v>
      </c>
      <c r="H2107" t="s">
        <v>10832</v>
      </c>
      <c r="I2107" t="s">
        <v>3649</v>
      </c>
      <c r="J2107" t="s">
        <v>899</v>
      </c>
      <c r="L2107">
        <v>4</v>
      </c>
      <c r="M2107" s="134">
        <v>650000</v>
      </c>
      <c r="N2107" s="134">
        <v>945000</v>
      </c>
      <c r="O2107" t="s">
        <v>560</v>
      </c>
      <c r="P2107" t="s">
        <v>12496</v>
      </c>
      <c r="Q2107" t="s">
        <v>592</v>
      </c>
      <c r="R2107" t="s">
        <v>12152</v>
      </c>
      <c r="U2107" t="s">
        <v>1327</v>
      </c>
      <c r="X2107">
        <v>0</v>
      </c>
    </row>
    <row r="2108" spans="1:24" x14ac:dyDescent="0.25">
      <c r="A2108" s="234">
        <v>42660</v>
      </c>
      <c r="B2108" t="s">
        <v>328</v>
      </c>
      <c r="C2108" t="s">
        <v>603</v>
      </c>
      <c r="D2108" t="s">
        <v>2397</v>
      </c>
      <c r="E2108" t="s">
        <v>588</v>
      </c>
      <c r="F2108" t="s">
        <v>4346</v>
      </c>
      <c r="H2108" t="s">
        <v>607</v>
      </c>
      <c r="I2108" t="s">
        <v>927</v>
      </c>
      <c r="J2108" t="s">
        <v>899</v>
      </c>
      <c r="L2108">
        <v>4</v>
      </c>
      <c r="M2108" s="134">
        <v>650000</v>
      </c>
      <c r="N2108" s="134">
        <v>1027000</v>
      </c>
      <c r="O2108" t="s">
        <v>695</v>
      </c>
      <c r="P2108" t="s">
        <v>4347</v>
      </c>
      <c r="Q2108" t="s">
        <v>1939</v>
      </c>
      <c r="R2108" t="s">
        <v>4348</v>
      </c>
      <c r="U2108" t="s">
        <v>491</v>
      </c>
      <c r="X2108">
        <v>0</v>
      </c>
    </row>
    <row r="2109" spans="1:24" x14ac:dyDescent="0.25">
      <c r="A2109" s="234">
        <v>43161</v>
      </c>
      <c r="B2109" t="s">
        <v>9240</v>
      </c>
      <c r="C2109" t="s">
        <v>603</v>
      </c>
      <c r="D2109" t="s">
        <v>9849</v>
      </c>
      <c r="E2109" t="s">
        <v>588</v>
      </c>
      <c r="F2109" t="s">
        <v>10487</v>
      </c>
      <c r="G2109" t="s">
        <v>10488</v>
      </c>
      <c r="H2109" t="s">
        <v>607</v>
      </c>
      <c r="I2109" t="s">
        <v>10489</v>
      </c>
      <c r="J2109" t="s">
        <v>4031</v>
      </c>
      <c r="L2109">
        <v>2</v>
      </c>
      <c r="M2109" s="134">
        <v>650000</v>
      </c>
      <c r="N2109" s="134">
        <v>1040000</v>
      </c>
      <c r="O2109" t="s">
        <v>10766</v>
      </c>
      <c r="P2109" t="s">
        <v>10622</v>
      </c>
      <c r="Q2109" t="s">
        <v>592</v>
      </c>
      <c r="R2109" t="s">
        <v>10492</v>
      </c>
      <c r="U2109" t="s">
        <v>1327</v>
      </c>
      <c r="X2109">
        <v>0</v>
      </c>
    </row>
    <row r="2110" spans="1:24" x14ac:dyDescent="0.25">
      <c r="A2110" s="234">
        <v>43440</v>
      </c>
      <c r="B2110" t="s">
        <v>9240</v>
      </c>
      <c r="C2110" t="s">
        <v>603</v>
      </c>
      <c r="D2110" t="s">
        <v>7814</v>
      </c>
      <c r="F2110" t="s">
        <v>13532</v>
      </c>
      <c r="G2110" t="s">
        <v>13533</v>
      </c>
      <c r="H2110" t="s">
        <v>607</v>
      </c>
      <c r="I2110" t="s">
        <v>13534</v>
      </c>
      <c r="J2110" t="s">
        <v>4031</v>
      </c>
      <c r="K2110" t="s">
        <v>13535</v>
      </c>
      <c r="M2110" s="134">
        <v>650000</v>
      </c>
      <c r="N2110" s="134">
        <v>1100000</v>
      </c>
      <c r="O2110" t="s">
        <v>10766</v>
      </c>
      <c r="P2110" t="s">
        <v>13537</v>
      </c>
      <c r="Q2110" t="s">
        <v>1612</v>
      </c>
      <c r="R2110" t="s">
        <v>13587</v>
      </c>
      <c r="U2110" t="s">
        <v>491</v>
      </c>
      <c r="X2110">
        <v>0</v>
      </c>
    </row>
    <row r="2111" spans="1:24" x14ac:dyDescent="0.25">
      <c r="A2111" s="234">
        <v>43217</v>
      </c>
      <c r="B2111" t="s">
        <v>328</v>
      </c>
      <c r="C2111" t="s">
        <v>603</v>
      </c>
      <c r="D2111" t="s">
        <v>649</v>
      </c>
      <c r="E2111" t="s">
        <v>588</v>
      </c>
      <c r="F2111" t="s">
        <v>11077</v>
      </c>
      <c r="G2111" t="s">
        <v>10813</v>
      </c>
      <c r="H2111" t="s">
        <v>607</v>
      </c>
      <c r="I2111" t="s">
        <v>11076</v>
      </c>
      <c r="J2111" t="s">
        <v>5309</v>
      </c>
      <c r="L2111">
        <v>3</v>
      </c>
      <c r="M2111" s="134">
        <v>650000</v>
      </c>
      <c r="N2111" s="134">
        <v>1140000</v>
      </c>
      <c r="O2111" t="s">
        <v>7564</v>
      </c>
      <c r="P2111" t="s">
        <v>11075</v>
      </c>
      <c r="Q2111" t="s">
        <v>1939</v>
      </c>
      <c r="R2111" t="s">
        <v>11074</v>
      </c>
      <c r="U2111" t="s">
        <v>1327</v>
      </c>
      <c r="X2111">
        <v>0</v>
      </c>
    </row>
    <row r="2112" spans="1:24" x14ac:dyDescent="0.25">
      <c r="A2112" s="234">
        <v>43306</v>
      </c>
      <c r="B2112" t="s">
        <v>328</v>
      </c>
      <c r="C2112" t="s">
        <v>603</v>
      </c>
      <c r="D2112" t="s">
        <v>672</v>
      </c>
      <c r="E2112" t="s">
        <v>588</v>
      </c>
      <c r="F2112" t="s">
        <v>11901</v>
      </c>
      <c r="G2112" t="s">
        <v>11902</v>
      </c>
      <c r="H2112" t="s">
        <v>607</v>
      </c>
      <c r="I2112" t="s">
        <v>6694</v>
      </c>
      <c r="J2112" t="s">
        <v>3533</v>
      </c>
      <c r="L2112">
        <v>3</v>
      </c>
      <c r="M2112" s="134">
        <v>650000</v>
      </c>
      <c r="N2112" s="134">
        <v>1170000</v>
      </c>
      <c r="O2112" t="s">
        <v>10763</v>
      </c>
      <c r="P2112" t="s">
        <v>11903</v>
      </c>
      <c r="Q2112" t="s">
        <v>29</v>
      </c>
      <c r="R2112" t="s">
        <v>11904</v>
      </c>
      <c r="U2112" t="s">
        <v>1327</v>
      </c>
      <c r="X2112">
        <v>1</v>
      </c>
    </row>
    <row r="2113" spans="1:24" x14ac:dyDescent="0.25">
      <c r="A2113" s="234">
        <v>43445</v>
      </c>
      <c r="B2113" t="s">
        <v>5956</v>
      </c>
      <c r="C2113" t="s">
        <v>3369</v>
      </c>
      <c r="D2113" t="s">
        <v>8941</v>
      </c>
      <c r="F2113" t="s">
        <v>13574</v>
      </c>
      <c r="G2113" t="s">
        <v>10355</v>
      </c>
      <c r="H2113" t="s">
        <v>10831</v>
      </c>
      <c r="I2113" t="s">
        <v>13575</v>
      </c>
      <c r="J2113" t="s">
        <v>604</v>
      </c>
      <c r="K2113" t="s">
        <v>13576</v>
      </c>
      <c r="M2113" s="134">
        <v>650000</v>
      </c>
      <c r="N2113" s="134">
        <v>1170000</v>
      </c>
      <c r="O2113" t="s">
        <v>10766</v>
      </c>
      <c r="P2113" t="s">
        <v>13577</v>
      </c>
      <c r="Q2113" t="s">
        <v>620</v>
      </c>
      <c r="R2113" t="s">
        <v>13578</v>
      </c>
      <c r="U2113" t="s">
        <v>12797</v>
      </c>
      <c r="X2113">
        <v>0</v>
      </c>
    </row>
    <row r="2114" spans="1:24" x14ac:dyDescent="0.25">
      <c r="A2114" s="234">
        <v>43369</v>
      </c>
      <c r="B2114" t="s">
        <v>9240</v>
      </c>
      <c r="C2114" t="s">
        <v>603</v>
      </c>
      <c r="D2114" t="s">
        <v>9241</v>
      </c>
      <c r="E2114" t="s">
        <v>588</v>
      </c>
      <c r="F2114" t="s">
        <v>12736</v>
      </c>
      <c r="G2114" t="s">
        <v>8607</v>
      </c>
      <c r="H2114" t="s">
        <v>607</v>
      </c>
      <c r="I2114" t="s">
        <v>5888</v>
      </c>
      <c r="J2114" t="s">
        <v>3373</v>
      </c>
      <c r="L2114">
        <v>2</v>
      </c>
      <c r="M2114" s="134">
        <v>650000</v>
      </c>
      <c r="N2114" s="134">
        <v>1202500</v>
      </c>
      <c r="O2114" t="s">
        <v>10766</v>
      </c>
      <c r="P2114" t="s">
        <v>12737</v>
      </c>
      <c r="Q2114" t="s">
        <v>592</v>
      </c>
      <c r="R2114" t="s">
        <v>12738</v>
      </c>
      <c r="U2114" t="s">
        <v>12344</v>
      </c>
      <c r="X2114">
        <v>0</v>
      </c>
    </row>
    <row r="2115" spans="1:24" x14ac:dyDescent="0.25">
      <c r="A2115" s="234">
        <v>43381</v>
      </c>
      <c r="B2115" t="s">
        <v>9240</v>
      </c>
      <c r="C2115" t="s">
        <v>603</v>
      </c>
      <c r="D2115" t="s">
        <v>9849</v>
      </c>
      <c r="E2115" t="s">
        <v>588</v>
      </c>
      <c r="F2115" t="s">
        <v>12859</v>
      </c>
      <c r="G2115" t="s">
        <v>12860</v>
      </c>
      <c r="H2115" t="s">
        <v>607</v>
      </c>
      <c r="I2115" t="s">
        <v>12861</v>
      </c>
      <c r="J2115" t="s">
        <v>603</v>
      </c>
      <c r="L2115">
        <v>5</v>
      </c>
      <c r="M2115" s="134">
        <v>650000</v>
      </c>
      <c r="N2115" s="134">
        <v>1235000</v>
      </c>
      <c r="O2115" t="s">
        <v>10766</v>
      </c>
      <c r="P2115" t="s">
        <v>13406</v>
      </c>
      <c r="Q2115" t="s">
        <v>1939</v>
      </c>
      <c r="R2115" t="s">
        <v>12862</v>
      </c>
      <c r="U2115" t="s">
        <v>12797</v>
      </c>
      <c r="X2115">
        <v>0</v>
      </c>
    </row>
    <row r="2116" spans="1:24" x14ac:dyDescent="0.25">
      <c r="A2116" s="234">
        <v>43529</v>
      </c>
      <c r="B2116" t="s">
        <v>328</v>
      </c>
      <c r="C2116" t="s">
        <v>603</v>
      </c>
      <c r="D2116" t="s">
        <v>5701</v>
      </c>
      <c r="F2116" t="s">
        <v>14614</v>
      </c>
      <c r="H2116" t="s">
        <v>607</v>
      </c>
      <c r="I2116" t="s">
        <v>14615</v>
      </c>
      <c r="J2116" t="s">
        <v>899</v>
      </c>
      <c r="K2116" t="s">
        <v>14616</v>
      </c>
      <c r="L2116">
        <v>2</v>
      </c>
      <c r="M2116" s="134">
        <v>650000</v>
      </c>
      <c r="N2116" s="134">
        <v>1278750</v>
      </c>
      <c r="O2116" t="s">
        <v>10766</v>
      </c>
      <c r="P2116" t="s">
        <v>14617</v>
      </c>
      <c r="Q2116" t="s">
        <v>592</v>
      </c>
      <c r="R2116" t="s">
        <v>14819</v>
      </c>
      <c r="U2116" t="s">
        <v>12797</v>
      </c>
      <c r="X2116">
        <v>0</v>
      </c>
    </row>
    <row r="2117" spans="1:24" x14ac:dyDescent="0.25">
      <c r="A2117" s="234">
        <v>43284</v>
      </c>
      <c r="B2117" t="s">
        <v>569</v>
      </c>
      <c r="C2117" t="s">
        <v>899</v>
      </c>
      <c r="D2117" t="s">
        <v>3505</v>
      </c>
      <c r="E2117" t="s">
        <v>588</v>
      </c>
      <c r="F2117" t="s">
        <v>11708</v>
      </c>
      <c r="G2117" t="s">
        <v>11709</v>
      </c>
      <c r="H2117" t="s">
        <v>607</v>
      </c>
      <c r="I2117" t="s">
        <v>6166</v>
      </c>
      <c r="J2117" t="s">
        <v>899</v>
      </c>
      <c r="L2117">
        <v>5</v>
      </c>
      <c r="M2117" s="134">
        <v>650000</v>
      </c>
      <c r="N2117" s="134">
        <v>1350000</v>
      </c>
      <c r="O2117" t="s">
        <v>4533</v>
      </c>
      <c r="P2117" t="s">
        <v>11710</v>
      </c>
      <c r="Q2117" t="s">
        <v>1939</v>
      </c>
      <c r="R2117" t="s">
        <v>11711</v>
      </c>
      <c r="U2117" t="s">
        <v>491</v>
      </c>
      <c r="X2117">
        <v>0</v>
      </c>
    </row>
    <row r="2118" spans="1:24" x14ac:dyDescent="0.25">
      <c r="A2118" s="234">
        <v>43171</v>
      </c>
      <c r="B2118" t="s">
        <v>9240</v>
      </c>
      <c r="C2118" t="s">
        <v>899</v>
      </c>
      <c r="D2118" t="s">
        <v>9241</v>
      </c>
      <c r="E2118" t="s">
        <v>588</v>
      </c>
      <c r="F2118" t="s">
        <v>10564</v>
      </c>
      <c r="G2118" t="s">
        <v>10565</v>
      </c>
      <c r="H2118" t="s">
        <v>607</v>
      </c>
      <c r="I2118" t="s">
        <v>6787</v>
      </c>
      <c r="J2118" t="s">
        <v>603</v>
      </c>
      <c r="L2118">
        <v>2</v>
      </c>
      <c r="M2118" s="134">
        <v>650000</v>
      </c>
      <c r="N2118" s="134">
        <v>7475000</v>
      </c>
      <c r="O2118" t="s">
        <v>10879</v>
      </c>
      <c r="P2118" t="s">
        <v>10566</v>
      </c>
      <c r="Q2118" t="s">
        <v>1939</v>
      </c>
      <c r="R2118" t="s">
        <v>10567</v>
      </c>
      <c r="U2118" t="s">
        <v>1327</v>
      </c>
      <c r="X2118">
        <v>0</v>
      </c>
    </row>
    <row r="2119" spans="1:24" x14ac:dyDescent="0.25">
      <c r="A2119" s="234">
        <v>43423</v>
      </c>
      <c r="B2119" t="s">
        <v>569</v>
      </c>
      <c r="C2119" t="s">
        <v>899</v>
      </c>
      <c r="D2119" t="s">
        <v>3505</v>
      </c>
      <c r="F2119" t="s">
        <v>13215</v>
      </c>
      <c r="G2119" t="s">
        <v>13216</v>
      </c>
      <c r="H2119" t="s">
        <v>607</v>
      </c>
      <c r="I2119" t="s">
        <v>4042</v>
      </c>
      <c r="J2119" t="s">
        <v>899</v>
      </c>
      <c r="K2119" t="s">
        <v>13217</v>
      </c>
      <c r="L2119">
        <v>9</v>
      </c>
      <c r="M2119" s="134">
        <v>651000</v>
      </c>
      <c r="N2119" s="134">
        <v>1171800</v>
      </c>
      <c r="O2119" t="s">
        <v>7124</v>
      </c>
      <c r="P2119" t="s">
        <v>13218</v>
      </c>
      <c r="Q2119" t="s">
        <v>29</v>
      </c>
      <c r="R2119" t="s">
        <v>13219</v>
      </c>
      <c r="U2119" t="s">
        <v>491</v>
      </c>
      <c r="X2119">
        <v>1</v>
      </c>
    </row>
    <row r="2120" spans="1:24" x14ac:dyDescent="0.25">
      <c r="A2120" s="234">
        <v>42500</v>
      </c>
      <c r="B2120" t="s">
        <v>378</v>
      </c>
      <c r="C2120" t="s">
        <v>610</v>
      </c>
      <c r="D2120" t="s">
        <v>732</v>
      </c>
      <c r="E2120" t="s">
        <v>588</v>
      </c>
      <c r="F2120" t="s">
        <v>1987</v>
      </c>
      <c r="H2120" t="s">
        <v>722</v>
      </c>
      <c r="I2120" t="s">
        <v>1988</v>
      </c>
      <c r="M2120" s="134">
        <v>653999</v>
      </c>
      <c r="N2120" s="134">
        <v>1098900</v>
      </c>
      <c r="O2120" t="s">
        <v>666</v>
      </c>
      <c r="P2120" t="s">
        <v>1989</v>
      </c>
      <c r="Q2120" t="s">
        <v>620</v>
      </c>
      <c r="R2120" t="s">
        <v>1990</v>
      </c>
      <c r="U2120" t="s">
        <v>491</v>
      </c>
      <c r="X2120">
        <v>0</v>
      </c>
    </row>
    <row r="2121" spans="1:24" x14ac:dyDescent="0.25">
      <c r="A2121" s="234">
        <v>43077</v>
      </c>
      <c r="B2121" t="s">
        <v>569</v>
      </c>
      <c r="C2121" t="s">
        <v>899</v>
      </c>
      <c r="D2121" t="s">
        <v>625</v>
      </c>
      <c r="E2121" t="s">
        <v>588</v>
      </c>
      <c r="F2121" t="s">
        <v>9723</v>
      </c>
      <c r="G2121" t="s">
        <v>9724</v>
      </c>
      <c r="H2121" t="s">
        <v>607</v>
      </c>
      <c r="I2121" t="s">
        <v>9725</v>
      </c>
      <c r="J2121" t="s">
        <v>899</v>
      </c>
      <c r="M2121" s="134">
        <v>655000</v>
      </c>
      <c r="N2121" s="134">
        <v>1113500</v>
      </c>
      <c r="O2121" t="s">
        <v>3107</v>
      </c>
      <c r="P2121" t="s">
        <v>9726</v>
      </c>
      <c r="Q2121" t="s">
        <v>1939</v>
      </c>
      <c r="R2121" t="s">
        <v>9727</v>
      </c>
      <c r="U2121" t="s">
        <v>1327</v>
      </c>
      <c r="X2121">
        <v>0</v>
      </c>
    </row>
    <row r="2122" spans="1:24" x14ac:dyDescent="0.25">
      <c r="A2122" s="234">
        <v>42979</v>
      </c>
      <c r="B2122" t="s">
        <v>569</v>
      </c>
      <c r="C2122" t="s">
        <v>899</v>
      </c>
      <c r="D2122" t="s">
        <v>611</v>
      </c>
      <c r="E2122" t="s">
        <v>588</v>
      </c>
      <c r="F2122" t="s">
        <v>8386</v>
      </c>
      <c r="G2122" t="s">
        <v>8387</v>
      </c>
      <c r="H2122" t="s">
        <v>607</v>
      </c>
      <c r="I2122" t="s">
        <v>3672</v>
      </c>
      <c r="J2122" t="s">
        <v>899</v>
      </c>
      <c r="M2122" s="134">
        <v>655000</v>
      </c>
      <c r="N2122" s="134">
        <v>1179000</v>
      </c>
      <c r="O2122" t="s">
        <v>8388</v>
      </c>
      <c r="P2122" t="s">
        <v>8389</v>
      </c>
      <c r="Q2122" t="s">
        <v>1939</v>
      </c>
      <c r="R2122" t="s">
        <v>8390</v>
      </c>
      <c r="T2122">
        <v>27</v>
      </c>
      <c r="U2122" t="s">
        <v>491</v>
      </c>
      <c r="X2122">
        <v>0</v>
      </c>
    </row>
    <row r="2123" spans="1:24" x14ac:dyDescent="0.25">
      <c r="A2123" s="234">
        <v>43542</v>
      </c>
      <c r="B2123" t="s">
        <v>5956</v>
      </c>
      <c r="C2123" t="s">
        <v>3369</v>
      </c>
      <c r="D2123" t="s">
        <v>8126</v>
      </c>
      <c r="F2123" t="s">
        <v>14737</v>
      </c>
      <c r="G2123" t="s">
        <v>9173</v>
      </c>
      <c r="H2123" t="s">
        <v>10831</v>
      </c>
      <c r="I2123" t="s">
        <v>14393</v>
      </c>
      <c r="J2123" t="s">
        <v>4825</v>
      </c>
      <c r="K2123" t="s">
        <v>14394</v>
      </c>
      <c r="M2123" s="134">
        <v>656000</v>
      </c>
      <c r="N2123" s="134">
        <v>1380000</v>
      </c>
      <c r="O2123" t="s">
        <v>10766</v>
      </c>
      <c r="P2123" t="s">
        <v>14738</v>
      </c>
      <c r="Q2123" t="s">
        <v>1612</v>
      </c>
      <c r="R2123" t="s">
        <v>14836</v>
      </c>
      <c r="U2123" t="s">
        <v>491</v>
      </c>
      <c r="X2123">
        <v>0</v>
      </c>
    </row>
    <row r="2124" spans="1:24" x14ac:dyDescent="0.25">
      <c r="A2124" s="234">
        <v>42594</v>
      </c>
      <c r="B2124" t="s">
        <v>328</v>
      </c>
      <c r="C2124" t="s">
        <v>603</v>
      </c>
      <c r="D2124" t="s">
        <v>3211</v>
      </c>
      <c r="E2124" t="s">
        <v>588</v>
      </c>
      <c r="F2124" t="s">
        <v>3396</v>
      </c>
      <c r="H2124" t="s">
        <v>1890</v>
      </c>
      <c r="I2124" t="s">
        <v>3397</v>
      </c>
      <c r="J2124" t="s">
        <v>3398</v>
      </c>
      <c r="L2124">
        <v>3</v>
      </c>
      <c r="M2124" s="134">
        <v>660000</v>
      </c>
      <c r="N2124" s="134">
        <v>941000</v>
      </c>
      <c r="O2124" t="s">
        <v>1844</v>
      </c>
      <c r="P2124" t="s">
        <v>3399</v>
      </c>
      <c r="Q2124" t="s">
        <v>592</v>
      </c>
      <c r="U2124" t="s">
        <v>491</v>
      </c>
      <c r="X2124">
        <v>0</v>
      </c>
    </row>
    <row r="2125" spans="1:24" x14ac:dyDescent="0.25">
      <c r="A2125" s="234">
        <v>43179</v>
      </c>
      <c r="B2125" t="s">
        <v>9240</v>
      </c>
      <c r="C2125" t="s">
        <v>603</v>
      </c>
      <c r="D2125" t="s">
        <v>7814</v>
      </c>
      <c r="E2125" t="s">
        <v>1707</v>
      </c>
      <c r="F2125" t="s">
        <v>10657</v>
      </c>
      <c r="G2125" t="s">
        <v>9305</v>
      </c>
      <c r="H2125" t="s">
        <v>607</v>
      </c>
      <c r="I2125" t="s">
        <v>10658</v>
      </c>
      <c r="J2125" t="s">
        <v>3612</v>
      </c>
      <c r="L2125">
        <v>2</v>
      </c>
      <c r="M2125" s="134">
        <v>660000</v>
      </c>
      <c r="N2125" s="134">
        <v>1056000</v>
      </c>
      <c r="O2125" t="s">
        <v>49</v>
      </c>
      <c r="P2125" t="s">
        <v>10659</v>
      </c>
      <c r="Q2125" t="s">
        <v>1939</v>
      </c>
      <c r="R2125" t="s">
        <v>10660</v>
      </c>
      <c r="U2125" t="s">
        <v>491</v>
      </c>
      <c r="X2125">
        <v>0</v>
      </c>
    </row>
    <row r="2126" spans="1:24" x14ac:dyDescent="0.25">
      <c r="A2126" s="234">
        <v>43056</v>
      </c>
      <c r="B2126" t="s">
        <v>5176</v>
      </c>
      <c r="C2126" t="s">
        <v>604</v>
      </c>
      <c r="D2126" t="s">
        <v>727</v>
      </c>
      <c r="E2126" t="s">
        <v>588</v>
      </c>
      <c r="F2126" t="s">
        <v>9497</v>
      </c>
      <c r="G2126" t="s">
        <v>9498</v>
      </c>
      <c r="H2126" t="s">
        <v>1391</v>
      </c>
      <c r="I2126" t="s">
        <v>9499</v>
      </c>
      <c r="J2126" t="s">
        <v>959</v>
      </c>
      <c r="L2126">
        <v>4</v>
      </c>
      <c r="M2126" s="134">
        <v>662194</v>
      </c>
      <c r="N2126" s="134">
        <v>1161394</v>
      </c>
      <c r="O2126" t="s">
        <v>35</v>
      </c>
      <c r="P2126" t="s">
        <v>9500</v>
      </c>
      <c r="Q2126" t="s">
        <v>1939</v>
      </c>
      <c r="R2126" t="s">
        <v>9501</v>
      </c>
      <c r="U2126" t="s">
        <v>491</v>
      </c>
      <c r="X2126">
        <v>0</v>
      </c>
    </row>
    <row r="2127" spans="1:24" x14ac:dyDescent="0.25">
      <c r="A2127" s="234">
        <v>43230</v>
      </c>
      <c r="B2127" t="s">
        <v>328</v>
      </c>
      <c r="C2127" t="s">
        <v>603</v>
      </c>
      <c r="D2127" t="s">
        <v>8941</v>
      </c>
      <c r="E2127" t="s">
        <v>588</v>
      </c>
      <c r="F2127" t="s">
        <v>11226</v>
      </c>
      <c r="G2127" t="s">
        <v>11227</v>
      </c>
      <c r="H2127" t="s">
        <v>607</v>
      </c>
      <c r="I2127" t="s">
        <v>3861</v>
      </c>
      <c r="J2127" t="s">
        <v>899</v>
      </c>
      <c r="L2127">
        <v>3</v>
      </c>
      <c r="M2127" s="134">
        <v>664000</v>
      </c>
      <c r="N2127" s="134">
        <v>921800</v>
      </c>
      <c r="O2127" t="s">
        <v>10762</v>
      </c>
      <c r="P2127" t="s">
        <v>11228</v>
      </c>
      <c r="Q2127" t="s">
        <v>1939</v>
      </c>
      <c r="R2127" t="s">
        <v>11229</v>
      </c>
      <c r="U2127" t="s">
        <v>1327</v>
      </c>
      <c r="X2127">
        <v>0</v>
      </c>
    </row>
    <row r="2128" spans="1:24" x14ac:dyDescent="0.25">
      <c r="A2128" s="234">
        <v>43613</v>
      </c>
      <c r="B2128" t="s">
        <v>328</v>
      </c>
      <c r="C2128" t="s">
        <v>603</v>
      </c>
      <c r="D2128" t="s">
        <v>1401</v>
      </c>
      <c r="F2128" t="s">
        <v>15765</v>
      </c>
      <c r="G2128" t="s">
        <v>15766</v>
      </c>
      <c r="H2128" t="s">
        <v>10831</v>
      </c>
      <c r="I2128" t="s">
        <v>15767</v>
      </c>
      <c r="J2128" t="s">
        <v>3733</v>
      </c>
      <c r="K2128" t="s">
        <v>15768</v>
      </c>
      <c r="L2128">
        <v>10</v>
      </c>
      <c r="M2128" s="134">
        <v>669451</v>
      </c>
      <c r="N2128" s="134">
        <v>1020000</v>
      </c>
      <c r="O2128" t="s">
        <v>7124</v>
      </c>
      <c r="P2128" t="s">
        <v>15769</v>
      </c>
      <c r="Q2128" t="s">
        <v>29</v>
      </c>
      <c r="R2128" t="s">
        <v>15909</v>
      </c>
      <c r="S2128" t="s">
        <v>15770</v>
      </c>
      <c r="U2128" t="s">
        <v>15803</v>
      </c>
      <c r="X2128">
        <v>1</v>
      </c>
    </row>
    <row r="2129" spans="1:24" x14ac:dyDescent="0.25">
      <c r="A2129" s="234">
        <v>43399</v>
      </c>
      <c r="B2129" t="s">
        <v>5956</v>
      </c>
      <c r="C2129" t="s">
        <v>3369</v>
      </c>
      <c r="D2129" t="s">
        <v>8126</v>
      </c>
      <c r="F2129" t="s">
        <v>13076</v>
      </c>
      <c r="G2129" t="s">
        <v>3360</v>
      </c>
      <c r="H2129" t="s">
        <v>10831</v>
      </c>
      <c r="I2129" t="s">
        <v>9221</v>
      </c>
      <c r="J2129" t="s">
        <v>4825</v>
      </c>
      <c r="K2129" t="s">
        <v>13077</v>
      </c>
      <c r="L2129">
        <v>4</v>
      </c>
      <c r="M2129" s="134">
        <v>670000</v>
      </c>
      <c r="N2129" s="134">
        <v>1289000</v>
      </c>
      <c r="O2129" t="s">
        <v>10766</v>
      </c>
      <c r="P2129" t="s">
        <v>13078</v>
      </c>
      <c r="Q2129" t="s">
        <v>1939</v>
      </c>
      <c r="R2129" t="s">
        <v>13079</v>
      </c>
      <c r="U2129" t="s">
        <v>12344</v>
      </c>
      <c r="X2129">
        <v>0</v>
      </c>
    </row>
    <row r="2130" spans="1:24" x14ac:dyDescent="0.25">
      <c r="A2130" s="234">
        <v>42674</v>
      </c>
      <c r="B2130" t="s">
        <v>1486</v>
      </c>
      <c r="C2130" t="s">
        <v>1883</v>
      </c>
      <c r="D2130" t="s">
        <v>2454</v>
      </c>
      <c r="E2130" t="s">
        <v>588</v>
      </c>
      <c r="F2130" t="s">
        <v>4548</v>
      </c>
      <c r="H2130" t="s">
        <v>607</v>
      </c>
      <c r="I2130" t="s">
        <v>4549</v>
      </c>
      <c r="J2130" t="s">
        <v>3369</v>
      </c>
      <c r="L2130">
        <v>3</v>
      </c>
      <c r="M2130" s="134">
        <v>672000</v>
      </c>
      <c r="N2130" s="134">
        <v>832000</v>
      </c>
      <c r="O2130" t="s">
        <v>4550</v>
      </c>
      <c r="P2130" t="s">
        <v>4551</v>
      </c>
      <c r="Q2130" t="s">
        <v>1939</v>
      </c>
      <c r="R2130" t="s">
        <v>4578</v>
      </c>
      <c r="U2130" t="s">
        <v>491</v>
      </c>
      <c r="X2130">
        <v>0</v>
      </c>
    </row>
    <row r="2131" spans="1:24" x14ac:dyDescent="0.25">
      <c r="A2131" s="234">
        <v>42482</v>
      </c>
      <c r="B2131" t="s">
        <v>1788</v>
      </c>
      <c r="C2131" t="s">
        <v>1790</v>
      </c>
      <c r="D2131" t="s">
        <v>1789</v>
      </c>
      <c r="E2131" t="s">
        <v>588</v>
      </c>
      <c r="F2131" t="s">
        <v>1791</v>
      </c>
      <c r="H2131" t="s">
        <v>607</v>
      </c>
      <c r="I2131" t="s">
        <v>1792</v>
      </c>
      <c r="M2131" s="134">
        <v>675000</v>
      </c>
      <c r="N2131" s="134">
        <v>1013250</v>
      </c>
      <c r="O2131" t="s">
        <v>1793</v>
      </c>
      <c r="P2131" t="s">
        <v>1794</v>
      </c>
      <c r="Q2131" t="s">
        <v>1612</v>
      </c>
      <c r="R2131" t="s">
        <v>1795</v>
      </c>
      <c r="U2131" t="s">
        <v>491</v>
      </c>
      <c r="X2131">
        <v>0</v>
      </c>
    </row>
    <row r="2132" spans="1:24" x14ac:dyDescent="0.25">
      <c r="A2132" s="234">
        <v>43125</v>
      </c>
      <c r="B2132" t="s">
        <v>328</v>
      </c>
      <c r="C2132" t="s">
        <v>603</v>
      </c>
      <c r="D2132" t="s">
        <v>649</v>
      </c>
      <c r="E2132" t="s">
        <v>588</v>
      </c>
      <c r="F2132" t="s">
        <v>10103</v>
      </c>
      <c r="G2132" t="s">
        <v>256</v>
      </c>
      <c r="H2132" t="s">
        <v>10832</v>
      </c>
      <c r="J2132" t="s">
        <v>899</v>
      </c>
      <c r="L2132">
        <v>9</v>
      </c>
      <c r="M2132" s="134">
        <v>675240</v>
      </c>
      <c r="N2132" s="134">
        <v>771440</v>
      </c>
      <c r="O2132" t="s">
        <v>7124</v>
      </c>
      <c r="P2132" t="s">
        <v>10184</v>
      </c>
      <c r="Q2132" t="s">
        <v>1939</v>
      </c>
      <c r="R2132" t="s">
        <v>10102</v>
      </c>
      <c r="U2132" t="s">
        <v>1327</v>
      </c>
      <c r="X2132">
        <v>0</v>
      </c>
    </row>
    <row r="2133" spans="1:24" x14ac:dyDescent="0.25">
      <c r="A2133" s="234">
        <v>43313</v>
      </c>
      <c r="B2133" t="s">
        <v>328</v>
      </c>
      <c r="C2133" t="s">
        <v>603</v>
      </c>
      <c r="D2133" t="s">
        <v>1401</v>
      </c>
      <c r="E2133" t="s">
        <v>588</v>
      </c>
      <c r="F2133" t="s">
        <v>11988</v>
      </c>
      <c r="G2133" t="s">
        <v>11989</v>
      </c>
      <c r="H2133" t="s">
        <v>10831</v>
      </c>
      <c r="I2133" t="s">
        <v>106</v>
      </c>
      <c r="J2133" t="s">
        <v>3733</v>
      </c>
      <c r="L2133">
        <v>10</v>
      </c>
      <c r="M2133" s="134">
        <v>677300</v>
      </c>
      <c r="N2133" s="134">
        <v>743227</v>
      </c>
      <c r="O2133" t="s">
        <v>7124</v>
      </c>
      <c r="P2133" t="s">
        <v>11990</v>
      </c>
      <c r="Q2133" t="s">
        <v>592</v>
      </c>
      <c r="R2133" t="s">
        <v>11991</v>
      </c>
      <c r="U2133" t="s">
        <v>1327</v>
      </c>
      <c r="X2133">
        <v>0</v>
      </c>
    </row>
    <row r="2134" spans="1:24" x14ac:dyDescent="0.25">
      <c r="A2134" s="234">
        <v>43516</v>
      </c>
      <c r="B2134" t="s">
        <v>5956</v>
      </c>
      <c r="C2134" t="s">
        <v>3369</v>
      </c>
      <c r="D2134" t="s">
        <v>8126</v>
      </c>
      <c r="F2134" t="s">
        <v>14453</v>
      </c>
      <c r="H2134" t="s">
        <v>10832</v>
      </c>
      <c r="I2134" t="s">
        <v>14454</v>
      </c>
      <c r="J2134" t="s">
        <v>3369</v>
      </c>
      <c r="K2134" t="s">
        <v>14455</v>
      </c>
      <c r="L2134">
        <v>3</v>
      </c>
      <c r="M2134" s="134">
        <v>680000</v>
      </c>
      <c r="N2134" s="134">
        <v>855000</v>
      </c>
      <c r="O2134" t="s">
        <v>10879</v>
      </c>
      <c r="P2134" t="s">
        <v>14456</v>
      </c>
      <c r="Q2134" t="s">
        <v>1939</v>
      </c>
      <c r="R2134" t="s">
        <v>14457</v>
      </c>
      <c r="U2134" t="s">
        <v>12797</v>
      </c>
      <c r="X2134">
        <v>0</v>
      </c>
    </row>
    <row r="2135" spans="1:24" x14ac:dyDescent="0.25">
      <c r="A2135" s="234">
        <v>42587</v>
      </c>
      <c r="B2135" t="s">
        <v>1486</v>
      </c>
      <c r="C2135" t="s">
        <v>1883</v>
      </c>
      <c r="D2135" t="s">
        <v>595</v>
      </c>
      <c r="E2135" t="s">
        <v>588</v>
      </c>
      <c r="F2135" t="s">
        <v>3251</v>
      </c>
      <c r="H2135" t="s">
        <v>722</v>
      </c>
      <c r="I2135" t="s">
        <v>3252</v>
      </c>
      <c r="J2135" t="s">
        <v>959</v>
      </c>
      <c r="L2135">
        <v>5</v>
      </c>
      <c r="M2135" s="134">
        <v>680000</v>
      </c>
      <c r="N2135" s="134">
        <v>1088000</v>
      </c>
      <c r="O2135" t="s">
        <v>1498</v>
      </c>
      <c r="P2135" t="s">
        <v>3253</v>
      </c>
      <c r="Q2135" t="s">
        <v>592</v>
      </c>
      <c r="R2135" t="s">
        <v>3254</v>
      </c>
      <c r="U2135" t="s">
        <v>491</v>
      </c>
      <c r="X2135">
        <v>0</v>
      </c>
    </row>
    <row r="2136" spans="1:24" x14ac:dyDescent="0.25">
      <c r="A2136" s="234">
        <v>43326</v>
      </c>
      <c r="B2136" t="s">
        <v>9240</v>
      </c>
      <c r="C2136" t="s">
        <v>603</v>
      </c>
      <c r="D2136" t="s">
        <v>9241</v>
      </c>
      <c r="E2136" t="s">
        <v>588</v>
      </c>
      <c r="F2136" t="s">
        <v>12198</v>
      </c>
      <c r="G2136" t="s">
        <v>12199</v>
      </c>
      <c r="H2136" t="s">
        <v>607</v>
      </c>
      <c r="I2136" t="s">
        <v>8806</v>
      </c>
      <c r="J2136" t="s">
        <v>5402</v>
      </c>
      <c r="L2136">
        <v>3</v>
      </c>
      <c r="M2136" s="134">
        <v>680000</v>
      </c>
      <c r="N2136" s="134">
        <v>1224000</v>
      </c>
      <c r="O2136" t="s">
        <v>10766</v>
      </c>
      <c r="P2136" t="s">
        <v>12200</v>
      </c>
      <c r="Q2136" t="s">
        <v>1939</v>
      </c>
      <c r="R2136" t="s">
        <v>12201</v>
      </c>
      <c r="U2136" t="s">
        <v>1327</v>
      </c>
      <c r="X2136">
        <v>0</v>
      </c>
    </row>
    <row r="2137" spans="1:24" x14ac:dyDescent="0.25">
      <c r="A2137" s="234">
        <v>43376</v>
      </c>
      <c r="B2137" t="s">
        <v>569</v>
      </c>
      <c r="C2137" t="s">
        <v>899</v>
      </c>
      <c r="D2137" t="s">
        <v>624</v>
      </c>
      <c r="E2137" t="s">
        <v>588</v>
      </c>
      <c r="F2137" t="s">
        <v>12806</v>
      </c>
      <c r="G2137" t="s">
        <v>10957</v>
      </c>
      <c r="H2137" t="s">
        <v>10832</v>
      </c>
      <c r="I2137" t="s">
        <v>7517</v>
      </c>
      <c r="J2137" t="s">
        <v>899</v>
      </c>
      <c r="L2137">
        <v>2</v>
      </c>
      <c r="M2137" s="134">
        <v>682000</v>
      </c>
      <c r="N2137" s="134">
        <v>887000</v>
      </c>
      <c r="O2137" t="s">
        <v>10763</v>
      </c>
      <c r="P2137" t="s">
        <v>12807</v>
      </c>
      <c r="Q2137" t="s">
        <v>1939</v>
      </c>
      <c r="R2137" t="s">
        <v>12810</v>
      </c>
      <c r="U2137" t="s">
        <v>12797</v>
      </c>
      <c r="W2137" t="s">
        <v>12808</v>
      </c>
      <c r="X2137">
        <v>0</v>
      </c>
    </row>
    <row r="2138" spans="1:24" x14ac:dyDescent="0.25">
      <c r="A2138" s="234">
        <v>43461</v>
      </c>
      <c r="B2138" t="s">
        <v>569</v>
      </c>
      <c r="C2138" t="s">
        <v>899</v>
      </c>
      <c r="D2138" t="s">
        <v>1070</v>
      </c>
      <c r="F2138" t="s">
        <v>6482</v>
      </c>
      <c r="G2138" t="s">
        <v>7714</v>
      </c>
      <c r="H2138" t="s">
        <v>607</v>
      </c>
      <c r="I2138" t="s">
        <v>10301</v>
      </c>
      <c r="J2138" t="s">
        <v>899</v>
      </c>
      <c r="K2138" t="s">
        <v>13722</v>
      </c>
      <c r="L2138">
        <v>2</v>
      </c>
      <c r="M2138" s="134">
        <v>684000</v>
      </c>
      <c r="N2138" s="134">
        <v>779000</v>
      </c>
      <c r="O2138" t="s">
        <v>10765</v>
      </c>
      <c r="P2138" t="s">
        <v>13723</v>
      </c>
      <c r="Q2138" t="s">
        <v>592</v>
      </c>
      <c r="R2138" t="s">
        <v>13724</v>
      </c>
      <c r="U2138" t="s">
        <v>12797</v>
      </c>
      <c r="X2138">
        <v>0</v>
      </c>
    </row>
    <row r="2139" spans="1:24" x14ac:dyDescent="0.25">
      <c r="A2139" s="234">
        <v>43257</v>
      </c>
      <c r="B2139" t="s">
        <v>250</v>
      </c>
      <c r="C2139" t="s">
        <v>3856</v>
      </c>
      <c r="D2139" t="s">
        <v>8730</v>
      </c>
      <c r="E2139" t="s">
        <v>588</v>
      </c>
      <c r="F2139" t="s">
        <v>8957</v>
      </c>
      <c r="G2139" t="s">
        <v>11467</v>
      </c>
      <c r="H2139" t="s">
        <v>607</v>
      </c>
      <c r="I2139" t="s">
        <v>11468</v>
      </c>
      <c r="J2139" t="s">
        <v>3856</v>
      </c>
      <c r="L2139">
        <v>8</v>
      </c>
      <c r="M2139" s="134">
        <v>686300</v>
      </c>
      <c r="N2139" s="134">
        <v>1222190</v>
      </c>
      <c r="O2139" t="s">
        <v>10766</v>
      </c>
      <c r="P2139" t="s">
        <v>11469</v>
      </c>
      <c r="Q2139" t="s">
        <v>1939</v>
      </c>
      <c r="R2139" t="s">
        <v>11690</v>
      </c>
      <c r="U2139" t="s">
        <v>1327</v>
      </c>
      <c r="X2139">
        <v>0</v>
      </c>
    </row>
    <row r="2140" spans="1:24" x14ac:dyDescent="0.25">
      <c r="A2140" s="234">
        <v>42506</v>
      </c>
      <c r="B2140" t="s">
        <v>378</v>
      </c>
      <c r="C2140" t="s">
        <v>610</v>
      </c>
      <c r="D2140" t="s">
        <v>732</v>
      </c>
      <c r="E2140" t="s">
        <v>588</v>
      </c>
      <c r="F2140" t="s">
        <v>2107</v>
      </c>
      <c r="H2140" t="s">
        <v>607</v>
      </c>
      <c r="I2140" t="s">
        <v>2108</v>
      </c>
      <c r="M2140" s="134">
        <v>687000</v>
      </c>
      <c r="N2140" s="134">
        <v>1475500</v>
      </c>
      <c r="O2140" t="s">
        <v>2109</v>
      </c>
      <c r="P2140" t="s">
        <v>2110</v>
      </c>
      <c r="Q2140" t="s">
        <v>29</v>
      </c>
      <c r="U2140" t="s">
        <v>491</v>
      </c>
      <c r="X2140">
        <v>1</v>
      </c>
    </row>
    <row r="2141" spans="1:24" x14ac:dyDescent="0.25">
      <c r="A2141" s="234">
        <v>42601</v>
      </c>
      <c r="B2141" t="s">
        <v>328</v>
      </c>
      <c r="C2141" t="s">
        <v>603</v>
      </c>
      <c r="D2141" t="s">
        <v>1471</v>
      </c>
      <c r="E2141" t="s">
        <v>588</v>
      </c>
      <c r="F2141" t="s">
        <v>3513</v>
      </c>
      <c r="H2141" t="s">
        <v>607</v>
      </c>
      <c r="I2141" t="s">
        <v>3452</v>
      </c>
      <c r="J2141" t="s">
        <v>899</v>
      </c>
      <c r="L2141">
        <v>9</v>
      </c>
      <c r="M2141" s="134">
        <v>688000</v>
      </c>
      <c r="N2141" s="134">
        <v>1237800</v>
      </c>
      <c r="O2141" t="s">
        <v>3514</v>
      </c>
      <c r="P2141" t="s">
        <v>3515</v>
      </c>
      <c r="Q2141" t="s">
        <v>1939</v>
      </c>
      <c r="R2141" t="s">
        <v>3516</v>
      </c>
      <c r="U2141" t="s">
        <v>491</v>
      </c>
      <c r="X2141">
        <v>0</v>
      </c>
    </row>
    <row r="2142" spans="1:24" x14ac:dyDescent="0.25">
      <c r="A2142" s="234">
        <v>42564</v>
      </c>
      <c r="B2142" t="s">
        <v>378</v>
      </c>
      <c r="C2142" t="s">
        <v>610</v>
      </c>
      <c r="D2142" t="s">
        <v>732</v>
      </c>
      <c r="E2142" t="s">
        <v>588</v>
      </c>
      <c r="F2142" t="s">
        <v>2876</v>
      </c>
      <c r="H2142" t="s">
        <v>722</v>
      </c>
      <c r="I2142" t="s">
        <v>2877</v>
      </c>
      <c r="M2142" s="134">
        <v>690000</v>
      </c>
      <c r="N2142" s="134">
        <v>897000</v>
      </c>
      <c r="O2142" t="s">
        <v>1171</v>
      </c>
      <c r="P2142" t="s">
        <v>2879</v>
      </c>
      <c r="Q2142" t="s">
        <v>620</v>
      </c>
      <c r="R2142" t="s">
        <v>2878</v>
      </c>
      <c r="U2142" t="s">
        <v>491</v>
      </c>
      <c r="X2142">
        <v>0</v>
      </c>
    </row>
    <row r="2143" spans="1:24" x14ac:dyDescent="0.25">
      <c r="A2143" s="234">
        <v>43035</v>
      </c>
      <c r="B2143" t="s">
        <v>328</v>
      </c>
      <c r="C2143" t="s">
        <v>603</v>
      </c>
      <c r="D2143" t="s">
        <v>2397</v>
      </c>
      <c r="E2143" t="s">
        <v>588</v>
      </c>
      <c r="F2143" t="s">
        <v>9175</v>
      </c>
      <c r="G2143" t="s">
        <v>9176</v>
      </c>
      <c r="H2143" t="s">
        <v>607</v>
      </c>
      <c r="I2143" t="s">
        <v>9177</v>
      </c>
      <c r="J2143" t="s">
        <v>899</v>
      </c>
      <c r="L2143">
        <v>10</v>
      </c>
      <c r="M2143" s="134">
        <v>691000</v>
      </c>
      <c r="N2143" s="134">
        <v>1525600</v>
      </c>
      <c r="O2143" t="s">
        <v>2680</v>
      </c>
      <c r="P2143" t="s">
        <v>9178</v>
      </c>
      <c r="Q2143" t="s">
        <v>1939</v>
      </c>
      <c r="R2143" t="s">
        <v>9179</v>
      </c>
      <c r="U2143" t="s">
        <v>491</v>
      </c>
      <c r="X2143">
        <v>0</v>
      </c>
    </row>
    <row r="2144" spans="1:24" x14ac:dyDescent="0.25">
      <c r="A2144" s="234">
        <v>43556</v>
      </c>
      <c r="B2144" t="s">
        <v>328</v>
      </c>
      <c r="C2144" t="s">
        <v>603</v>
      </c>
      <c r="D2144" t="s">
        <v>5701</v>
      </c>
      <c r="F2144" t="s">
        <v>14940</v>
      </c>
      <c r="H2144" t="s">
        <v>809</v>
      </c>
      <c r="I2144" t="s">
        <v>14941</v>
      </c>
      <c r="J2144" t="s">
        <v>4031</v>
      </c>
      <c r="K2144" t="s">
        <v>14942</v>
      </c>
      <c r="L2144">
        <v>2</v>
      </c>
      <c r="M2144" s="134">
        <v>692000</v>
      </c>
      <c r="N2144" s="134">
        <v>759500</v>
      </c>
      <c r="O2144" t="s">
        <v>6745</v>
      </c>
      <c r="P2144" t="s">
        <v>14943</v>
      </c>
      <c r="Q2144" t="s">
        <v>1939</v>
      </c>
      <c r="R2144" t="s">
        <v>14955</v>
      </c>
      <c r="U2144" t="s">
        <v>12797</v>
      </c>
      <c r="X2144">
        <v>0</v>
      </c>
    </row>
    <row r="2145" spans="1:24" x14ac:dyDescent="0.25">
      <c r="A2145" s="234">
        <v>43270</v>
      </c>
      <c r="B2145" t="s">
        <v>569</v>
      </c>
      <c r="C2145" t="s">
        <v>899</v>
      </c>
      <c r="D2145" t="s">
        <v>625</v>
      </c>
      <c r="E2145" t="s">
        <v>588</v>
      </c>
      <c r="F2145" t="s">
        <v>11561</v>
      </c>
      <c r="G2145" t="s">
        <v>11563</v>
      </c>
      <c r="H2145" t="s">
        <v>809</v>
      </c>
      <c r="I2145" t="s">
        <v>11564</v>
      </c>
      <c r="J2145" t="s">
        <v>899</v>
      </c>
      <c r="M2145" s="134">
        <v>692200</v>
      </c>
      <c r="N2145" s="134">
        <v>692200</v>
      </c>
      <c r="O2145" t="s">
        <v>2295</v>
      </c>
      <c r="P2145" t="s">
        <v>11565</v>
      </c>
      <c r="Q2145" t="s">
        <v>1939</v>
      </c>
      <c r="R2145" t="s">
        <v>11562</v>
      </c>
      <c r="U2145" t="s">
        <v>1327</v>
      </c>
      <c r="X2145">
        <v>0</v>
      </c>
    </row>
    <row r="2146" spans="1:24" x14ac:dyDescent="0.25">
      <c r="A2146" s="234">
        <v>43306</v>
      </c>
      <c r="B2146" t="s">
        <v>569</v>
      </c>
      <c r="C2146" t="s">
        <v>899</v>
      </c>
      <c r="D2146" t="s">
        <v>3505</v>
      </c>
      <c r="E2146" t="s">
        <v>588</v>
      </c>
      <c r="F2146" t="s">
        <v>11910</v>
      </c>
      <c r="G2146" t="s">
        <v>11911</v>
      </c>
      <c r="H2146" t="s">
        <v>607</v>
      </c>
      <c r="I2146" t="s">
        <v>10574</v>
      </c>
      <c r="J2146" t="s">
        <v>899</v>
      </c>
      <c r="L2146">
        <v>5</v>
      </c>
      <c r="M2146" s="134">
        <v>693000</v>
      </c>
      <c r="N2146" s="134">
        <v>1247300</v>
      </c>
      <c r="O2146" t="s">
        <v>4533</v>
      </c>
      <c r="P2146" t="s">
        <v>11913</v>
      </c>
      <c r="Q2146" t="s">
        <v>1939</v>
      </c>
      <c r="R2146" t="s">
        <v>11912</v>
      </c>
      <c r="U2146" t="s">
        <v>1327</v>
      </c>
      <c r="X2146">
        <v>0</v>
      </c>
    </row>
    <row r="2147" spans="1:24" x14ac:dyDescent="0.25">
      <c r="A2147" s="234">
        <v>43301</v>
      </c>
      <c r="B2147" t="s">
        <v>328</v>
      </c>
      <c r="C2147" t="s">
        <v>603</v>
      </c>
      <c r="D2147" t="s">
        <v>8941</v>
      </c>
      <c r="E2147" t="s">
        <v>588</v>
      </c>
      <c r="F2147" t="s">
        <v>11874</v>
      </c>
      <c r="G2147" t="s">
        <v>11873</v>
      </c>
      <c r="H2147" t="s">
        <v>607</v>
      </c>
      <c r="I2147" t="s">
        <v>5685</v>
      </c>
      <c r="J2147" t="s">
        <v>3733</v>
      </c>
      <c r="L2147">
        <v>9</v>
      </c>
      <c r="M2147" s="134">
        <v>693000</v>
      </c>
      <c r="N2147" s="134">
        <v>1803300</v>
      </c>
      <c r="O2147" t="s">
        <v>10766</v>
      </c>
      <c r="P2147" t="s">
        <v>11871</v>
      </c>
      <c r="Q2147" t="s">
        <v>1939</v>
      </c>
      <c r="R2147" t="s">
        <v>11872</v>
      </c>
      <c r="U2147" t="s">
        <v>1327</v>
      </c>
      <c r="X2147">
        <v>0</v>
      </c>
    </row>
    <row r="2148" spans="1:24" x14ac:dyDescent="0.25">
      <c r="A2148" s="234">
        <v>43445</v>
      </c>
      <c r="B2148" t="s">
        <v>5360</v>
      </c>
      <c r="C2148" t="s">
        <v>899</v>
      </c>
      <c r="D2148" t="s">
        <v>1027</v>
      </c>
      <c r="F2148" t="s">
        <v>13237</v>
      </c>
      <c r="G2148" t="s">
        <v>748</v>
      </c>
      <c r="H2148" t="s">
        <v>607</v>
      </c>
      <c r="I2148" t="s">
        <v>13504</v>
      </c>
      <c r="J2148" t="s">
        <v>899</v>
      </c>
      <c r="K2148" t="s">
        <v>13505</v>
      </c>
      <c r="L2148">
        <v>4</v>
      </c>
      <c r="M2148" s="134">
        <v>694000</v>
      </c>
      <c r="N2148" s="134">
        <v>1388000</v>
      </c>
      <c r="O2148" t="s">
        <v>10766</v>
      </c>
      <c r="P2148" t="s">
        <v>13580</v>
      </c>
      <c r="Q2148" t="s">
        <v>1939</v>
      </c>
      <c r="R2148" t="s">
        <v>13747</v>
      </c>
      <c r="U2148" t="s">
        <v>12797</v>
      </c>
      <c r="X2148">
        <v>0</v>
      </c>
    </row>
    <row r="2149" spans="1:24" x14ac:dyDescent="0.25">
      <c r="A2149" s="234">
        <v>43031</v>
      </c>
      <c r="B2149" t="s">
        <v>643</v>
      </c>
      <c r="C2149" t="s">
        <v>644</v>
      </c>
      <c r="D2149" t="s">
        <v>645</v>
      </c>
      <c r="E2149" t="s">
        <v>588</v>
      </c>
      <c r="F2149" t="s">
        <v>9154</v>
      </c>
      <c r="G2149" t="s">
        <v>9155</v>
      </c>
      <c r="H2149" t="s">
        <v>1391</v>
      </c>
      <c r="I2149" t="s">
        <v>4042</v>
      </c>
      <c r="J2149" t="s">
        <v>644</v>
      </c>
      <c r="L2149">
        <v>10</v>
      </c>
      <c r="M2149" s="134">
        <v>695000</v>
      </c>
      <c r="N2149" s="134">
        <v>903500</v>
      </c>
      <c r="O2149" t="s">
        <v>3871</v>
      </c>
      <c r="P2149" t="s">
        <v>9158</v>
      </c>
      <c r="Q2149" t="s">
        <v>29</v>
      </c>
      <c r="R2149" t="s">
        <v>9156</v>
      </c>
      <c r="U2149" t="s">
        <v>1327</v>
      </c>
      <c r="X2149">
        <v>1</v>
      </c>
    </row>
    <row r="2150" spans="1:24" x14ac:dyDescent="0.25">
      <c r="A2150" s="234">
        <v>43500</v>
      </c>
      <c r="B2150" t="s">
        <v>110</v>
      </c>
      <c r="C2150" t="s">
        <v>761</v>
      </c>
      <c r="D2150" t="s">
        <v>1122</v>
      </c>
      <c r="F2150" t="s">
        <v>14202</v>
      </c>
      <c r="G2150" t="s">
        <v>14203</v>
      </c>
      <c r="H2150" t="s">
        <v>607</v>
      </c>
      <c r="I2150" t="s">
        <v>8028</v>
      </c>
      <c r="J2150" t="s">
        <v>761</v>
      </c>
      <c r="K2150" t="s">
        <v>14204</v>
      </c>
      <c r="L2150">
        <v>9</v>
      </c>
      <c r="M2150" s="134">
        <v>695500</v>
      </c>
      <c r="N2150" s="134">
        <v>1400000</v>
      </c>
      <c r="O2150" t="s">
        <v>4533</v>
      </c>
      <c r="P2150" t="s">
        <v>14205</v>
      </c>
      <c r="Q2150" t="s">
        <v>29</v>
      </c>
      <c r="R2150" t="s">
        <v>14215</v>
      </c>
      <c r="U2150" t="s">
        <v>491</v>
      </c>
      <c r="X2150">
        <v>1</v>
      </c>
    </row>
    <row r="2151" spans="1:24" x14ac:dyDescent="0.25">
      <c r="A2151" s="234">
        <v>42709</v>
      </c>
      <c r="B2151" t="s">
        <v>643</v>
      </c>
      <c r="C2151" t="s">
        <v>644</v>
      </c>
      <c r="D2151" t="s">
        <v>645</v>
      </c>
      <c r="E2151" t="s">
        <v>588</v>
      </c>
      <c r="F2151" t="s">
        <v>4917</v>
      </c>
      <c r="H2151" t="s">
        <v>607</v>
      </c>
      <c r="I2151" t="s">
        <v>4918</v>
      </c>
      <c r="J2151" t="s">
        <v>3885</v>
      </c>
      <c r="M2151" s="134">
        <v>696000</v>
      </c>
      <c r="N2151" s="134">
        <v>1360000</v>
      </c>
      <c r="O2151" t="s">
        <v>4919</v>
      </c>
      <c r="P2151" t="s">
        <v>4920</v>
      </c>
      <c r="Q2151" t="s">
        <v>1939</v>
      </c>
      <c r="R2151" t="s">
        <v>4940</v>
      </c>
      <c r="U2151" t="s">
        <v>491</v>
      </c>
      <c r="X2151">
        <v>0</v>
      </c>
    </row>
    <row r="2152" spans="1:24" x14ac:dyDescent="0.25">
      <c r="A2152" s="234">
        <v>43173</v>
      </c>
      <c r="B2152" t="s">
        <v>6076</v>
      </c>
      <c r="C2152" t="s">
        <v>3370</v>
      </c>
      <c r="D2152" t="s">
        <v>10524</v>
      </c>
      <c r="E2152" t="s">
        <v>588</v>
      </c>
      <c r="F2152" t="s">
        <v>10525</v>
      </c>
      <c r="G2152" t="s">
        <v>8267</v>
      </c>
      <c r="H2152" t="s">
        <v>607</v>
      </c>
      <c r="I2152" t="s">
        <v>4016</v>
      </c>
      <c r="J2152" t="s">
        <v>3370</v>
      </c>
      <c r="M2152" s="134">
        <v>699000</v>
      </c>
      <c r="N2152" s="134">
        <v>0</v>
      </c>
      <c r="O2152" t="s">
        <v>10879</v>
      </c>
      <c r="P2152" t="s">
        <v>10526</v>
      </c>
      <c r="Q2152" t="s">
        <v>592</v>
      </c>
      <c r="R2152" t="s">
        <v>10529</v>
      </c>
      <c r="U2152" t="s">
        <v>491</v>
      </c>
      <c r="X2152">
        <v>0</v>
      </c>
    </row>
    <row r="2153" spans="1:24" x14ac:dyDescent="0.25">
      <c r="A2153" s="234">
        <v>42572</v>
      </c>
      <c r="B2153" t="s">
        <v>1486</v>
      </c>
      <c r="C2153" t="s">
        <v>1883</v>
      </c>
      <c r="D2153" t="s">
        <v>595</v>
      </c>
      <c r="E2153" t="s">
        <v>821</v>
      </c>
      <c r="H2153" t="s">
        <v>1050</v>
      </c>
      <c r="M2153" s="134">
        <v>700000</v>
      </c>
      <c r="N2153" s="134">
        <v>0</v>
      </c>
      <c r="O2153" t="s">
        <v>2121</v>
      </c>
      <c r="P2153" t="s">
        <v>2968</v>
      </c>
      <c r="Q2153" t="s">
        <v>1939</v>
      </c>
      <c r="R2153" t="s">
        <v>2969</v>
      </c>
      <c r="U2153" t="s">
        <v>491</v>
      </c>
      <c r="X2153">
        <v>0</v>
      </c>
    </row>
    <row r="2154" spans="1:24" x14ac:dyDescent="0.25">
      <c r="A2154" s="234">
        <v>42670</v>
      </c>
      <c r="B2154" t="s">
        <v>1486</v>
      </c>
      <c r="C2154" t="s">
        <v>1883</v>
      </c>
      <c r="D2154" t="s">
        <v>727</v>
      </c>
      <c r="E2154" t="s">
        <v>588</v>
      </c>
      <c r="F2154" t="s">
        <v>4514</v>
      </c>
      <c r="H2154" t="s">
        <v>722</v>
      </c>
      <c r="I2154" t="s">
        <v>4515</v>
      </c>
      <c r="J2154" t="s">
        <v>3369</v>
      </c>
      <c r="L2154">
        <v>6</v>
      </c>
      <c r="M2154" s="134">
        <v>700000</v>
      </c>
      <c r="N2154" s="134">
        <v>100000</v>
      </c>
      <c r="O2154" t="s">
        <v>4516</v>
      </c>
      <c r="P2154" t="s">
        <v>4517</v>
      </c>
      <c r="Q2154" t="s">
        <v>592</v>
      </c>
      <c r="U2154" t="s">
        <v>491</v>
      </c>
      <c r="X2154">
        <v>0</v>
      </c>
    </row>
    <row r="2155" spans="1:24" x14ac:dyDescent="0.25">
      <c r="A2155" s="234">
        <v>43153</v>
      </c>
      <c r="B2155" t="s">
        <v>328</v>
      </c>
      <c r="C2155" t="s">
        <v>603</v>
      </c>
      <c r="D2155" t="s">
        <v>10338</v>
      </c>
      <c r="E2155" t="s">
        <v>588</v>
      </c>
      <c r="F2155" t="s">
        <v>10393</v>
      </c>
      <c r="G2155" t="s">
        <v>10393</v>
      </c>
      <c r="H2155" t="s">
        <v>10831</v>
      </c>
      <c r="I2155" t="s">
        <v>10394</v>
      </c>
      <c r="J2155" t="s">
        <v>5610</v>
      </c>
      <c r="L2155">
        <v>9</v>
      </c>
      <c r="M2155" s="134">
        <v>700000</v>
      </c>
      <c r="N2155" s="134">
        <v>700000</v>
      </c>
      <c r="O2155" t="s">
        <v>4533</v>
      </c>
      <c r="P2155" t="s">
        <v>10395</v>
      </c>
      <c r="Q2155" t="s">
        <v>1939</v>
      </c>
      <c r="R2155" t="s">
        <v>10396</v>
      </c>
      <c r="U2155" t="s">
        <v>1327</v>
      </c>
      <c r="X2155">
        <v>0</v>
      </c>
    </row>
    <row r="2156" spans="1:24" x14ac:dyDescent="0.25">
      <c r="A2156" s="234">
        <v>43276</v>
      </c>
      <c r="B2156" t="s">
        <v>569</v>
      </c>
      <c r="C2156" t="s">
        <v>899</v>
      </c>
      <c r="D2156" t="s">
        <v>625</v>
      </c>
      <c r="E2156" t="s">
        <v>588</v>
      </c>
      <c r="F2156" t="s">
        <v>9104</v>
      </c>
      <c r="G2156" t="s">
        <v>11595</v>
      </c>
      <c r="H2156" t="s">
        <v>1050</v>
      </c>
      <c r="I2156" t="s">
        <v>2054</v>
      </c>
      <c r="J2156" t="s">
        <v>899</v>
      </c>
      <c r="L2156">
        <v>1</v>
      </c>
      <c r="M2156" s="134">
        <v>700000</v>
      </c>
      <c r="N2156" s="134">
        <v>770000</v>
      </c>
      <c r="O2156" t="s">
        <v>2295</v>
      </c>
      <c r="P2156" t="s">
        <v>11596</v>
      </c>
      <c r="Q2156" t="s">
        <v>29</v>
      </c>
      <c r="R2156" t="s">
        <v>11597</v>
      </c>
      <c r="U2156" t="s">
        <v>491</v>
      </c>
      <c r="X2156">
        <v>1</v>
      </c>
    </row>
    <row r="2157" spans="1:24" x14ac:dyDescent="0.25">
      <c r="A2157" s="234">
        <v>42923</v>
      </c>
      <c r="B2157" t="s">
        <v>569</v>
      </c>
      <c r="D2157" t="s">
        <v>625</v>
      </c>
      <c r="E2157" t="s">
        <v>588</v>
      </c>
      <c r="F2157" t="s">
        <v>7507</v>
      </c>
      <c r="H2157" t="s">
        <v>1050</v>
      </c>
      <c r="I2157" t="s">
        <v>2054</v>
      </c>
      <c r="J2157" t="s">
        <v>899</v>
      </c>
      <c r="M2157" s="134">
        <v>700000</v>
      </c>
      <c r="N2157" s="134">
        <v>770000</v>
      </c>
      <c r="O2157" t="s">
        <v>7508</v>
      </c>
      <c r="P2157" t="s">
        <v>7509</v>
      </c>
      <c r="Q2157" t="s">
        <v>1939</v>
      </c>
      <c r="R2157" t="s">
        <v>7510</v>
      </c>
      <c r="U2157" t="s">
        <v>491</v>
      </c>
      <c r="X2157">
        <v>0</v>
      </c>
    </row>
    <row r="2158" spans="1:24" x14ac:dyDescent="0.25">
      <c r="A2158" s="234">
        <v>42438</v>
      </c>
      <c r="B2158" t="s">
        <v>378</v>
      </c>
      <c r="C2158" t="s">
        <v>623</v>
      </c>
      <c r="D2158" t="s">
        <v>625</v>
      </c>
      <c r="E2158" t="s">
        <v>588</v>
      </c>
      <c r="F2158" t="s">
        <v>1265</v>
      </c>
      <c r="H2158" t="s">
        <v>607</v>
      </c>
      <c r="I2158" t="s">
        <v>1266</v>
      </c>
      <c r="M2158" s="134">
        <v>700000</v>
      </c>
      <c r="N2158" s="134">
        <v>845000</v>
      </c>
      <c r="O2158" t="s">
        <v>1267</v>
      </c>
      <c r="P2158" t="s">
        <v>1268</v>
      </c>
      <c r="Q2158" t="s">
        <v>592</v>
      </c>
      <c r="U2158" t="s">
        <v>491</v>
      </c>
      <c r="X2158">
        <v>0</v>
      </c>
    </row>
    <row r="2159" spans="1:24" x14ac:dyDescent="0.25">
      <c r="A2159" s="234">
        <v>43318</v>
      </c>
      <c r="B2159" t="s">
        <v>569</v>
      </c>
      <c r="C2159" t="s">
        <v>899</v>
      </c>
      <c r="D2159" t="s">
        <v>624</v>
      </c>
      <c r="E2159" t="s">
        <v>588</v>
      </c>
      <c r="F2159" t="s">
        <v>12094</v>
      </c>
      <c r="G2159" t="s">
        <v>9072</v>
      </c>
      <c r="H2159" t="s">
        <v>886</v>
      </c>
      <c r="I2159" t="s">
        <v>9351</v>
      </c>
      <c r="J2159" t="s">
        <v>899</v>
      </c>
      <c r="L2159">
        <v>2</v>
      </c>
      <c r="M2159" s="134">
        <v>700000</v>
      </c>
      <c r="N2159" s="134">
        <v>850000</v>
      </c>
      <c r="O2159" t="s">
        <v>6745</v>
      </c>
      <c r="P2159" t="s">
        <v>12095</v>
      </c>
      <c r="Q2159" t="s">
        <v>29</v>
      </c>
      <c r="R2159" t="s">
        <v>12493</v>
      </c>
      <c r="U2159" t="s">
        <v>1327</v>
      </c>
      <c r="X2159">
        <v>1</v>
      </c>
    </row>
    <row r="2160" spans="1:24" x14ac:dyDescent="0.25">
      <c r="A2160" s="234">
        <v>43024</v>
      </c>
      <c r="B2160" t="s">
        <v>328</v>
      </c>
      <c r="C2160" t="s">
        <v>603</v>
      </c>
      <c r="D2160" t="s">
        <v>649</v>
      </c>
      <c r="E2160" t="s">
        <v>588</v>
      </c>
      <c r="F2160" t="s">
        <v>9033</v>
      </c>
      <c r="G2160" t="s">
        <v>9034</v>
      </c>
      <c r="H2160" t="s">
        <v>809</v>
      </c>
      <c r="I2160" t="s">
        <v>9035</v>
      </c>
      <c r="J2160" t="s">
        <v>3533</v>
      </c>
      <c r="L2160">
        <v>9</v>
      </c>
      <c r="M2160" s="134">
        <v>700000</v>
      </c>
      <c r="N2160" s="134">
        <v>875000</v>
      </c>
      <c r="O2160" t="s">
        <v>2680</v>
      </c>
      <c r="P2160" t="s">
        <v>9036</v>
      </c>
      <c r="Q2160" t="s">
        <v>1939</v>
      </c>
      <c r="R2160" t="s">
        <v>9138</v>
      </c>
      <c r="S2160" t="s">
        <v>9049</v>
      </c>
      <c r="U2160" t="s">
        <v>491</v>
      </c>
      <c r="X2160">
        <v>0</v>
      </c>
    </row>
    <row r="2161" spans="1:24" x14ac:dyDescent="0.25">
      <c r="A2161" s="234">
        <v>43348</v>
      </c>
      <c r="B2161" t="s">
        <v>569</v>
      </c>
      <c r="C2161" t="s">
        <v>899</v>
      </c>
      <c r="D2161" t="s">
        <v>9981</v>
      </c>
      <c r="E2161" t="s">
        <v>588</v>
      </c>
      <c r="F2161" t="s">
        <v>12530</v>
      </c>
      <c r="G2161" t="s">
        <v>2282</v>
      </c>
      <c r="H2161" t="s">
        <v>607</v>
      </c>
      <c r="I2161" t="s">
        <v>3649</v>
      </c>
      <c r="J2161" t="s">
        <v>899</v>
      </c>
      <c r="L2161">
        <v>1</v>
      </c>
      <c r="M2161" s="134">
        <v>700000</v>
      </c>
      <c r="N2161" s="134">
        <v>1020000</v>
      </c>
      <c r="O2161" t="s">
        <v>560</v>
      </c>
      <c r="P2161" t="s">
        <v>12531</v>
      </c>
      <c r="Q2161" t="s">
        <v>1939</v>
      </c>
      <c r="R2161" t="s">
        <v>12532</v>
      </c>
      <c r="U2161" t="s">
        <v>491</v>
      </c>
      <c r="X2161">
        <v>0</v>
      </c>
    </row>
    <row r="2162" spans="1:24" x14ac:dyDescent="0.25">
      <c r="A2162" s="234">
        <v>42909</v>
      </c>
      <c r="B2162" t="s">
        <v>569</v>
      </c>
      <c r="D2162" t="s">
        <v>624</v>
      </c>
      <c r="E2162" t="s">
        <v>588</v>
      </c>
      <c r="F2162" t="s">
        <v>7344</v>
      </c>
      <c r="H2162" t="s">
        <v>905</v>
      </c>
      <c r="I2162" t="s">
        <v>7346</v>
      </c>
      <c r="J2162" t="s">
        <v>899</v>
      </c>
      <c r="L2162">
        <v>10</v>
      </c>
      <c r="M2162" s="134">
        <v>700000</v>
      </c>
      <c r="N2162" s="134">
        <v>1050000</v>
      </c>
      <c r="O2162" t="s">
        <v>2680</v>
      </c>
      <c r="P2162" t="s">
        <v>7347</v>
      </c>
      <c r="Q2162" t="s">
        <v>29</v>
      </c>
      <c r="R2162" t="s">
        <v>7359</v>
      </c>
      <c r="U2162" t="s">
        <v>491</v>
      </c>
      <c r="X2162">
        <v>1</v>
      </c>
    </row>
    <row r="2163" spans="1:24" x14ac:dyDescent="0.25">
      <c r="A2163" s="234">
        <v>43213</v>
      </c>
      <c r="B2163" t="s">
        <v>569</v>
      </c>
      <c r="C2163" t="s">
        <v>899</v>
      </c>
      <c r="D2163" t="s">
        <v>11031</v>
      </c>
      <c r="E2163" t="s">
        <v>588</v>
      </c>
      <c r="F2163" t="s">
        <v>7821</v>
      </c>
      <c r="G2163" t="s">
        <v>11032</v>
      </c>
      <c r="H2163" t="s">
        <v>607</v>
      </c>
      <c r="I2163" t="s">
        <v>3649</v>
      </c>
      <c r="J2163" t="s">
        <v>899</v>
      </c>
      <c r="L2163">
        <v>4</v>
      </c>
      <c r="M2163" s="134">
        <v>700000</v>
      </c>
      <c r="N2163" s="134">
        <v>1060000</v>
      </c>
      <c r="O2163" t="s">
        <v>560</v>
      </c>
      <c r="P2163" t="s">
        <v>11033</v>
      </c>
      <c r="Q2163" t="s">
        <v>592</v>
      </c>
      <c r="R2163" t="s">
        <v>11034</v>
      </c>
      <c r="U2163" t="s">
        <v>1327</v>
      </c>
      <c r="X2163">
        <v>0</v>
      </c>
    </row>
    <row r="2164" spans="1:24" x14ac:dyDescent="0.25">
      <c r="A2164" s="234">
        <v>43214</v>
      </c>
      <c r="B2164" t="s">
        <v>328</v>
      </c>
      <c r="C2164" t="s">
        <v>603</v>
      </c>
      <c r="D2164" t="s">
        <v>7595</v>
      </c>
      <c r="E2164" t="s">
        <v>588</v>
      </c>
      <c r="F2164" t="s">
        <v>8940</v>
      </c>
      <c r="G2164" t="s">
        <v>11048</v>
      </c>
      <c r="H2164" t="s">
        <v>607</v>
      </c>
      <c r="I2164" t="s">
        <v>7593</v>
      </c>
      <c r="J2164" t="s">
        <v>3426</v>
      </c>
      <c r="L2164">
        <v>2</v>
      </c>
      <c r="M2164" s="134">
        <v>700000</v>
      </c>
      <c r="N2164" s="134">
        <v>1090000</v>
      </c>
      <c r="O2164" t="s">
        <v>10766</v>
      </c>
      <c r="P2164" t="s">
        <v>11049</v>
      </c>
      <c r="Q2164" t="s">
        <v>29</v>
      </c>
      <c r="R2164" t="s">
        <v>11050</v>
      </c>
      <c r="U2164" t="s">
        <v>1327</v>
      </c>
      <c r="X2164">
        <v>1</v>
      </c>
    </row>
    <row r="2165" spans="1:24" x14ac:dyDescent="0.25">
      <c r="A2165" s="234">
        <v>43523</v>
      </c>
      <c r="B2165" t="s">
        <v>569</v>
      </c>
      <c r="C2165" t="s">
        <v>899</v>
      </c>
      <c r="D2165" t="s">
        <v>9981</v>
      </c>
      <c r="F2165" t="s">
        <v>14539</v>
      </c>
      <c r="G2165" t="s">
        <v>8515</v>
      </c>
      <c r="H2165" t="s">
        <v>607</v>
      </c>
      <c r="I2165" t="s">
        <v>14540</v>
      </c>
      <c r="J2165" t="s">
        <v>899</v>
      </c>
      <c r="K2165" t="s">
        <v>14541</v>
      </c>
      <c r="L2165">
        <v>1</v>
      </c>
      <c r="M2165" s="134">
        <v>700000</v>
      </c>
      <c r="N2165" s="134">
        <v>1175000</v>
      </c>
      <c r="O2165" t="s">
        <v>10766</v>
      </c>
      <c r="P2165" t="s">
        <v>14542</v>
      </c>
      <c r="Q2165" t="s">
        <v>620</v>
      </c>
      <c r="R2165" t="s">
        <v>14576</v>
      </c>
      <c r="U2165" t="s">
        <v>12797</v>
      </c>
      <c r="X2165">
        <v>0</v>
      </c>
    </row>
    <row r="2166" spans="1:24" x14ac:dyDescent="0.25">
      <c r="A2166" s="234">
        <v>43468</v>
      </c>
      <c r="B2166" t="s">
        <v>328</v>
      </c>
      <c r="C2166" t="s">
        <v>603</v>
      </c>
      <c r="D2166" t="s">
        <v>8941</v>
      </c>
      <c r="F2166" t="s">
        <v>13801</v>
      </c>
      <c r="G2166" t="s">
        <v>256</v>
      </c>
      <c r="H2166" t="s">
        <v>607</v>
      </c>
      <c r="I2166" t="s">
        <v>13802</v>
      </c>
      <c r="J2166" t="s">
        <v>3733</v>
      </c>
      <c r="K2166" t="s">
        <v>13803</v>
      </c>
      <c r="L2166">
        <v>1</v>
      </c>
      <c r="M2166" s="134">
        <v>700000</v>
      </c>
      <c r="N2166" s="134">
        <v>1190000</v>
      </c>
      <c r="O2166" t="s">
        <v>10766</v>
      </c>
      <c r="P2166" t="s">
        <v>13804</v>
      </c>
      <c r="Q2166" t="s">
        <v>592</v>
      </c>
      <c r="R2166" t="s">
        <v>13805</v>
      </c>
      <c r="U2166" t="s">
        <v>12797</v>
      </c>
      <c r="X2166">
        <v>0</v>
      </c>
    </row>
    <row r="2167" spans="1:24" x14ac:dyDescent="0.25">
      <c r="A2167" s="234">
        <v>43179</v>
      </c>
      <c r="B2167" t="s">
        <v>328</v>
      </c>
      <c r="C2167" t="s">
        <v>603</v>
      </c>
      <c r="D2167" t="s">
        <v>8941</v>
      </c>
      <c r="E2167" t="s">
        <v>588</v>
      </c>
      <c r="F2167" t="s">
        <v>10654</v>
      </c>
      <c r="G2167" t="s">
        <v>10655</v>
      </c>
      <c r="H2167" t="s">
        <v>607</v>
      </c>
      <c r="I2167" t="s">
        <v>84</v>
      </c>
      <c r="J2167" t="s">
        <v>3733</v>
      </c>
      <c r="L2167">
        <v>1</v>
      </c>
      <c r="M2167" s="134">
        <v>700000</v>
      </c>
      <c r="N2167" s="134">
        <v>1260000</v>
      </c>
      <c r="O2167" t="s">
        <v>7564</v>
      </c>
      <c r="P2167" t="s">
        <v>10746</v>
      </c>
      <c r="Q2167" t="s">
        <v>592</v>
      </c>
      <c r="R2167" t="s">
        <v>10674</v>
      </c>
      <c r="U2167" t="s">
        <v>1327</v>
      </c>
      <c r="X2167">
        <v>0</v>
      </c>
    </row>
    <row r="2168" spans="1:24" x14ac:dyDescent="0.25">
      <c r="A2168" s="234">
        <v>43437</v>
      </c>
      <c r="B2168" t="s">
        <v>569</v>
      </c>
      <c r="C2168" t="s">
        <v>899</v>
      </c>
      <c r="D2168" t="s">
        <v>625</v>
      </c>
      <c r="F2168" t="s">
        <v>13452</v>
      </c>
      <c r="G2168" t="s">
        <v>13453</v>
      </c>
      <c r="H2168" t="s">
        <v>607</v>
      </c>
      <c r="I2168" t="s">
        <v>9022</v>
      </c>
      <c r="J2168" t="s">
        <v>899</v>
      </c>
      <c r="K2168" t="s">
        <v>13454</v>
      </c>
      <c r="M2168" s="134">
        <v>700000</v>
      </c>
      <c r="N2168" s="134">
        <v>1290000</v>
      </c>
      <c r="O2168" t="s">
        <v>10766</v>
      </c>
      <c r="P2168" t="s">
        <v>13455</v>
      </c>
      <c r="Q2168" t="s">
        <v>1939</v>
      </c>
      <c r="R2168" t="s">
        <v>13456</v>
      </c>
      <c r="U2168" t="s">
        <v>491</v>
      </c>
      <c r="X2168">
        <v>0</v>
      </c>
    </row>
    <row r="2169" spans="1:24" x14ac:dyDescent="0.25">
      <c r="A2169" s="234">
        <v>43320</v>
      </c>
      <c r="B2169" t="s">
        <v>643</v>
      </c>
      <c r="C2169" t="s">
        <v>644</v>
      </c>
      <c r="D2169" t="s">
        <v>645</v>
      </c>
      <c r="E2169" t="s">
        <v>588</v>
      </c>
      <c r="F2169" t="s">
        <v>12047</v>
      </c>
      <c r="G2169" t="s">
        <v>9305</v>
      </c>
      <c r="H2169" t="s">
        <v>607</v>
      </c>
      <c r="I2169" t="s">
        <v>12048</v>
      </c>
      <c r="J2169" t="s">
        <v>899</v>
      </c>
      <c r="L2169">
        <v>3</v>
      </c>
      <c r="M2169" s="134">
        <v>700000</v>
      </c>
      <c r="N2169" s="134">
        <v>1310000</v>
      </c>
      <c r="O2169" t="s">
        <v>7564</v>
      </c>
      <c r="P2169" t="s">
        <v>12049</v>
      </c>
      <c r="Q2169" t="s">
        <v>1939</v>
      </c>
      <c r="R2169" t="s">
        <v>12050</v>
      </c>
      <c r="U2169" t="s">
        <v>491</v>
      </c>
      <c r="X2169">
        <v>0</v>
      </c>
    </row>
    <row r="2170" spans="1:24" x14ac:dyDescent="0.25">
      <c r="A2170" s="234">
        <v>43619</v>
      </c>
      <c r="B2170" t="s">
        <v>328</v>
      </c>
      <c r="C2170" t="s">
        <v>603</v>
      </c>
      <c r="D2170" t="s">
        <v>10705</v>
      </c>
      <c r="F2170" t="s">
        <v>15827</v>
      </c>
      <c r="G2170" t="s">
        <v>10268</v>
      </c>
      <c r="H2170" t="s">
        <v>607</v>
      </c>
      <c r="I2170" t="s">
        <v>15828</v>
      </c>
      <c r="J2170" t="s">
        <v>4031</v>
      </c>
      <c r="K2170" t="s">
        <v>15829</v>
      </c>
      <c r="M2170" s="134">
        <v>700000</v>
      </c>
      <c r="N2170" s="134">
        <v>1330000</v>
      </c>
      <c r="O2170" t="s">
        <v>10766</v>
      </c>
      <c r="P2170" t="s">
        <v>15830</v>
      </c>
      <c r="Q2170" t="s">
        <v>29</v>
      </c>
      <c r="R2170" t="s">
        <v>15831</v>
      </c>
      <c r="U2170" t="s">
        <v>491</v>
      </c>
      <c r="X2170">
        <v>1</v>
      </c>
    </row>
    <row r="2171" spans="1:24" x14ac:dyDescent="0.25">
      <c r="A2171" s="234">
        <v>43074</v>
      </c>
      <c r="B2171" t="s">
        <v>328</v>
      </c>
      <c r="C2171" t="s">
        <v>603</v>
      </c>
      <c r="D2171" t="s">
        <v>649</v>
      </c>
      <c r="E2171" t="s">
        <v>588</v>
      </c>
      <c r="F2171" t="s">
        <v>9641</v>
      </c>
      <c r="G2171" t="s">
        <v>256</v>
      </c>
      <c r="H2171" t="s">
        <v>607</v>
      </c>
      <c r="I2171" t="s">
        <v>9642</v>
      </c>
      <c r="J2171" t="s">
        <v>3523</v>
      </c>
      <c r="M2171" s="134">
        <v>700000</v>
      </c>
      <c r="N2171" s="134">
        <v>1400000</v>
      </c>
      <c r="O2171" t="s">
        <v>9643</v>
      </c>
      <c r="P2171" t="s">
        <v>9644</v>
      </c>
      <c r="Q2171" t="s">
        <v>1939</v>
      </c>
      <c r="R2171" t="s">
        <v>9645</v>
      </c>
      <c r="U2171" t="s">
        <v>491</v>
      </c>
      <c r="X2171">
        <v>0</v>
      </c>
    </row>
    <row r="2172" spans="1:24" x14ac:dyDescent="0.25">
      <c r="A2172" s="234">
        <v>43607</v>
      </c>
      <c r="B2172" t="s">
        <v>569</v>
      </c>
      <c r="C2172" t="s">
        <v>899</v>
      </c>
      <c r="D2172" t="s">
        <v>625</v>
      </c>
      <c r="F2172" t="s">
        <v>15696</v>
      </c>
      <c r="G2172" t="s">
        <v>10999</v>
      </c>
      <c r="H2172" t="s">
        <v>607</v>
      </c>
      <c r="I2172" t="s">
        <v>3388</v>
      </c>
      <c r="J2172" t="s">
        <v>899</v>
      </c>
      <c r="K2172" t="s">
        <v>15697</v>
      </c>
      <c r="L2172">
        <v>5</v>
      </c>
      <c r="M2172" s="134">
        <v>700000</v>
      </c>
      <c r="N2172" s="134">
        <v>1540000</v>
      </c>
      <c r="O2172" t="s">
        <v>10766</v>
      </c>
      <c r="P2172" t="s">
        <v>15698</v>
      </c>
      <c r="Q2172" t="s">
        <v>1939</v>
      </c>
      <c r="R2172" t="s">
        <v>15700</v>
      </c>
      <c r="S2172" t="s">
        <v>15699</v>
      </c>
      <c r="U2172" t="s">
        <v>491</v>
      </c>
      <c r="X2172">
        <v>0</v>
      </c>
    </row>
    <row r="2173" spans="1:24" x14ac:dyDescent="0.25">
      <c r="A2173" s="234">
        <v>42962</v>
      </c>
      <c r="B2173" t="s">
        <v>328</v>
      </c>
      <c r="C2173" t="s">
        <v>603</v>
      </c>
      <c r="D2173" t="s">
        <v>649</v>
      </c>
      <c r="E2173" t="s">
        <v>588</v>
      </c>
      <c r="F2173" t="s">
        <v>8167</v>
      </c>
      <c r="G2173" t="s">
        <v>2204</v>
      </c>
      <c r="H2173" t="s">
        <v>4183</v>
      </c>
      <c r="J2173" t="s">
        <v>4031</v>
      </c>
      <c r="L2173">
        <v>10</v>
      </c>
      <c r="M2173" s="134">
        <v>701000</v>
      </c>
      <c r="N2173" s="134">
        <v>1331900</v>
      </c>
      <c r="O2173" t="s">
        <v>5064</v>
      </c>
      <c r="P2173" t="s">
        <v>8166</v>
      </c>
      <c r="Q2173" t="s">
        <v>1939</v>
      </c>
      <c r="R2173" t="s">
        <v>8406</v>
      </c>
      <c r="U2173" t="s">
        <v>2227</v>
      </c>
      <c r="X2173">
        <v>0</v>
      </c>
    </row>
    <row r="2174" spans="1:24" x14ac:dyDescent="0.25">
      <c r="A2174" s="234">
        <v>42418</v>
      </c>
      <c r="B2174" t="s">
        <v>378</v>
      </c>
      <c r="C2174" t="s">
        <v>623</v>
      </c>
      <c r="D2174" t="s">
        <v>625</v>
      </c>
      <c r="E2174" t="s">
        <v>588</v>
      </c>
      <c r="F2174" t="s">
        <v>1035</v>
      </c>
      <c r="H2174" t="s">
        <v>607</v>
      </c>
      <c r="I2174" t="s">
        <v>1036</v>
      </c>
      <c r="M2174" s="134">
        <v>702000</v>
      </c>
      <c r="N2174" s="134">
        <v>1371000</v>
      </c>
      <c r="O2174" t="s">
        <v>1038</v>
      </c>
      <c r="P2174" t="s">
        <v>1055</v>
      </c>
      <c r="Q2174" t="s">
        <v>592</v>
      </c>
      <c r="R2174" t="s">
        <v>1040</v>
      </c>
      <c r="U2174" t="s">
        <v>491</v>
      </c>
      <c r="X2174">
        <v>0</v>
      </c>
    </row>
    <row r="2175" spans="1:24" x14ac:dyDescent="0.25">
      <c r="A2175" s="234">
        <v>43335</v>
      </c>
      <c r="B2175" t="s">
        <v>328</v>
      </c>
      <c r="C2175" t="s">
        <v>603</v>
      </c>
      <c r="D2175" t="s">
        <v>7595</v>
      </c>
      <c r="E2175" t="s">
        <v>588</v>
      </c>
      <c r="F2175" t="s">
        <v>12285</v>
      </c>
      <c r="G2175" t="s">
        <v>12286</v>
      </c>
      <c r="H2175" t="s">
        <v>607</v>
      </c>
      <c r="I2175" t="s">
        <v>12287</v>
      </c>
      <c r="J2175" t="s">
        <v>899</v>
      </c>
      <c r="L2175">
        <v>4</v>
      </c>
      <c r="M2175" s="134">
        <v>708000</v>
      </c>
      <c r="N2175" s="134">
        <v>1345200</v>
      </c>
      <c r="O2175" t="s">
        <v>10766</v>
      </c>
      <c r="P2175" t="s">
        <v>12288</v>
      </c>
      <c r="Q2175" t="s">
        <v>620</v>
      </c>
      <c r="R2175" t="s">
        <v>12289</v>
      </c>
      <c r="U2175" t="s">
        <v>491</v>
      </c>
      <c r="X2175">
        <v>0</v>
      </c>
    </row>
    <row r="2176" spans="1:24" x14ac:dyDescent="0.25">
      <c r="A2176" s="234">
        <v>42957</v>
      </c>
      <c r="B2176" t="s">
        <v>569</v>
      </c>
      <c r="D2176" t="s">
        <v>930</v>
      </c>
      <c r="E2176" t="s">
        <v>588</v>
      </c>
      <c r="F2176" t="s">
        <v>8098</v>
      </c>
      <c r="G2176" t="s">
        <v>8099</v>
      </c>
      <c r="H2176" t="s">
        <v>5991</v>
      </c>
      <c r="I2176" t="s">
        <v>8100</v>
      </c>
      <c r="J2176" t="s">
        <v>899</v>
      </c>
      <c r="L2176">
        <v>4</v>
      </c>
      <c r="M2176" s="134">
        <v>710000</v>
      </c>
      <c r="N2176" s="134">
        <v>881000</v>
      </c>
      <c r="O2176" t="s">
        <v>35</v>
      </c>
      <c r="P2176" t="s">
        <v>8101</v>
      </c>
      <c r="Q2176" t="s">
        <v>1939</v>
      </c>
      <c r="R2176" t="s">
        <v>8102</v>
      </c>
      <c r="T2176">
        <v>15</v>
      </c>
      <c r="U2176" t="s">
        <v>491</v>
      </c>
      <c r="X2176">
        <v>0</v>
      </c>
    </row>
    <row r="2177" spans="1:24" x14ac:dyDescent="0.25">
      <c r="A2177" s="234">
        <v>42471</v>
      </c>
      <c r="B2177" t="s">
        <v>328</v>
      </c>
      <c r="C2177" t="s">
        <v>603</v>
      </c>
      <c r="D2177" t="s">
        <v>672</v>
      </c>
      <c r="E2177" t="s">
        <v>588</v>
      </c>
      <c r="F2177" t="s">
        <v>1601</v>
      </c>
      <c r="H2177" t="s">
        <v>905</v>
      </c>
      <c r="I2177" t="s">
        <v>1602</v>
      </c>
      <c r="M2177" s="134">
        <v>710000</v>
      </c>
      <c r="N2177" s="134">
        <v>932000</v>
      </c>
      <c r="O2177" t="s">
        <v>695</v>
      </c>
      <c r="P2177" t="s">
        <v>1603</v>
      </c>
      <c r="Q2177" t="s">
        <v>620</v>
      </c>
      <c r="R2177" t="s">
        <v>1604</v>
      </c>
      <c r="U2177" t="s">
        <v>1327</v>
      </c>
      <c r="X2177">
        <v>0</v>
      </c>
    </row>
    <row r="2178" spans="1:24" x14ac:dyDescent="0.25">
      <c r="A2178" s="234">
        <v>43012</v>
      </c>
      <c r="B2178" t="s">
        <v>328</v>
      </c>
      <c r="C2178" t="s">
        <v>603</v>
      </c>
      <c r="D2178" t="s">
        <v>1401</v>
      </c>
      <c r="E2178" t="s">
        <v>588</v>
      </c>
      <c r="F2178" t="s">
        <v>8870</v>
      </c>
      <c r="G2178" t="s">
        <v>8871</v>
      </c>
      <c r="H2178" t="s">
        <v>607</v>
      </c>
      <c r="I2178" t="s">
        <v>5366</v>
      </c>
      <c r="J2178" t="s">
        <v>899</v>
      </c>
      <c r="L2178">
        <v>10</v>
      </c>
      <c r="M2178" s="134">
        <v>710000</v>
      </c>
      <c r="N2178" s="134">
        <v>1426500</v>
      </c>
      <c r="O2178" t="s">
        <v>8872</v>
      </c>
      <c r="P2178" t="s">
        <v>8873</v>
      </c>
      <c r="Q2178" t="s">
        <v>29</v>
      </c>
      <c r="R2178" t="s">
        <v>8874</v>
      </c>
      <c r="S2178" t="s">
        <v>8875</v>
      </c>
      <c r="T2178">
        <v>51</v>
      </c>
      <c r="U2178" t="s">
        <v>491</v>
      </c>
      <c r="X2178">
        <v>1</v>
      </c>
    </row>
    <row r="2179" spans="1:24" x14ac:dyDescent="0.25">
      <c r="A2179" s="234">
        <v>43012</v>
      </c>
      <c r="B2179" t="s">
        <v>569</v>
      </c>
      <c r="C2179" t="s">
        <v>899</v>
      </c>
      <c r="D2179" t="s">
        <v>930</v>
      </c>
      <c r="E2179" t="s">
        <v>1707</v>
      </c>
      <c r="F2179" t="s">
        <v>8879</v>
      </c>
      <c r="G2179" t="s">
        <v>8880</v>
      </c>
      <c r="H2179" t="s">
        <v>607</v>
      </c>
      <c r="I2179" t="s">
        <v>8881</v>
      </c>
      <c r="J2179" t="s">
        <v>899</v>
      </c>
      <c r="L2179">
        <v>4</v>
      </c>
      <c r="M2179" s="134">
        <v>712000</v>
      </c>
      <c r="N2179" s="134">
        <v>1139000</v>
      </c>
      <c r="O2179" t="s">
        <v>1171</v>
      </c>
      <c r="P2179" t="s">
        <v>8882</v>
      </c>
      <c r="Q2179" t="s">
        <v>1939</v>
      </c>
      <c r="R2179" t="s">
        <v>8883</v>
      </c>
      <c r="T2179">
        <v>28</v>
      </c>
      <c r="U2179" t="s">
        <v>491</v>
      </c>
      <c r="X2179">
        <v>0</v>
      </c>
    </row>
    <row r="2180" spans="1:24" x14ac:dyDescent="0.25">
      <c r="A2180" s="234">
        <v>43305</v>
      </c>
      <c r="B2180" t="s">
        <v>328</v>
      </c>
      <c r="C2180" t="s">
        <v>603</v>
      </c>
      <c r="D2180" t="s">
        <v>7595</v>
      </c>
      <c r="E2180" t="s">
        <v>588</v>
      </c>
      <c r="F2180" t="s">
        <v>11891</v>
      </c>
      <c r="G2180" t="s">
        <v>7855</v>
      </c>
      <c r="H2180" t="s">
        <v>607</v>
      </c>
      <c r="J2180" t="s">
        <v>3612</v>
      </c>
      <c r="L2180">
        <v>3</v>
      </c>
      <c r="M2180" s="134">
        <v>713200</v>
      </c>
      <c r="N2180" s="134">
        <v>1426400</v>
      </c>
      <c r="O2180" t="s">
        <v>4533</v>
      </c>
      <c r="P2180" t="s">
        <v>11892</v>
      </c>
      <c r="Q2180" t="s">
        <v>1939</v>
      </c>
      <c r="R2180" t="s">
        <v>11893</v>
      </c>
      <c r="U2180" t="s">
        <v>1327</v>
      </c>
      <c r="X2180">
        <v>0</v>
      </c>
    </row>
    <row r="2181" spans="1:24" x14ac:dyDescent="0.25">
      <c r="A2181" s="234">
        <v>43292</v>
      </c>
      <c r="B2181" t="s">
        <v>328</v>
      </c>
      <c r="C2181" t="s">
        <v>603</v>
      </c>
      <c r="D2181" t="s">
        <v>7595</v>
      </c>
      <c r="E2181" t="s">
        <v>588</v>
      </c>
      <c r="F2181" t="s">
        <v>8013</v>
      </c>
      <c r="G2181" t="s">
        <v>11716</v>
      </c>
      <c r="H2181" t="s">
        <v>607</v>
      </c>
      <c r="I2181" t="s">
        <v>11717</v>
      </c>
      <c r="J2181" t="s">
        <v>3612</v>
      </c>
      <c r="L2181">
        <v>1</v>
      </c>
      <c r="M2181" s="134">
        <v>719000</v>
      </c>
      <c r="N2181" s="134">
        <v>1366100</v>
      </c>
      <c r="O2181" t="s">
        <v>10766</v>
      </c>
      <c r="P2181" t="s">
        <v>11718</v>
      </c>
      <c r="Q2181" t="s">
        <v>592</v>
      </c>
      <c r="R2181" t="s">
        <v>11722</v>
      </c>
      <c r="U2181" t="s">
        <v>491</v>
      </c>
      <c r="X2181">
        <v>0</v>
      </c>
    </row>
    <row r="2182" spans="1:24" x14ac:dyDescent="0.25">
      <c r="A2182" s="234">
        <v>43522</v>
      </c>
      <c r="B2182" t="s">
        <v>328</v>
      </c>
      <c r="C2182" t="s">
        <v>603</v>
      </c>
      <c r="D2182" t="s">
        <v>10705</v>
      </c>
      <c r="F2182" t="s">
        <v>14525</v>
      </c>
      <c r="G2182" t="s">
        <v>14526</v>
      </c>
      <c r="H2182" t="s">
        <v>905</v>
      </c>
      <c r="I2182" t="s">
        <v>14527</v>
      </c>
      <c r="J2182" t="s">
        <v>899</v>
      </c>
      <c r="K2182" t="s">
        <v>13101</v>
      </c>
      <c r="L2182">
        <v>2</v>
      </c>
      <c r="M2182" s="134">
        <v>719610</v>
      </c>
      <c r="N2182" s="134">
        <v>863540</v>
      </c>
      <c r="O2182" t="s">
        <v>7564</v>
      </c>
      <c r="P2182" t="s">
        <v>14528</v>
      </c>
      <c r="Q2182" t="s">
        <v>592</v>
      </c>
      <c r="R2182" t="s">
        <v>14529</v>
      </c>
      <c r="U2182" t="s">
        <v>12797</v>
      </c>
      <c r="X2182">
        <v>0</v>
      </c>
    </row>
    <row r="2183" spans="1:24" x14ac:dyDescent="0.25">
      <c r="A2183" s="234">
        <v>43174</v>
      </c>
      <c r="B2183" t="s">
        <v>569</v>
      </c>
      <c r="C2183" t="s">
        <v>899</v>
      </c>
      <c r="D2183" t="s">
        <v>625</v>
      </c>
      <c r="E2183" t="s">
        <v>821</v>
      </c>
      <c r="F2183" t="s">
        <v>10615</v>
      </c>
      <c r="H2183" t="s">
        <v>905</v>
      </c>
      <c r="J2183" t="s">
        <v>899</v>
      </c>
      <c r="M2183" s="134">
        <v>720000</v>
      </c>
      <c r="N2183" s="134">
        <v>0</v>
      </c>
      <c r="O2183" t="s">
        <v>10762</v>
      </c>
      <c r="P2183" t="s">
        <v>10616</v>
      </c>
      <c r="Q2183" t="s">
        <v>29</v>
      </c>
      <c r="R2183" t="s">
        <v>10617</v>
      </c>
      <c r="U2183" t="s">
        <v>491</v>
      </c>
      <c r="X2183">
        <v>1</v>
      </c>
    </row>
    <row r="2184" spans="1:24" x14ac:dyDescent="0.25">
      <c r="A2184" s="234">
        <v>42775</v>
      </c>
      <c r="B2184" t="s">
        <v>5360</v>
      </c>
      <c r="D2184" t="s">
        <v>732</v>
      </c>
      <c r="E2184" t="s">
        <v>588</v>
      </c>
      <c r="F2184" t="s">
        <v>5652</v>
      </c>
      <c r="H2184" t="s">
        <v>607</v>
      </c>
      <c r="I2184" t="s">
        <v>5653</v>
      </c>
      <c r="J2184" t="s">
        <v>899</v>
      </c>
      <c r="L2184">
        <v>4</v>
      </c>
      <c r="M2184" s="134">
        <v>720000</v>
      </c>
      <c r="N2184" s="134">
        <v>1296000</v>
      </c>
      <c r="O2184" t="s">
        <v>695</v>
      </c>
      <c r="P2184" t="s">
        <v>6299</v>
      </c>
      <c r="Q2184" t="s">
        <v>592</v>
      </c>
      <c r="U2184" t="s">
        <v>491</v>
      </c>
      <c r="X2184">
        <v>0</v>
      </c>
    </row>
    <row r="2185" spans="1:24" x14ac:dyDescent="0.25">
      <c r="A2185" s="234">
        <v>42716</v>
      </c>
      <c r="B2185" t="s">
        <v>328</v>
      </c>
      <c r="C2185" t="s">
        <v>603</v>
      </c>
      <c r="D2185" t="s">
        <v>1471</v>
      </c>
      <c r="E2185" t="s">
        <v>588</v>
      </c>
      <c r="F2185" t="s">
        <v>4981</v>
      </c>
      <c r="H2185" t="s">
        <v>1044</v>
      </c>
      <c r="I2185" t="s">
        <v>126</v>
      </c>
      <c r="J2185" t="s">
        <v>3371</v>
      </c>
      <c r="L2185">
        <v>10</v>
      </c>
      <c r="M2185" s="134">
        <v>720000</v>
      </c>
      <c r="N2185" s="134">
        <v>1372000</v>
      </c>
      <c r="O2185" t="s">
        <v>1111</v>
      </c>
      <c r="P2185" t="s">
        <v>4982</v>
      </c>
      <c r="Q2185" t="s">
        <v>1939</v>
      </c>
      <c r="R2185" t="s">
        <v>4983</v>
      </c>
      <c r="U2185" t="s">
        <v>491</v>
      </c>
      <c r="X2185">
        <v>0</v>
      </c>
    </row>
    <row r="2186" spans="1:24" x14ac:dyDescent="0.25">
      <c r="A2186" s="234">
        <v>43210</v>
      </c>
      <c r="B2186" t="s">
        <v>328</v>
      </c>
      <c r="C2186" t="s">
        <v>603</v>
      </c>
      <c r="D2186" t="s">
        <v>5701</v>
      </c>
      <c r="E2186" t="s">
        <v>588</v>
      </c>
      <c r="F2186" t="s">
        <v>15</v>
      </c>
      <c r="G2186" t="s">
        <v>11028</v>
      </c>
      <c r="H2186" t="s">
        <v>607</v>
      </c>
      <c r="I2186" t="s">
        <v>11029</v>
      </c>
      <c r="J2186" t="s">
        <v>3523</v>
      </c>
      <c r="L2186">
        <v>2</v>
      </c>
      <c r="M2186" s="134">
        <v>720000</v>
      </c>
      <c r="N2186" s="134">
        <v>1571650</v>
      </c>
      <c r="O2186" t="s">
        <v>7564</v>
      </c>
      <c r="P2186" t="s">
        <v>11147</v>
      </c>
      <c r="Q2186" t="s">
        <v>592</v>
      </c>
      <c r="R2186" t="s">
        <v>11030</v>
      </c>
      <c r="U2186" t="s">
        <v>1327</v>
      </c>
      <c r="X2186">
        <v>0</v>
      </c>
    </row>
    <row r="2187" spans="1:24" x14ac:dyDescent="0.25">
      <c r="A2187" s="234">
        <v>42571</v>
      </c>
      <c r="B2187" t="s">
        <v>378</v>
      </c>
      <c r="C2187" t="s">
        <v>610</v>
      </c>
      <c r="D2187" t="s">
        <v>732</v>
      </c>
      <c r="E2187" t="s">
        <v>588</v>
      </c>
      <c r="F2187" t="s">
        <v>2948</v>
      </c>
      <c r="H2187" t="s">
        <v>2074</v>
      </c>
      <c r="I2187" t="s">
        <v>679</v>
      </c>
      <c r="M2187" s="134">
        <v>722000</v>
      </c>
      <c r="N2187" s="134">
        <v>0</v>
      </c>
      <c r="O2187" t="s">
        <v>1539</v>
      </c>
      <c r="P2187" t="s">
        <v>2949</v>
      </c>
      <c r="Q2187" t="s">
        <v>1939</v>
      </c>
      <c r="R2187" t="s">
        <v>2950</v>
      </c>
      <c r="S2187" t="s">
        <v>2966</v>
      </c>
      <c r="U2187" t="s">
        <v>491</v>
      </c>
      <c r="X2187">
        <v>0</v>
      </c>
    </row>
    <row r="2188" spans="1:24" x14ac:dyDescent="0.25">
      <c r="A2188" s="234">
        <v>42905</v>
      </c>
      <c r="B2188" t="s">
        <v>569</v>
      </c>
      <c r="D2188" t="s">
        <v>625</v>
      </c>
      <c r="E2188" t="s">
        <v>588</v>
      </c>
      <c r="F2188" t="s">
        <v>7245</v>
      </c>
      <c r="H2188" t="s">
        <v>607</v>
      </c>
      <c r="I2188" t="s">
        <v>2054</v>
      </c>
      <c r="J2188" t="s">
        <v>899</v>
      </c>
      <c r="L2188">
        <v>3</v>
      </c>
      <c r="M2188" s="134">
        <v>723000</v>
      </c>
      <c r="N2188" s="134">
        <v>1300400</v>
      </c>
      <c r="O2188" t="s">
        <v>1171</v>
      </c>
      <c r="P2188" t="s">
        <v>7246</v>
      </c>
      <c r="Q2188" t="s">
        <v>1612</v>
      </c>
      <c r="R2188" t="s">
        <v>7258</v>
      </c>
      <c r="U2188" t="s">
        <v>491</v>
      </c>
      <c r="X2188">
        <v>0</v>
      </c>
    </row>
    <row r="2189" spans="1:24" x14ac:dyDescent="0.25">
      <c r="A2189" s="234">
        <v>42803</v>
      </c>
      <c r="B2189" t="s">
        <v>328</v>
      </c>
      <c r="C2189" t="s">
        <v>603</v>
      </c>
      <c r="D2189" t="s">
        <v>649</v>
      </c>
      <c r="E2189" t="s">
        <v>588</v>
      </c>
      <c r="F2189" t="s">
        <v>5918</v>
      </c>
      <c r="H2189" t="s">
        <v>905</v>
      </c>
      <c r="I2189" t="s">
        <v>4042</v>
      </c>
      <c r="J2189" t="s">
        <v>899</v>
      </c>
      <c r="L2189">
        <v>4</v>
      </c>
      <c r="M2189" s="134">
        <v>725000</v>
      </c>
      <c r="N2189" s="134">
        <v>802500</v>
      </c>
      <c r="O2189" t="s">
        <v>5919</v>
      </c>
      <c r="P2189" t="s">
        <v>5920</v>
      </c>
      <c r="Q2189" t="s">
        <v>1939</v>
      </c>
      <c r="R2189" t="s">
        <v>6304</v>
      </c>
      <c r="U2189" t="s">
        <v>491</v>
      </c>
      <c r="X2189">
        <v>0</v>
      </c>
    </row>
    <row r="2190" spans="1:24" x14ac:dyDescent="0.25">
      <c r="A2190" s="234">
        <v>42390</v>
      </c>
      <c r="B2190" t="s">
        <v>328</v>
      </c>
      <c r="C2190" t="s">
        <v>603</v>
      </c>
      <c r="D2190" t="s">
        <v>757</v>
      </c>
      <c r="E2190" t="s">
        <v>588</v>
      </c>
      <c r="F2190" t="s">
        <v>788</v>
      </c>
      <c r="H2190" t="s">
        <v>607</v>
      </c>
      <c r="I2190" t="s">
        <v>789</v>
      </c>
      <c r="M2190" s="134">
        <v>725000</v>
      </c>
      <c r="N2190" s="134">
        <v>1232500</v>
      </c>
      <c r="O2190" t="s">
        <v>790</v>
      </c>
      <c r="P2190" t="s">
        <v>791</v>
      </c>
      <c r="Q2190" t="s">
        <v>592</v>
      </c>
      <c r="R2190" t="s">
        <v>792</v>
      </c>
      <c r="U2190" t="s">
        <v>491</v>
      </c>
      <c r="X2190">
        <v>0</v>
      </c>
    </row>
    <row r="2191" spans="1:24" x14ac:dyDescent="0.25">
      <c r="A2191" s="234">
        <v>43291</v>
      </c>
      <c r="B2191" t="s">
        <v>328</v>
      </c>
      <c r="C2191" t="s">
        <v>603</v>
      </c>
      <c r="D2191" t="s">
        <v>757</v>
      </c>
      <c r="E2191" t="s">
        <v>588</v>
      </c>
      <c r="F2191" t="s">
        <v>11774</v>
      </c>
      <c r="G2191" t="s">
        <v>11774</v>
      </c>
      <c r="H2191" t="s">
        <v>809</v>
      </c>
      <c r="I2191" t="s">
        <v>11775</v>
      </c>
      <c r="J2191" t="s">
        <v>11776</v>
      </c>
      <c r="L2191">
        <v>2</v>
      </c>
      <c r="M2191" s="134">
        <v>725000</v>
      </c>
      <c r="N2191" s="134">
        <v>7975000</v>
      </c>
      <c r="O2191" t="s">
        <v>10766</v>
      </c>
      <c r="P2191" t="s">
        <v>11777</v>
      </c>
      <c r="Q2191" t="s">
        <v>592</v>
      </c>
      <c r="R2191" t="s">
        <v>11778</v>
      </c>
      <c r="U2191" t="s">
        <v>1327</v>
      </c>
      <c r="X2191">
        <v>0</v>
      </c>
    </row>
    <row r="2192" spans="1:24" x14ac:dyDescent="0.25">
      <c r="A2192" s="234">
        <v>42930</v>
      </c>
      <c r="B2192" t="s">
        <v>328</v>
      </c>
      <c r="C2192" t="s">
        <v>603</v>
      </c>
      <c r="D2192" t="s">
        <v>672</v>
      </c>
      <c r="E2192" t="s">
        <v>588</v>
      </c>
      <c r="F2192" t="s">
        <v>7609</v>
      </c>
      <c r="H2192" t="s">
        <v>6002</v>
      </c>
      <c r="I2192" t="s">
        <v>7610</v>
      </c>
      <c r="J2192" t="s">
        <v>3398</v>
      </c>
      <c r="L2192">
        <v>10</v>
      </c>
      <c r="M2192" s="134">
        <v>726000</v>
      </c>
      <c r="N2192" s="134">
        <v>1574850</v>
      </c>
      <c r="O2192" t="s">
        <v>6860</v>
      </c>
      <c r="P2192" t="s">
        <v>7612</v>
      </c>
      <c r="Q2192" t="s">
        <v>1939</v>
      </c>
      <c r="R2192" t="s">
        <v>7611</v>
      </c>
      <c r="U2192" t="s">
        <v>2227</v>
      </c>
      <c r="X2192">
        <v>0</v>
      </c>
    </row>
    <row r="2193" spans="1:24" x14ac:dyDescent="0.25">
      <c r="A2193" s="234">
        <v>42773</v>
      </c>
      <c r="B2193" t="s">
        <v>643</v>
      </c>
      <c r="C2193" t="s">
        <v>644</v>
      </c>
      <c r="D2193" t="s">
        <v>645</v>
      </c>
      <c r="E2193" t="s">
        <v>588</v>
      </c>
      <c r="F2193" t="s">
        <v>5634</v>
      </c>
      <c r="H2193" t="s">
        <v>5635</v>
      </c>
      <c r="I2193" t="s">
        <v>5636</v>
      </c>
      <c r="J2193" t="s">
        <v>644</v>
      </c>
      <c r="L2193">
        <v>10</v>
      </c>
      <c r="M2193" s="134">
        <v>728000</v>
      </c>
      <c r="N2193" s="134">
        <v>828000</v>
      </c>
      <c r="O2193" t="s">
        <v>3886</v>
      </c>
      <c r="P2193" t="s">
        <v>5637</v>
      </c>
      <c r="Q2193" t="s">
        <v>1939</v>
      </c>
      <c r="R2193" t="s">
        <v>5638</v>
      </c>
      <c r="U2193" t="s">
        <v>491</v>
      </c>
      <c r="X2193">
        <v>0</v>
      </c>
    </row>
    <row r="2194" spans="1:24" x14ac:dyDescent="0.25">
      <c r="A2194" s="234">
        <v>43472</v>
      </c>
      <c r="B2194" t="s">
        <v>5956</v>
      </c>
      <c r="C2194" t="s">
        <v>3369</v>
      </c>
      <c r="D2194" t="s">
        <v>8126</v>
      </c>
      <c r="F2194" t="s">
        <v>13839</v>
      </c>
      <c r="G2194" t="s">
        <v>4818</v>
      </c>
      <c r="H2194" t="s">
        <v>607</v>
      </c>
      <c r="I2194" t="s">
        <v>7522</v>
      </c>
      <c r="J2194" t="s">
        <v>3369</v>
      </c>
      <c r="K2194" t="s">
        <v>13840</v>
      </c>
      <c r="M2194" s="134">
        <v>728000</v>
      </c>
      <c r="N2194" s="134">
        <v>1460000</v>
      </c>
      <c r="O2194" t="s">
        <v>10766</v>
      </c>
      <c r="P2194" t="s">
        <v>13841</v>
      </c>
      <c r="Q2194" t="s">
        <v>620</v>
      </c>
      <c r="R2194" t="s">
        <v>13842</v>
      </c>
      <c r="U2194" t="s">
        <v>491</v>
      </c>
      <c r="X2194">
        <v>0</v>
      </c>
    </row>
    <row r="2195" spans="1:24" x14ac:dyDescent="0.25">
      <c r="A2195" s="234">
        <v>43181</v>
      </c>
      <c r="B2195" t="s">
        <v>328</v>
      </c>
      <c r="C2195" t="s">
        <v>603</v>
      </c>
      <c r="D2195" t="s">
        <v>7595</v>
      </c>
      <c r="E2195" t="s">
        <v>588</v>
      </c>
      <c r="F2195" t="s">
        <v>10685</v>
      </c>
      <c r="G2195" t="s">
        <v>10686</v>
      </c>
      <c r="H2195" t="s">
        <v>607</v>
      </c>
      <c r="I2195" t="s">
        <v>6676</v>
      </c>
      <c r="J2195" t="s">
        <v>899</v>
      </c>
      <c r="L2195">
        <v>3</v>
      </c>
      <c r="M2195" s="134">
        <v>728380</v>
      </c>
      <c r="N2195" s="134">
        <v>1456085</v>
      </c>
      <c r="O2195" t="s">
        <v>10766</v>
      </c>
      <c r="P2195" t="s">
        <v>10748</v>
      </c>
      <c r="Q2195" t="s">
        <v>620</v>
      </c>
      <c r="R2195" t="s">
        <v>10687</v>
      </c>
      <c r="S2195" t="s">
        <v>10688</v>
      </c>
      <c r="U2195" t="s">
        <v>491</v>
      </c>
      <c r="X2195">
        <v>0</v>
      </c>
    </row>
    <row r="2196" spans="1:24" x14ac:dyDescent="0.25">
      <c r="A2196" s="234">
        <v>42562</v>
      </c>
      <c r="B2196" t="s">
        <v>378</v>
      </c>
      <c r="C2196" t="s">
        <v>623</v>
      </c>
      <c r="D2196" t="s">
        <v>625</v>
      </c>
      <c r="E2196" t="s">
        <v>588</v>
      </c>
      <c r="F2196" t="s">
        <v>2829</v>
      </c>
      <c r="H2196" t="s">
        <v>722</v>
      </c>
      <c r="I2196" t="s">
        <v>2830</v>
      </c>
      <c r="M2196" s="134">
        <v>730000</v>
      </c>
      <c r="N2196" s="134">
        <v>1241000</v>
      </c>
      <c r="O2196" t="s">
        <v>2831</v>
      </c>
      <c r="P2196" t="s">
        <v>2832</v>
      </c>
      <c r="Q2196" t="s">
        <v>1612</v>
      </c>
      <c r="R2196" t="s">
        <v>2833</v>
      </c>
      <c r="S2196" t="s">
        <v>2834</v>
      </c>
      <c r="U2196" t="s">
        <v>491</v>
      </c>
      <c r="X2196">
        <v>0</v>
      </c>
    </row>
    <row r="2197" spans="1:24" x14ac:dyDescent="0.25">
      <c r="A2197" s="234">
        <v>42402</v>
      </c>
      <c r="B2197" t="s">
        <v>328</v>
      </c>
      <c r="C2197" t="s">
        <v>603</v>
      </c>
      <c r="D2197" t="s">
        <v>649</v>
      </c>
      <c r="E2197" t="s">
        <v>588</v>
      </c>
      <c r="F2197" t="s">
        <v>904</v>
      </c>
      <c r="H2197" t="s">
        <v>905</v>
      </c>
      <c r="I2197" t="s">
        <v>906</v>
      </c>
      <c r="M2197" s="134">
        <v>730000</v>
      </c>
      <c r="N2197" s="134">
        <v>1314000</v>
      </c>
      <c r="O2197" t="s">
        <v>907</v>
      </c>
      <c r="P2197" t="s">
        <v>908</v>
      </c>
      <c r="Q2197" t="s">
        <v>29</v>
      </c>
      <c r="R2197" t="s">
        <v>909</v>
      </c>
      <c r="U2197" t="s">
        <v>289</v>
      </c>
      <c r="X2197">
        <v>1</v>
      </c>
    </row>
    <row r="2198" spans="1:24" x14ac:dyDescent="0.25">
      <c r="A2198" s="234">
        <v>43209</v>
      </c>
      <c r="B2198" t="s">
        <v>328</v>
      </c>
      <c r="C2198" t="s">
        <v>603</v>
      </c>
      <c r="D2198" t="s">
        <v>5701</v>
      </c>
      <c r="E2198" t="s">
        <v>588</v>
      </c>
      <c r="F2198" t="s">
        <v>10997</v>
      </c>
      <c r="G2198" t="s">
        <v>10996</v>
      </c>
      <c r="H2198" t="s">
        <v>607</v>
      </c>
      <c r="J2198" t="s">
        <v>4031</v>
      </c>
      <c r="L2198">
        <v>10</v>
      </c>
      <c r="M2198" s="134">
        <v>731000</v>
      </c>
      <c r="N2198" s="134">
        <v>1571650</v>
      </c>
      <c r="O2198" t="s">
        <v>7124</v>
      </c>
      <c r="P2198" t="s">
        <v>10995</v>
      </c>
      <c r="Q2198" t="s">
        <v>592</v>
      </c>
      <c r="R2198" t="s">
        <v>10994</v>
      </c>
      <c r="U2198" t="s">
        <v>1327</v>
      </c>
      <c r="X2198">
        <v>0</v>
      </c>
    </row>
    <row r="2199" spans="1:24" x14ac:dyDescent="0.25">
      <c r="A2199" s="234">
        <v>43334</v>
      </c>
      <c r="B2199" t="s">
        <v>328</v>
      </c>
      <c r="C2199" t="s">
        <v>603</v>
      </c>
      <c r="D2199" t="s">
        <v>7595</v>
      </c>
      <c r="E2199" t="s">
        <v>588</v>
      </c>
      <c r="F2199" t="s">
        <v>12259</v>
      </c>
      <c r="G2199" t="s">
        <v>8289</v>
      </c>
      <c r="H2199" t="s">
        <v>607</v>
      </c>
      <c r="I2199" t="s">
        <v>3408</v>
      </c>
      <c r="J2199" t="s">
        <v>3371</v>
      </c>
      <c r="L2199">
        <v>10</v>
      </c>
      <c r="M2199" s="134">
        <v>731530</v>
      </c>
      <c r="N2199" s="134">
        <v>1462943</v>
      </c>
      <c r="O2199" t="s">
        <v>10766</v>
      </c>
      <c r="P2199" t="s">
        <v>12260</v>
      </c>
      <c r="Q2199" t="s">
        <v>1939</v>
      </c>
      <c r="R2199" t="s">
        <v>12261</v>
      </c>
      <c r="U2199" t="s">
        <v>491</v>
      </c>
      <c r="X2199">
        <v>0</v>
      </c>
    </row>
    <row r="2200" spans="1:24" x14ac:dyDescent="0.25">
      <c r="A2200" s="234">
        <v>42558</v>
      </c>
      <c r="B2200" t="s">
        <v>328</v>
      </c>
      <c r="C2200" t="s">
        <v>603</v>
      </c>
      <c r="D2200" t="s">
        <v>1471</v>
      </c>
      <c r="E2200" t="s">
        <v>588</v>
      </c>
      <c r="F2200" t="s">
        <v>2791</v>
      </c>
      <c r="H2200" t="s">
        <v>607</v>
      </c>
      <c r="I2200" t="s">
        <v>2792</v>
      </c>
      <c r="M2200" s="134">
        <v>732000</v>
      </c>
      <c r="N2200" s="134">
        <v>1317600</v>
      </c>
      <c r="O2200" t="s">
        <v>2793</v>
      </c>
      <c r="P2200" t="s">
        <v>2790</v>
      </c>
      <c r="Q2200" t="s">
        <v>620</v>
      </c>
      <c r="U2200" t="s">
        <v>491</v>
      </c>
      <c r="X2200">
        <v>0</v>
      </c>
    </row>
    <row r="2201" spans="1:24" x14ac:dyDescent="0.25">
      <c r="A2201" s="234">
        <v>43128</v>
      </c>
      <c r="B2201" t="s">
        <v>328</v>
      </c>
      <c r="C2201" t="s">
        <v>603</v>
      </c>
      <c r="D2201" t="s">
        <v>10705</v>
      </c>
      <c r="F2201" t="s">
        <v>14179</v>
      </c>
      <c r="G2201" t="s">
        <v>14180</v>
      </c>
      <c r="H2201" t="s">
        <v>5321</v>
      </c>
      <c r="I2201" t="s">
        <v>14181</v>
      </c>
      <c r="J2201" t="s">
        <v>3523</v>
      </c>
      <c r="K2201" t="s">
        <v>14182</v>
      </c>
      <c r="L2201">
        <v>5</v>
      </c>
      <c r="M2201" s="134">
        <v>735000</v>
      </c>
      <c r="N2201" s="134">
        <v>1065750</v>
      </c>
      <c r="O2201" t="s">
        <v>10763</v>
      </c>
      <c r="P2201" t="s">
        <v>14183</v>
      </c>
      <c r="Q2201" t="s">
        <v>592</v>
      </c>
      <c r="R2201" t="s">
        <v>14257</v>
      </c>
      <c r="U2201" t="s">
        <v>12797</v>
      </c>
      <c r="X2201">
        <v>0</v>
      </c>
    </row>
    <row r="2202" spans="1:24" x14ac:dyDescent="0.25">
      <c r="A2202" s="234">
        <v>43362</v>
      </c>
      <c r="B2202" t="s">
        <v>328</v>
      </c>
      <c r="C2202" t="s">
        <v>603</v>
      </c>
      <c r="D2202" t="s">
        <v>672</v>
      </c>
      <c r="E2202" t="s">
        <v>588</v>
      </c>
      <c r="F2202" t="s">
        <v>10501</v>
      </c>
      <c r="G2202" t="s">
        <v>8941</v>
      </c>
      <c r="H2202" t="s">
        <v>607</v>
      </c>
      <c r="I2202" t="s">
        <v>4759</v>
      </c>
      <c r="J2202" t="s">
        <v>899</v>
      </c>
      <c r="L2202">
        <v>2</v>
      </c>
      <c r="M2202" s="134">
        <v>735000</v>
      </c>
      <c r="N2202" s="134">
        <v>1323000</v>
      </c>
      <c r="O2202" t="s">
        <v>10766</v>
      </c>
      <c r="P2202" t="s">
        <v>13392</v>
      </c>
      <c r="Q2202" t="s">
        <v>1939</v>
      </c>
      <c r="R2202" t="s">
        <v>12651</v>
      </c>
      <c r="U2202" t="s">
        <v>12344</v>
      </c>
      <c r="X2202">
        <v>0</v>
      </c>
    </row>
    <row r="2203" spans="1:24" x14ac:dyDescent="0.25">
      <c r="A2203" s="234">
        <v>42760</v>
      </c>
      <c r="B2203" t="s">
        <v>110</v>
      </c>
      <c r="D2203" t="s">
        <v>4782</v>
      </c>
      <c r="E2203" t="s">
        <v>588</v>
      </c>
      <c r="F2203" t="s">
        <v>5439</v>
      </c>
      <c r="H2203" t="s">
        <v>722</v>
      </c>
      <c r="I2203" t="s">
        <v>4736</v>
      </c>
      <c r="J2203" t="s">
        <v>761</v>
      </c>
      <c r="L2203" t="s">
        <v>5440</v>
      </c>
      <c r="M2203" s="134">
        <v>736200</v>
      </c>
      <c r="N2203" s="134">
        <v>1386200</v>
      </c>
      <c r="O2203" t="s">
        <v>560</v>
      </c>
      <c r="P2203" t="s">
        <v>5442</v>
      </c>
      <c r="Q2203" t="s">
        <v>1939</v>
      </c>
      <c r="R2203" t="s">
        <v>5441</v>
      </c>
      <c r="U2203" t="s">
        <v>491</v>
      </c>
      <c r="X2203">
        <v>0</v>
      </c>
    </row>
    <row r="2204" spans="1:24" x14ac:dyDescent="0.25">
      <c r="A2204" s="234">
        <v>43138</v>
      </c>
      <c r="B2204" t="s">
        <v>328</v>
      </c>
      <c r="C2204" t="s">
        <v>603</v>
      </c>
      <c r="D2204" t="s">
        <v>649</v>
      </c>
      <c r="E2204" t="s">
        <v>588</v>
      </c>
      <c r="F2204" t="s">
        <v>10248</v>
      </c>
      <c r="G2204" t="s">
        <v>7814</v>
      </c>
      <c r="H2204" t="s">
        <v>10832</v>
      </c>
      <c r="I2204" t="s">
        <v>5183</v>
      </c>
      <c r="J2204" t="s">
        <v>3612</v>
      </c>
      <c r="M2204" s="134">
        <v>738000</v>
      </c>
      <c r="N2204" s="134">
        <v>748000</v>
      </c>
      <c r="O2204" t="s">
        <v>4533</v>
      </c>
      <c r="P2204" t="s">
        <v>10249</v>
      </c>
      <c r="Q2204" t="s">
        <v>620</v>
      </c>
      <c r="R2204" t="s">
        <v>10250</v>
      </c>
      <c r="U2204" t="s">
        <v>491</v>
      </c>
      <c r="X2204">
        <v>0</v>
      </c>
    </row>
    <row r="2205" spans="1:24" x14ac:dyDescent="0.25">
      <c r="A2205" s="234">
        <v>42475</v>
      </c>
      <c r="B2205" t="s">
        <v>643</v>
      </c>
      <c r="C2205" t="s">
        <v>644</v>
      </c>
      <c r="D2205" t="s">
        <v>645</v>
      </c>
      <c r="E2205" t="s">
        <v>588</v>
      </c>
      <c r="F2205" t="s">
        <v>1683</v>
      </c>
      <c r="H2205" t="s">
        <v>905</v>
      </c>
      <c r="I2205" t="s">
        <v>1684</v>
      </c>
      <c r="M2205" s="134">
        <v>743000</v>
      </c>
      <c r="N2205" s="134">
        <v>793000</v>
      </c>
      <c r="O2205" t="s">
        <v>1685</v>
      </c>
      <c r="P2205" t="s">
        <v>1686</v>
      </c>
      <c r="Q2205" t="s">
        <v>592</v>
      </c>
      <c r="R2205" t="s">
        <v>1687</v>
      </c>
      <c r="U2205" t="s">
        <v>491</v>
      </c>
      <c r="X2205">
        <v>0</v>
      </c>
    </row>
    <row r="2206" spans="1:24" x14ac:dyDescent="0.25">
      <c r="A2206" s="234">
        <v>43487</v>
      </c>
      <c r="B2206" t="s">
        <v>250</v>
      </c>
      <c r="C2206" t="s">
        <v>3856</v>
      </c>
      <c r="D2206" t="s">
        <v>1006</v>
      </c>
      <c r="F2206" t="s">
        <v>14084</v>
      </c>
      <c r="G2206" t="s">
        <v>8383</v>
      </c>
      <c r="H2206" t="s">
        <v>607</v>
      </c>
      <c r="I2206" t="s">
        <v>7593</v>
      </c>
      <c r="J2206" t="s">
        <v>3426</v>
      </c>
      <c r="K2206" t="s">
        <v>14085</v>
      </c>
      <c r="L2206">
        <v>2</v>
      </c>
      <c r="M2206" s="134">
        <v>743000</v>
      </c>
      <c r="N2206" s="134">
        <v>965900</v>
      </c>
      <c r="O2206" t="s">
        <v>10766</v>
      </c>
      <c r="P2206" t="s">
        <v>14250</v>
      </c>
      <c r="Q2206" t="s">
        <v>592</v>
      </c>
      <c r="R2206" t="s">
        <v>14086</v>
      </c>
      <c r="U2206" t="s">
        <v>12797</v>
      </c>
      <c r="X2206">
        <v>0</v>
      </c>
    </row>
    <row r="2207" spans="1:24" x14ac:dyDescent="0.25">
      <c r="A2207" s="234">
        <v>43542</v>
      </c>
      <c r="B2207" t="s">
        <v>5956</v>
      </c>
      <c r="C2207" t="s">
        <v>3369</v>
      </c>
      <c r="D2207" t="s">
        <v>8126</v>
      </c>
      <c r="F2207" t="s">
        <v>8471</v>
      </c>
      <c r="G2207" t="s">
        <v>14734</v>
      </c>
      <c r="H2207" t="s">
        <v>607</v>
      </c>
      <c r="I2207" t="s">
        <v>8662</v>
      </c>
      <c r="J2207" t="s">
        <v>3369</v>
      </c>
      <c r="K2207" t="s">
        <v>14735</v>
      </c>
      <c r="M2207" s="134">
        <v>743000</v>
      </c>
      <c r="N2207" s="134">
        <v>1338000</v>
      </c>
      <c r="O2207" t="s">
        <v>4533</v>
      </c>
      <c r="P2207" t="s">
        <v>14835</v>
      </c>
      <c r="Q2207" t="s">
        <v>1939</v>
      </c>
      <c r="R2207" t="s">
        <v>14736</v>
      </c>
      <c r="U2207" t="s">
        <v>491</v>
      </c>
      <c r="X2207">
        <v>0</v>
      </c>
    </row>
    <row r="2208" spans="1:24" x14ac:dyDescent="0.25">
      <c r="A2208" s="234">
        <v>43203</v>
      </c>
      <c r="B2208" t="s">
        <v>569</v>
      </c>
      <c r="C2208" t="s">
        <v>899</v>
      </c>
      <c r="D2208" t="s">
        <v>624</v>
      </c>
      <c r="E2208" t="s">
        <v>588</v>
      </c>
      <c r="F2208" t="s">
        <v>10915</v>
      </c>
      <c r="G2208" t="s">
        <v>10916</v>
      </c>
      <c r="H2208" t="s">
        <v>607</v>
      </c>
      <c r="I2208" t="s">
        <v>10409</v>
      </c>
      <c r="J2208" t="s">
        <v>899</v>
      </c>
      <c r="M2208" s="134">
        <v>745000</v>
      </c>
      <c r="N2208" s="134">
        <v>0</v>
      </c>
      <c r="O2208" t="s">
        <v>10766</v>
      </c>
      <c r="P2208" t="s">
        <v>10917</v>
      </c>
      <c r="Q2208" t="s">
        <v>1939</v>
      </c>
      <c r="R2208" t="s">
        <v>10949</v>
      </c>
      <c r="U2208" t="s">
        <v>491</v>
      </c>
      <c r="X2208">
        <v>0</v>
      </c>
    </row>
    <row r="2209" spans="1:24" x14ac:dyDescent="0.25">
      <c r="A2209" s="234">
        <v>42807</v>
      </c>
      <c r="B2209" t="s">
        <v>328</v>
      </c>
      <c r="C2209" t="s">
        <v>603</v>
      </c>
      <c r="D2209" t="s">
        <v>649</v>
      </c>
      <c r="E2209" t="s">
        <v>588</v>
      </c>
      <c r="F2209" t="s">
        <v>5939</v>
      </c>
      <c r="H2209" t="s">
        <v>5640</v>
      </c>
      <c r="I2209" t="s">
        <v>5862</v>
      </c>
      <c r="J2209" t="s">
        <v>3751</v>
      </c>
      <c r="L2209">
        <v>2</v>
      </c>
      <c r="M2209" s="134">
        <v>745782</v>
      </c>
      <c r="N2209" s="134">
        <v>1550000</v>
      </c>
      <c r="O2209" t="s">
        <v>5940</v>
      </c>
      <c r="P2209" t="s">
        <v>5941</v>
      </c>
      <c r="Q2209" t="s">
        <v>29</v>
      </c>
      <c r="U2209" t="s">
        <v>491</v>
      </c>
      <c r="X2209">
        <v>1</v>
      </c>
    </row>
    <row r="2210" spans="1:24" x14ac:dyDescent="0.25">
      <c r="A2210" s="234">
        <v>42474</v>
      </c>
      <c r="B2210" t="s">
        <v>328</v>
      </c>
      <c r="C2210" t="s">
        <v>603</v>
      </c>
      <c r="D2210" t="s">
        <v>649</v>
      </c>
      <c r="E2210" t="s">
        <v>588</v>
      </c>
      <c r="F2210" t="s">
        <v>1661</v>
      </c>
      <c r="H2210" t="s">
        <v>607</v>
      </c>
      <c r="I2210" t="s">
        <v>1662</v>
      </c>
      <c r="M2210" s="134">
        <v>746000</v>
      </c>
      <c r="N2210" s="134">
        <v>2929000</v>
      </c>
      <c r="O2210" t="s">
        <v>969</v>
      </c>
      <c r="P2210" t="s">
        <v>1663</v>
      </c>
      <c r="Q2210" t="s">
        <v>592</v>
      </c>
      <c r="R2210" t="s">
        <v>1664</v>
      </c>
      <c r="U2210" t="s">
        <v>491</v>
      </c>
      <c r="X2210">
        <v>0</v>
      </c>
    </row>
    <row r="2211" spans="1:24" x14ac:dyDescent="0.25">
      <c r="A2211" s="234">
        <v>42830</v>
      </c>
      <c r="B2211" t="s">
        <v>569</v>
      </c>
      <c r="D2211" t="s">
        <v>930</v>
      </c>
      <c r="E2211" t="s">
        <v>588</v>
      </c>
      <c r="F2211" t="s">
        <v>6261</v>
      </c>
      <c r="H2211" t="s">
        <v>607</v>
      </c>
      <c r="I2211" t="s">
        <v>5677</v>
      </c>
      <c r="J2211" t="s">
        <v>899</v>
      </c>
      <c r="L2211">
        <v>3</v>
      </c>
      <c r="M2211" s="134">
        <v>747000</v>
      </c>
      <c r="N2211" s="134">
        <v>1200000</v>
      </c>
      <c r="O2211" t="s">
        <v>1171</v>
      </c>
      <c r="P2211" t="s">
        <v>6262</v>
      </c>
      <c r="Q2211" t="s">
        <v>1939</v>
      </c>
      <c r="R2211" t="s">
        <v>6263</v>
      </c>
      <c r="U2211" t="s">
        <v>491</v>
      </c>
      <c r="X2211">
        <v>0</v>
      </c>
    </row>
    <row r="2212" spans="1:24" x14ac:dyDescent="0.25">
      <c r="A2212" s="234">
        <v>42786</v>
      </c>
      <c r="B2212" t="s">
        <v>569</v>
      </c>
      <c r="D2212" t="s">
        <v>625</v>
      </c>
      <c r="E2212" t="s">
        <v>588</v>
      </c>
      <c r="F2212" t="s">
        <v>5729</v>
      </c>
      <c r="H2212" t="s">
        <v>905</v>
      </c>
      <c r="I2212" t="s">
        <v>2054</v>
      </c>
      <c r="J2212" t="s">
        <v>899</v>
      </c>
      <c r="M2212" s="134">
        <v>750000</v>
      </c>
      <c r="N2212" s="134">
        <v>0</v>
      </c>
      <c r="O2212" t="s">
        <v>1171</v>
      </c>
      <c r="P2212" t="s">
        <v>5730</v>
      </c>
      <c r="Q2212" t="s">
        <v>1939</v>
      </c>
      <c r="R2212" t="s">
        <v>9485</v>
      </c>
      <c r="U2212" t="s">
        <v>491</v>
      </c>
      <c r="X2212">
        <v>0</v>
      </c>
    </row>
    <row r="2213" spans="1:24" x14ac:dyDescent="0.25">
      <c r="A2213" s="234">
        <v>42887</v>
      </c>
      <c r="B2213" t="s">
        <v>569</v>
      </c>
      <c r="C2213" t="s">
        <v>899</v>
      </c>
      <c r="D2213" t="s">
        <v>930</v>
      </c>
      <c r="E2213" t="s">
        <v>588</v>
      </c>
      <c r="F2213" t="s">
        <v>7106</v>
      </c>
      <c r="H2213" t="s">
        <v>607</v>
      </c>
      <c r="I2213" t="s">
        <v>2054</v>
      </c>
      <c r="J2213" t="s">
        <v>899</v>
      </c>
      <c r="L2213">
        <v>2</v>
      </c>
      <c r="M2213" s="134">
        <v>750000</v>
      </c>
      <c r="N2213" s="134">
        <v>0</v>
      </c>
      <c r="O2213" t="s">
        <v>695</v>
      </c>
      <c r="P2213" t="s">
        <v>7107</v>
      </c>
      <c r="Q2213" t="s">
        <v>592</v>
      </c>
      <c r="R2213" t="s">
        <v>7108</v>
      </c>
      <c r="U2213" t="s">
        <v>1327</v>
      </c>
      <c r="X2213">
        <v>0</v>
      </c>
    </row>
    <row r="2214" spans="1:24" x14ac:dyDescent="0.25">
      <c r="A2214" s="234">
        <v>42906</v>
      </c>
      <c r="B2214" t="s">
        <v>328</v>
      </c>
      <c r="C2214" t="s">
        <v>603</v>
      </c>
      <c r="D2214" t="s">
        <v>2397</v>
      </c>
      <c r="E2214" t="s">
        <v>588</v>
      </c>
      <c r="F2214" t="s">
        <v>7294</v>
      </c>
      <c r="H2214" t="s">
        <v>886</v>
      </c>
      <c r="I2214" t="s">
        <v>7295</v>
      </c>
      <c r="J2214" t="s">
        <v>3369</v>
      </c>
      <c r="L2214">
        <v>4</v>
      </c>
      <c r="M2214" s="134">
        <v>750000</v>
      </c>
      <c r="N2214" s="134">
        <v>0</v>
      </c>
      <c r="O2214" t="s">
        <v>6526</v>
      </c>
      <c r="P2214" t="s">
        <v>7296</v>
      </c>
      <c r="Q2214" t="s">
        <v>1939</v>
      </c>
      <c r="R2214" t="s">
        <v>7297</v>
      </c>
      <c r="U2214" t="s">
        <v>491</v>
      </c>
      <c r="X2214">
        <v>0</v>
      </c>
    </row>
    <row r="2215" spans="1:24" x14ac:dyDescent="0.25">
      <c r="A2215" s="234">
        <v>42949</v>
      </c>
      <c r="B2215" t="s">
        <v>569</v>
      </c>
      <c r="D2215" t="s">
        <v>930</v>
      </c>
      <c r="E2215" t="s">
        <v>821</v>
      </c>
      <c r="F2215" t="s">
        <v>7957</v>
      </c>
      <c r="H2215" t="s">
        <v>905</v>
      </c>
      <c r="M2215" s="134">
        <v>750000</v>
      </c>
      <c r="N2215" s="134">
        <v>0</v>
      </c>
      <c r="O2215" t="s">
        <v>639</v>
      </c>
      <c r="P2215" t="s">
        <v>8401</v>
      </c>
      <c r="Q2215" t="s">
        <v>592</v>
      </c>
      <c r="T2215">
        <v>10</v>
      </c>
      <c r="U2215" t="s">
        <v>491</v>
      </c>
      <c r="X2215">
        <v>0</v>
      </c>
    </row>
    <row r="2216" spans="1:24" x14ac:dyDescent="0.25">
      <c r="A2216" s="234">
        <v>43157</v>
      </c>
      <c r="B2216" t="s">
        <v>9240</v>
      </c>
      <c r="C2216" t="s">
        <v>603</v>
      </c>
      <c r="D2216" t="s">
        <v>7814</v>
      </c>
      <c r="E2216" t="s">
        <v>588</v>
      </c>
      <c r="F2216" t="s">
        <v>8049</v>
      </c>
      <c r="G2216" t="s">
        <v>10411</v>
      </c>
      <c r="H2216" t="s">
        <v>607</v>
      </c>
      <c r="I2216" t="s">
        <v>6992</v>
      </c>
      <c r="J2216" t="s">
        <v>603</v>
      </c>
      <c r="M2216" s="134">
        <v>750000</v>
      </c>
      <c r="N2216" s="134">
        <v>750000</v>
      </c>
      <c r="O2216" t="s">
        <v>10762</v>
      </c>
      <c r="P2216" t="s">
        <v>10412</v>
      </c>
      <c r="Q2216" t="s">
        <v>620</v>
      </c>
      <c r="R2216" t="s">
        <v>10444</v>
      </c>
      <c r="U2216" t="s">
        <v>1327</v>
      </c>
      <c r="X2216">
        <v>0</v>
      </c>
    </row>
    <row r="2217" spans="1:24" x14ac:dyDescent="0.25">
      <c r="A2217" s="234">
        <v>43396</v>
      </c>
      <c r="B2217" t="s">
        <v>328</v>
      </c>
      <c r="C2217" t="s">
        <v>603</v>
      </c>
      <c r="D2217" t="s">
        <v>8941</v>
      </c>
      <c r="F2217" t="s">
        <v>12993</v>
      </c>
      <c r="G2217" t="s">
        <v>8941</v>
      </c>
      <c r="H2217" t="s">
        <v>1050</v>
      </c>
      <c r="I2217" t="s">
        <v>12994</v>
      </c>
      <c r="J2217" t="s">
        <v>603</v>
      </c>
      <c r="K2217">
        <v>49101</v>
      </c>
      <c r="L2217">
        <v>5</v>
      </c>
      <c r="M2217" s="134">
        <v>750000</v>
      </c>
      <c r="N2217" s="134">
        <v>750000</v>
      </c>
      <c r="O2217" t="s">
        <v>10763</v>
      </c>
      <c r="P2217" t="s">
        <v>13417</v>
      </c>
      <c r="Q2217" t="s">
        <v>1939</v>
      </c>
      <c r="R2217" t="s">
        <v>13418</v>
      </c>
      <c r="U2217" t="s">
        <v>12344</v>
      </c>
      <c r="X2217">
        <v>0</v>
      </c>
    </row>
    <row r="2218" spans="1:24" x14ac:dyDescent="0.25">
      <c r="A2218" s="234">
        <v>43398</v>
      </c>
      <c r="B2218" t="s">
        <v>328</v>
      </c>
      <c r="C2218" t="s">
        <v>603</v>
      </c>
      <c r="D2218" t="s">
        <v>10338</v>
      </c>
      <c r="F2218" t="s">
        <v>13052</v>
      </c>
      <c r="H2218" t="s">
        <v>3987</v>
      </c>
      <c r="I2218" t="s">
        <v>13053</v>
      </c>
      <c r="J2218" t="s">
        <v>3733</v>
      </c>
      <c r="K2218">
        <v>78940</v>
      </c>
      <c r="L2218">
        <v>9</v>
      </c>
      <c r="M2218" s="134">
        <v>750000</v>
      </c>
      <c r="N2218" s="134">
        <v>750000</v>
      </c>
      <c r="O2218" t="s">
        <v>7124</v>
      </c>
      <c r="P2218" t="s">
        <v>13423</v>
      </c>
      <c r="Q2218" t="s">
        <v>1612</v>
      </c>
      <c r="R2218" t="s">
        <v>13054</v>
      </c>
      <c r="U2218" t="s">
        <v>12344</v>
      </c>
      <c r="X2218">
        <v>0</v>
      </c>
    </row>
    <row r="2219" spans="1:24" x14ac:dyDescent="0.25">
      <c r="A2219" s="234">
        <v>42662</v>
      </c>
      <c r="B2219" t="s">
        <v>1486</v>
      </c>
      <c r="C2219" t="s">
        <v>1883</v>
      </c>
      <c r="D2219" t="s">
        <v>732</v>
      </c>
      <c r="E2219" t="s">
        <v>588</v>
      </c>
      <c r="F2219" t="s">
        <v>4402</v>
      </c>
      <c r="H2219" t="s">
        <v>886</v>
      </c>
      <c r="I2219" t="s">
        <v>4403</v>
      </c>
      <c r="J2219" t="s">
        <v>959</v>
      </c>
      <c r="M2219" s="134">
        <v>750000</v>
      </c>
      <c r="N2219" s="134">
        <v>800000</v>
      </c>
      <c r="O2219" t="s">
        <v>4404</v>
      </c>
      <c r="P2219" t="s">
        <v>4405</v>
      </c>
      <c r="Q2219" t="s">
        <v>29</v>
      </c>
      <c r="R2219" t="s">
        <v>4406</v>
      </c>
      <c r="U2219" t="s">
        <v>491</v>
      </c>
      <c r="X2219">
        <v>1</v>
      </c>
    </row>
    <row r="2220" spans="1:24" x14ac:dyDescent="0.25">
      <c r="A2220" s="234">
        <v>42878</v>
      </c>
      <c r="B2220" t="s">
        <v>569</v>
      </c>
      <c r="C2220" t="s">
        <v>899</v>
      </c>
      <c r="D2220" t="s">
        <v>930</v>
      </c>
      <c r="E2220" t="s">
        <v>821</v>
      </c>
      <c r="F2220" t="s">
        <v>6888</v>
      </c>
      <c r="H2220" t="s">
        <v>2206</v>
      </c>
      <c r="I2220" t="s">
        <v>6889</v>
      </c>
      <c r="J2220" t="s">
        <v>899</v>
      </c>
      <c r="L2220">
        <v>4</v>
      </c>
      <c r="M2220" s="134">
        <v>750000</v>
      </c>
      <c r="N2220" s="134">
        <v>835000</v>
      </c>
      <c r="O2220" t="s">
        <v>6875</v>
      </c>
      <c r="P2220" t="s">
        <v>6884</v>
      </c>
      <c r="Q2220" t="s">
        <v>1939</v>
      </c>
      <c r="R2220" t="s">
        <v>6885</v>
      </c>
      <c r="U2220" t="s">
        <v>1327</v>
      </c>
      <c r="X2220">
        <v>0</v>
      </c>
    </row>
    <row r="2221" spans="1:24" x14ac:dyDescent="0.25">
      <c r="A2221" s="234">
        <v>42795</v>
      </c>
      <c r="B2221" t="s">
        <v>328</v>
      </c>
      <c r="C2221" t="s">
        <v>603</v>
      </c>
      <c r="D2221" t="s">
        <v>2397</v>
      </c>
      <c r="E2221" t="s">
        <v>588</v>
      </c>
      <c r="F2221" t="s">
        <v>5832</v>
      </c>
      <c r="H2221" t="s">
        <v>905</v>
      </c>
      <c r="I2221" t="s">
        <v>5833</v>
      </c>
      <c r="J2221" t="s">
        <v>604</v>
      </c>
      <c r="L2221">
        <v>4</v>
      </c>
      <c r="M2221" s="134">
        <v>750000</v>
      </c>
      <c r="N2221" s="134">
        <v>837500</v>
      </c>
      <c r="O2221" t="s">
        <v>5834</v>
      </c>
      <c r="P2221" t="s">
        <v>5835</v>
      </c>
      <c r="Q2221" t="s">
        <v>1939</v>
      </c>
      <c r="R2221" t="s">
        <v>5836</v>
      </c>
      <c r="U2221" t="s">
        <v>491</v>
      </c>
      <c r="X2221">
        <v>0</v>
      </c>
    </row>
    <row r="2222" spans="1:24" x14ac:dyDescent="0.25">
      <c r="A2222" s="234">
        <v>43200</v>
      </c>
      <c r="B2222" t="s">
        <v>569</v>
      </c>
      <c r="C2222" t="s">
        <v>899</v>
      </c>
      <c r="D2222" t="s">
        <v>625</v>
      </c>
      <c r="E2222" t="s">
        <v>588</v>
      </c>
      <c r="F2222" t="s">
        <v>10886</v>
      </c>
      <c r="G2222" t="s">
        <v>10887</v>
      </c>
      <c r="H2222" t="s">
        <v>809</v>
      </c>
      <c r="I2222" t="s">
        <v>10888</v>
      </c>
      <c r="J2222" t="s">
        <v>899</v>
      </c>
      <c r="L2222">
        <v>4</v>
      </c>
      <c r="M2222" s="134">
        <v>750000</v>
      </c>
      <c r="N2222" s="134">
        <v>850000</v>
      </c>
      <c r="O2222" t="s">
        <v>10766</v>
      </c>
      <c r="P2222" t="s">
        <v>11142</v>
      </c>
      <c r="Q2222" t="s">
        <v>592</v>
      </c>
      <c r="R2222" t="s">
        <v>10889</v>
      </c>
      <c r="U2222" t="s">
        <v>1327</v>
      </c>
      <c r="X2222">
        <v>0</v>
      </c>
    </row>
    <row r="2223" spans="1:24" x14ac:dyDescent="0.25">
      <c r="A2223" s="234">
        <v>43209</v>
      </c>
      <c r="B2223" t="s">
        <v>569</v>
      </c>
      <c r="C2223" t="s">
        <v>899</v>
      </c>
      <c r="D2223" t="s">
        <v>625</v>
      </c>
      <c r="E2223" t="s">
        <v>588</v>
      </c>
      <c r="F2223" t="s">
        <v>10998</v>
      </c>
      <c r="G2223" t="s">
        <v>10999</v>
      </c>
      <c r="H2223" t="s">
        <v>607</v>
      </c>
      <c r="I2223" t="s">
        <v>3649</v>
      </c>
      <c r="J2223" t="s">
        <v>899</v>
      </c>
      <c r="M2223" s="134">
        <v>750000</v>
      </c>
      <c r="N2223" s="134">
        <v>950000</v>
      </c>
      <c r="O2223" t="s">
        <v>560</v>
      </c>
      <c r="P2223" t="s">
        <v>11001</v>
      </c>
      <c r="Q2223" t="s">
        <v>592</v>
      </c>
      <c r="R2223" t="s">
        <v>11000</v>
      </c>
      <c r="U2223" t="s">
        <v>1327</v>
      </c>
      <c r="X2223">
        <v>0</v>
      </c>
    </row>
    <row r="2224" spans="1:24" x14ac:dyDescent="0.25">
      <c r="A2224" s="234">
        <v>43019</v>
      </c>
      <c r="B2224" t="s">
        <v>328</v>
      </c>
      <c r="C2224" t="s">
        <v>603</v>
      </c>
      <c r="D2224" t="s">
        <v>2397</v>
      </c>
      <c r="E2224" t="s">
        <v>588</v>
      </c>
      <c r="F2224" t="s">
        <v>8962</v>
      </c>
      <c r="H2224" t="s">
        <v>607</v>
      </c>
      <c r="I2224" t="s">
        <v>5967</v>
      </c>
      <c r="J2224" t="s">
        <v>602</v>
      </c>
      <c r="L2224">
        <v>3</v>
      </c>
      <c r="M2224" s="134">
        <v>750000</v>
      </c>
      <c r="N2224" s="134">
        <v>1020000</v>
      </c>
      <c r="O2224" t="s">
        <v>8963</v>
      </c>
      <c r="P2224" t="s">
        <v>8964</v>
      </c>
      <c r="Q2224" t="s">
        <v>592</v>
      </c>
      <c r="R2224" t="s">
        <v>8965</v>
      </c>
      <c r="U2224" t="s">
        <v>491</v>
      </c>
      <c r="X2224">
        <v>0</v>
      </c>
    </row>
    <row r="2225" spans="1:24" x14ac:dyDescent="0.25">
      <c r="A2225" s="234">
        <v>43433</v>
      </c>
      <c r="B2225" t="s">
        <v>328</v>
      </c>
      <c r="C2225" t="s">
        <v>603</v>
      </c>
      <c r="D2225" t="s">
        <v>5701</v>
      </c>
      <c r="F2225" t="s">
        <v>9243</v>
      </c>
      <c r="G2225" t="s">
        <v>13341</v>
      </c>
      <c r="H2225" t="s">
        <v>607</v>
      </c>
      <c r="I2225" t="s">
        <v>11126</v>
      </c>
      <c r="J2225" t="s">
        <v>3533</v>
      </c>
      <c r="K2225" t="s">
        <v>13342</v>
      </c>
      <c r="L2225">
        <v>10</v>
      </c>
      <c r="M2225" s="134">
        <v>750000</v>
      </c>
      <c r="N2225" s="134">
        <v>1060000</v>
      </c>
      <c r="O2225" t="s">
        <v>10763</v>
      </c>
      <c r="P2225" t="s">
        <v>13343</v>
      </c>
      <c r="Q2225" t="s">
        <v>29</v>
      </c>
      <c r="R2225" t="s">
        <v>13344</v>
      </c>
      <c r="S2225" t="s">
        <v>13345</v>
      </c>
      <c r="U2225" t="s">
        <v>491</v>
      </c>
      <c r="X2225">
        <v>1</v>
      </c>
    </row>
    <row r="2226" spans="1:24" x14ac:dyDescent="0.25">
      <c r="A2226" s="234">
        <v>43315</v>
      </c>
      <c r="B2226" t="s">
        <v>643</v>
      </c>
      <c r="C2226" t="s">
        <v>644</v>
      </c>
      <c r="D2226" t="s">
        <v>645</v>
      </c>
      <c r="E2226" t="s">
        <v>588</v>
      </c>
      <c r="F2226" t="s">
        <v>12038</v>
      </c>
      <c r="G2226" t="s">
        <v>12039</v>
      </c>
      <c r="H2226" t="s">
        <v>886</v>
      </c>
      <c r="I2226" t="s">
        <v>4412</v>
      </c>
      <c r="J2226" t="s">
        <v>899</v>
      </c>
      <c r="L2226">
        <v>2</v>
      </c>
      <c r="M2226" s="134">
        <v>750000</v>
      </c>
      <c r="N2226" s="134">
        <v>1168000</v>
      </c>
      <c r="O2226" t="s">
        <v>2295</v>
      </c>
      <c r="P2226" t="s">
        <v>12040</v>
      </c>
      <c r="Q2226" t="s">
        <v>1939</v>
      </c>
      <c r="R2226" t="s">
        <v>12041</v>
      </c>
      <c r="U2226" t="s">
        <v>491</v>
      </c>
      <c r="X2226">
        <v>0</v>
      </c>
    </row>
    <row r="2227" spans="1:24" x14ac:dyDescent="0.25">
      <c r="A2227" s="234">
        <v>43578</v>
      </c>
      <c r="B2227" t="s">
        <v>328</v>
      </c>
      <c r="C2227" t="s">
        <v>603</v>
      </c>
      <c r="D2227" t="s">
        <v>10338</v>
      </c>
      <c r="F2227" t="s">
        <v>10069</v>
      </c>
      <c r="G2227" t="s">
        <v>7830</v>
      </c>
      <c r="H2227" t="s">
        <v>607</v>
      </c>
      <c r="I2227" t="s">
        <v>15188</v>
      </c>
      <c r="J2227" t="s">
        <v>644</v>
      </c>
      <c r="K2227" t="s">
        <v>15189</v>
      </c>
      <c r="L2227">
        <v>2</v>
      </c>
      <c r="M2227" s="134">
        <v>750000</v>
      </c>
      <c r="N2227" s="134">
        <v>1275000</v>
      </c>
      <c r="O2227" t="s">
        <v>6745</v>
      </c>
      <c r="P2227" t="s">
        <v>15190</v>
      </c>
      <c r="Q2227" t="s">
        <v>29</v>
      </c>
      <c r="R2227" t="s">
        <v>15192</v>
      </c>
      <c r="S2227" t="s">
        <v>15191</v>
      </c>
      <c r="U2227" t="s">
        <v>491</v>
      </c>
      <c r="X2227">
        <v>1</v>
      </c>
    </row>
    <row r="2228" spans="1:24" x14ac:dyDescent="0.25">
      <c r="A2228" s="234">
        <v>43313</v>
      </c>
      <c r="B2228" t="s">
        <v>328</v>
      </c>
      <c r="C2228" t="s">
        <v>603</v>
      </c>
      <c r="D2228" t="s">
        <v>7595</v>
      </c>
      <c r="E2228" t="s">
        <v>588</v>
      </c>
      <c r="F2228" t="s">
        <v>11987</v>
      </c>
      <c r="G2228" t="s">
        <v>11986</v>
      </c>
      <c r="H2228" t="s">
        <v>607</v>
      </c>
      <c r="I2228" t="s">
        <v>11985</v>
      </c>
      <c r="J2228" t="s">
        <v>6015</v>
      </c>
      <c r="L2228">
        <v>10</v>
      </c>
      <c r="M2228" s="134">
        <v>750000</v>
      </c>
      <c r="N2228" s="134">
        <v>1275000</v>
      </c>
      <c r="O2228" t="s">
        <v>7124</v>
      </c>
      <c r="P2228" t="s">
        <v>12045</v>
      </c>
      <c r="Q2228" t="s">
        <v>1939</v>
      </c>
      <c r="R2228" t="s">
        <v>12046</v>
      </c>
      <c r="S2228" t="s">
        <v>833</v>
      </c>
      <c r="U2228" t="s">
        <v>491</v>
      </c>
      <c r="X2228">
        <v>0</v>
      </c>
    </row>
    <row r="2229" spans="1:24" x14ac:dyDescent="0.25">
      <c r="A2229" s="234">
        <v>42571</v>
      </c>
      <c r="B2229" t="s">
        <v>328</v>
      </c>
      <c r="C2229" t="s">
        <v>603</v>
      </c>
      <c r="D2229" t="s">
        <v>1471</v>
      </c>
      <c r="E2229" t="s">
        <v>588</v>
      </c>
      <c r="F2229" t="s">
        <v>2956</v>
      </c>
      <c r="H2229" t="s">
        <v>607</v>
      </c>
      <c r="I2229" t="s">
        <v>2957</v>
      </c>
      <c r="M2229" s="134">
        <v>750000</v>
      </c>
      <c r="N2229" s="134">
        <v>1275000</v>
      </c>
      <c r="O2229" t="s">
        <v>695</v>
      </c>
      <c r="P2229" t="s">
        <v>2958</v>
      </c>
      <c r="Q2229" t="s">
        <v>592</v>
      </c>
      <c r="R2229" t="s">
        <v>2959</v>
      </c>
      <c r="U2229" t="s">
        <v>491</v>
      </c>
      <c r="X2229">
        <v>0</v>
      </c>
    </row>
    <row r="2230" spans="1:24" x14ac:dyDescent="0.25">
      <c r="A2230" s="234">
        <v>42738</v>
      </c>
      <c r="B2230" t="s">
        <v>328</v>
      </c>
      <c r="C2230" t="s">
        <v>603</v>
      </c>
      <c r="D2230" t="s">
        <v>2397</v>
      </c>
      <c r="E2230" t="s">
        <v>588</v>
      </c>
      <c r="F2230" t="s">
        <v>5172</v>
      </c>
      <c r="H2230" t="s">
        <v>607</v>
      </c>
      <c r="I2230" t="s">
        <v>3837</v>
      </c>
      <c r="J2230" t="s">
        <v>899</v>
      </c>
      <c r="L2230">
        <v>4</v>
      </c>
      <c r="M2230" s="134">
        <v>750000</v>
      </c>
      <c r="N2230" s="134">
        <v>1425000</v>
      </c>
      <c r="O2230" t="s">
        <v>695</v>
      </c>
      <c r="P2230" t="s">
        <v>5173</v>
      </c>
      <c r="Q2230" t="s">
        <v>1939</v>
      </c>
      <c r="R2230" t="s">
        <v>5174</v>
      </c>
      <c r="U2230" t="s">
        <v>491</v>
      </c>
      <c r="X2230">
        <v>0</v>
      </c>
    </row>
    <row r="2231" spans="1:24" x14ac:dyDescent="0.25">
      <c r="A2231" s="234">
        <v>42893</v>
      </c>
      <c r="B2231" t="s">
        <v>328</v>
      </c>
      <c r="C2231" t="s">
        <v>603</v>
      </c>
      <c r="D2231" t="s">
        <v>2397</v>
      </c>
      <c r="E2231" t="s">
        <v>588</v>
      </c>
      <c r="F2231" t="s">
        <v>7096</v>
      </c>
      <c r="H2231" t="s">
        <v>607</v>
      </c>
      <c r="I2231" t="s">
        <v>7097</v>
      </c>
      <c r="J2231" t="s">
        <v>3733</v>
      </c>
      <c r="L2231">
        <v>2</v>
      </c>
      <c r="M2231" s="134">
        <v>750000</v>
      </c>
      <c r="N2231" s="134">
        <v>1462500</v>
      </c>
      <c r="O2231" t="s">
        <v>695</v>
      </c>
      <c r="P2231" t="s">
        <v>7098</v>
      </c>
      <c r="Q2231" t="s">
        <v>592</v>
      </c>
      <c r="U2231" t="s">
        <v>491</v>
      </c>
      <c r="X2231">
        <v>0</v>
      </c>
    </row>
    <row r="2232" spans="1:24" x14ac:dyDescent="0.25">
      <c r="A2232" s="234">
        <v>43251</v>
      </c>
      <c r="B2232" t="s">
        <v>643</v>
      </c>
      <c r="C2232" t="s">
        <v>644</v>
      </c>
      <c r="D2232" t="s">
        <v>645</v>
      </c>
      <c r="E2232" t="s">
        <v>588</v>
      </c>
      <c r="F2232" t="s">
        <v>11382</v>
      </c>
      <c r="G2232" t="s">
        <v>11383</v>
      </c>
      <c r="H2232" t="s">
        <v>607</v>
      </c>
      <c r="I2232" t="s">
        <v>5195</v>
      </c>
      <c r="J2232" t="s">
        <v>644</v>
      </c>
      <c r="L2232">
        <v>3</v>
      </c>
      <c r="M2232" s="134">
        <v>750000</v>
      </c>
      <c r="N2232" s="134">
        <v>1500000</v>
      </c>
      <c r="O2232" t="s">
        <v>4533</v>
      </c>
      <c r="P2232" t="s">
        <v>11385</v>
      </c>
      <c r="Q2232" t="s">
        <v>1939</v>
      </c>
      <c r="R2232" t="s">
        <v>11384</v>
      </c>
      <c r="U2232" t="s">
        <v>1327</v>
      </c>
      <c r="X2232">
        <v>0</v>
      </c>
    </row>
    <row r="2233" spans="1:24" x14ac:dyDescent="0.25">
      <c r="A2233" s="234">
        <v>42747</v>
      </c>
      <c r="B2233" t="s">
        <v>328</v>
      </c>
      <c r="C2233" t="s">
        <v>603</v>
      </c>
      <c r="D2233" t="s">
        <v>587</v>
      </c>
      <c r="E2233" t="s">
        <v>692</v>
      </c>
      <c r="F2233" t="s">
        <v>5300</v>
      </c>
      <c r="H2233" t="s">
        <v>607</v>
      </c>
      <c r="I2233" t="s">
        <v>5301</v>
      </c>
      <c r="J2233" t="s">
        <v>3733</v>
      </c>
      <c r="L2233" t="s">
        <v>5302</v>
      </c>
      <c r="M2233" s="134">
        <v>750000</v>
      </c>
      <c r="N2233" s="134">
        <v>1500000</v>
      </c>
      <c r="O2233" t="s">
        <v>5304</v>
      </c>
      <c r="P2233" t="s">
        <v>5303</v>
      </c>
      <c r="Q2233" t="s">
        <v>1939</v>
      </c>
      <c r="R2233" t="s">
        <v>5305</v>
      </c>
      <c r="S2233" t="s">
        <v>9780</v>
      </c>
      <c r="U2233" t="s">
        <v>491</v>
      </c>
      <c r="X2233">
        <v>0</v>
      </c>
    </row>
    <row r="2234" spans="1:24" x14ac:dyDescent="0.25">
      <c r="A2234" s="234">
        <v>42669</v>
      </c>
      <c r="B2234" t="s">
        <v>378</v>
      </c>
      <c r="C2234" t="s">
        <v>623</v>
      </c>
      <c r="D2234" t="s">
        <v>930</v>
      </c>
      <c r="E2234" t="s">
        <v>588</v>
      </c>
      <c r="F2234" t="s">
        <v>4488</v>
      </c>
      <c r="H2234" t="s">
        <v>607</v>
      </c>
      <c r="I2234" t="s">
        <v>2054</v>
      </c>
      <c r="J2234" t="s">
        <v>899</v>
      </c>
      <c r="L2234">
        <v>2</v>
      </c>
      <c r="M2234" s="134">
        <v>750000</v>
      </c>
      <c r="N2234" s="134">
        <v>1500000</v>
      </c>
      <c r="O2234" t="s">
        <v>695</v>
      </c>
      <c r="P2234" t="s">
        <v>4489</v>
      </c>
      <c r="Q2234" t="s">
        <v>592</v>
      </c>
      <c r="U2234" t="s">
        <v>491</v>
      </c>
      <c r="X2234">
        <v>0</v>
      </c>
    </row>
    <row r="2235" spans="1:24" x14ac:dyDescent="0.25">
      <c r="A2235" s="234">
        <v>42710</v>
      </c>
      <c r="B2235" t="s">
        <v>378</v>
      </c>
      <c r="C2235" t="s">
        <v>623</v>
      </c>
      <c r="D2235" t="s">
        <v>625</v>
      </c>
      <c r="E2235" t="s">
        <v>588</v>
      </c>
      <c r="F2235" t="s">
        <v>4928</v>
      </c>
      <c r="H2235" t="s">
        <v>607</v>
      </c>
      <c r="I2235" t="s">
        <v>3649</v>
      </c>
      <c r="J2235" t="s">
        <v>899</v>
      </c>
      <c r="L2235">
        <v>4</v>
      </c>
      <c r="M2235" s="134">
        <v>750000</v>
      </c>
      <c r="N2235" s="134">
        <v>1505000</v>
      </c>
      <c r="O2235" t="s">
        <v>4929</v>
      </c>
      <c r="P2235" t="s">
        <v>4930</v>
      </c>
      <c r="Q2235" t="s">
        <v>1939</v>
      </c>
      <c r="R2235" t="s">
        <v>4117</v>
      </c>
      <c r="U2235" t="s">
        <v>491</v>
      </c>
      <c r="X2235">
        <v>0</v>
      </c>
    </row>
    <row r="2236" spans="1:24" x14ac:dyDescent="0.25">
      <c r="A2236" s="234">
        <v>43364</v>
      </c>
      <c r="B2236" t="s">
        <v>328</v>
      </c>
      <c r="C2236" t="s">
        <v>603</v>
      </c>
      <c r="E2236" t="s">
        <v>588</v>
      </c>
      <c r="F2236" t="s">
        <v>11269</v>
      </c>
      <c r="G2236" t="s">
        <v>757</v>
      </c>
      <c r="H2236" t="s">
        <v>607</v>
      </c>
      <c r="I2236" t="s">
        <v>12584</v>
      </c>
      <c r="J2236" t="s">
        <v>899</v>
      </c>
      <c r="M2236" s="134">
        <v>750000</v>
      </c>
      <c r="N2236" s="134">
        <v>1575000</v>
      </c>
      <c r="O2236" t="s">
        <v>10763</v>
      </c>
      <c r="P2236" t="s">
        <v>12688</v>
      </c>
      <c r="Q2236" t="s">
        <v>592</v>
      </c>
      <c r="R2236" t="s">
        <v>12689</v>
      </c>
      <c r="U2236" t="s">
        <v>12344</v>
      </c>
      <c r="X2236">
        <v>0</v>
      </c>
    </row>
    <row r="2237" spans="1:24" x14ac:dyDescent="0.25">
      <c r="A2237" s="234">
        <v>42759</v>
      </c>
      <c r="B2237" t="s">
        <v>328</v>
      </c>
      <c r="C2237" t="s">
        <v>603</v>
      </c>
      <c r="D2237" t="s">
        <v>2397</v>
      </c>
      <c r="E2237" t="s">
        <v>588</v>
      </c>
      <c r="F2237" t="s">
        <v>5427</v>
      </c>
      <c r="H2237" t="s">
        <v>1391</v>
      </c>
      <c r="I2237" t="s">
        <v>3649</v>
      </c>
      <c r="J2237" t="s">
        <v>899</v>
      </c>
      <c r="L2237" t="s">
        <v>5280</v>
      </c>
      <c r="M2237" s="134">
        <v>750000</v>
      </c>
      <c r="N2237" s="134">
        <v>1575000</v>
      </c>
      <c r="O2237" t="s">
        <v>695</v>
      </c>
      <c r="P2237" t="s">
        <v>5428</v>
      </c>
      <c r="Q2237" t="s">
        <v>1939</v>
      </c>
      <c r="R2237" t="s">
        <v>5429</v>
      </c>
      <c r="U2237" t="s">
        <v>491</v>
      </c>
      <c r="X2237">
        <v>0</v>
      </c>
    </row>
    <row r="2238" spans="1:24" x14ac:dyDescent="0.25">
      <c r="A2238" s="234">
        <v>42902</v>
      </c>
      <c r="B2238" t="s">
        <v>569</v>
      </c>
      <c r="D2238" t="s">
        <v>625</v>
      </c>
      <c r="E2238" t="s">
        <v>588</v>
      </c>
      <c r="F2238" t="s">
        <v>7214</v>
      </c>
      <c r="H2238" t="s">
        <v>607</v>
      </c>
      <c r="I2238" t="s">
        <v>7533</v>
      </c>
      <c r="J2238" t="s">
        <v>899</v>
      </c>
      <c r="M2238" s="134">
        <v>750000</v>
      </c>
      <c r="N2238" s="134">
        <v>1762500</v>
      </c>
      <c r="O2238" t="s">
        <v>7215</v>
      </c>
      <c r="P2238" t="s">
        <v>7534</v>
      </c>
      <c r="Q2238" t="s">
        <v>1939</v>
      </c>
      <c r="R2238" t="s">
        <v>7216</v>
      </c>
      <c r="S2238" t="s">
        <v>7217</v>
      </c>
      <c r="U2238" t="s">
        <v>491</v>
      </c>
      <c r="X2238">
        <v>0</v>
      </c>
    </row>
    <row r="2239" spans="1:24" x14ac:dyDescent="0.25">
      <c r="A2239" s="234">
        <v>43175</v>
      </c>
      <c r="B2239" t="s">
        <v>569</v>
      </c>
      <c r="C2239" t="s">
        <v>899</v>
      </c>
      <c r="D2239" t="s">
        <v>625</v>
      </c>
      <c r="E2239" t="s">
        <v>588</v>
      </c>
      <c r="F2239" t="s">
        <v>10618</v>
      </c>
      <c r="G2239" t="s">
        <v>10619</v>
      </c>
      <c r="H2239" t="s">
        <v>10831</v>
      </c>
      <c r="I2239" t="s">
        <v>6383</v>
      </c>
      <c r="J2239" t="s">
        <v>899</v>
      </c>
      <c r="L2239">
        <v>3</v>
      </c>
      <c r="M2239" s="134">
        <v>750000</v>
      </c>
      <c r="N2239" s="134">
        <v>1800000</v>
      </c>
      <c r="O2239" t="s">
        <v>10763</v>
      </c>
      <c r="P2239" t="s">
        <v>10881</v>
      </c>
      <c r="Q2239" t="s">
        <v>1939</v>
      </c>
      <c r="R2239" t="s">
        <v>10620</v>
      </c>
      <c r="U2239" t="s">
        <v>491</v>
      </c>
      <c r="X2239">
        <v>0</v>
      </c>
    </row>
    <row r="2240" spans="1:24" x14ac:dyDescent="0.25">
      <c r="A2240" s="234">
        <v>43392</v>
      </c>
      <c r="B2240" t="s">
        <v>569</v>
      </c>
      <c r="C2240" t="s">
        <v>899</v>
      </c>
      <c r="D2240" t="s">
        <v>11286</v>
      </c>
      <c r="F2240" t="s">
        <v>8879</v>
      </c>
      <c r="G2240" t="s">
        <v>8880</v>
      </c>
      <c r="H2240" t="s">
        <v>607</v>
      </c>
      <c r="I2240" t="s">
        <v>8881</v>
      </c>
      <c r="J2240" t="s">
        <v>899</v>
      </c>
      <c r="K2240">
        <v>91311</v>
      </c>
      <c r="L2240">
        <v>6</v>
      </c>
      <c r="M2240" s="134">
        <v>750000</v>
      </c>
      <c r="N2240" s="134">
        <v>1837500</v>
      </c>
      <c r="O2240" t="s">
        <v>10766</v>
      </c>
      <c r="P2240" t="s">
        <v>13413</v>
      </c>
      <c r="Q2240" t="s">
        <v>1939</v>
      </c>
      <c r="R2240" t="s">
        <v>12973</v>
      </c>
      <c r="U2240" t="s">
        <v>12344</v>
      </c>
      <c r="X2240">
        <v>0</v>
      </c>
    </row>
    <row r="2241" spans="1:24" x14ac:dyDescent="0.25">
      <c r="A2241" s="234">
        <v>42670</v>
      </c>
      <c r="B2241" t="s">
        <v>328</v>
      </c>
      <c r="C2241" t="s">
        <v>4526</v>
      </c>
      <c r="D2241" t="s">
        <v>2397</v>
      </c>
      <c r="E2241" t="s">
        <v>588</v>
      </c>
      <c r="F2241" t="s">
        <v>4527</v>
      </c>
      <c r="H2241" t="s">
        <v>710</v>
      </c>
      <c r="I2241" t="s">
        <v>4528</v>
      </c>
      <c r="J2241" t="s">
        <v>899</v>
      </c>
      <c r="L2241">
        <v>9</v>
      </c>
      <c r="M2241" s="134">
        <v>753505</v>
      </c>
      <c r="N2241" s="134">
        <v>1507010</v>
      </c>
      <c r="O2241" t="s">
        <v>4529</v>
      </c>
      <c r="P2241" t="s">
        <v>4530</v>
      </c>
      <c r="Q2241" t="s">
        <v>592</v>
      </c>
      <c r="R2241" t="s">
        <v>4531</v>
      </c>
      <c r="U2241" t="s">
        <v>1327</v>
      </c>
      <c r="X2241">
        <v>0</v>
      </c>
    </row>
    <row r="2242" spans="1:24" x14ac:dyDescent="0.25">
      <c r="A2242" s="234">
        <v>42752</v>
      </c>
      <c r="B2242" t="s">
        <v>643</v>
      </c>
      <c r="C2242" t="s">
        <v>644</v>
      </c>
      <c r="D2242" t="s">
        <v>645</v>
      </c>
      <c r="E2242" t="s">
        <v>588</v>
      </c>
      <c r="F2242" t="s">
        <v>5344</v>
      </c>
      <c r="H2242" t="s">
        <v>886</v>
      </c>
      <c r="I2242" t="s">
        <v>5345</v>
      </c>
      <c r="J2242" t="s">
        <v>644</v>
      </c>
      <c r="L2242" t="s">
        <v>5280</v>
      </c>
      <c r="M2242" s="134">
        <v>754000</v>
      </c>
      <c r="N2242" s="134">
        <v>1200000</v>
      </c>
      <c r="O2242" t="s">
        <v>5346</v>
      </c>
      <c r="P2242" t="s">
        <v>5347</v>
      </c>
      <c r="Q2242" t="s">
        <v>1939</v>
      </c>
      <c r="R2242" t="s">
        <v>5351</v>
      </c>
      <c r="U2242" t="s">
        <v>491</v>
      </c>
      <c r="X2242">
        <v>0</v>
      </c>
    </row>
    <row r="2243" spans="1:24" x14ac:dyDescent="0.25">
      <c r="A2243" s="234">
        <v>43012</v>
      </c>
      <c r="B2243" t="s">
        <v>328</v>
      </c>
      <c r="C2243" t="s">
        <v>603</v>
      </c>
      <c r="D2243" t="s">
        <v>672</v>
      </c>
      <c r="E2243" t="s">
        <v>588</v>
      </c>
      <c r="F2243" t="s">
        <v>8863</v>
      </c>
      <c r="G2243" t="s">
        <v>8864</v>
      </c>
      <c r="H2243" t="s">
        <v>607</v>
      </c>
      <c r="I2243" t="s">
        <v>3452</v>
      </c>
      <c r="J2243" t="s">
        <v>899</v>
      </c>
      <c r="L2243">
        <v>9</v>
      </c>
      <c r="M2243" s="134">
        <v>758000</v>
      </c>
      <c r="N2243" s="134">
        <v>1609200</v>
      </c>
      <c r="O2243" t="s">
        <v>560</v>
      </c>
      <c r="P2243" t="s">
        <v>8865</v>
      </c>
      <c r="Q2243" t="s">
        <v>1939</v>
      </c>
      <c r="R2243" t="s">
        <v>8866</v>
      </c>
      <c r="T2243">
        <v>26</v>
      </c>
      <c r="U2243" t="s">
        <v>491</v>
      </c>
      <c r="X2243">
        <v>0</v>
      </c>
    </row>
    <row r="2244" spans="1:24" x14ac:dyDescent="0.25">
      <c r="A2244" s="234">
        <v>42726</v>
      </c>
      <c r="B2244" t="s">
        <v>1486</v>
      </c>
      <c r="C2244" t="s">
        <v>1363</v>
      </c>
      <c r="D2244" t="s">
        <v>1495</v>
      </c>
      <c r="E2244" t="s">
        <v>588</v>
      </c>
      <c r="F2244" t="s">
        <v>5096</v>
      </c>
      <c r="H2244" t="s">
        <v>886</v>
      </c>
      <c r="I2244" t="s">
        <v>5097</v>
      </c>
      <c r="J2244" t="s">
        <v>602</v>
      </c>
      <c r="L2244">
        <v>3</v>
      </c>
      <c r="M2244" s="134">
        <v>760000</v>
      </c>
      <c r="N2244" s="134">
        <v>775200</v>
      </c>
      <c r="O2244" t="s">
        <v>3844</v>
      </c>
      <c r="P2244" t="s">
        <v>5098</v>
      </c>
      <c r="Q2244" t="s">
        <v>1939</v>
      </c>
      <c r="R2244" t="s">
        <v>5099</v>
      </c>
      <c r="U2244" t="s">
        <v>491</v>
      </c>
      <c r="X2244">
        <v>0</v>
      </c>
    </row>
    <row r="2245" spans="1:24" x14ac:dyDescent="0.25">
      <c r="A2245" s="234">
        <v>42941</v>
      </c>
      <c r="B2245" t="s">
        <v>569</v>
      </c>
      <c r="D2245" t="s">
        <v>624</v>
      </c>
      <c r="E2245" t="s">
        <v>692</v>
      </c>
      <c r="F2245" t="s">
        <v>7753</v>
      </c>
      <c r="G2245" t="s">
        <v>7754</v>
      </c>
      <c r="H2245" t="s">
        <v>5244</v>
      </c>
      <c r="I2245" t="s">
        <v>4507</v>
      </c>
      <c r="J2245" t="s">
        <v>899</v>
      </c>
      <c r="L2245">
        <v>4</v>
      </c>
      <c r="M2245" s="134">
        <v>760000</v>
      </c>
      <c r="N2245" s="134">
        <v>870000</v>
      </c>
      <c r="O2245" t="s">
        <v>3785</v>
      </c>
      <c r="P2245" t="s">
        <v>7755</v>
      </c>
      <c r="Q2245" t="s">
        <v>1939</v>
      </c>
      <c r="R2245" t="s">
        <v>7775</v>
      </c>
      <c r="U2245" t="s">
        <v>491</v>
      </c>
      <c r="V2245" t="s">
        <v>3985</v>
      </c>
      <c r="W2245" t="s">
        <v>7776</v>
      </c>
      <c r="X2245">
        <v>0</v>
      </c>
    </row>
    <row r="2246" spans="1:24" x14ac:dyDescent="0.25">
      <c r="A2246" s="234">
        <v>42692</v>
      </c>
      <c r="B2246" t="s">
        <v>328</v>
      </c>
      <c r="C2246" t="s">
        <v>603</v>
      </c>
      <c r="D2246" t="s">
        <v>1471</v>
      </c>
      <c r="E2246" t="s">
        <v>588</v>
      </c>
      <c r="F2246" t="s">
        <v>4755</v>
      </c>
      <c r="H2246" t="s">
        <v>2884</v>
      </c>
      <c r="I2246" t="s">
        <v>4754</v>
      </c>
      <c r="J2246" t="s">
        <v>899</v>
      </c>
      <c r="L2246">
        <v>10</v>
      </c>
      <c r="M2246" s="134">
        <v>760000</v>
      </c>
      <c r="N2246" s="134">
        <v>1000000</v>
      </c>
      <c r="O2246" t="s">
        <v>3871</v>
      </c>
      <c r="P2246" t="s">
        <v>4756</v>
      </c>
      <c r="Q2246" t="s">
        <v>1939</v>
      </c>
      <c r="R2246" t="s">
        <v>4757</v>
      </c>
      <c r="X2246">
        <v>0</v>
      </c>
    </row>
    <row r="2247" spans="1:24" x14ac:dyDescent="0.25">
      <c r="A2247" s="234">
        <v>43041</v>
      </c>
      <c r="B2247" t="s">
        <v>569</v>
      </c>
      <c r="C2247" t="s">
        <v>899</v>
      </c>
      <c r="D2247" t="s">
        <v>625</v>
      </c>
      <c r="E2247" t="s">
        <v>588</v>
      </c>
      <c r="F2247" t="s">
        <v>9321</v>
      </c>
      <c r="G2247" t="s">
        <v>9322</v>
      </c>
      <c r="H2247" t="s">
        <v>9317</v>
      </c>
      <c r="I2247" t="s">
        <v>5998</v>
      </c>
      <c r="J2247" t="s">
        <v>899</v>
      </c>
      <c r="M2247" s="134">
        <v>760000</v>
      </c>
      <c r="N2247" s="134">
        <v>1444000</v>
      </c>
      <c r="O2247" t="s">
        <v>5999</v>
      </c>
      <c r="P2247" t="s">
        <v>9323</v>
      </c>
      <c r="Q2247" t="s">
        <v>1939</v>
      </c>
      <c r="R2247" t="s">
        <v>9324</v>
      </c>
      <c r="U2247" t="s">
        <v>1327</v>
      </c>
      <c r="X2247">
        <v>0</v>
      </c>
    </row>
    <row r="2248" spans="1:24" x14ac:dyDescent="0.25">
      <c r="A2248" s="234">
        <v>42382</v>
      </c>
      <c r="B2248" t="s">
        <v>328</v>
      </c>
      <c r="C2248" t="s">
        <v>603</v>
      </c>
      <c r="D2248" t="s">
        <v>649</v>
      </c>
      <c r="E2248" t="s">
        <v>588</v>
      </c>
      <c r="F2248" t="s">
        <v>709</v>
      </c>
      <c r="H2248" t="s">
        <v>710</v>
      </c>
      <c r="I2248" t="s">
        <v>711</v>
      </c>
      <c r="M2248" s="134">
        <v>761000</v>
      </c>
      <c r="N2248" s="134">
        <v>1560050</v>
      </c>
      <c r="O2248" t="s">
        <v>712</v>
      </c>
      <c r="P2248" t="s">
        <v>713</v>
      </c>
      <c r="Q2248" t="s">
        <v>592</v>
      </c>
      <c r="R2248" t="s">
        <v>714</v>
      </c>
      <c r="U2248" t="s">
        <v>491</v>
      </c>
      <c r="X2248">
        <v>0</v>
      </c>
    </row>
    <row r="2249" spans="1:24" x14ac:dyDescent="0.25">
      <c r="A2249" s="234">
        <v>43356</v>
      </c>
      <c r="B2249" t="s">
        <v>5956</v>
      </c>
      <c r="C2249" t="s">
        <v>3369</v>
      </c>
      <c r="D2249" t="s">
        <v>9234</v>
      </c>
      <c r="E2249" t="s">
        <v>588</v>
      </c>
      <c r="F2249" t="s">
        <v>12589</v>
      </c>
      <c r="G2249" t="s">
        <v>12590</v>
      </c>
      <c r="H2249" t="s">
        <v>905</v>
      </c>
      <c r="I2249" t="s">
        <v>9632</v>
      </c>
      <c r="J2249" t="s">
        <v>959</v>
      </c>
      <c r="L2249">
        <v>5</v>
      </c>
      <c r="M2249" s="134">
        <v>768000</v>
      </c>
      <c r="N2249" s="134">
        <v>1020400</v>
      </c>
      <c r="O2249" t="s">
        <v>10766</v>
      </c>
      <c r="P2249" t="s">
        <v>13388</v>
      </c>
      <c r="Q2249" t="s">
        <v>29</v>
      </c>
      <c r="R2249" t="s">
        <v>12591</v>
      </c>
      <c r="U2249" t="s">
        <v>12344</v>
      </c>
      <c r="X2249">
        <v>1</v>
      </c>
    </row>
    <row r="2250" spans="1:24" x14ac:dyDescent="0.25">
      <c r="A2250" s="234">
        <v>42748</v>
      </c>
      <c r="B2250" t="s">
        <v>328</v>
      </c>
      <c r="C2250" t="s">
        <v>603</v>
      </c>
      <c r="D2250" t="s">
        <v>587</v>
      </c>
      <c r="E2250" t="s">
        <v>821</v>
      </c>
      <c r="F2250" t="s">
        <v>5314</v>
      </c>
      <c r="H2250" t="s">
        <v>607</v>
      </c>
      <c r="J2250" t="s">
        <v>761</v>
      </c>
      <c r="M2250" s="134">
        <v>770000</v>
      </c>
      <c r="N2250" s="134">
        <v>0</v>
      </c>
      <c r="O2250" t="s">
        <v>5315</v>
      </c>
      <c r="P2250" t="s">
        <v>5316</v>
      </c>
      <c r="Q2250" t="s">
        <v>29</v>
      </c>
      <c r="R2250" t="s">
        <v>5317</v>
      </c>
      <c r="U2250" t="s">
        <v>491</v>
      </c>
      <c r="V2250" t="s">
        <v>3985</v>
      </c>
      <c r="W2250" t="s">
        <v>15978</v>
      </c>
      <c r="X2250">
        <v>1</v>
      </c>
    </row>
    <row r="2251" spans="1:24" x14ac:dyDescent="0.25">
      <c r="A2251" s="234">
        <v>43027</v>
      </c>
      <c r="B2251" t="s">
        <v>569</v>
      </c>
      <c r="C2251" t="s">
        <v>899</v>
      </c>
      <c r="D2251" t="s">
        <v>625</v>
      </c>
      <c r="E2251" t="s">
        <v>821</v>
      </c>
      <c r="F2251" t="s">
        <v>8966</v>
      </c>
      <c r="H2251" t="s">
        <v>607</v>
      </c>
      <c r="M2251" s="134">
        <v>770000</v>
      </c>
      <c r="N2251" s="134">
        <v>0</v>
      </c>
      <c r="O2251" t="s">
        <v>9111</v>
      </c>
      <c r="P2251" t="s">
        <v>9112</v>
      </c>
      <c r="Q2251" t="s">
        <v>1939</v>
      </c>
      <c r="R2251" t="s">
        <v>9113</v>
      </c>
      <c r="U2251" t="s">
        <v>491</v>
      </c>
      <c r="X2251">
        <v>0</v>
      </c>
    </row>
    <row r="2252" spans="1:24" x14ac:dyDescent="0.25">
      <c r="A2252" s="234">
        <v>43468</v>
      </c>
      <c r="B2252" t="s">
        <v>328</v>
      </c>
      <c r="C2252" t="s">
        <v>603</v>
      </c>
      <c r="D2252" t="s">
        <v>10705</v>
      </c>
      <c r="F2252" t="s">
        <v>13769</v>
      </c>
      <c r="G2252" t="s">
        <v>4615</v>
      </c>
      <c r="H2252" t="s">
        <v>607</v>
      </c>
      <c r="I2252" t="s">
        <v>13215</v>
      </c>
      <c r="J2252" t="s">
        <v>8194</v>
      </c>
      <c r="K2252" t="s">
        <v>13770</v>
      </c>
      <c r="L2252">
        <v>1</v>
      </c>
      <c r="M2252" s="134">
        <v>771200</v>
      </c>
      <c r="N2252" s="134">
        <v>1388160</v>
      </c>
      <c r="O2252" t="s">
        <v>10762</v>
      </c>
      <c r="P2252" t="s">
        <v>13771</v>
      </c>
      <c r="Q2252" t="s">
        <v>592</v>
      </c>
      <c r="R2252" t="s">
        <v>13772</v>
      </c>
      <c r="S2252" t="s">
        <v>13779</v>
      </c>
      <c r="U2252" t="s">
        <v>491</v>
      </c>
      <c r="X2252">
        <f>IF(Q2252="Decline",1,0)</f>
        <v>0</v>
      </c>
    </row>
    <row r="2253" spans="1:24" x14ac:dyDescent="0.25">
      <c r="A2253" s="234">
        <v>43544</v>
      </c>
      <c r="B2253" t="s">
        <v>328</v>
      </c>
      <c r="C2253" t="s">
        <v>603</v>
      </c>
      <c r="D2253" t="s">
        <v>10705</v>
      </c>
      <c r="F2253" t="s">
        <v>14760</v>
      </c>
      <c r="G2253" t="s">
        <v>14761</v>
      </c>
      <c r="H2253" t="s">
        <v>10831</v>
      </c>
      <c r="I2253" t="s">
        <v>14762</v>
      </c>
      <c r="J2253" t="s">
        <v>14114</v>
      </c>
      <c r="K2253" t="s">
        <v>14763</v>
      </c>
      <c r="L2253">
        <v>10</v>
      </c>
      <c r="M2253" s="134">
        <v>772589</v>
      </c>
      <c r="N2253" s="134">
        <v>837589</v>
      </c>
      <c r="O2253" t="s">
        <v>7124</v>
      </c>
      <c r="P2253" t="s">
        <v>14764</v>
      </c>
      <c r="Q2253" t="s">
        <v>1939</v>
      </c>
      <c r="R2253" t="s">
        <v>14765</v>
      </c>
      <c r="S2253" t="s">
        <v>14845</v>
      </c>
      <c r="U2253" t="s">
        <v>491</v>
      </c>
      <c r="X2253">
        <v>0</v>
      </c>
    </row>
    <row r="2254" spans="1:24" x14ac:dyDescent="0.25">
      <c r="A2254" s="234">
        <v>42642</v>
      </c>
      <c r="B2254" t="s">
        <v>1486</v>
      </c>
      <c r="C2254" t="s">
        <v>1363</v>
      </c>
      <c r="D2254" t="s">
        <v>1495</v>
      </c>
      <c r="E2254" t="s">
        <v>588</v>
      </c>
      <c r="F2254" t="s">
        <v>4103</v>
      </c>
      <c r="H2254" t="s">
        <v>607</v>
      </c>
      <c r="I2254" t="s">
        <v>4103</v>
      </c>
      <c r="J2254" t="s">
        <v>602</v>
      </c>
      <c r="M2254" s="134">
        <v>775000</v>
      </c>
      <c r="N2254" s="134">
        <v>1025000</v>
      </c>
      <c r="O2254" t="s">
        <v>4104</v>
      </c>
      <c r="P2254" t="s">
        <v>4105</v>
      </c>
      <c r="Q2254" t="s">
        <v>29</v>
      </c>
      <c r="R2254" t="s">
        <v>4106</v>
      </c>
      <c r="U2254" t="s">
        <v>491</v>
      </c>
      <c r="X2254">
        <v>1</v>
      </c>
    </row>
    <row r="2255" spans="1:24" x14ac:dyDescent="0.25">
      <c r="A2255" s="234">
        <v>42755</v>
      </c>
      <c r="B2255" t="s">
        <v>328</v>
      </c>
      <c r="C2255" t="s">
        <v>603</v>
      </c>
      <c r="D2255" t="s">
        <v>1471</v>
      </c>
      <c r="E2255" t="s">
        <v>588</v>
      </c>
      <c r="F2255" t="s">
        <v>5392</v>
      </c>
      <c r="H2255" t="s">
        <v>5244</v>
      </c>
      <c r="I2255" t="s">
        <v>4507</v>
      </c>
      <c r="J2255" t="s">
        <v>899</v>
      </c>
      <c r="L2255" t="s">
        <v>5280</v>
      </c>
      <c r="M2255" s="134">
        <v>775000</v>
      </c>
      <c r="N2255" s="134">
        <v>1030000</v>
      </c>
      <c r="O2255" t="s">
        <v>5393</v>
      </c>
      <c r="P2255" t="s">
        <v>5394</v>
      </c>
      <c r="Q2255" t="s">
        <v>1939</v>
      </c>
      <c r="R2255" t="s">
        <v>5395</v>
      </c>
      <c r="U2255" t="s">
        <v>491</v>
      </c>
      <c r="X2255">
        <v>0</v>
      </c>
    </row>
    <row r="2256" spans="1:24" x14ac:dyDescent="0.25">
      <c r="A2256" s="234">
        <v>43020</v>
      </c>
      <c r="B2256" t="s">
        <v>328</v>
      </c>
      <c r="C2256" t="s">
        <v>603</v>
      </c>
      <c r="D2256" t="s">
        <v>649</v>
      </c>
      <c r="E2256" t="s">
        <v>588</v>
      </c>
      <c r="F2256" t="s">
        <v>8991</v>
      </c>
      <c r="G2256" t="s">
        <v>8990</v>
      </c>
      <c r="H2256" t="s">
        <v>1391</v>
      </c>
      <c r="I2256" t="s">
        <v>8989</v>
      </c>
      <c r="J2256" t="s">
        <v>5610</v>
      </c>
      <c r="L2256">
        <v>10</v>
      </c>
      <c r="M2256" s="134">
        <v>775000</v>
      </c>
      <c r="N2256" s="134">
        <v>1278750</v>
      </c>
      <c r="O2256" t="s">
        <v>7124</v>
      </c>
      <c r="P2256" t="s">
        <v>8986</v>
      </c>
      <c r="Q2256" t="s">
        <v>29</v>
      </c>
      <c r="R2256" t="s">
        <v>8988</v>
      </c>
      <c r="U2256" t="s">
        <v>1327</v>
      </c>
      <c r="X2256">
        <v>1</v>
      </c>
    </row>
    <row r="2257" spans="1:24" x14ac:dyDescent="0.25">
      <c r="A2257" s="234">
        <v>43571</v>
      </c>
      <c r="B2257" t="s">
        <v>328</v>
      </c>
      <c r="C2257" t="s">
        <v>603</v>
      </c>
      <c r="D2257" t="s">
        <v>5701</v>
      </c>
      <c r="F2257" t="s">
        <v>15105</v>
      </c>
      <c r="G2257" t="s">
        <v>15106</v>
      </c>
      <c r="I2257" t="s">
        <v>6796</v>
      </c>
      <c r="J2257" t="s">
        <v>3370</v>
      </c>
      <c r="K2257" t="s">
        <v>15107</v>
      </c>
      <c r="L2257">
        <v>2</v>
      </c>
      <c r="M2257" s="134">
        <v>775000</v>
      </c>
      <c r="N2257" s="134">
        <v>1472500</v>
      </c>
      <c r="O2257" t="s">
        <v>7564</v>
      </c>
      <c r="P2257" t="s">
        <v>15108</v>
      </c>
      <c r="Q2257" t="s">
        <v>1939</v>
      </c>
      <c r="R2257" t="s">
        <v>15109</v>
      </c>
      <c r="S2257" t="s">
        <v>15117</v>
      </c>
      <c r="U2257" t="s">
        <v>491</v>
      </c>
      <c r="X2257">
        <v>0</v>
      </c>
    </row>
    <row r="2258" spans="1:24" x14ac:dyDescent="0.25">
      <c r="A2258" s="234">
        <v>43573</v>
      </c>
      <c r="B2258" t="s">
        <v>6076</v>
      </c>
      <c r="C2258" t="s">
        <v>603</v>
      </c>
      <c r="D2258" t="s">
        <v>10524</v>
      </c>
      <c r="F2258" t="s">
        <v>15105</v>
      </c>
      <c r="G2258" t="s">
        <v>15106</v>
      </c>
      <c r="H2258" t="s">
        <v>607</v>
      </c>
      <c r="I2258" t="s">
        <v>6796</v>
      </c>
      <c r="J2258" t="s">
        <v>3370</v>
      </c>
      <c r="K2258" t="s">
        <v>15107</v>
      </c>
      <c r="L2258">
        <v>2</v>
      </c>
      <c r="M2258" s="134">
        <v>775000</v>
      </c>
      <c r="N2258" s="134">
        <v>1472500</v>
      </c>
      <c r="O2258" t="s">
        <v>7564</v>
      </c>
      <c r="P2258" t="s">
        <v>15108</v>
      </c>
      <c r="Q2258" t="s">
        <v>1939</v>
      </c>
      <c r="R2258" t="s">
        <v>15109</v>
      </c>
      <c r="S2258" t="s">
        <v>15118</v>
      </c>
      <c r="U2258" t="s">
        <v>491</v>
      </c>
      <c r="X2258">
        <v>0</v>
      </c>
    </row>
    <row r="2259" spans="1:24" x14ac:dyDescent="0.25">
      <c r="A2259" s="234">
        <v>43431</v>
      </c>
      <c r="B2259" t="s">
        <v>569</v>
      </c>
      <c r="C2259" t="s">
        <v>899</v>
      </c>
      <c r="D2259" t="s">
        <v>624</v>
      </c>
      <c r="F2259" t="s">
        <v>12144</v>
      </c>
      <c r="G2259" t="s">
        <v>13298</v>
      </c>
      <c r="H2259" t="s">
        <v>607</v>
      </c>
      <c r="I2259" t="s">
        <v>3947</v>
      </c>
      <c r="J2259" t="s">
        <v>899</v>
      </c>
      <c r="K2259" t="s">
        <v>13299</v>
      </c>
      <c r="L2259">
        <v>2</v>
      </c>
      <c r="M2259" s="134">
        <v>775000</v>
      </c>
      <c r="N2259" s="134">
        <v>1500000</v>
      </c>
      <c r="O2259" t="s">
        <v>4533</v>
      </c>
      <c r="P2259" t="s">
        <v>13300</v>
      </c>
      <c r="Q2259" t="s">
        <v>1939</v>
      </c>
      <c r="R2259" t="s">
        <v>13301</v>
      </c>
      <c r="U2259" t="s">
        <v>491</v>
      </c>
      <c r="X2259">
        <v>0</v>
      </c>
    </row>
    <row r="2260" spans="1:24" x14ac:dyDescent="0.25">
      <c r="A2260" s="234">
        <v>43235</v>
      </c>
      <c r="B2260" t="s">
        <v>328</v>
      </c>
      <c r="C2260" t="s">
        <v>603</v>
      </c>
      <c r="D2260" t="s">
        <v>649</v>
      </c>
      <c r="E2260" t="s">
        <v>588</v>
      </c>
      <c r="F2260" t="s">
        <v>11259</v>
      </c>
      <c r="G2260" t="s">
        <v>4118</v>
      </c>
      <c r="H2260" t="s">
        <v>607</v>
      </c>
      <c r="J2260" t="s">
        <v>644</v>
      </c>
      <c r="L2260">
        <v>9</v>
      </c>
      <c r="M2260" s="134">
        <v>775000</v>
      </c>
      <c r="N2260" s="134">
        <v>1511250</v>
      </c>
      <c r="O2260" t="s">
        <v>7124</v>
      </c>
      <c r="P2260" t="s">
        <v>11258</v>
      </c>
      <c r="Q2260" t="s">
        <v>592</v>
      </c>
      <c r="R2260" t="s">
        <v>10860</v>
      </c>
      <c r="U2260" t="s">
        <v>1327</v>
      </c>
      <c r="X2260">
        <v>0</v>
      </c>
    </row>
    <row r="2261" spans="1:24" x14ac:dyDescent="0.25">
      <c r="A2261" s="234">
        <v>42697</v>
      </c>
      <c r="B2261" t="s">
        <v>110</v>
      </c>
      <c r="C2261" t="s">
        <v>761</v>
      </c>
      <c r="D2261" t="s">
        <v>4782</v>
      </c>
      <c r="E2261" t="s">
        <v>588</v>
      </c>
      <c r="F2261" t="s">
        <v>4812</v>
      </c>
      <c r="H2261" t="s">
        <v>2884</v>
      </c>
      <c r="I2261" t="s">
        <v>4809</v>
      </c>
      <c r="J2261" t="s">
        <v>4785</v>
      </c>
      <c r="L2261">
        <v>10</v>
      </c>
      <c r="M2261" s="134">
        <v>776000</v>
      </c>
      <c r="N2261" s="134">
        <v>1315000</v>
      </c>
      <c r="O2261" t="s">
        <v>2680</v>
      </c>
      <c r="P2261" t="s">
        <v>4810</v>
      </c>
      <c r="Q2261" t="s">
        <v>592</v>
      </c>
      <c r="R2261" t="s">
        <v>4811</v>
      </c>
      <c r="U2261" t="s">
        <v>1327</v>
      </c>
      <c r="X2261">
        <v>0</v>
      </c>
    </row>
    <row r="2262" spans="1:24" x14ac:dyDescent="0.25">
      <c r="A2262" s="234">
        <v>43353</v>
      </c>
      <c r="B2262" t="s">
        <v>328</v>
      </c>
      <c r="C2262" t="s">
        <v>603</v>
      </c>
      <c r="D2262" t="s">
        <v>8941</v>
      </c>
      <c r="E2262" t="s">
        <v>588</v>
      </c>
      <c r="F2262" t="s">
        <v>12554</v>
      </c>
      <c r="G2262" t="s">
        <v>12555</v>
      </c>
      <c r="H2262" t="s">
        <v>905</v>
      </c>
      <c r="I2262" t="s">
        <v>11775</v>
      </c>
      <c r="J2262" t="s">
        <v>11776</v>
      </c>
      <c r="L2262">
        <v>2</v>
      </c>
      <c r="M2262" s="134">
        <v>777500</v>
      </c>
      <c r="N2262" s="134">
        <v>1052000</v>
      </c>
      <c r="O2262" t="s">
        <v>10763</v>
      </c>
      <c r="P2262" t="s">
        <v>12556</v>
      </c>
      <c r="Q2262" t="s">
        <v>1939</v>
      </c>
      <c r="R2262" t="s">
        <v>12557</v>
      </c>
      <c r="U2262" t="s">
        <v>12344</v>
      </c>
      <c r="X2262">
        <v>0</v>
      </c>
    </row>
    <row r="2263" spans="1:24" x14ac:dyDescent="0.25">
      <c r="A2263" s="234">
        <v>42695</v>
      </c>
      <c r="B2263" t="s">
        <v>378</v>
      </c>
      <c r="C2263" t="s">
        <v>899</v>
      </c>
      <c r="D2263" t="s">
        <v>625</v>
      </c>
      <c r="E2263" t="s">
        <v>588</v>
      </c>
      <c r="F2263" t="s">
        <v>4758</v>
      </c>
      <c r="H2263" t="s">
        <v>886</v>
      </c>
      <c r="I2263" t="s">
        <v>4759</v>
      </c>
      <c r="J2263" t="s">
        <v>899</v>
      </c>
      <c r="L2263">
        <v>3</v>
      </c>
      <c r="M2263" s="134">
        <v>778000</v>
      </c>
      <c r="N2263" s="134">
        <v>0</v>
      </c>
      <c r="O2263" t="s">
        <v>2295</v>
      </c>
      <c r="P2263" t="s">
        <v>4760</v>
      </c>
      <c r="Q2263" t="s">
        <v>29</v>
      </c>
      <c r="R2263" t="s">
        <v>4761</v>
      </c>
      <c r="U2263" t="s">
        <v>2227</v>
      </c>
      <c r="X2263">
        <v>1</v>
      </c>
    </row>
    <row r="2264" spans="1:24" x14ac:dyDescent="0.25">
      <c r="A2264" s="234">
        <v>42837</v>
      </c>
      <c r="B2264" t="s">
        <v>5992</v>
      </c>
      <c r="D2264" t="s">
        <v>5270</v>
      </c>
      <c r="E2264" t="s">
        <v>588</v>
      </c>
      <c r="F2264" t="s">
        <v>6403</v>
      </c>
      <c r="H2264" t="s">
        <v>4132</v>
      </c>
      <c r="I2264" t="s">
        <v>6404</v>
      </c>
      <c r="J2264" t="s">
        <v>608</v>
      </c>
      <c r="M2264" s="134">
        <v>780000</v>
      </c>
      <c r="N2264" s="134">
        <v>1092000</v>
      </c>
      <c r="O2264" t="s">
        <v>666</v>
      </c>
      <c r="P2264" t="s">
        <v>6405</v>
      </c>
      <c r="Q2264" t="s">
        <v>1939</v>
      </c>
      <c r="R2264" t="s">
        <v>6406</v>
      </c>
      <c r="U2264" t="s">
        <v>491</v>
      </c>
      <c r="X2264">
        <v>0</v>
      </c>
    </row>
    <row r="2265" spans="1:24" x14ac:dyDescent="0.25">
      <c r="A2265" s="234">
        <v>43077</v>
      </c>
      <c r="B2265" t="s">
        <v>328</v>
      </c>
      <c r="C2265" t="s">
        <v>603</v>
      </c>
      <c r="D2265" t="s">
        <v>2397</v>
      </c>
      <c r="E2265" t="s">
        <v>588</v>
      </c>
      <c r="F2265" t="s">
        <v>9728</v>
      </c>
      <c r="G2265" t="s">
        <v>9729</v>
      </c>
      <c r="H2265" t="s">
        <v>607</v>
      </c>
      <c r="I2265" t="s">
        <v>9730</v>
      </c>
      <c r="J2265" t="s">
        <v>899</v>
      </c>
      <c r="L2265">
        <v>10</v>
      </c>
      <c r="M2265" s="134">
        <v>781000</v>
      </c>
      <c r="N2265" s="134">
        <v>1327700</v>
      </c>
      <c r="O2265" t="s">
        <v>7124</v>
      </c>
      <c r="P2265" t="s">
        <v>9731</v>
      </c>
      <c r="Q2265" t="s">
        <v>1939</v>
      </c>
      <c r="R2265" t="s">
        <v>9732</v>
      </c>
      <c r="U2265" t="s">
        <v>1327</v>
      </c>
      <c r="X2265">
        <v>0</v>
      </c>
    </row>
    <row r="2266" spans="1:24" x14ac:dyDescent="0.25">
      <c r="A2266" s="234">
        <v>43567</v>
      </c>
      <c r="B2266" t="s">
        <v>12367</v>
      </c>
      <c r="C2266" t="s">
        <v>5610</v>
      </c>
      <c r="D2266" t="s">
        <v>11338</v>
      </c>
      <c r="F2266" t="s">
        <v>15057</v>
      </c>
      <c r="G2266" t="s">
        <v>15058</v>
      </c>
      <c r="H2266" t="s">
        <v>607</v>
      </c>
      <c r="I2266" t="s">
        <v>15059</v>
      </c>
      <c r="J2266" t="s">
        <v>3523</v>
      </c>
      <c r="K2266" t="s">
        <v>15060</v>
      </c>
      <c r="L2266">
        <v>9</v>
      </c>
      <c r="M2266" s="134">
        <v>782212</v>
      </c>
      <c r="N2266" s="134">
        <v>890212</v>
      </c>
      <c r="O2266" t="s">
        <v>4533</v>
      </c>
      <c r="P2266" t="s">
        <v>15061</v>
      </c>
      <c r="Q2266" t="s">
        <v>1612</v>
      </c>
      <c r="R2266" t="s">
        <v>15082</v>
      </c>
      <c r="U2266" t="s">
        <v>491</v>
      </c>
      <c r="X2266">
        <v>0</v>
      </c>
    </row>
    <row r="2267" spans="1:24" x14ac:dyDescent="0.25">
      <c r="A2267" s="234">
        <v>43343</v>
      </c>
      <c r="B2267" t="s">
        <v>328</v>
      </c>
      <c r="C2267" t="s">
        <v>603</v>
      </c>
      <c r="D2267" t="s">
        <v>7595</v>
      </c>
      <c r="E2267" t="s">
        <v>588</v>
      </c>
      <c r="F2267" t="s">
        <v>12454</v>
      </c>
      <c r="G2267" t="s">
        <v>11900</v>
      </c>
      <c r="H2267" t="s">
        <v>607</v>
      </c>
      <c r="I2267" t="s">
        <v>3776</v>
      </c>
      <c r="J2267" t="s">
        <v>3373</v>
      </c>
      <c r="L2267">
        <v>3</v>
      </c>
      <c r="M2267" s="134">
        <v>783000</v>
      </c>
      <c r="N2267" s="134">
        <v>1683450</v>
      </c>
      <c r="O2267" t="s">
        <v>10766</v>
      </c>
      <c r="P2267" t="s">
        <v>12455</v>
      </c>
      <c r="Q2267" t="s">
        <v>1939</v>
      </c>
      <c r="R2267" t="s">
        <v>12457</v>
      </c>
      <c r="U2267" t="s">
        <v>491</v>
      </c>
      <c r="X2267">
        <v>0</v>
      </c>
    </row>
    <row r="2268" spans="1:24" x14ac:dyDescent="0.25">
      <c r="A2268" s="234">
        <v>42500</v>
      </c>
      <c r="B2268" t="s">
        <v>328</v>
      </c>
      <c r="C2268" t="s">
        <v>603</v>
      </c>
      <c r="D2268" t="s">
        <v>649</v>
      </c>
      <c r="E2268" t="s">
        <v>588</v>
      </c>
      <c r="F2268" t="s">
        <v>2000</v>
      </c>
      <c r="H2268" t="s">
        <v>607</v>
      </c>
      <c r="I2268" t="s">
        <v>2001</v>
      </c>
      <c r="M2268" s="134">
        <v>785200</v>
      </c>
      <c r="N2268" s="134">
        <v>1570400</v>
      </c>
      <c r="O2268" t="s">
        <v>2002</v>
      </c>
      <c r="P2268" t="s">
        <v>2003</v>
      </c>
      <c r="Q2268" t="s">
        <v>1939</v>
      </c>
      <c r="R2268" t="s">
        <v>2066</v>
      </c>
      <c r="U2268" t="s">
        <v>491</v>
      </c>
      <c r="X2268">
        <v>0</v>
      </c>
    </row>
    <row r="2269" spans="1:24" x14ac:dyDescent="0.25">
      <c r="A2269" s="234">
        <v>42501</v>
      </c>
      <c r="B2269" t="s">
        <v>378</v>
      </c>
      <c r="C2269" t="s">
        <v>623</v>
      </c>
      <c r="D2269" t="s">
        <v>625</v>
      </c>
      <c r="E2269" t="s">
        <v>588</v>
      </c>
      <c r="F2269" t="s">
        <v>2025</v>
      </c>
      <c r="H2269" t="s">
        <v>607</v>
      </c>
      <c r="I2269" t="s">
        <v>802</v>
      </c>
      <c r="M2269" s="134">
        <v>785900</v>
      </c>
      <c r="N2269" s="134">
        <v>1466030</v>
      </c>
      <c r="O2269" t="s">
        <v>2026</v>
      </c>
      <c r="P2269" t="s">
        <v>2027</v>
      </c>
      <c r="Q2269" t="s">
        <v>620</v>
      </c>
      <c r="R2269" t="s">
        <v>2028</v>
      </c>
      <c r="U2269" t="s">
        <v>491</v>
      </c>
      <c r="X2269">
        <v>0</v>
      </c>
    </row>
    <row r="2270" spans="1:24" x14ac:dyDescent="0.25">
      <c r="A2270" s="234">
        <v>42586</v>
      </c>
      <c r="B2270" t="s">
        <v>328</v>
      </c>
      <c r="C2270" t="s">
        <v>603</v>
      </c>
      <c r="D2270" t="s">
        <v>1471</v>
      </c>
      <c r="E2270" t="s">
        <v>588</v>
      </c>
      <c r="F2270" t="s">
        <v>3238</v>
      </c>
      <c r="H2270" t="s">
        <v>607</v>
      </c>
      <c r="I2270" t="s">
        <v>3239</v>
      </c>
      <c r="J2270" t="s">
        <v>899</v>
      </c>
      <c r="L2270">
        <v>3</v>
      </c>
      <c r="M2270" s="134">
        <v>786000</v>
      </c>
      <c r="N2270" s="134">
        <v>1493560</v>
      </c>
      <c r="O2270" t="s">
        <v>3240</v>
      </c>
      <c r="P2270" t="s">
        <v>3241</v>
      </c>
      <c r="Q2270" t="s">
        <v>1612</v>
      </c>
      <c r="R2270" t="s">
        <v>3242</v>
      </c>
      <c r="S2270" t="s">
        <v>3337</v>
      </c>
      <c r="U2270" t="s">
        <v>491</v>
      </c>
      <c r="X2270">
        <v>0</v>
      </c>
    </row>
    <row r="2271" spans="1:24" x14ac:dyDescent="0.25">
      <c r="A2271" s="234">
        <v>43550</v>
      </c>
      <c r="B2271" t="s">
        <v>5956</v>
      </c>
      <c r="C2271" t="s">
        <v>3369</v>
      </c>
      <c r="D2271" t="s">
        <v>8126</v>
      </c>
      <c r="F2271" t="s">
        <v>208</v>
      </c>
      <c r="G2271" t="s">
        <v>4818</v>
      </c>
      <c r="H2271" t="s">
        <v>5321</v>
      </c>
      <c r="I2271" t="s">
        <v>14872</v>
      </c>
      <c r="J2271" t="s">
        <v>14268</v>
      </c>
      <c r="K2271" t="s">
        <v>14873</v>
      </c>
      <c r="L2271">
        <v>5</v>
      </c>
      <c r="M2271" s="134">
        <v>787000</v>
      </c>
      <c r="N2271" s="134">
        <v>1574000</v>
      </c>
      <c r="O2271" t="s">
        <v>10763</v>
      </c>
      <c r="P2271" t="s">
        <v>14947</v>
      </c>
      <c r="Q2271" t="s">
        <v>1939</v>
      </c>
      <c r="R2271" t="s">
        <v>14874</v>
      </c>
      <c r="U2271" t="s">
        <v>12797</v>
      </c>
      <c r="X2271">
        <v>0</v>
      </c>
    </row>
    <row r="2272" spans="1:24" x14ac:dyDescent="0.25">
      <c r="A2272" s="234">
        <v>42885</v>
      </c>
      <c r="B2272" t="s">
        <v>110</v>
      </c>
      <c r="C2272" t="s">
        <v>761</v>
      </c>
      <c r="D2272" t="s">
        <v>4782</v>
      </c>
      <c r="E2272" t="s">
        <v>588</v>
      </c>
      <c r="F2272" t="s">
        <v>6958</v>
      </c>
      <c r="H2272" t="s">
        <v>607</v>
      </c>
      <c r="I2272" t="s">
        <v>3059</v>
      </c>
      <c r="J2272" t="s">
        <v>761</v>
      </c>
      <c r="L2272">
        <v>5</v>
      </c>
      <c r="M2272" s="134">
        <v>790000</v>
      </c>
      <c r="N2272" s="134">
        <v>1370300</v>
      </c>
      <c r="O2272" t="s">
        <v>560</v>
      </c>
      <c r="P2272" t="s">
        <v>6962</v>
      </c>
      <c r="Q2272" t="s">
        <v>592</v>
      </c>
      <c r="R2272" t="s">
        <v>6963</v>
      </c>
      <c r="U2272" t="s">
        <v>491</v>
      </c>
      <c r="X2272">
        <v>0</v>
      </c>
    </row>
    <row r="2273" spans="1:24" x14ac:dyDescent="0.25">
      <c r="A2273" s="234">
        <v>42642</v>
      </c>
      <c r="B2273" t="s">
        <v>378</v>
      </c>
      <c r="C2273" t="s">
        <v>623</v>
      </c>
      <c r="D2273" t="s">
        <v>625</v>
      </c>
      <c r="E2273" t="s">
        <v>588</v>
      </c>
      <c r="F2273" t="s">
        <v>4107</v>
      </c>
      <c r="H2273" t="s">
        <v>4108</v>
      </c>
      <c r="I2273" t="s">
        <v>4109</v>
      </c>
      <c r="J2273" t="s">
        <v>899</v>
      </c>
      <c r="L2273">
        <v>4</v>
      </c>
      <c r="M2273" s="134">
        <v>790000</v>
      </c>
      <c r="N2273" s="134">
        <v>1422000</v>
      </c>
      <c r="O2273" t="s">
        <v>4110</v>
      </c>
      <c r="P2273" t="s">
        <v>4111</v>
      </c>
      <c r="Q2273" t="s">
        <v>1939</v>
      </c>
      <c r="R2273" t="s">
        <v>4112</v>
      </c>
      <c r="U2273" t="s">
        <v>491</v>
      </c>
      <c r="X2273">
        <v>0</v>
      </c>
    </row>
    <row r="2274" spans="1:24" x14ac:dyDescent="0.25">
      <c r="A2274" s="234">
        <v>43145</v>
      </c>
      <c r="B2274" t="s">
        <v>328</v>
      </c>
      <c r="C2274" t="s">
        <v>603</v>
      </c>
      <c r="D2274" t="s">
        <v>10338</v>
      </c>
      <c r="E2274" t="s">
        <v>588</v>
      </c>
      <c r="F2274" t="s">
        <v>10339</v>
      </c>
      <c r="G2274" t="s">
        <v>10340</v>
      </c>
      <c r="H2274" t="s">
        <v>607</v>
      </c>
      <c r="I2274" t="s">
        <v>4060</v>
      </c>
      <c r="J2274" t="s">
        <v>899</v>
      </c>
      <c r="L2274">
        <v>4</v>
      </c>
      <c r="M2274" s="134">
        <v>793013</v>
      </c>
      <c r="N2274" s="134">
        <v>1598666</v>
      </c>
      <c r="O2274" t="s">
        <v>7124</v>
      </c>
      <c r="P2274" t="s">
        <v>10341</v>
      </c>
      <c r="Q2274" t="s">
        <v>592</v>
      </c>
      <c r="R2274" t="s">
        <v>10342</v>
      </c>
      <c r="U2274" t="s">
        <v>1327</v>
      </c>
      <c r="X2274">
        <v>0</v>
      </c>
    </row>
    <row r="2275" spans="1:24" x14ac:dyDescent="0.25">
      <c r="A2275" s="234">
        <v>42979</v>
      </c>
      <c r="B2275" t="s">
        <v>5176</v>
      </c>
      <c r="C2275" t="s">
        <v>959</v>
      </c>
      <c r="D2275" t="s">
        <v>6995</v>
      </c>
      <c r="E2275" t="s">
        <v>588</v>
      </c>
      <c r="F2275" t="s">
        <v>8392</v>
      </c>
      <c r="H2275" t="s">
        <v>905</v>
      </c>
      <c r="I2275" t="s">
        <v>6997</v>
      </c>
      <c r="J2275" t="s">
        <v>959</v>
      </c>
      <c r="M2275" s="134">
        <v>794000</v>
      </c>
      <c r="N2275" s="134">
        <v>863300</v>
      </c>
      <c r="O2275" t="s">
        <v>7805</v>
      </c>
      <c r="P2275" t="s">
        <v>8393</v>
      </c>
      <c r="Q2275" t="s">
        <v>29</v>
      </c>
      <c r="R2275" t="s">
        <v>8394</v>
      </c>
      <c r="T2275">
        <v>16</v>
      </c>
      <c r="U2275" t="s">
        <v>491</v>
      </c>
      <c r="X2275">
        <v>1</v>
      </c>
    </row>
    <row r="2276" spans="1:24" x14ac:dyDescent="0.25">
      <c r="A2276" s="234">
        <v>43518</v>
      </c>
      <c r="B2276" t="s">
        <v>569</v>
      </c>
      <c r="C2276" t="s">
        <v>899</v>
      </c>
      <c r="D2276" t="s">
        <v>625</v>
      </c>
      <c r="F2276" t="s">
        <v>14492</v>
      </c>
      <c r="G2276" t="s">
        <v>14493</v>
      </c>
      <c r="H2276" t="s">
        <v>905</v>
      </c>
      <c r="I2276" t="s">
        <v>2054</v>
      </c>
      <c r="J2276" t="s">
        <v>899</v>
      </c>
      <c r="K2276" t="s">
        <v>14494</v>
      </c>
      <c r="M2276" s="134">
        <v>794000</v>
      </c>
      <c r="N2276" s="134">
        <v>883400</v>
      </c>
      <c r="O2276" t="s">
        <v>7564</v>
      </c>
      <c r="P2276" t="s">
        <v>14570</v>
      </c>
      <c r="Q2276" t="s">
        <v>592</v>
      </c>
      <c r="R2276" t="s">
        <v>14495</v>
      </c>
      <c r="U2276" t="s">
        <v>12797</v>
      </c>
      <c r="X2276">
        <v>0</v>
      </c>
    </row>
    <row r="2277" spans="1:24" x14ac:dyDescent="0.25">
      <c r="A2277" s="234">
        <v>43539</v>
      </c>
      <c r="B2277" t="s">
        <v>569</v>
      </c>
      <c r="C2277" t="s">
        <v>899</v>
      </c>
      <c r="D2277" t="s">
        <v>611</v>
      </c>
      <c r="F2277" t="s">
        <v>14719</v>
      </c>
      <c r="G2277" t="s">
        <v>14720</v>
      </c>
      <c r="H2277" t="s">
        <v>10831</v>
      </c>
      <c r="I2277" t="s">
        <v>10574</v>
      </c>
      <c r="J2277" t="s">
        <v>899</v>
      </c>
      <c r="K2277" t="s">
        <v>13288</v>
      </c>
      <c r="L2277">
        <v>4</v>
      </c>
      <c r="M2277" s="134">
        <v>797428</v>
      </c>
      <c r="N2277" s="134">
        <v>1594857</v>
      </c>
      <c r="O2277" t="s">
        <v>10766</v>
      </c>
      <c r="P2277" t="s">
        <v>14721</v>
      </c>
      <c r="Q2277" t="s">
        <v>1939</v>
      </c>
      <c r="R2277" t="s">
        <v>14722</v>
      </c>
      <c r="U2277" t="s">
        <v>12797</v>
      </c>
      <c r="X2277">
        <v>0</v>
      </c>
    </row>
    <row r="2278" spans="1:24" x14ac:dyDescent="0.25">
      <c r="A2278" s="234">
        <v>43377</v>
      </c>
      <c r="B2278" t="s">
        <v>328</v>
      </c>
      <c r="C2278" t="s">
        <v>603</v>
      </c>
      <c r="D2278" t="s">
        <v>10705</v>
      </c>
      <c r="E2278" t="s">
        <v>588</v>
      </c>
      <c r="F2278" t="s">
        <v>12833</v>
      </c>
      <c r="G2278" t="s">
        <v>12834</v>
      </c>
      <c r="H2278" t="s">
        <v>607</v>
      </c>
      <c r="I2278" t="s">
        <v>12835</v>
      </c>
      <c r="J2278" t="s">
        <v>3733</v>
      </c>
      <c r="L2278">
        <v>10</v>
      </c>
      <c r="M2278" s="134">
        <v>799000</v>
      </c>
      <c r="N2278" s="134">
        <v>1598000</v>
      </c>
      <c r="O2278" t="s">
        <v>7124</v>
      </c>
      <c r="P2278" t="s">
        <v>12837</v>
      </c>
      <c r="Q2278" t="s">
        <v>1939</v>
      </c>
      <c r="R2278" t="s">
        <v>12836</v>
      </c>
      <c r="U2278" t="s">
        <v>12344</v>
      </c>
      <c r="X2278">
        <v>0</v>
      </c>
    </row>
    <row r="2279" spans="1:24" x14ac:dyDescent="0.25">
      <c r="A2279" s="234">
        <v>43244</v>
      </c>
      <c r="B2279" t="s">
        <v>328</v>
      </c>
      <c r="C2279" t="s">
        <v>899</v>
      </c>
      <c r="D2279" t="s">
        <v>649</v>
      </c>
      <c r="E2279" t="s">
        <v>588</v>
      </c>
      <c r="F2279" t="s">
        <v>11294</v>
      </c>
      <c r="G2279" t="s">
        <v>11295</v>
      </c>
      <c r="H2279" t="s">
        <v>607</v>
      </c>
      <c r="I2279" t="s">
        <v>2054</v>
      </c>
      <c r="J2279" t="s">
        <v>899</v>
      </c>
      <c r="M2279" s="134">
        <v>800000</v>
      </c>
      <c r="N2279" s="134">
        <v>0</v>
      </c>
      <c r="O2279" t="s">
        <v>7564</v>
      </c>
      <c r="P2279" t="s">
        <v>11296</v>
      </c>
      <c r="Q2279" t="s">
        <v>592</v>
      </c>
      <c r="R2279" t="s">
        <v>11297</v>
      </c>
      <c r="U2279" t="s">
        <v>633</v>
      </c>
      <c r="X2279">
        <v>0</v>
      </c>
    </row>
    <row r="2280" spans="1:24" x14ac:dyDescent="0.25">
      <c r="A2280" s="234">
        <v>42956</v>
      </c>
      <c r="B2280" t="s">
        <v>569</v>
      </c>
      <c r="D2280" t="s">
        <v>624</v>
      </c>
      <c r="E2280" t="s">
        <v>588</v>
      </c>
      <c r="F2280" t="s">
        <v>8056</v>
      </c>
      <c r="G2280" t="s">
        <v>8057</v>
      </c>
      <c r="H2280" t="s">
        <v>607</v>
      </c>
      <c r="I2280" t="s">
        <v>8058</v>
      </c>
      <c r="J2280" t="s">
        <v>899</v>
      </c>
      <c r="M2280" s="134">
        <v>800000</v>
      </c>
      <c r="N2280" s="134">
        <v>0</v>
      </c>
      <c r="O2280" t="s">
        <v>8059</v>
      </c>
      <c r="P2280" t="s">
        <v>8060</v>
      </c>
      <c r="Q2280" t="s">
        <v>1939</v>
      </c>
      <c r="R2280" t="s">
        <v>8061</v>
      </c>
      <c r="T2280">
        <v>18</v>
      </c>
      <c r="U2280" t="s">
        <v>491</v>
      </c>
      <c r="X2280">
        <v>0</v>
      </c>
    </row>
    <row r="2281" spans="1:24" x14ac:dyDescent="0.25">
      <c r="A2281" s="234">
        <v>42374</v>
      </c>
      <c r="B2281" t="s">
        <v>378</v>
      </c>
      <c r="C2281" t="s">
        <v>623</v>
      </c>
      <c r="D2281" t="s">
        <v>625</v>
      </c>
      <c r="E2281" t="s">
        <v>588</v>
      </c>
      <c r="F2281" t="s">
        <v>633</v>
      </c>
      <c r="H2281" t="s">
        <v>607</v>
      </c>
      <c r="I2281" t="s">
        <v>661</v>
      </c>
      <c r="M2281" s="134">
        <v>800000</v>
      </c>
      <c r="N2281" s="134">
        <v>460000</v>
      </c>
      <c r="O2281" t="s">
        <v>634</v>
      </c>
      <c r="P2281" t="s">
        <v>635</v>
      </c>
      <c r="Q2281" t="s">
        <v>592</v>
      </c>
      <c r="R2281" t="s">
        <v>637</v>
      </c>
      <c r="U2281" t="s">
        <v>491</v>
      </c>
      <c r="X2281">
        <v>0</v>
      </c>
    </row>
    <row r="2282" spans="1:24" x14ac:dyDescent="0.25">
      <c r="A2282" s="234">
        <v>42775</v>
      </c>
      <c r="B2282" t="s">
        <v>569</v>
      </c>
      <c r="D2282" t="s">
        <v>930</v>
      </c>
      <c r="E2282" t="s">
        <v>588</v>
      </c>
      <c r="F2282" t="s">
        <v>5654</v>
      </c>
      <c r="H2282" t="s">
        <v>905</v>
      </c>
      <c r="I2282" t="s">
        <v>2054</v>
      </c>
      <c r="J2282" t="s">
        <v>899</v>
      </c>
      <c r="M2282" s="134">
        <v>800000</v>
      </c>
      <c r="N2282" s="134">
        <v>800000</v>
      </c>
      <c r="O2282" t="s">
        <v>5655</v>
      </c>
      <c r="P2282" t="s">
        <v>5657</v>
      </c>
      <c r="Q2282" t="s">
        <v>592</v>
      </c>
      <c r="R2282" t="s">
        <v>5656</v>
      </c>
      <c r="U2282" t="s">
        <v>491</v>
      </c>
      <c r="X2282">
        <v>0</v>
      </c>
    </row>
    <row r="2283" spans="1:24" x14ac:dyDescent="0.25">
      <c r="A2283" s="234">
        <v>42831</v>
      </c>
      <c r="B2283" t="s">
        <v>5473</v>
      </c>
      <c r="C2283" t="s">
        <v>608</v>
      </c>
      <c r="D2283" t="s">
        <v>1495</v>
      </c>
      <c r="E2283" t="s">
        <v>588</v>
      </c>
      <c r="F2283" t="s">
        <v>6287</v>
      </c>
      <c r="H2283" t="s">
        <v>886</v>
      </c>
      <c r="I2283" t="s">
        <v>6288</v>
      </c>
      <c r="J2283" t="s">
        <v>602</v>
      </c>
      <c r="M2283" s="134">
        <v>800000</v>
      </c>
      <c r="N2283" s="134">
        <v>800000</v>
      </c>
      <c r="O2283" t="s">
        <v>5234</v>
      </c>
      <c r="P2283" t="s">
        <v>6289</v>
      </c>
      <c r="Q2283" t="s">
        <v>29</v>
      </c>
      <c r="U2283" t="s">
        <v>491</v>
      </c>
      <c r="X2283">
        <v>1</v>
      </c>
    </row>
    <row r="2284" spans="1:24" x14ac:dyDescent="0.25">
      <c r="A2284" s="234">
        <v>43046</v>
      </c>
      <c r="B2284" t="s">
        <v>328</v>
      </c>
      <c r="C2284" t="s">
        <v>603</v>
      </c>
      <c r="D2284" t="s">
        <v>649</v>
      </c>
      <c r="E2284" t="s">
        <v>588</v>
      </c>
      <c r="F2284" t="s">
        <v>9370</v>
      </c>
      <c r="G2284" t="s">
        <v>2836</v>
      </c>
      <c r="H2284" t="s">
        <v>607</v>
      </c>
      <c r="I2284" t="s">
        <v>9371</v>
      </c>
      <c r="J2284" t="s">
        <v>899</v>
      </c>
      <c r="M2284" s="134">
        <v>800000</v>
      </c>
      <c r="N2284" s="134">
        <v>800000</v>
      </c>
      <c r="O2284" t="s">
        <v>3107</v>
      </c>
      <c r="P2284" t="s">
        <v>9372</v>
      </c>
      <c r="Q2284" t="s">
        <v>592</v>
      </c>
      <c r="R2284" t="s">
        <v>9373</v>
      </c>
      <c r="U2284" t="s">
        <v>1327</v>
      </c>
      <c r="X2284">
        <v>0</v>
      </c>
    </row>
    <row r="2285" spans="1:24" x14ac:dyDescent="0.25">
      <c r="A2285" s="234">
        <v>42692</v>
      </c>
      <c r="B2285" t="s">
        <v>1486</v>
      </c>
      <c r="C2285" t="s">
        <v>959</v>
      </c>
      <c r="D2285" t="s">
        <v>732</v>
      </c>
      <c r="E2285" t="s">
        <v>588</v>
      </c>
      <c r="F2285" t="s">
        <v>4745</v>
      </c>
      <c r="H2285" t="s">
        <v>886</v>
      </c>
      <c r="I2285" t="s">
        <v>4746</v>
      </c>
      <c r="J2285" t="s">
        <v>959</v>
      </c>
      <c r="M2285" s="134">
        <v>800000</v>
      </c>
      <c r="N2285" s="134">
        <v>800000</v>
      </c>
      <c r="O2285" t="s">
        <v>2295</v>
      </c>
      <c r="P2285" t="s">
        <v>4747</v>
      </c>
      <c r="Q2285" t="s">
        <v>1939</v>
      </c>
      <c r="R2285" t="s">
        <v>4748</v>
      </c>
      <c r="U2285" t="s">
        <v>1327</v>
      </c>
      <c r="X2285">
        <v>0</v>
      </c>
    </row>
    <row r="2286" spans="1:24" x14ac:dyDescent="0.25">
      <c r="A2286" s="234">
        <v>43620</v>
      </c>
      <c r="B2286" t="s">
        <v>328</v>
      </c>
      <c r="C2286" t="s">
        <v>603</v>
      </c>
      <c r="D2286" t="s">
        <v>10705</v>
      </c>
      <c r="F2286" t="s">
        <v>10502</v>
      </c>
      <c r="G2286" t="s">
        <v>8550</v>
      </c>
      <c r="H2286" t="s">
        <v>809</v>
      </c>
      <c r="I2286" t="s">
        <v>5703</v>
      </c>
      <c r="J2286" t="s">
        <v>5610</v>
      </c>
      <c r="K2286" t="s">
        <v>15919</v>
      </c>
      <c r="L2286">
        <v>3</v>
      </c>
      <c r="M2286" s="134">
        <v>800000</v>
      </c>
      <c r="N2286" s="134">
        <v>810000</v>
      </c>
      <c r="O2286" t="s">
        <v>7564</v>
      </c>
      <c r="P2286" t="s">
        <v>15920</v>
      </c>
      <c r="Q2286" t="s">
        <v>1939</v>
      </c>
      <c r="R2286" t="s">
        <v>15921</v>
      </c>
      <c r="U2286" t="s">
        <v>491</v>
      </c>
      <c r="X2286">
        <v>0</v>
      </c>
    </row>
    <row r="2287" spans="1:24" x14ac:dyDescent="0.25">
      <c r="A2287" s="234">
        <v>42726</v>
      </c>
      <c r="B2287" t="s">
        <v>320</v>
      </c>
      <c r="C2287" t="s">
        <v>1228</v>
      </c>
      <c r="D2287" t="s">
        <v>1229</v>
      </c>
      <c r="E2287" t="s">
        <v>588</v>
      </c>
      <c r="F2287" t="s">
        <v>5103</v>
      </c>
      <c r="H2287" t="s">
        <v>607</v>
      </c>
      <c r="I2287" t="s">
        <v>5104</v>
      </c>
      <c r="J2287" t="s">
        <v>3856</v>
      </c>
      <c r="L2287">
        <v>5</v>
      </c>
      <c r="M2287" s="134">
        <v>800000</v>
      </c>
      <c r="N2287" s="134">
        <v>920000</v>
      </c>
      <c r="O2287" t="s">
        <v>5105</v>
      </c>
      <c r="P2287" t="s">
        <v>5106</v>
      </c>
      <c r="Q2287" t="s">
        <v>592</v>
      </c>
      <c r="R2287" t="s">
        <v>5107</v>
      </c>
      <c r="U2287" t="s">
        <v>491</v>
      </c>
      <c r="X2287">
        <v>0</v>
      </c>
    </row>
    <row r="2288" spans="1:24" x14ac:dyDescent="0.25">
      <c r="A2288" s="234">
        <v>42663</v>
      </c>
      <c r="B2288" t="s">
        <v>643</v>
      </c>
      <c r="C2288" t="s">
        <v>644</v>
      </c>
      <c r="D2288" t="s">
        <v>645</v>
      </c>
      <c r="E2288" t="s">
        <v>588</v>
      </c>
      <c r="F2288" t="s">
        <v>4429</v>
      </c>
      <c r="H2288" t="s">
        <v>722</v>
      </c>
      <c r="I2288" t="s">
        <v>4430</v>
      </c>
      <c r="J2288" t="s">
        <v>644</v>
      </c>
      <c r="L2288">
        <v>10</v>
      </c>
      <c r="M2288" s="134">
        <v>800000</v>
      </c>
      <c r="N2288" s="134">
        <v>938850</v>
      </c>
      <c r="O2288" t="s">
        <v>4047</v>
      </c>
      <c r="P2288" t="s">
        <v>4431</v>
      </c>
      <c r="Q2288" t="s">
        <v>29</v>
      </c>
      <c r="R2288" t="s">
        <v>4547</v>
      </c>
      <c r="U2288" t="s">
        <v>491</v>
      </c>
      <c r="V2288" t="s">
        <v>833</v>
      </c>
      <c r="X2288">
        <v>1</v>
      </c>
    </row>
    <row r="2289" spans="1:24" x14ac:dyDescent="0.25">
      <c r="A2289" s="234">
        <v>42832</v>
      </c>
      <c r="B2289" t="s">
        <v>569</v>
      </c>
      <c r="C2289" t="s">
        <v>899</v>
      </c>
      <c r="D2289" t="s">
        <v>625</v>
      </c>
      <c r="E2289" t="s">
        <v>588</v>
      </c>
      <c r="F2289" t="s">
        <v>6346</v>
      </c>
      <c r="H2289" t="s">
        <v>607</v>
      </c>
      <c r="I2289" t="s">
        <v>3721</v>
      </c>
      <c r="J2289" t="s">
        <v>899</v>
      </c>
      <c r="L2289">
        <v>2</v>
      </c>
      <c r="M2289" s="134">
        <v>800000</v>
      </c>
      <c r="N2289" s="134">
        <v>970000</v>
      </c>
      <c r="O2289" t="s">
        <v>1171</v>
      </c>
      <c r="P2289" t="s">
        <v>6347</v>
      </c>
      <c r="Q2289" t="s">
        <v>29</v>
      </c>
      <c r="U2289" t="s">
        <v>491</v>
      </c>
      <c r="X2289">
        <v>1</v>
      </c>
    </row>
    <row r="2290" spans="1:24" x14ac:dyDescent="0.25">
      <c r="A2290" s="234">
        <v>43398</v>
      </c>
      <c r="B2290" t="s">
        <v>328</v>
      </c>
      <c r="C2290" t="s">
        <v>603</v>
      </c>
      <c r="D2290" t="s">
        <v>1401</v>
      </c>
      <c r="F2290" t="s">
        <v>13034</v>
      </c>
      <c r="G2290" t="s">
        <v>8289</v>
      </c>
      <c r="H2290" t="s">
        <v>607</v>
      </c>
      <c r="I2290" t="s">
        <v>6353</v>
      </c>
      <c r="J2290" t="s">
        <v>899</v>
      </c>
      <c r="K2290">
        <v>93401</v>
      </c>
      <c r="M2290" s="134">
        <v>800000</v>
      </c>
      <c r="N2290" s="134">
        <v>1040000</v>
      </c>
      <c r="O2290" t="s">
        <v>10766</v>
      </c>
      <c r="P2290" t="s">
        <v>13421</v>
      </c>
      <c r="Q2290" t="s">
        <v>29</v>
      </c>
      <c r="R2290" t="s">
        <v>13035</v>
      </c>
      <c r="U2290" t="s">
        <v>12344</v>
      </c>
      <c r="X2290">
        <v>1</v>
      </c>
    </row>
    <row r="2291" spans="1:24" x14ac:dyDescent="0.25">
      <c r="A2291" s="234">
        <v>42534</v>
      </c>
      <c r="B2291" t="s">
        <v>328</v>
      </c>
      <c r="C2291" t="s">
        <v>603</v>
      </c>
      <c r="D2291" t="s">
        <v>1471</v>
      </c>
      <c r="E2291" t="s">
        <v>588</v>
      </c>
      <c r="F2291" t="s">
        <v>2484</v>
      </c>
      <c r="H2291" t="s">
        <v>607</v>
      </c>
      <c r="I2291" t="s">
        <v>2478</v>
      </c>
      <c r="M2291" s="134">
        <v>800000</v>
      </c>
      <c r="N2291" s="134">
        <v>1100000</v>
      </c>
      <c r="O2291" t="s">
        <v>2479</v>
      </c>
      <c r="P2291" t="s">
        <v>2480</v>
      </c>
      <c r="Q2291" t="s">
        <v>29</v>
      </c>
      <c r="R2291" t="s">
        <v>2482</v>
      </c>
      <c r="S2291" t="s">
        <v>2508</v>
      </c>
      <c r="U2291" t="s">
        <v>491</v>
      </c>
      <c r="X2291">
        <v>1</v>
      </c>
    </row>
    <row r="2292" spans="1:24" x14ac:dyDescent="0.25">
      <c r="A2292" s="234">
        <v>42976</v>
      </c>
      <c r="B2292" t="s">
        <v>328</v>
      </c>
      <c r="C2292" t="s">
        <v>603</v>
      </c>
      <c r="D2292" t="s">
        <v>649</v>
      </c>
      <c r="E2292" t="s">
        <v>588</v>
      </c>
      <c r="F2292" t="s">
        <v>8328</v>
      </c>
      <c r="G2292" t="s">
        <v>4655</v>
      </c>
      <c r="H2292" t="s">
        <v>1391</v>
      </c>
      <c r="I2292" t="s">
        <v>8327</v>
      </c>
      <c r="J2292" t="s">
        <v>899</v>
      </c>
      <c r="L2292">
        <v>10</v>
      </c>
      <c r="M2292" s="134">
        <v>800000</v>
      </c>
      <c r="N2292" s="134">
        <v>1200000</v>
      </c>
      <c r="O2292" t="s">
        <v>2680</v>
      </c>
      <c r="P2292" t="s">
        <v>8329</v>
      </c>
      <c r="Q2292" t="s">
        <v>1939</v>
      </c>
      <c r="R2292" t="s">
        <v>8330</v>
      </c>
      <c r="S2292" t="s">
        <v>8555</v>
      </c>
      <c r="T2292">
        <v>27</v>
      </c>
      <c r="U2292" t="s">
        <v>491</v>
      </c>
      <c r="X2292">
        <v>0</v>
      </c>
    </row>
    <row r="2293" spans="1:24" x14ac:dyDescent="0.25">
      <c r="A2293" s="234">
        <v>43152</v>
      </c>
      <c r="B2293" t="s">
        <v>9240</v>
      </c>
      <c r="C2293" t="s">
        <v>603</v>
      </c>
      <c r="D2293" t="s">
        <v>9241</v>
      </c>
      <c r="E2293" t="s">
        <v>588</v>
      </c>
      <c r="F2293" t="s">
        <v>10386</v>
      </c>
      <c r="G2293" t="s">
        <v>10385</v>
      </c>
      <c r="H2293" t="s">
        <v>607</v>
      </c>
      <c r="I2293" t="s">
        <v>10384</v>
      </c>
      <c r="J2293" t="s">
        <v>4031</v>
      </c>
      <c r="L2293">
        <v>5</v>
      </c>
      <c r="M2293" s="134">
        <v>800000</v>
      </c>
      <c r="N2293" s="134">
        <v>1240000</v>
      </c>
      <c r="O2293" t="s">
        <v>7564</v>
      </c>
      <c r="P2293" t="s">
        <v>10383</v>
      </c>
      <c r="Q2293" t="s">
        <v>1939</v>
      </c>
      <c r="R2293" t="s">
        <v>10382</v>
      </c>
      <c r="U2293" t="s">
        <v>1327</v>
      </c>
      <c r="X2293">
        <v>0</v>
      </c>
    </row>
    <row r="2294" spans="1:24" x14ac:dyDescent="0.25">
      <c r="A2294" s="234">
        <v>42612</v>
      </c>
      <c r="B2294" t="s">
        <v>378</v>
      </c>
      <c r="C2294" t="s">
        <v>623</v>
      </c>
      <c r="D2294" t="s">
        <v>625</v>
      </c>
      <c r="E2294" t="s">
        <v>588</v>
      </c>
      <c r="F2294" t="s">
        <v>3686</v>
      </c>
      <c r="H2294" t="s">
        <v>607</v>
      </c>
      <c r="I2294" t="s">
        <v>3462</v>
      </c>
      <c r="J2294" t="s">
        <v>899</v>
      </c>
      <c r="M2294" s="134">
        <v>800000</v>
      </c>
      <c r="N2294" s="134">
        <v>1440000</v>
      </c>
      <c r="O2294" t="s">
        <v>2612</v>
      </c>
      <c r="P2294" t="s">
        <v>3687</v>
      </c>
      <c r="Q2294" t="s">
        <v>1939</v>
      </c>
      <c r="R2294" t="s">
        <v>3688</v>
      </c>
      <c r="U2294" t="s">
        <v>491</v>
      </c>
      <c r="X2294">
        <v>0</v>
      </c>
    </row>
    <row r="2295" spans="1:24" x14ac:dyDescent="0.25">
      <c r="A2295" s="234">
        <v>42668</v>
      </c>
      <c r="B2295" t="s">
        <v>328</v>
      </c>
      <c r="C2295" t="s">
        <v>603</v>
      </c>
      <c r="D2295" t="s">
        <v>2397</v>
      </c>
      <c r="E2295" t="s">
        <v>588</v>
      </c>
      <c r="F2295" t="s">
        <v>4470</v>
      </c>
      <c r="H2295" t="s">
        <v>607</v>
      </c>
      <c r="I2295" t="s">
        <v>3462</v>
      </c>
      <c r="J2295" t="s">
        <v>899</v>
      </c>
      <c r="L2295">
        <v>4</v>
      </c>
      <c r="M2295" s="134">
        <v>800000</v>
      </c>
      <c r="N2295" s="134">
        <v>1440000</v>
      </c>
      <c r="O2295" t="s">
        <v>695</v>
      </c>
      <c r="P2295" t="s">
        <v>4471</v>
      </c>
      <c r="Q2295" t="s">
        <v>592</v>
      </c>
      <c r="R2295" t="s">
        <v>3386</v>
      </c>
      <c r="U2295" t="s">
        <v>491</v>
      </c>
      <c r="X2295">
        <v>0</v>
      </c>
    </row>
    <row r="2296" spans="1:24" x14ac:dyDescent="0.25">
      <c r="A2296" s="234">
        <v>43180</v>
      </c>
      <c r="B2296" t="s">
        <v>328</v>
      </c>
      <c r="C2296" t="s">
        <v>603</v>
      </c>
      <c r="D2296" t="s">
        <v>2397</v>
      </c>
      <c r="E2296" t="s">
        <v>588</v>
      </c>
      <c r="F2296" t="s">
        <v>10672</v>
      </c>
      <c r="G2296" t="s">
        <v>7814</v>
      </c>
      <c r="H2296" t="s">
        <v>607</v>
      </c>
      <c r="I2296" t="s">
        <v>9550</v>
      </c>
      <c r="J2296" t="s">
        <v>3733</v>
      </c>
      <c r="M2296" s="134">
        <v>800000</v>
      </c>
      <c r="N2296" s="134">
        <v>1540000</v>
      </c>
      <c r="O2296" t="s">
        <v>6745</v>
      </c>
      <c r="P2296" t="s">
        <v>10747</v>
      </c>
      <c r="Q2296" t="s">
        <v>1939</v>
      </c>
      <c r="R2296" t="s">
        <v>10673</v>
      </c>
      <c r="U2296" t="s">
        <v>1327</v>
      </c>
      <c r="X2296">
        <v>0</v>
      </c>
    </row>
    <row r="2297" spans="1:24" x14ac:dyDescent="0.25">
      <c r="A2297" s="234">
        <v>43432</v>
      </c>
      <c r="B2297" t="s">
        <v>643</v>
      </c>
      <c r="C2297" t="s">
        <v>644</v>
      </c>
      <c r="D2297" t="s">
        <v>645</v>
      </c>
      <c r="F2297" t="s">
        <v>10386</v>
      </c>
      <c r="G2297" t="s">
        <v>13321</v>
      </c>
      <c r="H2297" t="s">
        <v>607</v>
      </c>
      <c r="I2297" t="s">
        <v>13322</v>
      </c>
      <c r="J2297" t="s">
        <v>644</v>
      </c>
      <c r="K2297" t="s">
        <v>13323</v>
      </c>
      <c r="L2297">
        <v>10</v>
      </c>
      <c r="M2297" s="134">
        <v>800000</v>
      </c>
      <c r="N2297" s="134">
        <v>1590000</v>
      </c>
      <c r="O2297" t="s">
        <v>7124</v>
      </c>
      <c r="P2297" t="s">
        <v>13324</v>
      </c>
      <c r="Q2297" t="s">
        <v>29</v>
      </c>
      <c r="R2297" t="s">
        <v>13325</v>
      </c>
      <c r="U2297" t="s">
        <v>491</v>
      </c>
      <c r="X2297">
        <v>1</v>
      </c>
    </row>
    <row r="2298" spans="1:24" x14ac:dyDescent="0.25">
      <c r="A2298" s="234">
        <v>42508</v>
      </c>
      <c r="B2298" t="s">
        <v>328</v>
      </c>
      <c r="C2298" t="s">
        <v>603</v>
      </c>
      <c r="D2298" t="s">
        <v>649</v>
      </c>
      <c r="E2298" t="s">
        <v>588</v>
      </c>
      <c r="F2298" t="s">
        <v>2137</v>
      </c>
      <c r="H2298" t="s">
        <v>607</v>
      </c>
      <c r="I2298" t="s">
        <v>2138</v>
      </c>
      <c r="M2298" s="134">
        <v>800000</v>
      </c>
      <c r="N2298" s="134">
        <v>1640000</v>
      </c>
      <c r="O2298" t="s">
        <v>764</v>
      </c>
      <c r="P2298" t="s">
        <v>2139</v>
      </c>
      <c r="Q2298" t="s">
        <v>592</v>
      </c>
      <c r="U2298" t="s">
        <v>491</v>
      </c>
      <c r="X2298">
        <v>0</v>
      </c>
    </row>
    <row r="2299" spans="1:24" x14ac:dyDescent="0.25">
      <c r="A2299" s="234">
        <v>43045</v>
      </c>
      <c r="B2299" t="s">
        <v>328</v>
      </c>
      <c r="C2299" t="s">
        <v>603</v>
      </c>
      <c r="D2299" t="s">
        <v>672</v>
      </c>
      <c r="E2299" t="s">
        <v>588</v>
      </c>
      <c r="F2299" t="s">
        <v>9349</v>
      </c>
      <c r="G2299" t="s">
        <v>9350</v>
      </c>
      <c r="H2299" t="s">
        <v>1391</v>
      </c>
      <c r="I2299" t="s">
        <v>9351</v>
      </c>
      <c r="J2299" t="s">
        <v>899</v>
      </c>
      <c r="L2299">
        <v>9</v>
      </c>
      <c r="M2299" s="134">
        <v>800000</v>
      </c>
      <c r="N2299" s="134">
        <v>1680000</v>
      </c>
      <c r="O2299" t="s">
        <v>560</v>
      </c>
      <c r="P2299" t="s">
        <v>9609</v>
      </c>
      <c r="Q2299" t="s">
        <v>592</v>
      </c>
      <c r="R2299" t="s">
        <v>9358</v>
      </c>
      <c r="U2299" t="s">
        <v>491</v>
      </c>
      <c r="X2299">
        <v>0</v>
      </c>
    </row>
    <row r="2300" spans="1:24" x14ac:dyDescent="0.25">
      <c r="A2300" s="234">
        <v>43277</v>
      </c>
      <c r="B2300" t="s">
        <v>328</v>
      </c>
      <c r="C2300" t="s">
        <v>603</v>
      </c>
      <c r="D2300" t="s">
        <v>8941</v>
      </c>
      <c r="E2300" t="s">
        <v>588</v>
      </c>
      <c r="F2300" t="s">
        <v>11639</v>
      </c>
      <c r="G2300" t="s">
        <v>8777</v>
      </c>
      <c r="H2300" t="s">
        <v>607</v>
      </c>
      <c r="I2300" t="s">
        <v>11640</v>
      </c>
      <c r="J2300" t="s">
        <v>899</v>
      </c>
      <c r="L2300">
        <v>4</v>
      </c>
      <c r="M2300" s="134">
        <v>800000</v>
      </c>
      <c r="N2300" s="134">
        <v>1860000</v>
      </c>
      <c r="O2300" t="s">
        <v>10766</v>
      </c>
      <c r="P2300" t="s">
        <v>11641</v>
      </c>
      <c r="Q2300" t="s">
        <v>1939</v>
      </c>
      <c r="R2300" t="s">
        <v>11642</v>
      </c>
      <c r="U2300" t="s">
        <v>1327</v>
      </c>
      <c r="X2300">
        <v>0</v>
      </c>
    </row>
    <row r="2301" spans="1:24" x14ac:dyDescent="0.25">
      <c r="A2301" s="234">
        <v>43452</v>
      </c>
      <c r="B2301" t="s">
        <v>328</v>
      </c>
      <c r="C2301" t="s">
        <v>603</v>
      </c>
      <c r="D2301" t="s">
        <v>10705</v>
      </c>
      <c r="F2301" t="s">
        <v>13675</v>
      </c>
      <c r="G2301" t="s">
        <v>7814</v>
      </c>
      <c r="H2301" t="s">
        <v>607</v>
      </c>
      <c r="I2301" t="s">
        <v>13676</v>
      </c>
      <c r="J2301" t="s">
        <v>899</v>
      </c>
      <c r="K2301" t="s">
        <v>13677</v>
      </c>
      <c r="L2301">
        <v>6</v>
      </c>
      <c r="M2301" s="134">
        <v>804000</v>
      </c>
      <c r="N2301" s="134">
        <v>1366800</v>
      </c>
      <c r="O2301" t="s">
        <v>7564</v>
      </c>
      <c r="P2301" t="s">
        <v>13763</v>
      </c>
      <c r="Q2301" t="s">
        <v>1939</v>
      </c>
      <c r="R2301" t="s">
        <v>13678</v>
      </c>
      <c r="U2301" t="s">
        <v>491</v>
      </c>
      <c r="X2301">
        <v>0</v>
      </c>
    </row>
    <row r="2302" spans="1:24" x14ac:dyDescent="0.25">
      <c r="A2302" s="234">
        <v>42769</v>
      </c>
      <c r="B2302" t="s">
        <v>328</v>
      </c>
      <c r="C2302" t="s">
        <v>603</v>
      </c>
      <c r="D2302" t="s">
        <v>2397</v>
      </c>
      <c r="E2302" t="s">
        <v>588</v>
      </c>
      <c r="F2302" t="s">
        <v>5598</v>
      </c>
      <c r="H2302" t="s">
        <v>607</v>
      </c>
      <c r="I2302" t="s">
        <v>5599</v>
      </c>
      <c r="J2302" t="s">
        <v>604</v>
      </c>
      <c r="L2302">
        <v>6</v>
      </c>
      <c r="M2302" s="134">
        <v>809000</v>
      </c>
      <c r="N2302" s="134">
        <v>1550000</v>
      </c>
      <c r="O2302" t="s">
        <v>3952</v>
      </c>
      <c r="P2302" t="s">
        <v>5600</v>
      </c>
      <c r="Q2302" t="s">
        <v>620</v>
      </c>
      <c r="R2302" t="s">
        <v>5601</v>
      </c>
      <c r="U2302" t="s">
        <v>491</v>
      </c>
      <c r="X2302">
        <v>0</v>
      </c>
    </row>
    <row r="2303" spans="1:24" x14ac:dyDescent="0.25">
      <c r="A2303" s="234">
        <v>42977</v>
      </c>
      <c r="B2303" t="s">
        <v>5360</v>
      </c>
      <c r="C2303" t="s">
        <v>899</v>
      </c>
      <c r="D2303" t="s">
        <v>732</v>
      </c>
      <c r="E2303" t="s">
        <v>588</v>
      </c>
      <c r="F2303" t="s">
        <v>8362</v>
      </c>
      <c r="G2303" t="s">
        <v>8363</v>
      </c>
      <c r="H2303" t="s">
        <v>607</v>
      </c>
      <c r="I2303" t="s">
        <v>3586</v>
      </c>
      <c r="J2303" t="s">
        <v>899</v>
      </c>
      <c r="L2303">
        <v>10</v>
      </c>
      <c r="M2303" s="134">
        <v>810000</v>
      </c>
      <c r="N2303" s="134">
        <v>1296000</v>
      </c>
      <c r="O2303" t="s">
        <v>764</v>
      </c>
      <c r="P2303" t="s">
        <v>8364</v>
      </c>
      <c r="Q2303" t="s">
        <v>620</v>
      </c>
      <c r="R2303" t="s">
        <v>8365</v>
      </c>
      <c r="T2303">
        <v>23</v>
      </c>
      <c r="U2303" t="s">
        <v>491</v>
      </c>
      <c r="X2303">
        <v>0</v>
      </c>
    </row>
    <row r="2304" spans="1:24" x14ac:dyDescent="0.25">
      <c r="A2304" s="234">
        <v>43591</v>
      </c>
      <c r="B2304" t="s">
        <v>13559</v>
      </c>
      <c r="C2304" t="s">
        <v>4031</v>
      </c>
      <c r="D2304" t="s">
        <v>13560</v>
      </c>
      <c r="F2304" t="s">
        <v>15403</v>
      </c>
      <c r="G2304" t="s">
        <v>9000</v>
      </c>
      <c r="H2304" t="s">
        <v>607</v>
      </c>
      <c r="I2304" t="s">
        <v>8721</v>
      </c>
      <c r="J2304" t="s">
        <v>4031</v>
      </c>
      <c r="K2304" t="s">
        <v>15404</v>
      </c>
      <c r="L2304">
        <v>5</v>
      </c>
      <c r="M2304" s="134">
        <v>810000</v>
      </c>
      <c r="N2304" s="134">
        <v>1500000</v>
      </c>
      <c r="O2304" t="s">
        <v>7564</v>
      </c>
      <c r="P2304" t="s">
        <v>15405</v>
      </c>
      <c r="Q2304" t="s">
        <v>620</v>
      </c>
      <c r="R2304" t="s">
        <v>15411</v>
      </c>
      <c r="S2304" t="s">
        <v>833</v>
      </c>
      <c r="U2304" t="s">
        <v>491</v>
      </c>
      <c r="X2304">
        <v>0</v>
      </c>
    </row>
    <row r="2305" spans="1:24" x14ac:dyDescent="0.25">
      <c r="A2305" s="234">
        <v>42482</v>
      </c>
      <c r="B2305" t="s">
        <v>328</v>
      </c>
      <c r="C2305" t="s">
        <v>603</v>
      </c>
      <c r="D2305" t="s">
        <v>587</v>
      </c>
      <c r="E2305" t="s">
        <v>588</v>
      </c>
      <c r="F2305" t="s">
        <v>1796</v>
      </c>
      <c r="H2305" t="s">
        <v>1391</v>
      </c>
      <c r="I2305" t="s">
        <v>1797</v>
      </c>
      <c r="M2305" s="134">
        <v>810000</v>
      </c>
      <c r="N2305" s="134">
        <v>1539000</v>
      </c>
      <c r="O2305" t="s">
        <v>1798</v>
      </c>
      <c r="P2305" t="s">
        <v>1799</v>
      </c>
      <c r="Q2305" t="s">
        <v>592</v>
      </c>
      <c r="R2305" t="s">
        <v>1800</v>
      </c>
      <c r="U2305" t="s">
        <v>491</v>
      </c>
      <c r="X2305">
        <v>0</v>
      </c>
    </row>
    <row r="2306" spans="1:24" x14ac:dyDescent="0.25">
      <c r="A2306" s="234">
        <v>42522</v>
      </c>
      <c r="B2306" t="s">
        <v>328</v>
      </c>
      <c r="C2306" t="s">
        <v>603</v>
      </c>
      <c r="D2306" t="s">
        <v>1401</v>
      </c>
      <c r="E2306" t="s">
        <v>588</v>
      </c>
      <c r="F2306" t="s">
        <v>2299</v>
      </c>
      <c r="H2306" t="s">
        <v>607</v>
      </c>
      <c r="I2306" t="s">
        <v>2300</v>
      </c>
      <c r="M2306" s="134">
        <v>812000</v>
      </c>
      <c r="N2306" s="134">
        <v>1380000</v>
      </c>
      <c r="O2306" t="s">
        <v>2305</v>
      </c>
      <c r="P2306" t="s">
        <v>2306</v>
      </c>
      <c r="Q2306" t="s">
        <v>1939</v>
      </c>
      <c r="R2306" t="s">
        <v>2302</v>
      </c>
      <c r="U2306" t="s">
        <v>2227</v>
      </c>
      <c r="X2306">
        <v>0</v>
      </c>
    </row>
    <row r="2307" spans="1:24" x14ac:dyDescent="0.25">
      <c r="A2307" s="234">
        <v>43354</v>
      </c>
      <c r="B2307" t="s">
        <v>328</v>
      </c>
      <c r="C2307" t="s">
        <v>603</v>
      </c>
      <c r="D2307" t="s">
        <v>672</v>
      </c>
      <c r="E2307" t="s">
        <v>588</v>
      </c>
      <c r="F2307" t="s">
        <v>12562</v>
      </c>
      <c r="G2307" t="s">
        <v>1401</v>
      </c>
      <c r="H2307" t="s">
        <v>607</v>
      </c>
      <c r="I2307" t="s">
        <v>7022</v>
      </c>
      <c r="J2307" t="s">
        <v>644</v>
      </c>
      <c r="L2307">
        <v>3</v>
      </c>
      <c r="M2307" s="134">
        <v>812000</v>
      </c>
      <c r="N2307" s="134">
        <v>1461600</v>
      </c>
      <c r="O2307" t="s">
        <v>10766</v>
      </c>
      <c r="P2307" t="s">
        <v>12563</v>
      </c>
      <c r="Q2307" t="s">
        <v>1939</v>
      </c>
      <c r="R2307" t="s">
        <v>12564</v>
      </c>
      <c r="U2307" t="s">
        <v>491</v>
      </c>
      <c r="X2307">
        <v>0</v>
      </c>
    </row>
    <row r="2308" spans="1:24" x14ac:dyDescent="0.25">
      <c r="A2308" s="234">
        <v>42702</v>
      </c>
      <c r="B2308" t="s">
        <v>643</v>
      </c>
      <c r="C2308" t="s">
        <v>644</v>
      </c>
      <c r="D2308" t="s">
        <v>645</v>
      </c>
      <c r="E2308" t="s">
        <v>588</v>
      </c>
      <c r="F2308" t="s">
        <v>4833</v>
      </c>
      <c r="H2308" t="s">
        <v>1391</v>
      </c>
      <c r="I2308" t="s">
        <v>2397</v>
      </c>
      <c r="J2308" t="s">
        <v>644</v>
      </c>
      <c r="L2308">
        <v>9</v>
      </c>
      <c r="M2308" s="134">
        <v>813000</v>
      </c>
      <c r="N2308" s="134">
        <v>2289200</v>
      </c>
      <c r="O2308" t="s">
        <v>4529</v>
      </c>
      <c r="P2308" t="s">
        <v>4834</v>
      </c>
      <c r="Q2308" t="s">
        <v>592</v>
      </c>
      <c r="U2308" t="s">
        <v>491</v>
      </c>
      <c r="X2308">
        <v>0</v>
      </c>
    </row>
    <row r="2309" spans="1:24" x14ac:dyDescent="0.25">
      <c r="A2309" s="234">
        <v>43614</v>
      </c>
      <c r="B2309" t="s">
        <v>13559</v>
      </c>
      <c r="C2309" t="s">
        <v>3523</v>
      </c>
      <c r="D2309" t="s">
        <v>672</v>
      </c>
      <c r="F2309" t="s">
        <v>7990</v>
      </c>
      <c r="G2309" t="s">
        <v>7792</v>
      </c>
      <c r="H2309" t="s">
        <v>607</v>
      </c>
      <c r="I2309" t="s">
        <v>12911</v>
      </c>
      <c r="J2309" t="s">
        <v>3523</v>
      </c>
      <c r="K2309" t="s">
        <v>15800</v>
      </c>
      <c r="L2309">
        <v>5</v>
      </c>
      <c r="M2309" s="134">
        <v>814468</v>
      </c>
      <c r="N2309" s="134">
        <v>1320000</v>
      </c>
      <c r="O2309" t="s">
        <v>10765</v>
      </c>
      <c r="P2309" t="s">
        <v>15801</v>
      </c>
      <c r="Q2309" t="s">
        <v>29</v>
      </c>
      <c r="R2309" t="s">
        <v>15802</v>
      </c>
      <c r="U2309" t="s">
        <v>491</v>
      </c>
      <c r="X2309">
        <v>1</v>
      </c>
    </row>
    <row r="2310" spans="1:24" x14ac:dyDescent="0.25">
      <c r="A2310" s="234">
        <v>43119</v>
      </c>
      <c r="B2310" t="s">
        <v>328</v>
      </c>
      <c r="C2310" t="s">
        <v>603</v>
      </c>
      <c r="D2310" t="s">
        <v>649</v>
      </c>
      <c r="E2310" t="s">
        <v>588</v>
      </c>
      <c r="F2310" t="s">
        <v>10079</v>
      </c>
      <c r="G2310" t="s">
        <v>10080</v>
      </c>
      <c r="H2310" t="s">
        <v>607</v>
      </c>
      <c r="I2310" t="s">
        <v>3408</v>
      </c>
      <c r="J2310" t="s">
        <v>3371</v>
      </c>
      <c r="L2310">
        <v>10</v>
      </c>
      <c r="M2310" s="134">
        <v>815000</v>
      </c>
      <c r="N2310" s="134">
        <v>1630000</v>
      </c>
      <c r="O2310" t="s">
        <v>7124</v>
      </c>
      <c r="P2310" t="s">
        <v>10081</v>
      </c>
      <c r="Q2310" t="s">
        <v>1939</v>
      </c>
      <c r="R2310" t="s">
        <v>10082</v>
      </c>
      <c r="U2310" t="s">
        <v>1327</v>
      </c>
      <c r="X2310">
        <v>0</v>
      </c>
    </row>
    <row r="2311" spans="1:24" x14ac:dyDescent="0.25">
      <c r="A2311" s="234">
        <v>42858</v>
      </c>
      <c r="B2311" t="s">
        <v>569</v>
      </c>
      <c r="D2311" t="s">
        <v>625</v>
      </c>
      <c r="E2311" t="s">
        <v>588</v>
      </c>
      <c r="F2311" t="s">
        <v>6658</v>
      </c>
      <c r="H2311" t="s">
        <v>607</v>
      </c>
      <c r="I2311" t="s">
        <v>3448</v>
      </c>
      <c r="J2311" t="s">
        <v>899</v>
      </c>
      <c r="M2311" s="134">
        <v>816000</v>
      </c>
      <c r="N2311" s="134">
        <v>0</v>
      </c>
      <c r="O2311" t="s">
        <v>6659</v>
      </c>
      <c r="P2311" t="s">
        <v>6660</v>
      </c>
      <c r="Q2311" t="s">
        <v>29</v>
      </c>
      <c r="R2311" t="s">
        <v>6661</v>
      </c>
      <c r="U2311" t="s">
        <v>491</v>
      </c>
      <c r="X2311">
        <v>1</v>
      </c>
    </row>
    <row r="2312" spans="1:24" x14ac:dyDescent="0.25">
      <c r="A2312" s="234">
        <v>42857</v>
      </c>
      <c r="B2312" t="s">
        <v>569</v>
      </c>
      <c r="C2312" t="s">
        <v>899</v>
      </c>
      <c r="D2312" t="s">
        <v>625</v>
      </c>
      <c r="E2312" t="s">
        <v>588</v>
      </c>
      <c r="F2312" t="s">
        <v>6641</v>
      </c>
      <c r="H2312" t="s">
        <v>6002</v>
      </c>
      <c r="I2312" t="s">
        <v>3448</v>
      </c>
      <c r="J2312" t="s">
        <v>899</v>
      </c>
      <c r="M2312" s="134">
        <v>816000</v>
      </c>
      <c r="N2312" s="134">
        <v>966000</v>
      </c>
      <c r="O2312" t="s">
        <v>6642</v>
      </c>
      <c r="P2312" t="s">
        <v>6643</v>
      </c>
      <c r="Q2312" t="s">
        <v>29</v>
      </c>
      <c r="R2312" t="s">
        <v>6644</v>
      </c>
      <c r="U2312" t="s">
        <v>1327</v>
      </c>
      <c r="X2312">
        <v>1</v>
      </c>
    </row>
    <row r="2313" spans="1:24" x14ac:dyDescent="0.25">
      <c r="A2313" s="234">
        <v>42950</v>
      </c>
      <c r="B2313" t="s">
        <v>569</v>
      </c>
      <c r="D2313" t="s">
        <v>3505</v>
      </c>
      <c r="E2313" t="s">
        <v>588</v>
      </c>
      <c r="F2313" t="s">
        <v>7973</v>
      </c>
      <c r="G2313" t="s">
        <v>7974</v>
      </c>
      <c r="H2313" t="s">
        <v>722</v>
      </c>
      <c r="I2313" t="s">
        <v>7975</v>
      </c>
      <c r="J2313" t="s">
        <v>899</v>
      </c>
      <c r="M2313" s="134">
        <v>816000</v>
      </c>
      <c r="N2313" s="134">
        <v>966000</v>
      </c>
      <c r="O2313" t="s">
        <v>5622</v>
      </c>
      <c r="P2313" t="s">
        <v>7976</v>
      </c>
      <c r="Q2313" t="s">
        <v>1939</v>
      </c>
      <c r="R2313" t="s">
        <v>7994</v>
      </c>
      <c r="T2313">
        <v>26</v>
      </c>
      <c r="U2313" t="s">
        <v>491</v>
      </c>
      <c r="X2313">
        <v>0</v>
      </c>
    </row>
    <row r="2314" spans="1:24" x14ac:dyDescent="0.25">
      <c r="A2314" s="234">
        <v>43293</v>
      </c>
      <c r="B2314" t="s">
        <v>5473</v>
      </c>
      <c r="C2314" t="s">
        <v>608</v>
      </c>
      <c r="D2314" t="s">
        <v>11795</v>
      </c>
      <c r="E2314" t="s">
        <v>588</v>
      </c>
      <c r="F2314" t="s">
        <v>11796</v>
      </c>
      <c r="G2314" t="s">
        <v>11796</v>
      </c>
      <c r="H2314" t="s">
        <v>10832</v>
      </c>
      <c r="I2314" t="s">
        <v>4051</v>
      </c>
      <c r="J2314" t="s">
        <v>602</v>
      </c>
      <c r="L2314">
        <v>3</v>
      </c>
      <c r="M2314" s="134">
        <v>816036</v>
      </c>
      <c r="N2314" s="134">
        <v>1041036</v>
      </c>
      <c r="O2314" t="s">
        <v>10879</v>
      </c>
      <c r="P2314" t="s">
        <v>12003</v>
      </c>
      <c r="Q2314" t="s">
        <v>592</v>
      </c>
      <c r="R2314" t="s">
        <v>11797</v>
      </c>
      <c r="U2314" t="s">
        <v>1327</v>
      </c>
      <c r="X2314">
        <v>0</v>
      </c>
    </row>
    <row r="2315" spans="1:24" x14ac:dyDescent="0.25">
      <c r="A2315" s="234">
        <v>43417</v>
      </c>
      <c r="B2315" t="s">
        <v>328</v>
      </c>
      <c r="C2315" t="s">
        <v>603</v>
      </c>
      <c r="D2315" t="s">
        <v>649</v>
      </c>
      <c r="F2315" t="s">
        <v>12316</v>
      </c>
      <c r="G2315" t="s">
        <v>8263</v>
      </c>
      <c r="H2315" t="s">
        <v>809</v>
      </c>
      <c r="I2315" t="s">
        <v>3646</v>
      </c>
      <c r="J2315" t="s">
        <v>644</v>
      </c>
      <c r="K2315" t="s">
        <v>13169</v>
      </c>
      <c r="L2315">
        <v>2</v>
      </c>
      <c r="M2315" s="134">
        <v>817000</v>
      </c>
      <c r="N2315" s="134">
        <v>898700</v>
      </c>
      <c r="O2315" t="s">
        <v>560</v>
      </c>
      <c r="P2315" t="s">
        <v>13170</v>
      </c>
      <c r="Q2315" t="s">
        <v>1939</v>
      </c>
      <c r="R2315" t="s">
        <v>13436</v>
      </c>
      <c r="U2315" t="s">
        <v>12344</v>
      </c>
      <c r="X2315">
        <v>0</v>
      </c>
    </row>
    <row r="2316" spans="1:24" x14ac:dyDescent="0.25">
      <c r="A2316" s="234">
        <v>42425</v>
      </c>
      <c r="B2316" t="s">
        <v>594</v>
      </c>
      <c r="C2316" t="s">
        <v>604</v>
      </c>
      <c r="D2316" t="s">
        <v>727</v>
      </c>
      <c r="E2316" t="s">
        <v>588</v>
      </c>
      <c r="F2316" t="s">
        <v>1132</v>
      </c>
      <c r="H2316" t="s">
        <v>1050</v>
      </c>
      <c r="I2316" t="s">
        <v>1139</v>
      </c>
      <c r="M2316" s="134">
        <v>820000</v>
      </c>
      <c r="N2316" s="134">
        <v>1045000</v>
      </c>
      <c r="O2316" t="s">
        <v>1133</v>
      </c>
      <c r="P2316" t="s">
        <v>1134</v>
      </c>
      <c r="Q2316" t="s">
        <v>592</v>
      </c>
      <c r="R2316" t="s">
        <v>1144</v>
      </c>
      <c r="U2316" t="s">
        <v>491</v>
      </c>
      <c r="X2316">
        <v>0</v>
      </c>
    </row>
    <row r="2317" spans="1:24" x14ac:dyDescent="0.25">
      <c r="A2317" s="234">
        <v>43005</v>
      </c>
      <c r="B2317" t="s">
        <v>569</v>
      </c>
      <c r="C2317" t="s">
        <v>899</v>
      </c>
      <c r="D2317" t="s">
        <v>625</v>
      </c>
      <c r="E2317" t="s">
        <v>588</v>
      </c>
      <c r="F2317" t="s">
        <v>8759</v>
      </c>
      <c r="G2317" t="s">
        <v>8760</v>
      </c>
      <c r="H2317" t="s">
        <v>607</v>
      </c>
      <c r="I2317" t="s">
        <v>8761</v>
      </c>
      <c r="J2317" t="s">
        <v>899</v>
      </c>
      <c r="L2317">
        <v>2</v>
      </c>
      <c r="M2317" s="134">
        <v>823000</v>
      </c>
      <c r="N2317" s="134">
        <v>1400000</v>
      </c>
      <c r="O2317" t="s">
        <v>1844</v>
      </c>
      <c r="P2317" t="s">
        <v>8762</v>
      </c>
      <c r="Q2317" t="s">
        <v>1939</v>
      </c>
      <c r="R2317" t="s">
        <v>8763</v>
      </c>
      <c r="T2317">
        <v>17</v>
      </c>
      <c r="U2317" t="s">
        <v>491</v>
      </c>
      <c r="V2317" t="s">
        <v>3985</v>
      </c>
      <c r="W2317" t="s">
        <v>8764</v>
      </c>
      <c r="X2317">
        <v>0</v>
      </c>
    </row>
    <row r="2318" spans="1:24" x14ac:dyDescent="0.25">
      <c r="A2318" s="234">
        <v>42578</v>
      </c>
      <c r="B2318" t="s">
        <v>328</v>
      </c>
      <c r="C2318" t="s">
        <v>603</v>
      </c>
      <c r="D2318" t="s">
        <v>1401</v>
      </c>
      <c r="E2318" t="s">
        <v>588</v>
      </c>
      <c r="F2318" t="s">
        <v>3075</v>
      </c>
      <c r="H2318" t="s">
        <v>607</v>
      </c>
      <c r="I2318" t="s">
        <v>3076</v>
      </c>
      <c r="M2318" s="134">
        <v>825000</v>
      </c>
      <c r="N2318" s="134">
        <v>1800000</v>
      </c>
      <c r="O2318" t="s">
        <v>2658</v>
      </c>
      <c r="P2318" t="s">
        <v>3077</v>
      </c>
      <c r="Q2318" t="s">
        <v>1939</v>
      </c>
      <c r="R2318" t="s">
        <v>3078</v>
      </c>
      <c r="U2318" t="s">
        <v>491</v>
      </c>
      <c r="X2318">
        <v>0</v>
      </c>
    </row>
    <row r="2319" spans="1:24" x14ac:dyDescent="0.25">
      <c r="A2319" s="234">
        <v>42880</v>
      </c>
      <c r="B2319" t="s">
        <v>328</v>
      </c>
      <c r="C2319" t="s">
        <v>603</v>
      </c>
      <c r="D2319" t="s">
        <v>649</v>
      </c>
      <c r="E2319" t="s">
        <v>588</v>
      </c>
      <c r="F2319" t="s">
        <v>6919</v>
      </c>
      <c r="H2319" t="s">
        <v>607</v>
      </c>
      <c r="I2319" t="s">
        <v>5083</v>
      </c>
      <c r="J2319" t="s">
        <v>899</v>
      </c>
      <c r="L2319">
        <v>3</v>
      </c>
      <c r="M2319" s="134">
        <v>825000</v>
      </c>
      <c r="N2319" s="134">
        <v>2295000</v>
      </c>
      <c r="O2319" t="s">
        <v>6920</v>
      </c>
      <c r="P2319" t="s">
        <v>6921</v>
      </c>
      <c r="Q2319" t="s">
        <v>1939</v>
      </c>
      <c r="R2319" t="s">
        <v>6922</v>
      </c>
      <c r="S2319" t="s">
        <v>7031</v>
      </c>
      <c r="U2319" t="s">
        <v>491</v>
      </c>
      <c r="X2319">
        <v>0</v>
      </c>
    </row>
    <row r="2320" spans="1:24" x14ac:dyDescent="0.25">
      <c r="A2320" s="234">
        <v>43376</v>
      </c>
      <c r="B2320" t="s">
        <v>569</v>
      </c>
      <c r="C2320" t="s">
        <v>899</v>
      </c>
      <c r="D2320" t="s">
        <v>11286</v>
      </c>
      <c r="E2320" t="s">
        <v>588</v>
      </c>
      <c r="F2320" t="s">
        <v>12817</v>
      </c>
      <c r="G2320" t="s">
        <v>12818</v>
      </c>
      <c r="H2320" t="s">
        <v>886</v>
      </c>
      <c r="I2320" t="s">
        <v>2054</v>
      </c>
      <c r="J2320" t="s">
        <v>899</v>
      </c>
      <c r="L2320">
        <v>2</v>
      </c>
      <c r="M2320" s="134">
        <v>828300</v>
      </c>
      <c r="N2320" s="134">
        <v>1656600</v>
      </c>
      <c r="O2320" t="s">
        <v>560</v>
      </c>
      <c r="P2320" t="s">
        <v>12819</v>
      </c>
      <c r="Q2320" t="s">
        <v>29</v>
      </c>
      <c r="R2320" t="s">
        <v>12820</v>
      </c>
      <c r="U2320" t="s">
        <v>12344</v>
      </c>
      <c r="X2320">
        <v>1</v>
      </c>
    </row>
    <row r="2321" spans="1:24" x14ac:dyDescent="0.25">
      <c r="A2321" s="234">
        <v>42997</v>
      </c>
      <c r="B2321" t="s">
        <v>569</v>
      </c>
      <c r="C2321" t="s">
        <v>899</v>
      </c>
      <c r="D2321" t="s">
        <v>930</v>
      </c>
      <c r="E2321" t="s">
        <v>1707</v>
      </c>
      <c r="F2321" t="s">
        <v>8612</v>
      </c>
      <c r="G2321" t="s">
        <v>8613</v>
      </c>
      <c r="H2321" t="s">
        <v>607</v>
      </c>
      <c r="I2321" t="s">
        <v>2054</v>
      </c>
      <c r="J2321" t="s">
        <v>899</v>
      </c>
      <c r="L2321">
        <v>4</v>
      </c>
      <c r="M2321" s="134">
        <v>835000</v>
      </c>
      <c r="N2321" s="134">
        <v>0</v>
      </c>
      <c r="O2321" t="s">
        <v>666</v>
      </c>
      <c r="P2321" t="s">
        <v>8614</v>
      </c>
      <c r="Q2321" t="s">
        <v>1939</v>
      </c>
      <c r="R2321" t="s">
        <v>8615</v>
      </c>
      <c r="T2321">
        <v>15</v>
      </c>
      <c r="U2321" t="s">
        <v>491</v>
      </c>
      <c r="X2321">
        <v>0</v>
      </c>
    </row>
    <row r="2322" spans="1:24" x14ac:dyDescent="0.25">
      <c r="A2322" s="234">
        <v>43174</v>
      </c>
      <c r="B2322" t="s">
        <v>5176</v>
      </c>
      <c r="C2322" t="s">
        <v>604</v>
      </c>
      <c r="D2322" t="s">
        <v>6995</v>
      </c>
      <c r="E2322" t="s">
        <v>588</v>
      </c>
      <c r="F2322" t="s">
        <v>10602</v>
      </c>
      <c r="G2322" t="s">
        <v>10603</v>
      </c>
      <c r="H2322" t="s">
        <v>905</v>
      </c>
      <c r="I2322" t="s">
        <v>10604</v>
      </c>
      <c r="J2322" t="s">
        <v>959</v>
      </c>
      <c r="L2322">
        <v>6</v>
      </c>
      <c r="M2322" s="134">
        <v>835000</v>
      </c>
      <c r="N2322" s="134">
        <v>835000</v>
      </c>
      <c r="O2322" t="s">
        <v>10766</v>
      </c>
      <c r="P2322" t="s">
        <v>10605</v>
      </c>
      <c r="Q2322" t="s">
        <v>1939</v>
      </c>
      <c r="R2322" t="s">
        <v>10606</v>
      </c>
      <c r="U2322" t="s">
        <v>1327</v>
      </c>
      <c r="X2322">
        <v>0</v>
      </c>
    </row>
    <row r="2323" spans="1:24" x14ac:dyDescent="0.25">
      <c r="A2323" s="234">
        <v>42900</v>
      </c>
      <c r="B2323" t="s">
        <v>328</v>
      </c>
      <c r="C2323" t="s">
        <v>603</v>
      </c>
      <c r="D2323" t="s">
        <v>649</v>
      </c>
      <c r="E2323" t="s">
        <v>588</v>
      </c>
      <c r="F2323" t="s">
        <v>7177</v>
      </c>
      <c r="H2323" t="s">
        <v>607</v>
      </c>
      <c r="I2323" t="s">
        <v>4633</v>
      </c>
      <c r="J2323" t="s">
        <v>899</v>
      </c>
      <c r="L2323">
        <v>10</v>
      </c>
      <c r="M2323" s="134">
        <v>835000</v>
      </c>
      <c r="N2323" s="134">
        <v>1586500</v>
      </c>
      <c r="O2323" t="s">
        <v>764</v>
      </c>
      <c r="P2323" t="s">
        <v>7178</v>
      </c>
      <c r="Q2323" t="s">
        <v>592</v>
      </c>
      <c r="U2323" t="s">
        <v>491</v>
      </c>
      <c r="X2323">
        <v>0</v>
      </c>
    </row>
    <row r="2324" spans="1:24" x14ac:dyDescent="0.25">
      <c r="A2324" s="234">
        <v>43258</v>
      </c>
      <c r="B2324" t="s">
        <v>569</v>
      </c>
      <c r="C2324" t="s">
        <v>899</v>
      </c>
      <c r="D2324" t="s">
        <v>625</v>
      </c>
      <c r="E2324" t="s">
        <v>588</v>
      </c>
      <c r="F2324" t="s">
        <v>453</v>
      </c>
      <c r="G2324" t="s">
        <v>8941</v>
      </c>
      <c r="H2324" t="s">
        <v>607</v>
      </c>
      <c r="I2324" t="s">
        <v>3649</v>
      </c>
      <c r="J2324" t="s">
        <v>899</v>
      </c>
      <c r="M2324" s="134">
        <v>837000</v>
      </c>
      <c r="N2324" s="134">
        <v>1500000</v>
      </c>
      <c r="O2324" t="s">
        <v>560</v>
      </c>
      <c r="P2324" t="s">
        <v>11420</v>
      </c>
      <c r="Q2324" t="s">
        <v>29</v>
      </c>
      <c r="R2324" t="s">
        <v>11421</v>
      </c>
      <c r="U2324" t="s">
        <v>491</v>
      </c>
      <c r="X2324">
        <v>1</v>
      </c>
    </row>
    <row r="2325" spans="1:24" x14ac:dyDescent="0.25">
      <c r="A2325" s="234">
        <v>42943</v>
      </c>
      <c r="B2325" t="s">
        <v>5176</v>
      </c>
      <c r="D2325" t="s">
        <v>6995</v>
      </c>
      <c r="E2325" t="s">
        <v>588</v>
      </c>
      <c r="F2325" t="s">
        <v>7847</v>
      </c>
      <c r="G2325" t="s">
        <v>7845</v>
      </c>
      <c r="H2325" t="s">
        <v>1391</v>
      </c>
      <c r="I2325" t="s">
        <v>5541</v>
      </c>
      <c r="J2325" t="s">
        <v>959</v>
      </c>
      <c r="L2325">
        <v>5</v>
      </c>
      <c r="M2325" s="134">
        <v>838440</v>
      </c>
      <c r="N2325" s="134">
        <v>1038440</v>
      </c>
      <c r="O2325" t="s">
        <v>7846</v>
      </c>
      <c r="P2325" t="s">
        <v>7848</v>
      </c>
      <c r="Q2325" t="s">
        <v>1939</v>
      </c>
      <c r="R2325" t="s">
        <v>7849</v>
      </c>
      <c r="T2325">
        <v>27</v>
      </c>
      <c r="U2325" t="s">
        <v>491</v>
      </c>
      <c r="X2325">
        <v>0</v>
      </c>
    </row>
    <row r="2326" spans="1:24" x14ac:dyDescent="0.25">
      <c r="A2326" s="234">
        <v>43236</v>
      </c>
      <c r="B2326" t="s">
        <v>328</v>
      </c>
      <c r="C2326" t="s">
        <v>603</v>
      </c>
      <c r="D2326" t="s">
        <v>7595</v>
      </c>
      <c r="E2326" t="s">
        <v>588</v>
      </c>
      <c r="F2326" t="s">
        <v>11309</v>
      </c>
      <c r="G2326" t="s">
        <v>11309</v>
      </c>
      <c r="H2326" t="s">
        <v>607</v>
      </c>
      <c r="J2326" t="s">
        <v>6329</v>
      </c>
      <c r="L2326">
        <v>3</v>
      </c>
      <c r="M2326" s="134">
        <v>840895</v>
      </c>
      <c r="N2326" s="134">
        <v>1429985</v>
      </c>
      <c r="O2326" t="s">
        <v>4533</v>
      </c>
      <c r="P2326" t="s">
        <v>11310</v>
      </c>
      <c r="Q2326" t="s">
        <v>1939</v>
      </c>
      <c r="R2326" t="s">
        <v>11311</v>
      </c>
      <c r="U2326" t="s">
        <v>1327</v>
      </c>
      <c r="X2326">
        <v>0</v>
      </c>
    </row>
    <row r="2327" spans="1:24" x14ac:dyDescent="0.25">
      <c r="A2327" s="234">
        <v>42662</v>
      </c>
      <c r="B2327" t="s">
        <v>378</v>
      </c>
      <c r="C2327" t="s">
        <v>623</v>
      </c>
      <c r="D2327" t="s">
        <v>930</v>
      </c>
      <c r="E2327" t="s">
        <v>821</v>
      </c>
      <c r="F2327" t="s">
        <v>4411</v>
      </c>
      <c r="H2327" t="s">
        <v>886</v>
      </c>
      <c r="I2327" t="s">
        <v>4412</v>
      </c>
      <c r="J2327" t="s">
        <v>899</v>
      </c>
      <c r="L2327">
        <v>2</v>
      </c>
      <c r="M2327" s="134">
        <v>841000</v>
      </c>
      <c r="N2327" s="134">
        <v>925100</v>
      </c>
      <c r="O2327" t="s">
        <v>1171</v>
      </c>
      <c r="P2327" t="s">
        <v>4413</v>
      </c>
      <c r="Q2327" t="s">
        <v>592</v>
      </c>
      <c r="R2327" t="s">
        <v>4410</v>
      </c>
      <c r="U2327" t="s">
        <v>491</v>
      </c>
      <c r="X2327">
        <v>0</v>
      </c>
    </row>
    <row r="2328" spans="1:24" x14ac:dyDescent="0.25">
      <c r="A2328" s="234">
        <v>42760</v>
      </c>
      <c r="B2328" t="s">
        <v>328</v>
      </c>
      <c r="C2328" t="s">
        <v>603</v>
      </c>
      <c r="D2328" t="s">
        <v>2397</v>
      </c>
      <c r="E2328" t="s">
        <v>588</v>
      </c>
      <c r="F2328" t="s">
        <v>5434</v>
      </c>
      <c r="H2328" t="s">
        <v>607</v>
      </c>
      <c r="I2328" t="s">
        <v>5435</v>
      </c>
      <c r="J2328" t="s">
        <v>3371</v>
      </c>
      <c r="L2328" t="s">
        <v>5284</v>
      </c>
      <c r="M2328" s="134">
        <v>842000</v>
      </c>
      <c r="N2328" s="134">
        <v>1389300</v>
      </c>
      <c r="O2328" t="s">
        <v>2934</v>
      </c>
      <c r="P2328" t="s">
        <v>5436</v>
      </c>
      <c r="Q2328" t="s">
        <v>1939</v>
      </c>
      <c r="R2328" t="s">
        <v>5437</v>
      </c>
      <c r="U2328" t="s">
        <v>491</v>
      </c>
      <c r="X2328">
        <v>0</v>
      </c>
    </row>
    <row r="2329" spans="1:24" x14ac:dyDescent="0.25">
      <c r="A2329" s="234">
        <v>43035</v>
      </c>
      <c r="B2329" t="s">
        <v>569</v>
      </c>
      <c r="C2329" t="s">
        <v>899</v>
      </c>
      <c r="D2329" t="s">
        <v>625</v>
      </c>
      <c r="E2329" t="s">
        <v>1707</v>
      </c>
      <c r="F2329" t="s">
        <v>9172</v>
      </c>
      <c r="G2329" t="s">
        <v>9173</v>
      </c>
      <c r="H2329" t="s">
        <v>607</v>
      </c>
      <c r="I2329" t="s">
        <v>7190</v>
      </c>
      <c r="J2329" t="s">
        <v>899</v>
      </c>
      <c r="L2329">
        <v>3</v>
      </c>
      <c r="M2329" s="134">
        <v>842000</v>
      </c>
      <c r="N2329" s="134">
        <v>1500000</v>
      </c>
      <c r="O2329" t="s">
        <v>35</v>
      </c>
      <c r="P2329" t="s">
        <v>9280</v>
      </c>
      <c r="Q2329" t="s">
        <v>1612</v>
      </c>
      <c r="R2329" t="s">
        <v>9385</v>
      </c>
      <c r="U2329" t="s">
        <v>491</v>
      </c>
      <c r="X2329">
        <v>0</v>
      </c>
    </row>
    <row r="2330" spans="1:24" x14ac:dyDescent="0.25">
      <c r="A2330" s="234">
        <v>42639</v>
      </c>
      <c r="B2330" t="s">
        <v>378</v>
      </c>
      <c r="C2330" t="s">
        <v>899</v>
      </c>
      <c r="D2330" t="s">
        <v>625</v>
      </c>
      <c r="E2330" t="s">
        <v>588</v>
      </c>
      <c r="F2330" t="s">
        <v>4083</v>
      </c>
      <c r="H2330" t="s">
        <v>4084</v>
      </c>
      <c r="I2330" t="s">
        <v>4085</v>
      </c>
      <c r="J2330" t="s">
        <v>899</v>
      </c>
      <c r="L2330">
        <v>2</v>
      </c>
      <c r="M2330" s="134">
        <v>845000</v>
      </c>
      <c r="N2330" s="134">
        <v>0</v>
      </c>
      <c r="O2330" t="s">
        <v>4086</v>
      </c>
      <c r="P2330" t="s">
        <v>4087</v>
      </c>
      <c r="Q2330" t="s">
        <v>1939</v>
      </c>
      <c r="R2330" t="s">
        <v>4088</v>
      </c>
      <c r="U2330" t="s">
        <v>4089</v>
      </c>
      <c r="X2330">
        <v>0</v>
      </c>
    </row>
    <row r="2331" spans="1:24" x14ac:dyDescent="0.25">
      <c r="A2331" s="234">
        <v>42437</v>
      </c>
      <c r="B2331" t="s">
        <v>378</v>
      </c>
      <c r="C2331" t="s">
        <v>623</v>
      </c>
      <c r="D2331" t="s">
        <v>625</v>
      </c>
      <c r="E2331" t="s">
        <v>588</v>
      </c>
      <c r="F2331" t="s">
        <v>1246</v>
      </c>
      <c r="H2331" t="s">
        <v>607</v>
      </c>
      <c r="I2331" t="s">
        <v>1252</v>
      </c>
      <c r="M2331" s="134">
        <v>845000</v>
      </c>
      <c r="N2331" s="134">
        <v>1164000</v>
      </c>
      <c r="O2331" t="s">
        <v>1247</v>
      </c>
      <c r="P2331" t="s">
        <v>1248</v>
      </c>
      <c r="Q2331" t="s">
        <v>620</v>
      </c>
      <c r="R2331" t="s">
        <v>1249</v>
      </c>
      <c r="U2331" t="s">
        <v>491</v>
      </c>
      <c r="X2331">
        <v>0</v>
      </c>
    </row>
    <row r="2332" spans="1:24" x14ac:dyDescent="0.25">
      <c r="A2332" s="234">
        <v>43325</v>
      </c>
      <c r="B2332" t="s">
        <v>569</v>
      </c>
      <c r="C2332" t="s">
        <v>899</v>
      </c>
      <c r="D2332" t="s">
        <v>3505</v>
      </c>
      <c r="E2332" t="s">
        <v>588</v>
      </c>
      <c r="F2332" t="s">
        <v>12172</v>
      </c>
      <c r="G2332" t="s">
        <v>12173</v>
      </c>
      <c r="H2332" t="s">
        <v>607</v>
      </c>
      <c r="I2332" t="s">
        <v>4967</v>
      </c>
      <c r="J2332" t="s">
        <v>899</v>
      </c>
      <c r="M2332" s="134">
        <v>846300</v>
      </c>
      <c r="N2332" s="134">
        <v>1438710</v>
      </c>
      <c r="O2332" t="s">
        <v>10763</v>
      </c>
      <c r="P2332" t="s">
        <v>12174</v>
      </c>
      <c r="Q2332" t="s">
        <v>592</v>
      </c>
      <c r="R2332" t="s">
        <v>12175</v>
      </c>
      <c r="U2332" t="s">
        <v>1327</v>
      </c>
      <c r="X2332">
        <v>0</v>
      </c>
    </row>
    <row r="2333" spans="1:24" x14ac:dyDescent="0.25">
      <c r="A2333" s="234">
        <v>42543</v>
      </c>
      <c r="B2333" t="s">
        <v>378</v>
      </c>
      <c r="C2333" t="s">
        <v>610</v>
      </c>
      <c r="D2333" t="s">
        <v>732</v>
      </c>
      <c r="E2333" t="s">
        <v>588</v>
      </c>
      <c r="F2333" t="s">
        <v>2642</v>
      </c>
      <c r="H2333" t="s">
        <v>2074</v>
      </c>
      <c r="I2333" t="s">
        <v>2643</v>
      </c>
      <c r="M2333" s="134">
        <v>848000</v>
      </c>
      <c r="N2333" s="134">
        <v>1067000</v>
      </c>
      <c r="O2333" t="s">
        <v>1498</v>
      </c>
      <c r="P2333" t="s">
        <v>2644</v>
      </c>
      <c r="Q2333" t="s">
        <v>620</v>
      </c>
      <c r="R2333" t="s">
        <v>2645</v>
      </c>
      <c r="U2333" t="s">
        <v>491</v>
      </c>
      <c r="X2333">
        <v>0</v>
      </c>
    </row>
    <row r="2334" spans="1:24" x14ac:dyDescent="0.25">
      <c r="A2334" s="234">
        <v>43362</v>
      </c>
      <c r="B2334" t="s">
        <v>328</v>
      </c>
      <c r="C2334" t="s">
        <v>603</v>
      </c>
      <c r="D2334" t="s">
        <v>1401</v>
      </c>
      <c r="E2334" t="s">
        <v>588</v>
      </c>
      <c r="F2334" t="s">
        <v>12660</v>
      </c>
      <c r="G2334" t="s">
        <v>7714</v>
      </c>
      <c r="H2334" t="s">
        <v>607</v>
      </c>
      <c r="I2334" t="s">
        <v>12661</v>
      </c>
      <c r="J2334" t="s">
        <v>3533</v>
      </c>
      <c r="L2334">
        <v>3</v>
      </c>
      <c r="M2334" s="134">
        <v>849589</v>
      </c>
      <c r="N2334" s="134">
        <v>1450937</v>
      </c>
      <c r="O2334" t="s">
        <v>10766</v>
      </c>
      <c r="P2334" t="s">
        <v>12662</v>
      </c>
      <c r="Q2334" t="s">
        <v>592</v>
      </c>
      <c r="R2334" t="s">
        <v>12663</v>
      </c>
      <c r="U2334" t="s">
        <v>12344</v>
      </c>
      <c r="X2334">
        <v>0</v>
      </c>
    </row>
    <row r="2335" spans="1:24" x14ac:dyDescent="0.25">
      <c r="A2335" s="234">
        <v>42507</v>
      </c>
      <c r="B2335" t="s">
        <v>378</v>
      </c>
      <c r="C2335" t="s">
        <v>623</v>
      </c>
      <c r="D2335" t="s">
        <v>625</v>
      </c>
      <c r="E2335" t="s">
        <v>588</v>
      </c>
      <c r="F2335" t="s">
        <v>2120</v>
      </c>
      <c r="H2335" t="s">
        <v>886</v>
      </c>
      <c r="I2335" t="s">
        <v>1910</v>
      </c>
      <c r="M2335" s="134">
        <v>850000</v>
      </c>
      <c r="N2335" s="134">
        <v>1020000</v>
      </c>
      <c r="O2335" t="s">
        <v>2121</v>
      </c>
      <c r="P2335" t="s">
        <v>2122</v>
      </c>
      <c r="Q2335" t="s">
        <v>1939</v>
      </c>
      <c r="R2335" t="s">
        <v>2123</v>
      </c>
      <c r="S2335" t="s">
        <v>2125</v>
      </c>
      <c r="U2335" t="s">
        <v>491</v>
      </c>
      <c r="X2335">
        <v>0</v>
      </c>
    </row>
    <row r="2336" spans="1:24" x14ac:dyDescent="0.25">
      <c r="A2336" s="234">
        <v>43249</v>
      </c>
      <c r="B2336" t="s">
        <v>5360</v>
      </c>
      <c r="C2336" t="s">
        <v>899</v>
      </c>
      <c r="D2336" t="s">
        <v>732</v>
      </c>
      <c r="E2336" t="s">
        <v>588</v>
      </c>
      <c r="F2336" t="s">
        <v>11346</v>
      </c>
      <c r="G2336" t="s">
        <v>11347</v>
      </c>
      <c r="H2336" t="s">
        <v>607</v>
      </c>
      <c r="I2336" t="s">
        <v>6150</v>
      </c>
      <c r="J2336" t="s">
        <v>899</v>
      </c>
      <c r="L2336">
        <v>2</v>
      </c>
      <c r="M2336" s="134">
        <v>850000</v>
      </c>
      <c r="N2336" s="134">
        <v>1360000</v>
      </c>
      <c r="O2336" t="s">
        <v>10763</v>
      </c>
      <c r="P2336" t="s">
        <v>11348</v>
      </c>
      <c r="Q2336" t="s">
        <v>1939</v>
      </c>
      <c r="R2336" t="s">
        <v>11410</v>
      </c>
      <c r="U2336" t="s">
        <v>1327</v>
      </c>
      <c r="X2336">
        <v>0</v>
      </c>
    </row>
    <row r="2337" spans="1:24" x14ac:dyDescent="0.25">
      <c r="A2337" s="234">
        <v>43406</v>
      </c>
      <c r="B2337" t="s">
        <v>328</v>
      </c>
      <c r="C2337" t="s">
        <v>603</v>
      </c>
      <c r="D2337" t="s">
        <v>672</v>
      </c>
      <c r="F2337" t="s">
        <v>13133</v>
      </c>
      <c r="G2337" t="s">
        <v>8263</v>
      </c>
      <c r="H2337" t="s">
        <v>607</v>
      </c>
      <c r="I2337" t="s">
        <v>7922</v>
      </c>
      <c r="J2337" t="s">
        <v>6015</v>
      </c>
      <c r="K2337" t="s">
        <v>13134</v>
      </c>
      <c r="L2337">
        <v>2</v>
      </c>
      <c r="M2337" s="134">
        <v>850000</v>
      </c>
      <c r="N2337" s="134">
        <v>1445000</v>
      </c>
      <c r="O2337" t="s">
        <v>4533</v>
      </c>
      <c r="P2337" t="s">
        <v>13135</v>
      </c>
      <c r="Q2337" t="s">
        <v>592</v>
      </c>
      <c r="R2337" t="s">
        <v>13435</v>
      </c>
      <c r="U2337" t="s">
        <v>2500</v>
      </c>
      <c r="X2337">
        <v>0</v>
      </c>
    </row>
    <row r="2338" spans="1:24" x14ac:dyDescent="0.25">
      <c r="A2338" s="234">
        <v>42592</v>
      </c>
      <c r="B2338" t="s">
        <v>378</v>
      </c>
      <c r="C2338" t="s">
        <v>623</v>
      </c>
      <c r="D2338" t="s">
        <v>625</v>
      </c>
      <c r="E2338" t="s">
        <v>588</v>
      </c>
      <c r="F2338" t="s">
        <v>3328</v>
      </c>
      <c r="H2338" t="s">
        <v>905</v>
      </c>
      <c r="I2338" t="s">
        <v>679</v>
      </c>
      <c r="J2338" t="s">
        <v>899</v>
      </c>
      <c r="L2338">
        <v>3</v>
      </c>
      <c r="M2338" s="134">
        <v>850000</v>
      </c>
      <c r="N2338" s="134">
        <v>1530000</v>
      </c>
      <c r="O2338" t="s">
        <v>3107</v>
      </c>
      <c r="P2338" t="s">
        <v>3329</v>
      </c>
      <c r="Q2338" t="s">
        <v>1939</v>
      </c>
      <c r="R2338" t="s">
        <v>3335</v>
      </c>
      <c r="U2338" t="s">
        <v>491</v>
      </c>
      <c r="X2338">
        <v>0</v>
      </c>
    </row>
    <row r="2339" spans="1:24" x14ac:dyDescent="0.25">
      <c r="A2339" s="234">
        <v>42723</v>
      </c>
      <c r="B2339" t="s">
        <v>378</v>
      </c>
      <c r="C2339" t="s">
        <v>623</v>
      </c>
      <c r="D2339" t="s">
        <v>930</v>
      </c>
      <c r="E2339" t="s">
        <v>588</v>
      </c>
      <c r="F2339" t="s">
        <v>5059</v>
      </c>
      <c r="H2339" t="s">
        <v>607</v>
      </c>
      <c r="I2339" t="s">
        <v>4342</v>
      </c>
      <c r="J2339" t="s">
        <v>899</v>
      </c>
      <c r="L2339">
        <v>4</v>
      </c>
      <c r="M2339" s="134">
        <v>850000</v>
      </c>
      <c r="N2339" s="134">
        <v>1530000</v>
      </c>
      <c r="O2339" t="s">
        <v>4330</v>
      </c>
      <c r="P2339" t="s">
        <v>5060</v>
      </c>
      <c r="Q2339" t="s">
        <v>592</v>
      </c>
      <c r="U2339" t="s">
        <v>491</v>
      </c>
      <c r="X2339">
        <v>0</v>
      </c>
    </row>
    <row r="2340" spans="1:24" x14ac:dyDescent="0.25">
      <c r="A2340" s="234">
        <v>42823</v>
      </c>
      <c r="B2340" t="s">
        <v>328</v>
      </c>
      <c r="C2340" t="s">
        <v>603</v>
      </c>
      <c r="D2340" t="s">
        <v>5701</v>
      </c>
      <c r="E2340" t="s">
        <v>588</v>
      </c>
      <c r="F2340" t="s">
        <v>6182</v>
      </c>
      <c r="H2340" t="s">
        <v>607</v>
      </c>
      <c r="J2340" t="s">
        <v>899</v>
      </c>
      <c r="L2340">
        <v>9</v>
      </c>
      <c r="M2340" s="134">
        <v>850000</v>
      </c>
      <c r="N2340" s="134">
        <v>1576350</v>
      </c>
      <c r="O2340" t="s">
        <v>6183</v>
      </c>
      <c r="P2340" t="s">
        <v>6184</v>
      </c>
      <c r="Q2340" t="s">
        <v>1939</v>
      </c>
      <c r="R2340" t="s">
        <v>6185</v>
      </c>
      <c r="U2340" t="s">
        <v>1327</v>
      </c>
      <c r="X2340">
        <v>0</v>
      </c>
    </row>
    <row r="2341" spans="1:24" x14ac:dyDescent="0.25">
      <c r="A2341" s="234">
        <v>43619</v>
      </c>
      <c r="B2341" t="s">
        <v>643</v>
      </c>
      <c r="C2341" t="s">
        <v>644</v>
      </c>
      <c r="D2341" t="s">
        <v>645</v>
      </c>
      <c r="F2341" t="s">
        <v>15852</v>
      </c>
      <c r="G2341" t="s">
        <v>15853</v>
      </c>
      <c r="H2341" t="s">
        <v>607</v>
      </c>
      <c r="I2341" t="s">
        <v>15579</v>
      </c>
      <c r="J2341" t="s">
        <v>644</v>
      </c>
      <c r="K2341" t="s">
        <v>13163</v>
      </c>
      <c r="L2341">
        <v>3</v>
      </c>
      <c r="M2341" s="134">
        <v>850000</v>
      </c>
      <c r="N2341" s="134">
        <v>1603500</v>
      </c>
      <c r="O2341" t="s">
        <v>10766</v>
      </c>
      <c r="P2341" t="s">
        <v>15854</v>
      </c>
      <c r="Q2341" t="s">
        <v>1939</v>
      </c>
      <c r="R2341" t="s">
        <v>15856</v>
      </c>
      <c r="S2341" t="s">
        <v>15855</v>
      </c>
      <c r="U2341" t="s">
        <v>491</v>
      </c>
      <c r="X2341">
        <v>0</v>
      </c>
    </row>
    <row r="2342" spans="1:24" x14ac:dyDescent="0.25">
      <c r="A2342" s="234">
        <v>43082</v>
      </c>
      <c r="B2342" t="s">
        <v>569</v>
      </c>
      <c r="C2342" t="s">
        <v>899</v>
      </c>
      <c r="D2342" t="s">
        <v>625</v>
      </c>
      <c r="E2342" t="s">
        <v>692</v>
      </c>
      <c r="F2342" t="s">
        <v>9746</v>
      </c>
      <c r="G2342" t="s">
        <v>7662</v>
      </c>
      <c r="H2342" t="s">
        <v>607</v>
      </c>
      <c r="I2342" t="s">
        <v>3649</v>
      </c>
      <c r="J2342" t="s">
        <v>899</v>
      </c>
      <c r="L2342">
        <v>4</v>
      </c>
      <c r="M2342" s="134">
        <v>850000</v>
      </c>
      <c r="N2342" s="134">
        <v>1660000</v>
      </c>
      <c r="O2342" t="s">
        <v>9747</v>
      </c>
      <c r="P2342" t="s">
        <v>9748</v>
      </c>
      <c r="Q2342" t="s">
        <v>29</v>
      </c>
      <c r="R2342" t="s">
        <v>9749</v>
      </c>
      <c r="S2342" t="s">
        <v>833</v>
      </c>
      <c r="U2342" t="s">
        <v>491</v>
      </c>
      <c r="X2342">
        <v>1</v>
      </c>
    </row>
    <row r="2343" spans="1:24" x14ac:dyDescent="0.25">
      <c r="A2343" s="234">
        <v>43049</v>
      </c>
      <c r="B2343" t="s">
        <v>328</v>
      </c>
      <c r="C2343" t="s">
        <v>603</v>
      </c>
      <c r="D2343" t="s">
        <v>649</v>
      </c>
      <c r="E2343" t="s">
        <v>588</v>
      </c>
      <c r="F2343" t="s">
        <v>9411</v>
      </c>
      <c r="G2343" t="s">
        <v>9000</v>
      </c>
      <c r="H2343" t="s">
        <v>607</v>
      </c>
      <c r="I2343" t="s">
        <v>4880</v>
      </c>
      <c r="J2343" t="s">
        <v>899</v>
      </c>
      <c r="L2343">
        <v>10</v>
      </c>
      <c r="M2343" s="134">
        <v>850000</v>
      </c>
      <c r="N2343" s="134">
        <v>1670000</v>
      </c>
      <c r="O2343" t="s">
        <v>764</v>
      </c>
      <c r="P2343" t="s">
        <v>4881</v>
      </c>
      <c r="Q2343" t="s">
        <v>1939</v>
      </c>
      <c r="R2343" t="s">
        <v>9412</v>
      </c>
      <c r="S2343" t="s">
        <v>833</v>
      </c>
      <c r="U2343" t="s">
        <v>491</v>
      </c>
      <c r="X2343">
        <v>0</v>
      </c>
    </row>
    <row r="2344" spans="1:24" x14ac:dyDescent="0.25">
      <c r="A2344" s="234">
        <v>42705</v>
      </c>
      <c r="B2344" t="s">
        <v>328</v>
      </c>
      <c r="C2344" t="s">
        <v>603</v>
      </c>
      <c r="D2344" t="s">
        <v>2397</v>
      </c>
      <c r="E2344" t="s">
        <v>588</v>
      </c>
      <c r="F2344" t="s">
        <v>4879</v>
      </c>
      <c r="H2344" t="s">
        <v>607</v>
      </c>
      <c r="I2344" t="s">
        <v>4880</v>
      </c>
      <c r="J2344" t="s">
        <v>899</v>
      </c>
      <c r="L2344">
        <v>10</v>
      </c>
      <c r="M2344" s="134">
        <v>850000</v>
      </c>
      <c r="N2344" s="134">
        <v>1670000</v>
      </c>
      <c r="O2344" t="s">
        <v>764</v>
      </c>
      <c r="P2344" t="s">
        <v>4881</v>
      </c>
      <c r="Q2344" t="s">
        <v>1939</v>
      </c>
      <c r="R2344" t="s">
        <v>4910</v>
      </c>
      <c r="U2344" t="s">
        <v>491</v>
      </c>
      <c r="X2344">
        <v>0</v>
      </c>
    </row>
    <row r="2345" spans="1:24" x14ac:dyDescent="0.25">
      <c r="A2345" s="234">
        <v>42928</v>
      </c>
      <c r="B2345" t="s">
        <v>328</v>
      </c>
      <c r="C2345" t="s">
        <v>603</v>
      </c>
      <c r="D2345" t="s">
        <v>649</v>
      </c>
      <c r="E2345" t="s">
        <v>588</v>
      </c>
      <c r="F2345" t="s">
        <v>7578</v>
      </c>
      <c r="H2345" t="s">
        <v>607</v>
      </c>
      <c r="I2345" t="s">
        <v>3710</v>
      </c>
      <c r="J2345" t="s">
        <v>899</v>
      </c>
      <c r="L2345" t="s">
        <v>7579</v>
      </c>
      <c r="M2345" s="134">
        <v>850000</v>
      </c>
      <c r="N2345" s="134">
        <v>1700000</v>
      </c>
      <c r="O2345" t="s">
        <v>6183</v>
      </c>
      <c r="P2345" t="s">
        <v>7580</v>
      </c>
      <c r="Q2345" t="s">
        <v>592</v>
      </c>
      <c r="R2345" t="s">
        <v>7581</v>
      </c>
      <c r="U2345" t="s">
        <v>2227</v>
      </c>
      <c r="X2345">
        <v>0</v>
      </c>
    </row>
    <row r="2346" spans="1:24" x14ac:dyDescent="0.25">
      <c r="A2346" s="234">
        <v>42514</v>
      </c>
      <c r="B2346" t="s">
        <v>110</v>
      </c>
      <c r="C2346" t="s">
        <v>761</v>
      </c>
      <c r="D2346" t="s">
        <v>715</v>
      </c>
      <c r="E2346" t="s">
        <v>588</v>
      </c>
      <c r="F2346" t="s">
        <v>2223</v>
      </c>
      <c r="H2346" t="s">
        <v>1831</v>
      </c>
      <c r="I2346" t="s">
        <v>2224</v>
      </c>
      <c r="M2346" s="134">
        <v>856000</v>
      </c>
      <c r="N2346" s="134">
        <v>1155600</v>
      </c>
      <c r="O2346" t="s">
        <v>1766</v>
      </c>
      <c r="P2346" t="s">
        <v>2225</v>
      </c>
      <c r="Q2346" t="s">
        <v>592</v>
      </c>
      <c r="R2346" t="s">
        <v>2226</v>
      </c>
      <c r="S2346" t="s">
        <v>2339</v>
      </c>
      <c r="U2346" t="s">
        <v>2227</v>
      </c>
      <c r="X2346">
        <v>0</v>
      </c>
    </row>
    <row r="2347" spans="1:24" x14ac:dyDescent="0.25">
      <c r="A2347" s="234">
        <v>42860</v>
      </c>
      <c r="B2347" t="s">
        <v>328</v>
      </c>
      <c r="C2347" t="s">
        <v>603</v>
      </c>
      <c r="D2347" t="s">
        <v>2397</v>
      </c>
      <c r="E2347" t="s">
        <v>588</v>
      </c>
      <c r="F2347" t="s">
        <v>6690</v>
      </c>
      <c r="H2347" t="s">
        <v>607</v>
      </c>
      <c r="I2347" t="s">
        <v>2054</v>
      </c>
      <c r="J2347" t="s">
        <v>899</v>
      </c>
      <c r="L2347">
        <v>1</v>
      </c>
      <c r="M2347" s="134">
        <v>857000</v>
      </c>
      <c r="N2347" s="134">
        <v>1542600</v>
      </c>
      <c r="O2347" t="s">
        <v>695</v>
      </c>
      <c r="P2347" t="s">
        <v>6691</v>
      </c>
      <c r="Q2347" t="s">
        <v>1939</v>
      </c>
      <c r="R2347" t="s">
        <v>6692</v>
      </c>
      <c r="U2347" t="s">
        <v>491</v>
      </c>
      <c r="X2347">
        <v>0</v>
      </c>
    </row>
    <row r="2348" spans="1:24" x14ac:dyDescent="0.25">
      <c r="A2348" s="234">
        <v>42493</v>
      </c>
      <c r="B2348" t="s">
        <v>328</v>
      </c>
      <c r="C2348" t="s">
        <v>603</v>
      </c>
      <c r="D2348" t="s">
        <v>672</v>
      </c>
      <c r="E2348" t="s">
        <v>588</v>
      </c>
      <c r="F2348" t="s">
        <v>1923</v>
      </c>
      <c r="H2348" t="s">
        <v>607</v>
      </c>
      <c r="I2348" t="s">
        <v>1924</v>
      </c>
      <c r="M2348" s="134">
        <v>859000</v>
      </c>
      <c r="N2348" s="134">
        <v>1718000</v>
      </c>
      <c r="O2348" t="s">
        <v>1925</v>
      </c>
      <c r="P2348" t="s">
        <v>1926</v>
      </c>
      <c r="Q2348" t="s">
        <v>1612</v>
      </c>
      <c r="R2348" t="s">
        <v>1927</v>
      </c>
      <c r="S2348" t="s">
        <v>1942</v>
      </c>
      <c r="U2348" t="s">
        <v>491</v>
      </c>
      <c r="X2348">
        <v>0</v>
      </c>
    </row>
    <row r="2349" spans="1:24" x14ac:dyDescent="0.25">
      <c r="A2349" s="234">
        <v>43356</v>
      </c>
      <c r="B2349" t="s">
        <v>328</v>
      </c>
      <c r="C2349" t="s">
        <v>603</v>
      </c>
      <c r="D2349" t="s">
        <v>8941</v>
      </c>
      <c r="E2349" t="s">
        <v>588</v>
      </c>
      <c r="F2349" t="s">
        <v>12600</v>
      </c>
      <c r="G2349" t="s">
        <v>11799</v>
      </c>
      <c r="H2349" t="s">
        <v>905</v>
      </c>
      <c r="I2349" t="s">
        <v>12601</v>
      </c>
      <c r="J2349" t="s">
        <v>3398</v>
      </c>
      <c r="L2349">
        <v>5</v>
      </c>
      <c r="M2349" s="134">
        <v>860000</v>
      </c>
      <c r="N2349" s="134">
        <v>1381000</v>
      </c>
      <c r="O2349" t="s">
        <v>10762</v>
      </c>
      <c r="P2349" t="s">
        <v>12602</v>
      </c>
      <c r="Q2349" t="s">
        <v>1939</v>
      </c>
      <c r="R2349" t="s">
        <v>12603</v>
      </c>
      <c r="T2349" t="s">
        <v>491</v>
      </c>
      <c r="U2349" t="s">
        <v>491</v>
      </c>
      <c r="X2349">
        <v>0</v>
      </c>
    </row>
    <row r="2350" spans="1:24" x14ac:dyDescent="0.25">
      <c r="A2350" s="234">
        <v>43178</v>
      </c>
      <c r="B2350" t="s">
        <v>328</v>
      </c>
      <c r="C2350" t="s">
        <v>603</v>
      </c>
      <c r="D2350" t="s">
        <v>7595</v>
      </c>
      <c r="E2350" t="s">
        <v>588</v>
      </c>
      <c r="F2350" t="s">
        <v>10648</v>
      </c>
      <c r="G2350" t="s">
        <v>10649</v>
      </c>
      <c r="H2350" t="s">
        <v>607</v>
      </c>
      <c r="I2350" t="s">
        <v>6317</v>
      </c>
      <c r="J2350" t="s">
        <v>899</v>
      </c>
      <c r="L2350">
        <v>10</v>
      </c>
      <c r="M2350" s="134">
        <v>860000</v>
      </c>
      <c r="N2350" s="134">
        <v>1510000</v>
      </c>
      <c r="O2350" t="s">
        <v>7124</v>
      </c>
      <c r="P2350" t="s">
        <v>10650</v>
      </c>
      <c r="Q2350" t="s">
        <v>592</v>
      </c>
      <c r="R2350" t="s">
        <v>10651</v>
      </c>
      <c r="U2350" t="s">
        <v>1327</v>
      </c>
      <c r="X2350">
        <v>0</v>
      </c>
    </row>
    <row r="2351" spans="1:24" x14ac:dyDescent="0.25">
      <c r="A2351" s="234">
        <v>42583</v>
      </c>
      <c r="B2351" t="s">
        <v>378</v>
      </c>
      <c r="C2351" t="s">
        <v>610</v>
      </c>
      <c r="D2351" t="s">
        <v>732</v>
      </c>
      <c r="E2351" t="s">
        <v>588</v>
      </c>
      <c r="F2351" t="s">
        <v>3158</v>
      </c>
      <c r="H2351" t="s">
        <v>607</v>
      </c>
      <c r="I2351" t="s">
        <v>3159</v>
      </c>
      <c r="J2351" t="s">
        <v>899</v>
      </c>
      <c r="L2351">
        <v>2</v>
      </c>
      <c r="M2351" s="134">
        <v>861000</v>
      </c>
      <c r="N2351" s="134">
        <v>1709700</v>
      </c>
      <c r="O2351" t="s">
        <v>2612</v>
      </c>
      <c r="P2351" t="s">
        <v>3160</v>
      </c>
      <c r="Q2351" t="s">
        <v>1939</v>
      </c>
      <c r="R2351" t="s">
        <v>3161</v>
      </c>
      <c r="U2351" t="s">
        <v>491</v>
      </c>
      <c r="X2351">
        <v>0</v>
      </c>
    </row>
    <row r="2352" spans="1:24" x14ac:dyDescent="0.25">
      <c r="A2352" s="234">
        <v>42957</v>
      </c>
      <c r="B2352" t="s">
        <v>328</v>
      </c>
      <c r="C2352" t="s">
        <v>603</v>
      </c>
      <c r="D2352" t="s">
        <v>2397</v>
      </c>
      <c r="E2352" t="s">
        <v>588</v>
      </c>
      <c r="F2352" t="s">
        <v>8080</v>
      </c>
      <c r="G2352" t="s">
        <v>8081</v>
      </c>
      <c r="H2352" t="s">
        <v>607</v>
      </c>
      <c r="I2352" t="s">
        <v>4271</v>
      </c>
      <c r="J2352" t="s">
        <v>644</v>
      </c>
      <c r="L2352">
        <v>10</v>
      </c>
      <c r="M2352" s="134">
        <v>864000</v>
      </c>
      <c r="N2352" s="134">
        <v>1523200</v>
      </c>
      <c r="O2352" t="s">
        <v>560</v>
      </c>
      <c r="P2352" t="s">
        <v>8082</v>
      </c>
      <c r="Q2352" t="s">
        <v>592</v>
      </c>
      <c r="T2352">
        <v>11</v>
      </c>
      <c r="U2352" t="s">
        <v>491</v>
      </c>
      <c r="X2352">
        <v>0</v>
      </c>
    </row>
    <row r="2353" spans="1:24" x14ac:dyDescent="0.25">
      <c r="A2353" s="234">
        <v>42685</v>
      </c>
      <c r="B2353" t="s">
        <v>1486</v>
      </c>
      <c r="C2353" t="s">
        <v>1883</v>
      </c>
      <c r="D2353" t="s">
        <v>2454</v>
      </c>
      <c r="E2353" t="s">
        <v>588</v>
      </c>
      <c r="F2353" t="s">
        <v>4667</v>
      </c>
      <c r="H2353" t="s">
        <v>809</v>
      </c>
      <c r="I2353" t="s">
        <v>4668</v>
      </c>
      <c r="J2353" t="s">
        <v>3617</v>
      </c>
      <c r="L2353">
        <v>4</v>
      </c>
      <c r="M2353" s="134">
        <v>865000</v>
      </c>
      <c r="N2353" s="134">
        <v>1030000</v>
      </c>
      <c r="O2353" t="s">
        <v>4669</v>
      </c>
      <c r="P2353" t="s">
        <v>4670</v>
      </c>
      <c r="Q2353" t="s">
        <v>1939</v>
      </c>
      <c r="R2353" t="s">
        <v>4828</v>
      </c>
      <c r="U2353" t="s">
        <v>491</v>
      </c>
      <c r="X2353">
        <v>0</v>
      </c>
    </row>
    <row r="2354" spans="1:24" x14ac:dyDescent="0.25">
      <c r="A2354" s="234">
        <v>42906</v>
      </c>
      <c r="B2354" t="s">
        <v>328</v>
      </c>
      <c r="C2354" t="s">
        <v>603</v>
      </c>
      <c r="D2354" t="s">
        <v>649</v>
      </c>
      <c r="E2354" t="s">
        <v>588</v>
      </c>
      <c r="F2354" t="s">
        <v>7300</v>
      </c>
      <c r="H2354" t="s">
        <v>886</v>
      </c>
      <c r="I2354" t="s">
        <v>7301</v>
      </c>
      <c r="J2354" t="s">
        <v>603</v>
      </c>
      <c r="M2354" s="134">
        <v>870000</v>
      </c>
      <c r="N2354" s="134">
        <v>0</v>
      </c>
      <c r="O2354" t="s">
        <v>7302</v>
      </c>
      <c r="P2354" t="s">
        <v>7303</v>
      </c>
      <c r="Q2354" t="s">
        <v>1939</v>
      </c>
      <c r="R2354" t="s">
        <v>7304</v>
      </c>
      <c r="U2354" t="s">
        <v>491</v>
      </c>
      <c r="X2354">
        <v>0</v>
      </c>
    </row>
    <row r="2355" spans="1:24" x14ac:dyDescent="0.25">
      <c r="A2355" s="234">
        <v>42891</v>
      </c>
      <c r="B2355" t="s">
        <v>328</v>
      </c>
      <c r="C2355" t="s">
        <v>603</v>
      </c>
      <c r="D2355" t="s">
        <v>1401</v>
      </c>
      <c r="E2355" t="s">
        <v>588</v>
      </c>
      <c r="F2355" t="s">
        <v>7035</v>
      </c>
      <c r="H2355" t="s">
        <v>5321</v>
      </c>
      <c r="I2355" t="s">
        <v>7036</v>
      </c>
      <c r="J2355" t="s">
        <v>644</v>
      </c>
      <c r="L2355">
        <v>9</v>
      </c>
      <c r="M2355" s="134">
        <v>870000</v>
      </c>
      <c r="N2355" s="134">
        <v>1170000</v>
      </c>
      <c r="O2355" t="s">
        <v>7037</v>
      </c>
      <c r="P2355" t="s">
        <v>7038</v>
      </c>
      <c r="Q2355" t="s">
        <v>592</v>
      </c>
      <c r="U2355" t="s">
        <v>491</v>
      </c>
      <c r="X2355">
        <v>0</v>
      </c>
    </row>
    <row r="2356" spans="1:24" x14ac:dyDescent="0.25">
      <c r="A2356" s="234">
        <v>42523</v>
      </c>
      <c r="B2356" t="s">
        <v>328</v>
      </c>
      <c r="C2356" t="s">
        <v>603</v>
      </c>
      <c r="D2356" t="s">
        <v>1471</v>
      </c>
      <c r="E2356" t="s">
        <v>588</v>
      </c>
      <c r="F2356" t="s">
        <v>2309</v>
      </c>
      <c r="H2356" t="s">
        <v>710</v>
      </c>
      <c r="I2356" t="s">
        <v>927</v>
      </c>
      <c r="M2356" s="134">
        <v>870000</v>
      </c>
      <c r="N2356" s="134">
        <v>1300500</v>
      </c>
      <c r="O2356" t="s">
        <v>695</v>
      </c>
      <c r="P2356" t="s">
        <v>2310</v>
      </c>
      <c r="Q2356" t="s">
        <v>592</v>
      </c>
      <c r="U2356" t="s">
        <v>2227</v>
      </c>
      <c r="X2356">
        <v>0</v>
      </c>
    </row>
    <row r="2357" spans="1:24" x14ac:dyDescent="0.25">
      <c r="A2357" s="234">
        <v>42695</v>
      </c>
      <c r="B2357" t="s">
        <v>378</v>
      </c>
      <c r="C2357" t="s">
        <v>899</v>
      </c>
      <c r="D2357" t="s">
        <v>625</v>
      </c>
      <c r="E2357" t="s">
        <v>588</v>
      </c>
      <c r="F2357" t="s">
        <v>4777</v>
      </c>
      <c r="H2357" t="s">
        <v>4162</v>
      </c>
      <c r="I2357" t="s">
        <v>4754</v>
      </c>
      <c r="J2357" t="s">
        <v>899</v>
      </c>
      <c r="L2357">
        <v>4</v>
      </c>
      <c r="M2357" s="134">
        <v>873000</v>
      </c>
      <c r="N2357" s="134">
        <v>1500000</v>
      </c>
      <c r="O2357" t="s">
        <v>4778</v>
      </c>
      <c r="P2357" t="s">
        <v>4779</v>
      </c>
      <c r="Q2357" t="s">
        <v>1939</v>
      </c>
      <c r="R2357" t="s">
        <v>4780</v>
      </c>
      <c r="U2357" t="s">
        <v>1327</v>
      </c>
      <c r="X2357">
        <v>0</v>
      </c>
    </row>
    <row r="2358" spans="1:24" x14ac:dyDescent="0.25">
      <c r="A2358" s="234">
        <v>42387</v>
      </c>
      <c r="B2358" t="s">
        <v>328</v>
      </c>
      <c r="C2358" t="s">
        <v>603</v>
      </c>
      <c r="D2358" t="s">
        <v>757</v>
      </c>
      <c r="E2358" t="s">
        <v>588</v>
      </c>
      <c r="F2358" t="s">
        <v>758</v>
      </c>
      <c r="H2358" t="s">
        <v>607</v>
      </c>
      <c r="I2358" t="s">
        <v>759</v>
      </c>
      <c r="M2358" s="134">
        <v>873000</v>
      </c>
      <c r="N2358" s="134">
        <v>1746000</v>
      </c>
      <c r="O2358" t="s">
        <v>695</v>
      </c>
      <c r="P2358" t="s">
        <v>3720</v>
      </c>
      <c r="Q2358" t="s">
        <v>620</v>
      </c>
      <c r="R2358" t="s">
        <v>760</v>
      </c>
      <c r="U2358" t="s">
        <v>491</v>
      </c>
      <c r="X2358">
        <v>0</v>
      </c>
    </row>
    <row r="2359" spans="1:24" x14ac:dyDescent="0.25">
      <c r="A2359" s="234">
        <v>42704</v>
      </c>
      <c r="B2359" t="s">
        <v>378</v>
      </c>
      <c r="C2359" t="s">
        <v>623</v>
      </c>
      <c r="D2359" t="s">
        <v>624</v>
      </c>
      <c r="E2359" t="s">
        <v>588</v>
      </c>
      <c r="F2359" t="s">
        <v>4867</v>
      </c>
      <c r="H2359" t="s">
        <v>607</v>
      </c>
      <c r="I2359" t="s">
        <v>4237</v>
      </c>
      <c r="J2359" t="s">
        <v>899</v>
      </c>
      <c r="L2359">
        <v>2</v>
      </c>
      <c r="M2359" s="134">
        <v>875000</v>
      </c>
      <c r="N2359" s="134">
        <v>1457500</v>
      </c>
      <c r="O2359" t="s">
        <v>1171</v>
      </c>
      <c r="P2359" t="s">
        <v>4868</v>
      </c>
      <c r="Q2359" t="s">
        <v>1612</v>
      </c>
      <c r="R2359" t="s">
        <v>4923</v>
      </c>
      <c r="U2359" t="s">
        <v>491</v>
      </c>
      <c r="X2359">
        <v>0</v>
      </c>
    </row>
    <row r="2360" spans="1:24" x14ac:dyDescent="0.25">
      <c r="A2360" s="234">
        <v>43482</v>
      </c>
      <c r="B2360" t="s">
        <v>13559</v>
      </c>
      <c r="C2360" t="s">
        <v>4031</v>
      </c>
      <c r="D2360" t="s">
        <v>13560</v>
      </c>
      <c r="F2360" t="s">
        <v>14004</v>
      </c>
      <c r="G2360" t="s">
        <v>14005</v>
      </c>
      <c r="H2360" t="s">
        <v>10831</v>
      </c>
      <c r="I2360" t="s">
        <v>14006</v>
      </c>
      <c r="J2360" t="s">
        <v>3804</v>
      </c>
      <c r="K2360" t="s">
        <v>14007</v>
      </c>
      <c r="L2360">
        <v>10</v>
      </c>
      <c r="M2360" s="134">
        <v>875000</v>
      </c>
      <c r="N2360" s="134">
        <v>1722000</v>
      </c>
      <c r="O2360" t="s">
        <v>560</v>
      </c>
      <c r="P2360" t="s">
        <v>14008</v>
      </c>
      <c r="Q2360" t="s">
        <v>1939</v>
      </c>
      <c r="R2360" t="s">
        <v>14009</v>
      </c>
      <c r="U2360" t="s">
        <v>491</v>
      </c>
      <c r="X2360">
        <v>0</v>
      </c>
    </row>
    <row r="2361" spans="1:24" x14ac:dyDescent="0.25">
      <c r="A2361" s="234">
        <v>42517</v>
      </c>
      <c r="B2361" t="s">
        <v>328</v>
      </c>
      <c r="D2361" t="s">
        <v>672</v>
      </c>
      <c r="E2361" t="s">
        <v>588</v>
      </c>
      <c r="F2361" t="s">
        <v>2279</v>
      </c>
      <c r="I2361" t="s">
        <v>2280</v>
      </c>
      <c r="M2361" s="134">
        <v>876433</v>
      </c>
      <c r="N2361" s="134">
        <v>1568915</v>
      </c>
      <c r="O2361" t="s">
        <v>695</v>
      </c>
      <c r="P2361" t="s">
        <v>2281</v>
      </c>
      <c r="Q2361" t="s">
        <v>1939</v>
      </c>
      <c r="U2361" t="s">
        <v>633</v>
      </c>
      <c r="X2361">
        <v>0</v>
      </c>
    </row>
    <row r="2362" spans="1:24" x14ac:dyDescent="0.25">
      <c r="A2362" s="234">
        <v>42656</v>
      </c>
      <c r="B2362" t="s">
        <v>1486</v>
      </c>
      <c r="C2362" t="s">
        <v>1883</v>
      </c>
      <c r="D2362" t="s">
        <v>732</v>
      </c>
      <c r="E2362" t="s">
        <v>588</v>
      </c>
      <c r="F2362" t="s">
        <v>4309</v>
      </c>
      <c r="H2362" t="s">
        <v>607</v>
      </c>
      <c r="J2362" t="s">
        <v>959</v>
      </c>
      <c r="M2362" s="134">
        <v>877000</v>
      </c>
      <c r="N2362" s="134">
        <v>1326000</v>
      </c>
      <c r="O2362" t="s">
        <v>4310</v>
      </c>
      <c r="P2362" t="s">
        <v>4311</v>
      </c>
      <c r="Q2362" t="s">
        <v>1939</v>
      </c>
      <c r="R2362" t="s">
        <v>4314</v>
      </c>
      <c r="U2362" t="s">
        <v>491</v>
      </c>
      <c r="X2362">
        <v>0</v>
      </c>
    </row>
    <row r="2363" spans="1:24" x14ac:dyDescent="0.25">
      <c r="A2363" s="234">
        <v>43308</v>
      </c>
      <c r="B2363" t="s">
        <v>5956</v>
      </c>
      <c r="C2363" t="s">
        <v>3369</v>
      </c>
      <c r="D2363" t="s">
        <v>9234</v>
      </c>
      <c r="E2363" t="s">
        <v>588</v>
      </c>
      <c r="F2363" t="s">
        <v>11948</v>
      </c>
      <c r="G2363" t="s">
        <v>11949</v>
      </c>
      <c r="H2363" t="s">
        <v>905</v>
      </c>
      <c r="I2363" t="s">
        <v>11950</v>
      </c>
      <c r="J2363" t="s">
        <v>4825</v>
      </c>
      <c r="M2363" s="134">
        <v>879458</v>
      </c>
      <c r="N2363" s="134">
        <v>903458</v>
      </c>
      <c r="O2363" t="s">
        <v>10766</v>
      </c>
      <c r="P2363" t="s">
        <v>12014</v>
      </c>
      <c r="Q2363" t="s">
        <v>1939</v>
      </c>
      <c r="R2363" t="s">
        <v>11376</v>
      </c>
      <c r="U2363" t="s">
        <v>1327</v>
      </c>
      <c r="X2363">
        <v>0</v>
      </c>
    </row>
    <row r="2364" spans="1:24" x14ac:dyDescent="0.25">
      <c r="A2364" s="234">
        <v>42424</v>
      </c>
      <c r="B2364" t="s">
        <v>643</v>
      </c>
      <c r="C2364" t="s">
        <v>644</v>
      </c>
      <c r="D2364" t="s">
        <v>645</v>
      </c>
      <c r="E2364" t="s">
        <v>588</v>
      </c>
      <c r="F2364" t="s">
        <v>1107</v>
      </c>
      <c r="H2364" t="s">
        <v>722</v>
      </c>
      <c r="I2364" t="s">
        <v>1108</v>
      </c>
      <c r="M2364" s="134">
        <v>884345</v>
      </c>
      <c r="N2364" s="134">
        <v>1812907</v>
      </c>
      <c r="O2364" t="s">
        <v>991</v>
      </c>
      <c r="P2364" t="s">
        <v>1109</v>
      </c>
      <c r="Q2364" t="s">
        <v>592</v>
      </c>
      <c r="R2364" t="s">
        <v>1192</v>
      </c>
      <c r="U2364" t="s">
        <v>491</v>
      </c>
      <c r="X2364">
        <v>0</v>
      </c>
    </row>
    <row r="2365" spans="1:24" x14ac:dyDescent="0.25">
      <c r="A2365" s="234">
        <v>42853</v>
      </c>
      <c r="B2365" t="s">
        <v>328</v>
      </c>
      <c r="C2365" t="s">
        <v>603</v>
      </c>
      <c r="D2365" t="s">
        <v>2397</v>
      </c>
      <c r="E2365" t="s">
        <v>588</v>
      </c>
      <c r="F2365" t="s">
        <v>6586</v>
      </c>
      <c r="H2365" t="s">
        <v>607</v>
      </c>
      <c r="I2365" t="s">
        <v>6587</v>
      </c>
      <c r="J2365" t="s">
        <v>899</v>
      </c>
      <c r="L2365">
        <v>10</v>
      </c>
      <c r="M2365" s="134">
        <v>885000</v>
      </c>
      <c r="N2365" s="134">
        <v>1754500</v>
      </c>
      <c r="O2365" t="s">
        <v>560</v>
      </c>
      <c r="P2365" t="s">
        <v>6588</v>
      </c>
      <c r="Q2365" t="s">
        <v>1939</v>
      </c>
      <c r="R2365" t="s">
        <v>6589</v>
      </c>
      <c r="U2365" t="s">
        <v>491</v>
      </c>
      <c r="X2365">
        <v>0</v>
      </c>
    </row>
    <row r="2366" spans="1:24" x14ac:dyDescent="0.25">
      <c r="A2366" s="234">
        <v>43032</v>
      </c>
      <c r="B2366" t="s">
        <v>569</v>
      </c>
      <c r="C2366" t="s">
        <v>899</v>
      </c>
      <c r="D2366" t="s">
        <v>930</v>
      </c>
      <c r="E2366" t="s">
        <v>821</v>
      </c>
      <c r="F2366" t="s">
        <v>9147</v>
      </c>
      <c r="H2366" t="s">
        <v>886</v>
      </c>
      <c r="M2366" s="134">
        <v>890000</v>
      </c>
      <c r="N2366" s="134">
        <v>0</v>
      </c>
      <c r="O2366" t="s">
        <v>35</v>
      </c>
      <c r="P2366" t="s">
        <v>9143</v>
      </c>
      <c r="Q2366" t="s">
        <v>1612</v>
      </c>
      <c r="R2366" t="s">
        <v>9164</v>
      </c>
      <c r="U2366" t="s">
        <v>491</v>
      </c>
      <c r="X2366">
        <v>0</v>
      </c>
    </row>
    <row r="2367" spans="1:24" x14ac:dyDescent="0.25">
      <c r="A2367" s="234">
        <v>43410</v>
      </c>
      <c r="B2367" t="s">
        <v>569</v>
      </c>
      <c r="C2367" t="s">
        <v>899</v>
      </c>
      <c r="D2367" t="s">
        <v>625</v>
      </c>
      <c r="F2367" t="s">
        <v>13139</v>
      </c>
      <c r="H2367" t="s">
        <v>607</v>
      </c>
      <c r="I2367" t="s">
        <v>2054</v>
      </c>
      <c r="J2367" t="s">
        <v>899</v>
      </c>
      <c r="K2367" t="s">
        <v>13140</v>
      </c>
      <c r="L2367">
        <v>5</v>
      </c>
      <c r="M2367" s="134">
        <v>890000</v>
      </c>
      <c r="N2367" s="134">
        <v>1390000</v>
      </c>
      <c r="O2367" t="s">
        <v>10763</v>
      </c>
      <c r="P2367" t="s">
        <v>13141</v>
      </c>
      <c r="Q2367" t="s">
        <v>592</v>
      </c>
      <c r="R2367" t="s">
        <v>13142</v>
      </c>
      <c r="U2367" t="s">
        <v>12344</v>
      </c>
      <c r="X2367">
        <v>0</v>
      </c>
    </row>
    <row r="2368" spans="1:24" x14ac:dyDescent="0.25">
      <c r="A2368" s="234">
        <v>42845</v>
      </c>
      <c r="B2368" t="s">
        <v>328</v>
      </c>
      <c r="C2368" t="s">
        <v>603</v>
      </c>
      <c r="D2368" t="s">
        <v>649</v>
      </c>
      <c r="E2368" t="s">
        <v>588</v>
      </c>
      <c r="F2368" t="s">
        <v>6495</v>
      </c>
      <c r="H2368" t="s">
        <v>607</v>
      </c>
      <c r="I2368" t="s">
        <v>6497</v>
      </c>
      <c r="J2368" t="s">
        <v>899</v>
      </c>
      <c r="L2368">
        <v>9</v>
      </c>
      <c r="M2368" s="134">
        <v>891378</v>
      </c>
      <c r="N2368" s="134">
        <v>1600000</v>
      </c>
      <c r="O2368" t="s">
        <v>560</v>
      </c>
      <c r="P2368" t="s">
        <v>6498</v>
      </c>
      <c r="Q2368" t="s">
        <v>592</v>
      </c>
      <c r="U2368" t="s">
        <v>491</v>
      </c>
      <c r="X2368">
        <v>0</v>
      </c>
    </row>
    <row r="2369" spans="1:24" x14ac:dyDescent="0.25">
      <c r="A2369" s="234">
        <v>42822</v>
      </c>
      <c r="B2369" t="s">
        <v>328</v>
      </c>
      <c r="C2369" t="s">
        <v>899</v>
      </c>
      <c r="D2369" t="s">
        <v>649</v>
      </c>
      <c r="E2369" t="s">
        <v>588</v>
      </c>
      <c r="F2369" t="s">
        <v>6156</v>
      </c>
      <c r="H2369" t="s">
        <v>607</v>
      </c>
      <c r="I2369" t="s">
        <v>6157</v>
      </c>
      <c r="J2369" t="s">
        <v>959</v>
      </c>
      <c r="L2369">
        <v>7</v>
      </c>
      <c r="M2369" s="134">
        <v>893000</v>
      </c>
      <c r="N2369" s="134">
        <v>1182000</v>
      </c>
      <c r="O2369" t="s">
        <v>6158</v>
      </c>
      <c r="P2369" t="s">
        <v>6159</v>
      </c>
      <c r="Q2369" t="s">
        <v>1939</v>
      </c>
      <c r="R2369" t="s">
        <v>6160</v>
      </c>
      <c r="U2369" t="s">
        <v>1327</v>
      </c>
      <c r="X2369">
        <v>0</v>
      </c>
    </row>
    <row r="2370" spans="1:24" x14ac:dyDescent="0.25">
      <c r="A2370" s="234">
        <v>43269</v>
      </c>
      <c r="B2370" t="s">
        <v>569</v>
      </c>
      <c r="C2370" t="s">
        <v>899</v>
      </c>
      <c r="D2370" t="s">
        <v>624</v>
      </c>
      <c r="E2370" t="s">
        <v>588</v>
      </c>
      <c r="F2370" t="s">
        <v>11555</v>
      </c>
      <c r="G2370" t="s">
        <v>11556</v>
      </c>
      <c r="H2370" t="s">
        <v>607</v>
      </c>
      <c r="I2370" t="s">
        <v>5423</v>
      </c>
      <c r="J2370" t="s">
        <v>899</v>
      </c>
      <c r="M2370" s="134">
        <v>893000</v>
      </c>
      <c r="N2370" s="134">
        <v>1400000</v>
      </c>
      <c r="O2370" t="s">
        <v>10766</v>
      </c>
      <c r="P2370" t="s">
        <v>11557</v>
      </c>
      <c r="Q2370" t="s">
        <v>1939</v>
      </c>
      <c r="R2370" t="s">
        <v>11558</v>
      </c>
      <c r="U2370" t="s">
        <v>1327</v>
      </c>
      <c r="X2370">
        <v>0</v>
      </c>
    </row>
    <row r="2371" spans="1:24" x14ac:dyDescent="0.25">
      <c r="A2371" s="234">
        <v>43327</v>
      </c>
      <c r="B2371" t="s">
        <v>328</v>
      </c>
      <c r="C2371" t="s">
        <v>603</v>
      </c>
      <c r="D2371" t="s">
        <v>757</v>
      </c>
      <c r="E2371" t="s">
        <v>588</v>
      </c>
      <c r="F2371" t="s">
        <v>12230</v>
      </c>
      <c r="G2371" t="s">
        <v>10065</v>
      </c>
      <c r="H2371" t="s">
        <v>607</v>
      </c>
      <c r="I2371" t="s">
        <v>12229</v>
      </c>
      <c r="J2371" t="s">
        <v>603</v>
      </c>
      <c r="L2371">
        <v>5</v>
      </c>
      <c r="M2371" s="134">
        <v>894000</v>
      </c>
      <c r="N2371" s="134">
        <v>1788000</v>
      </c>
      <c r="O2371" t="s">
        <v>4533</v>
      </c>
      <c r="P2371" t="s">
        <v>12228</v>
      </c>
      <c r="Q2371" t="s">
        <v>592</v>
      </c>
      <c r="R2371" t="s">
        <v>10860</v>
      </c>
      <c r="U2371" t="s">
        <v>1327</v>
      </c>
      <c r="X2371">
        <v>0</v>
      </c>
    </row>
    <row r="2372" spans="1:24" x14ac:dyDescent="0.25">
      <c r="A2372" s="234">
        <v>43245</v>
      </c>
      <c r="B2372" t="s">
        <v>569</v>
      </c>
      <c r="C2372" t="s">
        <v>899</v>
      </c>
      <c r="D2372" t="s">
        <v>624</v>
      </c>
      <c r="E2372" t="s">
        <v>2200</v>
      </c>
      <c r="F2372" t="s">
        <v>11303</v>
      </c>
      <c r="G2372" t="s">
        <v>11304</v>
      </c>
      <c r="H2372" t="s">
        <v>607</v>
      </c>
      <c r="I2372" t="s">
        <v>11305</v>
      </c>
      <c r="J2372" t="s">
        <v>899</v>
      </c>
      <c r="L2372">
        <v>2</v>
      </c>
      <c r="M2372" s="134">
        <v>895000</v>
      </c>
      <c r="N2372" s="134">
        <v>0</v>
      </c>
      <c r="O2372" t="s">
        <v>10766</v>
      </c>
      <c r="P2372" t="s">
        <v>11306</v>
      </c>
      <c r="Q2372" t="s">
        <v>1939</v>
      </c>
      <c r="R2372" t="s">
        <v>11307</v>
      </c>
      <c r="U2372" t="s">
        <v>633</v>
      </c>
      <c r="X2372">
        <v>0</v>
      </c>
    </row>
    <row r="2373" spans="1:24" x14ac:dyDescent="0.25">
      <c r="A2373" s="234">
        <v>43105</v>
      </c>
      <c r="B2373" t="s">
        <v>1788</v>
      </c>
      <c r="C2373" t="s">
        <v>3369</v>
      </c>
      <c r="D2373" t="s">
        <v>6360</v>
      </c>
      <c r="E2373" t="s">
        <v>588</v>
      </c>
      <c r="F2373" t="s">
        <v>9942</v>
      </c>
      <c r="G2373" t="s">
        <v>9943</v>
      </c>
      <c r="H2373" t="s">
        <v>10831</v>
      </c>
      <c r="I2373" t="s">
        <v>9945</v>
      </c>
      <c r="J2373" t="s">
        <v>3369</v>
      </c>
      <c r="M2373" s="134">
        <v>895000</v>
      </c>
      <c r="N2373" s="134">
        <v>1503500</v>
      </c>
      <c r="O2373" t="s">
        <v>10765</v>
      </c>
      <c r="P2373" t="s">
        <v>9947</v>
      </c>
      <c r="Q2373" t="s">
        <v>1939</v>
      </c>
      <c r="R2373" t="s">
        <v>9949</v>
      </c>
      <c r="S2373" t="s">
        <v>9948</v>
      </c>
      <c r="U2373" t="s">
        <v>491</v>
      </c>
      <c r="X2373">
        <v>0</v>
      </c>
    </row>
    <row r="2374" spans="1:24" x14ac:dyDescent="0.25">
      <c r="A2374" s="234">
        <v>43118</v>
      </c>
      <c r="B2374" t="s">
        <v>328</v>
      </c>
      <c r="C2374" t="s">
        <v>603</v>
      </c>
      <c r="D2374" t="s">
        <v>649</v>
      </c>
      <c r="E2374" t="s">
        <v>588</v>
      </c>
      <c r="F2374" t="s">
        <v>9389</v>
      </c>
      <c r="G2374" t="s">
        <v>10065</v>
      </c>
      <c r="H2374" t="s">
        <v>607</v>
      </c>
      <c r="I2374" t="s">
        <v>10066</v>
      </c>
      <c r="J2374" t="s">
        <v>5509</v>
      </c>
      <c r="L2374">
        <v>3</v>
      </c>
      <c r="M2374" s="134">
        <v>895423</v>
      </c>
      <c r="N2374" s="134">
        <v>1546623</v>
      </c>
      <c r="O2374" t="s">
        <v>560</v>
      </c>
      <c r="P2374" t="s">
        <v>10211</v>
      </c>
      <c r="Q2374" t="s">
        <v>29</v>
      </c>
      <c r="R2374" t="s">
        <v>10203</v>
      </c>
      <c r="S2374" t="s">
        <v>10204</v>
      </c>
      <c r="U2374" t="s">
        <v>1327</v>
      </c>
      <c r="X2374">
        <v>1</v>
      </c>
    </row>
    <row r="2375" spans="1:24" x14ac:dyDescent="0.25">
      <c r="A2375" s="234">
        <v>42487</v>
      </c>
      <c r="B2375" t="s">
        <v>328</v>
      </c>
      <c r="D2375" t="s">
        <v>672</v>
      </c>
      <c r="E2375" t="s">
        <v>588</v>
      </c>
      <c r="F2375" t="s">
        <v>1846</v>
      </c>
      <c r="H2375" t="s">
        <v>1831</v>
      </c>
      <c r="I2375" t="s">
        <v>1853</v>
      </c>
      <c r="M2375" s="134">
        <v>899000</v>
      </c>
      <c r="N2375" s="134">
        <v>1899950</v>
      </c>
      <c r="O2375" t="s">
        <v>1854</v>
      </c>
      <c r="P2375" t="s">
        <v>1871</v>
      </c>
      <c r="Q2375" t="s">
        <v>592</v>
      </c>
      <c r="U2375" t="s">
        <v>491</v>
      </c>
      <c r="X2375">
        <v>0</v>
      </c>
    </row>
    <row r="2376" spans="1:24" x14ac:dyDescent="0.25">
      <c r="A2376" s="234">
        <v>43195</v>
      </c>
      <c r="B2376" t="s">
        <v>569</v>
      </c>
      <c r="C2376" t="s">
        <v>899</v>
      </c>
      <c r="D2376" t="s">
        <v>625</v>
      </c>
      <c r="E2376" t="s">
        <v>588</v>
      </c>
      <c r="F2376" t="s">
        <v>10808</v>
      </c>
      <c r="G2376" t="s">
        <v>10809</v>
      </c>
      <c r="H2376" t="s">
        <v>886</v>
      </c>
      <c r="I2376" t="s">
        <v>10810</v>
      </c>
      <c r="J2376" t="s">
        <v>899</v>
      </c>
      <c r="M2376" s="134">
        <v>900000</v>
      </c>
      <c r="N2376" s="134">
        <v>0</v>
      </c>
      <c r="O2376" t="s">
        <v>10766</v>
      </c>
      <c r="P2376" t="s">
        <v>10825</v>
      </c>
      <c r="Q2376" t="s">
        <v>592</v>
      </c>
      <c r="R2376" t="s">
        <v>10811</v>
      </c>
      <c r="U2376" t="s">
        <v>491</v>
      </c>
      <c r="X2376">
        <v>0</v>
      </c>
    </row>
    <row r="2377" spans="1:24" x14ac:dyDescent="0.25">
      <c r="A2377" s="234">
        <v>42621</v>
      </c>
      <c r="B2377" t="s">
        <v>1486</v>
      </c>
      <c r="C2377" t="s">
        <v>1363</v>
      </c>
      <c r="D2377" t="s">
        <v>2346</v>
      </c>
      <c r="E2377" t="s">
        <v>588</v>
      </c>
      <c r="F2377" t="s">
        <v>3808</v>
      </c>
      <c r="H2377" t="s">
        <v>886</v>
      </c>
      <c r="I2377" t="s">
        <v>3809</v>
      </c>
      <c r="J2377" t="s">
        <v>602</v>
      </c>
      <c r="L2377">
        <v>3</v>
      </c>
      <c r="M2377" s="134">
        <v>900000</v>
      </c>
      <c r="N2377" s="134">
        <v>900000</v>
      </c>
      <c r="O2377" t="s">
        <v>3810</v>
      </c>
      <c r="P2377" t="s">
        <v>3811</v>
      </c>
      <c r="Q2377" t="s">
        <v>29</v>
      </c>
      <c r="R2377" t="s">
        <v>3812</v>
      </c>
      <c r="U2377" t="s">
        <v>491</v>
      </c>
      <c r="X2377">
        <v>1</v>
      </c>
    </row>
    <row r="2378" spans="1:24" x14ac:dyDescent="0.25">
      <c r="A2378" s="234">
        <v>42775</v>
      </c>
      <c r="B2378" t="s">
        <v>569</v>
      </c>
      <c r="D2378" t="s">
        <v>624</v>
      </c>
      <c r="E2378" t="s">
        <v>588</v>
      </c>
      <c r="F2378" t="s">
        <v>5649</v>
      </c>
      <c r="H2378" t="s">
        <v>809</v>
      </c>
      <c r="I2378" t="s">
        <v>3462</v>
      </c>
      <c r="J2378" t="s">
        <v>899</v>
      </c>
      <c r="L2378">
        <v>2</v>
      </c>
      <c r="M2378" s="134">
        <v>900000</v>
      </c>
      <c r="N2378" s="134">
        <v>1000000</v>
      </c>
      <c r="O2378" t="s">
        <v>1171</v>
      </c>
      <c r="P2378" t="s">
        <v>5650</v>
      </c>
      <c r="Q2378" t="s">
        <v>592</v>
      </c>
      <c r="R2378" t="s">
        <v>5651</v>
      </c>
      <c r="U2378" t="s">
        <v>491</v>
      </c>
      <c r="X2378">
        <v>0</v>
      </c>
    </row>
    <row r="2379" spans="1:24" x14ac:dyDescent="0.25">
      <c r="A2379" s="234">
        <v>43567</v>
      </c>
      <c r="B2379" t="s">
        <v>13559</v>
      </c>
      <c r="C2379" t="s">
        <v>6575</v>
      </c>
      <c r="D2379" t="s">
        <v>9183</v>
      </c>
      <c r="F2379" t="s">
        <v>15062</v>
      </c>
      <c r="G2379" t="s">
        <v>15063</v>
      </c>
      <c r="H2379" t="s">
        <v>607</v>
      </c>
      <c r="I2379" t="s">
        <v>10520</v>
      </c>
      <c r="J2379" t="s">
        <v>3369</v>
      </c>
      <c r="K2379" t="s">
        <v>15064</v>
      </c>
      <c r="L2379">
        <v>4</v>
      </c>
      <c r="M2379" s="134">
        <v>900000</v>
      </c>
      <c r="N2379" s="134">
        <v>1300000</v>
      </c>
      <c r="O2379" t="s">
        <v>10766</v>
      </c>
      <c r="P2379" t="s">
        <v>15065</v>
      </c>
      <c r="Q2379" t="s">
        <v>1612</v>
      </c>
      <c r="R2379" t="s">
        <v>15085</v>
      </c>
      <c r="S2379" t="s">
        <v>15084</v>
      </c>
      <c r="U2379" t="s">
        <v>491</v>
      </c>
      <c r="X2379">
        <v>0</v>
      </c>
    </row>
    <row r="2380" spans="1:24" x14ac:dyDescent="0.25">
      <c r="A2380" s="234">
        <v>42762</v>
      </c>
      <c r="B2380" t="s">
        <v>569</v>
      </c>
      <c r="D2380" t="s">
        <v>930</v>
      </c>
      <c r="E2380" t="s">
        <v>588</v>
      </c>
      <c r="F2380" t="s">
        <v>5497</v>
      </c>
      <c r="H2380" t="s">
        <v>607</v>
      </c>
      <c r="I2380" t="s">
        <v>5218</v>
      </c>
      <c r="J2380" t="s">
        <v>899</v>
      </c>
      <c r="M2380" s="134">
        <v>900000</v>
      </c>
      <c r="N2380" s="134">
        <v>1490000</v>
      </c>
      <c r="O2380" t="s">
        <v>3625</v>
      </c>
      <c r="P2380" t="s">
        <v>5498</v>
      </c>
      <c r="Q2380" t="s">
        <v>620</v>
      </c>
      <c r="R2380" t="s">
        <v>5499</v>
      </c>
      <c r="U2380" t="s">
        <v>491</v>
      </c>
      <c r="X2380">
        <v>0</v>
      </c>
    </row>
    <row r="2381" spans="1:24" x14ac:dyDescent="0.25">
      <c r="A2381" s="234">
        <v>43266</v>
      </c>
      <c r="B2381" t="s">
        <v>328</v>
      </c>
      <c r="C2381" t="s">
        <v>603</v>
      </c>
      <c r="D2381" t="s">
        <v>649</v>
      </c>
      <c r="E2381" t="s">
        <v>588</v>
      </c>
      <c r="F2381" t="s">
        <v>11506</v>
      </c>
      <c r="G2381" t="s">
        <v>9305</v>
      </c>
      <c r="H2381" t="s">
        <v>607</v>
      </c>
      <c r="I2381" t="s">
        <v>11028</v>
      </c>
      <c r="J2381" t="s">
        <v>3733</v>
      </c>
      <c r="M2381" s="134">
        <v>900000</v>
      </c>
      <c r="N2381" s="134">
        <v>1500000</v>
      </c>
      <c r="O2381" t="s">
        <v>4533</v>
      </c>
      <c r="P2381" t="s">
        <v>11507</v>
      </c>
      <c r="Q2381" t="s">
        <v>1939</v>
      </c>
      <c r="R2381" t="s">
        <v>11508</v>
      </c>
      <c r="U2381" t="s">
        <v>491</v>
      </c>
      <c r="X2381">
        <v>0</v>
      </c>
    </row>
    <row r="2382" spans="1:24" x14ac:dyDescent="0.25">
      <c r="A2382" s="234">
        <v>43146</v>
      </c>
      <c r="B2382" t="s">
        <v>328</v>
      </c>
      <c r="C2382" t="s">
        <v>603</v>
      </c>
      <c r="D2382" t="s">
        <v>649</v>
      </c>
      <c r="E2382" t="s">
        <v>588</v>
      </c>
      <c r="F2382" t="s">
        <v>7831</v>
      </c>
      <c r="G2382" t="s">
        <v>10348</v>
      </c>
      <c r="H2382" t="s">
        <v>607</v>
      </c>
      <c r="J2382" t="s">
        <v>899</v>
      </c>
      <c r="L2382" t="s">
        <v>7579</v>
      </c>
      <c r="M2382" s="134">
        <v>900000</v>
      </c>
      <c r="N2382" s="134">
        <v>1530000</v>
      </c>
      <c r="O2382" t="s">
        <v>560</v>
      </c>
      <c r="P2382" t="s">
        <v>10349</v>
      </c>
      <c r="Q2382" t="s">
        <v>592</v>
      </c>
      <c r="R2382" t="s">
        <v>10347</v>
      </c>
      <c r="U2382" t="s">
        <v>1327</v>
      </c>
      <c r="X2382">
        <v>0</v>
      </c>
    </row>
    <row r="2383" spans="1:24" x14ac:dyDescent="0.25">
      <c r="A2383" s="234">
        <v>42389</v>
      </c>
      <c r="B2383" t="s">
        <v>328</v>
      </c>
      <c r="C2383" t="s">
        <v>603</v>
      </c>
      <c r="D2383" t="s">
        <v>587</v>
      </c>
      <c r="E2383" t="s">
        <v>588</v>
      </c>
      <c r="F2383" t="s">
        <v>784</v>
      </c>
      <c r="H2383" t="s">
        <v>722</v>
      </c>
      <c r="I2383" t="s">
        <v>785</v>
      </c>
      <c r="M2383" s="134">
        <v>900000</v>
      </c>
      <c r="N2383" s="134">
        <v>1530000</v>
      </c>
      <c r="O2383" t="s">
        <v>786</v>
      </c>
      <c r="P2383" t="s">
        <v>787</v>
      </c>
      <c r="Q2383" t="s">
        <v>29</v>
      </c>
      <c r="R2383" t="s">
        <v>807</v>
      </c>
      <c r="U2383" t="s">
        <v>491</v>
      </c>
      <c r="X2383">
        <v>1</v>
      </c>
    </row>
    <row r="2384" spans="1:24" x14ac:dyDescent="0.25">
      <c r="A2384" s="234">
        <v>42971</v>
      </c>
      <c r="B2384" t="s">
        <v>5360</v>
      </c>
      <c r="C2384" t="s">
        <v>899</v>
      </c>
      <c r="D2384" t="s">
        <v>732</v>
      </c>
      <c r="E2384" t="s">
        <v>588</v>
      </c>
      <c r="F2384" t="s">
        <v>8305</v>
      </c>
      <c r="G2384" t="s">
        <v>8306</v>
      </c>
      <c r="H2384" t="s">
        <v>607</v>
      </c>
      <c r="I2384" t="s">
        <v>7073</v>
      </c>
      <c r="J2384" t="s">
        <v>899</v>
      </c>
      <c r="L2384">
        <v>9</v>
      </c>
      <c r="M2384" s="134">
        <v>900000</v>
      </c>
      <c r="N2384" s="134">
        <v>1570000</v>
      </c>
      <c r="O2384" t="s">
        <v>560</v>
      </c>
      <c r="P2384" t="s">
        <v>8307</v>
      </c>
      <c r="Q2384" t="s">
        <v>1939</v>
      </c>
      <c r="R2384" t="s">
        <v>8308</v>
      </c>
      <c r="T2384">
        <v>19</v>
      </c>
      <c r="U2384" t="s">
        <v>491</v>
      </c>
      <c r="X2384">
        <v>0</v>
      </c>
    </row>
    <row r="2385" spans="1:24" x14ac:dyDescent="0.25">
      <c r="A2385" s="234">
        <v>42824</v>
      </c>
      <c r="B2385" t="s">
        <v>5992</v>
      </c>
      <c r="C2385" t="s">
        <v>608</v>
      </c>
      <c r="D2385" t="s">
        <v>5270</v>
      </c>
      <c r="E2385" t="s">
        <v>588</v>
      </c>
      <c r="F2385" t="s">
        <v>6203</v>
      </c>
      <c r="H2385" t="s">
        <v>607</v>
      </c>
      <c r="I2385" t="s">
        <v>6202</v>
      </c>
      <c r="J2385" t="s">
        <v>608</v>
      </c>
      <c r="L2385">
        <v>4</v>
      </c>
      <c r="M2385" s="134">
        <v>900000</v>
      </c>
      <c r="N2385" s="134">
        <v>1620000</v>
      </c>
      <c r="O2385" t="s">
        <v>6198</v>
      </c>
      <c r="P2385" t="s">
        <v>6200</v>
      </c>
      <c r="Q2385" t="s">
        <v>1939</v>
      </c>
      <c r="R2385" t="s">
        <v>6199</v>
      </c>
      <c r="S2385" t="s">
        <v>6197</v>
      </c>
      <c r="U2385" t="s">
        <v>1327</v>
      </c>
      <c r="X2385">
        <v>0</v>
      </c>
    </row>
    <row r="2386" spans="1:24" x14ac:dyDescent="0.25">
      <c r="A2386" s="234">
        <v>42660</v>
      </c>
      <c r="B2386" t="s">
        <v>328</v>
      </c>
      <c r="C2386" t="s">
        <v>603</v>
      </c>
      <c r="D2386" t="s">
        <v>2397</v>
      </c>
      <c r="E2386" t="s">
        <v>588</v>
      </c>
      <c r="F2386" t="s">
        <v>4343</v>
      </c>
      <c r="H2386" t="s">
        <v>722</v>
      </c>
      <c r="I2386" t="s">
        <v>3600</v>
      </c>
      <c r="J2386" t="s">
        <v>899</v>
      </c>
      <c r="L2386">
        <v>9</v>
      </c>
      <c r="M2386" s="134">
        <v>900000</v>
      </c>
      <c r="N2386" s="134">
        <v>1620000</v>
      </c>
      <c r="O2386" t="s">
        <v>560</v>
      </c>
      <c r="P2386" t="s">
        <v>4344</v>
      </c>
      <c r="Q2386" t="s">
        <v>1939</v>
      </c>
      <c r="R2386" t="s">
        <v>4345</v>
      </c>
      <c r="U2386" t="s">
        <v>491</v>
      </c>
      <c r="X2386">
        <v>0</v>
      </c>
    </row>
    <row r="2387" spans="1:24" x14ac:dyDescent="0.25">
      <c r="A2387" s="234">
        <v>42586</v>
      </c>
      <c r="B2387" t="s">
        <v>328</v>
      </c>
      <c r="C2387" t="s">
        <v>603</v>
      </c>
      <c r="D2387" t="s">
        <v>3211</v>
      </c>
      <c r="E2387" t="s">
        <v>588</v>
      </c>
      <c r="F2387" t="s">
        <v>3243</v>
      </c>
      <c r="H2387" t="s">
        <v>607</v>
      </c>
      <c r="I2387" t="s">
        <v>3244</v>
      </c>
      <c r="J2387" t="s">
        <v>899</v>
      </c>
      <c r="L2387">
        <v>9</v>
      </c>
      <c r="M2387" s="134">
        <v>900000</v>
      </c>
      <c r="N2387" s="134">
        <v>1640000</v>
      </c>
      <c r="O2387" t="s">
        <v>1474</v>
      </c>
      <c r="P2387" t="s">
        <v>3245</v>
      </c>
      <c r="Q2387" t="s">
        <v>29</v>
      </c>
      <c r="R2387" t="s">
        <v>3246</v>
      </c>
      <c r="U2387" t="s">
        <v>491</v>
      </c>
      <c r="X2387">
        <v>1</v>
      </c>
    </row>
    <row r="2388" spans="1:24" x14ac:dyDescent="0.25">
      <c r="A2388" s="234">
        <v>42551</v>
      </c>
      <c r="B2388" t="s">
        <v>328</v>
      </c>
      <c r="C2388" t="s">
        <v>603</v>
      </c>
      <c r="D2388" t="s">
        <v>1401</v>
      </c>
      <c r="E2388" t="s">
        <v>588</v>
      </c>
      <c r="F2388" t="s">
        <v>2719</v>
      </c>
      <c r="H2388" t="s">
        <v>607</v>
      </c>
      <c r="I2388" t="s">
        <v>2720</v>
      </c>
      <c r="M2388" s="134">
        <v>900000</v>
      </c>
      <c r="N2388" s="134">
        <v>1710000</v>
      </c>
      <c r="O2388" t="s">
        <v>2726</v>
      </c>
      <c r="P2388" t="s">
        <v>2721</v>
      </c>
      <c r="Q2388" t="s">
        <v>1939</v>
      </c>
      <c r="R2388" t="s">
        <v>2722</v>
      </c>
      <c r="U2388" t="s">
        <v>491</v>
      </c>
      <c r="X2388">
        <v>0</v>
      </c>
    </row>
    <row r="2389" spans="1:24" x14ac:dyDescent="0.25">
      <c r="A2389" s="234">
        <v>43570</v>
      </c>
      <c r="B2389" t="s">
        <v>643</v>
      </c>
      <c r="C2389" t="s">
        <v>644</v>
      </c>
      <c r="D2389" t="s">
        <v>645</v>
      </c>
      <c r="F2389" t="s">
        <v>15240</v>
      </c>
      <c r="G2389" t="s">
        <v>15241</v>
      </c>
      <c r="H2389" t="s">
        <v>607</v>
      </c>
      <c r="I2389" t="s">
        <v>15242</v>
      </c>
      <c r="J2389" t="s">
        <v>3372</v>
      </c>
      <c r="K2389" t="s">
        <v>15243</v>
      </c>
      <c r="L2389">
        <v>9</v>
      </c>
      <c r="M2389" s="134">
        <v>900000</v>
      </c>
      <c r="N2389" s="134">
        <v>1758090</v>
      </c>
      <c r="O2389" t="s">
        <v>10763</v>
      </c>
      <c r="P2389" t="s">
        <v>15333</v>
      </c>
      <c r="Q2389" t="s">
        <v>1939</v>
      </c>
      <c r="R2389" t="s">
        <v>15244</v>
      </c>
      <c r="U2389" t="s">
        <v>12797</v>
      </c>
      <c r="X2389">
        <v>0</v>
      </c>
    </row>
    <row r="2390" spans="1:24" x14ac:dyDescent="0.25">
      <c r="A2390" s="234">
        <v>43034</v>
      </c>
      <c r="B2390" t="s">
        <v>328</v>
      </c>
      <c r="C2390" t="s">
        <v>899</v>
      </c>
      <c r="D2390" t="s">
        <v>649</v>
      </c>
      <c r="E2390" t="s">
        <v>588</v>
      </c>
      <c r="F2390" t="s">
        <v>9201</v>
      </c>
      <c r="G2390" t="s">
        <v>9202</v>
      </c>
      <c r="H2390" t="s">
        <v>1391</v>
      </c>
      <c r="I2390" t="s">
        <v>9203</v>
      </c>
      <c r="J2390" t="s">
        <v>608</v>
      </c>
      <c r="L2390">
        <v>9</v>
      </c>
      <c r="M2390" s="134">
        <v>900000</v>
      </c>
      <c r="N2390" s="134">
        <v>1800000</v>
      </c>
      <c r="O2390" t="s">
        <v>7124</v>
      </c>
      <c r="P2390" t="s">
        <v>9279</v>
      </c>
      <c r="Q2390" t="s">
        <v>1939</v>
      </c>
      <c r="R2390" t="s">
        <v>9204</v>
      </c>
      <c r="U2390" t="s">
        <v>1327</v>
      </c>
      <c r="X2390">
        <v>0</v>
      </c>
    </row>
    <row r="2391" spans="1:24" x14ac:dyDescent="0.25">
      <c r="A2391" s="234">
        <v>42403</v>
      </c>
      <c r="B2391" t="s">
        <v>378</v>
      </c>
      <c r="C2391" t="s">
        <v>899</v>
      </c>
      <c r="D2391" t="s">
        <v>611</v>
      </c>
      <c r="E2391" t="s">
        <v>588</v>
      </c>
      <c r="F2391" t="s">
        <v>900</v>
      </c>
      <c r="H2391" t="s">
        <v>607</v>
      </c>
      <c r="I2391" t="s">
        <v>706</v>
      </c>
      <c r="M2391" s="134">
        <v>900000</v>
      </c>
      <c r="N2391" s="134">
        <v>1870000</v>
      </c>
      <c r="O2391" t="s">
        <v>901</v>
      </c>
      <c r="P2391" t="s">
        <v>902</v>
      </c>
      <c r="Q2391" t="s">
        <v>620</v>
      </c>
      <c r="R2391" t="s">
        <v>903</v>
      </c>
      <c r="U2391" t="s">
        <v>491</v>
      </c>
      <c r="X2391">
        <v>0</v>
      </c>
    </row>
    <row r="2392" spans="1:24" x14ac:dyDescent="0.25">
      <c r="A2392" s="234">
        <v>42557</v>
      </c>
      <c r="B2392" t="s">
        <v>328</v>
      </c>
      <c r="C2392" t="s">
        <v>1555</v>
      </c>
      <c r="D2392" t="s">
        <v>1471</v>
      </c>
      <c r="E2392" t="s">
        <v>588</v>
      </c>
      <c r="F2392" t="s">
        <v>2766</v>
      </c>
      <c r="H2392" t="s">
        <v>1391</v>
      </c>
      <c r="I2392" t="s">
        <v>2767</v>
      </c>
      <c r="M2392" s="134">
        <v>900000</v>
      </c>
      <c r="N2392" s="134">
        <v>2250500</v>
      </c>
      <c r="O2392" t="s">
        <v>2768</v>
      </c>
      <c r="P2392" t="s">
        <v>2769</v>
      </c>
      <c r="Q2392" t="s">
        <v>1939</v>
      </c>
      <c r="R2392" t="s">
        <v>2770</v>
      </c>
      <c r="U2392" t="s">
        <v>491</v>
      </c>
      <c r="X2392">
        <v>0</v>
      </c>
    </row>
    <row r="2393" spans="1:24" x14ac:dyDescent="0.25">
      <c r="A2393" s="234">
        <v>43327</v>
      </c>
      <c r="B2393" t="s">
        <v>328</v>
      </c>
      <c r="C2393" t="s">
        <v>603</v>
      </c>
      <c r="D2393" t="s">
        <v>1401</v>
      </c>
      <c r="E2393" t="s">
        <v>588</v>
      </c>
      <c r="F2393" t="s">
        <v>12207</v>
      </c>
      <c r="G2393" t="s">
        <v>12207</v>
      </c>
      <c r="H2393" t="s">
        <v>1050</v>
      </c>
      <c r="I2393" t="s">
        <v>12206</v>
      </c>
      <c r="J2393" t="s">
        <v>4031</v>
      </c>
      <c r="M2393" s="134">
        <v>900500</v>
      </c>
      <c r="N2393" s="134">
        <v>900500</v>
      </c>
      <c r="O2393" t="s">
        <v>10766</v>
      </c>
      <c r="P2393" t="s">
        <v>12501</v>
      </c>
      <c r="Q2393" t="s">
        <v>29</v>
      </c>
      <c r="R2393" t="s">
        <v>12205</v>
      </c>
      <c r="U2393" t="s">
        <v>1327</v>
      </c>
      <c r="X2393">
        <v>1</v>
      </c>
    </row>
    <row r="2394" spans="1:24" x14ac:dyDescent="0.25">
      <c r="A2394" s="234">
        <v>42550</v>
      </c>
      <c r="B2394" t="s">
        <v>378</v>
      </c>
      <c r="C2394" t="s">
        <v>623</v>
      </c>
      <c r="D2394" t="s">
        <v>625</v>
      </c>
      <c r="E2394" t="s">
        <v>588</v>
      </c>
      <c r="F2394" t="s">
        <v>2707</v>
      </c>
      <c r="H2394" t="s">
        <v>607</v>
      </c>
      <c r="I2394" t="s">
        <v>2708</v>
      </c>
      <c r="M2394" s="134">
        <v>902000</v>
      </c>
      <c r="N2394" s="134">
        <v>1623600</v>
      </c>
      <c r="O2394" t="s">
        <v>2032</v>
      </c>
      <c r="P2394" t="s">
        <v>2709</v>
      </c>
      <c r="Q2394" t="s">
        <v>620</v>
      </c>
      <c r="U2394" t="s">
        <v>491</v>
      </c>
      <c r="X2394">
        <v>0</v>
      </c>
    </row>
    <row r="2395" spans="1:24" x14ac:dyDescent="0.25">
      <c r="A2395" s="234">
        <v>42986</v>
      </c>
      <c r="B2395" t="s">
        <v>328</v>
      </c>
      <c r="C2395" t="s">
        <v>603</v>
      </c>
      <c r="D2395" t="s">
        <v>649</v>
      </c>
      <c r="E2395" t="s">
        <v>588</v>
      </c>
      <c r="F2395" t="s">
        <v>7831</v>
      </c>
      <c r="G2395" t="s">
        <v>8449</v>
      </c>
      <c r="H2395" t="s">
        <v>607</v>
      </c>
      <c r="I2395" t="s">
        <v>3649</v>
      </c>
      <c r="J2395" t="s">
        <v>899</v>
      </c>
      <c r="L2395">
        <v>9</v>
      </c>
      <c r="M2395" s="134">
        <v>903000</v>
      </c>
      <c r="N2395" s="134">
        <v>1625400</v>
      </c>
      <c r="O2395" t="s">
        <v>560</v>
      </c>
      <c r="P2395" t="s">
        <v>8450</v>
      </c>
      <c r="Q2395" t="s">
        <v>1939</v>
      </c>
      <c r="R2395" t="s">
        <v>8451</v>
      </c>
      <c r="T2395">
        <v>28</v>
      </c>
      <c r="U2395" t="s">
        <v>491</v>
      </c>
      <c r="X2395">
        <v>0</v>
      </c>
    </row>
    <row r="2396" spans="1:24" x14ac:dyDescent="0.25">
      <c r="A2396" s="234">
        <v>43598</v>
      </c>
      <c r="B2396" t="s">
        <v>5956</v>
      </c>
      <c r="C2396" t="s">
        <v>3369</v>
      </c>
      <c r="D2396" t="s">
        <v>8126</v>
      </c>
      <c r="F2396" t="s">
        <v>15533</v>
      </c>
      <c r="G2396" t="s">
        <v>15534</v>
      </c>
      <c r="H2396" t="s">
        <v>607</v>
      </c>
      <c r="I2396" t="s">
        <v>15535</v>
      </c>
      <c r="J2396" t="s">
        <v>3369</v>
      </c>
      <c r="K2396" t="s">
        <v>15536</v>
      </c>
      <c r="L2396">
        <v>2</v>
      </c>
      <c r="M2396" s="134">
        <v>906000</v>
      </c>
      <c r="N2396" s="134">
        <v>2250000</v>
      </c>
      <c r="O2396" t="s">
        <v>10766</v>
      </c>
      <c r="P2396" t="s">
        <v>15537</v>
      </c>
      <c r="Q2396" t="s">
        <v>29</v>
      </c>
      <c r="R2396" t="s">
        <v>15538</v>
      </c>
      <c r="U2396" t="s">
        <v>491</v>
      </c>
      <c r="X2396">
        <v>1</v>
      </c>
    </row>
    <row r="2397" spans="1:24" x14ac:dyDescent="0.25">
      <c r="A2397" s="234">
        <v>42947</v>
      </c>
      <c r="B2397" t="s">
        <v>569</v>
      </c>
      <c r="D2397" t="s">
        <v>625</v>
      </c>
      <c r="E2397" t="s">
        <v>588</v>
      </c>
      <c r="F2397" t="s">
        <v>7892</v>
      </c>
      <c r="G2397" t="s">
        <v>2454</v>
      </c>
      <c r="H2397" t="s">
        <v>607</v>
      </c>
      <c r="I2397" t="s">
        <v>7088</v>
      </c>
      <c r="J2397" t="s">
        <v>899</v>
      </c>
      <c r="L2397">
        <v>4</v>
      </c>
      <c r="M2397" s="134">
        <v>907000</v>
      </c>
      <c r="N2397" s="134">
        <v>160000</v>
      </c>
      <c r="O2397" t="s">
        <v>7893</v>
      </c>
      <c r="P2397" t="s">
        <v>7894</v>
      </c>
      <c r="Q2397" t="s">
        <v>1939</v>
      </c>
      <c r="R2397" t="s">
        <v>7895</v>
      </c>
      <c r="T2397">
        <v>12</v>
      </c>
      <c r="U2397" t="s">
        <v>491</v>
      </c>
      <c r="X2397">
        <v>0</v>
      </c>
    </row>
    <row r="2398" spans="1:24" x14ac:dyDescent="0.25">
      <c r="A2398" s="234">
        <v>42725</v>
      </c>
      <c r="B2398" t="s">
        <v>328</v>
      </c>
      <c r="C2398" t="s">
        <v>603</v>
      </c>
      <c r="D2398" t="s">
        <v>2397</v>
      </c>
      <c r="E2398" t="s">
        <v>588</v>
      </c>
      <c r="F2398" t="s">
        <v>5071</v>
      </c>
      <c r="H2398" t="s">
        <v>607</v>
      </c>
      <c r="I2398" t="s">
        <v>5072</v>
      </c>
      <c r="J2398" t="s">
        <v>899</v>
      </c>
      <c r="L2398">
        <v>10</v>
      </c>
      <c r="M2398" s="134">
        <v>907000</v>
      </c>
      <c r="N2398" s="134">
        <v>1814000</v>
      </c>
      <c r="O2398" t="s">
        <v>764</v>
      </c>
      <c r="P2398" t="s">
        <v>5073</v>
      </c>
      <c r="Q2398" t="s">
        <v>1939</v>
      </c>
      <c r="R2398" t="s">
        <v>5074</v>
      </c>
      <c r="U2398" t="s">
        <v>491</v>
      </c>
      <c r="X2398">
        <v>0</v>
      </c>
    </row>
    <row r="2399" spans="1:24" x14ac:dyDescent="0.25">
      <c r="A2399" s="234">
        <v>43613</v>
      </c>
      <c r="B2399" t="s">
        <v>5956</v>
      </c>
      <c r="C2399" t="s">
        <v>3369</v>
      </c>
      <c r="D2399" t="s">
        <v>8126</v>
      </c>
      <c r="F2399" t="s">
        <v>15760</v>
      </c>
      <c r="G2399" t="s">
        <v>256</v>
      </c>
      <c r="H2399" t="s">
        <v>886</v>
      </c>
      <c r="I2399" t="s">
        <v>15761</v>
      </c>
      <c r="J2399" t="s">
        <v>4825</v>
      </c>
      <c r="K2399" t="s">
        <v>15762</v>
      </c>
      <c r="L2399">
        <v>5</v>
      </c>
      <c r="M2399" s="134">
        <v>910000</v>
      </c>
      <c r="N2399" s="134">
        <v>1410000</v>
      </c>
      <c r="O2399" t="s">
        <v>10766</v>
      </c>
      <c r="P2399" t="s">
        <v>15763</v>
      </c>
      <c r="Q2399" t="s">
        <v>29</v>
      </c>
      <c r="R2399" t="s">
        <v>15764</v>
      </c>
      <c r="U2399" t="s">
        <v>491</v>
      </c>
      <c r="X2399">
        <v>1</v>
      </c>
    </row>
    <row r="2400" spans="1:24" x14ac:dyDescent="0.25">
      <c r="A2400" s="234">
        <v>42717</v>
      </c>
      <c r="B2400" t="s">
        <v>378</v>
      </c>
      <c r="C2400" t="s">
        <v>623</v>
      </c>
      <c r="D2400" t="s">
        <v>625</v>
      </c>
      <c r="E2400" t="s">
        <v>588</v>
      </c>
      <c r="F2400" t="s">
        <v>5007</v>
      </c>
      <c r="H2400" t="s">
        <v>607</v>
      </c>
      <c r="I2400" t="s">
        <v>4169</v>
      </c>
      <c r="J2400" t="s">
        <v>899</v>
      </c>
      <c r="L2400">
        <v>3</v>
      </c>
      <c r="M2400" s="134">
        <v>910000</v>
      </c>
      <c r="N2400" s="134">
        <v>1638000</v>
      </c>
      <c r="O2400" t="s">
        <v>3952</v>
      </c>
      <c r="P2400" t="s">
        <v>5009</v>
      </c>
      <c r="Q2400" t="s">
        <v>1939</v>
      </c>
      <c r="R2400" t="s">
        <v>5008</v>
      </c>
      <c r="X2400">
        <v>0</v>
      </c>
    </row>
    <row r="2401" spans="1:24" x14ac:dyDescent="0.25">
      <c r="A2401" s="234">
        <v>42682</v>
      </c>
      <c r="B2401" t="s">
        <v>378</v>
      </c>
      <c r="C2401" t="s">
        <v>623</v>
      </c>
      <c r="D2401" t="s">
        <v>624</v>
      </c>
      <c r="E2401" t="s">
        <v>588</v>
      </c>
      <c r="F2401" t="s">
        <v>4650</v>
      </c>
      <c r="H2401" t="s">
        <v>607</v>
      </c>
      <c r="I2401" t="s">
        <v>3672</v>
      </c>
      <c r="J2401" t="s">
        <v>899</v>
      </c>
      <c r="L2401">
        <v>3</v>
      </c>
      <c r="M2401" s="134">
        <v>911000</v>
      </c>
      <c r="N2401" s="134">
        <v>1057000</v>
      </c>
      <c r="O2401" t="s">
        <v>4651</v>
      </c>
      <c r="P2401" t="s">
        <v>4652</v>
      </c>
      <c r="Q2401" t="s">
        <v>1939</v>
      </c>
      <c r="R2401" t="s">
        <v>4653</v>
      </c>
      <c r="U2401" t="s">
        <v>491</v>
      </c>
      <c r="X2401">
        <v>0</v>
      </c>
    </row>
    <row r="2402" spans="1:24" x14ac:dyDescent="0.25">
      <c r="A2402" s="234">
        <v>43516</v>
      </c>
      <c r="B2402" t="s">
        <v>569</v>
      </c>
      <c r="C2402" t="s">
        <v>899</v>
      </c>
      <c r="D2402" t="s">
        <v>3505</v>
      </c>
      <c r="F2402" t="s">
        <v>14439</v>
      </c>
      <c r="G2402" t="s">
        <v>8263</v>
      </c>
      <c r="H2402" t="s">
        <v>607</v>
      </c>
      <c r="I2402" t="s">
        <v>2054</v>
      </c>
      <c r="J2402" t="s">
        <v>899</v>
      </c>
      <c r="K2402" t="s">
        <v>14440</v>
      </c>
      <c r="L2402">
        <v>1</v>
      </c>
      <c r="M2402" s="134">
        <v>911000</v>
      </c>
      <c r="N2402" s="134">
        <v>1800000</v>
      </c>
      <c r="O2402" t="s">
        <v>49</v>
      </c>
      <c r="P2402" t="s">
        <v>14441</v>
      </c>
      <c r="Q2402" t="s">
        <v>592</v>
      </c>
      <c r="X2402">
        <v>0</v>
      </c>
    </row>
    <row r="2403" spans="1:24" x14ac:dyDescent="0.25">
      <c r="A2403" s="234">
        <v>42818</v>
      </c>
      <c r="B2403" t="s">
        <v>328</v>
      </c>
      <c r="C2403" t="s">
        <v>899</v>
      </c>
      <c r="D2403" t="s">
        <v>649</v>
      </c>
      <c r="E2403" t="s">
        <v>588</v>
      </c>
      <c r="F2403" t="s">
        <v>6098</v>
      </c>
      <c r="H2403" t="s">
        <v>1626</v>
      </c>
      <c r="I2403" t="s">
        <v>6099</v>
      </c>
      <c r="J2403" t="s">
        <v>899</v>
      </c>
      <c r="L2403">
        <v>4</v>
      </c>
      <c r="M2403" s="134">
        <v>912000</v>
      </c>
      <c r="N2403" s="134">
        <v>1120000</v>
      </c>
      <c r="O2403" t="s">
        <v>6100</v>
      </c>
      <c r="P2403" t="s">
        <v>6101</v>
      </c>
      <c r="Q2403" t="s">
        <v>29</v>
      </c>
      <c r="R2403" t="s">
        <v>6102</v>
      </c>
      <c r="U2403" t="s">
        <v>491</v>
      </c>
      <c r="X2403">
        <v>1</v>
      </c>
    </row>
    <row r="2404" spans="1:24" x14ac:dyDescent="0.25">
      <c r="A2404" s="234">
        <v>43490</v>
      </c>
      <c r="B2404" t="s">
        <v>328</v>
      </c>
      <c r="C2404" t="s">
        <v>603</v>
      </c>
      <c r="D2404" t="s">
        <v>649</v>
      </c>
      <c r="F2404" t="s">
        <v>453</v>
      </c>
      <c r="G2404" t="s">
        <v>14176</v>
      </c>
      <c r="H2404" t="s">
        <v>607</v>
      </c>
      <c r="I2404" t="s">
        <v>2054</v>
      </c>
      <c r="J2404" t="s">
        <v>899</v>
      </c>
      <c r="K2404" t="s">
        <v>14012</v>
      </c>
      <c r="L2404">
        <v>1</v>
      </c>
      <c r="M2404" s="134">
        <v>912000</v>
      </c>
      <c r="N2404" s="134">
        <v>1641600</v>
      </c>
      <c r="O2404" t="s">
        <v>7564</v>
      </c>
      <c r="P2404" t="s">
        <v>14254</v>
      </c>
      <c r="Q2404" t="s">
        <v>592</v>
      </c>
      <c r="R2404" t="s">
        <v>14255</v>
      </c>
      <c r="U2404" t="s">
        <v>12797</v>
      </c>
      <c r="X2404">
        <v>0</v>
      </c>
    </row>
    <row r="2405" spans="1:24" x14ac:dyDescent="0.25">
      <c r="A2405" s="234">
        <v>43112</v>
      </c>
      <c r="B2405" t="s">
        <v>569</v>
      </c>
      <c r="C2405" t="s">
        <v>899</v>
      </c>
      <c r="D2405" t="s">
        <v>9981</v>
      </c>
      <c r="E2405" t="s">
        <v>588</v>
      </c>
      <c r="F2405" t="s">
        <v>9982</v>
      </c>
      <c r="G2405" t="s">
        <v>7953</v>
      </c>
      <c r="H2405" t="s">
        <v>607</v>
      </c>
      <c r="I2405" t="s">
        <v>8952</v>
      </c>
      <c r="J2405" t="s">
        <v>899</v>
      </c>
      <c r="L2405">
        <v>3</v>
      </c>
      <c r="M2405" s="134">
        <v>912816</v>
      </c>
      <c r="N2405" s="134">
        <v>1312816</v>
      </c>
      <c r="O2405" t="s">
        <v>10766</v>
      </c>
      <c r="P2405" t="s">
        <v>9984</v>
      </c>
      <c r="Q2405" t="s">
        <v>29</v>
      </c>
      <c r="R2405" t="s">
        <v>9983</v>
      </c>
      <c r="U2405" t="s">
        <v>491</v>
      </c>
      <c r="X2405">
        <v>1</v>
      </c>
    </row>
    <row r="2406" spans="1:24" x14ac:dyDescent="0.25">
      <c r="A2406" s="234">
        <v>42510</v>
      </c>
      <c r="B2406" t="s">
        <v>378</v>
      </c>
      <c r="C2406" t="s">
        <v>623</v>
      </c>
      <c r="D2406" t="s">
        <v>625</v>
      </c>
      <c r="E2406" t="s">
        <v>588</v>
      </c>
      <c r="H2406" t="s">
        <v>886</v>
      </c>
      <c r="I2406" t="s">
        <v>2195</v>
      </c>
      <c r="M2406" s="134">
        <v>917000</v>
      </c>
      <c r="N2406" s="134">
        <v>932000</v>
      </c>
      <c r="O2406" t="s">
        <v>2196</v>
      </c>
      <c r="P2406" t="s">
        <v>2197</v>
      </c>
      <c r="Q2406" t="s">
        <v>1939</v>
      </c>
      <c r="R2406" t="s">
        <v>2198</v>
      </c>
      <c r="U2406" t="s">
        <v>491</v>
      </c>
      <c r="X2406">
        <v>0</v>
      </c>
    </row>
    <row r="2407" spans="1:24" x14ac:dyDescent="0.25">
      <c r="A2407" s="234">
        <v>43312</v>
      </c>
      <c r="B2407" t="s">
        <v>328</v>
      </c>
      <c r="C2407" t="s">
        <v>603</v>
      </c>
      <c r="D2407" t="s">
        <v>8941</v>
      </c>
      <c r="E2407" t="s">
        <v>588</v>
      </c>
      <c r="F2407" t="s">
        <v>11971</v>
      </c>
      <c r="G2407" t="s">
        <v>11972</v>
      </c>
      <c r="H2407" t="s">
        <v>5321</v>
      </c>
      <c r="I2407" t="s">
        <v>4373</v>
      </c>
      <c r="J2407" t="s">
        <v>899</v>
      </c>
      <c r="L2407">
        <v>3</v>
      </c>
      <c r="M2407" s="134">
        <v>920000</v>
      </c>
      <c r="N2407" s="134">
        <v>1564000</v>
      </c>
      <c r="O2407" t="s">
        <v>7564</v>
      </c>
      <c r="P2407" t="s">
        <v>11973</v>
      </c>
      <c r="Q2407" t="s">
        <v>1939</v>
      </c>
      <c r="R2407" t="s">
        <v>11974</v>
      </c>
      <c r="U2407" t="s">
        <v>1327</v>
      </c>
      <c r="X2407">
        <v>0</v>
      </c>
    </row>
    <row r="2408" spans="1:24" x14ac:dyDescent="0.25">
      <c r="A2408" s="234">
        <v>43396</v>
      </c>
      <c r="B2408" t="s">
        <v>5360</v>
      </c>
      <c r="C2408" t="s">
        <v>899</v>
      </c>
      <c r="D2408" t="s">
        <v>611</v>
      </c>
      <c r="F2408" t="s">
        <v>13006</v>
      </c>
      <c r="G2408" t="s">
        <v>13007</v>
      </c>
      <c r="H2408" t="s">
        <v>607</v>
      </c>
      <c r="I2408" t="s">
        <v>13008</v>
      </c>
      <c r="J2408" t="s">
        <v>899</v>
      </c>
      <c r="K2408">
        <v>95228</v>
      </c>
      <c r="L2408">
        <v>5</v>
      </c>
      <c r="M2408" s="134">
        <v>920000</v>
      </c>
      <c r="N2408" s="134">
        <v>1772000</v>
      </c>
      <c r="O2408" t="s">
        <v>10766</v>
      </c>
      <c r="P2408" t="s">
        <v>13009</v>
      </c>
      <c r="Q2408" t="s">
        <v>1939</v>
      </c>
      <c r="R2408" t="s">
        <v>13010</v>
      </c>
      <c r="U2408" t="s">
        <v>12344</v>
      </c>
      <c r="X2408">
        <v>0</v>
      </c>
    </row>
    <row r="2409" spans="1:24" x14ac:dyDescent="0.25">
      <c r="A2409" s="234">
        <v>43010</v>
      </c>
      <c r="B2409" t="s">
        <v>328</v>
      </c>
      <c r="C2409" t="s">
        <v>603</v>
      </c>
      <c r="D2409" t="s">
        <v>649</v>
      </c>
      <c r="E2409" t="s">
        <v>588</v>
      </c>
      <c r="F2409" t="s">
        <v>8813</v>
      </c>
      <c r="G2409" t="s">
        <v>8814</v>
      </c>
      <c r="H2409" t="s">
        <v>607</v>
      </c>
      <c r="I2409" t="s">
        <v>8815</v>
      </c>
      <c r="J2409" t="s">
        <v>3751</v>
      </c>
      <c r="L2409">
        <v>10</v>
      </c>
      <c r="M2409" s="134">
        <v>921903</v>
      </c>
      <c r="N2409" s="134">
        <v>1521903</v>
      </c>
      <c r="O2409" t="s">
        <v>2680</v>
      </c>
      <c r="P2409" t="s">
        <v>8839</v>
      </c>
      <c r="Q2409" t="s">
        <v>1939</v>
      </c>
      <c r="R2409" t="s">
        <v>8816</v>
      </c>
      <c r="T2409">
        <v>18</v>
      </c>
      <c r="U2409" t="s">
        <v>491</v>
      </c>
      <c r="X2409">
        <v>0</v>
      </c>
    </row>
    <row r="2410" spans="1:24" x14ac:dyDescent="0.25">
      <c r="A2410" s="234">
        <v>43535</v>
      </c>
      <c r="B2410" t="s">
        <v>13559</v>
      </c>
      <c r="C2410" t="s">
        <v>3523</v>
      </c>
      <c r="D2410" t="s">
        <v>14673</v>
      </c>
      <c r="F2410" t="s">
        <v>14674</v>
      </c>
      <c r="G2410" t="s">
        <v>4118</v>
      </c>
      <c r="H2410" t="s">
        <v>607</v>
      </c>
      <c r="I2410" t="s">
        <v>14675</v>
      </c>
      <c r="J2410" t="s">
        <v>14676</v>
      </c>
      <c r="K2410" t="s">
        <v>14677</v>
      </c>
      <c r="L2410">
        <v>5</v>
      </c>
      <c r="M2410" s="134">
        <v>925000</v>
      </c>
      <c r="N2410" s="134">
        <v>1251000</v>
      </c>
      <c r="O2410" t="s">
        <v>10765</v>
      </c>
      <c r="P2410" t="s">
        <v>14678</v>
      </c>
      <c r="Q2410" t="s">
        <v>29</v>
      </c>
      <c r="R2410" t="s">
        <v>14679</v>
      </c>
      <c r="U2410" t="s">
        <v>12797</v>
      </c>
      <c r="X2410">
        <v>1</v>
      </c>
    </row>
    <row r="2411" spans="1:24" x14ac:dyDescent="0.25">
      <c r="A2411" s="234">
        <v>43200</v>
      </c>
      <c r="B2411" t="s">
        <v>328</v>
      </c>
      <c r="C2411" t="s">
        <v>899</v>
      </c>
      <c r="D2411" t="s">
        <v>8941</v>
      </c>
      <c r="E2411" t="s">
        <v>588</v>
      </c>
      <c r="F2411" t="s">
        <v>10883</v>
      </c>
      <c r="G2411" t="s">
        <v>8044</v>
      </c>
      <c r="H2411" t="s">
        <v>607</v>
      </c>
      <c r="I2411" t="s">
        <v>2054</v>
      </c>
      <c r="J2411" t="s">
        <v>899</v>
      </c>
      <c r="L2411">
        <v>2</v>
      </c>
      <c r="M2411" s="134">
        <v>925000</v>
      </c>
      <c r="N2411" s="134">
        <v>1287500</v>
      </c>
      <c r="O2411" t="s">
        <v>7564</v>
      </c>
      <c r="P2411" t="s">
        <v>10884</v>
      </c>
      <c r="Q2411" t="s">
        <v>1939</v>
      </c>
      <c r="R2411" t="s">
        <v>10885</v>
      </c>
      <c r="U2411" t="s">
        <v>1327</v>
      </c>
      <c r="X2411">
        <v>0</v>
      </c>
    </row>
    <row r="2412" spans="1:24" x14ac:dyDescent="0.25">
      <c r="A2412" s="234">
        <v>42690</v>
      </c>
      <c r="B2412" t="s">
        <v>328</v>
      </c>
      <c r="C2412" t="s">
        <v>603</v>
      </c>
      <c r="D2412" t="s">
        <v>1471</v>
      </c>
      <c r="E2412" t="s">
        <v>588</v>
      </c>
      <c r="F2412" t="s">
        <v>4722</v>
      </c>
      <c r="H2412" t="s">
        <v>710</v>
      </c>
      <c r="I2412" t="s">
        <v>3478</v>
      </c>
      <c r="J2412" t="s">
        <v>899</v>
      </c>
      <c r="L2412">
        <v>9</v>
      </c>
      <c r="M2412" s="134">
        <v>925000</v>
      </c>
      <c r="N2412" s="134">
        <v>1630000</v>
      </c>
      <c r="O2412" t="s">
        <v>560</v>
      </c>
      <c r="P2412" t="s">
        <v>4723</v>
      </c>
      <c r="Q2412" t="s">
        <v>592</v>
      </c>
      <c r="R2412" t="s">
        <v>4724</v>
      </c>
      <c r="U2412" t="s">
        <v>2227</v>
      </c>
      <c r="X2412">
        <v>0</v>
      </c>
    </row>
    <row r="2413" spans="1:24" x14ac:dyDescent="0.25">
      <c r="A2413" s="234">
        <v>43010</v>
      </c>
      <c r="B2413" t="s">
        <v>569</v>
      </c>
      <c r="C2413" t="s">
        <v>899</v>
      </c>
      <c r="D2413" t="s">
        <v>625</v>
      </c>
      <c r="E2413" t="s">
        <v>1707</v>
      </c>
      <c r="F2413" t="s">
        <v>8817</v>
      </c>
      <c r="G2413" t="s">
        <v>7830</v>
      </c>
      <c r="H2413" t="s">
        <v>607</v>
      </c>
      <c r="I2413" t="s">
        <v>4237</v>
      </c>
      <c r="J2413" t="s">
        <v>899</v>
      </c>
      <c r="M2413" s="134">
        <v>925000</v>
      </c>
      <c r="N2413" s="134">
        <v>1700000</v>
      </c>
      <c r="O2413" t="s">
        <v>1171</v>
      </c>
      <c r="P2413" t="s">
        <v>8840</v>
      </c>
      <c r="Q2413" t="s">
        <v>620</v>
      </c>
      <c r="R2413" t="s">
        <v>8841</v>
      </c>
      <c r="T2413">
        <v>32</v>
      </c>
      <c r="U2413" t="s">
        <v>491</v>
      </c>
      <c r="X2413">
        <v>0</v>
      </c>
    </row>
    <row r="2414" spans="1:24" x14ac:dyDescent="0.25">
      <c r="A2414" s="234">
        <v>42580</v>
      </c>
      <c r="B2414" t="s">
        <v>378</v>
      </c>
      <c r="C2414" t="s">
        <v>623</v>
      </c>
      <c r="D2414" t="s">
        <v>930</v>
      </c>
      <c r="E2414" t="s">
        <v>692</v>
      </c>
      <c r="F2414" t="s">
        <v>3136</v>
      </c>
      <c r="H2414" t="s">
        <v>1626</v>
      </c>
      <c r="I2414" t="s">
        <v>789</v>
      </c>
      <c r="M2414" s="134">
        <v>929000</v>
      </c>
      <c r="N2414" s="134">
        <v>1114800</v>
      </c>
      <c r="O2414" t="s">
        <v>35</v>
      </c>
      <c r="P2414" t="s">
        <v>3137</v>
      </c>
      <c r="Q2414" t="s">
        <v>1939</v>
      </c>
      <c r="R2414" t="s">
        <v>3138</v>
      </c>
      <c r="U2414" t="s">
        <v>491</v>
      </c>
      <c r="X2414">
        <v>0</v>
      </c>
    </row>
    <row r="2415" spans="1:24" x14ac:dyDescent="0.25">
      <c r="A2415" s="234">
        <v>43446</v>
      </c>
      <c r="B2415" t="s">
        <v>569</v>
      </c>
      <c r="C2415" t="s">
        <v>899</v>
      </c>
      <c r="D2415" t="s">
        <v>625</v>
      </c>
      <c r="F2415" t="s">
        <v>13617</v>
      </c>
      <c r="G2415" t="s">
        <v>13618</v>
      </c>
      <c r="H2415" t="s">
        <v>607</v>
      </c>
      <c r="I2415" t="s">
        <v>3448</v>
      </c>
      <c r="J2415" t="s">
        <v>899</v>
      </c>
      <c r="K2415" t="s">
        <v>13619</v>
      </c>
      <c r="L2415">
        <v>3</v>
      </c>
      <c r="M2415" s="134">
        <v>932000</v>
      </c>
      <c r="N2415" s="134">
        <v>1700000</v>
      </c>
      <c r="O2415" t="s">
        <v>10766</v>
      </c>
      <c r="P2415" t="s">
        <v>13620</v>
      </c>
      <c r="Q2415" t="s">
        <v>1939</v>
      </c>
      <c r="R2415" t="s">
        <v>13621</v>
      </c>
      <c r="U2415" t="s">
        <v>491</v>
      </c>
      <c r="X2415">
        <v>0</v>
      </c>
    </row>
    <row r="2416" spans="1:24" x14ac:dyDescent="0.25">
      <c r="A2416" s="234">
        <v>42381</v>
      </c>
      <c r="B2416" t="s">
        <v>328</v>
      </c>
      <c r="C2416" t="s">
        <v>603</v>
      </c>
      <c r="D2416" t="s">
        <v>649</v>
      </c>
      <c r="E2416" t="s">
        <v>588</v>
      </c>
      <c r="F2416" t="s">
        <v>704</v>
      </c>
      <c r="H2416" t="s">
        <v>705</v>
      </c>
      <c r="I2416" t="s">
        <v>706</v>
      </c>
      <c r="M2416" s="134">
        <v>934000</v>
      </c>
      <c r="N2416" s="134">
        <v>1844000</v>
      </c>
      <c r="O2416" t="s">
        <v>707</v>
      </c>
      <c r="P2416" t="s">
        <v>708</v>
      </c>
      <c r="Q2416" t="s">
        <v>29</v>
      </c>
      <c r="R2416" t="s">
        <v>1185</v>
      </c>
      <c r="U2416" t="s">
        <v>491</v>
      </c>
      <c r="X2416">
        <v>1</v>
      </c>
    </row>
    <row r="2417" spans="1:24" x14ac:dyDescent="0.25">
      <c r="A2417" s="234">
        <v>43376</v>
      </c>
      <c r="B2417" t="s">
        <v>328</v>
      </c>
      <c r="C2417" t="s">
        <v>603</v>
      </c>
      <c r="D2417" t="s">
        <v>10705</v>
      </c>
      <c r="E2417" t="s">
        <v>588</v>
      </c>
      <c r="F2417" t="s">
        <v>12811</v>
      </c>
      <c r="H2417" t="s">
        <v>10831</v>
      </c>
      <c r="I2417" t="s">
        <v>9429</v>
      </c>
      <c r="J2417" t="s">
        <v>3501</v>
      </c>
      <c r="L2417">
        <v>6</v>
      </c>
      <c r="M2417" s="134">
        <v>934800</v>
      </c>
      <c r="N2417" s="134">
        <v>2076120</v>
      </c>
      <c r="O2417" t="s">
        <v>4533</v>
      </c>
      <c r="P2417" t="s">
        <v>13402</v>
      </c>
      <c r="Q2417" t="s">
        <v>1939</v>
      </c>
      <c r="R2417" t="s">
        <v>12813</v>
      </c>
      <c r="U2417" t="s">
        <v>12344</v>
      </c>
      <c r="X2417">
        <v>0</v>
      </c>
    </row>
    <row r="2418" spans="1:24" x14ac:dyDescent="0.25">
      <c r="A2418" s="234">
        <v>43342</v>
      </c>
      <c r="B2418" t="s">
        <v>5360</v>
      </c>
      <c r="C2418" t="s">
        <v>899</v>
      </c>
      <c r="D2418" t="s">
        <v>732</v>
      </c>
      <c r="E2418" t="s">
        <v>588</v>
      </c>
      <c r="F2418" t="s">
        <v>10367</v>
      </c>
      <c r="G2418" t="s">
        <v>11187</v>
      </c>
      <c r="H2418" t="s">
        <v>607</v>
      </c>
      <c r="I2418" t="s">
        <v>7164</v>
      </c>
      <c r="J2418" t="s">
        <v>899</v>
      </c>
      <c r="L2418">
        <v>2</v>
      </c>
      <c r="M2418" s="134">
        <v>935000</v>
      </c>
      <c r="N2418" s="134">
        <v>1515500</v>
      </c>
      <c r="O2418" t="s">
        <v>2295</v>
      </c>
      <c r="P2418" t="s">
        <v>12423</v>
      </c>
      <c r="Q2418" t="s">
        <v>1612</v>
      </c>
      <c r="R2418" t="s">
        <v>12434</v>
      </c>
      <c r="U2418" t="s">
        <v>491</v>
      </c>
      <c r="X2418">
        <v>0</v>
      </c>
    </row>
    <row r="2419" spans="1:24" x14ac:dyDescent="0.25">
      <c r="A2419" s="234">
        <v>43018</v>
      </c>
      <c r="B2419" t="s">
        <v>569</v>
      </c>
      <c r="C2419" t="s">
        <v>899</v>
      </c>
      <c r="D2419" t="s">
        <v>625</v>
      </c>
      <c r="E2419" t="s">
        <v>588</v>
      </c>
      <c r="F2419" t="s">
        <v>8951</v>
      </c>
      <c r="G2419" t="s">
        <v>7814</v>
      </c>
      <c r="H2419" t="s">
        <v>607</v>
      </c>
      <c r="I2419" t="s">
        <v>8952</v>
      </c>
      <c r="J2419" t="s">
        <v>899</v>
      </c>
      <c r="L2419">
        <v>4</v>
      </c>
      <c r="M2419" s="134">
        <v>936000</v>
      </c>
      <c r="N2419" s="134">
        <v>1684800</v>
      </c>
      <c r="O2419" t="s">
        <v>639</v>
      </c>
      <c r="P2419" t="s">
        <v>8953</v>
      </c>
      <c r="Q2419" t="s">
        <v>1939</v>
      </c>
      <c r="R2419" t="s">
        <v>8954</v>
      </c>
      <c r="U2419" t="s">
        <v>491</v>
      </c>
      <c r="X2419">
        <v>0</v>
      </c>
    </row>
    <row r="2420" spans="1:24" x14ac:dyDescent="0.25">
      <c r="A2420" s="234">
        <v>42969</v>
      </c>
      <c r="B2420" t="s">
        <v>328</v>
      </c>
      <c r="C2420" t="s">
        <v>603</v>
      </c>
      <c r="D2420" t="s">
        <v>649</v>
      </c>
      <c r="E2420" t="s">
        <v>588</v>
      </c>
      <c r="F2420" t="s">
        <v>8266</v>
      </c>
      <c r="G2420" t="s">
        <v>8267</v>
      </c>
      <c r="H2420" t="s">
        <v>607</v>
      </c>
      <c r="I2420" t="s">
        <v>4885</v>
      </c>
      <c r="J2420" t="s">
        <v>899</v>
      </c>
      <c r="L2420">
        <v>9</v>
      </c>
      <c r="M2420" s="134">
        <v>940000</v>
      </c>
      <c r="N2420" s="134">
        <v>1830000</v>
      </c>
      <c r="O2420" t="s">
        <v>6357</v>
      </c>
      <c r="P2420" t="s">
        <v>8268</v>
      </c>
      <c r="Q2420" t="s">
        <v>1939</v>
      </c>
      <c r="R2420" t="s">
        <v>8269</v>
      </c>
      <c r="T2420">
        <v>19</v>
      </c>
      <c r="U2420" t="s">
        <v>491</v>
      </c>
      <c r="X2420">
        <v>0</v>
      </c>
    </row>
    <row r="2421" spans="1:24" x14ac:dyDescent="0.25">
      <c r="A2421" s="234">
        <v>42537</v>
      </c>
      <c r="B2421" t="s">
        <v>328</v>
      </c>
      <c r="C2421" t="s">
        <v>603</v>
      </c>
      <c r="D2421" t="s">
        <v>1471</v>
      </c>
      <c r="E2421" t="s">
        <v>588</v>
      </c>
      <c r="F2421" t="s">
        <v>2534</v>
      </c>
      <c r="H2421" t="s">
        <v>2535</v>
      </c>
      <c r="I2421" t="s">
        <v>2536</v>
      </c>
      <c r="M2421" s="134">
        <v>940976</v>
      </c>
      <c r="N2421" s="134">
        <v>1500000</v>
      </c>
      <c r="O2421" t="s">
        <v>2537</v>
      </c>
      <c r="P2421" t="s">
        <v>2538</v>
      </c>
      <c r="Q2421" t="s">
        <v>29</v>
      </c>
      <c r="R2421" t="s">
        <v>2554</v>
      </c>
      <c r="U2421" t="s">
        <v>491</v>
      </c>
      <c r="X2421">
        <v>1</v>
      </c>
    </row>
    <row r="2422" spans="1:24" x14ac:dyDescent="0.25">
      <c r="A2422" s="234">
        <v>43399</v>
      </c>
      <c r="B2422" t="s">
        <v>569</v>
      </c>
      <c r="C2422" t="s">
        <v>899</v>
      </c>
      <c r="D2422" t="s">
        <v>611</v>
      </c>
      <c r="F2422" t="s">
        <v>13067</v>
      </c>
      <c r="G2422" t="s">
        <v>11475</v>
      </c>
      <c r="H2422" t="s">
        <v>607</v>
      </c>
      <c r="I2422" t="s">
        <v>2054</v>
      </c>
      <c r="J2422" t="s">
        <v>899</v>
      </c>
      <c r="K2422">
        <v>91307</v>
      </c>
      <c r="L2422">
        <v>10</v>
      </c>
      <c r="M2422" s="134">
        <v>943500</v>
      </c>
      <c r="N2422" s="134">
        <v>1773000</v>
      </c>
      <c r="O2422" t="s">
        <v>10766</v>
      </c>
      <c r="P2422" t="s">
        <v>13426</v>
      </c>
      <c r="Q2422" t="s">
        <v>29</v>
      </c>
      <c r="R2422" t="s">
        <v>13068</v>
      </c>
      <c r="U2422" t="s">
        <v>12344</v>
      </c>
      <c r="X2422">
        <v>1</v>
      </c>
    </row>
    <row r="2423" spans="1:24" x14ac:dyDescent="0.25">
      <c r="A2423" s="234">
        <v>42895</v>
      </c>
      <c r="B2423" t="s">
        <v>328</v>
      </c>
      <c r="C2423" t="s">
        <v>603</v>
      </c>
      <c r="D2423" t="s">
        <v>2397</v>
      </c>
      <c r="E2423" t="s">
        <v>588</v>
      </c>
      <c r="F2423" t="s">
        <v>7142</v>
      </c>
      <c r="H2423" t="s">
        <v>886</v>
      </c>
      <c r="I2423" t="s">
        <v>7143</v>
      </c>
      <c r="J2423" t="s">
        <v>899</v>
      </c>
      <c r="L2423">
        <v>10</v>
      </c>
      <c r="M2423" s="134">
        <v>950000</v>
      </c>
      <c r="N2423" s="134">
        <v>950000</v>
      </c>
      <c r="O2423" t="s">
        <v>653</v>
      </c>
      <c r="P2423" t="s">
        <v>7144</v>
      </c>
      <c r="Q2423" t="s">
        <v>29</v>
      </c>
      <c r="R2423" t="s">
        <v>7145</v>
      </c>
      <c r="U2423" t="s">
        <v>491</v>
      </c>
      <c r="X2423">
        <v>1</v>
      </c>
    </row>
    <row r="2424" spans="1:24" x14ac:dyDescent="0.25">
      <c r="A2424" s="234">
        <v>43375</v>
      </c>
      <c r="B2424" t="s">
        <v>569</v>
      </c>
      <c r="C2424" t="s">
        <v>899</v>
      </c>
      <c r="D2424" t="s">
        <v>624</v>
      </c>
      <c r="E2424" t="s">
        <v>588</v>
      </c>
      <c r="F2424" t="s">
        <v>12791</v>
      </c>
      <c r="H2424" t="s">
        <v>905</v>
      </c>
      <c r="I2424" t="s">
        <v>9831</v>
      </c>
      <c r="J2424" t="s">
        <v>899</v>
      </c>
      <c r="M2424" s="134">
        <v>950000</v>
      </c>
      <c r="N2424" s="134">
        <v>1305000</v>
      </c>
      <c r="O2424" t="s">
        <v>560</v>
      </c>
      <c r="P2424" t="s">
        <v>12792</v>
      </c>
      <c r="Q2424" t="s">
        <v>1939</v>
      </c>
      <c r="R2424" t="s">
        <v>12793</v>
      </c>
      <c r="U2424" t="s">
        <v>12344</v>
      </c>
      <c r="W2424" t="s">
        <v>12794</v>
      </c>
      <c r="X2424">
        <v>0</v>
      </c>
    </row>
    <row r="2425" spans="1:24" x14ac:dyDescent="0.25">
      <c r="A2425" s="234">
        <v>42418</v>
      </c>
      <c r="B2425" t="s">
        <v>378</v>
      </c>
      <c r="C2425" t="s">
        <v>623</v>
      </c>
      <c r="D2425" t="s">
        <v>625</v>
      </c>
      <c r="E2425" t="s">
        <v>692</v>
      </c>
      <c r="F2425" t="s">
        <v>1049</v>
      </c>
      <c r="H2425" t="s">
        <v>1050</v>
      </c>
      <c r="I2425" t="s">
        <v>1051</v>
      </c>
      <c r="M2425" s="134">
        <v>950000</v>
      </c>
      <c r="N2425" s="134">
        <v>1520000</v>
      </c>
      <c r="O2425" t="s">
        <v>1052</v>
      </c>
      <c r="P2425" t="s">
        <v>1053</v>
      </c>
      <c r="Q2425" t="s">
        <v>29</v>
      </c>
      <c r="R2425" t="s">
        <v>1054</v>
      </c>
      <c r="U2425" t="s">
        <v>491</v>
      </c>
      <c r="X2425">
        <v>1</v>
      </c>
    </row>
    <row r="2426" spans="1:24" x14ac:dyDescent="0.25">
      <c r="A2426" s="234">
        <v>43488</v>
      </c>
      <c r="B2426" t="s">
        <v>328</v>
      </c>
      <c r="C2426" t="s">
        <v>603</v>
      </c>
      <c r="D2426" t="s">
        <v>10705</v>
      </c>
      <c r="F2426" t="s">
        <v>14091</v>
      </c>
      <c r="G2426" t="s">
        <v>14092</v>
      </c>
      <c r="H2426" t="s">
        <v>607</v>
      </c>
      <c r="I2426" t="s">
        <v>6787</v>
      </c>
      <c r="J2426" t="s">
        <v>1555</v>
      </c>
      <c r="K2426" t="s">
        <v>14093</v>
      </c>
      <c r="L2426">
        <v>9</v>
      </c>
      <c r="M2426" s="134">
        <v>950000</v>
      </c>
      <c r="N2426" s="134">
        <v>1615000</v>
      </c>
      <c r="O2426" t="s">
        <v>7124</v>
      </c>
      <c r="P2426" t="s">
        <v>14094</v>
      </c>
      <c r="Q2426" t="s">
        <v>1939</v>
      </c>
      <c r="R2426" t="s">
        <v>14095</v>
      </c>
      <c r="U2426" t="s">
        <v>491</v>
      </c>
      <c r="X2426">
        <v>0</v>
      </c>
    </row>
    <row r="2427" spans="1:24" x14ac:dyDescent="0.25">
      <c r="A2427" s="234">
        <v>43251</v>
      </c>
      <c r="B2427" t="s">
        <v>328</v>
      </c>
      <c r="C2427" t="s">
        <v>603</v>
      </c>
      <c r="D2427" t="s">
        <v>649</v>
      </c>
      <c r="E2427" t="s">
        <v>588</v>
      </c>
      <c r="F2427" t="s">
        <v>11372</v>
      </c>
      <c r="G2427" t="s">
        <v>11527</v>
      </c>
      <c r="H2427" t="s">
        <v>5321</v>
      </c>
      <c r="I2427" t="s">
        <v>3929</v>
      </c>
      <c r="J2427" t="s">
        <v>899</v>
      </c>
      <c r="L2427">
        <v>3</v>
      </c>
      <c r="M2427" s="134">
        <v>950000</v>
      </c>
      <c r="N2427" s="134">
        <v>1615000</v>
      </c>
      <c r="O2427" t="s">
        <v>10764</v>
      </c>
      <c r="P2427" t="s">
        <v>11414</v>
      </c>
      <c r="Q2427" t="s">
        <v>1612</v>
      </c>
      <c r="R2427" t="s">
        <v>11528</v>
      </c>
      <c r="U2427" t="s">
        <v>1327</v>
      </c>
      <c r="X2427">
        <v>0</v>
      </c>
    </row>
    <row r="2428" spans="1:24" x14ac:dyDescent="0.25">
      <c r="A2428" s="234">
        <v>43504</v>
      </c>
      <c r="B2428" t="s">
        <v>5956</v>
      </c>
      <c r="C2428" t="s">
        <v>3369</v>
      </c>
      <c r="D2428" t="s">
        <v>8126</v>
      </c>
      <c r="F2428" t="s">
        <v>14335</v>
      </c>
      <c r="G2428" t="s">
        <v>7880</v>
      </c>
      <c r="H2428" t="s">
        <v>607</v>
      </c>
      <c r="I2428" t="s">
        <v>14336</v>
      </c>
      <c r="J2428" t="s">
        <v>3369</v>
      </c>
      <c r="K2428" t="s">
        <v>14337</v>
      </c>
      <c r="L2428">
        <v>5</v>
      </c>
      <c r="M2428" s="134">
        <v>950000</v>
      </c>
      <c r="N2428" s="134">
        <v>1805000</v>
      </c>
      <c r="O2428" t="s">
        <v>10766</v>
      </c>
      <c r="P2428" t="s">
        <v>14339</v>
      </c>
      <c r="Q2428" t="s">
        <v>1939</v>
      </c>
      <c r="R2428" t="s">
        <v>14338</v>
      </c>
      <c r="S2428" t="s">
        <v>14378</v>
      </c>
      <c r="U2428" t="s">
        <v>12797</v>
      </c>
      <c r="X2428">
        <v>0</v>
      </c>
    </row>
    <row r="2429" spans="1:24" x14ac:dyDescent="0.25">
      <c r="A2429" s="234">
        <v>42989</v>
      </c>
      <c r="B2429" t="s">
        <v>328</v>
      </c>
      <c r="C2429" t="s">
        <v>603</v>
      </c>
      <c r="D2429" t="s">
        <v>1401</v>
      </c>
      <c r="E2429" t="s">
        <v>588</v>
      </c>
      <c r="F2429" t="s">
        <v>8489</v>
      </c>
      <c r="G2429" t="s">
        <v>8490</v>
      </c>
      <c r="H2429" t="s">
        <v>607</v>
      </c>
      <c r="I2429" t="s">
        <v>3710</v>
      </c>
      <c r="J2429" t="s">
        <v>899</v>
      </c>
      <c r="L2429">
        <v>9</v>
      </c>
      <c r="M2429" s="134">
        <v>950000</v>
      </c>
      <c r="N2429" s="134">
        <v>1900000</v>
      </c>
      <c r="O2429" t="s">
        <v>560</v>
      </c>
      <c r="P2429" t="s">
        <v>8491</v>
      </c>
      <c r="Q2429" t="s">
        <v>1939</v>
      </c>
      <c r="R2429" t="s">
        <v>8492</v>
      </c>
      <c r="T2429">
        <v>24</v>
      </c>
      <c r="U2429" t="s">
        <v>491</v>
      </c>
      <c r="X2429">
        <v>0</v>
      </c>
    </row>
    <row r="2430" spans="1:24" x14ac:dyDescent="0.25">
      <c r="A2430" s="234">
        <v>42811</v>
      </c>
      <c r="B2430" t="s">
        <v>328</v>
      </c>
      <c r="C2430" t="s">
        <v>899</v>
      </c>
      <c r="D2430" t="s">
        <v>672</v>
      </c>
      <c r="E2430" t="s">
        <v>588</v>
      </c>
      <c r="F2430" t="s">
        <v>6009</v>
      </c>
      <c r="H2430" t="s">
        <v>6002</v>
      </c>
      <c r="J2430" t="s">
        <v>899</v>
      </c>
      <c r="L2430">
        <v>3</v>
      </c>
      <c r="M2430" s="134">
        <v>950000</v>
      </c>
      <c r="N2430" s="134">
        <v>1947000</v>
      </c>
      <c r="O2430" t="s">
        <v>6008</v>
      </c>
      <c r="P2430" t="s">
        <v>6007</v>
      </c>
      <c r="Q2430" t="s">
        <v>1939</v>
      </c>
      <c r="R2430" t="s">
        <v>6308</v>
      </c>
      <c r="U2430" t="s">
        <v>1327</v>
      </c>
      <c r="X2430">
        <v>0</v>
      </c>
    </row>
    <row r="2431" spans="1:24" x14ac:dyDescent="0.25">
      <c r="A2431" s="234">
        <v>43269</v>
      </c>
      <c r="B2431" t="s">
        <v>9240</v>
      </c>
      <c r="C2431" t="s">
        <v>603</v>
      </c>
      <c r="D2431" t="s">
        <v>9241</v>
      </c>
      <c r="E2431" t="s">
        <v>588</v>
      </c>
      <c r="F2431" t="s">
        <v>7831</v>
      </c>
      <c r="G2431" t="s">
        <v>11554</v>
      </c>
      <c r="H2431" t="s">
        <v>607</v>
      </c>
      <c r="I2431" t="s">
        <v>7312</v>
      </c>
      <c r="J2431" t="s">
        <v>3612</v>
      </c>
      <c r="L2431">
        <v>2</v>
      </c>
      <c r="M2431" s="134">
        <v>950000</v>
      </c>
      <c r="N2431" s="134">
        <v>2019000</v>
      </c>
      <c r="O2431" t="s">
        <v>10766</v>
      </c>
      <c r="P2431" t="s">
        <v>11695</v>
      </c>
      <c r="Q2431" t="s">
        <v>1939</v>
      </c>
      <c r="R2431" t="s">
        <v>11553</v>
      </c>
      <c r="U2431" t="s">
        <v>1327</v>
      </c>
      <c r="X2431">
        <v>0</v>
      </c>
    </row>
    <row r="2432" spans="1:24" x14ac:dyDescent="0.25">
      <c r="A2432" s="234">
        <v>43319</v>
      </c>
      <c r="B2432" t="s">
        <v>569</v>
      </c>
      <c r="C2432" t="s">
        <v>899</v>
      </c>
      <c r="D2432" t="s">
        <v>11031</v>
      </c>
      <c r="E2432" t="s">
        <v>588</v>
      </c>
      <c r="F2432" t="s">
        <v>12112</v>
      </c>
      <c r="G2432" t="s">
        <v>12111</v>
      </c>
      <c r="H2432" t="s">
        <v>607</v>
      </c>
      <c r="I2432" t="s">
        <v>8952</v>
      </c>
      <c r="J2432" t="s">
        <v>899</v>
      </c>
      <c r="L2432">
        <v>3</v>
      </c>
      <c r="M2432" s="134">
        <v>950000</v>
      </c>
      <c r="N2432" s="134">
        <v>2185000</v>
      </c>
      <c r="O2432" t="s">
        <v>10765</v>
      </c>
      <c r="P2432" t="s">
        <v>12110</v>
      </c>
      <c r="Q2432" t="s">
        <v>1939</v>
      </c>
      <c r="R2432" t="s">
        <v>12109</v>
      </c>
      <c r="U2432" t="s">
        <v>1327</v>
      </c>
      <c r="X2432">
        <v>0</v>
      </c>
    </row>
    <row r="2433" spans="1:24" x14ac:dyDescent="0.25">
      <c r="A2433" s="234">
        <v>43598</v>
      </c>
      <c r="B2433" t="s">
        <v>9240</v>
      </c>
      <c r="C2433" t="s">
        <v>603</v>
      </c>
      <c r="D2433" t="s">
        <v>9241</v>
      </c>
      <c r="F2433" t="s">
        <v>15505</v>
      </c>
      <c r="G2433" t="s">
        <v>10268</v>
      </c>
      <c r="H2433" t="s">
        <v>905</v>
      </c>
      <c r="I2433" t="s">
        <v>15506</v>
      </c>
      <c r="J2433" t="s">
        <v>603</v>
      </c>
      <c r="K2433" t="s">
        <v>15507</v>
      </c>
      <c r="L2433">
        <v>3</v>
      </c>
      <c r="M2433" s="134">
        <v>951000</v>
      </c>
      <c r="N2433" s="134">
        <v>1150000</v>
      </c>
      <c r="O2433" t="s">
        <v>10766</v>
      </c>
      <c r="P2433" t="s">
        <v>15509</v>
      </c>
      <c r="Q2433" t="s">
        <v>1939</v>
      </c>
      <c r="R2433" t="s">
        <v>15902</v>
      </c>
      <c r="S2433" t="s">
        <v>15508</v>
      </c>
      <c r="U2433" t="s">
        <v>491</v>
      </c>
      <c r="X2433">
        <v>0</v>
      </c>
    </row>
    <row r="2434" spans="1:24" x14ac:dyDescent="0.25">
      <c r="A2434" s="234">
        <v>42597</v>
      </c>
      <c r="B2434" t="s">
        <v>328</v>
      </c>
      <c r="C2434" t="s">
        <v>603</v>
      </c>
      <c r="D2434" t="s">
        <v>1471</v>
      </c>
      <c r="E2434" t="s">
        <v>588</v>
      </c>
      <c r="F2434" t="s">
        <v>3415</v>
      </c>
      <c r="H2434" t="s">
        <v>607</v>
      </c>
      <c r="I2434" t="s">
        <v>3416</v>
      </c>
      <c r="J2434" t="s">
        <v>3373</v>
      </c>
      <c r="L2434">
        <v>5</v>
      </c>
      <c r="M2434" s="134">
        <v>951800</v>
      </c>
      <c r="N2434" s="134">
        <v>2083650</v>
      </c>
      <c r="O2434" t="s">
        <v>3417</v>
      </c>
      <c r="P2434" t="s">
        <v>3418</v>
      </c>
      <c r="Q2434" t="s">
        <v>620</v>
      </c>
      <c r="R2434" t="s">
        <v>3419</v>
      </c>
      <c r="U2434" t="s">
        <v>491</v>
      </c>
      <c r="X2434">
        <v>0</v>
      </c>
    </row>
    <row r="2435" spans="1:24" x14ac:dyDescent="0.25">
      <c r="A2435" s="234">
        <v>43102</v>
      </c>
      <c r="B2435" t="s">
        <v>110</v>
      </c>
      <c r="C2435" t="s">
        <v>761</v>
      </c>
      <c r="D2435" t="s">
        <v>715</v>
      </c>
      <c r="E2435" t="s">
        <v>588</v>
      </c>
      <c r="F2435" t="s">
        <v>9935</v>
      </c>
      <c r="G2435" t="s">
        <v>7757</v>
      </c>
      <c r="H2435" t="s">
        <v>607</v>
      </c>
      <c r="I2435" t="s">
        <v>9936</v>
      </c>
      <c r="J2435" t="s">
        <v>761</v>
      </c>
      <c r="L2435">
        <v>5</v>
      </c>
      <c r="M2435" s="134">
        <v>953000</v>
      </c>
      <c r="N2435" s="134">
        <v>1620100</v>
      </c>
      <c r="O2435" t="s">
        <v>10766</v>
      </c>
      <c r="P2435" t="s">
        <v>9937</v>
      </c>
      <c r="Q2435" t="s">
        <v>592</v>
      </c>
      <c r="R2435" t="s">
        <v>9994</v>
      </c>
      <c r="U2435" t="s">
        <v>1327</v>
      </c>
      <c r="X2435">
        <v>0</v>
      </c>
    </row>
    <row r="2436" spans="1:24" x14ac:dyDescent="0.25">
      <c r="A2436" s="234">
        <v>42712</v>
      </c>
      <c r="B2436" t="s">
        <v>378</v>
      </c>
      <c r="C2436" t="s">
        <v>610</v>
      </c>
      <c r="D2436" t="s">
        <v>611</v>
      </c>
      <c r="E2436" t="s">
        <v>588</v>
      </c>
      <c r="F2436" t="s">
        <v>4966</v>
      </c>
      <c r="H2436" t="s">
        <v>607</v>
      </c>
      <c r="I2436" t="s">
        <v>4967</v>
      </c>
      <c r="J2436" t="s">
        <v>899</v>
      </c>
      <c r="L2436">
        <v>5</v>
      </c>
      <c r="M2436" s="134">
        <v>953500</v>
      </c>
      <c r="N2436" s="134">
        <v>1700000</v>
      </c>
      <c r="O2436" t="s">
        <v>666</v>
      </c>
      <c r="P2436" t="s">
        <v>4968</v>
      </c>
      <c r="Q2436" t="s">
        <v>29</v>
      </c>
      <c r="R2436" t="s">
        <v>4969</v>
      </c>
      <c r="U2436" t="s">
        <v>491</v>
      </c>
      <c r="X2436">
        <v>1</v>
      </c>
    </row>
    <row r="2437" spans="1:24" x14ac:dyDescent="0.25">
      <c r="A2437" s="234">
        <v>42529</v>
      </c>
      <c r="B2437" t="s">
        <v>378</v>
      </c>
      <c r="C2437" t="s">
        <v>610</v>
      </c>
      <c r="D2437" t="s">
        <v>1027</v>
      </c>
      <c r="E2437" t="s">
        <v>588</v>
      </c>
      <c r="F2437" t="s">
        <v>2408</v>
      </c>
      <c r="I2437" t="s">
        <v>2410</v>
      </c>
      <c r="M2437" s="134">
        <v>954580</v>
      </c>
      <c r="N2437" s="134">
        <v>1534580</v>
      </c>
      <c r="O2437" t="s">
        <v>1498</v>
      </c>
      <c r="P2437" t="s">
        <v>2411</v>
      </c>
      <c r="Q2437" t="s">
        <v>1939</v>
      </c>
      <c r="R2437" t="s">
        <v>2412</v>
      </c>
      <c r="S2437" t="s">
        <v>2415</v>
      </c>
      <c r="U2437" t="s">
        <v>491</v>
      </c>
      <c r="X2437">
        <v>0</v>
      </c>
    </row>
    <row r="2438" spans="1:24" x14ac:dyDescent="0.25">
      <c r="A2438" s="234">
        <v>43034</v>
      </c>
      <c r="B2438" t="s">
        <v>328</v>
      </c>
      <c r="C2438" t="s">
        <v>899</v>
      </c>
      <c r="D2438" t="s">
        <v>2204</v>
      </c>
      <c r="E2438" t="s">
        <v>588</v>
      </c>
      <c r="F2438" t="s">
        <v>9193</v>
      </c>
      <c r="G2438" t="s">
        <v>9194</v>
      </c>
      <c r="H2438" t="s">
        <v>607</v>
      </c>
      <c r="I2438" t="s">
        <v>6317</v>
      </c>
      <c r="J2438" t="s">
        <v>899</v>
      </c>
      <c r="L2438">
        <v>10</v>
      </c>
      <c r="M2438" s="134">
        <v>955000</v>
      </c>
      <c r="N2438" s="134">
        <v>1910000</v>
      </c>
      <c r="O2438" t="s">
        <v>7124</v>
      </c>
      <c r="P2438" t="s">
        <v>9195</v>
      </c>
      <c r="Q2438" t="s">
        <v>592</v>
      </c>
      <c r="R2438" t="s">
        <v>9196</v>
      </c>
      <c r="U2438" t="s">
        <v>1327</v>
      </c>
      <c r="X2438">
        <v>0</v>
      </c>
    </row>
    <row r="2439" spans="1:24" x14ac:dyDescent="0.25">
      <c r="A2439" s="234">
        <v>43276</v>
      </c>
      <c r="B2439" t="s">
        <v>328</v>
      </c>
      <c r="C2439" t="s">
        <v>603</v>
      </c>
      <c r="D2439" t="s">
        <v>5701</v>
      </c>
      <c r="E2439" t="s">
        <v>588</v>
      </c>
      <c r="F2439" t="s">
        <v>11633</v>
      </c>
      <c r="G2439" t="s">
        <v>8941</v>
      </c>
      <c r="H2439" t="s">
        <v>607</v>
      </c>
      <c r="I2439" t="s">
        <v>11632</v>
      </c>
      <c r="J2439" t="s">
        <v>3373</v>
      </c>
      <c r="L2439">
        <v>4</v>
      </c>
      <c r="M2439" s="134">
        <v>956000</v>
      </c>
      <c r="N2439" s="134">
        <v>2239250</v>
      </c>
      <c r="O2439" t="s">
        <v>10766</v>
      </c>
      <c r="P2439" t="s">
        <v>11700</v>
      </c>
      <c r="Q2439" t="s">
        <v>1939</v>
      </c>
      <c r="R2439" t="s">
        <v>11631</v>
      </c>
      <c r="U2439" t="s">
        <v>1327</v>
      </c>
      <c r="X2439">
        <v>0</v>
      </c>
    </row>
    <row r="2440" spans="1:24" x14ac:dyDescent="0.25">
      <c r="A2440" s="234">
        <v>42941</v>
      </c>
      <c r="B2440" t="s">
        <v>328</v>
      </c>
      <c r="C2440" t="s">
        <v>603</v>
      </c>
      <c r="D2440" t="s">
        <v>1401</v>
      </c>
      <c r="E2440" t="s">
        <v>588</v>
      </c>
      <c r="F2440" t="s">
        <v>7746</v>
      </c>
      <c r="G2440" t="s">
        <v>7747</v>
      </c>
      <c r="H2440" t="s">
        <v>1050</v>
      </c>
      <c r="I2440" t="s">
        <v>7748</v>
      </c>
      <c r="J2440" t="s">
        <v>4557</v>
      </c>
      <c r="L2440">
        <v>3</v>
      </c>
      <c r="M2440" s="134">
        <v>958000</v>
      </c>
      <c r="N2440" s="134">
        <v>1053800</v>
      </c>
      <c r="O2440" t="s">
        <v>5968</v>
      </c>
      <c r="P2440" t="s">
        <v>7749</v>
      </c>
      <c r="Q2440" t="s">
        <v>592</v>
      </c>
      <c r="R2440" t="s">
        <v>7936</v>
      </c>
      <c r="S2440" t="s">
        <v>833</v>
      </c>
      <c r="U2440" t="s">
        <v>491</v>
      </c>
      <c r="X2440">
        <v>0</v>
      </c>
    </row>
    <row r="2441" spans="1:24" x14ac:dyDescent="0.25">
      <c r="A2441" s="234">
        <v>43004</v>
      </c>
      <c r="B2441" t="s">
        <v>328</v>
      </c>
      <c r="C2441" t="s">
        <v>603</v>
      </c>
      <c r="D2441" t="s">
        <v>587</v>
      </c>
      <c r="E2441" t="s">
        <v>588</v>
      </c>
      <c r="F2441" t="s">
        <v>8707</v>
      </c>
      <c r="G2441" t="s">
        <v>8708</v>
      </c>
      <c r="H2441" t="s">
        <v>1391</v>
      </c>
      <c r="I2441" t="s">
        <v>8709</v>
      </c>
      <c r="J2441" t="s">
        <v>8710</v>
      </c>
      <c r="L2441">
        <v>10</v>
      </c>
      <c r="M2441" s="134">
        <v>960000</v>
      </c>
      <c r="N2441" s="134">
        <v>1104000</v>
      </c>
      <c r="O2441" t="s">
        <v>2680</v>
      </c>
      <c r="P2441" t="s">
        <v>8711</v>
      </c>
      <c r="Q2441" t="s">
        <v>1612</v>
      </c>
      <c r="R2441" t="s">
        <v>8769</v>
      </c>
      <c r="T2441">
        <v>37</v>
      </c>
      <c r="U2441" t="s">
        <v>491</v>
      </c>
      <c r="X2441">
        <v>0</v>
      </c>
    </row>
    <row r="2442" spans="1:24" x14ac:dyDescent="0.25">
      <c r="A2442" s="234">
        <v>42783</v>
      </c>
      <c r="B2442" t="s">
        <v>569</v>
      </c>
      <c r="D2442" t="s">
        <v>624</v>
      </c>
      <c r="E2442" t="s">
        <v>588</v>
      </c>
      <c r="F2442" t="s">
        <v>5714</v>
      </c>
      <c r="H2442" t="s">
        <v>809</v>
      </c>
      <c r="I2442" t="s">
        <v>3672</v>
      </c>
      <c r="J2442" t="s">
        <v>899</v>
      </c>
      <c r="L2442">
        <v>5</v>
      </c>
      <c r="M2442" s="134">
        <v>960000</v>
      </c>
      <c r="N2442" s="134">
        <v>1356000</v>
      </c>
      <c r="O2442" t="s">
        <v>5715</v>
      </c>
      <c r="P2442" t="s">
        <v>5716</v>
      </c>
      <c r="Q2442" t="s">
        <v>1939</v>
      </c>
      <c r="R2442" t="s">
        <v>5717</v>
      </c>
      <c r="U2442" t="s">
        <v>491</v>
      </c>
      <c r="X2442">
        <v>0</v>
      </c>
    </row>
    <row r="2443" spans="1:24" x14ac:dyDescent="0.25">
      <c r="A2443" s="234">
        <v>42479</v>
      </c>
      <c r="B2443" t="s">
        <v>328</v>
      </c>
      <c r="C2443" t="s">
        <v>603</v>
      </c>
      <c r="D2443" t="s">
        <v>587</v>
      </c>
      <c r="E2443" t="s">
        <v>588</v>
      </c>
      <c r="F2443" t="s">
        <v>1731</v>
      </c>
      <c r="H2443" t="s">
        <v>607</v>
      </c>
      <c r="I2443" t="s">
        <v>927</v>
      </c>
      <c r="M2443" s="134">
        <v>964000</v>
      </c>
      <c r="N2443" s="134">
        <v>1928000</v>
      </c>
      <c r="O2443" t="s">
        <v>695</v>
      </c>
      <c r="P2443" t="s">
        <v>5426</v>
      </c>
      <c r="Q2443" t="s">
        <v>620</v>
      </c>
      <c r="R2443" t="s">
        <v>1733</v>
      </c>
      <c r="U2443" t="s">
        <v>491</v>
      </c>
      <c r="X2443">
        <v>0</v>
      </c>
    </row>
    <row r="2444" spans="1:24" x14ac:dyDescent="0.25">
      <c r="A2444" s="234">
        <v>42496</v>
      </c>
      <c r="B2444" t="s">
        <v>328</v>
      </c>
      <c r="C2444" t="s">
        <v>603</v>
      </c>
      <c r="D2444" t="s">
        <v>672</v>
      </c>
      <c r="E2444" t="s">
        <v>588</v>
      </c>
      <c r="F2444" t="s">
        <v>1968</v>
      </c>
      <c r="H2444" t="s">
        <v>607</v>
      </c>
      <c r="I2444" t="s">
        <v>1969</v>
      </c>
      <c r="M2444" s="134">
        <v>964600</v>
      </c>
      <c r="N2444" s="134">
        <v>1640400</v>
      </c>
      <c r="O2444" t="s">
        <v>1474</v>
      </c>
      <c r="P2444" t="s">
        <v>1970</v>
      </c>
      <c r="Q2444" t="s">
        <v>1939</v>
      </c>
      <c r="R2444" t="s">
        <v>1971</v>
      </c>
      <c r="S2444" t="s">
        <v>1976</v>
      </c>
      <c r="U2444" t="s">
        <v>491</v>
      </c>
      <c r="X2444">
        <v>0</v>
      </c>
    </row>
    <row r="2445" spans="1:24" x14ac:dyDescent="0.25">
      <c r="A2445" s="234">
        <v>42397</v>
      </c>
      <c r="B2445" t="s">
        <v>378</v>
      </c>
      <c r="C2445" t="s">
        <v>623</v>
      </c>
      <c r="D2445" t="s">
        <v>624</v>
      </c>
      <c r="E2445" t="s">
        <v>588</v>
      </c>
      <c r="F2445" t="s">
        <v>857</v>
      </c>
      <c r="H2445" t="s">
        <v>722</v>
      </c>
      <c r="I2445" t="s">
        <v>858</v>
      </c>
      <c r="M2445" s="134">
        <v>966300</v>
      </c>
      <c r="N2445" s="134">
        <v>1216300</v>
      </c>
      <c r="O2445" t="s">
        <v>859</v>
      </c>
      <c r="P2445" t="s">
        <v>872</v>
      </c>
      <c r="Q2445" t="s">
        <v>29</v>
      </c>
      <c r="R2445" t="s">
        <v>873</v>
      </c>
      <c r="U2445" t="s">
        <v>491</v>
      </c>
      <c r="X2445">
        <v>1</v>
      </c>
    </row>
    <row r="2446" spans="1:24" x14ac:dyDescent="0.25">
      <c r="A2446" s="234">
        <v>42754</v>
      </c>
      <c r="B2446" t="s">
        <v>328</v>
      </c>
      <c r="C2446" t="s">
        <v>603</v>
      </c>
      <c r="D2446" t="s">
        <v>2397</v>
      </c>
      <c r="E2446" t="s">
        <v>588</v>
      </c>
      <c r="F2446" t="s">
        <v>5365</v>
      </c>
      <c r="H2446" t="s">
        <v>607</v>
      </c>
      <c r="I2446" t="s">
        <v>5366</v>
      </c>
      <c r="J2446" t="s">
        <v>899</v>
      </c>
      <c r="L2446" t="s">
        <v>5302</v>
      </c>
      <c r="M2446" s="134">
        <v>968000</v>
      </c>
      <c r="N2446" s="134">
        <v>1742400</v>
      </c>
      <c r="O2446" t="s">
        <v>560</v>
      </c>
      <c r="P2446" t="s">
        <v>6291</v>
      </c>
      <c r="Q2446" t="s">
        <v>1939</v>
      </c>
      <c r="R2446" t="s">
        <v>5367</v>
      </c>
      <c r="U2446" t="s">
        <v>491</v>
      </c>
      <c r="X2446">
        <v>0</v>
      </c>
    </row>
    <row r="2447" spans="1:24" x14ac:dyDescent="0.25">
      <c r="A2447" s="234">
        <v>42774</v>
      </c>
      <c r="B2447" t="s">
        <v>328</v>
      </c>
      <c r="C2447" t="s">
        <v>603</v>
      </c>
      <c r="D2447" t="s">
        <v>2397</v>
      </c>
      <c r="E2447" t="s">
        <v>588</v>
      </c>
      <c r="F2447" t="s">
        <v>5646</v>
      </c>
      <c r="H2447" t="s">
        <v>607</v>
      </c>
      <c r="I2447" t="s">
        <v>4528</v>
      </c>
      <c r="J2447" t="s">
        <v>899</v>
      </c>
      <c r="L2447">
        <v>9</v>
      </c>
      <c r="M2447" s="134">
        <v>971000</v>
      </c>
      <c r="N2447" s="134">
        <v>1990550</v>
      </c>
      <c r="O2447" t="s">
        <v>560</v>
      </c>
      <c r="P2447" t="s">
        <v>5647</v>
      </c>
      <c r="Q2447" t="s">
        <v>1939</v>
      </c>
      <c r="R2447" t="s">
        <v>5648</v>
      </c>
      <c r="U2447" t="s">
        <v>491</v>
      </c>
      <c r="X2447">
        <v>0</v>
      </c>
    </row>
    <row r="2448" spans="1:24" x14ac:dyDescent="0.25">
      <c r="A2448" s="234">
        <v>43210</v>
      </c>
      <c r="B2448" t="s">
        <v>328</v>
      </c>
      <c r="C2448" t="s">
        <v>603</v>
      </c>
      <c r="D2448" t="s">
        <v>7595</v>
      </c>
      <c r="E2448" t="s">
        <v>588</v>
      </c>
      <c r="F2448" t="s">
        <v>11015</v>
      </c>
      <c r="G2448" t="s">
        <v>11016</v>
      </c>
      <c r="H2448" t="s">
        <v>886</v>
      </c>
      <c r="J2448" t="s">
        <v>899</v>
      </c>
      <c r="L2448">
        <v>3</v>
      </c>
      <c r="M2448" s="134">
        <v>975000</v>
      </c>
      <c r="N2448" s="134">
        <v>975000</v>
      </c>
      <c r="O2448" t="s">
        <v>2295</v>
      </c>
      <c r="P2448" t="s">
        <v>11017</v>
      </c>
      <c r="Q2448" t="s">
        <v>1939</v>
      </c>
      <c r="R2448" t="s">
        <v>11018</v>
      </c>
      <c r="U2448" t="s">
        <v>1327</v>
      </c>
      <c r="X2448">
        <v>0</v>
      </c>
    </row>
    <row r="2449" spans="1:24" x14ac:dyDescent="0.25">
      <c r="A2449" s="234">
        <v>43096</v>
      </c>
      <c r="B2449" t="s">
        <v>569</v>
      </c>
      <c r="C2449" t="s">
        <v>899</v>
      </c>
      <c r="D2449" t="s">
        <v>625</v>
      </c>
      <c r="E2449" t="s">
        <v>588</v>
      </c>
      <c r="F2449" t="s">
        <v>9864</v>
      </c>
      <c r="H2449" t="s">
        <v>809</v>
      </c>
      <c r="I2449" t="s">
        <v>2054</v>
      </c>
      <c r="J2449" t="s">
        <v>899</v>
      </c>
      <c r="L2449">
        <v>2</v>
      </c>
      <c r="M2449" s="134">
        <v>975000</v>
      </c>
      <c r="N2449" s="134">
        <v>1071500</v>
      </c>
      <c r="O2449" t="s">
        <v>9865</v>
      </c>
      <c r="P2449" t="s">
        <v>9866</v>
      </c>
      <c r="Q2449" t="s">
        <v>592</v>
      </c>
      <c r="R2449" t="s">
        <v>9867</v>
      </c>
      <c r="U2449" t="s">
        <v>491</v>
      </c>
      <c r="X2449">
        <v>0</v>
      </c>
    </row>
    <row r="2450" spans="1:24" x14ac:dyDescent="0.25">
      <c r="A2450" s="234">
        <v>42670</v>
      </c>
      <c r="B2450" t="s">
        <v>643</v>
      </c>
      <c r="C2450" t="s">
        <v>644</v>
      </c>
      <c r="D2450" t="s">
        <v>645</v>
      </c>
      <c r="E2450" t="s">
        <v>588</v>
      </c>
      <c r="F2450" t="s">
        <v>4495</v>
      </c>
      <c r="H2450" t="s">
        <v>722</v>
      </c>
      <c r="I2450" t="s">
        <v>4496</v>
      </c>
      <c r="J2450" t="s">
        <v>644</v>
      </c>
      <c r="L2450">
        <v>10</v>
      </c>
      <c r="M2450" s="134">
        <v>975000</v>
      </c>
      <c r="N2450" s="134">
        <v>1547500</v>
      </c>
      <c r="O2450" t="s">
        <v>4497</v>
      </c>
      <c r="P2450" t="s">
        <v>4498</v>
      </c>
      <c r="Q2450" t="s">
        <v>29</v>
      </c>
      <c r="R2450" t="s">
        <v>4511</v>
      </c>
      <c r="U2450" t="s">
        <v>491</v>
      </c>
      <c r="X2450">
        <v>1</v>
      </c>
    </row>
    <row r="2451" spans="1:24" x14ac:dyDescent="0.25">
      <c r="A2451" s="234">
        <v>42710</v>
      </c>
      <c r="B2451" t="s">
        <v>328</v>
      </c>
      <c r="C2451" t="s">
        <v>603</v>
      </c>
      <c r="D2451" t="s">
        <v>1401</v>
      </c>
      <c r="E2451" t="s">
        <v>588</v>
      </c>
      <c r="F2451" t="s">
        <v>4925</v>
      </c>
      <c r="H2451" t="s">
        <v>607</v>
      </c>
      <c r="I2451" t="s">
        <v>4926</v>
      </c>
      <c r="J2451" t="s">
        <v>644</v>
      </c>
      <c r="L2451">
        <v>9</v>
      </c>
      <c r="M2451" s="134">
        <v>975000</v>
      </c>
      <c r="N2451" s="134">
        <v>1746250</v>
      </c>
      <c r="O2451" t="s">
        <v>560</v>
      </c>
      <c r="P2451" t="s">
        <v>4927</v>
      </c>
      <c r="Q2451" t="s">
        <v>592</v>
      </c>
      <c r="U2451" t="s">
        <v>491</v>
      </c>
      <c r="X2451">
        <v>0</v>
      </c>
    </row>
    <row r="2452" spans="1:24" x14ac:dyDescent="0.25">
      <c r="A2452" s="234">
        <v>43021</v>
      </c>
      <c r="B2452" t="s">
        <v>328</v>
      </c>
      <c r="C2452" t="s">
        <v>603</v>
      </c>
      <c r="D2452" t="s">
        <v>649</v>
      </c>
      <c r="E2452" t="s">
        <v>588</v>
      </c>
      <c r="F2452" t="s">
        <v>9019</v>
      </c>
      <c r="G2452" t="s">
        <v>4118</v>
      </c>
      <c r="H2452" t="s">
        <v>6002</v>
      </c>
      <c r="I2452" t="s">
        <v>9018</v>
      </c>
      <c r="J2452" t="s">
        <v>3373</v>
      </c>
      <c r="L2452">
        <v>2</v>
      </c>
      <c r="M2452" s="134">
        <v>975000</v>
      </c>
      <c r="N2452" s="134">
        <v>1750000</v>
      </c>
      <c r="O2452" t="s">
        <v>9023</v>
      </c>
      <c r="P2452" t="s">
        <v>9016</v>
      </c>
      <c r="Q2452" t="s">
        <v>1939</v>
      </c>
      <c r="R2452" t="s">
        <v>9017</v>
      </c>
      <c r="U2452" t="s">
        <v>1327</v>
      </c>
      <c r="X2452">
        <v>0</v>
      </c>
    </row>
    <row r="2453" spans="1:24" x14ac:dyDescent="0.25">
      <c r="A2453" s="234">
        <v>43167</v>
      </c>
      <c r="B2453" t="s">
        <v>569</v>
      </c>
      <c r="C2453" t="s">
        <v>899</v>
      </c>
      <c r="D2453" t="s">
        <v>624</v>
      </c>
      <c r="E2453" t="s">
        <v>588</v>
      </c>
      <c r="F2453" t="s">
        <v>10469</v>
      </c>
      <c r="G2453" t="s">
        <v>10470</v>
      </c>
      <c r="H2453" t="s">
        <v>607</v>
      </c>
      <c r="I2453" t="s">
        <v>5910</v>
      </c>
      <c r="J2453" t="s">
        <v>899</v>
      </c>
      <c r="M2453" s="134">
        <v>975000</v>
      </c>
      <c r="N2453" s="134">
        <v>2000000</v>
      </c>
      <c r="O2453" t="s">
        <v>7564</v>
      </c>
      <c r="P2453" t="s">
        <v>10471</v>
      </c>
      <c r="Q2453" t="s">
        <v>1939</v>
      </c>
      <c r="R2453" t="s">
        <v>10472</v>
      </c>
      <c r="U2453" t="s">
        <v>491</v>
      </c>
      <c r="X2453">
        <v>0</v>
      </c>
    </row>
    <row r="2454" spans="1:24" x14ac:dyDescent="0.25">
      <c r="A2454" s="234">
        <v>42562</v>
      </c>
      <c r="B2454" t="s">
        <v>328</v>
      </c>
      <c r="C2454" t="s">
        <v>603</v>
      </c>
      <c r="D2454" t="s">
        <v>1471</v>
      </c>
      <c r="E2454" t="s">
        <v>588</v>
      </c>
      <c r="F2454" t="s">
        <v>2845</v>
      </c>
      <c r="H2454" t="s">
        <v>607</v>
      </c>
      <c r="I2454" t="s">
        <v>917</v>
      </c>
      <c r="M2454" s="134">
        <v>975000</v>
      </c>
      <c r="N2454" s="134">
        <v>2098750</v>
      </c>
      <c r="O2454" t="s">
        <v>1474</v>
      </c>
      <c r="P2454" t="s">
        <v>2846</v>
      </c>
      <c r="Q2454" t="s">
        <v>592</v>
      </c>
      <c r="U2454" t="s">
        <v>491</v>
      </c>
      <c r="X2454">
        <v>0</v>
      </c>
    </row>
    <row r="2455" spans="1:24" x14ac:dyDescent="0.25">
      <c r="A2455" s="234">
        <v>42573</v>
      </c>
      <c r="B2455" t="s">
        <v>643</v>
      </c>
      <c r="C2455" t="s">
        <v>644</v>
      </c>
      <c r="D2455" t="s">
        <v>645</v>
      </c>
      <c r="E2455" t="s">
        <v>588</v>
      </c>
      <c r="F2455" t="s">
        <v>2985</v>
      </c>
      <c r="H2455" t="s">
        <v>809</v>
      </c>
      <c r="I2455" t="s">
        <v>2986</v>
      </c>
      <c r="M2455" s="134">
        <v>976100</v>
      </c>
      <c r="N2455" s="134">
        <v>1040230</v>
      </c>
      <c r="O2455" t="s">
        <v>1498</v>
      </c>
      <c r="P2455" t="s">
        <v>2987</v>
      </c>
      <c r="Q2455" t="s">
        <v>29</v>
      </c>
      <c r="R2455" t="s">
        <v>2988</v>
      </c>
      <c r="S2455" t="s">
        <v>2994</v>
      </c>
      <c r="U2455" t="s">
        <v>491</v>
      </c>
      <c r="X2455">
        <v>1</v>
      </c>
    </row>
    <row r="2456" spans="1:24" x14ac:dyDescent="0.25">
      <c r="A2456" s="234">
        <v>42467</v>
      </c>
      <c r="B2456" t="s">
        <v>328</v>
      </c>
      <c r="C2456" t="s">
        <v>603</v>
      </c>
      <c r="D2456" t="s">
        <v>672</v>
      </c>
      <c r="E2456" t="s">
        <v>588</v>
      </c>
      <c r="F2456" t="s">
        <v>1573</v>
      </c>
      <c r="H2456" t="s">
        <v>607</v>
      </c>
      <c r="I2456" t="s">
        <v>1574</v>
      </c>
      <c r="M2456" s="134">
        <v>981202</v>
      </c>
      <c r="N2456" s="134">
        <v>1824283</v>
      </c>
      <c r="O2456" t="s">
        <v>712</v>
      </c>
      <c r="P2456" t="s">
        <v>15995</v>
      </c>
      <c r="Q2456" t="s">
        <v>592</v>
      </c>
      <c r="R2456" t="s">
        <v>1575</v>
      </c>
      <c r="U2456" t="s">
        <v>491</v>
      </c>
      <c r="X2456">
        <v>0</v>
      </c>
    </row>
    <row r="2457" spans="1:24" x14ac:dyDescent="0.25">
      <c r="A2457" s="234">
        <v>42571</v>
      </c>
      <c r="B2457" t="s">
        <v>378</v>
      </c>
      <c r="C2457" t="s">
        <v>623</v>
      </c>
      <c r="D2457" t="s">
        <v>625</v>
      </c>
      <c r="E2457" t="s">
        <v>588</v>
      </c>
      <c r="F2457" t="s">
        <v>2936</v>
      </c>
      <c r="H2457" t="s">
        <v>607</v>
      </c>
      <c r="I2457" t="s">
        <v>2379</v>
      </c>
      <c r="M2457" s="134">
        <v>983000</v>
      </c>
      <c r="N2457" s="134">
        <v>1382000</v>
      </c>
      <c r="O2457" t="s">
        <v>2937</v>
      </c>
      <c r="P2457" t="s">
        <v>2938</v>
      </c>
      <c r="Q2457" t="s">
        <v>1939</v>
      </c>
      <c r="R2457" t="s">
        <v>2939</v>
      </c>
      <c r="U2457" t="s">
        <v>491</v>
      </c>
      <c r="X2457">
        <v>0</v>
      </c>
    </row>
    <row r="2458" spans="1:24" x14ac:dyDescent="0.25">
      <c r="A2458" s="234">
        <v>43019</v>
      </c>
      <c r="B2458" t="s">
        <v>328</v>
      </c>
      <c r="C2458" t="s">
        <v>603</v>
      </c>
      <c r="D2458" t="s">
        <v>7595</v>
      </c>
      <c r="E2458" t="s">
        <v>588</v>
      </c>
      <c r="F2458" t="s">
        <v>8983</v>
      </c>
      <c r="G2458" t="s">
        <v>7855</v>
      </c>
      <c r="H2458" t="s">
        <v>1391</v>
      </c>
      <c r="I2458" t="s">
        <v>8985</v>
      </c>
      <c r="J2458" t="s">
        <v>4458</v>
      </c>
      <c r="L2458">
        <v>9</v>
      </c>
      <c r="M2458" s="134">
        <v>983000</v>
      </c>
      <c r="N2458" s="134">
        <v>1934700</v>
      </c>
      <c r="O2458" t="s">
        <v>7124</v>
      </c>
      <c r="P2458" t="s">
        <v>8984</v>
      </c>
      <c r="Q2458" t="s">
        <v>592</v>
      </c>
      <c r="R2458" t="s">
        <v>8987</v>
      </c>
      <c r="U2458" t="s">
        <v>1327</v>
      </c>
      <c r="X2458">
        <v>0</v>
      </c>
    </row>
    <row r="2459" spans="1:24" x14ac:dyDescent="0.25">
      <c r="A2459" s="234">
        <v>43474</v>
      </c>
      <c r="B2459" t="s">
        <v>12367</v>
      </c>
      <c r="C2459" t="s">
        <v>5610</v>
      </c>
      <c r="D2459" t="s">
        <v>7814</v>
      </c>
      <c r="F2459" t="s">
        <v>13868</v>
      </c>
      <c r="G2459" t="s">
        <v>13869</v>
      </c>
      <c r="H2459" t="s">
        <v>607</v>
      </c>
      <c r="I2459" t="s">
        <v>13870</v>
      </c>
      <c r="J2459" t="s">
        <v>761</v>
      </c>
      <c r="K2459" t="s">
        <v>13871</v>
      </c>
      <c r="L2459">
        <v>5</v>
      </c>
      <c r="M2459" s="134">
        <v>983301</v>
      </c>
      <c r="N2459" s="134">
        <v>1383301</v>
      </c>
      <c r="O2459" t="s">
        <v>10766</v>
      </c>
      <c r="P2459" t="s">
        <v>13872</v>
      </c>
      <c r="Q2459" t="s">
        <v>620</v>
      </c>
      <c r="R2459" t="s">
        <v>13873</v>
      </c>
      <c r="S2459" t="s">
        <v>13874</v>
      </c>
      <c r="U2459" t="s">
        <v>491</v>
      </c>
      <c r="X2459">
        <v>0</v>
      </c>
    </row>
    <row r="2460" spans="1:24" x14ac:dyDescent="0.25">
      <c r="A2460" s="234">
        <v>42965</v>
      </c>
      <c r="B2460" t="s">
        <v>328</v>
      </c>
      <c r="C2460" t="s">
        <v>603</v>
      </c>
      <c r="D2460" t="s">
        <v>672</v>
      </c>
      <c r="E2460" t="s">
        <v>588</v>
      </c>
      <c r="F2460" t="s">
        <v>8199</v>
      </c>
      <c r="G2460" t="s">
        <v>8200</v>
      </c>
      <c r="H2460" t="s">
        <v>6002</v>
      </c>
      <c r="I2460" t="s">
        <v>8203</v>
      </c>
      <c r="J2460" t="s">
        <v>899</v>
      </c>
      <c r="L2460">
        <v>4</v>
      </c>
      <c r="M2460" s="134">
        <v>984000</v>
      </c>
      <c r="N2460" s="134">
        <v>1672800</v>
      </c>
      <c r="O2460" t="s">
        <v>6183</v>
      </c>
      <c r="P2460" t="s">
        <v>8202</v>
      </c>
      <c r="Q2460" t="s">
        <v>592</v>
      </c>
      <c r="R2460" t="s">
        <v>8186</v>
      </c>
      <c r="U2460" t="s">
        <v>2227</v>
      </c>
      <c r="X2460">
        <v>0</v>
      </c>
    </row>
    <row r="2461" spans="1:24" x14ac:dyDescent="0.25">
      <c r="A2461" s="234">
        <v>43221</v>
      </c>
      <c r="B2461" t="s">
        <v>328</v>
      </c>
      <c r="C2461" t="s">
        <v>603</v>
      </c>
      <c r="D2461" t="s">
        <v>10338</v>
      </c>
      <c r="E2461" t="s">
        <v>588</v>
      </c>
      <c r="F2461" t="s">
        <v>10386</v>
      </c>
      <c r="G2461" t="s">
        <v>11168</v>
      </c>
      <c r="H2461" t="s">
        <v>607</v>
      </c>
      <c r="J2461" t="s">
        <v>3398</v>
      </c>
      <c r="L2461">
        <v>10</v>
      </c>
      <c r="M2461" s="134">
        <v>985000</v>
      </c>
      <c r="N2461" s="134">
        <v>1932000</v>
      </c>
      <c r="O2461" t="s">
        <v>7124</v>
      </c>
      <c r="P2461" t="s">
        <v>11167</v>
      </c>
      <c r="Q2461" t="s">
        <v>592</v>
      </c>
      <c r="R2461" t="s">
        <v>10732</v>
      </c>
      <c r="U2461" t="s">
        <v>1327</v>
      </c>
      <c r="X2461">
        <v>0</v>
      </c>
    </row>
    <row r="2462" spans="1:24" x14ac:dyDescent="0.25">
      <c r="A2462" s="234">
        <v>43188</v>
      </c>
      <c r="B2462" t="s">
        <v>569</v>
      </c>
      <c r="C2462" t="s">
        <v>899</v>
      </c>
      <c r="D2462" t="s">
        <v>624</v>
      </c>
      <c r="E2462" t="s">
        <v>588</v>
      </c>
      <c r="F2462" t="s">
        <v>10734</v>
      </c>
      <c r="G2462" t="s">
        <v>10735</v>
      </c>
      <c r="H2462" t="s">
        <v>10831</v>
      </c>
      <c r="I2462" t="s">
        <v>4507</v>
      </c>
      <c r="J2462" t="s">
        <v>899</v>
      </c>
      <c r="M2462" s="134">
        <v>986000</v>
      </c>
      <c r="N2462" s="134">
        <v>1186000</v>
      </c>
      <c r="O2462" t="s">
        <v>10766</v>
      </c>
      <c r="P2462" t="s">
        <v>10736</v>
      </c>
      <c r="Q2462" t="s">
        <v>1939</v>
      </c>
      <c r="R2462" t="s">
        <v>10737</v>
      </c>
      <c r="U2462" t="s">
        <v>1327</v>
      </c>
      <c r="X2462">
        <v>0</v>
      </c>
    </row>
    <row r="2463" spans="1:24" x14ac:dyDescent="0.25">
      <c r="A2463" s="234">
        <v>42968</v>
      </c>
      <c r="B2463" t="s">
        <v>569</v>
      </c>
      <c r="C2463" t="s">
        <v>899</v>
      </c>
      <c r="D2463" t="s">
        <v>930</v>
      </c>
      <c r="E2463" t="s">
        <v>1707</v>
      </c>
      <c r="F2463" t="s">
        <v>8249</v>
      </c>
      <c r="G2463" t="s">
        <v>8250</v>
      </c>
      <c r="H2463" t="s">
        <v>607</v>
      </c>
      <c r="I2463" t="s">
        <v>3462</v>
      </c>
      <c r="J2463" t="s">
        <v>899</v>
      </c>
      <c r="L2463">
        <v>4</v>
      </c>
      <c r="M2463" s="134">
        <v>986000</v>
      </c>
      <c r="N2463" s="134">
        <v>2000000</v>
      </c>
      <c r="O2463" t="s">
        <v>1171</v>
      </c>
      <c r="P2463" t="s">
        <v>8251</v>
      </c>
      <c r="Q2463" t="s">
        <v>1939</v>
      </c>
      <c r="R2463" t="s">
        <v>8252</v>
      </c>
      <c r="T2463">
        <v>28</v>
      </c>
      <c r="U2463" t="s">
        <v>491</v>
      </c>
      <c r="X2463">
        <v>0</v>
      </c>
    </row>
    <row r="2464" spans="1:24" x14ac:dyDescent="0.25">
      <c r="A2464" s="234">
        <v>42598</v>
      </c>
      <c r="B2464" t="s">
        <v>328</v>
      </c>
      <c r="C2464" t="s">
        <v>603</v>
      </c>
      <c r="D2464" t="s">
        <v>1471</v>
      </c>
      <c r="E2464" t="s">
        <v>588</v>
      </c>
      <c r="F2464" t="s">
        <v>3451</v>
      </c>
      <c r="H2464" t="s">
        <v>607</v>
      </c>
      <c r="I2464" t="s">
        <v>3452</v>
      </c>
      <c r="J2464" t="s">
        <v>899</v>
      </c>
      <c r="L2464">
        <v>10</v>
      </c>
      <c r="M2464" s="134">
        <v>990000</v>
      </c>
      <c r="N2464" s="134">
        <v>1980000</v>
      </c>
      <c r="O2464" t="s">
        <v>764</v>
      </c>
      <c r="P2464" t="s">
        <v>3453</v>
      </c>
      <c r="Q2464" t="s">
        <v>1939</v>
      </c>
      <c r="R2464" t="s">
        <v>3454</v>
      </c>
      <c r="U2464" t="s">
        <v>491</v>
      </c>
      <c r="X2464">
        <v>0</v>
      </c>
    </row>
    <row r="2465" spans="1:24" x14ac:dyDescent="0.25">
      <c r="A2465" s="234">
        <v>42816</v>
      </c>
      <c r="B2465" t="s">
        <v>569</v>
      </c>
      <c r="D2465" t="s">
        <v>625</v>
      </c>
      <c r="E2465" t="s">
        <v>588</v>
      </c>
      <c r="F2465" t="s">
        <v>6060</v>
      </c>
      <c r="H2465" t="s">
        <v>1391</v>
      </c>
      <c r="I2465" t="s">
        <v>6061</v>
      </c>
      <c r="J2465" t="s">
        <v>899</v>
      </c>
      <c r="L2465">
        <v>4</v>
      </c>
      <c r="M2465" s="134">
        <v>993000</v>
      </c>
      <c r="N2465" s="134">
        <v>1600000</v>
      </c>
      <c r="O2465" t="s">
        <v>1445</v>
      </c>
      <c r="P2465" t="s">
        <v>6062</v>
      </c>
      <c r="Q2465" t="s">
        <v>592</v>
      </c>
      <c r="U2465" t="s">
        <v>491</v>
      </c>
      <c r="X2465">
        <v>0</v>
      </c>
    </row>
    <row r="2466" spans="1:24" x14ac:dyDescent="0.25">
      <c r="A2466" s="234">
        <v>43433</v>
      </c>
      <c r="B2466" t="s">
        <v>569</v>
      </c>
      <c r="C2466" t="s">
        <v>899</v>
      </c>
      <c r="D2466" t="s">
        <v>11286</v>
      </c>
      <c r="F2466" t="s">
        <v>13346</v>
      </c>
      <c r="G2466" t="s">
        <v>587</v>
      </c>
      <c r="H2466" t="s">
        <v>607</v>
      </c>
      <c r="I2466" t="s">
        <v>13347</v>
      </c>
      <c r="J2466" t="s">
        <v>899</v>
      </c>
      <c r="K2466" t="s">
        <v>13348</v>
      </c>
      <c r="L2466">
        <v>2</v>
      </c>
      <c r="M2466" s="134">
        <v>998884</v>
      </c>
      <c r="N2466" s="134">
        <v>1454284</v>
      </c>
      <c r="O2466" t="s">
        <v>7124</v>
      </c>
      <c r="P2466" t="s">
        <v>13349</v>
      </c>
      <c r="Q2466" t="s">
        <v>1939</v>
      </c>
      <c r="R2466" t="s">
        <v>13350</v>
      </c>
      <c r="U2466" t="s">
        <v>491</v>
      </c>
      <c r="X2466">
        <v>0</v>
      </c>
    </row>
    <row r="2467" spans="1:24" x14ac:dyDescent="0.25">
      <c r="A2467" s="234">
        <v>43111</v>
      </c>
      <c r="B2467" t="s">
        <v>328</v>
      </c>
      <c r="C2467" t="s">
        <v>603</v>
      </c>
      <c r="D2467" t="s">
        <v>2204</v>
      </c>
      <c r="E2467" t="s">
        <v>588</v>
      </c>
      <c r="F2467" t="s">
        <v>10006</v>
      </c>
      <c r="G2467" t="s">
        <v>10007</v>
      </c>
      <c r="H2467" t="s">
        <v>607</v>
      </c>
      <c r="I2467" t="s">
        <v>3758</v>
      </c>
      <c r="J2467" t="s">
        <v>899</v>
      </c>
      <c r="L2467">
        <v>10</v>
      </c>
      <c r="M2467" s="134">
        <v>999574</v>
      </c>
      <c r="N2467" s="134">
        <v>2449531</v>
      </c>
      <c r="O2467" t="s">
        <v>10765</v>
      </c>
      <c r="P2467" t="s">
        <v>10008</v>
      </c>
      <c r="Q2467" t="s">
        <v>592</v>
      </c>
      <c r="R2467" t="s">
        <v>10012</v>
      </c>
      <c r="U2467" t="s">
        <v>1327</v>
      </c>
      <c r="X2467">
        <v>0</v>
      </c>
    </row>
    <row r="2468" spans="1:24" x14ac:dyDescent="0.25">
      <c r="A2468" s="234">
        <v>43192</v>
      </c>
      <c r="B2468" t="s">
        <v>569</v>
      </c>
      <c r="C2468" t="s">
        <v>899</v>
      </c>
      <c r="D2468" t="s">
        <v>625</v>
      </c>
      <c r="E2468" t="s">
        <v>692</v>
      </c>
      <c r="F2468" t="s">
        <v>10779</v>
      </c>
      <c r="G2468" t="s">
        <v>10780</v>
      </c>
      <c r="H2468" t="s">
        <v>607</v>
      </c>
      <c r="I2468" t="s">
        <v>3388</v>
      </c>
      <c r="J2468" t="s">
        <v>899</v>
      </c>
      <c r="M2468" s="134">
        <v>1000000</v>
      </c>
      <c r="N2468" s="134">
        <v>0</v>
      </c>
      <c r="O2468" t="s">
        <v>7564</v>
      </c>
      <c r="P2468" t="s">
        <v>10781</v>
      </c>
      <c r="Q2468" t="s">
        <v>592</v>
      </c>
      <c r="R2468" t="s">
        <v>10782</v>
      </c>
      <c r="U2468" t="s">
        <v>491</v>
      </c>
      <c r="X2468">
        <v>0</v>
      </c>
    </row>
    <row r="2469" spans="1:24" x14ac:dyDescent="0.25">
      <c r="A2469" s="234">
        <v>43196</v>
      </c>
      <c r="B2469" t="s">
        <v>569</v>
      </c>
      <c r="C2469" t="s">
        <v>899</v>
      </c>
      <c r="D2469" t="s">
        <v>625</v>
      </c>
      <c r="E2469" t="s">
        <v>821</v>
      </c>
      <c r="F2469" t="s">
        <v>10847</v>
      </c>
      <c r="H2469" t="s">
        <v>10831</v>
      </c>
      <c r="I2469" t="s">
        <v>10301</v>
      </c>
      <c r="J2469" t="s">
        <v>899</v>
      </c>
      <c r="M2469" s="134">
        <v>1000000</v>
      </c>
      <c r="N2469" s="134">
        <v>0</v>
      </c>
      <c r="O2469" t="s">
        <v>10763</v>
      </c>
      <c r="P2469" t="s">
        <v>10882</v>
      </c>
      <c r="Q2469" t="s">
        <v>592</v>
      </c>
      <c r="R2469" t="s">
        <v>10848</v>
      </c>
      <c r="U2469" t="s">
        <v>491</v>
      </c>
      <c r="X2469">
        <v>0</v>
      </c>
    </row>
    <row r="2470" spans="1:24" x14ac:dyDescent="0.25">
      <c r="A2470" s="234">
        <v>42846</v>
      </c>
      <c r="B2470" t="s">
        <v>5176</v>
      </c>
      <c r="D2470" t="s">
        <v>727</v>
      </c>
      <c r="E2470" t="s">
        <v>588</v>
      </c>
      <c r="M2470" s="134">
        <v>1000000</v>
      </c>
      <c r="N2470" s="134">
        <v>0</v>
      </c>
      <c r="O2470" t="s">
        <v>6669</v>
      </c>
      <c r="P2470" t="s">
        <v>6511</v>
      </c>
      <c r="Q2470" t="s">
        <v>620</v>
      </c>
      <c r="R2470" t="s">
        <v>6512</v>
      </c>
      <c r="U2470" t="s">
        <v>491</v>
      </c>
      <c r="X2470">
        <v>0</v>
      </c>
    </row>
    <row r="2471" spans="1:24" x14ac:dyDescent="0.25">
      <c r="A2471" s="234">
        <v>43053</v>
      </c>
      <c r="B2471" t="s">
        <v>569</v>
      </c>
      <c r="C2471" t="s">
        <v>899</v>
      </c>
      <c r="D2471" t="s">
        <v>930</v>
      </c>
      <c r="E2471" t="s">
        <v>821</v>
      </c>
      <c r="F2471" t="s">
        <v>9429</v>
      </c>
      <c r="G2471" t="s">
        <v>9430</v>
      </c>
      <c r="H2471" t="s">
        <v>607</v>
      </c>
      <c r="I2471" t="s">
        <v>2054</v>
      </c>
      <c r="J2471" t="s">
        <v>899</v>
      </c>
      <c r="M2471" s="134">
        <v>1000000</v>
      </c>
      <c r="N2471" s="134">
        <v>0</v>
      </c>
      <c r="O2471" t="s">
        <v>695</v>
      </c>
      <c r="P2471" t="s">
        <v>9431</v>
      </c>
      <c r="Q2471" t="s">
        <v>1939</v>
      </c>
      <c r="R2471" t="s">
        <v>9432</v>
      </c>
      <c r="U2471" t="s">
        <v>491</v>
      </c>
      <c r="X2471">
        <v>0</v>
      </c>
    </row>
    <row r="2472" spans="1:24" x14ac:dyDescent="0.25">
      <c r="A2472" s="234">
        <v>43056</v>
      </c>
      <c r="B2472" t="s">
        <v>5176</v>
      </c>
      <c r="C2472" t="s">
        <v>604</v>
      </c>
      <c r="D2472" t="s">
        <v>595</v>
      </c>
      <c r="E2472" t="s">
        <v>1707</v>
      </c>
      <c r="F2472" t="s">
        <v>8966</v>
      </c>
      <c r="H2472" t="s">
        <v>809</v>
      </c>
      <c r="I2472" t="s">
        <v>1487</v>
      </c>
      <c r="J2472" t="s">
        <v>604</v>
      </c>
      <c r="M2472" s="134">
        <v>1000000</v>
      </c>
      <c r="N2472" s="134">
        <v>0</v>
      </c>
      <c r="O2472" t="s">
        <v>9502</v>
      </c>
      <c r="P2472" t="s">
        <v>9503</v>
      </c>
      <c r="Q2472" t="s">
        <v>592</v>
      </c>
      <c r="U2472" t="s">
        <v>491</v>
      </c>
      <c r="X2472">
        <v>0</v>
      </c>
    </row>
    <row r="2473" spans="1:24" x14ac:dyDescent="0.25">
      <c r="A2473" s="234">
        <v>42594</v>
      </c>
      <c r="B2473" t="s">
        <v>1486</v>
      </c>
      <c r="C2473" t="s">
        <v>1363</v>
      </c>
      <c r="D2473" t="s">
        <v>1495</v>
      </c>
      <c r="E2473" t="s">
        <v>821</v>
      </c>
      <c r="H2473" t="s">
        <v>886</v>
      </c>
      <c r="M2473" s="134">
        <v>1000000</v>
      </c>
      <c r="N2473" s="134">
        <v>0</v>
      </c>
      <c r="O2473" t="s">
        <v>2121</v>
      </c>
      <c r="P2473" t="s">
        <v>3400</v>
      </c>
      <c r="Q2473" t="s">
        <v>29</v>
      </c>
      <c r="R2473" t="s">
        <v>3401</v>
      </c>
      <c r="U2473" t="s">
        <v>491</v>
      </c>
      <c r="X2473">
        <v>1</v>
      </c>
    </row>
    <row r="2474" spans="1:24" x14ac:dyDescent="0.25">
      <c r="A2474" s="234">
        <v>43493</v>
      </c>
      <c r="B2474" t="s">
        <v>328</v>
      </c>
      <c r="C2474" t="s">
        <v>603</v>
      </c>
      <c r="D2474" t="s">
        <v>10705</v>
      </c>
      <c r="F2474" t="s">
        <v>14177</v>
      </c>
      <c r="G2474" t="s">
        <v>10007</v>
      </c>
      <c r="H2474" t="s">
        <v>886</v>
      </c>
      <c r="I2474" t="s">
        <v>10777</v>
      </c>
      <c r="J2474" t="s">
        <v>603</v>
      </c>
      <c r="K2474" t="s">
        <v>14178</v>
      </c>
      <c r="L2474">
        <v>6</v>
      </c>
      <c r="M2474" s="134">
        <v>1000000</v>
      </c>
      <c r="N2474" s="134">
        <v>1000000</v>
      </c>
      <c r="O2474" t="s">
        <v>2295</v>
      </c>
      <c r="P2474" t="s">
        <v>14256</v>
      </c>
      <c r="Q2474" t="s">
        <v>1939</v>
      </c>
      <c r="R2474" t="s">
        <v>14683</v>
      </c>
      <c r="U2474" t="s">
        <v>12797</v>
      </c>
      <c r="X2474">
        <v>0</v>
      </c>
    </row>
    <row r="2475" spans="1:24" x14ac:dyDescent="0.25">
      <c r="A2475" s="234">
        <v>43572</v>
      </c>
      <c r="B2475" t="s">
        <v>328</v>
      </c>
      <c r="C2475" t="s">
        <v>603</v>
      </c>
      <c r="D2475" t="s">
        <v>9977</v>
      </c>
      <c r="F2475" t="s">
        <v>12993</v>
      </c>
      <c r="G2475" t="s">
        <v>8941</v>
      </c>
      <c r="H2475" t="s">
        <v>1050</v>
      </c>
      <c r="I2475" t="s">
        <v>15112</v>
      </c>
      <c r="J2475" t="s">
        <v>603</v>
      </c>
      <c r="K2475" t="s">
        <v>15113</v>
      </c>
      <c r="L2475" t="s">
        <v>15114</v>
      </c>
      <c r="M2475" s="134">
        <v>1000000</v>
      </c>
      <c r="N2475" s="134">
        <v>1000000</v>
      </c>
      <c r="O2475" t="s">
        <v>2295</v>
      </c>
      <c r="P2475" t="s">
        <v>15134</v>
      </c>
      <c r="Q2475" t="s">
        <v>1612</v>
      </c>
      <c r="R2475" t="s">
        <v>15135</v>
      </c>
      <c r="S2475" t="s">
        <v>13884</v>
      </c>
      <c r="U2475" t="s">
        <v>491</v>
      </c>
      <c r="X2475">
        <v>0</v>
      </c>
    </row>
    <row r="2476" spans="1:24" x14ac:dyDescent="0.25">
      <c r="A2476" s="234">
        <v>43237</v>
      </c>
      <c r="B2476" t="s">
        <v>569</v>
      </c>
      <c r="C2476" t="s">
        <v>899</v>
      </c>
      <c r="D2476" t="s">
        <v>625</v>
      </c>
      <c r="E2476" t="s">
        <v>588</v>
      </c>
      <c r="F2476" t="s">
        <v>11317</v>
      </c>
      <c r="G2476" t="s">
        <v>11318</v>
      </c>
      <c r="H2476" t="s">
        <v>886</v>
      </c>
      <c r="I2476" t="s">
        <v>2054</v>
      </c>
      <c r="J2476" t="s">
        <v>899</v>
      </c>
      <c r="L2476">
        <v>2</v>
      </c>
      <c r="M2476" s="134">
        <v>1000000</v>
      </c>
      <c r="N2476" s="134">
        <v>1100000</v>
      </c>
      <c r="O2476" t="s">
        <v>2295</v>
      </c>
      <c r="P2476" t="s">
        <v>11319</v>
      </c>
      <c r="Q2476" t="s">
        <v>620</v>
      </c>
      <c r="R2476" t="s">
        <v>11320</v>
      </c>
      <c r="U2476" t="s">
        <v>1327</v>
      </c>
      <c r="X2476">
        <v>0</v>
      </c>
    </row>
    <row r="2477" spans="1:24" x14ac:dyDescent="0.25">
      <c r="A2477" s="234">
        <v>43194</v>
      </c>
      <c r="B2477" t="s">
        <v>643</v>
      </c>
      <c r="C2477" t="s">
        <v>644</v>
      </c>
      <c r="D2477" t="s">
        <v>645</v>
      </c>
      <c r="E2477" t="s">
        <v>588</v>
      </c>
      <c r="F2477" t="s">
        <v>10783</v>
      </c>
      <c r="G2477" t="s">
        <v>5381</v>
      </c>
      <c r="H2477" t="s">
        <v>10831</v>
      </c>
      <c r="I2477" t="s">
        <v>10784</v>
      </c>
      <c r="J2477" t="s">
        <v>644</v>
      </c>
      <c r="L2477">
        <v>10</v>
      </c>
      <c r="M2477" s="134">
        <v>1000000</v>
      </c>
      <c r="N2477" s="134">
        <v>1120000</v>
      </c>
      <c r="O2477" t="s">
        <v>7124</v>
      </c>
      <c r="P2477" t="s">
        <v>10785</v>
      </c>
      <c r="Q2477" t="s">
        <v>1939</v>
      </c>
      <c r="R2477" t="s">
        <v>10786</v>
      </c>
      <c r="U2477" t="s">
        <v>491</v>
      </c>
      <c r="X2477">
        <v>0</v>
      </c>
    </row>
    <row r="2478" spans="1:24" x14ac:dyDescent="0.25">
      <c r="A2478" s="234">
        <v>43462</v>
      </c>
      <c r="B2478" t="s">
        <v>9240</v>
      </c>
      <c r="C2478" t="s">
        <v>603</v>
      </c>
      <c r="D2478" t="s">
        <v>9849</v>
      </c>
      <c r="F2478" t="s">
        <v>13737</v>
      </c>
      <c r="G2478" t="s">
        <v>13738</v>
      </c>
      <c r="H2478" t="s">
        <v>10831</v>
      </c>
      <c r="I2478" t="s">
        <v>13739</v>
      </c>
      <c r="J2478" t="s">
        <v>5402</v>
      </c>
      <c r="K2478" t="s">
        <v>13740</v>
      </c>
      <c r="L2478" t="s">
        <v>13741</v>
      </c>
      <c r="M2478" s="134">
        <v>1000000</v>
      </c>
      <c r="N2478" s="134">
        <v>1120000</v>
      </c>
      <c r="O2478" t="s">
        <v>10763</v>
      </c>
      <c r="P2478" t="s">
        <v>13742</v>
      </c>
      <c r="Q2478" t="s">
        <v>1939</v>
      </c>
      <c r="R2478" t="s">
        <v>13743</v>
      </c>
      <c r="U2478" t="s">
        <v>491</v>
      </c>
      <c r="X2478">
        <v>0</v>
      </c>
    </row>
    <row r="2479" spans="1:24" x14ac:dyDescent="0.25">
      <c r="A2479" s="234">
        <v>42851</v>
      </c>
      <c r="B2479" t="s">
        <v>569</v>
      </c>
      <c r="D2479" t="s">
        <v>625</v>
      </c>
      <c r="E2479" t="s">
        <v>588</v>
      </c>
      <c r="F2479" t="s">
        <v>6558</v>
      </c>
      <c r="H2479" t="s">
        <v>6559</v>
      </c>
      <c r="I2479" t="s">
        <v>3672</v>
      </c>
      <c r="J2479" t="s">
        <v>899</v>
      </c>
      <c r="L2479">
        <v>4</v>
      </c>
      <c r="M2479" s="134">
        <v>1000000</v>
      </c>
      <c r="N2479" s="134">
        <v>1135000</v>
      </c>
      <c r="O2479" t="s">
        <v>2928</v>
      </c>
      <c r="P2479" t="s">
        <v>6560</v>
      </c>
      <c r="Q2479" t="s">
        <v>1612</v>
      </c>
      <c r="R2479" t="s">
        <v>7259</v>
      </c>
      <c r="U2479" t="s">
        <v>491</v>
      </c>
      <c r="X2479">
        <v>0</v>
      </c>
    </row>
    <row r="2480" spans="1:24" x14ac:dyDescent="0.25">
      <c r="A2480" s="234">
        <v>43117</v>
      </c>
      <c r="B2480" t="s">
        <v>569</v>
      </c>
      <c r="C2480" t="s">
        <v>899</v>
      </c>
      <c r="D2480" t="s">
        <v>624</v>
      </c>
      <c r="E2480" t="s">
        <v>2200</v>
      </c>
      <c r="F2480" t="s">
        <v>10054</v>
      </c>
      <c r="G2480" t="s">
        <v>10055</v>
      </c>
      <c r="H2480" t="s">
        <v>809</v>
      </c>
      <c r="I2480" t="s">
        <v>2054</v>
      </c>
      <c r="J2480" t="s">
        <v>899</v>
      </c>
      <c r="L2480">
        <v>2</v>
      </c>
      <c r="M2480" s="134">
        <v>1000000</v>
      </c>
      <c r="N2480" s="134">
        <v>1150000</v>
      </c>
      <c r="O2480" t="s">
        <v>10762</v>
      </c>
      <c r="P2480" t="s">
        <v>10056</v>
      </c>
      <c r="Q2480" t="s">
        <v>1939</v>
      </c>
      <c r="R2480" t="s">
        <v>10057</v>
      </c>
      <c r="U2480" t="s">
        <v>1327</v>
      </c>
      <c r="X2480">
        <v>0</v>
      </c>
    </row>
    <row r="2481" spans="1:24" x14ac:dyDescent="0.25">
      <c r="A2481" s="234">
        <v>42766</v>
      </c>
      <c r="B2481" t="s">
        <v>569</v>
      </c>
      <c r="D2481" t="s">
        <v>625</v>
      </c>
      <c r="E2481" t="s">
        <v>588</v>
      </c>
      <c r="F2481" t="s">
        <v>5555</v>
      </c>
      <c r="H2481" t="s">
        <v>5556</v>
      </c>
      <c r="I2481" t="s">
        <v>3672</v>
      </c>
      <c r="J2481" t="s">
        <v>899</v>
      </c>
      <c r="L2481">
        <v>5</v>
      </c>
      <c r="M2481" s="134">
        <v>1000000</v>
      </c>
      <c r="N2481" s="134">
        <v>1165000</v>
      </c>
      <c r="O2481" t="s">
        <v>5559</v>
      </c>
      <c r="P2481" t="s">
        <v>5558</v>
      </c>
      <c r="Q2481" t="s">
        <v>29</v>
      </c>
      <c r="U2481" t="s">
        <v>491</v>
      </c>
      <c r="X2481">
        <v>1</v>
      </c>
    </row>
    <row r="2482" spans="1:24" x14ac:dyDescent="0.25">
      <c r="A2482" s="234">
        <v>42415</v>
      </c>
      <c r="B2482" t="s">
        <v>594</v>
      </c>
      <c r="C2482" t="s">
        <v>959</v>
      </c>
      <c r="D2482" t="s">
        <v>732</v>
      </c>
      <c r="E2482" t="s">
        <v>588</v>
      </c>
      <c r="F2482" t="s">
        <v>977</v>
      </c>
      <c r="H2482" t="s">
        <v>886</v>
      </c>
      <c r="I2482" t="s">
        <v>978</v>
      </c>
      <c r="M2482" s="134">
        <v>1000000</v>
      </c>
      <c r="N2482" s="134">
        <v>1195000</v>
      </c>
      <c r="O2482" t="s">
        <v>754</v>
      </c>
      <c r="P2482" t="s">
        <v>979</v>
      </c>
      <c r="Q2482" t="s">
        <v>592</v>
      </c>
      <c r="R2482" t="s">
        <v>980</v>
      </c>
      <c r="U2482" t="s">
        <v>491</v>
      </c>
      <c r="X2482">
        <v>0</v>
      </c>
    </row>
    <row r="2483" spans="1:24" x14ac:dyDescent="0.25">
      <c r="A2483" s="234">
        <v>43616</v>
      </c>
      <c r="B2483" t="s">
        <v>328</v>
      </c>
      <c r="C2483" t="s">
        <v>899</v>
      </c>
      <c r="D2483" t="s">
        <v>10705</v>
      </c>
      <c r="F2483" t="s">
        <v>15808</v>
      </c>
      <c r="H2483" t="s">
        <v>905</v>
      </c>
      <c r="I2483" t="s">
        <v>15810</v>
      </c>
      <c r="J2483" t="s">
        <v>899</v>
      </c>
      <c r="K2483" t="s">
        <v>15809</v>
      </c>
      <c r="L2483">
        <v>4</v>
      </c>
      <c r="M2483" s="134">
        <v>1000000</v>
      </c>
      <c r="N2483" s="134">
        <v>1200000</v>
      </c>
      <c r="O2483" t="s">
        <v>4533</v>
      </c>
      <c r="P2483" t="s">
        <v>15912</v>
      </c>
      <c r="Q2483" t="s">
        <v>29</v>
      </c>
      <c r="R2483" t="s">
        <v>15814</v>
      </c>
      <c r="S2483" t="s">
        <v>15811</v>
      </c>
      <c r="U2483" t="s">
        <v>15812</v>
      </c>
      <c r="X2483">
        <v>1</v>
      </c>
    </row>
    <row r="2484" spans="1:24" x14ac:dyDescent="0.25">
      <c r="A2484" s="234">
        <v>42999</v>
      </c>
      <c r="B2484" t="s">
        <v>328</v>
      </c>
      <c r="C2484" t="s">
        <v>603</v>
      </c>
      <c r="D2484" t="s">
        <v>649</v>
      </c>
      <c r="E2484" t="s">
        <v>588</v>
      </c>
      <c r="F2484" t="s">
        <v>8647</v>
      </c>
      <c r="G2484" t="s">
        <v>8648</v>
      </c>
      <c r="H2484" t="s">
        <v>1391</v>
      </c>
      <c r="I2484" t="s">
        <v>8649</v>
      </c>
      <c r="J2484" t="s">
        <v>5509</v>
      </c>
      <c r="L2484">
        <v>3</v>
      </c>
      <c r="M2484" s="134">
        <v>1000000</v>
      </c>
      <c r="N2484" s="134">
        <v>1200000</v>
      </c>
      <c r="O2484" t="s">
        <v>8219</v>
      </c>
      <c r="P2484" t="s">
        <v>8836</v>
      </c>
      <c r="Q2484" t="s">
        <v>29</v>
      </c>
      <c r="R2484" t="s">
        <v>8677</v>
      </c>
      <c r="T2484">
        <v>22</v>
      </c>
      <c r="U2484" t="s">
        <v>491</v>
      </c>
      <c r="X2484">
        <v>1</v>
      </c>
    </row>
    <row r="2485" spans="1:24" x14ac:dyDescent="0.25">
      <c r="A2485" s="234">
        <v>42471</v>
      </c>
      <c r="B2485" t="s">
        <v>378</v>
      </c>
      <c r="C2485" t="s">
        <v>610</v>
      </c>
      <c r="D2485" t="s">
        <v>625</v>
      </c>
      <c r="E2485" t="s">
        <v>588</v>
      </c>
      <c r="F2485" t="s">
        <v>1619</v>
      </c>
      <c r="H2485" t="s">
        <v>1615</v>
      </c>
      <c r="I2485" t="s">
        <v>1658</v>
      </c>
      <c r="M2485" s="134">
        <v>1000000</v>
      </c>
      <c r="N2485" s="134">
        <v>1205000</v>
      </c>
      <c r="O2485" t="s">
        <v>1659</v>
      </c>
      <c r="P2485" t="s">
        <v>1616</v>
      </c>
      <c r="Q2485" t="s">
        <v>1612</v>
      </c>
      <c r="U2485" t="s">
        <v>1660</v>
      </c>
      <c r="X2485">
        <v>0</v>
      </c>
    </row>
    <row r="2486" spans="1:24" x14ac:dyDescent="0.25">
      <c r="A2486" s="234">
        <v>43600</v>
      </c>
      <c r="B2486" t="s">
        <v>5473</v>
      </c>
      <c r="C2486" t="s">
        <v>608</v>
      </c>
      <c r="D2486" t="s">
        <v>2340</v>
      </c>
      <c r="F2486" t="s">
        <v>15566</v>
      </c>
      <c r="G2486" t="s">
        <v>7814</v>
      </c>
      <c r="H2486" t="s">
        <v>607</v>
      </c>
      <c r="I2486" t="s">
        <v>10036</v>
      </c>
      <c r="J2486" t="s">
        <v>602</v>
      </c>
      <c r="K2486" t="s">
        <v>15567</v>
      </c>
      <c r="L2486">
        <v>2</v>
      </c>
      <c r="M2486" s="134">
        <v>1000000</v>
      </c>
      <c r="N2486" s="134">
        <v>1245000</v>
      </c>
      <c r="O2486" t="s">
        <v>10766</v>
      </c>
      <c r="P2486" t="s">
        <v>15568</v>
      </c>
      <c r="Q2486" t="s">
        <v>620</v>
      </c>
      <c r="R2486" t="s">
        <v>15592</v>
      </c>
      <c r="S2486" t="s">
        <v>15593</v>
      </c>
      <c r="U2486" t="s">
        <v>491</v>
      </c>
      <c r="X2486">
        <v>0</v>
      </c>
    </row>
    <row r="2487" spans="1:24" x14ac:dyDescent="0.25">
      <c r="A2487" s="234">
        <v>42993</v>
      </c>
      <c r="B2487" t="s">
        <v>643</v>
      </c>
      <c r="C2487" t="s">
        <v>644</v>
      </c>
      <c r="D2487" t="s">
        <v>3132</v>
      </c>
      <c r="E2487" t="s">
        <v>588</v>
      </c>
      <c r="F2487" t="s">
        <v>8562</v>
      </c>
      <c r="H2487" t="s">
        <v>8563</v>
      </c>
      <c r="I2487" t="s">
        <v>4399</v>
      </c>
      <c r="J2487" t="s">
        <v>644</v>
      </c>
      <c r="L2487">
        <v>2</v>
      </c>
      <c r="M2487" s="134">
        <v>1000000</v>
      </c>
      <c r="N2487" s="134">
        <v>1250000</v>
      </c>
      <c r="O2487" t="s">
        <v>560</v>
      </c>
      <c r="P2487" t="s">
        <v>8564</v>
      </c>
      <c r="Q2487" t="s">
        <v>1939</v>
      </c>
      <c r="R2487" t="s">
        <v>8631</v>
      </c>
      <c r="T2487">
        <v>18</v>
      </c>
      <c r="U2487" t="s">
        <v>491</v>
      </c>
      <c r="X2487">
        <v>0</v>
      </c>
    </row>
    <row r="2488" spans="1:24" x14ac:dyDescent="0.25">
      <c r="A2488" s="234">
        <v>42548</v>
      </c>
      <c r="B2488" t="s">
        <v>1788</v>
      </c>
      <c r="D2488" t="s">
        <v>2678</v>
      </c>
      <c r="E2488" t="s">
        <v>588</v>
      </c>
      <c r="F2488" t="s">
        <v>2679</v>
      </c>
      <c r="H2488" t="s">
        <v>607</v>
      </c>
      <c r="I2488" t="s">
        <v>2681</v>
      </c>
      <c r="M2488" s="134">
        <v>1000000</v>
      </c>
      <c r="N2488" s="134">
        <v>1272000</v>
      </c>
      <c r="O2488" t="s">
        <v>2680</v>
      </c>
      <c r="P2488" t="s">
        <v>2682</v>
      </c>
      <c r="Q2488" t="s">
        <v>29</v>
      </c>
      <c r="U2488" t="s">
        <v>491</v>
      </c>
      <c r="X2488">
        <v>1</v>
      </c>
    </row>
    <row r="2489" spans="1:24" x14ac:dyDescent="0.25">
      <c r="A2489" s="234">
        <v>43231</v>
      </c>
      <c r="B2489" t="s">
        <v>328</v>
      </c>
      <c r="C2489" t="s">
        <v>603</v>
      </c>
      <c r="D2489" t="s">
        <v>7595</v>
      </c>
      <c r="E2489" t="s">
        <v>588</v>
      </c>
      <c r="F2489" t="s">
        <v>10354</v>
      </c>
      <c r="G2489" t="s">
        <v>7830</v>
      </c>
      <c r="H2489" t="s">
        <v>905</v>
      </c>
      <c r="J2489" t="s">
        <v>899</v>
      </c>
      <c r="L2489">
        <v>9</v>
      </c>
      <c r="M2489" s="134">
        <v>1000000</v>
      </c>
      <c r="N2489" s="134">
        <v>1300000</v>
      </c>
      <c r="O2489" t="s">
        <v>4533</v>
      </c>
      <c r="P2489" t="s">
        <v>11242</v>
      </c>
      <c r="Q2489" t="s">
        <v>592</v>
      </c>
      <c r="R2489" t="s">
        <v>11243</v>
      </c>
      <c r="U2489" t="s">
        <v>1327</v>
      </c>
      <c r="X2489">
        <v>0</v>
      </c>
    </row>
    <row r="2490" spans="1:24" x14ac:dyDescent="0.25">
      <c r="A2490" s="234">
        <v>43537</v>
      </c>
      <c r="B2490" t="s">
        <v>328</v>
      </c>
      <c r="C2490" t="s">
        <v>899</v>
      </c>
      <c r="D2490" t="s">
        <v>7595</v>
      </c>
      <c r="F2490" t="s">
        <v>14728</v>
      </c>
      <c r="G2490" t="s">
        <v>14729</v>
      </c>
      <c r="H2490" t="s">
        <v>10832</v>
      </c>
      <c r="I2490" t="s">
        <v>14730</v>
      </c>
      <c r="J2490" t="s">
        <v>899</v>
      </c>
      <c r="L2490">
        <v>4</v>
      </c>
      <c r="M2490" s="134">
        <v>1000000</v>
      </c>
      <c r="N2490" s="134">
        <v>1305000</v>
      </c>
      <c r="O2490" t="s">
        <v>10763</v>
      </c>
      <c r="P2490" t="s">
        <v>14731</v>
      </c>
      <c r="Q2490" t="s">
        <v>592</v>
      </c>
      <c r="R2490" t="s">
        <v>14732</v>
      </c>
      <c r="U2490" t="s">
        <v>12797</v>
      </c>
      <c r="X2490">
        <v>0</v>
      </c>
    </row>
    <row r="2491" spans="1:24" x14ac:dyDescent="0.25">
      <c r="A2491" s="234">
        <v>43329</v>
      </c>
      <c r="B2491" t="s">
        <v>569</v>
      </c>
      <c r="C2491" t="s">
        <v>899</v>
      </c>
      <c r="D2491" t="s">
        <v>624</v>
      </c>
      <c r="E2491" t="s">
        <v>588</v>
      </c>
      <c r="F2491" t="s">
        <v>12386</v>
      </c>
      <c r="G2491" t="s">
        <v>12379</v>
      </c>
      <c r="H2491" t="s">
        <v>905</v>
      </c>
      <c r="I2491" t="s">
        <v>3649</v>
      </c>
      <c r="J2491" t="s">
        <v>899</v>
      </c>
      <c r="L2491">
        <v>2</v>
      </c>
      <c r="M2491" s="134">
        <v>1000000</v>
      </c>
      <c r="N2491" s="134">
        <v>1325000</v>
      </c>
      <c r="O2491" t="s">
        <v>560</v>
      </c>
      <c r="P2491" t="s">
        <v>12380</v>
      </c>
      <c r="Q2491" t="s">
        <v>592</v>
      </c>
      <c r="R2491" t="s">
        <v>11659</v>
      </c>
      <c r="U2491" t="s">
        <v>1327</v>
      </c>
      <c r="X2491">
        <v>0</v>
      </c>
    </row>
    <row r="2492" spans="1:24" x14ac:dyDescent="0.25">
      <c r="A2492" s="234">
        <v>42584</v>
      </c>
      <c r="B2492" t="s">
        <v>1788</v>
      </c>
      <c r="D2492" t="s">
        <v>2678</v>
      </c>
      <c r="E2492" t="s">
        <v>588</v>
      </c>
      <c r="F2492" t="s">
        <v>3187</v>
      </c>
      <c r="H2492" t="s">
        <v>607</v>
      </c>
      <c r="I2492" t="s">
        <v>3188</v>
      </c>
      <c r="J2492" t="s">
        <v>3369</v>
      </c>
      <c r="M2492" s="134">
        <v>1000000</v>
      </c>
      <c r="N2492" s="134">
        <v>1370000</v>
      </c>
      <c r="O2492" t="s">
        <v>3189</v>
      </c>
      <c r="P2492" t="s">
        <v>3190</v>
      </c>
      <c r="Q2492" t="s">
        <v>29</v>
      </c>
      <c r="U2492" t="s">
        <v>491</v>
      </c>
      <c r="X2492">
        <v>1</v>
      </c>
    </row>
    <row r="2493" spans="1:24" x14ac:dyDescent="0.25">
      <c r="A2493" s="234">
        <v>42970</v>
      </c>
      <c r="B2493" t="s">
        <v>328</v>
      </c>
      <c r="C2493" t="s">
        <v>603</v>
      </c>
      <c r="D2493" t="s">
        <v>1401</v>
      </c>
      <c r="E2493" t="s">
        <v>692</v>
      </c>
      <c r="F2493" t="s">
        <v>8283</v>
      </c>
      <c r="G2493" t="s">
        <v>8284</v>
      </c>
      <c r="H2493" t="s">
        <v>886</v>
      </c>
      <c r="I2493" t="s">
        <v>8285</v>
      </c>
      <c r="J2493" t="s">
        <v>3885</v>
      </c>
      <c r="L2493">
        <v>10</v>
      </c>
      <c r="M2493" s="134">
        <v>1000000</v>
      </c>
      <c r="N2493" s="134">
        <v>1400000</v>
      </c>
      <c r="O2493" t="s">
        <v>2680</v>
      </c>
      <c r="P2493" t="s">
        <v>8286</v>
      </c>
      <c r="Q2493" t="s">
        <v>1612</v>
      </c>
      <c r="R2493" t="s">
        <v>8353</v>
      </c>
      <c r="T2493">
        <v>54</v>
      </c>
      <c r="U2493" t="s">
        <v>491</v>
      </c>
      <c r="X2493">
        <v>0</v>
      </c>
    </row>
    <row r="2494" spans="1:24" x14ac:dyDescent="0.25">
      <c r="A2494" s="234">
        <v>43518</v>
      </c>
      <c r="B2494" t="s">
        <v>569</v>
      </c>
      <c r="C2494" t="s">
        <v>899</v>
      </c>
      <c r="D2494" t="s">
        <v>625</v>
      </c>
      <c r="F2494" t="s">
        <v>14488</v>
      </c>
      <c r="G2494" t="s">
        <v>7814</v>
      </c>
      <c r="H2494" t="s">
        <v>607</v>
      </c>
      <c r="I2494" t="s">
        <v>14489</v>
      </c>
      <c r="J2494" t="s">
        <v>899</v>
      </c>
      <c r="K2494" t="s">
        <v>14490</v>
      </c>
      <c r="L2494">
        <v>5</v>
      </c>
      <c r="M2494" s="134">
        <v>1000000</v>
      </c>
      <c r="N2494" s="134">
        <v>1500000</v>
      </c>
      <c r="O2494" t="s">
        <v>10766</v>
      </c>
      <c r="P2494" t="s">
        <v>14491</v>
      </c>
      <c r="Q2494" t="s">
        <v>592</v>
      </c>
      <c r="R2494" t="s">
        <v>14790</v>
      </c>
      <c r="S2494" t="s">
        <v>14791</v>
      </c>
      <c r="U2494" t="s">
        <v>12797</v>
      </c>
      <c r="X2494">
        <v>0</v>
      </c>
    </row>
    <row r="2495" spans="1:24" x14ac:dyDescent="0.25">
      <c r="A2495" s="234">
        <v>42773</v>
      </c>
      <c r="B2495" t="s">
        <v>328</v>
      </c>
      <c r="C2495" t="s">
        <v>603</v>
      </c>
      <c r="D2495" t="s">
        <v>1401</v>
      </c>
      <c r="E2495" t="s">
        <v>588</v>
      </c>
      <c r="F2495" t="s">
        <v>5639</v>
      </c>
      <c r="H2495" t="s">
        <v>5640</v>
      </c>
      <c r="I2495" t="s">
        <v>5641</v>
      </c>
      <c r="J2495" t="s">
        <v>3612</v>
      </c>
      <c r="M2495" s="134">
        <v>1000000</v>
      </c>
      <c r="N2495" s="134">
        <v>1500000</v>
      </c>
      <c r="O2495" t="s">
        <v>3952</v>
      </c>
      <c r="P2495" t="s">
        <v>5663</v>
      </c>
      <c r="Q2495" t="s">
        <v>1612</v>
      </c>
      <c r="R2495" t="s">
        <v>5674</v>
      </c>
      <c r="U2495" t="s">
        <v>491</v>
      </c>
      <c r="X2495">
        <v>0</v>
      </c>
    </row>
    <row r="2496" spans="1:24" x14ac:dyDescent="0.25">
      <c r="A2496" s="234">
        <v>42549</v>
      </c>
      <c r="B2496" t="s">
        <v>378</v>
      </c>
      <c r="C2496" t="s">
        <v>623</v>
      </c>
      <c r="D2496" t="s">
        <v>625</v>
      </c>
      <c r="E2496" t="s">
        <v>588</v>
      </c>
      <c r="F2496" t="s">
        <v>2694</v>
      </c>
      <c r="H2496" t="s">
        <v>1044</v>
      </c>
      <c r="I2496" t="s">
        <v>2695</v>
      </c>
      <c r="M2496" s="134">
        <v>1000000</v>
      </c>
      <c r="N2496" s="134">
        <v>1500000</v>
      </c>
      <c r="O2496" t="s">
        <v>764</v>
      </c>
      <c r="P2496" t="s">
        <v>2696</v>
      </c>
      <c r="Q2496" t="s">
        <v>29</v>
      </c>
      <c r="R2496" t="s">
        <v>2697</v>
      </c>
      <c r="S2496" t="s">
        <v>2751</v>
      </c>
      <c r="U2496" t="s">
        <v>491</v>
      </c>
      <c r="X2496">
        <v>1</v>
      </c>
    </row>
    <row r="2497" spans="1:24" x14ac:dyDescent="0.25">
      <c r="A2497" s="234">
        <v>43336</v>
      </c>
      <c r="B2497" t="s">
        <v>328</v>
      </c>
      <c r="C2497" t="s">
        <v>603</v>
      </c>
      <c r="D2497" t="s">
        <v>5701</v>
      </c>
      <c r="E2497" t="s">
        <v>588</v>
      </c>
      <c r="F2497" t="s">
        <v>5076</v>
      </c>
      <c r="G2497" t="s">
        <v>9525</v>
      </c>
      <c r="H2497" t="s">
        <v>12311</v>
      </c>
      <c r="I2497" t="s">
        <v>2054</v>
      </c>
      <c r="J2497" t="s">
        <v>899</v>
      </c>
      <c r="L2497">
        <v>1</v>
      </c>
      <c r="M2497" s="134">
        <v>1000000</v>
      </c>
      <c r="N2497" s="134">
        <v>1594000</v>
      </c>
      <c r="O2497" t="s">
        <v>560</v>
      </c>
      <c r="P2497" t="s">
        <v>12312</v>
      </c>
      <c r="Q2497" t="s">
        <v>592</v>
      </c>
      <c r="R2497" t="s">
        <v>12313</v>
      </c>
      <c r="U2497" t="s">
        <v>491</v>
      </c>
      <c r="X2497">
        <v>0</v>
      </c>
    </row>
    <row r="2498" spans="1:24" x14ac:dyDescent="0.25">
      <c r="A2498" s="234">
        <v>43462</v>
      </c>
      <c r="B2498" t="s">
        <v>328</v>
      </c>
      <c r="C2498" t="s">
        <v>603</v>
      </c>
      <c r="D2498" t="s">
        <v>7595</v>
      </c>
      <c r="F2498" t="s">
        <v>13732</v>
      </c>
      <c r="G2498" t="s">
        <v>7960</v>
      </c>
      <c r="H2498" t="s">
        <v>607</v>
      </c>
      <c r="I2498" t="s">
        <v>13733</v>
      </c>
      <c r="J2498" t="s">
        <v>3733</v>
      </c>
      <c r="K2498" t="s">
        <v>13734</v>
      </c>
      <c r="L2498">
        <v>9</v>
      </c>
      <c r="M2498" s="134">
        <v>1000000</v>
      </c>
      <c r="N2498" s="134">
        <v>1600000</v>
      </c>
      <c r="O2498" t="s">
        <v>10765</v>
      </c>
      <c r="P2498" t="s">
        <v>13735</v>
      </c>
      <c r="Q2498" t="s">
        <v>1939</v>
      </c>
      <c r="R2498" t="s">
        <v>13736</v>
      </c>
      <c r="U2498" t="s">
        <v>491</v>
      </c>
      <c r="X2498">
        <v>0</v>
      </c>
    </row>
    <row r="2499" spans="1:24" x14ac:dyDescent="0.25">
      <c r="A2499" s="234">
        <v>42885</v>
      </c>
      <c r="B2499" t="s">
        <v>110</v>
      </c>
      <c r="C2499" t="s">
        <v>761</v>
      </c>
      <c r="D2499" t="s">
        <v>715</v>
      </c>
      <c r="E2499" t="s">
        <v>588</v>
      </c>
      <c r="F2499" t="s">
        <v>6959</v>
      </c>
      <c r="H2499" t="s">
        <v>722</v>
      </c>
      <c r="I2499" t="s">
        <v>6960</v>
      </c>
      <c r="J2499" t="s">
        <v>761</v>
      </c>
      <c r="L2499">
        <v>10</v>
      </c>
      <c r="M2499" s="134">
        <v>1000000</v>
      </c>
      <c r="N2499" s="134">
        <v>1600000</v>
      </c>
      <c r="O2499" t="s">
        <v>764</v>
      </c>
      <c r="P2499" t="s">
        <v>6961</v>
      </c>
      <c r="Q2499" t="s">
        <v>29</v>
      </c>
      <c r="R2499" t="s">
        <v>6951</v>
      </c>
      <c r="U2499" t="s">
        <v>491</v>
      </c>
      <c r="X2499">
        <v>1</v>
      </c>
    </row>
    <row r="2500" spans="1:24" x14ac:dyDescent="0.25">
      <c r="A2500" s="234">
        <v>42528</v>
      </c>
      <c r="B2500" t="s">
        <v>328</v>
      </c>
      <c r="C2500" t="s">
        <v>603</v>
      </c>
      <c r="D2500" t="s">
        <v>1401</v>
      </c>
      <c r="E2500" t="s">
        <v>588</v>
      </c>
      <c r="F2500" t="s">
        <v>2385</v>
      </c>
      <c r="H2500" t="s">
        <v>607</v>
      </c>
      <c r="I2500" t="s">
        <v>2386</v>
      </c>
      <c r="M2500" s="134">
        <v>1000000</v>
      </c>
      <c r="N2500" s="134">
        <v>1600000</v>
      </c>
      <c r="O2500" t="s">
        <v>2387</v>
      </c>
      <c r="P2500" t="s">
        <v>2390</v>
      </c>
      <c r="Q2500" t="s">
        <v>1612</v>
      </c>
      <c r="R2500" t="s">
        <v>2391</v>
      </c>
      <c r="S2500" t="s">
        <v>2427</v>
      </c>
      <c r="U2500" t="s">
        <v>491</v>
      </c>
      <c r="X2500">
        <v>0</v>
      </c>
    </row>
    <row r="2501" spans="1:24" x14ac:dyDescent="0.25">
      <c r="A2501" s="234">
        <v>42636</v>
      </c>
      <c r="B2501" t="s">
        <v>328</v>
      </c>
      <c r="C2501" t="s">
        <v>603</v>
      </c>
      <c r="D2501" t="s">
        <v>1471</v>
      </c>
      <c r="E2501" t="s">
        <v>588</v>
      </c>
      <c r="F2501" t="s">
        <v>4059</v>
      </c>
      <c r="H2501" t="s">
        <v>710</v>
      </c>
      <c r="I2501" t="s">
        <v>4060</v>
      </c>
      <c r="J2501" t="s">
        <v>899</v>
      </c>
      <c r="L2501">
        <v>10</v>
      </c>
      <c r="M2501" s="134">
        <v>1000000</v>
      </c>
      <c r="N2501" s="134">
        <v>1600000</v>
      </c>
      <c r="O2501" t="s">
        <v>2886</v>
      </c>
      <c r="P2501" t="s">
        <v>4061</v>
      </c>
      <c r="Q2501" t="s">
        <v>29</v>
      </c>
      <c r="R2501" t="s">
        <v>4062</v>
      </c>
      <c r="U2501" t="s">
        <v>1327</v>
      </c>
      <c r="X2501">
        <v>1</v>
      </c>
    </row>
    <row r="2502" spans="1:24" x14ac:dyDescent="0.25">
      <c r="A2502" s="234">
        <v>43357</v>
      </c>
      <c r="B2502" t="s">
        <v>569</v>
      </c>
      <c r="C2502" t="s">
        <v>899</v>
      </c>
      <c r="D2502" t="s">
        <v>3505</v>
      </c>
      <c r="E2502" t="s">
        <v>588</v>
      </c>
      <c r="F2502" t="s">
        <v>7831</v>
      </c>
      <c r="G2502" t="s">
        <v>10268</v>
      </c>
      <c r="H2502" t="s">
        <v>607</v>
      </c>
      <c r="I2502" t="s">
        <v>2054</v>
      </c>
      <c r="J2502" t="s">
        <v>899</v>
      </c>
      <c r="L2502">
        <v>1</v>
      </c>
      <c r="M2502" s="134">
        <v>1000000</v>
      </c>
      <c r="N2502" s="134">
        <v>1650000</v>
      </c>
      <c r="O2502" t="s">
        <v>10763</v>
      </c>
      <c r="P2502" t="s">
        <v>13389</v>
      </c>
      <c r="Q2502" t="s">
        <v>592</v>
      </c>
      <c r="R2502" t="s">
        <v>12607</v>
      </c>
      <c r="U2502" t="s">
        <v>12344</v>
      </c>
      <c r="X2502">
        <v>0</v>
      </c>
    </row>
    <row r="2503" spans="1:24" x14ac:dyDescent="0.25">
      <c r="A2503" s="234">
        <v>43586</v>
      </c>
      <c r="B2503" t="s">
        <v>5473</v>
      </c>
      <c r="C2503" t="s">
        <v>608</v>
      </c>
      <c r="D2503" t="s">
        <v>1495</v>
      </c>
      <c r="F2503" t="s">
        <v>15318</v>
      </c>
      <c r="H2503" t="s">
        <v>607</v>
      </c>
      <c r="I2503" t="s">
        <v>15319</v>
      </c>
      <c r="J2503" t="s">
        <v>602</v>
      </c>
      <c r="K2503" t="s">
        <v>15320</v>
      </c>
      <c r="L2503">
        <v>9</v>
      </c>
      <c r="M2503" s="134">
        <v>1000000</v>
      </c>
      <c r="N2503" s="134">
        <v>1700000</v>
      </c>
      <c r="O2503" t="s">
        <v>560</v>
      </c>
      <c r="P2503" t="s">
        <v>15321</v>
      </c>
      <c r="Q2503" t="s">
        <v>620</v>
      </c>
      <c r="R2503" t="s">
        <v>15322</v>
      </c>
      <c r="U2503" t="s">
        <v>491</v>
      </c>
      <c r="X2503">
        <v>0</v>
      </c>
    </row>
    <row r="2504" spans="1:24" x14ac:dyDescent="0.25">
      <c r="A2504" s="234">
        <v>43592</v>
      </c>
      <c r="B2504" t="s">
        <v>328</v>
      </c>
      <c r="C2504" t="s">
        <v>603</v>
      </c>
      <c r="D2504" t="s">
        <v>10338</v>
      </c>
      <c r="F2504" t="s">
        <v>15438</v>
      </c>
      <c r="H2504" t="s">
        <v>2510</v>
      </c>
      <c r="I2504" t="s">
        <v>1363</v>
      </c>
      <c r="J2504" t="s">
        <v>608</v>
      </c>
      <c r="K2504" t="s">
        <v>15439</v>
      </c>
      <c r="L2504">
        <v>2</v>
      </c>
      <c r="M2504" s="134">
        <v>1000000</v>
      </c>
      <c r="N2504" s="134">
        <v>1700000</v>
      </c>
      <c r="O2504" t="s">
        <v>7564</v>
      </c>
      <c r="P2504" t="s">
        <v>15440</v>
      </c>
      <c r="Q2504" t="s">
        <v>1939</v>
      </c>
      <c r="R2504" t="s">
        <v>15441</v>
      </c>
      <c r="S2504" t="s">
        <v>15442</v>
      </c>
      <c r="U2504" t="s">
        <v>491</v>
      </c>
      <c r="X2504">
        <v>0</v>
      </c>
    </row>
    <row r="2505" spans="1:24" x14ac:dyDescent="0.25">
      <c r="A2505" s="234">
        <v>42894</v>
      </c>
      <c r="B2505" t="s">
        <v>328</v>
      </c>
      <c r="C2505" t="s">
        <v>603</v>
      </c>
      <c r="D2505" t="s">
        <v>649</v>
      </c>
      <c r="E2505" t="s">
        <v>588</v>
      </c>
      <c r="F2505" t="s">
        <v>7122</v>
      </c>
      <c r="H2505" t="s">
        <v>4183</v>
      </c>
      <c r="I2505" t="s">
        <v>7123</v>
      </c>
      <c r="J2505" t="s">
        <v>899</v>
      </c>
      <c r="L2505">
        <v>10</v>
      </c>
      <c r="M2505" s="134">
        <v>1000000</v>
      </c>
      <c r="N2505" s="134">
        <v>1700000</v>
      </c>
      <c r="O2505" t="s">
        <v>7124</v>
      </c>
      <c r="P2505" t="s">
        <v>7531</v>
      </c>
      <c r="Q2505" t="s">
        <v>1939</v>
      </c>
      <c r="R2505" t="s">
        <v>7125</v>
      </c>
      <c r="U2505" t="s">
        <v>1327</v>
      </c>
      <c r="X2505">
        <v>0</v>
      </c>
    </row>
    <row r="2506" spans="1:24" x14ac:dyDescent="0.25">
      <c r="A2506" s="234">
        <v>42394</v>
      </c>
      <c r="B2506" t="s">
        <v>250</v>
      </c>
      <c r="D2506" t="s">
        <v>813</v>
      </c>
      <c r="E2506" t="s">
        <v>588</v>
      </c>
      <c r="F2506" t="s">
        <v>814</v>
      </c>
      <c r="H2506" t="s">
        <v>607</v>
      </c>
      <c r="I2506" t="s">
        <v>815</v>
      </c>
      <c r="M2506" s="134">
        <v>1000000</v>
      </c>
      <c r="N2506" s="134">
        <v>1700000</v>
      </c>
      <c r="O2506" t="s">
        <v>816</v>
      </c>
      <c r="P2506" t="s">
        <v>817</v>
      </c>
      <c r="Q2506" t="s">
        <v>29</v>
      </c>
      <c r="R2506" t="s">
        <v>818</v>
      </c>
      <c r="U2506" t="s">
        <v>491</v>
      </c>
      <c r="X2506">
        <v>1</v>
      </c>
    </row>
    <row r="2507" spans="1:24" x14ac:dyDescent="0.25">
      <c r="A2507" s="234">
        <v>42480</v>
      </c>
      <c r="B2507" t="s">
        <v>328</v>
      </c>
      <c r="C2507" t="s">
        <v>603</v>
      </c>
      <c r="D2507" t="s">
        <v>649</v>
      </c>
      <c r="E2507" t="s">
        <v>588</v>
      </c>
      <c r="F2507" t="s">
        <v>1742</v>
      </c>
      <c r="H2507" t="s">
        <v>1743</v>
      </c>
      <c r="I2507" t="s">
        <v>1744</v>
      </c>
      <c r="M2507" s="134">
        <v>1000000</v>
      </c>
      <c r="N2507" s="134">
        <v>1700000</v>
      </c>
      <c r="O2507" t="s">
        <v>1745</v>
      </c>
      <c r="P2507" t="s">
        <v>1746</v>
      </c>
      <c r="Q2507" t="s">
        <v>29</v>
      </c>
      <c r="R2507" t="s">
        <v>1747</v>
      </c>
      <c r="U2507" t="s">
        <v>491</v>
      </c>
      <c r="X2507">
        <v>1</v>
      </c>
    </row>
    <row r="2508" spans="1:24" x14ac:dyDescent="0.25">
      <c r="A2508" s="234">
        <v>42681</v>
      </c>
      <c r="B2508" t="s">
        <v>328</v>
      </c>
      <c r="C2508" t="s">
        <v>603</v>
      </c>
      <c r="D2508" t="s">
        <v>2397</v>
      </c>
      <c r="E2508" t="s">
        <v>588</v>
      </c>
      <c r="F2508" t="s">
        <v>4622</v>
      </c>
      <c r="H2508" t="s">
        <v>607</v>
      </c>
      <c r="I2508" t="s">
        <v>4623</v>
      </c>
      <c r="J2508" t="s">
        <v>899</v>
      </c>
      <c r="L2508">
        <v>9</v>
      </c>
      <c r="M2508" s="134">
        <v>1000000</v>
      </c>
      <c r="N2508" s="134">
        <v>1700000</v>
      </c>
      <c r="O2508" t="s">
        <v>4624</v>
      </c>
      <c r="P2508" t="s">
        <v>4625</v>
      </c>
      <c r="Q2508" t="s">
        <v>1612</v>
      </c>
      <c r="R2508" t="s">
        <v>4654</v>
      </c>
      <c r="U2508" t="s">
        <v>491</v>
      </c>
      <c r="X2508">
        <v>0</v>
      </c>
    </row>
    <row r="2509" spans="1:24" x14ac:dyDescent="0.25">
      <c r="A2509" s="234">
        <v>43322</v>
      </c>
      <c r="B2509" t="s">
        <v>569</v>
      </c>
      <c r="C2509" t="s">
        <v>899</v>
      </c>
      <c r="D2509" t="s">
        <v>11031</v>
      </c>
      <c r="E2509" t="s">
        <v>588</v>
      </c>
      <c r="F2509" t="s">
        <v>12070</v>
      </c>
      <c r="G2509" t="s">
        <v>7814</v>
      </c>
      <c r="H2509" t="s">
        <v>607</v>
      </c>
      <c r="I2509" t="s">
        <v>3649</v>
      </c>
      <c r="J2509" t="s">
        <v>899</v>
      </c>
      <c r="M2509" s="134">
        <v>1000000</v>
      </c>
      <c r="N2509" s="134">
        <v>1750000</v>
      </c>
      <c r="O2509" t="s">
        <v>560</v>
      </c>
      <c r="P2509" t="s">
        <v>12135</v>
      </c>
      <c r="Q2509" t="s">
        <v>592</v>
      </c>
      <c r="R2509" t="s">
        <v>12136</v>
      </c>
      <c r="U2509" t="s">
        <v>1327</v>
      </c>
      <c r="X2509">
        <v>0</v>
      </c>
    </row>
    <row r="2510" spans="1:24" x14ac:dyDescent="0.25">
      <c r="A2510" s="234">
        <v>43272</v>
      </c>
      <c r="B2510" t="s">
        <v>328</v>
      </c>
      <c r="C2510" t="s">
        <v>603</v>
      </c>
      <c r="D2510" t="s">
        <v>7595</v>
      </c>
      <c r="E2510" t="s">
        <v>588</v>
      </c>
      <c r="F2510" t="s">
        <v>11594</v>
      </c>
      <c r="G2510" t="s">
        <v>11593</v>
      </c>
      <c r="H2510" t="s">
        <v>607</v>
      </c>
      <c r="I2510" t="s">
        <v>4689</v>
      </c>
      <c r="J2510" t="s">
        <v>899</v>
      </c>
      <c r="L2510">
        <v>10</v>
      </c>
      <c r="M2510" s="134">
        <v>1000000</v>
      </c>
      <c r="N2510" s="134">
        <v>1800000</v>
      </c>
      <c r="O2510" t="s">
        <v>7124</v>
      </c>
      <c r="P2510" t="s">
        <v>11592</v>
      </c>
      <c r="Q2510" t="s">
        <v>1939</v>
      </c>
      <c r="R2510" t="s">
        <v>11591</v>
      </c>
      <c r="U2510" t="s">
        <v>1327</v>
      </c>
      <c r="X2510">
        <v>0</v>
      </c>
    </row>
    <row r="2511" spans="1:24" x14ac:dyDescent="0.25">
      <c r="A2511" s="234">
        <v>43321</v>
      </c>
      <c r="B2511" t="s">
        <v>569</v>
      </c>
      <c r="C2511" t="s">
        <v>899</v>
      </c>
      <c r="D2511" t="s">
        <v>3505</v>
      </c>
      <c r="E2511" t="s">
        <v>588</v>
      </c>
      <c r="F2511" t="s">
        <v>12070</v>
      </c>
      <c r="G2511" t="s">
        <v>7814</v>
      </c>
      <c r="H2511" t="s">
        <v>607</v>
      </c>
      <c r="I2511" t="s">
        <v>3649</v>
      </c>
      <c r="J2511" t="s">
        <v>899</v>
      </c>
      <c r="L2511">
        <v>2</v>
      </c>
      <c r="M2511" s="134">
        <v>1000000</v>
      </c>
      <c r="N2511" s="134">
        <v>1800000</v>
      </c>
      <c r="O2511" t="s">
        <v>560</v>
      </c>
      <c r="P2511" t="s">
        <v>12071</v>
      </c>
      <c r="Q2511" t="s">
        <v>1939</v>
      </c>
      <c r="R2511" t="s">
        <v>12072</v>
      </c>
      <c r="U2511" t="s">
        <v>491</v>
      </c>
      <c r="X2511">
        <v>0</v>
      </c>
    </row>
    <row r="2512" spans="1:24" x14ac:dyDescent="0.25">
      <c r="A2512" s="234">
        <v>42585</v>
      </c>
      <c r="B2512" t="s">
        <v>378</v>
      </c>
      <c r="C2512" t="s">
        <v>623</v>
      </c>
      <c r="D2512" t="s">
        <v>930</v>
      </c>
      <c r="E2512" t="s">
        <v>588</v>
      </c>
      <c r="F2512" t="s">
        <v>3202</v>
      </c>
      <c r="H2512" t="s">
        <v>607</v>
      </c>
      <c r="I2512" t="s">
        <v>1780</v>
      </c>
      <c r="J2512" t="s">
        <v>899</v>
      </c>
      <c r="L2512">
        <v>3</v>
      </c>
      <c r="M2512" s="134">
        <v>1000000</v>
      </c>
      <c r="N2512" s="134">
        <v>1842900</v>
      </c>
      <c r="O2512" t="s">
        <v>1171</v>
      </c>
      <c r="P2512" t="s">
        <v>3229</v>
      </c>
      <c r="Q2512" t="s">
        <v>1612</v>
      </c>
      <c r="R2512" t="s">
        <v>3203</v>
      </c>
      <c r="S2512" t="s">
        <v>3351</v>
      </c>
      <c r="U2512" t="s">
        <v>491</v>
      </c>
      <c r="X2512">
        <v>0</v>
      </c>
    </row>
    <row r="2513" spans="1:24" x14ac:dyDescent="0.25">
      <c r="A2513" s="234">
        <v>43425</v>
      </c>
      <c r="B2513" t="s">
        <v>1788</v>
      </c>
      <c r="C2513" t="s">
        <v>3369</v>
      </c>
      <c r="D2513" t="s">
        <v>6360</v>
      </c>
      <c r="F2513" t="s">
        <v>13243</v>
      </c>
      <c r="G2513" t="s">
        <v>256</v>
      </c>
      <c r="H2513" t="s">
        <v>10831</v>
      </c>
      <c r="I2513" t="s">
        <v>4864</v>
      </c>
      <c r="J2513" t="s">
        <v>899</v>
      </c>
      <c r="K2513" t="s">
        <v>13244</v>
      </c>
      <c r="L2513">
        <v>10</v>
      </c>
      <c r="M2513" s="134">
        <v>1000000</v>
      </c>
      <c r="N2513" s="134">
        <v>1850000</v>
      </c>
      <c r="O2513" t="s">
        <v>10763</v>
      </c>
      <c r="P2513" t="s">
        <v>13245</v>
      </c>
      <c r="Q2513" t="s">
        <v>29</v>
      </c>
      <c r="R2513" t="s">
        <v>13246</v>
      </c>
      <c r="U2513" t="s">
        <v>491</v>
      </c>
      <c r="X2513">
        <v>1</v>
      </c>
    </row>
    <row r="2514" spans="1:24" x14ac:dyDescent="0.25">
      <c r="A2514" s="234">
        <v>43446</v>
      </c>
      <c r="B2514" t="s">
        <v>5360</v>
      </c>
      <c r="C2514" t="s">
        <v>899</v>
      </c>
      <c r="D2514" t="s">
        <v>611</v>
      </c>
      <c r="F2514" t="s">
        <v>13605</v>
      </c>
      <c r="G2514" t="s">
        <v>13606</v>
      </c>
      <c r="H2514" t="s">
        <v>607</v>
      </c>
      <c r="I2514" t="s">
        <v>13607</v>
      </c>
      <c r="J2514" t="s">
        <v>899</v>
      </c>
      <c r="K2514" t="s">
        <v>13813</v>
      </c>
      <c r="M2514" s="134">
        <v>1000000</v>
      </c>
      <c r="N2514" s="134">
        <v>1850000</v>
      </c>
      <c r="O2514" t="s">
        <v>10766</v>
      </c>
      <c r="P2514" t="s">
        <v>13608</v>
      </c>
      <c r="Q2514" t="s">
        <v>29</v>
      </c>
      <c r="R2514" t="s">
        <v>13609</v>
      </c>
      <c r="U2514" t="s">
        <v>12797</v>
      </c>
      <c r="X2514">
        <v>1</v>
      </c>
    </row>
    <row r="2515" spans="1:24" x14ac:dyDescent="0.25">
      <c r="A2515" s="234">
        <v>43152</v>
      </c>
      <c r="B2515" t="s">
        <v>328</v>
      </c>
      <c r="C2515" t="s">
        <v>603</v>
      </c>
      <c r="D2515" t="s">
        <v>8941</v>
      </c>
      <c r="E2515" t="s">
        <v>588</v>
      </c>
      <c r="F2515" t="s">
        <v>10389</v>
      </c>
      <c r="G2515" t="s">
        <v>10390</v>
      </c>
      <c r="H2515" t="s">
        <v>607</v>
      </c>
      <c r="J2515" t="s">
        <v>899</v>
      </c>
      <c r="L2515">
        <v>10</v>
      </c>
      <c r="M2515" s="134">
        <v>1000000</v>
      </c>
      <c r="N2515" s="134">
        <v>1900000</v>
      </c>
      <c r="O2515" t="s">
        <v>7124</v>
      </c>
      <c r="P2515" t="s">
        <v>10391</v>
      </c>
      <c r="Q2515" t="s">
        <v>592</v>
      </c>
      <c r="R2515" t="s">
        <v>10392</v>
      </c>
      <c r="U2515" t="s">
        <v>1327</v>
      </c>
      <c r="X2515">
        <v>0</v>
      </c>
    </row>
    <row r="2516" spans="1:24" x14ac:dyDescent="0.25">
      <c r="A2516" s="234">
        <v>43166</v>
      </c>
      <c r="B2516" t="s">
        <v>569</v>
      </c>
      <c r="C2516" t="s">
        <v>899</v>
      </c>
      <c r="D2516" t="s">
        <v>625</v>
      </c>
      <c r="E2516" t="s">
        <v>821</v>
      </c>
      <c r="F2516" t="s">
        <v>10464</v>
      </c>
      <c r="G2516" t="s">
        <v>10465</v>
      </c>
      <c r="H2516" t="s">
        <v>10831</v>
      </c>
      <c r="I2516" t="s">
        <v>3452</v>
      </c>
      <c r="J2516" t="s">
        <v>899</v>
      </c>
      <c r="L2516">
        <v>10</v>
      </c>
      <c r="M2516" s="134">
        <v>1000000</v>
      </c>
      <c r="N2516" s="134">
        <v>2000000</v>
      </c>
      <c r="O2516" t="s">
        <v>10763</v>
      </c>
      <c r="P2516" t="s">
        <v>10466</v>
      </c>
      <c r="Q2516" t="s">
        <v>1939</v>
      </c>
      <c r="R2516" t="s">
        <v>10467</v>
      </c>
      <c r="U2516" t="s">
        <v>491</v>
      </c>
      <c r="X2516">
        <v>0</v>
      </c>
    </row>
    <row r="2517" spans="1:24" x14ac:dyDescent="0.25">
      <c r="A2517" s="234">
        <v>43178</v>
      </c>
      <c r="B2517" t="s">
        <v>1788</v>
      </c>
      <c r="C2517" t="s">
        <v>3369</v>
      </c>
      <c r="D2517" t="s">
        <v>6360</v>
      </c>
      <c r="E2517" t="s">
        <v>692</v>
      </c>
      <c r="F2517" t="s">
        <v>10635</v>
      </c>
      <c r="G2517" t="s">
        <v>10636</v>
      </c>
      <c r="H2517" t="s">
        <v>2510</v>
      </c>
      <c r="I2517" t="s">
        <v>10637</v>
      </c>
      <c r="J2517" t="s">
        <v>6329</v>
      </c>
      <c r="M2517" s="134">
        <v>1000000</v>
      </c>
      <c r="N2517" s="134">
        <v>2000000</v>
      </c>
      <c r="O2517" t="s">
        <v>7564</v>
      </c>
      <c r="P2517" t="s">
        <v>10638</v>
      </c>
      <c r="Q2517" t="s">
        <v>29</v>
      </c>
      <c r="R2517" t="s">
        <v>10639</v>
      </c>
      <c r="U2517" t="s">
        <v>491</v>
      </c>
      <c r="X2517">
        <v>1</v>
      </c>
    </row>
    <row r="2518" spans="1:24" x14ac:dyDescent="0.25">
      <c r="A2518" s="234">
        <v>42832</v>
      </c>
      <c r="B2518" t="s">
        <v>328</v>
      </c>
      <c r="C2518" t="s">
        <v>603</v>
      </c>
      <c r="D2518" t="s">
        <v>1401</v>
      </c>
      <c r="E2518" t="s">
        <v>692</v>
      </c>
      <c r="F2518" t="s">
        <v>6327</v>
      </c>
      <c r="H2518" t="s">
        <v>607</v>
      </c>
      <c r="I2518" t="s">
        <v>6328</v>
      </c>
      <c r="J2518" t="s">
        <v>6329</v>
      </c>
      <c r="L2518">
        <v>1</v>
      </c>
      <c r="M2518" s="134">
        <v>1000000</v>
      </c>
      <c r="N2518" s="134">
        <v>2000000</v>
      </c>
      <c r="O2518" t="s">
        <v>6330</v>
      </c>
      <c r="P2518" t="s">
        <v>6331</v>
      </c>
      <c r="Q2518" t="s">
        <v>1939</v>
      </c>
      <c r="R2518" t="s">
        <v>6332</v>
      </c>
      <c r="S2518" t="s">
        <v>6326</v>
      </c>
      <c r="U2518" t="s">
        <v>491</v>
      </c>
      <c r="X2518">
        <v>0</v>
      </c>
    </row>
    <row r="2519" spans="1:24" x14ac:dyDescent="0.25">
      <c r="A2519" s="234">
        <v>42473</v>
      </c>
      <c r="B2519" t="s">
        <v>378</v>
      </c>
      <c r="C2519" t="s">
        <v>623</v>
      </c>
      <c r="D2519" t="s">
        <v>625</v>
      </c>
      <c r="E2519" t="s">
        <v>692</v>
      </c>
      <c r="F2519" t="s">
        <v>1642</v>
      </c>
      <c r="H2519" t="s">
        <v>607</v>
      </c>
      <c r="I2519" t="s">
        <v>1643</v>
      </c>
      <c r="M2519" s="134">
        <v>1000000</v>
      </c>
      <c r="N2519" s="134">
        <v>2000000</v>
      </c>
      <c r="O2519" t="s">
        <v>1644</v>
      </c>
      <c r="P2519" t="s">
        <v>1645</v>
      </c>
      <c r="Q2519" t="s">
        <v>592</v>
      </c>
      <c r="R2519" t="s">
        <v>1646</v>
      </c>
      <c r="U2519" t="s">
        <v>491</v>
      </c>
      <c r="X2519">
        <v>0</v>
      </c>
    </row>
    <row r="2520" spans="1:24" x14ac:dyDescent="0.25">
      <c r="A2520" s="234">
        <v>42622</v>
      </c>
      <c r="B2520" t="s">
        <v>378</v>
      </c>
      <c r="C2520" t="s">
        <v>623</v>
      </c>
      <c r="D2520" t="s">
        <v>625</v>
      </c>
      <c r="E2520" t="s">
        <v>588</v>
      </c>
      <c r="F2520" t="s">
        <v>3839</v>
      </c>
      <c r="H2520" t="s">
        <v>607</v>
      </c>
      <c r="I2520" t="s">
        <v>3840</v>
      </c>
      <c r="J2520" t="s">
        <v>899</v>
      </c>
      <c r="L2520">
        <v>2</v>
      </c>
      <c r="M2520" s="134">
        <v>1000000</v>
      </c>
      <c r="N2520" s="134">
        <v>2000000</v>
      </c>
      <c r="O2520" t="s">
        <v>1059</v>
      </c>
      <c r="P2520" t="s">
        <v>3841</v>
      </c>
      <c r="Q2520" t="s">
        <v>1939</v>
      </c>
      <c r="R2520" t="s">
        <v>3842</v>
      </c>
      <c r="U2520" t="s">
        <v>491</v>
      </c>
      <c r="X2520">
        <v>0</v>
      </c>
    </row>
    <row r="2521" spans="1:24" x14ac:dyDescent="0.25">
      <c r="A2521" s="234">
        <v>43619</v>
      </c>
      <c r="B2521" t="s">
        <v>9240</v>
      </c>
      <c r="C2521" t="s">
        <v>603</v>
      </c>
      <c r="D2521" t="s">
        <v>9241</v>
      </c>
      <c r="F2521" t="s">
        <v>15859</v>
      </c>
      <c r="G2521" t="s">
        <v>15860</v>
      </c>
      <c r="H2521" t="s">
        <v>607</v>
      </c>
      <c r="I2521" t="s">
        <v>6864</v>
      </c>
      <c r="J2521" t="s">
        <v>15861</v>
      </c>
      <c r="K2521" t="s">
        <v>15862</v>
      </c>
      <c r="L2521">
        <v>3</v>
      </c>
      <c r="M2521" s="134">
        <v>1000000</v>
      </c>
      <c r="N2521" s="134">
        <v>2100000</v>
      </c>
      <c r="O2521" t="s">
        <v>10879</v>
      </c>
      <c r="P2521" t="s">
        <v>15863</v>
      </c>
      <c r="Q2521" t="s">
        <v>29</v>
      </c>
      <c r="R2521" t="s">
        <v>15864</v>
      </c>
      <c r="U2521" t="s">
        <v>491</v>
      </c>
      <c r="X2521">
        <v>1</v>
      </c>
    </row>
    <row r="2522" spans="1:24" x14ac:dyDescent="0.25">
      <c r="A2522" s="234">
        <v>42779</v>
      </c>
      <c r="B2522" t="s">
        <v>569</v>
      </c>
      <c r="D2522" t="s">
        <v>611</v>
      </c>
      <c r="E2522" t="s">
        <v>588</v>
      </c>
      <c r="F2522" t="s">
        <v>5676</v>
      </c>
      <c r="H2522" t="s">
        <v>607</v>
      </c>
      <c r="I2522" t="s">
        <v>5677</v>
      </c>
      <c r="J2522" t="s">
        <v>899</v>
      </c>
      <c r="L2522">
        <v>3</v>
      </c>
      <c r="M2522" s="134">
        <v>1000016</v>
      </c>
      <c r="N2522" s="134">
        <v>1800016</v>
      </c>
      <c r="O2522" t="s">
        <v>5678</v>
      </c>
      <c r="P2522" t="s">
        <v>5687</v>
      </c>
      <c r="Q2522" t="s">
        <v>1939</v>
      </c>
      <c r="R2522" t="s">
        <v>5688</v>
      </c>
      <c r="U2522" t="s">
        <v>491</v>
      </c>
      <c r="V2522" t="s">
        <v>3985</v>
      </c>
      <c r="W2522" t="s">
        <v>5689</v>
      </c>
      <c r="X2522">
        <v>0</v>
      </c>
    </row>
    <row r="2523" spans="1:24" x14ac:dyDescent="0.25">
      <c r="A2523" s="234">
        <v>42454</v>
      </c>
      <c r="B2523" t="s">
        <v>378</v>
      </c>
      <c r="C2523" t="s">
        <v>623</v>
      </c>
      <c r="D2523" t="s">
        <v>800</v>
      </c>
      <c r="E2523" t="s">
        <v>588</v>
      </c>
      <c r="F2523" t="s">
        <v>1406</v>
      </c>
      <c r="H2523" t="s">
        <v>607</v>
      </c>
      <c r="I2523" t="s">
        <v>1407</v>
      </c>
      <c r="M2523" s="134">
        <v>1002439</v>
      </c>
      <c r="N2523" s="134">
        <v>1393439</v>
      </c>
      <c r="O2523" t="s">
        <v>764</v>
      </c>
      <c r="P2523" t="s">
        <v>1479</v>
      </c>
      <c r="Q2523" t="s">
        <v>592</v>
      </c>
      <c r="R2523" t="s">
        <v>833</v>
      </c>
      <c r="U2523" t="s">
        <v>491</v>
      </c>
      <c r="X2523">
        <v>0</v>
      </c>
    </row>
    <row r="2524" spans="1:24" x14ac:dyDescent="0.25">
      <c r="A2524" s="234">
        <v>43370</v>
      </c>
      <c r="B2524" t="s">
        <v>328</v>
      </c>
      <c r="C2524" t="s">
        <v>603</v>
      </c>
      <c r="D2524" t="s">
        <v>8941</v>
      </c>
      <c r="E2524" t="s">
        <v>588</v>
      </c>
      <c r="F2524" t="s">
        <v>12750</v>
      </c>
      <c r="G2524" t="s">
        <v>587</v>
      </c>
      <c r="H2524" t="s">
        <v>10832</v>
      </c>
      <c r="I2524" t="s">
        <v>11867</v>
      </c>
      <c r="J2524" t="s">
        <v>8194</v>
      </c>
      <c r="L2524">
        <v>10</v>
      </c>
      <c r="M2524" s="134">
        <v>1005200</v>
      </c>
      <c r="N2524" s="134">
        <v>2010400</v>
      </c>
      <c r="O2524" t="s">
        <v>7124</v>
      </c>
      <c r="P2524" t="s">
        <v>12751</v>
      </c>
      <c r="Q2524" t="s">
        <v>29</v>
      </c>
      <c r="R2524" t="s">
        <v>12752</v>
      </c>
      <c r="U2524" t="s">
        <v>12344</v>
      </c>
      <c r="X2524">
        <v>1</v>
      </c>
    </row>
    <row r="2525" spans="1:24" x14ac:dyDescent="0.25">
      <c r="A2525" s="234">
        <v>43340</v>
      </c>
      <c r="B2525" t="s">
        <v>569</v>
      </c>
      <c r="C2525" t="s">
        <v>899</v>
      </c>
      <c r="D2525" t="s">
        <v>3505</v>
      </c>
      <c r="E2525" t="s">
        <v>588</v>
      </c>
      <c r="F2525" t="s">
        <v>12346</v>
      </c>
      <c r="G2525" t="s">
        <v>7747</v>
      </c>
      <c r="H2525" t="s">
        <v>607</v>
      </c>
      <c r="I2525" t="s">
        <v>12347</v>
      </c>
      <c r="J2525" t="s">
        <v>899</v>
      </c>
      <c r="L2525">
        <v>3</v>
      </c>
      <c r="M2525" s="134">
        <v>1007000</v>
      </c>
      <c r="N2525" s="134">
        <v>1812600</v>
      </c>
      <c r="O2525" t="s">
        <v>10766</v>
      </c>
      <c r="P2525" t="s">
        <v>12507</v>
      </c>
      <c r="Q2525" t="s">
        <v>592</v>
      </c>
      <c r="R2525" t="s">
        <v>12348</v>
      </c>
      <c r="U2525" t="s">
        <v>491</v>
      </c>
      <c r="X2525">
        <v>0</v>
      </c>
    </row>
    <row r="2526" spans="1:24" x14ac:dyDescent="0.25">
      <c r="A2526" s="234">
        <v>42600</v>
      </c>
      <c r="B2526" t="s">
        <v>328</v>
      </c>
      <c r="C2526" t="s">
        <v>603</v>
      </c>
      <c r="D2526" t="s">
        <v>1401</v>
      </c>
      <c r="E2526" t="s">
        <v>588</v>
      </c>
      <c r="F2526" t="s">
        <v>3487</v>
      </c>
      <c r="H2526" t="s">
        <v>607</v>
      </c>
      <c r="I2526" t="s">
        <v>3488</v>
      </c>
      <c r="J2526" t="s">
        <v>899</v>
      </c>
      <c r="L2526">
        <v>9</v>
      </c>
      <c r="M2526" s="134">
        <v>1011000</v>
      </c>
      <c r="N2526" s="134">
        <v>2022000</v>
      </c>
      <c r="O2526" t="s">
        <v>907</v>
      </c>
      <c r="P2526" t="s">
        <v>3489</v>
      </c>
      <c r="Q2526" t="s">
        <v>1939</v>
      </c>
      <c r="R2526" t="s">
        <v>3490</v>
      </c>
      <c r="U2526" t="s">
        <v>491</v>
      </c>
      <c r="X2526">
        <v>0</v>
      </c>
    </row>
    <row r="2527" spans="1:24" x14ac:dyDescent="0.25">
      <c r="A2527" s="234">
        <v>43468</v>
      </c>
      <c r="B2527" t="s">
        <v>5956</v>
      </c>
      <c r="C2527" t="s">
        <v>603</v>
      </c>
      <c r="D2527" t="s">
        <v>8126</v>
      </c>
      <c r="F2527" t="s">
        <v>13809</v>
      </c>
      <c r="G2527" t="s">
        <v>4118</v>
      </c>
      <c r="H2527" t="s">
        <v>10831</v>
      </c>
      <c r="I2527" t="s">
        <v>9579</v>
      </c>
      <c r="J2527" t="s">
        <v>6575</v>
      </c>
      <c r="K2527" t="s">
        <v>13810</v>
      </c>
      <c r="L2527" t="s">
        <v>13811</v>
      </c>
      <c r="M2527" s="134">
        <v>1012500</v>
      </c>
      <c r="N2527" s="134">
        <v>2025000</v>
      </c>
      <c r="O2527" t="s">
        <v>7124</v>
      </c>
      <c r="P2527" t="s">
        <v>14220</v>
      </c>
      <c r="Q2527" t="s">
        <v>29</v>
      </c>
      <c r="R2527" t="s">
        <v>14221</v>
      </c>
      <c r="U2527" t="s">
        <v>12797</v>
      </c>
      <c r="X2527">
        <v>1</v>
      </c>
    </row>
    <row r="2528" spans="1:24" x14ac:dyDescent="0.25">
      <c r="A2528" s="234">
        <v>43070</v>
      </c>
      <c r="B2528" t="s">
        <v>328</v>
      </c>
      <c r="C2528" t="s">
        <v>603</v>
      </c>
      <c r="D2528" t="s">
        <v>649</v>
      </c>
      <c r="E2528" t="s">
        <v>588</v>
      </c>
      <c r="F2528" t="s">
        <v>9590</v>
      </c>
      <c r="G2528" t="s">
        <v>8044</v>
      </c>
      <c r="H2528" t="s">
        <v>607</v>
      </c>
      <c r="I2528" t="s">
        <v>9591</v>
      </c>
      <c r="J2528" t="s">
        <v>899</v>
      </c>
      <c r="L2528">
        <v>9</v>
      </c>
      <c r="M2528" s="134">
        <v>1014000</v>
      </c>
      <c r="N2528" s="134">
        <v>1825200</v>
      </c>
      <c r="O2528" t="s">
        <v>560</v>
      </c>
      <c r="P2528" t="s">
        <v>9592</v>
      </c>
      <c r="Q2528" t="s">
        <v>592</v>
      </c>
      <c r="R2528" t="s">
        <v>9593</v>
      </c>
      <c r="U2528" t="s">
        <v>491</v>
      </c>
      <c r="X2528">
        <v>0</v>
      </c>
    </row>
    <row r="2529" spans="1:24" x14ac:dyDescent="0.25">
      <c r="A2529" s="234">
        <v>43098</v>
      </c>
      <c r="B2529" t="s">
        <v>328</v>
      </c>
      <c r="C2529" t="s">
        <v>603</v>
      </c>
      <c r="D2529" t="s">
        <v>649</v>
      </c>
      <c r="E2529" t="s">
        <v>588</v>
      </c>
      <c r="F2529" t="s">
        <v>9910</v>
      </c>
      <c r="G2529" t="s">
        <v>9911</v>
      </c>
      <c r="H2529" t="s">
        <v>607</v>
      </c>
      <c r="I2529" t="s">
        <v>5366</v>
      </c>
      <c r="J2529" t="s">
        <v>899</v>
      </c>
      <c r="L2529">
        <v>10</v>
      </c>
      <c r="M2529" s="134">
        <v>1015000</v>
      </c>
      <c r="N2529" s="134">
        <v>1877750</v>
      </c>
      <c r="O2529" t="s">
        <v>560</v>
      </c>
      <c r="P2529" t="s">
        <v>9912</v>
      </c>
      <c r="Q2529" t="s">
        <v>592</v>
      </c>
      <c r="R2529" t="s">
        <v>9913</v>
      </c>
      <c r="U2529" t="s">
        <v>491</v>
      </c>
      <c r="X2529">
        <v>0</v>
      </c>
    </row>
    <row r="2530" spans="1:24" x14ac:dyDescent="0.25">
      <c r="A2530" s="234">
        <v>43263</v>
      </c>
      <c r="B2530" t="s">
        <v>569</v>
      </c>
      <c r="C2530" t="s">
        <v>899</v>
      </c>
      <c r="D2530" t="s">
        <v>11286</v>
      </c>
      <c r="E2530" t="s">
        <v>588</v>
      </c>
      <c r="F2530" t="s">
        <v>11534</v>
      </c>
      <c r="G2530" t="s">
        <v>11535</v>
      </c>
      <c r="H2530" t="s">
        <v>607</v>
      </c>
      <c r="I2530" t="s">
        <v>11536</v>
      </c>
      <c r="J2530" t="s">
        <v>899</v>
      </c>
      <c r="M2530" s="134">
        <v>1019000</v>
      </c>
      <c r="N2530" s="134">
        <v>1021000</v>
      </c>
      <c r="O2530" t="s">
        <v>10766</v>
      </c>
      <c r="P2530" t="s">
        <v>11537</v>
      </c>
      <c r="Q2530" t="s">
        <v>1939</v>
      </c>
      <c r="R2530" t="s">
        <v>11538</v>
      </c>
      <c r="U2530" t="s">
        <v>11539</v>
      </c>
      <c r="X2530">
        <v>0</v>
      </c>
    </row>
    <row r="2531" spans="1:24" x14ac:dyDescent="0.25">
      <c r="A2531" s="234">
        <v>43222</v>
      </c>
      <c r="B2531" t="s">
        <v>328</v>
      </c>
      <c r="C2531" t="s">
        <v>603</v>
      </c>
      <c r="D2531" t="s">
        <v>2204</v>
      </c>
      <c r="E2531" t="s">
        <v>588</v>
      </c>
      <c r="F2531" t="s">
        <v>11174</v>
      </c>
      <c r="G2531" t="s">
        <v>10502</v>
      </c>
      <c r="H2531" t="s">
        <v>607</v>
      </c>
      <c r="I2531" t="s">
        <v>11175</v>
      </c>
      <c r="J2531" t="s">
        <v>6015</v>
      </c>
      <c r="L2531">
        <v>9</v>
      </c>
      <c r="M2531" s="134">
        <v>1022400</v>
      </c>
      <c r="N2531" s="134">
        <v>2044800</v>
      </c>
      <c r="O2531" t="s">
        <v>4533</v>
      </c>
      <c r="P2531" t="s">
        <v>11393</v>
      </c>
      <c r="Q2531" t="s">
        <v>1939</v>
      </c>
      <c r="R2531" t="s">
        <v>11176</v>
      </c>
      <c r="S2531" t="s">
        <v>11177</v>
      </c>
      <c r="U2531" t="s">
        <v>1327</v>
      </c>
      <c r="X2531">
        <v>0</v>
      </c>
    </row>
    <row r="2532" spans="1:24" x14ac:dyDescent="0.25">
      <c r="A2532" s="234">
        <v>42870</v>
      </c>
      <c r="B2532" t="s">
        <v>328</v>
      </c>
      <c r="C2532" t="s">
        <v>603</v>
      </c>
      <c r="D2532" t="s">
        <v>1401</v>
      </c>
      <c r="E2532" t="s">
        <v>588</v>
      </c>
      <c r="F2532" t="s">
        <v>6783</v>
      </c>
      <c r="H2532" t="s">
        <v>5321</v>
      </c>
      <c r="I2532" t="s">
        <v>3861</v>
      </c>
      <c r="J2532" t="s">
        <v>899</v>
      </c>
      <c r="L2532">
        <v>2</v>
      </c>
      <c r="M2532" s="134">
        <v>1025000</v>
      </c>
      <c r="N2532" s="134">
        <v>1742500</v>
      </c>
      <c r="O2532" t="s">
        <v>2691</v>
      </c>
      <c r="P2532" t="s">
        <v>6784</v>
      </c>
      <c r="Q2532" t="s">
        <v>1939</v>
      </c>
      <c r="R2532" t="s">
        <v>6785</v>
      </c>
      <c r="U2532" t="s">
        <v>491</v>
      </c>
      <c r="V2532" t="s">
        <v>3985</v>
      </c>
      <c r="W2532" t="s">
        <v>7877</v>
      </c>
      <c r="X2532">
        <v>0</v>
      </c>
    </row>
    <row r="2533" spans="1:24" x14ac:dyDescent="0.25">
      <c r="A2533" s="234">
        <v>43438</v>
      </c>
      <c r="B2533" t="s">
        <v>569</v>
      </c>
      <c r="C2533" t="s">
        <v>899</v>
      </c>
      <c r="D2533" t="s">
        <v>625</v>
      </c>
      <c r="F2533" t="s">
        <v>13475</v>
      </c>
      <c r="G2533" t="s">
        <v>8238</v>
      </c>
      <c r="H2533" t="s">
        <v>10832</v>
      </c>
      <c r="I2533" t="s">
        <v>13476</v>
      </c>
      <c r="J2533" t="s">
        <v>899</v>
      </c>
      <c r="K2533" t="s">
        <v>13477</v>
      </c>
      <c r="L2533">
        <v>3</v>
      </c>
      <c r="M2533" s="134">
        <v>1025108</v>
      </c>
      <c r="N2533" s="134">
        <v>1025108</v>
      </c>
      <c r="O2533" t="s">
        <v>10762</v>
      </c>
      <c r="P2533" t="s">
        <v>13744</v>
      </c>
      <c r="Q2533" t="s">
        <v>1939</v>
      </c>
      <c r="R2533" t="s">
        <v>13478</v>
      </c>
      <c r="U2533" t="s">
        <v>491</v>
      </c>
      <c r="X2533">
        <v>0</v>
      </c>
    </row>
    <row r="2534" spans="1:24" x14ac:dyDescent="0.25">
      <c r="A2534" s="234">
        <v>43371</v>
      </c>
      <c r="B2534" t="s">
        <v>569</v>
      </c>
      <c r="C2534" t="s">
        <v>899</v>
      </c>
      <c r="D2534" t="s">
        <v>625</v>
      </c>
      <c r="E2534" t="s">
        <v>588</v>
      </c>
      <c r="F2534" t="s">
        <v>12766</v>
      </c>
      <c r="G2534" t="s">
        <v>11155</v>
      </c>
      <c r="H2534" t="s">
        <v>607</v>
      </c>
      <c r="I2534" t="s">
        <v>2054</v>
      </c>
      <c r="J2534" t="s">
        <v>899</v>
      </c>
      <c r="M2534" s="134">
        <v>1026000</v>
      </c>
      <c r="N2534" s="134">
        <v>1846800</v>
      </c>
      <c r="O2534" t="s">
        <v>7564</v>
      </c>
      <c r="P2534" t="s">
        <v>12767</v>
      </c>
      <c r="Q2534" t="s">
        <v>1939</v>
      </c>
      <c r="R2534" t="s">
        <v>12978</v>
      </c>
      <c r="U2534" t="s">
        <v>12344</v>
      </c>
      <c r="X2534">
        <v>0</v>
      </c>
    </row>
    <row r="2535" spans="1:24" x14ac:dyDescent="0.25">
      <c r="A2535" s="234">
        <v>43173</v>
      </c>
      <c r="B2535" t="s">
        <v>328</v>
      </c>
      <c r="C2535" t="s">
        <v>603</v>
      </c>
      <c r="D2535" t="s">
        <v>10338</v>
      </c>
      <c r="E2535" t="s">
        <v>588</v>
      </c>
      <c r="F2535" t="s">
        <v>10596</v>
      </c>
      <c r="G2535" t="s">
        <v>2204</v>
      </c>
      <c r="H2535" t="s">
        <v>10831</v>
      </c>
      <c r="I2535" t="s">
        <v>10595</v>
      </c>
      <c r="J2535" t="s">
        <v>8194</v>
      </c>
      <c r="L2535">
        <v>10</v>
      </c>
      <c r="M2535" s="134">
        <v>1029996</v>
      </c>
      <c r="N2535" s="134">
        <v>1229996</v>
      </c>
      <c r="O2535" t="s">
        <v>7124</v>
      </c>
      <c r="P2535" t="s">
        <v>10594</v>
      </c>
      <c r="Q2535" t="s">
        <v>1939</v>
      </c>
      <c r="R2535" t="s">
        <v>10593</v>
      </c>
      <c r="U2535" t="s">
        <v>1327</v>
      </c>
      <c r="X2535">
        <v>0</v>
      </c>
    </row>
    <row r="2536" spans="1:24" x14ac:dyDescent="0.25">
      <c r="A2536" s="234">
        <v>42655</v>
      </c>
      <c r="B2536" t="s">
        <v>328</v>
      </c>
      <c r="C2536" t="s">
        <v>603</v>
      </c>
      <c r="D2536" t="s">
        <v>1471</v>
      </c>
      <c r="E2536" t="s">
        <v>588</v>
      </c>
      <c r="F2536" t="s">
        <v>4268</v>
      </c>
      <c r="H2536" t="s">
        <v>607</v>
      </c>
      <c r="I2536" t="s">
        <v>3721</v>
      </c>
      <c r="J2536" t="s">
        <v>899</v>
      </c>
      <c r="L2536">
        <v>2</v>
      </c>
      <c r="M2536" s="134">
        <v>1036000</v>
      </c>
      <c r="N2536" s="134">
        <v>1864800</v>
      </c>
      <c r="O2536" t="s">
        <v>695</v>
      </c>
      <c r="P2536" t="s">
        <v>4269</v>
      </c>
      <c r="Q2536" t="s">
        <v>592</v>
      </c>
      <c r="R2536" t="s">
        <v>3386</v>
      </c>
      <c r="U2536" t="s">
        <v>491</v>
      </c>
      <c r="X2536">
        <v>0</v>
      </c>
    </row>
    <row r="2537" spans="1:24" x14ac:dyDescent="0.25">
      <c r="A2537" s="234">
        <v>43312</v>
      </c>
      <c r="B2537" t="s">
        <v>569</v>
      </c>
      <c r="C2537" t="s">
        <v>899</v>
      </c>
      <c r="D2537" t="s">
        <v>732</v>
      </c>
      <c r="E2537" t="s">
        <v>588</v>
      </c>
      <c r="F2537" t="s">
        <v>11495</v>
      </c>
      <c r="G2537" t="s">
        <v>7761</v>
      </c>
      <c r="H2537" t="s">
        <v>607</v>
      </c>
      <c r="I2537" t="s">
        <v>3672</v>
      </c>
      <c r="J2537" t="s">
        <v>899</v>
      </c>
      <c r="L2537">
        <v>3</v>
      </c>
      <c r="M2537" s="134">
        <v>1038000</v>
      </c>
      <c r="N2537" s="134">
        <v>1640600</v>
      </c>
      <c r="O2537" t="s">
        <v>7564</v>
      </c>
      <c r="P2537" t="s">
        <v>11883</v>
      </c>
      <c r="Q2537" t="s">
        <v>592</v>
      </c>
      <c r="R2537" t="s">
        <v>10190</v>
      </c>
      <c r="U2537" t="s">
        <v>491</v>
      </c>
      <c r="X2537">
        <v>0</v>
      </c>
    </row>
    <row r="2538" spans="1:24" x14ac:dyDescent="0.25">
      <c r="A2538" s="234">
        <v>43179</v>
      </c>
      <c r="B2538" t="s">
        <v>9240</v>
      </c>
      <c r="C2538" t="s">
        <v>603</v>
      </c>
      <c r="D2538" t="s">
        <v>9241</v>
      </c>
      <c r="E2538" t="s">
        <v>588</v>
      </c>
      <c r="F2538" t="s">
        <v>8573</v>
      </c>
      <c r="G2538" t="s">
        <v>7714</v>
      </c>
      <c r="H2538" t="s">
        <v>607</v>
      </c>
      <c r="I2538" t="s">
        <v>10664</v>
      </c>
      <c r="J2538" t="s">
        <v>608</v>
      </c>
      <c r="L2538">
        <v>6</v>
      </c>
      <c r="M2538" s="134">
        <v>1039500</v>
      </c>
      <c r="N2538" s="134">
        <v>2200000</v>
      </c>
      <c r="O2538" t="s">
        <v>10766</v>
      </c>
      <c r="P2538" t="s">
        <v>10665</v>
      </c>
      <c r="Q2538" t="s">
        <v>1939</v>
      </c>
      <c r="R2538" t="s">
        <v>10666</v>
      </c>
      <c r="U2538" t="s">
        <v>1327</v>
      </c>
      <c r="X2538">
        <v>0</v>
      </c>
    </row>
    <row r="2539" spans="1:24" x14ac:dyDescent="0.25">
      <c r="A2539" s="234">
        <v>42440</v>
      </c>
      <c r="B2539" t="s">
        <v>378</v>
      </c>
      <c r="C2539" t="s">
        <v>623</v>
      </c>
      <c r="D2539" t="s">
        <v>624</v>
      </c>
      <c r="E2539" t="s">
        <v>588</v>
      </c>
      <c r="F2539" t="s">
        <v>1297</v>
      </c>
      <c r="H2539" t="s">
        <v>1050</v>
      </c>
      <c r="M2539" s="134">
        <v>1040400</v>
      </c>
      <c r="N2539" s="134">
        <v>1140400</v>
      </c>
      <c r="O2539" t="s">
        <v>1298</v>
      </c>
      <c r="P2539" t="s">
        <v>1299</v>
      </c>
      <c r="Q2539" t="s">
        <v>29</v>
      </c>
      <c r="R2539" t="s">
        <v>1300</v>
      </c>
      <c r="U2539" t="s">
        <v>491</v>
      </c>
      <c r="X2539">
        <v>1</v>
      </c>
    </row>
    <row r="2540" spans="1:24" x14ac:dyDescent="0.25">
      <c r="A2540" s="234">
        <v>43430</v>
      </c>
      <c r="B2540" t="s">
        <v>569</v>
      </c>
      <c r="C2540" t="s">
        <v>899</v>
      </c>
      <c r="D2540" t="s">
        <v>9981</v>
      </c>
      <c r="F2540" t="s">
        <v>13282</v>
      </c>
      <c r="G2540" t="s">
        <v>8044</v>
      </c>
      <c r="H2540" t="s">
        <v>10832</v>
      </c>
      <c r="I2540" t="s">
        <v>13283</v>
      </c>
      <c r="J2540" t="s">
        <v>899</v>
      </c>
      <c r="K2540" t="s">
        <v>13284</v>
      </c>
      <c r="L2540">
        <v>4</v>
      </c>
      <c r="M2540" s="134">
        <v>1040400</v>
      </c>
      <c r="N2540" s="134">
        <v>2000400</v>
      </c>
      <c r="O2540" t="s">
        <v>10766</v>
      </c>
      <c r="P2540" t="s">
        <v>13441</v>
      </c>
      <c r="Q2540" t="s">
        <v>1939</v>
      </c>
      <c r="R2540" t="s">
        <v>13285</v>
      </c>
      <c r="U2540" t="s">
        <v>491</v>
      </c>
      <c r="X2540">
        <v>0</v>
      </c>
    </row>
    <row r="2541" spans="1:24" x14ac:dyDescent="0.25">
      <c r="A2541" s="234">
        <v>42747</v>
      </c>
      <c r="B2541" t="s">
        <v>328</v>
      </c>
      <c r="C2541" t="s">
        <v>603</v>
      </c>
      <c r="D2541" t="s">
        <v>2397</v>
      </c>
      <c r="E2541" t="s">
        <v>588</v>
      </c>
      <c r="F2541" t="s">
        <v>5286</v>
      </c>
      <c r="H2541" t="s">
        <v>722</v>
      </c>
      <c r="I2541" t="s">
        <v>4696</v>
      </c>
      <c r="J2541" t="s">
        <v>899</v>
      </c>
      <c r="L2541" t="s">
        <v>5287</v>
      </c>
      <c r="M2541" s="134">
        <v>1043000</v>
      </c>
      <c r="N2541" s="134">
        <v>1668800</v>
      </c>
      <c r="O2541" t="s">
        <v>560</v>
      </c>
      <c r="P2541" t="s">
        <v>5288</v>
      </c>
      <c r="Q2541" t="s">
        <v>1939</v>
      </c>
      <c r="R2541" t="s">
        <v>9742</v>
      </c>
      <c r="U2541" t="s">
        <v>491</v>
      </c>
      <c r="X2541">
        <v>0</v>
      </c>
    </row>
    <row r="2542" spans="1:24" x14ac:dyDescent="0.25">
      <c r="A2542" s="234">
        <v>42710</v>
      </c>
      <c r="B2542" t="s">
        <v>328</v>
      </c>
      <c r="C2542" t="s">
        <v>603</v>
      </c>
      <c r="D2542" t="s">
        <v>1401</v>
      </c>
      <c r="E2542" t="s">
        <v>588</v>
      </c>
      <c r="F2542" t="s">
        <v>4933</v>
      </c>
      <c r="H2542" t="s">
        <v>607</v>
      </c>
      <c r="I2542" t="s">
        <v>3837</v>
      </c>
      <c r="J2542" t="s">
        <v>899</v>
      </c>
      <c r="L2542">
        <v>4</v>
      </c>
      <c r="M2542" s="134">
        <v>1047000</v>
      </c>
      <c r="N2542" s="134">
        <v>2331000</v>
      </c>
      <c r="O2542" t="s">
        <v>695</v>
      </c>
      <c r="P2542" t="s">
        <v>4934</v>
      </c>
      <c r="Q2542" t="s">
        <v>1939</v>
      </c>
      <c r="R2542" t="s">
        <v>4935</v>
      </c>
      <c r="U2542" t="s">
        <v>491</v>
      </c>
      <c r="X2542">
        <v>0</v>
      </c>
    </row>
    <row r="2543" spans="1:24" x14ac:dyDescent="0.25">
      <c r="A2543" s="234">
        <v>42923</v>
      </c>
      <c r="B2543" t="s">
        <v>328</v>
      </c>
      <c r="C2543" t="s">
        <v>603</v>
      </c>
      <c r="D2543" t="s">
        <v>5701</v>
      </c>
      <c r="E2543" t="s">
        <v>588</v>
      </c>
      <c r="F2543" t="s">
        <v>4933</v>
      </c>
      <c r="H2543" t="s">
        <v>607</v>
      </c>
      <c r="I2543" t="s">
        <v>3837</v>
      </c>
      <c r="J2543" t="s">
        <v>899</v>
      </c>
      <c r="L2543">
        <v>4</v>
      </c>
      <c r="M2543" s="134">
        <v>1047000</v>
      </c>
      <c r="N2543" s="134">
        <v>2572000</v>
      </c>
      <c r="O2543" t="s">
        <v>695</v>
      </c>
      <c r="P2543" t="s">
        <v>4934</v>
      </c>
      <c r="Q2543" t="s">
        <v>1939</v>
      </c>
      <c r="R2543" t="s">
        <v>7527</v>
      </c>
      <c r="U2543" t="s">
        <v>491</v>
      </c>
      <c r="X2543">
        <v>0</v>
      </c>
    </row>
    <row r="2544" spans="1:24" x14ac:dyDescent="0.25">
      <c r="A2544" s="234">
        <v>42887</v>
      </c>
      <c r="B2544" t="s">
        <v>569</v>
      </c>
      <c r="C2544" t="s">
        <v>899</v>
      </c>
      <c r="D2544" t="s">
        <v>624</v>
      </c>
      <c r="E2544" t="s">
        <v>588</v>
      </c>
      <c r="F2544" t="s">
        <v>7011</v>
      </c>
      <c r="H2544" t="s">
        <v>7012</v>
      </c>
      <c r="I2544" t="s">
        <v>5910</v>
      </c>
      <c r="J2544" t="s">
        <v>899</v>
      </c>
      <c r="M2544" s="134">
        <v>1050000</v>
      </c>
      <c r="N2544" s="134">
        <v>1205000</v>
      </c>
      <c r="O2544" t="s">
        <v>7015</v>
      </c>
      <c r="P2544" t="s">
        <v>7016</v>
      </c>
      <c r="Q2544" t="s">
        <v>592</v>
      </c>
      <c r="R2544" t="s">
        <v>7013</v>
      </c>
      <c r="U2544" t="s">
        <v>1327</v>
      </c>
      <c r="X2544">
        <v>0</v>
      </c>
    </row>
    <row r="2545" spans="1:24" x14ac:dyDescent="0.25">
      <c r="A2545" s="234">
        <v>42816</v>
      </c>
      <c r="B2545" t="s">
        <v>328</v>
      </c>
      <c r="C2545" t="s">
        <v>603</v>
      </c>
      <c r="D2545" t="s">
        <v>5701</v>
      </c>
      <c r="E2545" t="s">
        <v>588</v>
      </c>
      <c r="F2545" t="s">
        <v>6063</v>
      </c>
      <c r="H2545" t="s">
        <v>607</v>
      </c>
      <c r="I2545" t="s">
        <v>3793</v>
      </c>
      <c r="J2545" t="s">
        <v>899</v>
      </c>
      <c r="L2545">
        <v>10</v>
      </c>
      <c r="M2545" s="134">
        <v>1051000</v>
      </c>
      <c r="N2545" s="134">
        <v>2181600</v>
      </c>
      <c r="O2545" t="s">
        <v>560</v>
      </c>
      <c r="P2545" t="s">
        <v>6064</v>
      </c>
      <c r="Q2545" t="s">
        <v>1939</v>
      </c>
      <c r="R2545" t="s">
        <v>6065</v>
      </c>
      <c r="U2545" t="s">
        <v>491</v>
      </c>
      <c r="X2545">
        <v>0</v>
      </c>
    </row>
    <row r="2546" spans="1:24" x14ac:dyDescent="0.25">
      <c r="A2546" s="234">
        <v>42482</v>
      </c>
      <c r="B2546" t="s">
        <v>378</v>
      </c>
      <c r="C2546" t="s">
        <v>623</v>
      </c>
      <c r="D2546" t="s">
        <v>625</v>
      </c>
      <c r="E2546" t="s">
        <v>588</v>
      </c>
      <c r="F2546" t="s">
        <v>1777</v>
      </c>
      <c r="H2546" t="s">
        <v>607</v>
      </c>
      <c r="I2546" t="s">
        <v>1543</v>
      </c>
      <c r="M2546" s="134">
        <v>1052000</v>
      </c>
      <c r="N2546" s="134">
        <v>1672000</v>
      </c>
      <c r="O2546" t="s">
        <v>1766</v>
      </c>
      <c r="P2546" t="s">
        <v>1767</v>
      </c>
      <c r="Q2546" t="s">
        <v>592</v>
      </c>
      <c r="R2546" t="s">
        <v>1768</v>
      </c>
      <c r="U2546" t="s">
        <v>491</v>
      </c>
      <c r="X2546">
        <v>0</v>
      </c>
    </row>
    <row r="2547" spans="1:24" x14ac:dyDescent="0.25">
      <c r="A2547" s="234">
        <v>43476</v>
      </c>
      <c r="B2547" t="s">
        <v>643</v>
      </c>
      <c r="C2547" t="s">
        <v>644</v>
      </c>
      <c r="D2547" t="s">
        <v>645</v>
      </c>
      <c r="F2547" t="s">
        <v>13937</v>
      </c>
      <c r="G2547" t="s">
        <v>13938</v>
      </c>
      <c r="H2547" t="s">
        <v>10832</v>
      </c>
      <c r="I2547" t="s">
        <v>11008</v>
      </c>
      <c r="J2547" t="s">
        <v>13940</v>
      </c>
      <c r="L2547">
        <v>2</v>
      </c>
      <c r="M2547" s="134">
        <v>1052000</v>
      </c>
      <c r="N2547" s="134">
        <v>1683200</v>
      </c>
      <c r="O2547" t="s">
        <v>49</v>
      </c>
      <c r="P2547" t="s">
        <v>13941</v>
      </c>
      <c r="Q2547" t="s">
        <v>592</v>
      </c>
      <c r="R2547" t="s">
        <v>13942</v>
      </c>
      <c r="U2547" t="s">
        <v>491</v>
      </c>
      <c r="X2547">
        <v>0</v>
      </c>
    </row>
    <row r="2548" spans="1:24" x14ac:dyDescent="0.25">
      <c r="A2548" s="234">
        <v>43504</v>
      </c>
      <c r="B2548" t="s">
        <v>569</v>
      </c>
      <c r="C2548" t="s">
        <v>899</v>
      </c>
      <c r="D2548" t="s">
        <v>11286</v>
      </c>
      <c r="F2548" t="s">
        <v>13237</v>
      </c>
      <c r="G2548" t="s">
        <v>14327</v>
      </c>
      <c r="H2548" t="s">
        <v>607</v>
      </c>
      <c r="I2548" t="s">
        <v>14328</v>
      </c>
      <c r="J2548" t="s">
        <v>899</v>
      </c>
      <c r="K2548" t="s">
        <v>13928</v>
      </c>
      <c r="M2548" s="134">
        <v>1054760</v>
      </c>
      <c r="N2548" s="134">
        <v>2359332</v>
      </c>
      <c r="O2548" t="s">
        <v>4533</v>
      </c>
      <c r="P2548" t="s">
        <v>14329</v>
      </c>
      <c r="Q2548" t="s">
        <v>29</v>
      </c>
      <c r="R2548" t="s">
        <v>14330</v>
      </c>
      <c r="S2548" t="s">
        <v>14378</v>
      </c>
      <c r="U2548" t="s">
        <v>12797</v>
      </c>
      <c r="X2548">
        <v>1</v>
      </c>
    </row>
    <row r="2549" spans="1:24" x14ac:dyDescent="0.25">
      <c r="A2549" s="234">
        <v>43480</v>
      </c>
      <c r="B2549" t="s">
        <v>328</v>
      </c>
      <c r="C2549" t="s">
        <v>603</v>
      </c>
      <c r="D2549" t="s">
        <v>8941</v>
      </c>
      <c r="F2549" t="s">
        <v>14010</v>
      </c>
      <c r="G2549" t="s">
        <v>14011</v>
      </c>
      <c r="H2549" t="s">
        <v>607</v>
      </c>
      <c r="I2549" t="s">
        <v>2054</v>
      </c>
      <c r="J2549" t="s">
        <v>899</v>
      </c>
      <c r="K2549" t="s">
        <v>14012</v>
      </c>
      <c r="L2549">
        <v>1</v>
      </c>
      <c r="M2549" s="134">
        <v>1055000</v>
      </c>
      <c r="N2549" s="134">
        <v>2109500</v>
      </c>
      <c r="O2549" t="s">
        <v>7564</v>
      </c>
      <c r="P2549" t="s">
        <v>14013</v>
      </c>
      <c r="Q2549" t="s">
        <v>1939</v>
      </c>
      <c r="R2549" t="s">
        <v>14014</v>
      </c>
      <c r="U2549" t="s">
        <v>12797</v>
      </c>
      <c r="X2549">
        <v>0</v>
      </c>
    </row>
    <row r="2550" spans="1:24" x14ac:dyDescent="0.25">
      <c r="A2550" s="234">
        <v>42802</v>
      </c>
      <c r="B2550" t="s">
        <v>569</v>
      </c>
      <c r="D2550" t="s">
        <v>624</v>
      </c>
      <c r="E2550" t="s">
        <v>588</v>
      </c>
      <c r="F2550" t="s">
        <v>5909</v>
      </c>
      <c r="H2550" t="s">
        <v>607</v>
      </c>
      <c r="I2550" t="s">
        <v>5910</v>
      </c>
      <c r="J2550" t="s">
        <v>899</v>
      </c>
      <c r="L2550">
        <v>1</v>
      </c>
      <c r="M2550" s="134">
        <v>1055250</v>
      </c>
      <c r="N2550" s="134">
        <v>1899450</v>
      </c>
      <c r="O2550" t="s">
        <v>845</v>
      </c>
      <c r="P2550" t="s">
        <v>5911</v>
      </c>
      <c r="Q2550" t="s">
        <v>1939</v>
      </c>
      <c r="R2550" t="s">
        <v>5912</v>
      </c>
      <c r="U2550" t="s">
        <v>491</v>
      </c>
      <c r="X2550">
        <v>0</v>
      </c>
    </row>
    <row r="2551" spans="1:24" x14ac:dyDescent="0.25">
      <c r="A2551" s="234">
        <v>42408</v>
      </c>
      <c r="B2551" t="s">
        <v>250</v>
      </c>
      <c r="D2551" t="s">
        <v>813</v>
      </c>
      <c r="E2551" t="s">
        <v>588</v>
      </c>
      <c r="F2551" t="s">
        <v>952</v>
      </c>
      <c r="H2551" t="s">
        <v>607</v>
      </c>
      <c r="I2551" t="s">
        <v>953</v>
      </c>
      <c r="M2551" s="134">
        <v>1056000</v>
      </c>
      <c r="N2551" s="134">
        <v>1749600</v>
      </c>
      <c r="O2551" t="s">
        <v>954</v>
      </c>
      <c r="P2551" t="s">
        <v>955</v>
      </c>
      <c r="Q2551" t="s">
        <v>592</v>
      </c>
      <c r="R2551" t="s">
        <v>958</v>
      </c>
      <c r="U2551" t="s">
        <v>491</v>
      </c>
      <c r="X2551">
        <v>0</v>
      </c>
    </row>
    <row r="2552" spans="1:24" x14ac:dyDescent="0.25">
      <c r="A2552" s="234">
        <v>42395</v>
      </c>
      <c r="B2552" t="s">
        <v>328</v>
      </c>
      <c r="C2552" t="s">
        <v>603</v>
      </c>
      <c r="D2552" t="s">
        <v>757</v>
      </c>
      <c r="E2552" t="s">
        <v>588</v>
      </c>
      <c r="F2552" t="s">
        <v>826</v>
      </c>
      <c r="H2552" t="s">
        <v>722</v>
      </c>
      <c r="I2552" t="s">
        <v>827</v>
      </c>
      <c r="M2552" s="134">
        <v>1056364</v>
      </c>
      <c r="N2552" s="134">
        <v>1683113</v>
      </c>
      <c r="O2552" t="s">
        <v>695</v>
      </c>
      <c r="P2552" t="s">
        <v>828</v>
      </c>
      <c r="Q2552" t="s">
        <v>592</v>
      </c>
      <c r="R2552" t="s">
        <v>863</v>
      </c>
      <c r="U2552" t="s">
        <v>491</v>
      </c>
      <c r="X2552">
        <v>0</v>
      </c>
    </row>
    <row r="2553" spans="1:24" x14ac:dyDescent="0.25">
      <c r="A2553" s="234">
        <v>42503</v>
      </c>
      <c r="B2553" t="s">
        <v>328</v>
      </c>
      <c r="C2553" t="s">
        <v>603</v>
      </c>
      <c r="D2553" t="s">
        <v>672</v>
      </c>
      <c r="E2553" t="s">
        <v>588</v>
      </c>
      <c r="F2553" t="s">
        <v>1895</v>
      </c>
      <c r="H2553" t="s">
        <v>607</v>
      </c>
      <c r="I2553" t="s">
        <v>1896</v>
      </c>
      <c r="M2553" s="134">
        <v>1059406</v>
      </c>
      <c r="N2553" s="134">
        <v>2023562</v>
      </c>
      <c r="O2553" t="s">
        <v>1897</v>
      </c>
      <c r="P2553" t="s">
        <v>1898</v>
      </c>
      <c r="Q2553" t="s">
        <v>1612</v>
      </c>
      <c r="R2553" t="s">
        <v>1899</v>
      </c>
      <c r="S2553" t="s">
        <v>2092</v>
      </c>
      <c r="U2553" t="s">
        <v>491</v>
      </c>
      <c r="X2553">
        <v>0</v>
      </c>
    </row>
    <row r="2554" spans="1:24" x14ac:dyDescent="0.25">
      <c r="A2554" s="234">
        <v>42657</v>
      </c>
      <c r="B2554" t="s">
        <v>328</v>
      </c>
      <c r="C2554" t="s">
        <v>603</v>
      </c>
      <c r="D2554" t="s">
        <v>2397</v>
      </c>
      <c r="E2554" t="s">
        <v>588</v>
      </c>
      <c r="F2554" t="s">
        <v>1895</v>
      </c>
      <c r="H2554" t="s">
        <v>607</v>
      </c>
      <c r="I2554" t="s">
        <v>3492</v>
      </c>
      <c r="J2554" t="s">
        <v>899</v>
      </c>
      <c r="M2554" s="134">
        <v>1059406</v>
      </c>
      <c r="N2554" s="134">
        <v>2023562</v>
      </c>
      <c r="O2554" t="s">
        <v>4330</v>
      </c>
      <c r="P2554" t="s">
        <v>4331</v>
      </c>
      <c r="Q2554" t="s">
        <v>1939</v>
      </c>
      <c r="R2554" t="s">
        <v>4332</v>
      </c>
      <c r="U2554" t="s">
        <v>491</v>
      </c>
      <c r="X2554">
        <v>0</v>
      </c>
    </row>
    <row r="2555" spans="1:24" x14ac:dyDescent="0.25">
      <c r="A2555" s="234">
        <v>42723</v>
      </c>
      <c r="B2555" t="s">
        <v>378</v>
      </c>
      <c r="C2555" t="s">
        <v>623</v>
      </c>
      <c r="D2555" t="s">
        <v>625</v>
      </c>
      <c r="E2555" t="s">
        <v>588</v>
      </c>
      <c r="F2555" t="s">
        <v>5051</v>
      </c>
      <c r="H2555" t="s">
        <v>1890</v>
      </c>
      <c r="I2555" t="s">
        <v>3388</v>
      </c>
      <c r="J2555" t="s">
        <v>899</v>
      </c>
      <c r="L2555">
        <v>2</v>
      </c>
      <c r="M2555" s="134">
        <v>1060000</v>
      </c>
      <c r="N2555" s="134">
        <v>1372000</v>
      </c>
      <c r="O2555" t="s">
        <v>5052</v>
      </c>
      <c r="P2555" t="s">
        <v>5053</v>
      </c>
      <c r="Q2555" t="s">
        <v>1939</v>
      </c>
      <c r="R2555" t="s">
        <v>5054</v>
      </c>
      <c r="U2555" t="s">
        <v>491</v>
      </c>
      <c r="X2555">
        <v>0</v>
      </c>
    </row>
    <row r="2556" spans="1:24" x14ac:dyDescent="0.25">
      <c r="A2556" s="234">
        <v>42544</v>
      </c>
      <c r="B2556" t="s">
        <v>378</v>
      </c>
      <c r="C2556" t="s">
        <v>623</v>
      </c>
      <c r="D2556" t="s">
        <v>625</v>
      </c>
      <c r="E2556" t="s">
        <v>588</v>
      </c>
      <c r="F2556" t="s">
        <v>2649</v>
      </c>
      <c r="H2556" t="s">
        <v>607</v>
      </c>
      <c r="I2556" t="s">
        <v>789</v>
      </c>
      <c r="M2556" s="134">
        <v>1060000</v>
      </c>
      <c r="N2556" s="134">
        <v>1908000</v>
      </c>
      <c r="O2556" t="s">
        <v>1931</v>
      </c>
      <c r="P2556" t="s">
        <v>2650</v>
      </c>
      <c r="Q2556" t="s">
        <v>620</v>
      </c>
      <c r="R2556" t="s">
        <v>2653</v>
      </c>
      <c r="U2556" t="s">
        <v>491</v>
      </c>
      <c r="X2556">
        <v>0</v>
      </c>
    </row>
    <row r="2557" spans="1:24" x14ac:dyDescent="0.25">
      <c r="A2557" s="234">
        <v>42836</v>
      </c>
      <c r="B2557" t="s">
        <v>328</v>
      </c>
      <c r="C2557" t="s">
        <v>603</v>
      </c>
      <c r="D2557" t="s">
        <v>649</v>
      </c>
      <c r="E2557" t="s">
        <v>588</v>
      </c>
      <c r="F2557" t="s">
        <v>6373</v>
      </c>
      <c r="H2557" t="s">
        <v>722</v>
      </c>
      <c r="J2557" t="s">
        <v>899</v>
      </c>
      <c r="L2557">
        <v>5</v>
      </c>
      <c r="M2557" s="134">
        <v>1060631</v>
      </c>
      <c r="N2557" s="134">
        <v>1860631</v>
      </c>
      <c r="O2557" t="s">
        <v>695</v>
      </c>
      <c r="P2557" t="s">
        <v>6377</v>
      </c>
      <c r="Q2557" t="s">
        <v>1939</v>
      </c>
      <c r="R2557" t="s">
        <v>6374</v>
      </c>
      <c r="S2557" t="s">
        <v>6376</v>
      </c>
      <c r="U2557" t="s">
        <v>491</v>
      </c>
      <c r="X2557">
        <v>0</v>
      </c>
    </row>
    <row r="2558" spans="1:24" x14ac:dyDescent="0.25">
      <c r="A2558" s="234">
        <v>42482</v>
      </c>
      <c r="B2558" t="s">
        <v>378</v>
      </c>
      <c r="C2558" t="s">
        <v>623</v>
      </c>
      <c r="D2558" t="s">
        <v>625</v>
      </c>
      <c r="E2558" t="s">
        <v>588</v>
      </c>
      <c r="F2558" t="s">
        <v>1779</v>
      </c>
      <c r="H2558" t="s">
        <v>1774</v>
      </c>
      <c r="I2558" t="s">
        <v>1780</v>
      </c>
      <c r="M2558" s="134">
        <v>1061000</v>
      </c>
      <c r="N2558" s="134">
        <v>1909800</v>
      </c>
      <c r="O2558" t="s">
        <v>1766</v>
      </c>
      <c r="P2558" t="s">
        <v>1781</v>
      </c>
      <c r="Q2558" t="s">
        <v>592</v>
      </c>
      <c r="R2558" t="s">
        <v>1782</v>
      </c>
      <c r="U2558" t="s">
        <v>491</v>
      </c>
      <c r="X2558">
        <v>0</v>
      </c>
    </row>
    <row r="2559" spans="1:24" x14ac:dyDescent="0.25">
      <c r="A2559" s="234">
        <v>43530</v>
      </c>
      <c r="B2559" t="s">
        <v>569</v>
      </c>
      <c r="C2559" t="s">
        <v>899</v>
      </c>
      <c r="D2559" t="s">
        <v>11286</v>
      </c>
      <c r="F2559" t="s">
        <v>14633</v>
      </c>
      <c r="G2559" t="s">
        <v>14634</v>
      </c>
      <c r="H2559" t="s">
        <v>905</v>
      </c>
      <c r="I2559" t="s">
        <v>14635</v>
      </c>
      <c r="J2559" t="s">
        <v>899</v>
      </c>
      <c r="K2559" t="s">
        <v>14636</v>
      </c>
      <c r="M2559" s="134">
        <v>1065000</v>
      </c>
      <c r="N2559" s="134">
        <v>1221500</v>
      </c>
      <c r="O2559" t="s">
        <v>7564</v>
      </c>
      <c r="P2559" t="s">
        <v>14637</v>
      </c>
      <c r="Q2559" t="s">
        <v>1939</v>
      </c>
      <c r="R2559" t="s">
        <v>14638</v>
      </c>
      <c r="U2559" t="s">
        <v>12797</v>
      </c>
      <c r="X2559">
        <v>0</v>
      </c>
    </row>
    <row r="2560" spans="1:24" x14ac:dyDescent="0.25">
      <c r="A2560" s="234">
        <v>42607</v>
      </c>
      <c r="B2560" t="s">
        <v>378</v>
      </c>
      <c r="C2560" t="s">
        <v>623</v>
      </c>
      <c r="D2560" t="s">
        <v>625</v>
      </c>
      <c r="E2560" t="s">
        <v>588</v>
      </c>
      <c r="F2560" t="s">
        <v>3628</v>
      </c>
      <c r="H2560" t="s">
        <v>607</v>
      </c>
      <c r="I2560" t="s">
        <v>3629</v>
      </c>
      <c r="J2560" t="s">
        <v>899</v>
      </c>
      <c r="L2560">
        <v>3</v>
      </c>
      <c r="M2560" s="134">
        <v>1065000</v>
      </c>
      <c r="N2560" s="134">
        <v>1917000</v>
      </c>
      <c r="O2560" t="s">
        <v>3630</v>
      </c>
      <c r="P2560" t="s">
        <v>3631</v>
      </c>
      <c r="Q2560" t="s">
        <v>620</v>
      </c>
      <c r="R2560" t="s">
        <v>3632</v>
      </c>
      <c r="U2560" t="s">
        <v>491</v>
      </c>
      <c r="X2560">
        <v>0</v>
      </c>
    </row>
    <row r="2561" spans="1:24" x14ac:dyDescent="0.25">
      <c r="A2561" s="234">
        <v>43367</v>
      </c>
      <c r="B2561" t="s">
        <v>569</v>
      </c>
      <c r="C2561" t="s">
        <v>899</v>
      </c>
      <c r="D2561" t="s">
        <v>11286</v>
      </c>
      <c r="E2561" t="s">
        <v>588</v>
      </c>
      <c r="F2561" t="s">
        <v>12692</v>
      </c>
      <c r="G2561" t="s">
        <v>10804</v>
      </c>
      <c r="H2561" t="s">
        <v>10831</v>
      </c>
      <c r="I2561" t="s">
        <v>12693</v>
      </c>
      <c r="J2561" t="s">
        <v>899</v>
      </c>
      <c r="L2561">
        <v>10</v>
      </c>
      <c r="M2561" s="134">
        <v>1065000</v>
      </c>
      <c r="N2561" s="134">
        <v>1970250</v>
      </c>
      <c r="O2561" t="s">
        <v>560</v>
      </c>
      <c r="P2561" t="s">
        <v>12694</v>
      </c>
      <c r="Q2561" t="s">
        <v>29</v>
      </c>
      <c r="R2561" t="s">
        <v>12704</v>
      </c>
      <c r="U2561" t="s">
        <v>12344</v>
      </c>
      <c r="X2561">
        <v>1</v>
      </c>
    </row>
    <row r="2562" spans="1:24" x14ac:dyDescent="0.25">
      <c r="A2562" s="234">
        <v>42620</v>
      </c>
      <c r="B2562" t="s">
        <v>378</v>
      </c>
      <c r="C2562" t="s">
        <v>623</v>
      </c>
      <c r="D2562" t="s">
        <v>624</v>
      </c>
      <c r="E2562" t="s">
        <v>588</v>
      </c>
      <c r="F2562" t="s">
        <v>3628</v>
      </c>
      <c r="H2562" t="s">
        <v>607</v>
      </c>
      <c r="I2562" t="s">
        <v>3790</v>
      </c>
      <c r="J2562" t="s">
        <v>899</v>
      </c>
      <c r="M2562" s="134">
        <v>1065000</v>
      </c>
      <c r="N2562" s="134">
        <v>2000000</v>
      </c>
      <c r="O2562" t="s">
        <v>1171</v>
      </c>
      <c r="P2562" t="s">
        <v>3791</v>
      </c>
      <c r="Q2562" t="s">
        <v>620</v>
      </c>
      <c r="R2562" t="s">
        <v>3992</v>
      </c>
      <c r="U2562" t="s">
        <v>491</v>
      </c>
      <c r="V2562" t="s">
        <v>3985</v>
      </c>
      <c r="X2562">
        <v>0</v>
      </c>
    </row>
    <row r="2563" spans="1:24" x14ac:dyDescent="0.25">
      <c r="A2563" s="234">
        <v>42923</v>
      </c>
      <c r="B2563" t="s">
        <v>328</v>
      </c>
      <c r="C2563" t="s">
        <v>603</v>
      </c>
      <c r="D2563" t="s">
        <v>649</v>
      </c>
      <c r="E2563" t="s">
        <v>588</v>
      </c>
      <c r="F2563" t="s">
        <v>7513</v>
      </c>
      <c r="H2563" t="s">
        <v>607</v>
      </c>
      <c r="I2563" t="s">
        <v>3649</v>
      </c>
      <c r="J2563" t="s">
        <v>899</v>
      </c>
      <c r="M2563" s="134">
        <v>1066000</v>
      </c>
      <c r="N2563" s="134">
        <v>1858600</v>
      </c>
      <c r="O2563" t="s">
        <v>7514</v>
      </c>
      <c r="P2563" t="s">
        <v>7515</v>
      </c>
      <c r="Q2563" t="s">
        <v>1939</v>
      </c>
      <c r="R2563" t="s">
        <v>7516</v>
      </c>
      <c r="U2563" t="s">
        <v>491</v>
      </c>
      <c r="X2563">
        <v>0</v>
      </c>
    </row>
    <row r="2564" spans="1:24" x14ac:dyDescent="0.25">
      <c r="A2564" s="234">
        <v>43439</v>
      </c>
      <c r="B2564" t="s">
        <v>569</v>
      </c>
      <c r="C2564" t="s">
        <v>899</v>
      </c>
      <c r="D2564" t="s">
        <v>611</v>
      </c>
      <c r="F2564" t="s">
        <v>13489</v>
      </c>
      <c r="H2564" t="s">
        <v>607</v>
      </c>
      <c r="I2564" t="s">
        <v>13490</v>
      </c>
      <c r="J2564" t="s">
        <v>899</v>
      </c>
      <c r="K2564" t="s">
        <v>13491</v>
      </c>
      <c r="L2564">
        <v>3</v>
      </c>
      <c r="M2564" s="134">
        <v>1071000</v>
      </c>
      <c r="N2564" s="134">
        <v>2050000</v>
      </c>
      <c r="O2564" t="s">
        <v>10763</v>
      </c>
      <c r="P2564" t="s">
        <v>13492</v>
      </c>
      <c r="Q2564" t="s">
        <v>1939</v>
      </c>
      <c r="R2564" t="s">
        <v>13497</v>
      </c>
      <c r="U2564" t="s">
        <v>491</v>
      </c>
      <c r="X2564">
        <v>0</v>
      </c>
    </row>
    <row r="2565" spans="1:24" x14ac:dyDescent="0.25">
      <c r="A2565" s="234">
        <v>43005</v>
      </c>
      <c r="B2565" t="s">
        <v>328</v>
      </c>
      <c r="C2565" t="s">
        <v>603</v>
      </c>
      <c r="D2565" t="s">
        <v>5701</v>
      </c>
      <c r="E2565" t="s">
        <v>588</v>
      </c>
      <c r="F2565" t="s">
        <v>8729</v>
      </c>
      <c r="G2565" t="s">
        <v>8730</v>
      </c>
      <c r="H2565" t="s">
        <v>1391</v>
      </c>
      <c r="I2565" t="s">
        <v>8731</v>
      </c>
      <c r="J2565" t="s">
        <v>899</v>
      </c>
      <c r="L2565">
        <v>9</v>
      </c>
      <c r="M2565" s="134">
        <v>1071000</v>
      </c>
      <c r="N2565" s="134">
        <v>2091200</v>
      </c>
      <c r="O2565" t="s">
        <v>560</v>
      </c>
      <c r="P2565" t="s">
        <v>8732</v>
      </c>
      <c r="Q2565" t="s">
        <v>29</v>
      </c>
      <c r="R2565" t="s">
        <v>8809</v>
      </c>
      <c r="S2565" t="s">
        <v>8810</v>
      </c>
      <c r="T2565">
        <v>49</v>
      </c>
      <c r="U2565" t="s">
        <v>491</v>
      </c>
      <c r="X2565">
        <v>1</v>
      </c>
    </row>
    <row r="2566" spans="1:24" x14ac:dyDescent="0.25">
      <c r="A2566" s="234">
        <v>42819</v>
      </c>
      <c r="B2566" t="s">
        <v>569</v>
      </c>
      <c r="D2566" t="s">
        <v>625</v>
      </c>
      <c r="E2566" t="s">
        <v>588</v>
      </c>
      <c r="F2566" t="s">
        <v>6127</v>
      </c>
      <c r="H2566" t="s">
        <v>905</v>
      </c>
      <c r="I2566" t="s">
        <v>2054</v>
      </c>
      <c r="J2566" t="s">
        <v>899</v>
      </c>
      <c r="M2566" s="134">
        <v>1072700</v>
      </c>
      <c r="N2566" s="134">
        <v>1122970</v>
      </c>
      <c r="O2566" t="s">
        <v>35</v>
      </c>
      <c r="P2566" t="s">
        <v>6128</v>
      </c>
      <c r="Q2566" t="s">
        <v>1939</v>
      </c>
      <c r="R2566" t="s">
        <v>6129</v>
      </c>
      <c r="U2566" t="s">
        <v>491</v>
      </c>
      <c r="X2566">
        <v>0</v>
      </c>
    </row>
    <row r="2567" spans="1:24" x14ac:dyDescent="0.25">
      <c r="A2567" s="234">
        <v>43277</v>
      </c>
      <c r="B2567" t="s">
        <v>328</v>
      </c>
      <c r="C2567" t="s">
        <v>603</v>
      </c>
      <c r="D2567" t="s">
        <v>10338</v>
      </c>
      <c r="E2567" t="s">
        <v>588</v>
      </c>
      <c r="F2567" t="s">
        <v>11652</v>
      </c>
      <c r="G2567" t="s">
        <v>8515</v>
      </c>
      <c r="H2567" t="s">
        <v>5321</v>
      </c>
      <c r="I2567" t="s">
        <v>9681</v>
      </c>
      <c r="J2567" t="s">
        <v>899</v>
      </c>
      <c r="L2567">
        <v>3</v>
      </c>
      <c r="M2567" s="134">
        <v>1073000</v>
      </c>
      <c r="N2567" s="134">
        <v>1931400</v>
      </c>
      <c r="O2567" t="s">
        <v>10766</v>
      </c>
      <c r="P2567" t="s">
        <v>11651</v>
      </c>
      <c r="Q2567" t="s">
        <v>592</v>
      </c>
      <c r="R2567" t="s">
        <v>11650</v>
      </c>
      <c r="U2567" t="s">
        <v>1327</v>
      </c>
      <c r="X2567">
        <v>0</v>
      </c>
    </row>
    <row r="2568" spans="1:24" x14ac:dyDescent="0.25">
      <c r="A2568" s="234">
        <v>42487</v>
      </c>
      <c r="B2568" t="s">
        <v>328</v>
      </c>
      <c r="D2568" t="s">
        <v>672</v>
      </c>
      <c r="E2568" t="s">
        <v>588</v>
      </c>
      <c r="F2568" t="s">
        <v>1834</v>
      </c>
      <c r="H2568" t="s">
        <v>1831</v>
      </c>
      <c r="I2568" t="s">
        <v>844</v>
      </c>
      <c r="M2568" s="134">
        <v>1075000</v>
      </c>
      <c r="N2568" s="134">
        <v>1935000</v>
      </c>
      <c r="O2568" t="s">
        <v>695</v>
      </c>
      <c r="P2568" t="s">
        <v>1835</v>
      </c>
      <c r="Q2568" t="s">
        <v>1612</v>
      </c>
      <c r="R2568" t="s">
        <v>1857</v>
      </c>
      <c r="U2568" t="s">
        <v>1856</v>
      </c>
      <c r="X2568">
        <v>0</v>
      </c>
    </row>
    <row r="2569" spans="1:24" x14ac:dyDescent="0.25">
      <c r="A2569" s="234">
        <v>42642</v>
      </c>
      <c r="B2569" t="s">
        <v>378</v>
      </c>
      <c r="C2569" t="s">
        <v>623</v>
      </c>
      <c r="D2569" t="s">
        <v>625</v>
      </c>
      <c r="E2569" t="s">
        <v>588</v>
      </c>
      <c r="F2569" t="s">
        <v>4113</v>
      </c>
      <c r="H2569" t="s">
        <v>607</v>
      </c>
      <c r="I2569" t="s">
        <v>4114</v>
      </c>
      <c r="J2569" t="s">
        <v>899</v>
      </c>
      <c r="L2569">
        <v>8</v>
      </c>
      <c r="M2569" s="134">
        <v>1078000</v>
      </c>
      <c r="N2569" s="134">
        <v>1842770</v>
      </c>
      <c r="O2569" t="s">
        <v>4115</v>
      </c>
      <c r="P2569" t="s">
        <v>4116</v>
      </c>
      <c r="Q2569" t="s">
        <v>1939</v>
      </c>
      <c r="R2569" t="s">
        <v>4117</v>
      </c>
      <c r="U2569" t="s">
        <v>491</v>
      </c>
      <c r="X2569">
        <v>0</v>
      </c>
    </row>
    <row r="2570" spans="1:24" x14ac:dyDescent="0.25">
      <c r="A2570" s="234">
        <v>42817</v>
      </c>
      <c r="B2570" t="s">
        <v>328</v>
      </c>
      <c r="C2570" t="s">
        <v>603</v>
      </c>
      <c r="D2570" t="s">
        <v>649</v>
      </c>
      <c r="E2570" t="s">
        <v>588</v>
      </c>
      <c r="F2570" t="s">
        <v>6091</v>
      </c>
      <c r="H2570" t="s">
        <v>607</v>
      </c>
      <c r="I2570" t="s">
        <v>3793</v>
      </c>
      <c r="J2570" t="s">
        <v>899</v>
      </c>
      <c r="L2570">
        <v>10</v>
      </c>
      <c r="M2570" s="134">
        <v>1084000</v>
      </c>
      <c r="N2570" s="134">
        <v>1700000</v>
      </c>
      <c r="O2570" t="s">
        <v>764</v>
      </c>
      <c r="P2570" t="s">
        <v>6090</v>
      </c>
      <c r="Q2570" t="s">
        <v>592</v>
      </c>
      <c r="U2570" t="s">
        <v>491</v>
      </c>
      <c r="X2570">
        <v>0</v>
      </c>
    </row>
    <row r="2571" spans="1:24" x14ac:dyDescent="0.25">
      <c r="A2571" s="234">
        <v>43028</v>
      </c>
      <c r="B2571" t="s">
        <v>328</v>
      </c>
      <c r="C2571" t="s">
        <v>603</v>
      </c>
      <c r="D2571" t="s">
        <v>649</v>
      </c>
      <c r="E2571" t="s">
        <v>588</v>
      </c>
      <c r="F2571" t="s">
        <v>9134</v>
      </c>
      <c r="G2571" t="s">
        <v>8827</v>
      </c>
      <c r="H2571" t="s">
        <v>607</v>
      </c>
      <c r="I2571" t="s">
        <v>9135</v>
      </c>
      <c r="J2571" t="s">
        <v>3398</v>
      </c>
      <c r="L2571">
        <v>9</v>
      </c>
      <c r="M2571" s="134">
        <v>1085000</v>
      </c>
      <c r="N2571" s="134">
        <v>2176000</v>
      </c>
      <c r="O2571" t="s">
        <v>560</v>
      </c>
      <c r="P2571" t="s">
        <v>9136</v>
      </c>
      <c r="Q2571" t="s">
        <v>592</v>
      </c>
      <c r="R2571" t="s">
        <v>9137</v>
      </c>
      <c r="U2571" t="s">
        <v>491</v>
      </c>
      <c r="X2571">
        <v>0</v>
      </c>
    </row>
    <row r="2572" spans="1:24" x14ac:dyDescent="0.25">
      <c r="A2572" s="234">
        <v>43229</v>
      </c>
      <c r="B2572" t="s">
        <v>328</v>
      </c>
      <c r="C2572" t="s">
        <v>603</v>
      </c>
      <c r="D2572" t="s">
        <v>10338</v>
      </c>
      <c r="E2572" t="s">
        <v>588</v>
      </c>
      <c r="F2572" t="s">
        <v>11215</v>
      </c>
      <c r="G2572" t="s">
        <v>11216</v>
      </c>
      <c r="H2572" t="s">
        <v>607</v>
      </c>
      <c r="I2572" t="s">
        <v>2054</v>
      </c>
      <c r="J2572" t="s">
        <v>899</v>
      </c>
      <c r="L2572">
        <v>2</v>
      </c>
      <c r="M2572" s="134">
        <v>1089000</v>
      </c>
      <c r="N2572" s="134">
        <v>2069100</v>
      </c>
      <c r="O2572" t="s">
        <v>7564</v>
      </c>
      <c r="P2572" t="s">
        <v>11217</v>
      </c>
      <c r="Q2572" t="s">
        <v>592</v>
      </c>
      <c r="R2572" t="s">
        <v>11218</v>
      </c>
      <c r="U2572" t="s">
        <v>1327</v>
      </c>
      <c r="X2572">
        <v>0</v>
      </c>
    </row>
    <row r="2573" spans="1:24" x14ac:dyDescent="0.25">
      <c r="A2573" s="234">
        <v>43403</v>
      </c>
      <c r="B2573" t="s">
        <v>569</v>
      </c>
      <c r="C2573" t="s">
        <v>899</v>
      </c>
      <c r="D2573" t="s">
        <v>732</v>
      </c>
      <c r="F2573" t="s">
        <v>10501</v>
      </c>
      <c r="G2573" t="s">
        <v>732</v>
      </c>
      <c r="H2573" t="s">
        <v>607</v>
      </c>
      <c r="I2573" t="s">
        <v>3586</v>
      </c>
      <c r="J2573" t="s">
        <v>899</v>
      </c>
      <c r="K2573" t="s">
        <v>13121</v>
      </c>
      <c r="L2573">
        <v>10</v>
      </c>
      <c r="M2573" s="134">
        <v>1089000</v>
      </c>
      <c r="N2573" s="134">
        <v>2369100</v>
      </c>
      <c r="O2573" t="s">
        <v>7124</v>
      </c>
      <c r="P2573" t="s">
        <v>13120</v>
      </c>
      <c r="Q2573" t="s">
        <v>29</v>
      </c>
      <c r="R2573" t="s">
        <v>13122</v>
      </c>
      <c r="U2573" t="s">
        <v>12344</v>
      </c>
      <c r="X2573">
        <v>1</v>
      </c>
    </row>
    <row r="2574" spans="1:24" x14ac:dyDescent="0.25">
      <c r="A2574" s="234">
        <v>42811</v>
      </c>
      <c r="B2574" t="s">
        <v>569</v>
      </c>
      <c r="C2574" t="s">
        <v>899</v>
      </c>
      <c r="D2574" t="s">
        <v>624</v>
      </c>
      <c r="E2574" t="s">
        <v>588</v>
      </c>
      <c r="F2574" t="s">
        <v>6001</v>
      </c>
      <c r="H2574" t="s">
        <v>6002</v>
      </c>
      <c r="I2574" t="s">
        <v>6003</v>
      </c>
      <c r="J2574" t="s">
        <v>899</v>
      </c>
      <c r="L2574">
        <v>4</v>
      </c>
      <c r="M2574" s="134">
        <v>1091800</v>
      </c>
      <c r="N2574" s="134">
        <v>2074420</v>
      </c>
      <c r="O2574" t="s">
        <v>6005</v>
      </c>
      <c r="P2574" t="s">
        <v>6004</v>
      </c>
      <c r="Q2574" t="s">
        <v>1939</v>
      </c>
      <c r="R2574" t="s">
        <v>6006</v>
      </c>
      <c r="U2574" t="s">
        <v>1327</v>
      </c>
      <c r="X2574">
        <v>0</v>
      </c>
    </row>
    <row r="2575" spans="1:24" x14ac:dyDescent="0.25">
      <c r="A2575" s="234">
        <v>42909</v>
      </c>
      <c r="B2575" t="s">
        <v>569</v>
      </c>
      <c r="D2575" t="s">
        <v>624</v>
      </c>
      <c r="E2575" t="s">
        <v>588</v>
      </c>
      <c r="F2575" t="s">
        <v>7348</v>
      </c>
      <c r="H2575" t="s">
        <v>607</v>
      </c>
      <c r="I2575" t="s">
        <v>7349</v>
      </c>
      <c r="J2575" t="s">
        <v>899</v>
      </c>
      <c r="M2575" s="134">
        <v>1093982</v>
      </c>
      <c r="N2575" s="134">
        <v>1900000</v>
      </c>
      <c r="O2575" t="s">
        <v>1844</v>
      </c>
      <c r="P2575" t="s">
        <v>7350</v>
      </c>
      <c r="Q2575" t="s">
        <v>1939</v>
      </c>
      <c r="R2575" t="s">
        <v>7351</v>
      </c>
      <c r="U2575" t="s">
        <v>491</v>
      </c>
      <c r="X2575">
        <v>0</v>
      </c>
    </row>
    <row r="2576" spans="1:24" x14ac:dyDescent="0.25">
      <c r="A2576" s="234">
        <v>42760</v>
      </c>
      <c r="B2576" t="s">
        <v>643</v>
      </c>
      <c r="C2576" t="s">
        <v>644</v>
      </c>
      <c r="D2576" t="s">
        <v>645</v>
      </c>
      <c r="E2576" t="s">
        <v>588</v>
      </c>
      <c r="F2576" t="s">
        <v>5451</v>
      </c>
      <c r="H2576" t="s">
        <v>607</v>
      </c>
      <c r="I2576" t="s">
        <v>5452</v>
      </c>
      <c r="J2576" t="s">
        <v>644</v>
      </c>
      <c r="L2576" t="s">
        <v>5280</v>
      </c>
      <c r="M2576" s="134">
        <v>1094000</v>
      </c>
      <c r="N2576" s="134">
        <v>1604000</v>
      </c>
      <c r="O2576" t="s">
        <v>695</v>
      </c>
      <c r="P2576" t="s">
        <v>5453</v>
      </c>
      <c r="Q2576" t="s">
        <v>592</v>
      </c>
      <c r="R2576" t="s">
        <v>5454</v>
      </c>
      <c r="U2576" t="s">
        <v>491</v>
      </c>
      <c r="X2576">
        <v>0</v>
      </c>
    </row>
    <row r="2577" spans="1:24" x14ac:dyDescent="0.25">
      <c r="A2577" s="234">
        <v>42843</v>
      </c>
      <c r="B2577" t="s">
        <v>328</v>
      </c>
      <c r="C2577" t="s">
        <v>603</v>
      </c>
      <c r="D2577" t="s">
        <v>5701</v>
      </c>
      <c r="E2577" t="s">
        <v>588</v>
      </c>
      <c r="F2577" t="s">
        <v>6467</v>
      </c>
      <c r="H2577" t="s">
        <v>722</v>
      </c>
      <c r="I2577" t="s">
        <v>6468</v>
      </c>
      <c r="J2577" t="s">
        <v>5562</v>
      </c>
      <c r="L2577">
        <v>10</v>
      </c>
      <c r="M2577" s="134">
        <v>1094000</v>
      </c>
      <c r="N2577" s="134">
        <v>2113200</v>
      </c>
      <c r="O2577" t="s">
        <v>560</v>
      </c>
      <c r="P2577" t="s">
        <v>6469</v>
      </c>
      <c r="Q2577" t="s">
        <v>1939</v>
      </c>
      <c r="R2577" t="s">
        <v>6470</v>
      </c>
      <c r="U2577" t="s">
        <v>491</v>
      </c>
      <c r="X2577">
        <v>0</v>
      </c>
    </row>
    <row r="2578" spans="1:24" x14ac:dyDescent="0.25">
      <c r="A2578" s="234">
        <v>43227</v>
      </c>
      <c r="B2578" t="s">
        <v>5360</v>
      </c>
      <c r="C2578" t="s">
        <v>899</v>
      </c>
      <c r="D2578" t="s">
        <v>1027</v>
      </c>
      <c r="E2578" t="s">
        <v>588</v>
      </c>
      <c r="F2578" t="s">
        <v>11198</v>
      </c>
      <c r="G2578" t="s">
        <v>10080</v>
      </c>
      <c r="H2578" t="s">
        <v>607</v>
      </c>
      <c r="I2578" t="s">
        <v>3586</v>
      </c>
      <c r="J2578" t="s">
        <v>899</v>
      </c>
      <c r="L2578">
        <v>10</v>
      </c>
      <c r="M2578" s="134">
        <v>1095771</v>
      </c>
      <c r="N2578" s="134">
        <v>1545771</v>
      </c>
      <c r="O2578" t="s">
        <v>7124</v>
      </c>
      <c r="P2578" t="s">
        <v>11199</v>
      </c>
      <c r="Q2578" t="s">
        <v>1939</v>
      </c>
      <c r="R2578" t="s">
        <v>11200</v>
      </c>
      <c r="U2578" t="s">
        <v>1327</v>
      </c>
      <c r="X2578">
        <v>0</v>
      </c>
    </row>
    <row r="2579" spans="1:24" x14ac:dyDescent="0.25">
      <c r="A2579" s="234">
        <v>42976</v>
      </c>
      <c r="B2579" t="s">
        <v>569</v>
      </c>
      <c r="C2579" t="s">
        <v>899</v>
      </c>
      <c r="D2579" t="s">
        <v>625</v>
      </c>
      <c r="E2579" t="s">
        <v>821</v>
      </c>
      <c r="F2579" t="s">
        <v>8338</v>
      </c>
      <c r="H2579" t="s">
        <v>607</v>
      </c>
      <c r="I2579" t="s">
        <v>4256</v>
      </c>
      <c r="J2579" t="s">
        <v>899</v>
      </c>
      <c r="M2579" s="134">
        <v>1100000</v>
      </c>
      <c r="N2579" s="134">
        <v>0</v>
      </c>
      <c r="O2579" t="s">
        <v>8342</v>
      </c>
      <c r="P2579" t="s">
        <v>8343</v>
      </c>
      <c r="Q2579" t="s">
        <v>1939</v>
      </c>
      <c r="R2579" t="s">
        <v>8344</v>
      </c>
      <c r="T2579">
        <v>10</v>
      </c>
      <c r="U2579" t="s">
        <v>491</v>
      </c>
      <c r="X2579">
        <v>0</v>
      </c>
    </row>
    <row r="2580" spans="1:24" x14ac:dyDescent="0.25">
      <c r="A2580" s="234">
        <v>43074</v>
      </c>
      <c r="B2580" t="s">
        <v>569</v>
      </c>
      <c r="C2580" t="s">
        <v>899</v>
      </c>
      <c r="D2580" t="s">
        <v>625</v>
      </c>
      <c r="E2580" t="s">
        <v>588</v>
      </c>
      <c r="F2580" t="s">
        <v>7850</v>
      </c>
      <c r="G2580" t="s">
        <v>9646</v>
      </c>
      <c r="H2580" t="s">
        <v>1391</v>
      </c>
      <c r="I2580" t="s">
        <v>7088</v>
      </c>
      <c r="J2580" t="s">
        <v>899</v>
      </c>
      <c r="M2580" s="134">
        <v>1100000</v>
      </c>
      <c r="N2580" s="134">
        <v>0</v>
      </c>
      <c r="O2580" t="s">
        <v>9647</v>
      </c>
      <c r="P2580" t="s">
        <v>9648</v>
      </c>
      <c r="Q2580" t="s">
        <v>592</v>
      </c>
      <c r="S2580" t="s">
        <v>9649</v>
      </c>
      <c r="U2580" t="s">
        <v>491</v>
      </c>
      <c r="X2580">
        <v>0</v>
      </c>
    </row>
    <row r="2581" spans="1:24" x14ac:dyDescent="0.25">
      <c r="A2581" s="234">
        <v>42578</v>
      </c>
      <c r="B2581" t="s">
        <v>1486</v>
      </c>
      <c r="C2581" t="s">
        <v>1363</v>
      </c>
      <c r="D2581" t="s">
        <v>1495</v>
      </c>
      <c r="E2581" t="s">
        <v>588</v>
      </c>
      <c r="F2581" t="s">
        <v>3053</v>
      </c>
      <c r="H2581" t="s">
        <v>1057</v>
      </c>
      <c r="I2581" t="s">
        <v>3055</v>
      </c>
      <c r="M2581" s="134">
        <v>1100000</v>
      </c>
      <c r="N2581" s="134">
        <v>1200000</v>
      </c>
      <c r="O2581" t="s">
        <v>1498</v>
      </c>
      <c r="P2581" t="s">
        <v>3056</v>
      </c>
      <c r="Q2581" t="s">
        <v>1939</v>
      </c>
      <c r="R2581" t="s">
        <v>3057</v>
      </c>
      <c r="U2581" t="s">
        <v>491</v>
      </c>
      <c r="X2581">
        <v>0</v>
      </c>
    </row>
    <row r="2582" spans="1:24" x14ac:dyDescent="0.25">
      <c r="A2582" s="234">
        <v>42767</v>
      </c>
      <c r="B2582" t="s">
        <v>328</v>
      </c>
      <c r="C2582" t="s">
        <v>603</v>
      </c>
      <c r="D2582" t="s">
        <v>672</v>
      </c>
      <c r="E2582" t="s">
        <v>588</v>
      </c>
      <c r="F2582" t="s">
        <v>5565</v>
      </c>
      <c r="H2582" t="s">
        <v>722</v>
      </c>
      <c r="I2582" t="s">
        <v>5218</v>
      </c>
      <c r="J2582" t="s">
        <v>899</v>
      </c>
      <c r="L2582">
        <v>2</v>
      </c>
      <c r="M2582" s="134">
        <v>1100000</v>
      </c>
      <c r="N2582" s="134">
        <v>1235000</v>
      </c>
      <c r="O2582" t="s">
        <v>695</v>
      </c>
      <c r="P2582" t="s">
        <v>5566</v>
      </c>
      <c r="Q2582" t="s">
        <v>592</v>
      </c>
      <c r="R2582" t="s">
        <v>5567</v>
      </c>
      <c r="U2582" t="s">
        <v>491</v>
      </c>
      <c r="X2582">
        <v>0</v>
      </c>
    </row>
    <row r="2583" spans="1:24" x14ac:dyDescent="0.25">
      <c r="A2583" s="234">
        <v>42478</v>
      </c>
      <c r="B2583" t="s">
        <v>328</v>
      </c>
      <c r="C2583" t="s">
        <v>603</v>
      </c>
      <c r="D2583" t="s">
        <v>672</v>
      </c>
      <c r="E2583" t="s">
        <v>588</v>
      </c>
      <c r="F2583" t="s">
        <v>1718</v>
      </c>
      <c r="H2583" t="s">
        <v>1719</v>
      </c>
      <c r="I2583" t="s">
        <v>1721</v>
      </c>
      <c r="M2583" s="134">
        <v>1100000</v>
      </c>
      <c r="N2583" s="134">
        <v>1235000</v>
      </c>
      <c r="O2583" t="s">
        <v>1720</v>
      </c>
      <c r="P2583" t="s">
        <v>1722</v>
      </c>
      <c r="Q2583" t="s">
        <v>592</v>
      </c>
      <c r="R2583" t="s">
        <v>1723</v>
      </c>
      <c r="U2583" t="s">
        <v>491</v>
      </c>
      <c r="X2583">
        <v>0</v>
      </c>
    </row>
    <row r="2584" spans="1:24" x14ac:dyDescent="0.25">
      <c r="A2584" s="234">
        <v>42860</v>
      </c>
      <c r="B2584" t="s">
        <v>5176</v>
      </c>
      <c r="D2584" t="s">
        <v>2454</v>
      </c>
      <c r="E2584" t="s">
        <v>588</v>
      </c>
      <c r="F2584" t="s">
        <v>6698</v>
      </c>
      <c r="H2584" t="s">
        <v>809</v>
      </c>
      <c r="I2584" t="s">
        <v>6699</v>
      </c>
      <c r="J2584" t="s">
        <v>959</v>
      </c>
      <c r="M2584" s="134">
        <v>1100000</v>
      </c>
      <c r="N2584" s="134">
        <v>1310000</v>
      </c>
      <c r="O2584" t="s">
        <v>6700</v>
      </c>
      <c r="P2584" t="s">
        <v>6701</v>
      </c>
      <c r="Q2584" t="s">
        <v>1939</v>
      </c>
      <c r="R2584" t="s">
        <v>6702</v>
      </c>
      <c r="U2584" t="s">
        <v>491</v>
      </c>
      <c r="X2584">
        <v>0</v>
      </c>
    </row>
    <row r="2585" spans="1:24" x14ac:dyDescent="0.25">
      <c r="A2585" s="234">
        <v>42678</v>
      </c>
      <c r="B2585" t="s">
        <v>378</v>
      </c>
      <c r="C2585" t="s">
        <v>899</v>
      </c>
      <c r="D2585" t="s">
        <v>625</v>
      </c>
      <c r="E2585" t="s">
        <v>588</v>
      </c>
      <c r="F2585" t="s">
        <v>4603</v>
      </c>
      <c r="H2585" t="s">
        <v>607</v>
      </c>
      <c r="I2585" t="s">
        <v>2054</v>
      </c>
      <c r="J2585" t="s">
        <v>899</v>
      </c>
      <c r="L2585">
        <v>2</v>
      </c>
      <c r="M2585" s="134">
        <v>1100000</v>
      </c>
      <c r="N2585" s="134">
        <v>1457500</v>
      </c>
      <c r="O2585" t="s">
        <v>4602</v>
      </c>
      <c r="P2585" t="s">
        <v>4601</v>
      </c>
      <c r="Q2585" t="s">
        <v>29</v>
      </c>
      <c r="R2585" t="s">
        <v>4600</v>
      </c>
      <c r="U2585" t="s">
        <v>1327</v>
      </c>
      <c r="X2585">
        <v>1</v>
      </c>
    </row>
    <row r="2586" spans="1:24" x14ac:dyDescent="0.25">
      <c r="A2586" s="234">
        <v>42819</v>
      </c>
      <c r="B2586" t="s">
        <v>569</v>
      </c>
      <c r="D2586" t="s">
        <v>930</v>
      </c>
      <c r="E2586" t="s">
        <v>588</v>
      </c>
      <c r="F2586" t="s">
        <v>6115</v>
      </c>
      <c r="H2586" t="s">
        <v>607</v>
      </c>
      <c r="I2586" t="s">
        <v>3721</v>
      </c>
      <c r="J2586" t="s">
        <v>899</v>
      </c>
      <c r="M2586" s="134">
        <v>1100000</v>
      </c>
      <c r="N2586" s="134">
        <v>1525000</v>
      </c>
      <c r="O2586" t="s">
        <v>695</v>
      </c>
      <c r="P2586" t="s">
        <v>6116</v>
      </c>
      <c r="Q2586" t="s">
        <v>592</v>
      </c>
      <c r="R2586" t="s">
        <v>6117</v>
      </c>
      <c r="U2586" t="s">
        <v>491</v>
      </c>
      <c r="X2586">
        <v>0</v>
      </c>
    </row>
    <row r="2587" spans="1:24" x14ac:dyDescent="0.25">
      <c r="A2587" s="234">
        <v>42717</v>
      </c>
      <c r="B2587" t="s">
        <v>378</v>
      </c>
      <c r="C2587" t="s">
        <v>899</v>
      </c>
      <c r="D2587" t="s">
        <v>624</v>
      </c>
      <c r="E2587" t="s">
        <v>588</v>
      </c>
      <c r="F2587" t="s">
        <v>4995</v>
      </c>
      <c r="H2587" t="s">
        <v>607</v>
      </c>
      <c r="I2587" t="s">
        <v>2054</v>
      </c>
      <c r="J2587" t="s">
        <v>899</v>
      </c>
      <c r="L2587">
        <v>2</v>
      </c>
      <c r="M2587" s="134">
        <v>1100000</v>
      </c>
      <c r="N2587" s="134">
        <v>1600000</v>
      </c>
      <c r="O2587" t="s">
        <v>4994</v>
      </c>
      <c r="P2587" t="s">
        <v>4992</v>
      </c>
      <c r="Q2587" t="s">
        <v>1939</v>
      </c>
      <c r="R2587" t="s">
        <v>4993</v>
      </c>
      <c r="U2587" t="s">
        <v>1327</v>
      </c>
      <c r="X2587">
        <v>0</v>
      </c>
    </row>
    <row r="2588" spans="1:24" x14ac:dyDescent="0.25">
      <c r="A2588" s="234">
        <v>42856</v>
      </c>
      <c r="B2588" t="s">
        <v>569</v>
      </c>
      <c r="C2588" t="s">
        <v>899</v>
      </c>
      <c r="D2588" t="s">
        <v>930</v>
      </c>
      <c r="E2588" t="s">
        <v>1707</v>
      </c>
      <c r="F2588" t="s">
        <v>6638</v>
      </c>
      <c r="H2588" t="s">
        <v>6002</v>
      </c>
      <c r="I2588" t="s">
        <v>4078</v>
      </c>
      <c r="J2588" t="s">
        <v>899</v>
      </c>
      <c r="M2588" s="134">
        <v>1100000</v>
      </c>
      <c r="N2588" s="134">
        <v>1650000</v>
      </c>
      <c r="O2588" t="s">
        <v>3785</v>
      </c>
      <c r="P2588" t="s">
        <v>6639</v>
      </c>
      <c r="Q2588" t="s">
        <v>1939</v>
      </c>
      <c r="R2588" t="s">
        <v>6640</v>
      </c>
      <c r="U2588" t="s">
        <v>1327</v>
      </c>
      <c r="X2588">
        <v>0</v>
      </c>
    </row>
    <row r="2589" spans="1:24" x14ac:dyDescent="0.25">
      <c r="A2589" s="234">
        <v>42887</v>
      </c>
      <c r="B2589" t="s">
        <v>328</v>
      </c>
      <c r="C2589" t="s">
        <v>603</v>
      </c>
      <c r="D2589" t="s">
        <v>649</v>
      </c>
      <c r="E2589" t="s">
        <v>588</v>
      </c>
      <c r="F2589" t="s">
        <v>1408</v>
      </c>
      <c r="H2589" t="s">
        <v>6002</v>
      </c>
      <c r="I2589" t="s">
        <v>4279</v>
      </c>
      <c r="J2589" t="s">
        <v>899</v>
      </c>
      <c r="L2589">
        <v>9</v>
      </c>
      <c r="M2589" s="134">
        <v>1100000</v>
      </c>
      <c r="N2589" s="134">
        <v>1760000</v>
      </c>
      <c r="O2589" t="s">
        <v>6183</v>
      </c>
      <c r="P2589" t="s">
        <v>7057</v>
      </c>
      <c r="Q2589" t="s">
        <v>592</v>
      </c>
      <c r="R2589" t="s">
        <v>7014</v>
      </c>
      <c r="U2589" t="s">
        <v>1327</v>
      </c>
      <c r="X2589">
        <v>0</v>
      </c>
    </row>
    <row r="2590" spans="1:24" x14ac:dyDescent="0.25">
      <c r="A2590" s="234">
        <v>42823</v>
      </c>
      <c r="B2590" t="s">
        <v>328</v>
      </c>
      <c r="C2590" t="s">
        <v>603</v>
      </c>
      <c r="D2590" t="s">
        <v>672</v>
      </c>
      <c r="E2590" t="s">
        <v>588</v>
      </c>
      <c r="F2590" t="s">
        <v>6189</v>
      </c>
      <c r="H2590" t="s">
        <v>607</v>
      </c>
      <c r="J2590" t="s">
        <v>899</v>
      </c>
      <c r="L2590">
        <v>1</v>
      </c>
      <c r="M2590" s="134">
        <v>1100000</v>
      </c>
      <c r="N2590" s="134">
        <v>1831000</v>
      </c>
      <c r="O2590" t="s">
        <v>6008</v>
      </c>
      <c r="P2590" t="s">
        <v>6190</v>
      </c>
      <c r="Q2590" t="s">
        <v>592</v>
      </c>
      <c r="R2590" t="s">
        <v>6191</v>
      </c>
      <c r="U2590" t="s">
        <v>1327</v>
      </c>
      <c r="X2590">
        <v>0</v>
      </c>
    </row>
    <row r="2591" spans="1:24" x14ac:dyDescent="0.25">
      <c r="A2591" s="234">
        <v>42941</v>
      </c>
      <c r="B2591" t="s">
        <v>328</v>
      </c>
      <c r="D2591" t="s">
        <v>5701</v>
      </c>
      <c r="E2591" t="s">
        <v>588</v>
      </c>
      <c r="F2591" t="s">
        <v>7760</v>
      </c>
      <c r="G2591" t="s">
        <v>7761</v>
      </c>
      <c r="H2591" t="s">
        <v>1391</v>
      </c>
      <c r="I2591" t="s">
        <v>7762</v>
      </c>
      <c r="J2591" t="s">
        <v>959</v>
      </c>
      <c r="L2591">
        <v>2</v>
      </c>
      <c r="M2591" s="134">
        <v>1100000</v>
      </c>
      <c r="N2591" s="134">
        <v>1870000</v>
      </c>
      <c r="O2591" t="s">
        <v>695</v>
      </c>
      <c r="P2591" t="s">
        <v>7938</v>
      </c>
      <c r="Q2591" t="s">
        <v>1939</v>
      </c>
      <c r="R2591" t="s">
        <v>7774</v>
      </c>
      <c r="S2591" t="s">
        <v>7773</v>
      </c>
      <c r="U2591" t="s">
        <v>491</v>
      </c>
      <c r="X2591">
        <v>0</v>
      </c>
    </row>
    <row r="2592" spans="1:24" x14ac:dyDescent="0.25">
      <c r="A2592" s="234">
        <v>42454</v>
      </c>
      <c r="B2592" t="s">
        <v>328</v>
      </c>
      <c r="C2592" t="s">
        <v>603</v>
      </c>
      <c r="D2592" t="s">
        <v>649</v>
      </c>
      <c r="E2592" t="s">
        <v>588</v>
      </c>
      <c r="F2592" t="s">
        <v>1408</v>
      </c>
      <c r="H2592" t="s">
        <v>607</v>
      </c>
      <c r="I2592" t="s">
        <v>1409</v>
      </c>
      <c r="M2592" s="134">
        <v>1100000</v>
      </c>
      <c r="N2592" s="134">
        <v>1870000</v>
      </c>
      <c r="O2592" t="s">
        <v>840</v>
      </c>
      <c r="P2592" t="s">
        <v>1410</v>
      </c>
      <c r="Q2592" t="s">
        <v>592</v>
      </c>
      <c r="R2592" t="s">
        <v>1411</v>
      </c>
      <c r="U2592" t="s">
        <v>491</v>
      </c>
      <c r="X2592">
        <v>0</v>
      </c>
    </row>
    <row r="2593" spans="1:24" x14ac:dyDescent="0.25">
      <c r="A2593" s="234">
        <v>42537</v>
      </c>
      <c r="B2593" t="s">
        <v>328</v>
      </c>
      <c r="C2593" t="s">
        <v>603</v>
      </c>
      <c r="D2593" t="s">
        <v>1471</v>
      </c>
      <c r="E2593" t="s">
        <v>588</v>
      </c>
      <c r="F2593" t="s">
        <v>3343</v>
      </c>
      <c r="H2593" t="s">
        <v>607</v>
      </c>
      <c r="I2593" t="s">
        <v>3344</v>
      </c>
      <c r="J2593" t="s">
        <v>899</v>
      </c>
      <c r="L2593">
        <v>10</v>
      </c>
      <c r="M2593" s="134">
        <v>1100000</v>
      </c>
      <c r="N2593" s="134">
        <v>1870000</v>
      </c>
      <c r="O2593" t="s">
        <v>560</v>
      </c>
      <c r="P2593" t="s">
        <v>3345</v>
      </c>
      <c r="Q2593" t="s">
        <v>592</v>
      </c>
      <c r="U2593" t="s">
        <v>491</v>
      </c>
      <c r="X2593">
        <v>0</v>
      </c>
    </row>
    <row r="2594" spans="1:24" x14ac:dyDescent="0.25">
      <c r="A2594" s="234">
        <v>42551</v>
      </c>
      <c r="B2594" t="s">
        <v>328</v>
      </c>
      <c r="C2594" t="s">
        <v>603</v>
      </c>
      <c r="D2594" t="s">
        <v>1401</v>
      </c>
      <c r="E2594" t="s">
        <v>588</v>
      </c>
      <c r="F2594" t="s">
        <v>2723</v>
      </c>
      <c r="H2594" t="s">
        <v>607</v>
      </c>
      <c r="I2594" t="s">
        <v>2724</v>
      </c>
      <c r="M2594" s="134">
        <v>1100000</v>
      </c>
      <c r="N2594" s="134">
        <v>1920000</v>
      </c>
      <c r="O2594" t="s">
        <v>2725</v>
      </c>
      <c r="P2594" t="s">
        <v>2727</v>
      </c>
      <c r="Q2594" t="s">
        <v>1939</v>
      </c>
      <c r="R2594" t="s">
        <v>2728</v>
      </c>
      <c r="U2594" t="s">
        <v>491</v>
      </c>
      <c r="X2594">
        <v>0</v>
      </c>
    </row>
    <row r="2595" spans="1:24" x14ac:dyDescent="0.25">
      <c r="A2595" s="234">
        <v>42696</v>
      </c>
      <c r="B2595" t="s">
        <v>328</v>
      </c>
      <c r="C2595" t="s">
        <v>603</v>
      </c>
      <c r="D2595" t="s">
        <v>1471</v>
      </c>
      <c r="E2595" t="s">
        <v>588</v>
      </c>
      <c r="F2595" t="s">
        <v>4808</v>
      </c>
      <c r="H2595" t="s">
        <v>905</v>
      </c>
      <c r="I2595" t="s">
        <v>4807</v>
      </c>
      <c r="J2595" t="s">
        <v>644</v>
      </c>
      <c r="L2595">
        <v>10</v>
      </c>
      <c r="M2595" s="134">
        <v>1100000</v>
      </c>
      <c r="N2595" s="134">
        <v>1930000</v>
      </c>
      <c r="O2595" t="s">
        <v>2680</v>
      </c>
      <c r="P2595" t="s">
        <v>4805</v>
      </c>
      <c r="Q2595" t="s">
        <v>29</v>
      </c>
      <c r="R2595" t="s">
        <v>4806</v>
      </c>
      <c r="U2595" t="s">
        <v>1327</v>
      </c>
      <c r="X2595">
        <v>1</v>
      </c>
    </row>
    <row r="2596" spans="1:24" x14ac:dyDescent="0.25">
      <c r="A2596" s="234">
        <v>42761</v>
      </c>
      <c r="B2596" t="s">
        <v>5992</v>
      </c>
      <c r="C2596" t="s">
        <v>608</v>
      </c>
      <c r="D2596" t="s">
        <v>5419</v>
      </c>
      <c r="E2596" t="s">
        <v>588</v>
      </c>
      <c r="F2596" t="s">
        <v>5458</v>
      </c>
      <c r="H2596" t="s">
        <v>607</v>
      </c>
      <c r="I2596" t="s">
        <v>5459</v>
      </c>
      <c r="J2596" t="s">
        <v>608</v>
      </c>
      <c r="L2596" t="s">
        <v>5440</v>
      </c>
      <c r="M2596" s="134">
        <v>1100000</v>
      </c>
      <c r="N2596" s="134">
        <v>1980000</v>
      </c>
      <c r="O2596" t="s">
        <v>5460</v>
      </c>
      <c r="P2596" t="s">
        <v>5461</v>
      </c>
      <c r="Q2596" t="s">
        <v>620</v>
      </c>
      <c r="R2596" t="s">
        <v>6315</v>
      </c>
      <c r="U2596" t="s">
        <v>491</v>
      </c>
      <c r="X2596">
        <v>0</v>
      </c>
    </row>
    <row r="2597" spans="1:24" x14ac:dyDescent="0.25">
      <c r="A2597" s="234">
        <v>42819</v>
      </c>
      <c r="B2597" t="s">
        <v>569</v>
      </c>
      <c r="D2597" t="s">
        <v>625</v>
      </c>
      <c r="E2597" t="s">
        <v>588</v>
      </c>
      <c r="F2597" t="s">
        <v>6130</v>
      </c>
      <c r="H2597" t="s">
        <v>607</v>
      </c>
      <c r="I2597" t="s">
        <v>6131</v>
      </c>
      <c r="J2597" t="s">
        <v>899</v>
      </c>
      <c r="M2597" s="134">
        <v>1100000</v>
      </c>
      <c r="N2597" s="134">
        <v>1980000</v>
      </c>
      <c r="O2597" t="s">
        <v>1171</v>
      </c>
      <c r="P2597" t="s">
        <v>6132</v>
      </c>
      <c r="Q2597" t="s">
        <v>1939</v>
      </c>
      <c r="R2597" t="s">
        <v>6133</v>
      </c>
      <c r="U2597" t="s">
        <v>491</v>
      </c>
      <c r="X2597">
        <v>0</v>
      </c>
    </row>
    <row r="2598" spans="1:24" x14ac:dyDescent="0.25">
      <c r="A2598" s="234">
        <v>42957</v>
      </c>
      <c r="B2598" t="s">
        <v>328</v>
      </c>
      <c r="C2598" t="s">
        <v>603</v>
      </c>
      <c r="D2598" t="s">
        <v>2500</v>
      </c>
      <c r="E2598" t="s">
        <v>588</v>
      </c>
      <c r="F2598" t="s">
        <v>6744</v>
      </c>
      <c r="G2598" t="s">
        <v>8086</v>
      </c>
      <c r="H2598" t="s">
        <v>905</v>
      </c>
      <c r="I2598" t="s">
        <v>8087</v>
      </c>
      <c r="J2598" t="s">
        <v>899</v>
      </c>
      <c r="L2598">
        <v>1</v>
      </c>
      <c r="M2598" s="134">
        <v>1100000</v>
      </c>
      <c r="N2598" s="134">
        <v>2110000</v>
      </c>
      <c r="O2598" t="s">
        <v>560</v>
      </c>
      <c r="P2598" t="s">
        <v>8088</v>
      </c>
      <c r="Q2598" t="s">
        <v>1939</v>
      </c>
      <c r="R2598" t="s">
        <v>8089</v>
      </c>
      <c r="T2598">
        <v>13</v>
      </c>
      <c r="U2598" t="s">
        <v>491</v>
      </c>
      <c r="X2598">
        <v>0</v>
      </c>
    </row>
    <row r="2599" spans="1:24" x14ac:dyDescent="0.25">
      <c r="A2599" s="234">
        <v>42986</v>
      </c>
      <c r="B2599" t="s">
        <v>328</v>
      </c>
      <c r="C2599" t="s">
        <v>603</v>
      </c>
      <c r="D2599" t="s">
        <v>2500</v>
      </c>
      <c r="E2599" t="s">
        <v>588</v>
      </c>
      <c r="F2599" t="s">
        <v>8478</v>
      </c>
      <c r="G2599" t="s">
        <v>2500</v>
      </c>
      <c r="H2599" t="s">
        <v>607</v>
      </c>
      <c r="I2599" t="s">
        <v>8479</v>
      </c>
      <c r="J2599" t="s">
        <v>899</v>
      </c>
      <c r="L2599">
        <v>10</v>
      </c>
      <c r="M2599" s="134">
        <v>1100000</v>
      </c>
      <c r="N2599" s="134">
        <v>2120000</v>
      </c>
      <c r="O2599" t="s">
        <v>560</v>
      </c>
      <c r="P2599" t="s">
        <v>8480</v>
      </c>
      <c r="Q2599" t="s">
        <v>1939</v>
      </c>
      <c r="R2599" t="s">
        <v>8481</v>
      </c>
      <c r="T2599">
        <v>27</v>
      </c>
      <c r="U2599" t="s">
        <v>491</v>
      </c>
      <c r="X2599">
        <v>0</v>
      </c>
    </row>
    <row r="2600" spans="1:24" x14ac:dyDescent="0.25">
      <c r="A2600" s="234">
        <v>42545</v>
      </c>
      <c r="B2600" t="s">
        <v>328</v>
      </c>
      <c r="C2600" t="s">
        <v>603</v>
      </c>
      <c r="D2600" t="s">
        <v>1471</v>
      </c>
      <c r="E2600" t="s">
        <v>588</v>
      </c>
      <c r="F2600" t="s">
        <v>2656</v>
      </c>
      <c r="H2600" t="s">
        <v>722</v>
      </c>
      <c r="I2600" t="s">
        <v>2657</v>
      </c>
      <c r="M2600" s="134">
        <v>1100000</v>
      </c>
      <c r="N2600" s="134">
        <v>2145000</v>
      </c>
      <c r="O2600" t="s">
        <v>2658</v>
      </c>
      <c r="P2600" t="s">
        <v>2659</v>
      </c>
      <c r="Q2600" t="s">
        <v>29</v>
      </c>
      <c r="R2600" t="s">
        <v>2660</v>
      </c>
      <c r="S2600" t="s">
        <v>2669</v>
      </c>
      <c r="U2600" t="s">
        <v>491</v>
      </c>
      <c r="X2600">
        <v>1</v>
      </c>
    </row>
    <row r="2601" spans="1:24" x14ac:dyDescent="0.25">
      <c r="A2601" s="234">
        <v>43194</v>
      </c>
      <c r="B2601" t="s">
        <v>5473</v>
      </c>
      <c r="C2601" t="s">
        <v>608</v>
      </c>
      <c r="D2601" t="s">
        <v>2678</v>
      </c>
      <c r="E2601" t="s">
        <v>588</v>
      </c>
      <c r="F2601" t="s">
        <v>10803</v>
      </c>
      <c r="G2601" t="s">
        <v>10804</v>
      </c>
      <c r="H2601" t="s">
        <v>607</v>
      </c>
      <c r="I2601" t="s">
        <v>10805</v>
      </c>
      <c r="J2601" t="s">
        <v>602</v>
      </c>
      <c r="L2601">
        <v>10</v>
      </c>
      <c r="M2601" s="134">
        <v>1100000</v>
      </c>
      <c r="N2601" s="134">
        <v>2200000</v>
      </c>
      <c r="O2601" t="s">
        <v>7124</v>
      </c>
      <c r="P2601" t="s">
        <v>10806</v>
      </c>
      <c r="Q2601" t="s">
        <v>592</v>
      </c>
      <c r="R2601" t="s">
        <v>10807</v>
      </c>
      <c r="U2601" t="s">
        <v>491</v>
      </c>
      <c r="X2601">
        <v>0</v>
      </c>
    </row>
    <row r="2602" spans="1:24" x14ac:dyDescent="0.25">
      <c r="A2602" s="234">
        <v>43040</v>
      </c>
      <c r="B2602" t="s">
        <v>328</v>
      </c>
      <c r="C2602" t="s">
        <v>603</v>
      </c>
      <c r="D2602" t="s">
        <v>649</v>
      </c>
      <c r="E2602" t="s">
        <v>588</v>
      </c>
      <c r="F2602" t="s">
        <v>9299</v>
      </c>
      <c r="G2602" t="s">
        <v>9300</v>
      </c>
      <c r="H2602" t="s">
        <v>1391</v>
      </c>
      <c r="J2602" t="s">
        <v>899</v>
      </c>
      <c r="L2602">
        <v>10</v>
      </c>
      <c r="M2602" s="134">
        <v>1100000</v>
      </c>
      <c r="N2602" s="134">
        <v>2200000</v>
      </c>
      <c r="O2602" t="s">
        <v>2886</v>
      </c>
      <c r="P2602" t="s">
        <v>9301</v>
      </c>
      <c r="Q2602" t="s">
        <v>592</v>
      </c>
      <c r="R2602" t="s">
        <v>9302</v>
      </c>
      <c r="U2602" t="s">
        <v>1327</v>
      </c>
      <c r="X2602">
        <v>0</v>
      </c>
    </row>
    <row r="2603" spans="1:24" x14ac:dyDescent="0.25">
      <c r="A2603" s="234">
        <v>42496</v>
      </c>
      <c r="B2603" t="s">
        <v>378</v>
      </c>
      <c r="C2603" t="s">
        <v>623</v>
      </c>
      <c r="D2603" t="s">
        <v>930</v>
      </c>
      <c r="E2603" t="s">
        <v>588</v>
      </c>
      <c r="F2603" t="s">
        <v>1972</v>
      </c>
      <c r="H2603" t="s">
        <v>607</v>
      </c>
      <c r="I2603" t="s">
        <v>1973</v>
      </c>
      <c r="M2603" s="134">
        <v>1105000</v>
      </c>
      <c r="N2603" s="134">
        <v>2326000</v>
      </c>
      <c r="O2603" t="s">
        <v>768</v>
      </c>
      <c r="P2603" t="s">
        <v>1974</v>
      </c>
      <c r="Q2603" t="s">
        <v>1939</v>
      </c>
      <c r="R2603" t="s">
        <v>1975</v>
      </c>
      <c r="U2603" t="s">
        <v>491</v>
      </c>
      <c r="X2603">
        <v>0</v>
      </c>
    </row>
    <row r="2604" spans="1:24" x14ac:dyDescent="0.25">
      <c r="A2604" s="234">
        <v>42725</v>
      </c>
      <c r="B2604" t="s">
        <v>328</v>
      </c>
      <c r="C2604" t="s">
        <v>603</v>
      </c>
      <c r="D2604" t="s">
        <v>1471</v>
      </c>
      <c r="E2604" t="s">
        <v>588</v>
      </c>
      <c r="F2604" t="s">
        <v>5080</v>
      </c>
      <c r="H2604" t="s">
        <v>905</v>
      </c>
      <c r="I2604" t="s">
        <v>3918</v>
      </c>
      <c r="J2604" t="s">
        <v>899</v>
      </c>
      <c r="L2604">
        <v>1</v>
      </c>
      <c r="M2604" s="134">
        <v>1105000</v>
      </c>
      <c r="N2604" s="134">
        <v>2375750</v>
      </c>
      <c r="O2604" t="s">
        <v>560</v>
      </c>
      <c r="P2604" t="s">
        <v>5081</v>
      </c>
      <c r="Q2604" t="s">
        <v>592</v>
      </c>
      <c r="U2604" t="s">
        <v>491</v>
      </c>
      <c r="X2604">
        <v>0</v>
      </c>
    </row>
    <row r="2605" spans="1:24" x14ac:dyDescent="0.25">
      <c r="A2605" s="234">
        <v>43039</v>
      </c>
      <c r="B2605" t="s">
        <v>5176</v>
      </c>
      <c r="C2605" t="s">
        <v>604</v>
      </c>
      <c r="D2605" t="s">
        <v>6995</v>
      </c>
      <c r="E2605" t="s">
        <v>588</v>
      </c>
      <c r="F2605" t="s">
        <v>9285</v>
      </c>
      <c r="G2605" t="s">
        <v>9286</v>
      </c>
      <c r="H2605" t="s">
        <v>607</v>
      </c>
      <c r="I2605" t="s">
        <v>9287</v>
      </c>
      <c r="J2605" t="s">
        <v>959</v>
      </c>
      <c r="M2605" s="134">
        <v>1107000</v>
      </c>
      <c r="N2605" s="134">
        <v>1684600</v>
      </c>
      <c r="O2605" t="s">
        <v>9288</v>
      </c>
      <c r="P2605" t="s">
        <v>9289</v>
      </c>
      <c r="Q2605" t="s">
        <v>1939</v>
      </c>
      <c r="R2605" t="s">
        <v>9290</v>
      </c>
      <c r="U2605" t="s">
        <v>1327</v>
      </c>
      <c r="X2605">
        <v>0</v>
      </c>
    </row>
    <row r="2606" spans="1:24" x14ac:dyDescent="0.25">
      <c r="A2606" s="234">
        <v>42930</v>
      </c>
      <c r="B2606" t="s">
        <v>328</v>
      </c>
      <c r="C2606" t="s">
        <v>603</v>
      </c>
      <c r="D2606" t="s">
        <v>2397</v>
      </c>
      <c r="E2606" t="s">
        <v>588</v>
      </c>
      <c r="F2606" t="s">
        <v>7619</v>
      </c>
      <c r="H2606" t="s">
        <v>6002</v>
      </c>
      <c r="I2606" t="s">
        <v>7618</v>
      </c>
      <c r="J2606" t="s">
        <v>899</v>
      </c>
      <c r="L2606">
        <v>4</v>
      </c>
      <c r="M2606" s="134">
        <v>1107000</v>
      </c>
      <c r="N2606" s="134">
        <v>2269350</v>
      </c>
      <c r="O2606" t="s">
        <v>7617</v>
      </c>
      <c r="P2606" t="s">
        <v>7616</v>
      </c>
      <c r="Q2606" t="s">
        <v>1939</v>
      </c>
      <c r="R2606" t="s">
        <v>7615</v>
      </c>
      <c r="U2606" t="s">
        <v>2227</v>
      </c>
      <c r="X2606">
        <v>0</v>
      </c>
    </row>
    <row r="2607" spans="1:24" x14ac:dyDescent="0.25">
      <c r="A2607" s="234">
        <v>42641</v>
      </c>
      <c r="B2607" t="s">
        <v>250</v>
      </c>
      <c r="D2607" t="s">
        <v>4099</v>
      </c>
      <c r="E2607" t="s">
        <v>588</v>
      </c>
      <c r="F2607" t="s">
        <v>4100</v>
      </c>
      <c r="H2607" t="s">
        <v>1119</v>
      </c>
      <c r="I2607" t="s">
        <v>4101</v>
      </c>
      <c r="J2607" t="s">
        <v>3856</v>
      </c>
      <c r="L2607">
        <v>5</v>
      </c>
      <c r="M2607" s="134">
        <v>1112196</v>
      </c>
      <c r="N2607" s="134">
        <v>1752196</v>
      </c>
      <c r="O2607" t="s">
        <v>560</v>
      </c>
      <c r="P2607" t="s">
        <v>4102</v>
      </c>
      <c r="Q2607" t="s">
        <v>592</v>
      </c>
      <c r="U2607" t="s">
        <v>491</v>
      </c>
      <c r="X2607">
        <v>0</v>
      </c>
    </row>
    <row r="2608" spans="1:24" x14ac:dyDescent="0.25">
      <c r="A2608" s="234">
        <v>43377</v>
      </c>
      <c r="B2608" t="s">
        <v>569</v>
      </c>
      <c r="C2608" t="s">
        <v>899</v>
      </c>
      <c r="D2608" t="s">
        <v>11286</v>
      </c>
      <c r="E2608" t="s">
        <v>588</v>
      </c>
      <c r="F2608" t="s">
        <v>12848</v>
      </c>
      <c r="G2608" t="s">
        <v>757</v>
      </c>
      <c r="H2608" t="s">
        <v>607</v>
      </c>
      <c r="I2608" t="s">
        <v>12849</v>
      </c>
      <c r="J2608" t="s">
        <v>899</v>
      </c>
      <c r="M2608" s="134">
        <v>1112900</v>
      </c>
      <c r="N2608" s="134">
        <v>1994900</v>
      </c>
      <c r="O2608" t="s">
        <v>4533</v>
      </c>
      <c r="P2608" t="s">
        <v>12850</v>
      </c>
      <c r="Q2608" t="s">
        <v>1939</v>
      </c>
      <c r="R2608" t="s">
        <v>12851</v>
      </c>
      <c r="U2608" t="s">
        <v>12797</v>
      </c>
      <c r="X2608">
        <v>0</v>
      </c>
    </row>
    <row r="2609" spans="1:24" x14ac:dyDescent="0.25">
      <c r="A2609" s="234">
        <v>42591</v>
      </c>
      <c r="B2609" t="s">
        <v>378</v>
      </c>
      <c r="C2609" t="s">
        <v>623</v>
      </c>
      <c r="D2609" t="s">
        <v>930</v>
      </c>
      <c r="E2609" t="s">
        <v>588</v>
      </c>
      <c r="F2609" t="s">
        <v>3311</v>
      </c>
      <c r="H2609" t="s">
        <v>607</v>
      </c>
      <c r="I2609" t="s">
        <v>2439</v>
      </c>
      <c r="J2609" t="s">
        <v>899</v>
      </c>
      <c r="L2609">
        <v>2</v>
      </c>
      <c r="M2609" s="134">
        <v>1113000</v>
      </c>
      <c r="N2609" s="134">
        <v>0</v>
      </c>
      <c r="O2609" t="s">
        <v>3312</v>
      </c>
      <c r="P2609" t="s">
        <v>3313</v>
      </c>
      <c r="Q2609" t="s">
        <v>1939</v>
      </c>
      <c r="R2609" t="s">
        <v>3314</v>
      </c>
      <c r="U2609" t="s">
        <v>491</v>
      </c>
      <c r="X2609">
        <v>0</v>
      </c>
    </row>
    <row r="2610" spans="1:24" x14ac:dyDescent="0.25">
      <c r="A2610" s="234">
        <v>43102</v>
      </c>
      <c r="B2610" t="s">
        <v>328</v>
      </c>
      <c r="C2610" t="s">
        <v>603</v>
      </c>
      <c r="D2610" t="s">
        <v>649</v>
      </c>
      <c r="E2610" t="s">
        <v>588</v>
      </c>
      <c r="F2610" t="s">
        <v>9931</v>
      </c>
      <c r="G2610" t="s">
        <v>7757</v>
      </c>
      <c r="H2610" t="s">
        <v>607</v>
      </c>
      <c r="I2610" t="s">
        <v>9932</v>
      </c>
      <c r="J2610" t="s">
        <v>899</v>
      </c>
      <c r="L2610">
        <v>9</v>
      </c>
      <c r="M2610" s="134">
        <v>1113000</v>
      </c>
      <c r="N2610" s="134">
        <v>2003400</v>
      </c>
      <c r="O2610" t="s">
        <v>560</v>
      </c>
      <c r="P2610" t="s">
        <v>9933</v>
      </c>
      <c r="Q2610" t="s">
        <v>1939</v>
      </c>
      <c r="R2610" t="s">
        <v>9934</v>
      </c>
      <c r="U2610" t="s">
        <v>1327</v>
      </c>
      <c r="X2610">
        <v>0</v>
      </c>
    </row>
    <row r="2611" spans="1:24" x14ac:dyDescent="0.25">
      <c r="A2611" s="234">
        <v>43559</v>
      </c>
      <c r="B2611" t="s">
        <v>328</v>
      </c>
      <c r="C2611" t="s">
        <v>603</v>
      </c>
      <c r="D2611" t="s">
        <v>649</v>
      </c>
      <c r="F2611" t="s">
        <v>14057</v>
      </c>
      <c r="G2611" t="s">
        <v>14985</v>
      </c>
      <c r="H2611" t="s">
        <v>607</v>
      </c>
      <c r="I2611" t="s">
        <v>5801</v>
      </c>
      <c r="J2611" t="s">
        <v>3888</v>
      </c>
      <c r="K2611" t="s">
        <v>14986</v>
      </c>
      <c r="L2611">
        <v>2</v>
      </c>
      <c r="M2611" s="134">
        <v>1113611</v>
      </c>
      <c r="N2611" s="134">
        <v>2227696</v>
      </c>
      <c r="O2611" t="s">
        <v>4533</v>
      </c>
      <c r="P2611" t="s">
        <v>14987</v>
      </c>
      <c r="Q2611" t="s">
        <v>1939</v>
      </c>
      <c r="R2611" t="s">
        <v>14988</v>
      </c>
      <c r="S2611" t="s">
        <v>14990</v>
      </c>
      <c r="U2611" t="s">
        <v>491</v>
      </c>
      <c r="X2611">
        <v>0</v>
      </c>
    </row>
    <row r="2612" spans="1:24" x14ac:dyDescent="0.25">
      <c r="A2612" s="234">
        <v>43473</v>
      </c>
      <c r="B2612" t="s">
        <v>569</v>
      </c>
      <c r="C2612" t="s">
        <v>899</v>
      </c>
      <c r="D2612" t="s">
        <v>1070</v>
      </c>
      <c r="F2612" t="s">
        <v>13847</v>
      </c>
      <c r="G2612" t="s">
        <v>13848</v>
      </c>
      <c r="H2612" t="s">
        <v>607</v>
      </c>
      <c r="I2612" t="s">
        <v>4256</v>
      </c>
      <c r="J2612" t="s">
        <v>899</v>
      </c>
      <c r="K2612" t="s">
        <v>13465</v>
      </c>
      <c r="L2612">
        <v>2</v>
      </c>
      <c r="M2612" s="134">
        <v>1113840</v>
      </c>
      <c r="N2612" s="134">
        <v>1700000</v>
      </c>
      <c r="O2612" t="s">
        <v>10766</v>
      </c>
      <c r="P2612" t="s">
        <v>13849</v>
      </c>
      <c r="Q2612" t="s">
        <v>1939</v>
      </c>
      <c r="R2612" t="s">
        <v>13850</v>
      </c>
      <c r="U2612" t="s">
        <v>491</v>
      </c>
      <c r="X2612">
        <v>0</v>
      </c>
    </row>
    <row r="2613" spans="1:24" x14ac:dyDescent="0.25">
      <c r="A2613" s="234">
        <v>43224</v>
      </c>
      <c r="B2613" t="s">
        <v>328</v>
      </c>
      <c r="C2613" t="s">
        <v>603</v>
      </c>
      <c r="D2613" t="s">
        <v>649</v>
      </c>
      <c r="E2613" t="s">
        <v>588</v>
      </c>
      <c r="F2613" t="s">
        <v>7831</v>
      </c>
      <c r="G2613" t="s">
        <v>11078</v>
      </c>
      <c r="H2613" t="s">
        <v>905</v>
      </c>
      <c r="I2613" t="s">
        <v>11178</v>
      </c>
      <c r="J2613" t="s">
        <v>603</v>
      </c>
      <c r="L2613">
        <v>6</v>
      </c>
      <c r="M2613" s="134">
        <v>1114700</v>
      </c>
      <c r="N2613" s="134">
        <v>1444100</v>
      </c>
      <c r="O2613" t="s">
        <v>10766</v>
      </c>
      <c r="P2613" t="s">
        <v>11079</v>
      </c>
      <c r="Q2613" t="s">
        <v>1939</v>
      </c>
      <c r="R2613" t="s">
        <v>11179</v>
      </c>
      <c r="U2613" t="s">
        <v>1327</v>
      </c>
      <c r="X2613">
        <v>0</v>
      </c>
    </row>
    <row r="2614" spans="1:24" x14ac:dyDescent="0.25">
      <c r="A2614" s="234">
        <v>43600</v>
      </c>
      <c r="B2614" t="s">
        <v>569</v>
      </c>
      <c r="C2614" t="s">
        <v>899</v>
      </c>
      <c r="D2614" t="s">
        <v>11286</v>
      </c>
      <c r="F2614" t="s">
        <v>15585</v>
      </c>
      <c r="G2614" t="s">
        <v>15586</v>
      </c>
      <c r="H2614" t="s">
        <v>607</v>
      </c>
      <c r="I2614" t="s">
        <v>14741</v>
      </c>
      <c r="J2614" t="s">
        <v>899</v>
      </c>
      <c r="K2614" t="s">
        <v>14742</v>
      </c>
      <c r="L2614">
        <v>5</v>
      </c>
      <c r="M2614" s="134">
        <v>1116000</v>
      </c>
      <c r="N2614" s="134">
        <v>2008800</v>
      </c>
      <c r="O2614" t="s">
        <v>10766</v>
      </c>
      <c r="P2614" t="s">
        <v>15587</v>
      </c>
      <c r="Q2614" t="s">
        <v>1612</v>
      </c>
      <c r="R2614" t="s">
        <v>15974</v>
      </c>
      <c r="S2614" t="s">
        <v>15590</v>
      </c>
      <c r="U2614" t="s">
        <v>491</v>
      </c>
      <c r="X2614">
        <v>0</v>
      </c>
    </row>
    <row r="2615" spans="1:24" x14ac:dyDescent="0.25">
      <c r="A2615" s="234">
        <v>42965</v>
      </c>
      <c r="B2615" t="s">
        <v>643</v>
      </c>
      <c r="C2615" t="s">
        <v>644</v>
      </c>
      <c r="D2615" t="s">
        <v>645</v>
      </c>
      <c r="E2615" t="s">
        <v>588</v>
      </c>
      <c r="F2615" t="s">
        <v>134</v>
      </c>
      <c r="G2615" t="s">
        <v>8198</v>
      </c>
      <c r="H2615" t="s">
        <v>7603</v>
      </c>
      <c r="I2615" t="s">
        <v>5345</v>
      </c>
      <c r="J2615" t="s">
        <v>644</v>
      </c>
      <c r="L2615">
        <v>2</v>
      </c>
      <c r="M2615" s="134">
        <v>1117600</v>
      </c>
      <c r="N2615" s="134">
        <v>2237400</v>
      </c>
      <c r="O2615" t="s">
        <v>6754</v>
      </c>
      <c r="P2615" t="s">
        <v>8196</v>
      </c>
      <c r="Q2615" t="s">
        <v>1939</v>
      </c>
      <c r="R2615" t="s">
        <v>8197</v>
      </c>
      <c r="U2615" t="s">
        <v>2227</v>
      </c>
      <c r="X2615">
        <v>0</v>
      </c>
    </row>
    <row r="2616" spans="1:24" x14ac:dyDescent="0.25">
      <c r="A2616" s="234">
        <v>43313</v>
      </c>
      <c r="B2616" t="s">
        <v>328</v>
      </c>
      <c r="C2616" t="s">
        <v>603</v>
      </c>
      <c r="D2616" t="s">
        <v>10338</v>
      </c>
      <c r="E2616" t="s">
        <v>588</v>
      </c>
      <c r="F2616" t="s">
        <v>363</v>
      </c>
      <c r="G2616" t="s">
        <v>11978</v>
      </c>
      <c r="H2616" t="s">
        <v>607</v>
      </c>
      <c r="J2616" t="s">
        <v>3733</v>
      </c>
      <c r="L2616">
        <v>4</v>
      </c>
      <c r="M2616" s="134">
        <v>1118000</v>
      </c>
      <c r="N2616" s="134">
        <v>2307450</v>
      </c>
      <c r="O2616" t="s">
        <v>7564</v>
      </c>
      <c r="P2616" t="s">
        <v>12489</v>
      </c>
      <c r="Q2616" t="s">
        <v>1939</v>
      </c>
      <c r="R2616" t="s">
        <v>11979</v>
      </c>
      <c r="U2616" t="s">
        <v>1327</v>
      </c>
      <c r="X2616">
        <v>0</v>
      </c>
    </row>
    <row r="2617" spans="1:24" x14ac:dyDescent="0.25">
      <c r="A2617" s="234">
        <v>43329</v>
      </c>
      <c r="B2617" t="s">
        <v>569</v>
      </c>
      <c r="C2617" t="s">
        <v>899</v>
      </c>
      <c r="D2617" t="s">
        <v>624</v>
      </c>
      <c r="E2617" t="s">
        <v>588</v>
      </c>
      <c r="F2617" t="s">
        <v>12386</v>
      </c>
      <c r="G2617" t="s">
        <v>12379</v>
      </c>
      <c r="H2617" t="s">
        <v>607</v>
      </c>
      <c r="I2617" t="s">
        <v>3649</v>
      </c>
      <c r="J2617" t="s">
        <v>899</v>
      </c>
      <c r="L2617">
        <v>2</v>
      </c>
      <c r="M2617" s="134">
        <v>1120000</v>
      </c>
      <c r="N2617" s="134">
        <v>2016000</v>
      </c>
      <c r="O2617" t="s">
        <v>560</v>
      </c>
      <c r="P2617" t="s">
        <v>12380</v>
      </c>
      <c r="Q2617" t="s">
        <v>592</v>
      </c>
      <c r="R2617" t="s">
        <v>12381</v>
      </c>
      <c r="U2617" t="s">
        <v>1327</v>
      </c>
      <c r="X2617">
        <v>0</v>
      </c>
    </row>
    <row r="2618" spans="1:24" x14ac:dyDescent="0.25">
      <c r="A2618" s="234">
        <v>42706</v>
      </c>
      <c r="B2618" t="s">
        <v>378</v>
      </c>
      <c r="C2618" t="s">
        <v>623</v>
      </c>
      <c r="D2618" t="s">
        <v>930</v>
      </c>
      <c r="E2618" t="s">
        <v>588</v>
      </c>
      <c r="F2618" t="s">
        <v>4903</v>
      </c>
      <c r="H2618" t="s">
        <v>607</v>
      </c>
      <c r="I2618" t="s">
        <v>3452</v>
      </c>
      <c r="J2618" t="s">
        <v>899</v>
      </c>
      <c r="L2618">
        <v>4</v>
      </c>
      <c r="M2618" s="134">
        <v>1121000</v>
      </c>
      <c r="N2618" s="134">
        <v>2185900</v>
      </c>
      <c r="O2618" t="s">
        <v>1171</v>
      </c>
      <c r="P2618" t="s">
        <v>4904</v>
      </c>
      <c r="Q2618" t="s">
        <v>620</v>
      </c>
      <c r="R2618" t="s">
        <v>4905</v>
      </c>
      <c r="U2618" t="s">
        <v>491</v>
      </c>
      <c r="X2618">
        <v>0</v>
      </c>
    </row>
    <row r="2619" spans="1:24" x14ac:dyDescent="0.25">
      <c r="A2619" s="234">
        <v>43188</v>
      </c>
      <c r="B2619" t="s">
        <v>5360</v>
      </c>
      <c r="C2619" t="s">
        <v>899</v>
      </c>
      <c r="D2619" t="s">
        <v>732</v>
      </c>
      <c r="E2619" t="s">
        <v>588</v>
      </c>
      <c r="F2619" t="s">
        <v>10729</v>
      </c>
      <c r="G2619" t="s">
        <v>10730</v>
      </c>
      <c r="H2619" t="s">
        <v>607</v>
      </c>
      <c r="I2619" t="s">
        <v>6916</v>
      </c>
      <c r="J2619" t="s">
        <v>899</v>
      </c>
      <c r="L2619">
        <v>9</v>
      </c>
      <c r="M2619" s="134">
        <v>1122500</v>
      </c>
      <c r="N2619" s="134">
        <v>2020500</v>
      </c>
      <c r="O2619" t="s">
        <v>7124</v>
      </c>
      <c r="P2619" t="s">
        <v>10731</v>
      </c>
      <c r="Q2619" t="s">
        <v>592</v>
      </c>
      <c r="R2619" t="s">
        <v>10732</v>
      </c>
      <c r="U2619" t="s">
        <v>1327</v>
      </c>
      <c r="X2619">
        <v>0</v>
      </c>
    </row>
    <row r="2620" spans="1:24" x14ac:dyDescent="0.25">
      <c r="A2620" s="234">
        <v>43546</v>
      </c>
      <c r="B2620" t="s">
        <v>5956</v>
      </c>
      <c r="C2620" t="s">
        <v>3369</v>
      </c>
      <c r="D2620" t="s">
        <v>8126</v>
      </c>
      <c r="F2620" t="s">
        <v>14862</v>
      </c>
      <c r="H2620" t="s">
        <v>905</v>
      </c>
      <c r="I2620" t="s">
        <v>12091</v>
      </c>
      <c r="J2620" t="s">
        <v>4825</v>
      </c>
      <c r="K2620" t="s">
        <v>14863</v>
      </c>
      <c r="L2620">
        <v>1</v>
      </c>
      <c r="M2620" s="134">
        <v>1124000</v>
      </c>
      <c r="N2620" s="134">
        <v>1127000</v>
      </c>
      <c r="O2620" t="s">
        <v>10766</v>
      </c>
      <c r="P2620" t="s">
        <v>14864</v>
      </c>
      <c r="Q2620" t="s">
        <v>1939</v>
      </c>
      <c r="R2620" t="s">
        <v>14865</v>
      </c>
      <c r="U2620" t="s">
        <v>12797</v>
      </c>
      <c r="X2620">
        <v>0</v>
      </c>
    </row>
    <row r="2621" spans="1:24" x14ac:dyDescent="0.25">
      <c r="A2621" s="234">
        <v>42838</v>
      </c>
      <c r="B2621" t="s">
        <v>328</v>
      </c>
      <c r="C2621" t="s">
        <v>603</v>
      </c>
      <c r="D2621" t="s">
        <v>1401</v>
      </c>
      <c r="E2621" t="s">
        <v>588</v>
      </c>
      <c r="F2621" t="s">
        <v>6680</v>
      </c>
      <c r="H2621" t="s">
        <v>607</v>
      </c>
      <c r="I2621" t="s">
        <v>3793</v>
      </c>
      <c r="J2621" t="s">
        <v>899</v>
      </c>
      <c r="L2621">
        <v>10</v>
      </c>
      <c r="M2621" s="134">
        <v>1125000</v>
      </c>
      <c r="N2621" s="134">
        <v>1912500</v>
      </c>
      <c r="O2621" t="s">
        <v>764</v>
      </c>
      <c r="P2621" t="s">
        <v>6420</v>
      </c>
      <c r="Q2621" t="s">
        <v>1939</v>
      </c>
      <c r="R2621" t="s">
        <v>6421</v>
      </c>
      <c r="S2621" t="s">
        <v>6681</v>
      </c>
      <c r="U2621" t="s">
        <v>491</v>
      </c>
      <c r="X2621">
        <v>0</v>
      </c>
    </row>
    <row r="2622" spans="1:24" x14ac:dyDescent="0.25">
      <c r="A2622" s="234">
        <v>42541</v>
      </c>
      <c r="B2622" t="s">
        <v>328</v>
      </c>
      <c r="C2622" t="s">
        <v>603</v>
      </c>
      <c r="D2622" t="s">
        <v>1471</v>
      </c>
      <c r="E2622" t="s">
        <v>588</v>
      </c>
      <c r="F2622" t="s">
        <v>2609</v>
      </c>
      <c r="H2622" t="s">
        <v>607</v>
      </c>
      <c r="I2622" t="s">
        <v>1969</v>
      </c>
      <c r="M2622" s="134">
        <v>1125000</v>
      </c>
      <c r="N2622" s="134">
        <v>2250500</v>
      </c>
      <c r="O2622" t="s">
        <v>2596</v>
      </c>
      <c r="P2622" t="s">
        <v>2610</v>
      </c>
      <c r="Q2622" t="s">
        <v>1939</v>
      </c>
      <c r="R2622" t="s">
        <v>2611</v>
      </c>
      <c r="U2622" t="s">
        <v>491</v>
      </c>
      <c r="X2622">
        <v>0</v>
      </c>
    </row>
    <row r="2623" spans="1:24" x14ac:dyDescent="0.25">
      <c r="A2623" s="234">
        <v>42424</v>
      </c>
      <c r="B2623" t="s">
        <v>328</v>
      </c>
      <c r="C2623" t="s">
        <v>603</v>
      </c>
      <c r="D2623" t="s">
        <v>757</v>
      </c>
      <c r="E2623" t="s">
        <v>588</v>
      </c>
      <c r="F2623" t="s">
        <v>1110</v>
      </c>
      <c r="H2623" t="s">
        <v>607</v>
      </c>
      <c r="I2623" t="s">
        <v>1114</v>
      </c>
      <c r="M2623" s="134">
        <v>1128000</v>
      </c>
      <c r="N2623" s="134">
        <v>2030400</v>
      </c>
      <c r="O2623" t="s">
        <v>1111</v>
      </c>
      <c r="P2623" t="s">
        <v>1112</v>
      </c>
      <c r="Q2623" t="s">
        <v>592</v>
      </c>
      <c r="R2623" t="s">
        <v>1193</v>
      </c>
      <c r="U2623" t="s">
        <v>491</v>
      </c>
      <c r="X2623">
        <v>0</v>
      </c>
    </row>
    <row r="2624" spans="1:24" x14ac:dyDescent="0.25">
      <c r="A2624" s="234">
        <v>42528</v>
      </c>
      <c r="B2624" t="s">
        <v>328</v>
      </c>
      <c r="C2624" t="s">
        <v>603</v>
      </c>
      <c r="D2624" t="s">
        <v>1471</v>
      </c>
      <c r="E2624" t="s">
        <v>588</v>
      </c>
      <c r="F2624" t="s">
        <v>2383</v>
      </c>
      <c r="H2624" t="s">
        <v>607</v>
      </c>
      <c r="I2624" t="s">
        <v>2384</v>
      </c>
      <c r="M2624" s="134">
        <v>1139000</v>
      </c>
      <c r="N2624" s="134">
        <v>1845180</v>
      </c>
      <c r="O2624" t="s">
        <v>2380</v>
      </c>
      <c r="P2624" t="s">
        <v>2389</v>
      </c>
      <c r="Q2624" t="s">
        <v>1939</v>
      </c>
      <c r="R2624" t="s">
        <v>2388</v>
      </c>
      <c r="U2624" t="s">
        <v>491</v>
      </c>
      <c r="X2624">
        <v>0</v>
      </c>
    </row>
    <row r="2625" spans="1:24" x14ac:dyDescent="0.25">
      <c r="A2625" s="234">
        <v>42909</v>
      </c>
      <c r="B2625" t="s">
        <v>569</v>
      </c>
      <c r="D2625" t="s">
        <v>625</v>
      </c>
      <c r="E2625" t="s">
        <v>821</v>
      </c>
      <c r="F2625" t="s">
        <v>7361</v>
      </c>
      <c r="H2625" t="s">
        <v>607</v>
      </c>
      <c r="I2625" t="s">
        <v>3918</v>
      </c>
      <c r="J2625" t="s">
        <v>899</v>
      </c>
      <c r="M2625" s="134">
        <v>1140000</v>
      </c>
      <c r="N2625" s="134">
        <v>0</v>
      </c>
      <c r="O2625" t="s">
        <v>35</v>
      </c>
      <c r="P2625" t="s">
        <v>7362</v>
      </c>
      <c r="Q2625" t="s">
        <v>1939</v>
      </c>
      <c r="R2625" t="s">
        <v>7363</v>
      </c>
      <c r="U2625" t="s">
        <v>491</v>
      </c>
      <c r="X2625">
        <v>0</v>
      </c>
    </row>
    <row r="2626" spans="1:24" x14ac:dyDescent="0.25">
      <c r="A2626" s="234">
        <v>43195</v>
      </c>
      <c r="B2626" t="s">
        <v>328</v>
      </c>
      <c r="C2626" t="s">
        <v>603</v>
      </c>
      <c r="D2626" t="s">
        <v>10338</v>
      </c>
      <c r="E2626" t="s">
        <v>588</v>
      </c>
      <c r="F2626" t="s">
        <v>10816</v>
      </c>
      <c r="G2626" t="s">
        <v>10817</v>
      </c>
      <c r="H2626" t="s">
        <v>607</v>
      </c>
      <c r="J2626" t="s">
        <v>899</v>
      </c>
      <c r="L2626">
        <v>2</v>
      </c>
      <c r="M2626" s="134">
        <v>1142000</v>
      </c>
      <c r="N2626" s="134">
        <v>2055600</v>
      </c>
      <c r="O2626" t="s">
        <v>7564</v>
      </c>
      <c r="P2626" t="s">
        <v>10818</v>
      </c>
      <c r="Q2626" t="s">
        <v>29</v>
      </c>
      <c r="R2626" t="s">
        <v>10819</v>
      </c>
      <c r="S2626" t="s">
        <v>6376</v>
      </c>
      <c r="U2626" t="s">
        <v>491</v>
      </c>
      <c r="X2626">
        <v>1</v>
      </c>
    </row>
    <row r="2627" spans="1:24" x14ac:dyDescent="0.25">
      <c r="A2627" s="234">
        <v>42559</v>
      </c>
      <c r="B2627" t="s">
        <v>328</v>
      </c>
      <c r="C2627" t="s">
        <v>603</v>
      </c>
      <c r="D2627" t="s">
        <v>1401</v>
      </c>
      <c r="E2627" t="s">
        <v>588</v>
      </c>
      <c r="F2627" t="s">
        <v>2807</v>
      </c>
      <c r="H2627" t="s">
        <v>651</v>
      </c>
      <c r="I2627" t="s">
        <v>2806</v>
      </c>
      <c r="M2627" s="134">
        <v>1150000</v>
      </c>
      <c r="N2627" s="134">
        <v>1505000</v>
      </c>
      <c r="O2627" t="s">
        <v>1925</v>
      </c>
      <c r="P2627" t="s">
        <v>2808</v>
      </c>
      <c r="Q2627" t="s">
        <v>620</v>
      </c>
      <c r="R2627" t="s">
        <v>2809</v>
      </c>
      <c r="S2627" t="s">
        <v>2857</v>
      </c>
      <c r="U2627" t="s">
        <v>491</v>
      </c>
      <c r="X2627">
        <v>0</v>
      </c>
    </row>
    <row r="2628" spans="1:24" x14ac:dyDescent="0.25">
      <c r="A2628" s="234">
        <v>43524</v>
      </c>
      <c r="B2628" t="s">
        <v>9240</v>
      </c>
      <c r="C2628" t="s">
        <v>603</v>
      </c>
      <c r="D2628" t="s">
        <v>9241</v>
      </c>
      <c r="F2628" t="s">
        <v>14552</v>
      </c>
      <c r="G2628" t="s">
        <v>14553</v>
      </c>
      <c r="H2628" t="s">
        <v>607</v>
      </c>
      <c r="I2628" t="s">
        <v>14554</v>
      </c>
      <c r="J2628" t="s">
        <v>603</v>
      </c>
      <c r="K2628" t="s">
        <v>14555</v>
      </c>
      <c r="L2628">
        <v>9</v>
      </c>
      <c r="M2628" s="134">
        <v>1150000</v>
      </c>
      <c r="N2628" s="134">
        <v>1700000</v>
      </c>
      <c r="O2628" t="s">
        <v>560</v>
      </c>
      <c r="P2628" t="s">
        <v>14556</v>
      </c>
      <c r="Q2628" t="s">
        <v>29</v>
      </c>
      <c r="R2628" t="s">
        <v>14557</v>
      </c>
      <c r="U2628" t="s">
        <v>12797</v>
      </c>
      <c r="X2628">
        <v>1</v>
      </c>
    </row>
    <row r="2629" spans="1:24" x14ac:dyDescent="0.25">
      <c r="A2629" s="234">
        <v>43028</v>
      </c>
      <c r="B2629" t="s">
        <v>328</v>
      </c>
      <c r="C2629" t="s">
        <v>603</v>
      </c>
      <c r="D2629" t="s">
        <v>649</v>
      </c>
      <c r="E2629" t="s">
        <v>588</v>
      </c>
      <c r="F2629" t="s">
        <v>9130</v>
      </c>
      <c r="G2629" t="s">
        <v>9131</v>
      </c>
      <c r="H2629" t="s">
        <v>607</v>
      </c>
      <c r="I2629" t="s">
        <v>3649</v>
      </c>
      <c r="J2629" t="s">
        <v>899</v>
      </c>
      <c r="L2629">
        <v>4</v>
      </c>
      <c r="M2629" s="134">
        <v>1150000</v>
      </c>
      <c r="N2629" s="134">
        <v>2250000</v>
      </c>
      <c r="O2629" t="s">
        <v>695</v>
      </c>
      <c r="P2629" t="s">
        <v>9132</v>
      </c>
      <c r="Q2629" t="s">
        <v>592</v>
      </c>
      <c r="S2629" t="s">
        <v>9133</v>
      </c>
      <c r="U2629" t="s">
        <v>491</v>
      </c>
      <c r="X2629">
        <v>0</v>
      </c>
    </row>
    <row r="2630" spans="1:24" x14ac:dyDescent="0.25">
      <c r="A2630" s="234">
        <v>43342</v>
      </c>
      <c r="B2630" t="s">
        <v>569</v>
      </c>
      <c r="C2630" t="s">
        <v>623</v>
      </c>
      <c r="D2630" t="s">
        <v>11286</v>
      </c>
      <c r="E2630" t="s">
        <v>588</v>
      </c>
      <c r="F2630" t="s">
        <v>12439</v>
      </c>
      <c r="G2630" t="s">
        <v>10007</v>
      </c>
      <c r="H2630" t="s">
        <v>809</v>
      </c>
      <c r="J2630" t="s">
        <v>899</v>
      </c>
      <c r="M2630" s="134">
        <v>1151258</v>
      </c>
      <c r="N2630" s="134">
        <v>0</v>
      </c>
      <c r="O2630" t="s">
        <v>10766</v>
      </c>
      <c r="P2630" t="s">
        <v>12511</v>
      </c>
      <c r="Q2630" t="s">
        <v>1939</v>
      </c>
      <c r="R2630" t="s">
        <v>12512</v>
      </c>
      <c r="U2630" t="s">
        <v>12344</v>
      </c>
      <c r="X2630">
        <v>0</v>
      </c>
    </row>
    <row r="2631" spans="1:24" x14ac:dyDescent="0.25">
      <c r="A2631" s="234">
        <v>42821</v>
      </c>
      <c r="B2631" t="s">
        <v>328</v>
      </c>
      <c r="C2631" t="s">
        <v>603</v>
      </c>
      <c r="D2631" t="s">
        <v>5701</v>
      </c>
      <c r="E2631" t="s">
        <v>588</v>
      </c>
      <c r="F2631" t="s">
        <v>6144</v>
      </c>
      <c r="H2631" t="s">
        <v>607</v>
      </c>
      <c r="I2631" t="s">
        <v>6145</v>
      </c>
      <c r="J2631" t="s">
        <v>3733</v>
      </c>
      <c r="L2631">
        <v>10</v>
      </c>
      <c r="M2631" s="134">
        <v>1153000</v>
      </c>
      <c r="N2631" s="134">
        <v>2190700</v>
      </c>
      <c r="O2631" t="s">
        <v>2886</v>
      </c>
      <c r="P2631" t="s">
        <v>6146</v>
      </c>
      <c r="Q2631" t="s">
        <v>29</v>
      </c>
      <c r="R2631" t="s">
        <v>6147</v>
      </c>
      <c r="U2631" t="s">
        <v>1327</v>
      </c>
      <c r="X2631">
        <v>1</v>
      </c>
    </row>
    <row r="2632" spans="1:24" x14ac:dyDescent="0.25">
      <c r="A2632" s="234">
        <v>43223</v>
      </c>
      <c r="B2632" t="s">
        <v>569</v>
      </c>
      <c r="C2632" t="s">
        <v>899</v>
      </c>
      <c r="D2632" t="s">
        <v>625</v>
      </c>
      <c r="E2632" t="s">
        <v>588</v>
      </c>
      <c r="F2632" t="s">
        <v>11107</v>
      </c>
      <c r="G2632" t="s">
        <v>10458</v>
      </c>
      <c r="H2632" t="s">
        <v>10832</v>
      </c>
      <c r="I2632" t="s">
        <v>3649</v>
      </c>
      <c r="J2632" t="s">
        <v>899</v>
      </c>
      <c r="M2632" s="134">
        <v>1155000</v>
      </c>
      <c r="N2632" s="134">
        <v>1500000</v>
      </c>
      <c r="O2632" t="s">
        <v>560</v>
      </c>
      <c r="P2632" t="s">
        <v>11108</v>
      </c>
      <c r="Q2632" t="s">
        <v>592</v>
      </c>
      <c r="U2632" t="s">
        <v>491</v>
      </c>
      <c r="X2632">
        <v>0</v>
      </c>
    </row>
    <row r="2633" spans="1:24" x14ac:dyDescent="0.25">
      <c r="A2633" s="234">
        <v>42467</v>
      </c>
      <c r="B2633" t="s">
        <v>328</v>
      </c>
      <c r="C2633" t="s">
        <v>603</v>
      </c>
      <c r="D2633" t="s">
        <v>672</v>
      </c>
      <c r="E2633" t="s">
        <v>588</v>
      </c>
      <c r="F2633" t="s">
        <v>1586</v>
      </c>
      <c r="H2633" t="s">
        <v>607</v>
      </c>
      <c r="I2633" t="s">
        <v>1407</v>
      </c>
      <c r="M2633" s="134">
        <v>1155000</v>
      </c>
      <c r="N2633" s="134">
        <v>1963500</v>
      </c>
      <c r="O2633" t="s">
        <v>1587</v>
      </c>
      <c r="P2633" t="s">
        <v>15996</v>
      </c>
      <c r="Q2633" t="s">
        <v>1612</v>
      </c>
      <c r="R2633" t="s">
        <v>3048</v>
      </c>
      <c r="S2633" t="s">
        <v>3049</v>
      </c>
      <c r="U2633" t="s">
        <v>491</v>
      </c>
      <c r="X2633">
        <v>0</v>
      </c>
    </row>
    <row r="2634" spans="1:24" x14ac:dyDescent="0.25">
      <c r="A2634" s="234">
        <v>42605</v>
      </c>
      <c r="B2634" t="s">
        <v>378</v>
      </c>
      <c r="C2634" t="s">
        <v>623</v>
      </c>
      <c r="D2634" t="s">
        <v>625</v>
      </c>
      <c r="E2634" t="s">
        <v>588</v>
      </c>
      <c r="F2634" t="s">
        <v>3589</v>
      </c>
      <c r="H2634" t="s">
        <v>607</v>
      </c>
      <c r="I2634" t="s">
        <v>3590</v>
      </c>
      <c r="J2634" t="s">
        <v>899</v>
      </c>
      <c r="L2634">
        <v>2</v>
      </c>
      <c r="M2634" s="134">
        <v>1157000</v>
      </c>
      <c r="N2634" s="134">
        <v>2082600</v>
      </c>
      <c r="O2634" t="s">
        <v>768</v>
      </c>
      <c r="P2634" t="s">
        <v>3591</v>
      </c>
      <c r="Q2634" t="s">
        <v>1612</v>
      </c>
      <c r="R2634" t="s">
        <v>3592</v>
      </c>
      <c r="S2634" t="s">
        <v>3637</v>
      </c>
      <c r="U2634" t="s">
        <v>491</v>
      </c>
      <c r="X2634">
        <v>0</v>
      </c>
    </row>
    <row r="2635" spans="1:24" x14ac:dyDescent="0.25">
      <c r="A2635" s="234">
        <v>42571</v>
      </c>
      <c r="B2635" t="s">
        <v>378</v>
      </c>
      <c r="C2635" t="s">
        <v>610</v>
      </c>
      <c r="D2635" t="s">
        <v>1027</v>
      </c>
      <c r="E2635" t="s">
        <v>588</v>
      </c>
      <c r="F2635" t="s">
        <v>2944</v>
      </c>
      <c r="H2635" t="s">
        <v>607</v>
      </c>
      <c r="I2635" t="s">
        <v>2945</v>
      </c>
      <c r="M2635" s="134">
        <v>1162000</v>
      </c>
      <c r="N2635" s="134">
        <v>2091600</v>
      </c>
      <c r="O2635" t="s">
        <v>2758</v>
      </c>
      <c r="P2635" t="s">
        <v>2946</v>
      </c>
      <c r="Q2635" t="s">
        <v>29</v>
      </c>
      <c r="R2635" t="s">
        <v>2947</v>
      </c>
      <c r="U2635" t="s">
        <v>491</v>
      </c>
      <c r="X2635">
        <v>1</v>
      </c>
    </row>
    <row r="2636" spans="1:24" x14ac:dyDescent="0.25">
      <c r="A2636" s="234">
        <v>43543</v>
      </c>
      <c r="B2636" t="s">
        <v>12367</v>
      </c>
      <c r="C2636" t="s">
        <v>5610</v>
      </c>
      <c r="D2636" t="s">
        <v>7814</v>
      </c>
      <c r="F2636" t="s">
        <v>10922</v>
      </c>
      <c r="G2636" t="s">
        <v>14327</v>
      </c>
      <c r="H2636" t="s">
        <v>607</v>
      </c>
      <c r="I2636" t="s">
        <v>14773</v>
      </c>
      <c r="J2636" t="s">
        <v>3398</v>
      </c>
      <c r="K2636" t="s">
        <v>14774</v>
      </c>
      <c r="L2636">
        <v>5</v>
      </c>
      <c r="M2636" s="134">
        <v>1162304</v>
      </c>
      <c r="N2636" s="134">
        <v>1562304</v>
      </c>
      <c r="O2636" t="s">
        <v>10766</v>
      </c>
      <c r="P2636" t="s">
        <v>14775</v>
      </c>
      <c r="Q2636" t="s">
        <v>29</v>
      </c>
      <c r="R2636" t="s">
        <v>15056</v>
      </c>
      <c r="U2636" t="s">
        <v>12797</v>
      </c>
      <c r="X2636">
        <v>1</v>
      </c>
    </row>
    <row r="2637" spans="1:24" x14ac:dyDescent="0.25">
      <c r="A2637" s="234">
        <v>42689</v>
      </c>
      <c r="B2637" t="s">
        <v>378</v>
      </c>
      <c r="C2637" t="s">
        <v>623</v>
      </c>
      <c r="D2637" t="s">
        <v>930</v>
      </c>
      <c r="E2637" t="s">
        <v>588</v>
      </c>
      <c r="F2637" t="s">
        <v>4708</v>
      </c>
      <c r="H2637" t="s">
        <v>607</v>
      </c>
      <c r="I2637" t="s">
        <v>4709</v>
      </c>
      <c r="J2637" t="s">
        <v>899</v>
      </c>
      <c r="L2637">
        <v>4</v>
      </c>
      <c r="M2637" s="134">
        <v>1170000</v>
      </c>
      <c r="N2637" s="134">
        <v>2189000</v>
      </c>
      <c r="O2637" t="s">
        <v>4710</v>
      </c>
      <c r="P2637" t="s">
        <v>4711</v>
      </c>
      <c r="Q2637" t="s">
        <v>620</v>
      </c>
      <c r="R2637" t="s">
        <v>4712</v>
      </c>
      <c r="U2637" t="s">
        <v>491</v>
      </c>
      <c r="X2637">
        <v>0</v>
      </c>
    </row>
    <row r="2638" spans="1:24" x14ac:dyDescent="0.25">
      <c r="A2638" s="234">
        <v>43196</v>
      </c>
      <c r="B2638" t="s">
        <v>569</v>
      </c>
      <c r="C2638" t="s">
        <v>899</v>
      </c>
      <c r="D2638" t="s">
        <v>624</v>
      </c>
      <c r="E2638" t="s">
        <v>588</v>
      </c>
      <c r="F2638" t="s">
        <v>10837</v>
      </c>
      <c r="G2638" t="s">
        <v>10838</v>
      </c>
      <c r="H2638" t="s">
        <v>905</v>
      </c>
      <c r="I2638" t="s">
        <v>3649</v>
      </c>
      <c r="J2638" t="s">
        <v>899</v>
      </c>
      <c r="L2638">
        <v>4</v>
      </c>
      <c r="M2638" s="134">
        <v>1175000</v>
      </c>
      <c r="N2638" s="134">
        <v>1550000</v>
      </c>
      <c r="O2638" t="s">
        <v>560</v>
      </c>
      <c r="P2638" t="s">
        <v>10842</v>
      </c>
      <c r="Q2638" t="s">
        <v>592</v>
      </c>
      <c r="R2638" t="s">
        <v>10843</v>
      </c>
      <c r="U2638" t="s">
        <v>491</v>
      </c>
      <c r="X2638">
        <v>0</v>
      </c>
    </row>
    <row r="2639" spans="1:24" x14ac:dyDescent="0.25">
      <c r="A2639" s="234">
        <v>42965</v>
      </c>
      <c r="B2639" t="s">
        <v>328</v>
      </c>
      <c r="C2639" t="s">
        <v>603</v>
      </c>
      <c r="D2639" t="s">
        <v>2397</v>
      </c>
      <c r="E2639" t="s">
        <v>588</v>
      </c>
      <c r="F2639" t="s">
        <v>8191</v>
      </c>
      <c r="G2639" t="s">
        <v>8191</v>
      </c>
      <c r="H2639" t="s">
        <v>7837</v>
      </c>
      <c r="I2639" t="s">
        <v>8189</v>
      </c>
      <c r="J2639" t="s">
        <v>5562</v>
      </c>
      <c r="L2639">
        <v>4</v>
      </c>
      <c r="M2639" s="134">
        <v>1177000</v>
      </c>
      <c r="N2639" s="134">
        <v>1294700</v>
      </c>
      <c r="O2639" t="s">
        <v>8190</v>
      </c>
      <c r="P2639" t="s">
        <v>8187</v>
      </c>
      <c r="Q2639" t="s">
        <v>1939</v>
      </c>
      <c r="R2639" t="s">
        <v>8188</v>
      </c>
      <c r="U2639" t="s">
        <v>2227</v>
      </c>
      <c r="X2639">
        <v>0</v>
      </c>
    </row>
    <row r="2640" spans="1:24" x14ac:dyDescent="0.25">
      <c r="A2640" s="234">
        <v>43479</v>
      </c>
      <c r="B2640" t="s">
        <v>643</v>
      </c>
      <c r="C2640" t="s">
        <v>644</v>
      </c>
      <c r="D2640" t="s">
        <v>645</v>
      </c>
      <c r="F2640" t="s">
        <v>13959</v>
      </c>
      <c r="G2640" t="s">
        <v>13960</v>
      </c>
      <c r="H2640" t="s">
        <v>607</v>
      </c>
      <c r="I2640" t="s">
        <v>8881</v>
      </c>
      <c r="J2640" t="s">
        <v>899</v>
      </c>
      <c r="K2640" t="s">
        <v>13128</v>
      </c>
      <c r="L2640">
        <v>2</v>
      </c>
      <c r="M2640" s="134">
        <v>1179105</v>
      </c>
      <c r="N2640" s="134">
        <v>1689926</v>
      </c>
      <c r="O2640" t="s">
        <v>6745</v>
      </c>
      <c r="P2640" t="s">
        <v>13961</v>
      </c>
      <c r="Q2640" t="s">
        <v>620</v>
      </c>
      <c r="R2640" t="s">
        <v>13962</v>
      </c>
      <c r="U2640" t="s">
        <v>491</v>
      </c>
      <c r="X2640">
        <v>0</v>
      </c>
    </row>
    <row r="2641" spans="1:24" x14ac:dyDescent="0.25">
      <c r="A2641" s="234">
        <v>42836</v>
      </c>
      <c r="B2641" t="s">
        <v>328</v>
      </c>
      <c r="C2641" t="s">
        <v>603</v>
      </c>
      <c r="D2641" t="s">
        <v>649</v>
      </c>
      <c r="E2641" t="s">
        <v>588</v>
      </c>
      <c r="F2641" t="s">
        <v>6379</v>
      </c>
      <c r="H2641" t="s">
        <v>1626</v>
      </c>
      <c r="I2641" t="s">
        <v>6380</v>
      </c>
      <c r="J2641" t="s">
        <v>4031</v>
      </c>
      <c r="M2641" s="134">
        <v>1181000</v>
      </c>
      <c r="N2641" s="134">
        <v>2300000</v>
      </c>
      <c r="O2641" t="s">
        <v>560</v>
      </c>
      <c r="P2641" t="s">
        <v>6381</v>
      </c>
      <c r="Q2641" t="s">
        <v>592</v>
      </c>
      <c r="U2641" t="s">
        <v>491</v>
      </c>
      <c r="X2641">
        <v>0</v>
      </c>
    </row>
    <row r="2642" spans="1:24" x14ac:dyDescent="0.25">
      <c r="A2642" s="234">
        <v>42458</v>
      </c>
      <c r="B2642" t="s">
        <v>378</v>
      </c>
      <c r="C2642" t="s">
        <v>610</v>
      </c>
      <c r="D2642" t="s">
        <v>732</v>
      </c>
      <c r="E2642" t="s">
        <v>588</v>
      </c>
      <c r="F2642" t="s">
        <v>1430</v>
      </c>
      <c r="H2642" t="s">
        <v>710</v>
      </c>
      <c r="I2642" t="s">
        <v>927</v>
      </c>
      <c r="M2642" s="134">
        <v>1181302</v>
      </c>
      <c r="N2642" s="134">
        <v>3031862</v>
      </c>
      <c r="O2642" t="s">
        <v>1431</v>
      </c>
      <c r="P2642" t="s">
        <v>1432</v>
      </c>
      <c r="Q2642" t="s">
        <v>592</v>
      </c>
      <c r="R2642" t="s">
        <v>1433</v>
      </c>
      <c r="U2642" t="s">
        <v>491</v>
      </c>
      <c r="X2642">
        <v>0</v>
      </c>
    </row>
    <row r="2643" spans="1:24" x14ac:dyDescent="0.25">
      <c r="A2643" s="234">
        <v>43306</v>
      </c>
      <c r="B2643" t="s">
        <v>5360</v>
      </c>
      <c r="C2643" t="s">
        <v>899</v>
      </c>
      <c r="D2643" t="s">
        <v>732</v>
      </c>
      <c r="E2643" t="s">
        <v>588</v>
      </c>
      <c r="F2643" t="s">
        <v>11919</v>
      </c>
      <c r="G2643" t="s">
        <v>11920</v>
      </c>
      <c r="H2643" t="s">
        <v>607</v>
      </c>
      <c r="I2643" t="s">
        <v>4042</v>
      </c>
      <c r="J2643" t="s">
        <v>899</v>
      </c>
      <c r="L2643">
        <v>10</v>
      </c>
      <c r="M2643" s="134">
        <v>1182000</v>
      </c>
      <c r="N2643" s="134">
        <v>2007900</v>
      </c>
      <c r="O2643" t="s">
        <v>7124</v>
      </c>
      <c r="P2643" t="s">
        <v>11922</v>
      </c>
      <c r="Q2643" t="s">
        <v>1939</v>
      </c>
      <c r="R2643" t="s">
        <v>11921</v>
      </c>
      <c r="U2643" t="s">
        <v>1327</v>
      </c>
      <c r="X2643">
        <v>0</v>
      </c>
    </row>
    <row r="2644" spans="1:24" x14ac:dyDescent="0.25">
      <c r="A2644" s="234">
        <v>42832</v>
      </c>
      <c r="B2644" t="s">
        <v>328</v>
      </c>
      <c r="C2644" t="s">
        <v>603</v>
      </c>
      <c r="D2644" t="s">
        <v>5701</v>
      </c>
      <c r="E2644" t="s">
        <v>588</v>
      </c>
      <c r="F2644" t="s">
        <v>6337</v>
      </c>
      <c r="H2644" t="s">
        <v>607</v>
      </c>
      <c r="I2644" t="s">
        <v>6338</v>
      </c>
      <c r="J2644" t="s">
        <v>3369</v>
      </c>
      <c r="M2644" s="134">
        <v>1184000</v>
      </c>
      <c r="N2644" s="134">
        <v>1876000</v>
      </c>
      <c r="O2644" t="s">
        <v>6339</v>
      </c>
      <c r="P2644" t="s">
        <v>6340</v>
      </c>
      <c r="Q2644" t="s">
        <v>1939</v>
      </c>
      <c r="R2644" t="s">
        <v>6341</v>
      </c>
      <c r="S2644" t="s">
        <v>6342</v>
      </c>
      <c r="U2644" t="s">
        <v>491</v>
      </c>
      <c r="X2644">
        <v>0</v>
      </c>
    </row>
    <row r="2645" spans="1:24" x14ac:dyDescent="0.25">
      <c r="A2645" s="234">
        <v>43053</v>
      </c>
      <c r="B2645" t="s">
        <v>569</v>
      </c>
      <c r="C2645" t="s">
        <v>899</v>
      </c>
      <c r="D2645" t="s">
        <v>624</v>
      </c>
      <c r="E2645" t="s">
        <v>588</v>
      </c>
      <c r="F2645" t="s">
        <v>9433</v>
      </c>
      <c r="G2645" t="s">
        <v>1789</v>
      </c>
      <c r="H2645" t="s">
        <v>607</v>
      </c>
      <c r="I2645" t="s">
        <v>4342</v>
      </c>
      <c r="J2645" t="s">
        <v>899</v>
      </c>
      <c r="M2645" s="134">
        <v>1184691</v>
      </c>
      <c r="N2645" s="134">
        <v>1750000</v>
      </c>
      <c r="O2645" t="s">
        <v>1033</v>
      </c>
      <c r="P2645" t="s">
        <v>9613</v>
      </c>
      <c r="Q2645" t="s">
        <v>29</v>
      </c>
      <c r="R2645" t="s">
        <v>9434</v>
      </c>
      <c r="U2645" t="s">
        <v>491</v>
      </c>
      <c r="X2645">
        <v>1</v>
      </c>
    </row>
    <row r="2646" spans="1:24" x14ac:dyDescent="0.25">
      <c r="A2646" s="234">
        <v>43529</v>
      </c>
      <c r="B2646" t="s">
        <v>328</v>
      </c>
      <c r="C2646" t="s">
        <v>603</v>
      </c>
      <c r="D2646" t="s">
        <v>649</v>
      </c>
      <c r="F2646" t="s">
        <v>14622</v>
      </c>
      <c r="G2646" t="s">
        <v>7904</v>
      </c>
      <c r="H2646" t="s">
        <v>607</v>
      </c>
      <c r="I2646" t="s">
        <v>7088</v>
      </c>
      <c r="J2646" t="s">
        <v>899</v>
      </c>
      <c r="K2646" t="s">
        <v>14135</v>
      </c>
      <c r="L2646">
        <v>4</v>
      </c>
      <c r="M2646" s="134">
        <v>1187000</v>
      </c>
      <c r="N2646" s="134">
        <v>2374000</v>
      </c>
      <c r="O2646" t="s">
        <v>10766</v>
      </c>
      <c r="P2646" t="s">
        <v>14623</v>
      </c>
      <c r="Q2646" t="s">
        <v>1939</v>
      </c>
      <c r="R2646" t="s">
        <v>14624</v>
      </c>
      <c r="U2646" t="s">
        <v>12797</v>
      </c>
      <c r="X2646">
        <v>0</v>
      </c>
    </row>
    <row r="2647" spans="1:24" x14ac:dyDescent="0.25">
      <c r="A2647" s="234">
        <v>43298</v>
      </c>
      <c r="B2647" t="s">
        <v>569</v>
      </c>
      <c r="C2647" t="s">
        <v>899</v>
      </c>
      <c r="D2647" t="s">
        <v>625</v>
      </c>
      <c r="E2647" t="s">
        <v>588</v>
      </c>
      <c r="F2647" t="s">
        <v>11806</v>
      </c>
      <c r="G2647" t="s">
        <v>11807</v>
      </c>
      <c r="H2647" t="s">
        <v>10831</v>
      </c>
      <c r="I2647" t="s">
        <v>3649</v>
      </c>
      <c r="J2647" t="s">
        <v>899</v>
      </c>
      <c r="L2647">
        <v>5</v>
      </c>
      <c r="M2647" s="134">
        <v>1188000</v>
      </c>
      <c r="N2647" s="134">
        <v>2300000</v>
      </c>
      <c r="O2647" t="s">
        <v>560</v>
      </c>
      <c r="P2647" t="s">
        <v>11808</v>
      </c>
      <c r="Q2647" t="s">
        <v>592</v>
      </c>
      <c r="R2647" t="s">
        <v>11809</v>
      </c>
      <c r="U2647" t="s">
        <v>491</v>
      </c>
      <c r="X2647">
        <v>0</v>
      </c>
    </row>
    <row r="2648" spans="1:24" x14ac:dyDescent="0.25">
      <c r="A2648" s="234">
        <v>42789</v>
      </c>
      <c r="B2648" t="s">
        <v>328</v>
      </c>
      <c r="C2648" t="s">
        <v>603</v>
      </c>
      <c r="D2648" t="s">
        <v>1401</v>
      </c>
      <c r="E2648" t="s">
        <v>588</v>
      </c>
      <c r="F2648" t="s">
        <v>5800</v>
      </c>
      <c r="H2648" t="s">
        <v>809</v>
      </c>
      <c r="I2648" t="s">
        <v>5801</v>
      </c>
      <c r="J2648" t="s">
        <v>3733</v>
      </c>
      <c r="L2648">
        <v>10</v>
      </c>
      <c r="M2648" s="134">
        <v>1192500</v>
      </c>
      <c r="N2648" s="134">
        <v>1311750</v>
      </c>
      <c r="O2648" t="s">
        <v>5802</v>
      </c>
      <c r="P2648" t="s">
        <v>5803</v>
      </c>
      <c r="Q2648" t="s">
        <v>1939</v>
      </c>
      <c r="R2648" t="s">
        <v>5804</v>
      </c>
      <c r="U2648" t="s">
        <v>491</v>
      </c>
      <c r="X2648">
        <v>0</v>
      </c>
    </row>
    <row r="2649" spans="1:24" x14ac:dyDescent="0.25">
      <c r="A2649" s="234">
        <v>42997</v>
      </c>
      <c r="B2649" t="s">
        <v>569</v>
      </c>
      <c r="C2649" t="s">
        <v>899</v>
      </c>
      <c r="D2649" t="s">
        <v>930</v>
      </c>
      <c r="E2649" t="s">
        <v>821</v>
      </c>
      <c r="F2649" t="s">
        <v>8609</v>
      </c>
      <c r="J2649" t="s">
        <v>899</v>
      </c>
      <c r="M2649" s="134">
        <v>1200000</v>
      </c>
      <c r="N2649" s="134">
        <v>0</v>
      </c>
      <c r="O2649" t="s">
        <v>7074</v>
      </c>
      <c r="P2649" t="s">
        <v>8610</v>
      </c>
      <c r="Q2649" t="s">
        <v>592</v>
      </c>
      <c r="R2649" t="s">
        <v>8611</v>
      </c>
      <c r="T2649">
        <v>5</v>
      </c>
      <c r="U2649" t="s">
        <v>491</v>
      </c>
      <c r="X2649">
        <v>0</v>
      </c>
    </row>
    <row r="2650" spans="1:24" x14ac:dyDescent="0.25">
      <c r="A2650" s="234">
        <v>43027</v>
      </c>
      <c r="B2650" t="s">
        <v>5176</v>
      </c>
      <c r="C2650" t="s">
        <v>959</v>
      </c>
      <c r="D2650" t="s">
        <v>732</v>
      </c>
      <c r="E2650" t="s">
        <v>588</v>
      </c>
      <c r="F2650" t="s">
        <v>9100</v>
      </c>
      <c r="H2650" t="s">
        <v>9101</v>
      </c>
      <c r="M2650" s="134">
        <v>1200000</v>
      </c>
      <c r="N2650" s="134">
        <v>0</v>
      </c>
      <c r="O2650" t="s">
        <v>639</v>
      </c>
      <c r="P2650" t="s">
        <v>9102</v>
      </c>
      <c r="Q2650" t="s">
        <v>29</v>
      </c>
      <c r="R2650" t="s">
        <v>9103</v>
      </c>
      <c r="U2650" t="s">
        <v>491</v>
      </c>
      <c r="X2650">
        <v>1</v>
      </c>
    </row>
    <row r="2651" spans="1:24" x14ac:dyDescent="0.25">
      <c r="A2651" s="234">
        <v>42450</v>
      </c>
      <c r="B2651" t="s">
        <v>378</v>
      </c>
      <c r="C2651" t="s">
        <v>623</v>
      </c>
      <c r="D2651" t="s">
        <v>625</v>
      </c>
      <c r="E2651" t="s">
        <v>588</v>
      </c>
      <c r="F2651" t="s">
        <v>1377</v>
      </c>
      <c r="H2651" t="s">
        <v>607</v>
      </c>
      <c r="I2651" t="s">
        <v>1378</v>
      </c>
      <c r="M2651" s="134">
        <v>1200000</v>
      </c>
      <c r="N2651" s="134">
        <v>0</v>
      </c>
      <c r="O2651" t="s">
        <v>1272</v>
      </c>
      <c r="P2651" t="s">
        <v>1379</v>
      </c>
      <c r="Q2651" t="s">
        <v>592</v>
      </c>
      <c r="R2651" t="s">
        <v>1380</v>
      </c>
      <c r="U2651" t="s">
        <v>491</v>
      </c>
      <c r="X2651">
        <v>0</v>
      </c>
    </row>
    <row r="2652" spans="1:24" x14ac:dyDescent="0.25">
      <c r="A2652" s="234">
        <v>42482</v>
      </c>
      <c r="B2652" t="s">
        <v>378</v>
      </c>
      <c r="C2652" t="s">
        <v>623</v>
      </c>
      <c r="D2652" t="s">
        <v>930</v>
      </c>
      <c r="E2652" t="s">
        <v>821</v>
      </c>
      <c r="H2652" t="s">
        <v>886</v>
      </c>
      <c r="M2652" s="134">
        <v>1200000</v>
      </c>
      <c r="N2652" s="134">
        <v>0</v>
      </c>
      <c r="O2652" t="s">
        <v>1808</v>
      </c>
      <c r="P2652" t="s">
        <v>1809</v>
      </c>
      <c r="Q2652" t="s">
        <v>1612</v>
      </c>
      <c r="R2652" t="s">
        <v>1810</v>
      </c>
      <c r="U2652" t="s">
        <v>491</v>
      </c>
      <c r="X2652">
        <v>0</v>
      </c>
    </row>
    <row r="2653" spans="1:24" x14ac:dyDescent="0.25">
      <c r="A2653" s="234">
        <v>42485</v>
      </c>
      <c r="B2653" t="s">
        <v>328</v>
      </c>
      <c r="D2653" t="s">
        <v>1401</v>
      </c>
      <c r="E2653" t="s">
        <v>588</v>
      </c>
      <c r="F2653" t="s">
        <v>1818</v>
      </c>
      <c r="H2653" t="s">
        <v>1819</v>
      </c>
      <c r="I2653" t="s">
        <v>1820</v>
      </c>
      <c r="M2653" s="134">
        <v>1200000</v>
      </c>
      <c r="N2653" s="134">
        <v>0</v>
      </c>
      <c r="O2653" t="s">
        <v>1822</v>
      </c>
      <c r="P2653" t="s">
        <v>1823</v>
      </c>
      <c r="Q2653" t="s">
        <v>29</v>
      </c>
      <c r="R2653" t="s">
        <v>1824</v>
      </c>
      <c r="U2653" t="s">
        <v>633</v>
      </c>
      <c r="X2653">
        <v>1</v>
      </c>
    </row>
    <row r="2654" spans="1:24" x14ac:dyDescent="0.25">
      <c r="A2654" s="234">
        <v>43293</v>
      </c>
      <c r="B2654" t="s">
        <v>5360</v>
      </c>
      <c r="C2654" t="s">
        <v>899</v>
      </c>
      <c r="D2654" t="s">
        <v>732</v>
      </c>
      <c r="E2654" t="s">
        <v>588</v>
      </c>
      <c r="F2654" t="s">
        <v>11791</v>
      </c>
      <c r="G2654" t="s">
        <v>11791</v>
      </c>
      <c r="H2654" t="s">
        <v>886</v>
      </c>
      <c r="I2654" t="s">
        <v>11792</v>
      </c>
      <c r="J2654" t="s">
        <v>899</v>
      </c>
      <c r="L2654">
        <v>3</v>
      </c>
      <c r="M2654" s="134">
        <v>1200000</v>
      </c>
      <c r="N2654" s="134">
        <v>1200000</v>
      </c>
      <c r="O2654" t="s">
        <v>10766</v>
      </c>
      <c r="P2654" t="s">
        <v>11793</v>
      </c>
      <c r="Q2654" t="s">
        <v>592</v>
      </c>
      <c r="R2654" t="s">
        <v>11794</v>
      </c>
      <c r="U2654" t="s">
        <v>1327</v>
      </c>
      <c r="X2654">
        <v>0</v>
      </c>
    </row>
    <row r="2655" spans="1:24" x14ac:dyDescent="0.25">
      <c r="A2655" s="234">
        <v>43398</v>
      </c>
      <c r="B2655" t="s">
        <v>643</v>
      </c>
      <c r="C2655" t="s">
        <v>644</v>
      </c>
      <c r="D2655" t="s">
        <v>645</v>
      </c>
      <c r="F2655" t="s">
        <v>13027</v>
      </c>
      <c r="G2655" t="s">
        <v>13028</v>
      </c>
      <c r="H2655" t="s">
        <v>809</v>
      </c>
      <c r="I2655" t="s">
        <v>7022</v>
      </c>
      <c r="J2655" t="s">
        <v>644</v>
      </c>
      <c r="K2655">
        <v>80304</v>
      </c>
      <c r="L2655">
        <v>2</v>
      </c>
      <c r="M2655" s="134">
        <v>1200000</v>
      </c>
      <c r="N2655" s="134">
        <v>1200000</v>
      </c>
      <c r="O2655" t="s">
        <v>10765</v>
      </c>
      <c r="P2655" t="s">
        <v>13029</v>
      </c>
      <c r="Q2655" t="s">
        <v>592</v>
      </c>
      <c r="R2655" t="s">
        <v>13033</v>
      </c>
      <c r="U2655" t="s">
        <v>12344</v>
      </c>
      <c r="X2655">
        <v>0</v>
      </c>
    </row>
    <row r="2656" spans="1:24" x14ac:dyDescent="0.25">
      <c r="A2656" s="234">
        <v>42724</v>
      </c>
      <c r="B2656" t="s">
        <v>328</v>
      </c>
      <c r="C2656" t="s">
        <v>603</v>
      </c>
      <c r="D2656" t="s">
        <v>2397</v>
      </c>
      <c r="E2656" t="s">
        <v>588</v>
      </c>
      <c r="F2656" t="s">
        <v>5062</v>
      </c>
      <c r="H2656" t="s">
        <v>5063</v>
      </c>
      <c r="I2656" t="s">
        <v>3875</v>
      </c>
      <c r="J2656" t="s">
        <v>899</v>
      </c>
      <c r="L2656">
        <v>10</v>
      </c>
      <c r="M2656" s="134">
        <v>1200000</v>
      </c>
      <c r="N2656" s="134">
        <v>1250000</v>
      </c>
      <c r="O2656" t="s">
        <v>5064</v>
      </c>
      <c r="P2656" t="s">
        <v>5065</v>
      </c>
      <c r="Q2656" t="s">
        <v>1939</v>
      </c>
      <c r="R2656" t="s">
        <v>5066</v>
      </c>
      <c r="U2656" t="s">
        <v>1327</v>
      </c>
      <c r="X2656">
        <v>0</v>
      </c>
    </row>
    <row r="2657" spans="1:24" x14ac:dyDescent="0.25">
      <c r="A2657" s="234">
        <v>42558</v>
      </c>
      <c r="B2657" t="s">
        <v>594</v>
      </c>
      <c r="C2657" t="s">
        <v>1363</v>
      </c>
      <c r="D2657" t="s">
        <v>1495</v>
      </c>
      <c r="E2657" t="s">
        <v>588</v>
      </c>
      <c r="F2657" t="s">
        <v>2802</v>
      </c>
      <c r="H2657" t="s">
        <v>607</v>
      </c>
      <c r="I2657" t="s">
        <v>2803</v>
      </c>
      <c r="M2657" s="134">
        <v>1200000</v>
      </c>
      <c r="N2657" s="134">
        <v>1260000</v>
      </c>
      <c r="O2657" t="s">
        <v>49</v>
      </c>
      <c r="P2657" t="s">
        <v>2804</v>
      </c>
      <c r="Q2657" t="s">
        <v>1939</v>
      </c>
      <c r="R2657" t="s">
        <v>2805</v>
      </c>
      <c r="U2657" t="s">
        <v>491</v>
      </c>
      <c r="X2657">
        <v>0</v>
      </c>
    </row>
    <row r="2658" spans="1:24" x14ac:dyDescent="0.25">
      <c r="A2658" s="234">
        <v>42577</v>
      </c>
      <c r="B2658" t="s">
        <v>1486</v>
      </c>
      <c r="C2658" t="s">
        <v>1363</v>
      </c>
      <c r="D2658" t="s">
        <v>2346</v>
      </c>
      <c r="E2658" t="s">
        <v>588</v>
      </c>
      <c r="F2658" t="s">
        <v>3040</v>
      </c>
      <c r="H2658" t="s">
        <v>886</v>
      </c>
      <c r="I2658" t="s">
        <v>3054</v>
      </c>
      <c r="M2658" s="134">
        <v>1200000</v>
      </c>
      <c r="N2658" s="134">
        <v>1300000</v>
      </c>
      <c r="O2658" t="s">
        <v>1498</v>
      </c>
      <c r="P2658" t="s">
        <v>3041</v>
      </c>
      <c r="Q2658" t="s">
        <v>29</v>
      </c>
      <c r="U2658" t="s">
        <v>491</v>
      </c>
      <c r="X2658">
        <v>1</v>
      </c>
    </row>
    <row r="2659" spans="1:24" x14ac:dyDescent="0.25">
      <c r="A2659" s="234">
        <v>42397</v>
      </c>
      <c r="B2659" t="s">
        <v>328</v>
      </c>
      <c r="C2659" t="s">
        <v>603</v>
      </c>
      <c r="D2659" t="s">
        <v>649</v>
      </c>
      <c r="E2659" t="s">
        <v>588</v>
      </c>
      <c r="F2659" t="s">
        <v>852</v>
      </c>
      <c r="H2659" t="s">
        <v>627</v>
      </c>
      <c r="I2659" t="s">
        <v>830</v>
      </c>
      <c r="M2659" s="134">
        <v>1200000</v>
      </c>
      <c r="N2659" s="134">
        <v>1345000</v>
      </c>
      <c r="O2659" t="s">
        <v>853</v>
      </c>
      <c r="P2659" t="s">
        <v>855</v>
      </c>
      <c r="Q2659" t="s">
        <v>592</v>
      </c>
      <c r="R2659" t="s">
        <v>856</v>
      </c>
      <c r="U2659" t="s">
        <v>491</v>
      </c>
      <c r="X2659">
        <v>0</v>
      </c>
    </row>
    <row r="2660" spans="1:24" x14ac:dyDescent="0.25">
      <c r="A2660" s="234">
        <v>43157</v>
      </c>
      <c r="B2660" t="s">
        <v>328</v>
      </c>
      <c r="C2660" t="s">
        <v>603</v>
      </c>
      <c r="D2660" t="s">
        <v>5701</v>
      </c>
      <c r="E2660" t="s">
        <v>588</v>
      </c>
      <c r="F2660" t="s">
        <v>10417</v>
      </c>
      <c r="G2660" t="s">
        <v>10417</v>
      </c>
      <c r="H2660" t="s">
        <v>10831</v>
      </c>
      <c r="J2660" t="s">
        <v>3398</v>
      </c>
      <c r="L2660">
        <v>10</v>
      </c>
      <c r="M2660" s="134">
        <v>1200000</v>
      </c>
      <c r="N2660" s="134">
        <v>1448000</v>
      </c>
      <c r="O2660" t="s">
        <v>10762</v>
      </c>
      <c r="P2660" t="s">
        <v>10418</v>
      </c>
      <c r="Q2660" t="s">
        <v>1939</v>
      </c>
      <c r="R2660" t="s">
        <v>10419</v>
      </c>
      <c r="U2660" t="s">
        <v>1327</v>
      </c>
      <c r="X2660">
        <v>0</v>
      </c>
    </row>
    <row r="2661" spans="1:24" x14ac:dyDescent="0.25">
      <c r="A2661" s="234">
        <v>43243</v>
      </c>
      <c r="B2661" t="s">
        <v>328</v>
      </c>
      <c r="C2661" t="s">
        <v>603</v>
      </c>
      <c r="D2661" t="s">
        <v>11277</v>
      </c>
      <c r="E2661" t="s">
        <v>588</v>
      </c>
      <c r="F2661" t="s">
        <v>10367</v>
      </c>
      <c r="G2661" t="s">
        <v>11278</v>
      </c>
      <c r="H2661" t="s">
        <v>809</v>
      </c>
      <c r="J2661" t="s">
        <v>3398</v>
      </c>
      <c r="M2661" s="134">
        <v>1200000</v>
      </c>
      <c r="N2661" s="134">
        <v>1448000</v>
      </c>
      <c r="O2661" t="s">
        <v>10762</v>
      </c>
      <c r="P2661" t="s">
        <v>11279</v>
      </c>
      <c r="Q2661" t="s">
        <v>1612</v>
      </c>
      <c r="R2661" t="s">
        <v>11280</v>
      </c>
      <c r="U2661" t="s">
        <v>491</v>
      </c>
      <c r="X2661">
        <v>0</v>
      </c>
    </row>
    <row r="2662" spans="1:24" x14ac:dyDescent="0.25">
      <c r="A2662" s="234">
        <v>43165</v>
      </c>
      <c r="B2662" t="s">
        <v>569</v>
      </c>
      <c r="C2662" t="s">
        <v>899</v>
      </c>
      <c r="D2662" t="s">
        <v>625</v>
      </c>
      <c r="E2662" t="s">
        <v>588</v>
      </c>
      <c r="F2662" t="s">
        <v>8622</v>
      </c>
      <c r="G2662" t="s">
        <v>10515</v>
      </c>
      <c r="H2662" t="s">
        <v>607</v>
      </c>
      <c r="I2662" t="s">
        <v>3649</v>
      </c>
      <c r="J2662" t="s">
        <v>899</v>
      </c>
      <c r="L2662">
        <v>4</v>
      </c>
      <c r="M2662" s="134">
        <v>1200000</v>
      </c>
      <c r="N2662" s="134">
        <v>1450000</v>
      </c>
      <c r="O2662" t="s">
        <v>560</v>
      </c>
      <c r="P2662" t="s">
        <v>10626</v>
      </c>
      <c r="Q2662" t="s">
        <v>1939</v>
      </c>
      <c r="R2662" t="s">
        <v>10514</v>
      </c>
      <c r="U2662" t="s">
        <v>1327</v>
      </c>
      <c r="X2662">
        <v>0</v>
      </c>
    </row>
    <row r="2663" spans="1:24" x14ac:dyDescent="0.25">
      <c r="A2663" s="234">
        <v>43315</v>
      </c>
      <c r="B2663" t="s">
        <v>569</v>
      </c>
      <c r="C2663" t="s">
        <v>899</v>
      </c>
      <c r="D2663" t="s">
        <v>11359</v>
      </c>
      <c r="E2663" t="s">
        <v>588</v>
      </c>
      <c r="F2663" t="s">
        <v>12031</v>
      </c>
      <c r="H2663" t="s">
        <v>607</v>
      </c>
      <c r="I2663" t="s">
        <v>4438</v>
      </c>
      <c r="J2663" t="s">
        <v>899</v>
      </c>
      <c r="L2663">
        <v>1</v>
      </c>
      <c r="M2663" s="134">
        <v>1200000</v>
      </c>
      <c r="N2663" s="134">
        <v>1520000</v>
      </c>
      <c r="O2663" t="s">
        <v>560</v>
      </c>
      <c r="P2663" t="s">
        <v>12033</v>
      </c>
      <c r="Q2663" t="s">
        <v>592</v>
      </c>
      <c r="R2663" t="s">
        <v>12490</v>
      </c>
      <c r="U2663" t="s">
        <v>491</v>
      </c>
      <c r="X2663">
        <v>0</v>
      </c>
    </row>
    <row r="2664" spans="1:24" x14ac:dyDescent="0.25">
      <c r="A2664" s="234">
        <v>43391</v>
      </c>
      <c r="B2664" t="s">
        <v>569</v>
      </c>
      <c r="C2664" t="s">
        <v>899</v>
      </c>
      <c r="D2664" t="s">
        <v>625</v>
      </c>
      <c r="F2664" t="s">
        <v>491</v>
      </c>
      <c r="G2664" t="s">
        <v>465</v>
      </c>
      <c r="H2664" t="s">
        <v>607</v>
      </c>
      <c r="I2664" t="s">
        <v>2054</v>
      </c>
      <c r="J2664" t="s">
        <v>899</v>
      </c>
      <c r="K2664">
        <v>90046</v>
      </c>
      <c r="L2664">
        <v>6</v>
      </c>
      <c r="M2664" s="134">
        <v>1200000</v>
      </c>
      <c r="N2664" s="134">
        <v>1520000</v>
      </c>
      <c r="O2664" t="s">
        <v>7564</v>
      </c>
      <c r="P2664" t="s">
        <v>13411</v>
      </c>
      <c r="Q2664" t="s">
        <v>1939</v>
      </c>
      <c r="R2664" t="s">
        <v>12961</v>
      </c>
      <c r="U2664" t="s">
        <v>12344</v>
      </c>
      <c r="X2664">
        <v>0</v>
      </c>
    </row>
    <row r="2665" spans="1:24" x14ac:dyDescent="0.25">
      <c r="A2665" s="234">
        <v>42940</v>
      </c>
      <c r="B2665" t="s">
        <v>569</v>
      </c>
      <c r="D2665" t="s">
        <v>625</v>
      </c>
      <c r="E2665" t="s">
        <v>588</v>
      </c>
      <c r="F2665" t="s">
        <v>7717</v>
      </c>
      <c r="G2665" t="s">
        <v>7714</v>
      </c>
      <c r="H2665" t="s">
        <v>905</v>
      </c>
      <c r="I2665" t="s">
        <v>5677</v>
      </c>
      <c r="J2665" t="s">
        <v>899</v>
      </c>
      <c r="L2665">
        <v>3</v>
      </c>
      <c r="M2665" s="134">
        <v>1200000</v>
      </c>
      <c r="N2665" s="134">
        <v>1570000</v>
      </c>
      <c r="O2665" t="s">
        <v>639</v>
      </c>
      <c r="P2665" t="s">
        <v>7718</v>
      </c>
      <c r="Q2665" t="s">
        <v>1939</v>
      </c>
      <c r="R2665" t="s">
        <v>7719</v>
      </c>
      <c r="U2665" t="s">
        <v>491</v>
      </c>
      <c r="X2665">
        <v>0</v>
      </c>
    </row>
    <row r="2666" spans="1:24" x14ac:dyDescent="0.25">
      <c r="A2666" s="234">
        <v>43376</v>
      </c>
      <c r="B2666" t="s">
        <v>569</v>
      </c>
      <c r="C2666" t="s">
        <v>899</v>
      </c>
      <c r="D2666" t="s">
        <v>625</v>
      </c>
      <c r="E2666" t="s">
        <v>588</v>
      </c>
      <c r="F2666" t="s">
        <v>12809</v>
      </c>
      <c r="G2666" t="s">
        <v>3132</v>
      </c>
      <c r="H2666" t="s">
        <v>905</v>
      </c>
      <c r="I2666" t="s">
        <v>2054</v>
      </c>
      <c r="J2666" t="s">
        <v>899</v>
      </c>
      <c r="L2666">
        <v>1</v>
      </c>
      <c r="M2666" s="134">
        <v>1200000</v>
      </c>
      <c r="N2666" s="134">
        <v>1660000</v>
      </c>
      <c r="O2666" t="s">
        <v>4533</v>
      </c>
      <c r="P2666" t="s">
        <v>13400</v>
      </c>
      <c r="Q2666" t="s">
        <v>1939</v>
      </c>
      <c r="R2666" t="s">
        <v>13401</v>
      </c>
      <c r="U2666" t="s">
        <v>12797</v>
      </c>
      <c r="X2666">
        <v>0</v>
      </c>
    </row>
    <row r="2667" spans="1:24" x14ac:dyDescent="0.25">
      <c r="A2667" s="234">
        <v>43325</v>
      </c>
      <c r="B2667" t="s">
        <v>569</v>
      </c>
      <c r="C2667" t="s">
        <v>899</v>
      </c>
      <c r="D2667" t="s">
        <v>624</v>
      </c>
      <c r="E2667" t="s">
        <v>588</v>
      </c>
      <c r="F2667" t="s">
        <v>12164</v>
      </c>
      <c r="G2667" t="s">
        <v>12163</v>
      </c>
      <c r="H2667" t="s">
        <v>607</v>
      </c>
      <c r="I2667" t="s">
        <v>4070</v>
      </c>
      <c r="J2667" t="s">
        <v>899</v>
      </c>
      <c r="L2667">
        <v>1</v>
      </c>
      <c r="M2667" s="134">
        <v>1200000</v>
      </c>
      <c r="N2667" s="134">
        <v>1785000</v>
      </c>
      <c r="O2667" t="s">
        <v>6745</v>
      </c>
      <c r="P2667" t="s">
        <v>12162</v>
      </c>
      <c r="Q2667" t="s">
        <v>1939</v>
      </c>
      <c r="R2667" t="s">
        <v>12161</v>
      </c>
      <c r="U2667" t="s">
        <v>1327</v>
      </c>
      <c r="X2667">
        <v>0</v>
      </c>
    </row>
    <row r="2668" spans="1:24" x14ac:dyDescent="0.25">
      <c r="A2668" s="234">
        <v>43333</v>
      </c>
      <c r="B2668" t="s">
        <v>569</v>
      </c>
      <c r="C2668" t="s">
        <v>899</v>
      </c>
      <c r="D2668" t="s">
        <v>624</v>
      </c>
      <c r="E2668" t="s">
        <v>588</v>
      </c>
      <c r="F2668" t="s">
        <v>12403</v>
      </c>
      <c r="G2668" t="s">
        <v>12402</v>
      </c>
      <c r="H2668" t="s">
        <v>607</v>
      </c>
      <c r="I2668" t="s">
        <v>3649</v>
      </c>
      <c r="J2668" t="s">
        <v>899</v>
      </c>
      <c r="L2668">
        <v>2</v>
      </c>
      <c r="M2668" s="134">
        <v>1200000</v>
      </c>
      <c r="N2668" s="134">
        <v>1800000</v>
      </c>
      <c r="O2668" t="s">
        <v>560</v>
      </c>
      <c r="P2668" t="s">
        <v>12380</v>
      </c>
      <c r="Q2668" t="s">
        <v>592</v>
      </c>
      <c r="R2668" t="s">
        <v>11659</v>
      </c>
      <c r="U2668" t="s">
        <v>1327</v>
      </c>
      <c r="X2668">
        <v>0</v>
      </c>
    </row>
    <row r="2669" spans="1:24" x14ac:dyDescent="0.25">
      <c r="A2669" s="234">
        <v>43034</v>
      </c>
      <c r="B2669" t="s">
        <v>328</v>
      </c>
      <c r="C2669" t="s">
        <v>899</v>
      </c>
      <c r="D2669" t="s">
        <v>649</v>
      </c>
      <c r="E2669" t="s">
        <v>588</v>
      </c>
      <c r="F2669" t="s">
        <v>9192</v>
      </c>
      <c r="G2669" t="s">
        <v>9187</v>
      </c>
      <c r="H2669" t="s">
        <v>1391</v>
      </c>
      <c r="I2669" t="s">
        <v>9188</v>
      </c>
      <c r="J2669" t="s">
        <v>3398</v>
      </c>
      <c r="L2669">
        <v>10</v>
      </c>
      <c r="M2669" s="134">
        <v>1200000</v>
      </c>
      <c r="N2669" s="134">
        <v>1820000</v>
      </c>
      <c r="O2669" t="s">
        <v>9189</v>
      </c>
      <c r="P2669" t="s">
        <v>9190</v>
      </c>
      <c r="Q2669" t="s">
        <v>592</v>
      </c>
      <c r="R2669" t="s">
        <v>9191</v>
      </c>
      <c r="U2669" t="s">
        <v>1327</v>
      </c>
      <c r="X2669">
        <v>0</v>
      </c>
    </row>
    <row r="2670" spans="1:24" x14ac:dyDescent="0.25">
      <c r="A2670" s="234">
        <v>42704</v>
      </c>
      <c r="B2670" t="s">
        <v>328</v>
      </c>
      <c r="C2670" t="s">
        <v>603</v>
      </c>
      <c r="D2670" t="s">
        <v>2397</v>
      </c>
      <c r="E2670" t="s">
        <v>588</v>
      </c>
      <c r="F2670" t="s">
        <v>4856</v>
      </c>
      <c r="H2670" t="s">
        <v>1391</v>
      </c>
      <c r="I2670" t="s">
        <v>4857</v>
      </c>
      <c r="J2670" t="s">
        <v>3533</v>
      </c>
      <c r="L2670">
        <v>10</v>
      </c>
      <c r="M2670" s="134">
        <v>1200000</v>
      </c>
      <c r="N2670" s="134">
        <v>1820000</v>
      </c>
      <c r="O2670" t="s">
        <v>4837</v>
      </c>
      <c r="P2670" t="s">
        <v>4858</v>
      </c>
      <c r="Q2670" t="s">
        <v>1939</v>
      </c>
      <c r="R2670" t="s">
        <v>4859</v>
      </c>
      <c r="U2670" t="s">
        <v>491</v>
      </c>
      <c r="X2670">
        <v>0</v>
      </c>
    </row>
    <row r="2671" spans="1:24" x14ac:dyDescent="0.25">
      <c r="A2671" s="234">
        <v>42475</v>
      </c>
      <c r="B2671" t="s">
        <v>378</v>
      </c>
      <c r="C2671" t="s">
        <v>623</v>
      </c>
      <c r="D2671" t="s">
        <v>625</v>
      </c>
      <c r="E2671" t="s">
        <v>588</v>
      </c>
      <c r="F2671" t="s">
        <v>1668</v>
      </c>
      <c r="H2671" t="s">
        <v>607</v>
      </c>
      <c r="I2671" t="s">
        <v>1669</v>
      </c>
      <c r="M2671" s="134">
        <v>1200000</v>
      </c>
      <c r="N2671" s="134">
        <v>1944000</v>
      </c>
      <c r="O2671" t="s">
        <v>1171</v>
      </c>
      <c r="P2671" t="s">
        <v>1670</v>
      </c>
      <c r="Q2671" t="s">
        <v>29</v>
      </c>
      <c r="R2671" t="s">
        <v>1671</v>
      </c>
      <c r="U2671" t="s">
        <v>491</v>
      </c>
      <c r="X2671">
        <v>1</v>
      </c>
    </row>
    <row r="2672" spans="1:24" x14ac:dyDescent="0.25">
      <c r="A2672" s="234">
        <v>43412</v>
      </c>
      <c r="B2672" t="s">
        <v>569</v>
      </c>
      <c r="C2672" t="s">
        <v>899</v>
      </c>
      <c r="D2672" t="s">
        <v>732</v>
      </c>
      <c r="F2672" t="s">
        <v>13150</v>
      </c>
      <c r="G2672" t="s">
        <v>13151</v>
      </c>
      <c r="H2672" t="s">
        <v>607</v>
      </c>
      <c r="I2672" t="s">
        <v>12347</v>
      </c>
      <c r="J2672" t="s">
        <v>899</v>
      </c>
      <c r="K2672" t="s">
        <v>13153</v>
      </c>
      <c r="L2672">
        <v>3</v>
      </c>
      <c r="M2672" s="134">
        <v>1200000</v>
      </c>
      <c r="N2672" s="134">
        <v>1946250</v>
      </c>
      <c r="O2672" t="s">
        <v>10766</v>
      </c>
      <c r="P2672" t="s">
        <v>13152</v>
      </c>
      <c r="Q2672" t="s">
        <v>592</v>
      </c>
      <c r="R2672" t="s">
        <v>13154</v>
      </c>
      <c r="U2672" t="s">
        <v>12344</v>
      </c>
      <c r="X2672">
        <v>0</v>
      </c>
    </row>
    <row r="2673" spans="1:24" x14ac:dyDescent="0.25">
      <c r="A2673" s="234">
        <v>43479</v>
      </c>
      <c r="B2673" t="s">
        <v>569</v>
      </c>
      <c r="C2673" t="s">
        <v>899</v>
      </c>
      <c r="D2673" t="s">
        <v>3505</v>
      </c>
      <c r="F2673" t="s">
        <v>13949</v>
      </c>
      <c r="G2673" t="s">
        <v>13950</v>
      </c>
      <c r="H2673" t="s">
        <v>607</v>
      </c>
      <c r="I2673" t="s">
        <v>13951</v>
      </c>
      <c r="J2673" t="s">
        <v>899</v>
      </c>
      <c r="K2673" t="s">
        <v>13952</v>
      </c>
      <c r="L2673">
        <v>5</v>
      </c>
      <c r="M2673" s="134">
        <v>1200000</v>
      </c>
      <c r="N2673" s="134">
        <v>2000000</v>
      </c>
      <c r="O2673" t="s">
        <v>10766</v>
      </c>
      <c r="P2673" t="s">
        <v>13953</v>
      </c>
      <c r="Q2673" t="s">
        <v>29</v>
      </c>
      <c r="R2673" t="s">
        <v>13954</v>
      </c>
      <c r="U2673" t="s">
        <v>491</v>
      </c>
      <c r="X2673">
        <v>1</v>
      </c>
    </row>
    <row r="2674" spans="1:24" x14ac:dyDescent="0.25">
      <c r="A2674" s="234">
        <v>43311</v>
      </c>
      <c r="B2674" t="s">
        <v>569</v>
      </c>
      <c r="C2674" t="s">
        <v>899</v>
      </c>
      <c r="D2674" t="s">
        <v>3505</v>
      </c>
      <c r="E2674" t="s">
        <v>588</v>
      </c>
      <c r="F2674" t="s">
        <v>11962</v>
      </c>
      <c r="G2674" t="s">
        <v>7457</v>
      </c>
      <c r="H2674" t="s">
        <v>607</v>
      </c>
      <c r="I2674" t="s">
        <v>11963</v>
      </c>
      <c r="J2674" t="s">
        <v>899</v>
      </c>
      <c r="M2674" s="134">
        <v>1200000</v>
      </c>
      <c r="N2674" s="134">
        <v>2000000</v>
      </c>
      <c r="O2674" t="s">
        <v>10766</v>
      </c>
      <c r="P2674" t="s">
        <v>11964</v>
      </c>
      <c r="Q2674" t="s">
        <v>1939</v>
      </c>
      <c r="R2674" t="s">
        <v>11965</v>
      </c>
      <c r="U2674" t="s">
        <v>1327</v>
      </c>
      <c r="X2674">
        <v>0</v>
      </c>
    </row>
    <row r="2675" spans="1:24" x14ac:dyDescent="0.25">
      <c r="A2675" s="234">
        <v>43567</v>
      </c>
      <c r="B2675" t="s">
        <v>328</v>
      </c>
      <c r="C2675" t="s">
        <v>603</v>
      </c>
      <c r="D2675" t="s">
        <v>649</v>
      </c>
      <c r="F2675" t="s">
        <v>10997</v>
      </c>
      <c r="G2675" t="s">
        <v>13550</v>
      </c>
      <c r="H2675" t="s">
        <v>607</v>
      </c>
      <c r="I2675" t="s">
        <v>15066</v>
      </c>
      <c r="J2675" t="s">
        <v>14074</v>
      </c>
      <c r="K2675" t="s">
        <v>15067</v>
      </c>
      <c r="L2675">
        <v>9</v>
      </c>
      <c r="M2675" s="134">
        <v>1200000</v>
      </c>
      <c r="N2675" s="134">
        <v>2020000</v>
      </c>
      <c r="O2675" t="s">
        <v>7124</v>
      </c>
      <c r="P2675" t="s">
        <v>15068</v>
      </c>
      <c r="Q2675" t="s">
        <v>1612</v>
      </c>
      <c r="R2675" t="s">
        <v>15074</v>
      </c>
      <c r="U2675" t="s">
        <v>491</v>
      </c>
      <c r="X2675">
        <v>0</v>
      </c>
    </row>
    <row r="2676" spans="1:24" x14ac:dyDescent="0.25">
      <c r="A2676" s="234">
        <v>42538</v>
      </c>
      <c r="B2676" t="s">
        <v>328</v>
      </c>
      <c r="C2676" t="s">
        <v>603</v>
      </c>
      <c r="D2676" t="s">
        <v>1401</v>
      </c>
      <c r="E2676" t="s">
        <v>588</v>
      </c>
      <c r="F2676" t="s">
        <v>3645</v>
      </c>
      <c r="H2676" t="s">
        <v>607</v>
      </c>
      <c r="I2676" t="s">
        <v>3646</v>
      </c>
      <c r="J2676" t="s">
        <v>644</v>
      </c>
      <c r="L2676">
        <v>9</v>
      </c>
      <c r="M2676" s="134">
        <v>1200000</v>
      </c>
      <c r="N2676" s="134">
        <v>2020000</v>
      </c>
      <c r="O2676" t="s">
        <v>560</v>
      </c>
      <c r="P2676" t="s">
        <v>3647</v>
      </c>
      <c r="Q2676" t="s">
        <v>592</v>
      </c>
      <c r="U2676" t="s">
        <v>491</v>
      </c>
      <c r="X2676">
        <v>0</v>
      </c>
    </row>
    <row r="2677" spans="1:24" x14ac:dyDescent="0.25">
      <c r="A2677" s="234">
        <v>43528</v>
      </c>
      <c r="B2677" t="s">
        <v>328</v>
      </c>
      <c r="C2677" t="s">
        <v>603</v>
      </c>
      <c r="D2677" t="s">
        <v>757</v>
      </c>
      <c r="F2677" t="s">
        <v>14599</v>
      </c>
      <c r="G2677" t="s">
        <v>14600</v>
      </c>
      <c r="H2677" t="s">
        <v>607</v>
      </c>
      <c r="I2677" t="s">
        <v>14601</v>
      </c>
      <c r="J2677" t="s">
        <v>3398</v>
      </c>
      <c r="K2677" t="s">
        <v>14602</v>
      </c>
      <c r="L2677">
        <v>10</v>
      </c>
      <c r="M2677" s="134">
        <v>1200000</v>
      </c>
      <c r="N2677" s="134">
        <v>2040000</v>
      </c>
      <c r="O2677" t="s">
        <v>10763</v>
      </c>
      <c r="P2677" t="s">
        <v>14603</v>
      </c>
      <c r="Q2677" t="s">
        <v>1939</v>
      </c>
      <c r="R2677" t="s">
        <v>14818</v>
      </c>
      <c r="U2677" t="s">
        <v>12797</v>
      </c>
      <c r="X2677">
        <v>0</v>
      </c>
    </row>
    <row r="2678" spans="1:24" x14ac:dyDescent="0.25">
      <c r="A2678" s="234">
        <v>43591</v>
      </c>
      <c r="B2678" t="s">
        <v>13559</v>
      </c>
      <c r="C2678" t="s">
        <v>4031</v>
      </c>
      <c r="D2678" t="s">
        <v>13560</v>
      </c>
      <c r="F2678" t="s">
        <v>15406</v>
      </c>
      <c r="G2678" t="s">
        <v>8263</v>
      </c>
      <c r="H2678" t="s">
        <v>607</v>
      </c>
      <c r="I2678" t="s">
        <v>15407</v>
      </c>
      <c r="J2678" t="s">
        <v>4031</v>
      </c>
      <c r="K2678" t="s">
        <v>15408</v>
      </c>
      <c r="L2678">
        <v>4</v>
      </c>
      <c r="M2678" s="134">
        <v>1200000</v>
      </c>
      <c r="N2678" s="134">
        <v>2040000</v>
      </c>
      <c r="O2678" t="s">
        <v>6745</v>
      </c>
      <c r="P2678" t="s">
        <v>15409</v>
      </c>
      <c r="Q2678" t="s">
        <v>1939</v>
      </c>
      <c r="R2678" t="s">
        <v>15410</v>
      </c>
      <c r="U2678" t="s">
        <v>491</v>
      </c>
      <c r="X2678">
        <v>0</v>
      </c>
    </row>
    <row r="2679" spans="1:24" x14ac:dyDescent="0.25">
      <c r="A2679" s="234">
        <v>43199</v>
      </c>
      <c r="B2679" t="s">
        <v>5956</v>
      </c>
      <c r="C2679" t="s">
        <v>3369</v>
      </c>
      <c r="D2679" t="s">
        <v>10156</v>
      </c>
      <c r="E2679" t="s">
        <v>588</v>
      </c>
      <c r="F2679" t="s">
        <v>10871</v>
      </c>
      <c r="G2679" t="s">
        <v>10872</v>
      </c>
      <c r="H2679" t="s">
        <v>607</v>
      </c>
      <c r="I2679" t="s">
        <v>4515</v>
      </c>
      <c r="J2679" t="s">
        <v>3369</v>
      </c>
      <c r="M2679" s="134">
        <v>1200000</v>
      </c>
      <c r="N2679" s="134">
        <v>2100000</v>
      </c>
      <c r="O2679" t="s">
        <v>10766</v>
      </c>
      <c r="P2679" t="s">
        <v>10873</v>
      </c>
      <c r="Q2679" t="s">
        <v>620</v>
      </c>
      <c r="R2679" t="s">
        <v>10874</v>
      </c>
      <c r="U2679" t="s">
        <v>491</v>
      </c>
      <c r="X2679">
        <v>0</v>
      </c>
    </row>
    <row r="2680" spans="1:24" x14ac:dyDescent="0.25">
      <c r="A2680" s="234">
        <v>43588</v>
      </c>
      <c r="B2680" t="s">
        <v>643</v>
      </c>
      <c r="C2680" t="s">
        <v>644</v>
      </c>
      <c r="D2680" t="s">
        <v>645</v>
      </c>
      <c r="F2680" t="s">
        <v>15369</v>
      </c>
      <c r="G2680" t="s">
        <v>15370</v>
      </c>
      <c r="H2680" t="s">
        <v>607</v>
      </c>
      <c r="I2680" t="s">
        <v>9371</v>
      </c>
      <c r="J2680" t="s">
        <v>899</v>
      </c>
      <c r="K2680" t="s">
        <v>15371</v>
      </c>
      <c r="L2680">
        <v>3</v>
      </c>
      <c r="M2680" s="134">
        <v>1200000</v>
      </c>
      <c r="N2680" s="134">
        <v>2160000</v>
      </c>
      <c r="O2680" t="s">
        <v>10766</v>
      </c>
      <c r="P2680" t="s">
        <v>15372</v>
      </c>
      <c r="Q2680" t="s">
        <v>592</v>
      </c>
      <c r="R2680" t="s">
        <v>15373</v>
      </c>
      <c r="U2680" t="s">
        <v>491</v>
      </c>
      <c r="X2680">
        <v>0</v>
      </c>
    </row>
    <row r="2681" spans="1:24" x14ac:dyDescent="0.25">
      <c r="A2681" s="234">
        <v>42760</v>
      </c>
      <c r="B2681" t="s">
        <v>328</v>
      </c>
      <c r="C2681" t="s">
        <v>603</v>
      </c>
      <c r="D2681" t="s">
        <v>1401</v>
      </c>
      <c r="E2681" t="s">
        <v>588</v>
      </c>
      <c r="F2681" t="s">
        <v>5448</v>
      </c>
      <c r="H2681" t="s">
        <v>607</v>
      </c>
      <c r="I2681" t="s">
        <v>5449</v>
      </c>
      <c r="J2681" t="s">
        <v>899</v>
      </c>
      <c r="L2681" t="s">
        <v>5287</v>
      </c>
      <c r="M2681" s="134">
        <v>1200000</v>
      </c>
      <c r="N2681" s="134">
        <v>2160000</v>
      </c>
      <c r="O2681" t="s">
        <v>560</v>
      </c>
      <c r="P2681" t="s">
        <v>5450</v>
      </c>
      <c r="Q2681" t="s">
        <v>592</v>
      </c>
      <c r="U2681" t="s">
        <v>491</v>
      </c>
      <c r="X2681">
        <v>0</v>
      </c>
    </row>
    <row r="2682" spans="1:24" x14ac:dyDescent="0.25">
      <c r="A2682" s="234">
        <v>42713</v>
      </c>
      <c r="B2682" t="s">
        <v>328</v>
      </c>
      <c r="C2682" t="s">
        <v>603</v>
      </c>
      <c r="D2682" t="s">
        <v>1471</v>
      </c>
      <c r="E2682" t="s">
        <v>588</v>
      </c>
      <c r="F2682" t="s">
        <v>4976</v>
      </c>
      <c r="H2682" t="s">
        <v>722</v>
      </c>
      <c r="I2682" t="s">
        <v>4977</v>
      </c>
      <c r="J2682" t="s">
        <v>3885</v>
      </c>
      <c r="L2682">
        <v>9</v>
      </c>
      <c r="M2682" s="134">
        <v>1200000</v>
      </c>
      <c r="N2682" s="134">
        <v>2160000</v>
      </c>
      <c r="O2682" t="s">
        <v>666</v>
      </c>
      <c r="P2682" t="s">
        <v>4978</v>
      </c>
      <c r="Q2682" t="s">
        <v>592</v>
      </c>
      <c r="R2682" t="s">
        <v>4979</v>
      </c>
      <c r="U2682" t="s">
        <v>491</v>
      </c>
      <c r="X2682">
        <v>0</v>
      </c>
    </row>
    <row r="2683" spans="1:24" x14ac:dyDescent="0.25">
      <c r="A2683" s="234">
        <v>43298</v>
      </c>
      <c r="B2683" t="s">
        <v>569</v>
      </c>
      <c r="C2683" t="s">
        <v>899</v>
      </c>
      <c r="D2683" t="s">
        <v>625</v>
      </c>
      <c r="E2683" t="s">
        <v>588</v>
      </c>
      <c r="F2683" t="s">
        <v>11810</v>
      </c>
      <c r="H2683" t="s">
        <v>607</v>
      </c>
      <c r="I2683" t="s">
        <v>9725</v>
      </c>
      <c r="J2683" t="s">
        <v>899</v>
      </c>
      <c r="L2683">
        <v>5</v>
      </c>
      <c r="M2683" s="134">
        <v>1200000</v>
      </c>
      <c r="N2683" s="134">
        <v>2200000</v>
      </c>
      <c r="O2683" t="s">
        <v>4533</v>
      </c>
      <c r="P2683" t="s">
        <v>11811</v>
      </c>
      <c r="Q2683" t="s">
        <v>1939</v>
      </c>
      <c r="R2683" t="s">
        <v>11812</v>
      </c>
      <c r="U2683" t="s">
        <v>491</v>
      </c>
      <c r="X2683">
        <v>0</v>
      </c>
    </row>
    <row r="2684" spans="1:24" x14ac:dyDescent="0.25">
      <c r="A2684" s="234">
        <v>43199</v>
      </c>
      <c r="B2684" t="s">
        <v>569</v>
      </c>
      <c r="C2684" t="s">
        <v>899</v>
      </c>
      <c r="D2684" t="s">
        <v>625</v>
      </c>
      <c r="E2684" t="s">
        <v>588</v>
      </c>
      <c r="F2684" t="s">
        <v>10856</v>
      </c>
      <c r="G2684" t="s">
        <v>7814</v>
      </c>
      <c r="H2684" t="s">
        <v>607</v>
      </c>
      <c r="I2684" t="s">
        <v>3649</v>
      </c>
      <c r="J2684" t="s">
        <v>899</v>
      </c>
      <c r="L2684">
        <v>4</v>
      </c>
      <c r="M2684" s="134">
        <v>1200000</v>
      </c>
      <c r="N2684" s="134">
        <v>2290000</v>
      </c>
      <c r="O2684" t="s">
        <v>560</v>
      </c>
      <c r="P2684" t="s">
        <v>10854</v>
      </c>
      <c r="Q2684" t="s">
        <v>1939</v>
      </c>
      <c r="R2684" t="s">
        <v>10855</v>
      </c>
      <c r="U2684" t="s">
        <v>1327</v>
      </c>
      <c r="X2684">
        <v>0</v>
      </c>
    </row>
    <row r="2685" spans="1:24" x14ac:dyDescent="0.25">
      <c r="A2685" s="234">
        <v>43451</v>
      </c>
      <c r="B2685" t="s">
        <v>569</v>
      </c>
      <c r="C2685" t="s">
        <v>899</v>
      </c>
      <c r="D2685" t="s">
        <v>625</v>
      </c>
      <c r="F2685" t="s">
        <v>13666</v>
      </c>
      <c r="G2685" t="s">
        <v>13667</v>
      </c>
      <c r="H2685" t="s">
        <v>607</v>
      </c>
      <c r="I2685" t="s">
        <v>2054</v>
      </c>
      <c r="J2685" t="s">
        <v>899</v>
      </c>
      <c r="K2685" t="s">
        <v>13668</v>
      </c>
      <c r="L2685">
        <v>3</v>
      </c>
      <c r="M2685" s="134">
        <v>1200000</v>
      </c>
      <c r="N2685" s="134">
        <v>2310000</v>
      </c>
      <c r="O2685" t="s">
        <v>7564</v>
      </c>
      <c r="P2685" t="s">
        <v>13669</v>
      </c>
      <c r="Q2685" t="s">
        <v>1939</v>
      </c>
      <c r="R2685" t="s">
        <v>13670</v>
      </c>
      <c r="U2685" t="s">
        <v>491</v>
      </c>
      <c r="X2685">
        <v>0</v>
      </c>
    </row>
    <row r="2686" spans="1:24" x14ac:dyDescent="0.25">
      <c r="A2686" s="234">
        <v>43614</v>
      </c>
      <c r="B2686" t="s">
        <v>1788</v>
      </c>
      <c r="C2686" t="s">
        <v>3369</v>
      </c>
      <c r="D2686" t="s">
        <v>6360</v>
      </c>
      <c r="F2686" t="s">
        <v>15793</v>
      </c>
      <c r="G2686" t="s">
        <v>15794</v>
      </c>
      <c r="H2686" t="s">
        <v>607</v>
      </c>
      <c r="I2686" t="s">
        <v>15798</v>
      </c>
      <c r="J2686" t="s">
        <v>14268</v>
      </c>
      <c r="K2686" t="s">
        <v>15799</v>
      </c>
      <c r="L2686">
        <v>3</v>
      </c>
      <c r="M2686" s="134">
        <v>1200000</v>
      </c>
      <c r="N2686" s="134">
        <v>2380000</v>
      </c>
      <c r="O2686" t="s">
        <v>10766</v>
      </c>
      <c r="P2686" t="s">
        <v>15910</v>
      </c>
      <c r="Q2686" t="s">
        <v>29</v>
      </c>
      <c r="R2686" t="s">
        <v>15458</v>
      </c>
      <c r="U2686" t="s">
        <v>491</v>
      </c>
      <c r="X2686">
        <v>1</v>
      </c>
    </row>
    <row r="2687" spans="1:24" x14ac:dyDescent="0.25">
      <c r="A2687" s="234">
        <v>42801</v>
      </c>
      <c r="B2687" t="s">
        <v>5360</v>
      </c>
      <c r="D2687" t="s">
        <v>1027</v>
      </c>
      <c r="E2687" t="s">
        <v>588</v>
      </c>
      <c r="F2687" t="s">
        <v>5867</v>
      </c>
      <c r="H2687" t="s">
        <v>607</v>
      </c>
      <c r="I2687" t="s">
        <v>5868</v>
      </c>
      <c r="J2687" t="s">
        <v>899</v>
      </c>
      <c r="L2687">
        <v>9</v>
      </c>
      <c r="M2687" s="134">
        <v>1200000</v>
      </c>
      <c r="N2687" s="134">
        <v>2400000</v>
      </c>
      <c r="O2687" t="s">
        <v>560</v>
      </c>
      <c r="P2687" t="s">
        <v>5869</v>
      </c>
      <c r="Q2687" t="s">
        <v>1939</v>
      </c>
      <c r="R2687" t="s">
        <v>5870</v>
      </c>
      <c r="U2687" t="s">
        <v>491</v>
      </c>
      <c r="X2687">
        <v>0</v>
      </c>
    </row>
    <row r="2688" spans="1:24" x14ac:dyDescent="0.25">
      <c r="A2688" s="234">
        <v>43335</v>
      </c>
      <c r="B2688" t="s">
        <v>569</v>
      </c>
      <c r="C2688" t="s">
        <v>899</v>
      </c>
      <c r="D2688" t="s">
        <v>11359</v>
      </c>
      <c r="E2688" t="s">
        <v>588</v>
      </c>
      <c r="F2688" t="s">
        <v>12294</v>
      </c>
      <c r="G2688" t="s">
        <v>12295</v>
      </c>
      <c r="H2688" t="s">
        <v>607</v>
      </c>
      <c r="I2688" t="s">
        <v>11640</v>
      </c>
      <c r="J2688" t="s">
        <v>899</v>
      </c>
      <c r="M2688" s="134">
        <v>1200000</v>
      </c>
      <c r="N2688" s="134">
        <v>3000000</v>
      </c>
      <c r="O2688" t="s">
        <v>10766</v>
      </c>
      <c r="P2688" t="s">
        <v>12296</v>
      </c>
      <c r="Q2688" t="s">
        <v>29</v>
      </c>
      <c r="R2688" t="s">
        <v>12297</v>
      </c>
      <c r="U2688" t="s">
        <v>491</v>
      </c>
      <c r="X2688">
        <v>1</v>
      </c>
    </row>
    <row r="2689" spans="1:24" x14ac:dyDescent="0.25">
      <c r="A2689" s="234">
        <v>43423</v>
      </c>
      <c r="B2689" t="s">
        <v>328</v>
      </c>
      <c r="C2689" t="s">
        <v>603</v>
      </c>
      <c r="D2689" t="s">
        <v>8941</v>
      </c>
      <c r="F2689" t="s">
        <v>13210</v>
      </c>
      <c r="G2689" t="s">
        <v>13211</v>
      </c>
      <c r="H2689" t="s">
        <v>607</v>
      </c>
      <c r="I2689" t="s">
        <v>6353</v>
      </c>
      <c r="J2689" t="s">
        <v>899</v>
      </c>
      <c r="K2689" t="s">
        <v>13212</v>
      </c>
      <c r="L2689">
        <v>10</v>
      </c>
      <c r="M2689" s="134">
        <v>1202600</v>
      </c>
      <c r="N2689" s="134">
        <v>2284940</v>
      </c>
      <c r="O2689" t="s">
        <v>560</v>
      </c>
      <c r="P2689" t="s">
        <v>13213</v>
      </c>
      <c r="Q2689" t="s">
        <v>29</v>
      </c>
      <c r="R2689" t="s">
        <v>13214</v>
      </c>
      <c r="S2689" t="s">
        <v>13439</v>
      </c>
      <c r="U2689" t="s">
        <v>491</v>
      </c>
      <c r="X2689">
        <v>1</v>
      </c>
    </row>
    <row r="2690" spans="1:24" x14ac:dyDescent="0.25">
      <c r="A2690" s="234">
        <v>43112</v>
      </c>
      <c r="B2690" t="s">
        <v>5956</v>
      </c>
      <c r="C2690" t="s">
        <v>3369</v>
      </c>
      <c r="D2690" t="s">
        <v>9977</v>
      </c>
      <c r="E2690" t="s">
        <v>588</v>
      </c>
      <c r="F2690" t="s">
        <v>9978</v>
      </c>
      <c r="H2690" t="s">
        <v>10831</v>
      </c>
      <c r="I2690" t="s">
        <v>9979</v>
      </c>
      <c r="J2690" t="s">
        <v>3369</v>
      </c>
      <c r="L2690">
        <v>5</v>
      </c>
      <c r="M2690" s="134">
        <v>1204000</v>
      </c>
      <c r="N2690" s="134">
        <v>1756000</v>
      </c>
      <c r="O2690" t="s">
        <v>10766</v>
      </c>
      <c r="P2690" t="s">
        <v>9980</v>
      </c>
      <c r="Q2690" t="s">
        <v>1939</v>
      </c>
      <c r="R2690" t="s">
        <v>10021</v>
      </c>
      <c r="T2690" t="s">
        <v>833</v>
      </c>
      <c r="U2690" t="s">
        <v>491</v>
      </c>
      <c r="X2690">
        <v>0</v>
      </c>
    </row>
    <row r="2691" spans="1:24" x14ac:dyDescent="0.25">
      <c r="A2691" s="234">
        <v>43440</v>
      </c>
      <c r="B2691" t="s">
        <v>9240</v>
      </c>
      <c r="C2691" t="s">
        <v>603</v>
      </c>
      <c r="D2691" t="s">
        <v>9849</v>
      </c>
      <c r="F2691" t="s">
        <v>13529</v>
      </c>
      <c r="G2691" t="s">
        <v>8515</v>
      </c>
      <c r="H2691" t="s">
        <v>607</v>
      </c>
      <c r="I2691" t="s">
        <v>13530</v>
      </c>
      <c r="J2691" t="s">
        <v>4031</v>
      </c>
      <c r="K2691" t="s">
        <v>13531</v>
      </c>
      <c r="L2691">
        <v>1</v>
      </c>
      <c r="M2691" s="134">
        <v>1205400</v>
      </c>
      <c r="N2691" s="134">
        <v>2700000</v>
      </c>
      <c r="O2691" t="s">
        <v>10766</v>
      </c>
      <c r="P2691" t="s">
        <v>13745</v>
      </c>
      <c r="Q2691" t="s">
        <v>1612</v>
      </c>
      <c r="R2691" t="s">
        <v>13536</v>
      </c>
      <c r="U2691" t="s">
        <v>491</v>
      </c>
      <c r="X2691">
        <v>0</v>
      </c>
    </row>
    <row r="2692" spans="1:24" x14ac:dyDescent="0.25">
      <c r="A2692" s="234">
        <v>43299</v>
      </c>
      <c r="B2692" t="s">
        <v>328</v>
      </c>
      <c r="C2692" t="s">
        <v>603</v>
      </c>
      <c r="D2692" t="s">
        <v>672</v>
      </c>
      <c r="E2692" t="s">
        <v>588</v>
      </c>
      <c r="F2692" t="s">
        <v>11835</v>
      </c>
      <c r="G2692" t="s">
        <v>11836</v>
      </c>
      <c r="H2692" t="s">
        <v>809</v>
      </c>
      <c r="I2692" t="s">
        <v>7871</v>
      </c>
      <c r="J2692" t="s">
        <v>6015</v>
      </c>
      <c r="L2692">
        <v>10</v>
      </c>
      <c r="M2692" s="134">
        <v>1206000</v>
      </c>
      <c r="N2692" s="134">
        <v>1366600</v>
      </c>
      <c r="O2692" t="s">
        <v>10766</v>
      </c>
      <c r="P2692" t="s">
        <v>11837</v>
      </c>
      <c r="Q2692" t="s">
        <v>1939</v>
      </c>
      <c r="R2692" t="s">
        <v>11838</v>
      </c>
      <c r="U2692" t="s">
        <v>491</v>
      </c>
      <c r="X2692">
        <v>0</v>
      </c>
    </row>
    <row r="2693" spans="1:24" x14ac:dyDescent="0.25">
      <c r="A2693" s="234">
        <v>43138</v>
      </c>
      <c r="B2693" t="s">
        <v>569</v>
      </c>
      <c r="C2693" t="s">
        <v>899</v>
      </c>
      <c r="D2693" t="s">
        <v>625</v>
      </c>
      <c r="E2693" t="s">
        <v>588</v>
      </c>
      <c r="F2693" t="s">
        <v>10300</v>
      </c>
      <c r="G2693" t="s">
        <v>10091</v>
      </c>
      <c r="H2693" t="s">
        <v>607</v>
      </c>
      <c r="I2693" t="s">
        <v>10301</v>
      </c>
      <c r="J2693" t="s">
        <v>899</v>
      </c>
      <c r="L2693">
        <v>1</v>
      </c>
      <c r="M2693" s="134">
        <v>1210000</v>
      </c>
      <c r="N2693" s="134">
        <v>1951000</v>
      </c>
      <c r="O2693" t="s">
        <v>10766</v>
      </c>
      <c r="P2693" t="s">
        <v>10302</v>
      </c>
      <c r="Q2693" t="s">
        <v>1939</v>
      </c>
      <c r="R2693" t="s">
        <v>10303</v>
      </c>
      <c r="U2693" t="s">
        <v>1327</v>
      </c>
      <c r="X2693">
        <v>0</v>
      </c>
    </row>
    <row r="2694" spans="1:24" x14ac:dyDescent="0.25">
      <c r="A2694" s="234">
        <v>42822</v>
      </c>
      <c r="B2694" t="s">
        <v>569</v>
      </c>
      <c r="C2694" t="s">
        <v>899</v>
      </c>
      <c r="D2694" t="s">
        <v>625</v>
      </c>
      <c r="E2694" t="s">
        <v>588</v>
      </c>
      <c r="F2694" t="s">
        <v>6165</v>
      </c>
      <c r="H2694" t="s">
        <v>6002</v>
      </c>
      <c r="I2694" t="s">
        <v>6166</v>
      </c>
      <c r="J2694" t="s">
        <v>899</v>
      </c>
      <c r="L2694">
        <v>2</v>
      </c>
      <c r="M2694" s="134">
        <v>1212000</v>
      </c>
      <c r="N2694" s="134">
        <v>2181600</v>
      </c>
      <c r="O2694" t="s">
        <v>6167</v>
      </c>
      <c r="P2694" t="s">
        <v>6168</v>
      </c>
      <c r="Q2694" t="s">
        <v>1939</v>
      </c>
      <c r="R2694" t="s">
        <v>6169</v>
      </c>
      <c r="U2694" t="s">
        <v>1327</v>
      </c>
      <c r="X2694">
        <v>0</v>
      </c>
    </row>
    <row r="2695" spans="1:24" x14ac:dyDescent="0.25">
      <c r="A2695" s="234">
        <v>43432</v>
      </c>
      <c r="B2695" t="s">
        <v>569</v>
      </c>
      <c r="C2695" t="s">
        <v>899</v>
      </c>
      <c r="D2695" t="s">
        <v>624</v>
      </c>
      <c r="F2695" t="s">
        <v>13331</v>
      </c>
      <c r="G2695" t="s">
        <v>13332</v>
      </c>
      <c r="H2695" t="s">
        <v>607</v>
      </c>
      <c r="I2695" t="s">
        <v>8445</v>
      </c>
      <c r="J2695" t="s">
        <v>899</v>
      </c>
      <c r="K2695" t="s">
        <v>13080</v>
      </c>
      <c r="M2695" s="134">
        <v>1216000</v>
      </c>
      <c r="N2695" s="134">
        <v>2100000</v>
      </c>
      <c r="O2695" t="s">
        <v>10766</v>
      </c>
      <c r="P2695" t="s">
        <v>13333</v>
      </c>
      <c r="Q2695" t="s">
        <v>29</v>
      </c>
      <c r="R2695" t="s">
        <v>13339</v>
      </c>
      <c r="U2695" t="s">
        <v>491</v>
      </c>
      <c r="X2695">
        <v>1</v>
      </c>
    </row>
    <row r="2696" spans="1:24" x14ac:dyDescent="0.25">
      <c r="A2696" s="234">
        <v>43026</v>
      </c>
      <c r="B2696" t="s">
        <v>5360</v>
      </c>
      <c r="C2696" t="s">
        <v>899</v>
      </c>
      <c r="D2696" t="s">
        <v>732</v>
      </c>
      <c r="E2696" t="s">
        <v>588</v>
      </c>
      <c r="F2696" t="s">
        <v>9071</v>
      </c>
      <c r="G2696" t="s">
        <v>9072</v>
      </c>
      <c r="H2696" t="s">
        <v>607</v>
      </c>
      <c r="I2696" t="s">
        <v>7073</v>
      </c>
      <c r="J2696" t="s">
        <v>899</v>
      </c>
      <c r="L2696">
        <v>9</v>
      </c>
      <c r="M2696" s="134">
        <v>1217000</v>
      </c>
      <c r="N2696" s="134">
        <v>1673900</v>
      </c>
      <c r="O2696" t="s">
        <v>560</v>
      </c>
      <c r="P2696" t="s">
        <v>9073</v>
      </c>
      <c r="Q2696" t="s">
        <v>592</v>
      </c>
      <c r="U2696" t="s">
        <v>491</v>
      </c>
      <c r="X2696">
        <v>0</v>
      </c>
    </row>
    <row r="2697" spans="1:24" x14ac:dyDescent="0.25">
      <c r="A2697" s="234">
        <v>43262</v>
      </c>
      <c r="B2697" t="s">
        <v>569</v>
      </c>
      <c r="C2697" t="s">
        <v>899</v>
      </c>
      <c r="D2697" t="s">
        <v>611</v>
      </c>
      <c r="E2697" t="s">
        <v>588</v>
      </c>
      <c r="F2697" t="s">
        <v>11533</v>
      </c>
      <c r="G2697" t="s">
        <v>11532</v>
      </c>
      <c r="H2697" t="s">
        <v>886</v>
      </c>
      <c r="I2697" t="s">
        <v>11531</v>
      </c>
      <c r="J2697" t="s">
        <v>899</v>
      </c>
      <c r="M2697" s="134">
        <v>1218000</v>
      </c>
      <c r="N2697" s="134">
        <v>1218000</v>
      </c>
      <c r="O2697" t="s">
        <v>10765</v>
      </c>
      <c r="P2697" t="s">
        <v>11530</v>
      </c>
      <c r="Q2697" t="s">
        <v>29</v>
      </c>
      <c r="R2697" t="s">
        <v>11529</v>
      </c>
      <c r="U2697" t="s">
        <v>1327</v>
      </c>
      <c r="X2697">
        <v>1</v>
      </c>
    </row>
    <row r="2698" spans="1:24" x14ac:dyDescent="0.25">
      <c r="A2698" s="234">
        <v>42584</v>
      </c>
      <c r="B2698" t="s">
        <v>378</v>
      </c>
      <c r="C2698" t="s">
        <v>623</v>
      </c>
      <c r="D2698" t="s">
        <v>625</v>
      </c>
      <c r="E2698" t="s">
        <v>588</v>
      </c>
      <c r="F2698" t="s">
        <v>3181</v>
      </c>
      <c r="H2698" t="s">
        <v>809</v>
      </c>
      <c r="I2698" t="s">
        <v>3035</v>
      </c>
      <c r="J2698" t="s">
        <v>899</v>
      </c>
      <c r="L2698">
        <v>2</v>
      </c>
      <c r="M2698" s="134">
        <v>1227000</v>
      </c>
      <c r="N2698" s="134">
        <v>1454000</v>
      </c>
      <c r="O2698" t="s">
        <v>3182</v>
      </c>
      <c r="P2698" t="s">
        <v>3183</v>
      </c>
      <c r="Q2698" t="s">
        <v>592</v>
      </c>
      <c r="U2698" t="s">
        <v>491</v>
      </c>
      <c r="X2698">
        <v>0</v>
      </c>
    </row>
    <row r="2699" spans="1:24" x14ac:dyDescent="0.25">
      <c r="A2699" s="234">
        <v>42991</v>
      </c>
      <c r="B2699" t="s">
        <v>328</v>
      </c>
      <c r="C2699" t="s">
        <v>603</v>
      </c>
      <c r="D2699" t="s">
        <v>672</v>
      </c>
      <c r="E2699" t="s">
        <v>588</v>
      </c>
      <c r="F2699" t="s">
        <v>8256</v>
      </c>
      <c r="G2699" t="s">
        <v>8533</v>
      </c>
      <c r="H2699" t="s">
        <v>607</v>
      </c>
      <c r="I2699" t="s">
        <v>2054</v>
      </c>
      <c r="J2699" t="s">
        <v>899</v>
      </c>
      <c r="M2699" s="134">
        <v>1229823</v>
      </c>
      <c r="N2699" s="134">
        <v>2347787</v>
      </c>
      <c r="O2699" t="s">
        <v>695</v>
      </c>
      <c r="P2699" t="s">
        <v>8833</v>
      </c>
      <c r="Q2699" t="s">
        <v>29</v>
      </c>
      <c r="S2699" t="s">
        <v>8539</v>
      </c>
      <c r="T2699">
        <v>41</v>
      </c>
      <c r="U2699" t="s">
        <v>491</v>
      </c>
      <c r="X2699">
        <v>1</v>
      </c>
    </row>
    <row r="2700" spans="1:24" x14ac:dyDescent="0.25">
      <c r="A2700" s="234">
        <v>43566</v>
      </c>
      <c r="B2700" t="s">
        <v>5473</v>
      </c>
      <c r="C2700" t="s">
        <v>608</v>
      </c>
      <c r="D2700" t="s">
        <v>7091</v>
      </c>
      <c r="F2700" t="s">
        <v>15038</v>
      </c>
      <c r="G2700" t="s">
        <v>15039</v>
      </c>
      <c r="H2700" t="s">
        <v>10832</v>
      </c>
      <c r="I2700" t="s">
        <v>15040</v>
      </c>
      <c r="J2700" t="s">
        <v>608</v>
      </c>
      <c r="K2700" t="s">
        <v>15041</v>
      </c>
      <c r="L2700">
        <v>6</v>
      </c>
      <c r="M2700" s="134">
        <v>1233000</v>
      </c>
      <c r="N2700" s="134">
        <v>1399000</v>
      </c>
      <c r="O2700" t="s">
        <v>10766</v>
      </c>
      <c r="P2700" t="s">
        <v>15042</v>
      </c>
      <c r="Q2700" t="s">
        <v>1612</v>
      </c>
      <c r="R2700" t="s">
        <v>15083</v>
      </c>
      <c r="U2700" t="s">
        <v>491</v>
      </c>
      <c r="X2700">
        <v>0</v>
      </c>
    </row>
    <row r="2701" spans="1:24" x14ac:dyDescent="0.25">
      <c r="A2701" s="234">
        <v>42828</v>
      </c>
      <c r="B2701" t="s">
        <v>569</v>
      </c>
      <c r="D2701" t="s">
        <v>625</v>
      </c>
      <c r="E2701" t="s">
        <v>588</v>
      </c>
      <c r="F2701" t="s">
        <v>6237</v>
      </c>
      <c r="H2701" t="s">
        <v>607</v>
      </c>
      <c r="I2701" t="s">
        <v>3918</v>
      </c>
      <c r="J2701" t="s">
        <v>899</v>
      </c>
      <c r="L2701">
        <v>2</v>
      </c>
      <c r="M2701" s="134">
        <v>1237500</v>
      </c>
      <c r="N2701" s="134">
        <v>1700000</v>
      </c>
      <c r="O2701" t="s">
        <v>1171</v>
      </c>
      <c r="P2701" t="s">
        <v>6238</v>
      </c>
      <c r="Q2701" t="s">
        <v>1939</v>
      </c>
      <c r="U2701" t="s">
        <v>491</v>
      </c>
      <c r="X2701">
        <v>0</v>
      </c>
    </row>
    <row r="2702" spans="1:24" x14ac:dyDescent="0.25">
      <c r="A2702" s="234">
        <v>42410</v>
      </c>
      <c r="B2702" t="s">
        <v>250</v>
      </c>
      <c r="D2702" t="s">
        <v>813</v>
      </c>
      <c r="E2702" t="s">
        <v>588</v>
      </c>
      <c r="F2702" t="s">
        <v>963</v>
      </c>
      <c r="H2702" t="s">
        <v>607</v>
      </c>
      <c r="I2702" t="s">
        <v>964</v>
      </c>
      <c r="M2702" s="134">
        <v>1238000</v>
      </c>
      <c r="N2702" s="134">
        <v>1709400</v>
      </c>
      <c r="O2702" t="s">
        <v>965</v>
      </c>
      <c r="P2702" t="s">
        <v>966</v>
      </c>
      <c r="Q2702" t="s">
        <v>592</v>
      </c>
      <c r="U2702" t="s">
        <v>491</v>
      </c>
      <c r="X2702">
        <v>0</v>
      </c>
    </row>
    <row r="2703" spans="1:24" x14ac:dyDescent="0.25">
      <c r="A2703" s="234">
        <v>42549</v>
      </c>
      <c r="B2703" t="s">
        <v>378</v>
      </c>
      <c r="C2703" t="s">
        <v>610</v>
      </c>
      <c r="D2703" t="s">
        <v>732</v>
      </c>
      <c r="E2703" t="s">
        <v>588</v>
      </c>
      <c r="F2703" t="s">
        <v>2700</v>
      </c>
      <c r="H2703" t="s">
        <v>1391</v>
      </c>
      <c r="I2703" t="s">
        <v>2701</v>
      </c>
      <c r="M2703" s="134">
        <v>1238000</v>
      </c>
      <c r="N2703" s="134">
        <v>1761800</v>
      </c>
      <c r="O2703" t="s">
        <v>2632</v>
      </c>
      <c r="P2703" t="s">
        <v>2702</v>
      </c>
      <c r="Q2703" t="s">
        <v>1939</v>
      </c>
      <c r="R2703" t="s">
        <v>2703</v>
      </c>
      <c r="U2703" t="s">
        <v>491</v>
      </c>
      <c r="X2703">
        <v>0</v>
      </c>
    </row>
    <row r="2704" spans="1:24" x14ac:dyDescent="0.25">
      <c r="A2704" s="234">
        <v>43445</v>
      </c>
      <c r="B2704" t="s">
        <v>643</v>
      </c>
      <c r="C2704" t="s">
        <v>644</v>
      </c>
      <c r="D2704" t="s">
        <v>645</v>
      </c>
      <c r="F2704" t="s">
        <v>13584</v>
      </c>
      <c r="H2704" t="s">
        <v>2510</v>
      </c>
      <c r="I2704" t="s">
        <v>8636</v>
      </c>
      <c r="J2704" t="s">
        <v>644</v>
      </c>
      <c r="K2704" t="s">
        <v>13585</v>
      </c>
      <c r="L2704">
        <v>3</v>
      </c>
      <c r="M2704" s="134">
        <v>1240000</v>
      </c>
      <c r="N2704" s="134">
        <v>1812000</v>
      </c>
      <c r="O2704" t="s">
        <v>560</v>
      </c>
      <c r="P2704" t="s">
        <v>13749</v>
      </c>
      <c r="Q2704" t="s">
        <v>592</v>
      </c>
      <c r="R2704" t="s">
        <v>13586</v>
      </c>
      <c r="U2704" t="s">
        <v>12797</v>
      </c>
      <c r="X2704">
        <v>0</v>
      </c>
    </row>
    <row r="2705" spans="1:24" x14ac:dyDescent="0.25">
      <c r="A2705" s="234">
        <v>42411</v>
      </c>
      <c r="B2705" t="s">
        <v>328</v>
      </c>
      <c r="C2705" t="s">
        <v>603</v>
      </c>
      <c r="D2705" t="s">
        <v>649</v>
      </c>
      <c r="E2705" t="s">
        <v>692</v>
      </c>
      <c r="F2705" t="s">
        <v>967</v>
      </c>
      <c r="H2705" t="s">
        <v>607</v>
      </c>
      <c r="I2705" t="s">
        <v>968</v>
      </c>
      <c r="M2705" s="134">
        <v>1245454</v>
      </c>
      <c r="N2705" s="134">
        <v>484392</v>
      </c>
      <c r="O2705" t="s">
        <v>969</v>
      </c>
      <c r="P2705" t="s">
        <v>970</v>
      </c>
      <c r="Q2705" t="s">
        <v>29</v>
      </c>
      <c r="R2705" t="s">
        <v>971</v>
      </c>
      <c r="U2705" t="s">
        <v>491</v>
      </c>
      <c r="X2705">
        <v>1</v>
      </c>
    </row>
    <row r="2706" spans="1:24" x14ac:dyDescent="0.25">
      <c r="A2706" s="234">
        <v>42654</v>
      </c>
      <c r="B2706" t="s">
        <v>378</v>
      </c>
      <c r="C2706" t="s">
        <v>623</v>
      </c>
      <c r="D2706" t="s">
        <v>624</v>
      </c>
      <c r="E2706" t="s">
        <v>588</v>
      </c>
      <c r="F2706" t="s">
        <v>4234</v>
      </c>
      <c r="H2706" t="s">
        <v>607</v>
      </c>
      <c r="I2706" t="s">
        <v>3649</v>
      </c>
      <c r="J2706" t="s">
        <v>899</v>
      </c>
      <c r="L2706">
        <v>4</v>
      </c>
      <c r="M2706" s="134">
        <v>1249301</v>
      </c>
      <c r="N2706" s="134">
        <v>2169301</v>
      </c>
      <c r="O2706" t="s">
        <v>1171</v>
      </c>
      <c r="P2706" t="s">
        <v>4235</v>
      </c>
      <c r="Q2706" t="s">
        <v>620</v>
      </c>
      <c r="R2706" t="s">
        <v>4582</v>
      </c>
      <c r="U2706" t="s">
        <v>491</v>
      </c>
      <c r="X2706">
        <v>0</v>
      </c>
    </row>
    <row r="2707" spans="1:24" x14ac:dyDescent="0.25">
      <c r="A2707" s="234">
        <v>43224</v>
      </c>
      <c r="B2707" t="s">
        <v>569</v>
      </c>
      <c r="C2707" t="s">
        <v>899</v>
      </c>
      <c r="D2707" t="s">
        <v>11031</v>
      </c>
      <c r="E2707" t="s">
        <v>588</v>
      </c>
      <c r="F2707" t="s">
        <v>11182</v>
      </c>
      <c r="G2707" t="s">
        <v>11181</v>
      </c>
      <c r="H2707" t="s">
        <v>905</v>
      </c>
      <c r="I2707" t="s">
        <v>3649</v>
      </c>
      <c r="J2707" t="s">
        <v>899</v>
      </c>
      <c r="L2707">
        <v>8</v>
      </c>
      <c r="M2707" s="134">
        <v>1250000</v>
      </c>
      <c r="N2707" s="134">
        <v>1250000</v>
      </c>
      <c r="O2707" t="s">
        <v>560</v>
      </c>
      <c r="P2707" t="s">
        <v>11180</v>
      </c>
      <c r="Q2707" t="s">
        <v>592</v>
      </c>
      <c r="R2707" t="s">
        <v>11394</v>
      </c>
      <c r="U2707" t="s">
        <v>1327</v>
      </c>
      <c r="X2707">
        <v>0</v>
      </c>
    </row>
    <row r="2708" spans="1:24" x14ac:dyDescent="0.25">
      <c r="A2708" s="234">
        <v>43404</v>
      </c>
      <c r="B2708" t="s">
        <v>569</v>
      </c>
      <c r="C2708" t="s">
        <v>899</v>
      </c>
      <c r="D2708" t="s">
        <v>11286</v>
      </c>
      <c r="F2708" t="s">
        <v>480</v>
      </c>
      <c r="G2708" t="s">
        <v>11884</v>
      </c>
      <c r="H2708" t="s">
        <v>607</v>
      </c>
      <c r="I2708" t="s">
        <v>13105</v>
      </c>
      <c r="J2708" t="s">
        <v>899</v>
      </c>
      <c r="K2708" t="s">
        <v>13106</v>
      </c>
      <c r="L2708">
        <v>10</v>
      </c>
      <c r="M2708" s="134">
        <v>1250000</v>
      </c>
      <c r="N2708" s="134">
        <v>2250000</v>
      </c>
      <c r="O2708" t="s">
        <v>560</v>
      </c>
      <c r="P2708" t="s">
        <v>13107</v>
      </c>
      <c r="Q2708" t="s">
        <v>29</v>
      </c>
      <c r="R2708" t="s">
        <v>13108</v>
      </c>
      <c r="U2708" t="s">
        <v>12344</v>
      </c>
      <c r="X2708">
        <v>1</v>
      </c>
    </row>
    <row r="2709" spans="1:24" x14ac:dyDescent="0.25">
      <c r="A2709" s="234">
        <v>42411</v>
      </c>
      <c r="B2709" t="s">
        <v>328</v>
      </c>
      <c r="C2709" t="s">
        <v>603</v>
      </c>
      <c r="D2709" t="s">
        <v>649</v>
      </c>
      <c r="E2709" t="s">
        <v>588</v>
      </c>
      <c r="F2709" t="s">
        <v>972</v>
      </c>
      <c r="H2709" t="s">
        <v>607</v>
      </c>
      <c r="I2709" t="s">
        <v>973</v>
      </c>
      <c r="M2709" s="134">
        <v>1250000</v>
      </c>
      <c r="N2709" s="134">
        <v>2250000</v>
      </c>
      <c r="O2709" t="s">
        <v>974</v>
      </c>
      <c r="P2709" t="s">
        <v>975</v>
      </c>
      <c r="Q2709" t="s">
        <v>29</v>
      </c>
      <c r="R2709" t="s">
        <v>976</v>
      </c>
      <c r="U2709" t="s">
        <v>491</v>
      </c>
      <c r="X2709">
        <v>1</v>
      </c>
    </row>
    <row r="2710" spans="1:24" x14ac:dyDescent="0.25">
      <c r="A2710" s="234">
        <v>42662</v>
      </c>
      <c r="B2710" t="s">
        <v>378</v>
      </c>
      <c r="C2710" t="s">
        <v>623</v>
      </c>
      <c r="D2710" t="s">
        <v>625</v>
      </c>
      <c r="E2710" t="s">
        <v>588</v>
      </c>
      <c r="F2710" t="s">
        <v>4386</v>
      </c>
      <c r="H2710" t="s">
        <v>607</v>
      </c>
      <c r="I2710" t="s">
        <v>4387</v>
      </c>
      <c r="J2710" t="s">
        <v>899</v>
      </c>
      <c r="L2710">
        <v>2</v>
      </c>
      <c r="M2710" s="134">
        <v>1250000</v>
      </c>
      <c r="N2710" s="134">
        <v>2498000</v>
      </c>
      <c r="O2710" t="s">
        <v>1171</v>
      </c>
      <c r="P2710" t="s">
        <v>4388</v>
      </c>
      <c r="Q2710" t="s">
        <v>1939</v>
      </c>
      <c r="R2710" t="s">
        <v>4453</v>
      </c>
      <c r="U2710" t="s">
        <v>491</v>
      </c>
      <c r="X2710">
        <v>0</v>
      </c>
    </row>
    <row r="2711" spans="1:24" x14ac:dyDescent="0.25">
      <c r="A2711" s="234">
        <v>43437</v>
      </c>
      <c r="B2711" t="s">
        <v>328</v>
      </c>
      <c r="C2711" t="s">
        <v>603</v>
      </c>
      <c r="D2711" t="s">
        <v>7595</v>
      </c>
      <c r="F2711" t="s">
        <v>11158</v>
      </c>
      <c r="G2711" t="s">
        <v>11091</v>
      </c>
      <c r="H2711" t="s">
        <v>607</v>
      </c>
      <c r="I2711" t="s">
        <v>3837</v>
      </c>
      <c r="J2711" t="s">
        <v>899</v>
      </c>
      <c r="K2711" t="s">
        <v>13383</v>
      </c>
      <c r="L2711">
        <v>2</v>
      </c>
      <c r="M2711" s="134">
        <v>1250000</v>
      </c>
      <c r="N2711" s="134">
        <v>2725000</v>
      </c>
      <c r="O2711" t="s">
        <v>7564</v>
      </c>
      <c r="P2711" t="s">
        <v>13384</v>
      </c>
      <c r="Q2711" t="s">
        <v>1939</v>
      </c>
      <c r="R2711" t="s">
        <v>13385</v>
      </c>
      <c r="U2711" t="s">
        <v>491</v>
      </c>
      <c r="X2711">
        <v>0</v>
      </c>
    </row>
    <row r="2712" spans="1:24" x14ac:dyDescent="0.25">
      <c r="A2712" s="234">
        <v>43097</v>
      </c>
      <c r="B2712" t="s">
        <v>5360</v>
      </c>
      <c r="C2712" t="s">
        <v>899</v>
      </c>
      <c r="D2712" t="s">
        <v>732</v>
      </c>
      <c r="E2712" t="s">
        <v>588</v>
      </c>
      <c r="F2712" t="s">
        <v>9881</v>
      </c>
      <c r="G2712" t="s">
        <v>9882</v>
      </c>
      <c r="H2712" t="s">
        <v>607</v>
      </c>
      <c r="I2712" t="s">
        <v>4967</v>
      </c>
      <c r="J2712" t="s">
        <v>899</v>
      </c>
      <c r="L2712">
        <v>9</v>
      </c>
      <c r="M2712" s="134">
        <v>1250800</v>
      </c>
      <c r="N2712" s="134">
        <v>2501600</v>
      </c>
      <c r="O2712" t="s">
        <v>560</v>
      </c>
      <c r="P2712" t="s">
        <v>9883</v>
      </c>
      <c r="Q2712" t="s">
        <v>1939</v>
      </c>
      <c r="R2712" t="s">
        <v>9884</v>
      </c>
      <c r="U2712" t="s">
        <v>491</v>
      </c>
      <c r="X2712">
        <v>0</v>
      </c>
    </row>
    <row r="2713" spans="1:24" x14ac:dyDescent="0.25">
      <c r="A2713" s="234">
        <v>42598</v>
      </c>
      <c r="B2713" t="s">
        <v>110</v>
      </c>
      <c r="D2713" t="s">
        <v>715</v>
      </c>
      <c r="E2713" t="s">
        <v>588</v>
      </c>
      <c r="F2713" t="s">
        <v>3443</v>
      </c>
      <c r="H2713" t="s">
        <v>607</v>
      </c>
      <c r="I2713" t="s">
        <v>3444</v>
      </c>
      <c r="J2713" t="s">
        <v>608</v>
      </c>
      <c r="L2713">
        <v>5</v>
      </c>
      <c r="M2713" s="134">
        <v>1259850</v>
      </c>
      <c r="N2713" s="134">
        <v>1800000</v>
      </c>
      <c r="O2713" t="s">
        <v>3445</v>
      </c>
      <c r="P2713" t="s">
        <v>3446</v>
      </c>
      <c r="Q2713" t="s">
        <v>29</v>
      </c>
      <c r="U2713" t="s">
        <v>491</v>
      </c>
      <c r="X2713">
        <v>1</v>
      </c>
    </row>
    <row r="2714" spans="1:24" x14ac:dyDescent="0.25">
      <c r="A2714" s="234">
        <v>43592</v>
      </c>
      <c r="B2714" t="s">
        <v>5473</v>
      </c>
      <c r="C2714" t="s">
        <v>608</v>
      </c>
      <c r="D2714" t="s">
        <v>2340</v>
      </c>
      <c r="F2714" t="s">
        <v>15428</v>
      </c>
      <c r="G2714" t="s">
        <v>7855</v>
      </c>
      <c r="H2714" t="s">
        <v>10831</v>
      </c>
      <c r="I2714" t="s">
        <v>15429</v>
      </c>
      <c r="J2714" t="s">
        <v>602</v>
      </c>
      <c r="K2714" t="s">
        <v>15430</v>
      </c>
      <c r="L2714">
        <v>4</v>
      </c>
      <c r="M2714" s="134">
        <v>1260000</v>
      </c>
      <c r="N2714" s="134">
        <v>1730000</v>
      </c>
      <c r="O2714" t="s">
        <v>10766</v>
      </c>
      <c r="P2714" t="s">
        <v>15431</v>
      </c>
      <c r="Q2714" t="s">
        <v>592</v>
      </c>
      <c r="R2714" t="s">
        <v>15432</v>
      </c>
      <c r="U2714" t="s">
        <v>491</v>
      </c>
      <c r="X2714">
        <v>0</v>
      </c>
    </row>
    <row r="2715" spans="1:24" x14ac:dyDescent="0.25">
      <c r="A2715" s="234">
        <v>43446</v>
      </c>
      <c r="B2715" t="s">
        <v>5956</v>
      </c>
      <c r="C2715" t="s">
        <v>3369</v>
      </c>
      <c r="D2715" t="s">
        <v>8126</v>
      </c>
      <c r="F2715" t="s">
        <v>13610</v>
      </c>
      <c r="G2715" t="s">
        <v>8648</v>
      </c>
      <c r="H2715" t="s">
        <v>607</v>
      </c>
      <c r="I2715" t="s">
        <v>13611</v>
      </c>
      <c r="J2715" t="s">
        <v>4825</v>
      </c>
      <c r="K2715" t="s">
        <v>13612</v>
      </c>
      <c r="L2715">
        <v>4</v>
      </c>
      <c r="M2715" s="134">
        <v>1265000</v>
      </c>
      <c r="N2715" s="134">
        <v>2972750</v>
      </c>
      <c r="O2715" t="s">
        <v>10766</v>
      </c>
      <c r="P2715" t="s">
        <v>13753</v>
      </c>
      <c r="Q2715" t="s">
        <v>1939</v>
      </c>
      <c r="R2715" t="s">
        <v>13754</v>
      </c>
      <c r="U2715" t="s">
        <v>12797</v>
      </c>
      <c r="X2715">
        <v>0</v>
      </c>
    </row>
    <row r="2716" spans="1:24" x14ac:dyDescent="0.25">
      <c r="A2716" s="234">
        <v>43446</v>
      </c>
      <c r="B2716" t="s">
        <v>569</v>
      </c>
      <c r="C2716" t="s">
        <v>899</v>
      </c>
      <c r="D2716" t="s">
        <v>3505</v>
      </c>
      <c r="F2716" t="s">
        <v>13594</v>
      </c>
      <c r="G2716" t="s">
        <v>256</v>
      </c>
      <c r="H2716" t="s">
        <v>10832</v>
      </c>
      <c r="I2716" t="s">
        <v>13595</v>
      </c>
      <c r="J2716" t="s">
        <v>899</v>
      </c>
      <c r="K2716" t="s">
        <v>13596</v>
      </c>
      <c r="M2716" s="134">
        <v>1267000</v>
      </c>
      <c r="N2716" s="134">
        <v>2367000</v>
      </c>
      <c r="O2716" t="s">
        <v>10765</v>
      </c>
      <c r="P2716" t="s">
        <v>13750</v>
      </c>
      <c r="Q2716" t="s">
        <v>1612</v>
      </c>
      <c r="R2716" t="s">
        <v>13751</v>
      </c>
      <c r="U2716" t="s">
        <v>12797</v>
      </c>
      <c r="X2716">
        <v>0</v>
      </c>
    </row>
    <row r="2717" spans="1:24" x14ac:dyDescent="0.25">
      <c r="A2717" s="234">
        <v>42943</v>
      </c>
      <c r="B2717" t="s">
        <v>328</v>
      </c>
      <c r="C2717" t="s">
        <v>603</v>
      </c>
      <c r="D2717" t="s">
        <v>5701</v>
      </c>
      <c r="E2717" t="s">
        <v>588</v>
      </c>
      <c r="F2717" t="s">
        <v>7797</v>
      </c>
      <c r="G2717" t="s">
        <v>7798</v>
      </c>
      <c r="H2717" t="s">
        <v>722</v>
      </c>
      <c r="I2717" t="s">
        <v>7799</v>
      </c>
      <c r="J2717" t="s">
        <v>899</v>
      </c>
      <c r="L2717">
        <v>9</v>
      </c>
      <c r="M2717" s="134">
        <v>1270698</v>
      </c>
      <c r="N2717" s="134">
        <v>2414327</v>
      </c>
      <c r="O2717" t="s">
        <v>560</v>
      </c>
      <c r="P2717" t="s">
        <v>7800</v>
      </c>
      <c r="Q2717" t="s">
        <v>1939</v>
      </c>
      <c r="R2717" t="s">
        <v>7801</v>
      </c>
      <c r="S2717" t="s">
        <v>7802</v>
      </c>
      <c r="T2717">
        <v>29</v>
      </c>
      <c r="U2717" t="s">
        <v>491</v>
      </c>
      <c r="X2717">
        <v>0</v>
      </c>
    </row>
    <row r="2718" spans="1:24" x14ac:dyDescent="0.25">
      <c r="A2718" s="234">
        <v>43424</v>
      </c>
      <c r="B2718" t="s">
        <v>569</v>
      </c>
      <c r="C2718" t="s">
        <v>899</v>
      </c>
      <c r="D2718" t="s">
        <v>11359</v>
      </c>
      <c r="F2718" t="s">
        <v>13220</v>
      </c>
      <c r="G2718" t="s">
        <v>13221</v>
      </c>
      <c r="H2718" t="s">
        <v>886</v>
      </c>
      <c r="I2718" t="s">
        <v>6166</v>
      </c>
      <c r="J2718" t="s">
        <v>899</v>
      </c>
      <c r="K2718" t="s">
        <v>13222</v>
      </c>
      <c r="L2718">
        <v>4</v>
      </c>
      <c r="M2718" s="134">
        <v>1286000</v>
      </c>
      <c r="N2718" s="134">
        <v>1400000</v>
      </c>
      <c r="O2718" t="s">
        <v>2295</v>
      </c>
      <c r="P2718" t="s">
        <v>13223</v>
      </c>
      <c r="Q2718" t="s">
        <v>1939</v>
      </c>
      <c r="R2718" t="s">
        <v>13281</v>
      </c>
      <c r="U2718" t="s">
        <v>491</v>
      </c>
      <c r="X2718">
        <v>0</v>
      </c>
    </row>
    <row r="2719" spans="1:24" x14ac:dyDescent="0.25">
      <c r="A2719" s="234">
        <v>43286</v>
      </c>
      <c r="B2719" t="s">
        <v>569</v>
      </c>
      <c r="C2719" t="s">
        <v>899</v>
      </c>
      <c r="D2719" t="s">
        <v>625</v>
      </c>
      <c r="E2719" t="s">
        <v>588</v>
      </c>
      <c r="F2719" t="s">
        <v>11748</v>
      </c>
      <c r="G2719" t="s">
        <v>11747</v>
      </c>
      <c r="H2719" t="s">
        <v>905</v>
      </c>
      <c r="I2719" t="s">
        <v>3649</v>
      </c>
      <c r="J2719" t="s">
        <v>899</v>
      </c>
      <c r="L2719">
        <v>8</v>
      </c>
      <c r="M2719" s="134">
        <v>1287000</v>
      </c>
      <c r="N2719" s="134">
        <v>2111000</v>
      </c>
      <c r="O2719" t="s">
        <v>560</v>
      </c>
      <c r="P2719" t="s">
        <v>11996</v>
      </c>
      <c r="Q2719" t="s">
        <v>592</v>
      </c>
      <c r="R2719" t="s">
        <v>11746</v>
      </c>
      <c r="U2719" t="s">
        <v>1327</v>
      </c>
      <c r="X2719">
        <v>0</v>
      </c>
    </row>
    <row r="2720" spans="1:24" x14ac:dyDescent="0.25">
      <c r="A2720" s="234">
        <v>43619</v>
      </c>
      <c r="B2720" t="s">
        <v>9240</v>
      </c>
      <c r="C2720" t="s">
        <v>603</v>
      </c>
      <c r="D2720" t="s">
        <v>9241</v>
      </c>
      <c r="F2720" t="s">
        <v>15865</v>
      </c>
      <c r="G2720" t="s">
        <v>15866</v>
      </c>
      <c r="H2720" t="s">
        <v>886</v>
      </c>
      <c r="I2720" t="s">
        <v>6787</v>
      </c>
      <c r="J2720" t="s">
        <v>603</v>
      </c>
      <c r="K2720" t="s">
        <v>15867</v>
      </c>
      <c r="L2720">
        <v>2</v>
      </c>
      <c r="M2720" s="134">
        <v>1295000</v>
      </c>
      <c r="N2720" s="134">
        <v>1295000</v>
      </c>
      <c r="O2720" t="s">
        <v>2295</v>
      </c>
      <c r="P2720" t="s">
        <v>15868</v>
      </c>
      <c r="Q2720" t="s">
        <v>592</v>
      </c>
      <c r="R2720" t="s">
        <v>15869</v>
      </c>
      <c r="U2720" t="s">
        <v>491</v>
      </c>
      <c r="X2720">
        <v>0</v>
      </c>
    </row>
    <row r="2721" spans="1:24" x14ac:dyDescent="0.25">
      <c r="A2721" s="234">
        <v>42719</v>
      </c>
      <c r="B2721" t="s">
        <v>378</v>
      </c>
      <c r="C2721" t="s">
        <v>623</v>
      </c>
      <c r="D2721" t="s">
        <v>625</v>
      </c>
      <c r="E2721" t="s">
        <v>588</v>
      </c>
      <c r="F2721" t="s">
        <v>5040</v>
      </c>
      <c r="H2721" t="s">
        <v>607</v>
      </c>
      <c r="I2721" t="s">
        <v>2054</v>
      </c>
      <c r="J2721" t="s">
        <v>899</v>
      </c>
      <c r="L2721">
        <v>4</v>
      </c>
      <c r="M2721" s="134">
        <v>1298000</v>
      </c>
      <c r="N2721" s="134">
        <v>2336400</v>
      </c>
      <c r="O2721" t="s">
        <v>695</v>
      </c>
      <c r="P2721" t="s">
        <v>5041</v>
      </c>
      <c r="Q2721" t="s">
        <v>29</v>
      </c>
      <c r="R2721" t="s">
        <v>5042</v>
      </c>
      <c r="U2721" t="s">
        <v>491</v>
      </c>
      <c r="X2721">
        <v>1</v>
      </c>
    </row>
    <row r="2722" spans="1:24" x14ac:dyDescent="0.25">
      <c r="A2722" s="234">
        <v>43157</v>
      </c>
      <c r="B2722" t="s">
        <v>5176</v>
      </c>
      <c r="C2722" t="s">
        <v>761</v>
      </c>
      <c r="D2722" t="s">
        <v>595</v>
      </c>
      <c r="E2722" t="s">
        <v>588</v>
      </c>
      <c r="F2722" t="s">
        <v>508</v>
      </c>
      <c r="G2722" t="s">
        <v>508</v>
      </c>
      <c r="H2722" t="s">
        <v>607</v>
      </c>
      <c r="I2722" t="s">
        <v>10420</v>
      </c>
      <c r="J2722" t="s">
        <v>604</v>
      </c>
      <c r="M2722" s="134">
        <v>1300000</v>
      </c>
      <c r="N2722" s="134">
        <v>0</v>
      </c>
      <c r="O2722" t="s">
        <v>4533</v>
      </c>
      <c r="P2722" t="s">
        <v>10445</v>
      </c>
      <c r="Q2722" t="s">
        <v>1939</v>
      </c>
      <c r="R2722" t="s">
        <v>10421</v>
      </c>
      <c r="U2722" t="s">
        <v>1327</v>
      </c>
      <c r="X2722">
        <v>0</v>
      </c>
    </row>
    <row r="2723" spans="1:24" x14ac:dyDescent="0.25">
      <c r="A2723" s="234">
        <v>42927</v>
      </c>
      <c r="B2723" t="s">
        <v>328</v>
      </c>
      <c r="C2723" t="s">
        <v>603</v>
      </c>
      <c r="D2723" t="s">
        <v>649</v>
      </c>
      <c r="E2723" t="s">
        <v>588</v>
      </c>
      <c r="F2723" t="s">
        <v>7562</v>
      </c>
      <c r="H2723" t="s">
        <v>607</v>
      </c>
      <c r="I2723" t="s">
        <v>7563</v>
      </c>
      <c r="J2723" t="s">
        <v>899</v>
      </c>
      <c r="M2723" s="134">
        <v>1300000</v>
      </c>
      <c r="N2723" s="134">
        <v>0</v>
      </c>
      <c r="O2723" t="s">
        <v>7564</v>
      </c>
      <c r="P2723" t="s">
        <v>7565</v>
      </c>
      <c r="Q2723" t="s">
        <v>29</v>
      </c>
      <c r="R2723" t="s">
        <v>7566</v>
      </c>
      <c r="U2723" t="s">
        <v>2227</v>
      </c>
      <c r="X2723">
        <v>1</v>
      </c>
    </row>
    <row r="2724" spans="1:24" x14ac:dyDescent="0.25">
      <c r="A2724" s="234">
        <v>43026</v>
      </c>
      <c r="B2724" t="s">
        <v>569</v>
      </c>
      <c r="C2724" t="s">
        <v>899</v>
      </c>
      <c r="D2724" t="s">
        <v>930</v>
      </c>
      <c r="E2724" t="s">
        <v>821</v>
      </c>
      <c r="F2724" t="s">
        <v>9084</v>
      </c>
      <c r="G2724" t="s">
        <v>833</v>
      </c>
      <c r="H2724" t="s">
        <v>9085</v>
      </c>
      <c r="M2724" s="134">
        <v>1300000</v>
      </c>
      <c r="N2724" s="134">
        <v>0</v>
      </c>
      <c r="O2724" t="s">
        <v>2908</v>
      </c>
      <c r="P2724" t="s">
        <v>9086</v>
      </c>
      <c r="Q2724" t="s">
        <v>592</v>
      </c>
      <c r="U2724" t="s">
        <v>491</v>
      </c>
      <c r="X2724">
        <v>0</v>
      </c>
    </row>
    <row r="2725" spans="1:24" x14ac:dyDescent="0.25">
      <c r="A2725" s="234">
        <v>43319</v>
      </c>
      <c r="B2725" t="s">
        <v>328</v>
      </c>
      <c r="C2725" t="s">
        <v>603</v>
      </c>
      <c r="D2725" t="s">
        <v>649</v>
      </c>
      <c r="E2725" t="s">
        <v>588</v>
      </c>
      <c r="F2725" t="s">
        <v>12104</v>
      </c>
      <c r="G2725" t="s">
        <v>12105</v>
      </c>
      <c r="H2725" t="s">
        <v>10831</v>
      </c>
      <c r="I2725" t="s">
        <v>12106</v>
      </c>
      <c r="J2725" t="s">
        <v>3501</v>
      </c>
      <c r="L2725">
        <v>10</v>
      </c>
      <c r="M2725" s="134">
        <v>1300000</v>
      </c>
      <c r="N2725" s="134">
        <v>1540000</v>
      </c>
      <c r="O2725" t="s">
        <v>7124</v>
      </c>
      <c r="P2725" t="s">
        <v>12107</v>
      </c>
      <c r="Q2725" t="s">
        <v>29</v>
      </c>
      <c r="R2725" t="s">
        <v>12108</v>
      </c>
      <c r="U2725" t="s">
        <v>1327</v>
      </c>
      <c r="X2725">
        <v>1</v>
      </c>
    </row>
    <row r="2726" spans="1:24" x14ac:dyDescent="0.25">
      <c r="A2726" s="234">
        <v>42601</v>
      </c>
      <c r="B2726" t="s">
        <v>378</v>
      </c>
      <c r="C2726" t="s">
        <v>610</v>
      </c>
      <c r="D2726" t="s">
        <v>732</v>
      </c>
      <c r="E2726" t="s">
        <v>588</v>
      </c>
      <c r="F2726" t="s">
        <v>3517</v>
      </c>
      <c r="H2726" t="s">
        <v>905</v>
      </c>
      <c r="I2726" t="s">
        <v>3518</v>
      </c>
      <c r="J2726" t="s">
        <v>899</v>
      </c>
      <c r="L2726">
        <v>9</v>
      </c>
      <c r="M2726" s="134">
        <v>1300000</v>
      </c>
      <c r="N2726" s="134">
        <v>1830000</v>
      </c>
      <c r="O2726" t="s">
        <v>907</v>
      </c>
      <c r="P2726" t="s">
        <v>3519</v>
      </c>
      <c r="Q2726" t="s">
        <v>1612</v>
      </c>
      <c r="R2726" t="s">
        <v>3520</v>
      </c>
      <c r="S2726" t="s">
        <v>3544</v>
      </c>
      <c r="U2726" t="s">
        <v>491</v>
      </c>
      <c r="X2726">
        <v>0</v>
      </c>
    </row>
    <row r="2727" spans="1:24" x14ac:dyDescent="0.25">
      <c r="A2727" s="234">
        <v>43164</v>
      </c>
      <c r="B2727" t="s">
        <v>328</v>
      </c>
      <c r="C2727" t="s">
        <v>603</v>
      </c>
      <c r="D2727" t="s">
        <v>649</v>
      </c>
      <c r="E2727" t="s">
        <v>588</v>
      </c>
      <c r="F2727" t="s">
        <v>10498</v>
      </c>
      <c r="G2727" t="s">
        <v>10499</v>
      </c>
      <c r="H2727" t="s">
        <v>607</v>
      </c>
      <c r="J2727" t="s">
        <v>6329</v>
      </c>
      <c r="L2727">
        <v>4</v>
      </c>
      <c r="M2727" s="134">
        <v>1300000</v>
      </c>
      <c r="N2727" s="134">
        <v>2080000</v>
      </c>
      <c r="O2727" t="s">
        <v>4533</v>
      </c>
      <c r="P2727" t="s">
        <v>10500</v>
      </c>
      <c r="Q2727" t="s">
        <v>592</v>
      </c>
      <c r="R2727" t="s">
        <v>10504</v>
      </c>
      <c r="U2727" t="s">
        <v>1327</v>
      </c>
      <c r="X2727">
        <v>0</v>
      </c>
    </row>
    <row r="2728" spans="1:24" x14ac:dyDescent="0.25">
      <c r="A2728" s="234">
        <v>43228</v>
      </c>
      <c r="B2728" t="s">
        <v>569</v>
      </c>
      <c r="C2728" t="s">
        <v>899</v>
      </c>
      <c r="D2728" t="s">
        <v>625</v>
      </c>
      <c r="E2728" t="s">
        <v>588</v>
      </c>
      <c r="F2728" t="s">
        <v>9095</v>
      </c>
      <c r="G2728" t="s">
        <v>11205</v>
      </c>
      <c r="H2728" t="s">
        <v>607</v>
      </c>
      <c r="I2728" t="s">
        <v>11206</v>
      </c>
      <c r="J2728" t="s">
        <v>899</v>
      </c>
      <c r="M2728" s="134">
        <v>1300000</v>
      </c>
      <c r="N2728" s="134">
        <v>2125000</v>
      </c>
      <c r="O2728" t="s">
        <v>7564</v>
      </c>
      <c r="P2728" t="s">
        <v>11207</v>
      </c>
      <c r="Q2728" t="s">
        <v>1939</v>
      </c>
      <c r="R2728" t="s">
        <v>11208</v>
      </c>
      <c r="U2728" t="s">
        <v>1327</v>
      </c>
      <c r="X2728">
        <v>0</v>
      </c>
    </row>
    <row r="2729" spans="1:24" x14ac:dyDescent="0.25">
      <c r="A2729" s="234">
        <v>43194</v>
      </c>
      <c r="B2729" t="s">
        <v>569</v>
      </c>
      <c r="C2729" t="s">
        <v>899</v>
      </c>
      <c r="D2729" t="s">
        <v>625</v>
      </c>
      <c r="E2729" t="s">
        <v>588</v>
      </c>
      <c r="F2729" t="s">
        <v>10795</v>
      </c>
      <c r="G2729" t="s">
        <v>10796</v>
      </c>
      <c r="H2729" t="s">
        <v>10832</v>
      </c>
      <c r="I2729" t="s">
        <v>3649</v>
      </c>
      <c r="J2729" t="s">
        <v>899</v>
      </c>
      <c r="M2729" s="134">
        <v>1300000</v>
      </c>
      <c r="N2729" s="134">
        <v>2200000</v>
      </c>
      <c r="O2729" t="s">
        <v>560</v>
      </c>
      <c r="P2729" t="s">
        <v>10797</v>
      </c>
      <c r="Q2729" t="s">
        <v>592</v>
      </c>
      <c r="R2729" t="s">
        <v>10798</v>
      </c>
      <c r="U2729" t="s">
        <v>491</v>
      </c>
      <c r="X2729">
        <v>0</v>
      </c>
    </row>
    <row r="2730" spans="1:24" x14ac:dyDescent="0.25">
      <c r="A2730" s="234">
        <v>42810</v>
      </c>
      <c r="B2730" t="s">
        <v>328</v>
      </c>
      <c r="C2730" t="s">
        <v>603</v>
      </c>
      <c r="D2730" t="s">
        <v>5701</v>
      </c>
      <c r="E2730" t="s">
        <v>588</v>
      </c>
      <c r="F2730" t="s">
        <v>5985</v>
      </c>
      <c r="H2730" t="s">
        <v>1391</v>
      </c>
      <c r="I2730" t="s">
        <v>5412</v>
      </c>
      <c r="J2730" t="s">
        <v>899</v>
      </c>
      <c r="L2730">
        <v>3</v>
      </c>
      <c r="M2730" s="134">
        <v>1300000</v>
      </c>
      <c r="N2730" s="134">
        <v>2210000</v>
      </c>
      <c r="O2730" t="s">
        <v>560</v>
      </c>
      <c r="P2730" t="s">
        <v>5987</v>
      </c>
      <c r="Q2730" t="s">
        <v>1939</v>
      </c>
      <c r="R2730" t="s">
        <v>5988</v>
      </c>
      <c r="U2730" t="s">
        <v>491</v>
      </c>
      <c r="X2730">
        <v>0</v>
      </c>
    </row>
    <row r="2731" spans="1:24" x14ac:dyDescent="0.25">
      <c r="A2731" s="234">
        <v>43507</v>
      </c>
      <c r="B2731" t="s">
        <v>328</v>
      </c>
      <c r="C2731" t="s">
        <v>603</v>
      </c>
      <c r="D2731" t="s">
        <v>7595</v>
      </c>
      <c r="F2731" t="s">
        <v>14347</v>
      </c>
      <c r="G2731" t="s">
        <v>11091</v>
      </c>
      <c r="H2731" t="s">
        <v>607</v>
      </c>
      <c r="I2731" t="s">
        <v>2054</v>
      </c>
      <c r="J2731" t="s">
        <v>899</v>
      </c>
      <c r="K2731" t="s">
        <v>13624</v>
      </c>
      <c r="L2731">
        <v>1</v>
      </c>
      <c r="M2731" s="134">
        <v>1300000</v>
      </c>
      <c r="N2731" s="134">
        <v>2340000</v>
      </c>
      <c r="O2731" t="s">
        <v>7564</v>
      </c>
      <c r="P2731" t="s">
        <v>14564</v>
      </c>
      <c r="Q2731" t="s">
        <v>592</v>
      </c>
      <c r="R2731" t="s">
        <v>14565</v>
      </c>
      <c r="S2731" t="s">
        <v>14378</v>
      </c>
      <c r="U2731" t="s">
        <v>14363</v>
      </c>
      <c r="X2731">
        <v>0</v>
      </c>
    </row>
    <row r="2732" spans="1:24" x14ac:dyDescent="0.25">
      <c r="A2732" s="234">
        <v>43224</v>
      </c>
      <c r="B2732" t="s">
        <v>328</v>
      </c>
      <c r="C2732" t="s">
        <v>603</v>
      </c>
      <c r="D2732" t="s">
        <v>649</v>
      </c>
      <c r="E2732" t="s">
        <v>588</v>
      </c>
      <c r="F2732" t="s">
        <v>4</v>
      </c>
      <c r="G2732" t="s">
        <v>11128</v>
      </c>
      <c r="H2732" t="s">
        <v>607</v>
      </c>
      <c r="I2732" t="s">
        <v>11129</v>
      </c>
      <c r="J2732" t="s">
        <v>899</v>
      </c>
      <c r="L2732">
        <v>10</v>
      </c>
      <c r="M2732" s="134">
        <v>1300000</v>
      </c>
      <c r="N2732" s="134">
        <v>2340000</v>
      </c>
      <c r="O2732" t="s">
        <v>560</v>
      </c>
      <c r="P2732" t="s">
        <v>11130</v>
      </c>
      <c r="Q2732" t="s">
        <v>592</v>
      </c>
      <c r="R2732" t="s">
        <v>11137</v>
      </c>
      <c r="S2732" t="s">
        <v>11139</v>
      </c>
      <c r="U2732" t="s">
        <v>491</v>
      </c>
      <c r="X2732">
        <v>0</v>
      </c>
    </row>
    <row r="2733" spans="1:24" x14ac:dyDescent="0.25">
      <c r="A2733" s="234">
        <v>42964</v>
      </c>
      <c r="B2733" t="s">
        <v>5176</v>
      </c>
      <c r="C2733" t="s">
        <v>604</v>
      </c>
      <c r="D2733" t="s">
        <v>2454</v>
      </c>
      <c r="E2733" t="s">
        <v>588</v>
      </c>
      <c r="F2733" t="s">
        <v>8181</v>
      </c>
      <c r="G2733" t="s">
        <v>8182</v>
      </c>
      <c r="H2733" t="s">
        <v>4183</v>
      </c>
      <c r="I2733" t="s">
        <v>8184</v>
      </c>
      <c r="J2733" t="s">
        <v>604</v>
      </c>
      <c r="L2733">
        <v>9</v>
      </c>
      <c r="M2733" s="134">
        <v>1300000</v>
      </c>
      <c r="N2733" s="134">
        <v>2340000</v>
      </c>
      <c r="O2733" t="s">
        <v>8183</v>
      </c>
      <c r="P2733" t="s">
        <v>8185</v>
      </c>
      <c r="Q2733" t="s">
        <v>592</v>
      </c>
      <c r="R2733" t="s">
        <v>8186</v>
      </c>
      <c r="U2733" t="s">
        <v>2227</v>
      </c>
      <c r="X2733">
        <v>0</v>
      </c>
    </row>
    <row r="2734" spans="1:24" x14ac:dyDescent="0.25">
      <c r="A2734" s="234">
        <v>42543</v>
      </c>
      <c r="B2734" t="s">
        <v>328</v>
      </c>
      <c r="C2734" t="s">
        <v>603</v>
      </c>
      <c r="D2734" t="s">
        <v>1471</v>
      </c>
      <c r="E2734" t="s">
        <v>588</v>
      </c>
      <c r="F2734" t="s">
        <v>2631</v>
      </c>
      <c r="H2734" t="s">
        <v>607</v>
      </c>
      <c r="I2734" t="s">
        <v>2633</v>
      </c>
      <c r="M2734" s="134">
        <v>1300000</v>
      </c>
      <c r="N2734" s="134">
        <v>2500000</v>
      </c>
      <c r="O2734" t="s">
        <v>2632</v>
      </c>
      <c r="P2734" t="s">
        <v>2634</v>
      </c>
      <c r="Q2734" t="s">
        <v>1939</v>
      </c>
      <c r="R2734" t="s">
        <v>2635</v>
      </c>
      <c r="U2734" t="s">
        <v>491</v>
      </c>
      <c r="X2734">
        <v>0</v>
      </c>
    </row>
    <row r="2735" spans="1:24" x14ac:dyDescent="0.25">
      <c r="A2735" s="234">
        <v>43003</v>
      </c>
      <c r="B2735" t="s">
        <v>328</v>
      </c>
      <c r="C2735" t="s">
        <v>603</v>
      </c>
      <c r="D2735" t="s">
        <v>649</v>
      </c>
      <c r="E2735" t="s">
        <v>588</v>
      </c>
      <c r="F2735" t="s">
        <v>8685</v>
      </c>
      <c r="G2735" t="s">
        <v>8686</v>
      </c>
      <c r="H2735" t="s">
        <v>886</v>
      </c>
      <c r="I2735" t="s">
        <v>8687</v>
      </c>
      <c r="J2735" t="s">
        <v>3373</v>
      </c>
      <c r="L2735">
        <v>10</v>
      </c>
      <c r="M2735" s="134">
        <v>1300000</v>
      </c>
      <c r="N2735" s="134">
        <v>2595500</v>
      </c>
      <c r="O2735" t="s">
        <v>8688</v>
      </c>
      <c r="P2735" t="s">
        <v>8689</v>
      </c>
      <c r="Q2735" t="s">
        <v>29</v>
      </c>
      <c r="R2735" t="s">
        <v>8690</v>
      </c>
      <c r="S2735" t="s">
        <v>8691</v>
      </c>
      <c r="T2735">
        <v>65</v>
      </c>
      <c r="U2735" t="s">
        <v>491</v>
      </c>
      <c r="X2735">
        <v>1</v>
      </c>
    </row>
    <row r="2736" spans="1:24" x14ac:dyDescent="0.25">
      <c r="A2736" s="234">
        <v>42955</v>
      </c>
      <c r="B2736" t="s">
        <v>110</v>
      </c>
      <c r="C2736" t="s">
        <v>761</v>
      </c>
      <c r="D2736" t="s">
        <v>715</v>
      </c>
      <c r="E2736" t="s">
        <v>588</v>
      </c>
      <c r="F2736" t="s">
        <v>8026</v>
      </c>
      <c r="G2736" t="s">
        <v>8027</v>
      </c>
      <c r="H2736" t="s">
        <v>607</v>
      </c>
      <c r="I2736" t="s">
        <v>8028</v>
      </c>
      <c r="J2736" t="s">
        <v>761</v>
      </c>
      <c r="L2736">
        <v>10</v>
      </c>
      <c r="M2736" s="134">
        <v>1300000</v>
      </c>
      <c r="N2736" s="134">
        <v>2700000</v>
      </c>
      <c r="O2736" t="s">
        <v>764</v>
      </c>
      <c r="P2736" t="s">
        <v>8029</v>
      </c>
      <c r="Q2736" t="s">
        <v>592</v>
      </c>
      <c r="T2736">
        <v>12</v>
      </c>
      <c r="U2736" t="s">
        <v>491</v>
      </c>
      <c r="X2736">
        <v>0</v>
      </c>
    </row>
    <row r="2737" spans="1:24" x14ac:dyDescent="0.25">
      <c r="A2737" s="234">
        <v>42856</v>
      </c>
      <c r="B2737" t="s">
        <v>643</v>
      </c>
      <c r="C2737" t="s">
        <v>644</v>
      </c>
      <c r="D2737" t="s">
        <v>645</v>
      </c>
      <c r="E2737" t="s">
        <v>588</v>
      </c>
      <c r="F2737" t="s">
        <v>6619</v>
      </c>
      <c r="H2737" t="s">
        <v>6011</v>
      </c>
      <c r="I2737" t="s">
        <v>6620</v>
      </c>
      <c r="J2737" t="s">
        <v>3501</v>
      </c>
      <c r="L2737">
        <v>3</v>
      </c>
      <c r="M2737" s="134">
        <v>1300000</v>
      </c>
      <c r="N2737" s="134">
        <v>2715000</v>
      </c>
      <c r="O2737" t="s">
        <v>6621</v>
      </c>
      <c r="P2737" t="s">
        <v>6622</v>
      </c>
      <c r="Q2737" t="s">
        <v>1939</v>
      </c>
      <c r="R2737" t="s">
        <v>6626</v>
      </c>
      <c r="U2737" t="s">
        <v>1327</v>
      </c>
      <c r="X2737">
        <v>0</v>
      </c>
    </row>
    <row r="2738" spans="1:24" x14ac:dyDescent="0.25">
      <c r="A2738" s="234">
        <v>42873</v>
      </c>
      <c r="B2738" t="s">
        <v>328</v>
      </c>
      <c r="C2738" t="s">
        <v>603</v>
      </c>
      <c r="D2738" t="s">
        <v>1401</v>
      </c>
      <c r="E2738" t="s">
        <v>588</v>
      </c>
      <c r="F2738" t="s">
        <v>6834</v>
      </c>
      <c r="H2738" t="s">
        <v>607</v>
      </c>
      <c r="I2738" t="s">
        <v>6836</v>
      </c>
      <c r="J2738" t="s">
        <v>3523</v>
      </c>
      <c r="M2738" s="134">
        <v>1300000</v>
      </c>
      <c r="N2738" s="134">
        <v>2800000</v>
      </c>
      <c r="O2738" t="s">
        <v>6835</v>
      </c>
      <c r="P2738" t="s">
        <v>6837</v>
      </c>
      <c r="Q2738" t="s">
        <v>1939</v>
      </c>
      <c r="R2738" t="s">
        <v>6838</v>
      </c>
      <c r="U2738" t="s">
        <v>491</v>
      </c>
      <c r="X2738">
        <v>0</v>
      </c>
    </row>
    <row r="2739" spans="1:24" x14ac:dyDescent="0.25">
      <c r="A2739" s="234">
        <v>43000</v>
      </c>
      <c r="B2739" t="s">
        <v>328</v>
      </c>
      <c r="C2739" t="s">
        <v>603</v>
      </c>
      <c r="D2739" t="s">
        <v>649</v>
      </c>
      <c r="E2739" t="s">
        <v>588</v>
      </c>
      <c r="F2739" t="s">
        <v>8657</v>
      </c>
      <c r="G2739" t="s">
        <v>8658</v>
      </c>
      <c r="H2739" t="s">
        <v>607</v>
      </c>
      <c r="M2739" s="134">
        <v>1300500</v>
      </c>
      <c r="N2739" s="134">
        <v>3510500</v>
      </c>
      <c r="O2739" t="s">
        <v>8659</v>
      </c>
      <c r="P2739" t="s">
        <v>8660</v>
      </c>
      <c r="Q2739" t="s">
        <v>592</v>
      </c>
      <c r="T2739">
        <v>13</v>
      </c>
      <c r="U2739" t="s">
        <v>491</v>
      </c>
      <c r="X2739">
        <v>0</v>
      </c>
    </row>
    <row r="2740" spans="1:24" x14ac:dyDescent="0.25">
      <c r="A2740" s="234">
        <v>43461</v>
      </c>
      <c r="B2740" t="s">
        <v>328</v>
      </c>
      <c r="C2740" t="s">
        <v>603</v>
      </c>
      <c r="D2740" t="s">
        <v>649</v>
      </c>
      <c r="F2740" t="s">
        <v>13703</v>
      </c>
      <c r="G2740" t="s">
        <v>9375</v>
      </c>
      <c r="H2740" t="s">
        <v>809</v>
      </c>
      <c r="I2740" t="s">
        <v>5230</v>
      </c>
      <c r="J2740" t="s">
        <v>899</v>
      </c>
      <c r="K2740" t="s">
        <v>13704</v>
      </c>
      <c r="L2740">
        <v>3</v>
      </c>
      <c r="M2740" s="134">
        <v>1302000</v>
      </c>
      <c r="N2740" s="134">
        <v>1302000</v>
      </c>
      <c r="O2740" t="s">
        <v>7564</v>
      </c>
      <c r="P2740" t="s">
        <v>13705</v>
      </c>
      <c r="Q2740" t="s">
        <v>1939</v>
      </c>
      <c r="R2740" t="s">
        <v>13706</v>
      </c>
      <c r="U2740" t="s">
        <v>491</v>
      </c>
      <c r="X2740">
        <v>0</v>
      </c>
    </row>
    <row r="2741" spans="1:24" x14ac:dyDescent="0.25">
      <c r="A2741" s="234">
        <v>42790</v>
      </c>
      <c r="B2741" t="s">
        <v>569</v>
      </c>
      <c r="D2741" t="s">
        <v>930</v>
      </c>
      <c r="E2741" t="s">
        <v>588</v>
      </c>
      <c r="F2741" t="s">
        <v>5793</v>
      </c>
      <c r="H2741" t="s">
        <v>607</v>
      </c>
      <c r="I2741" t="s">
        <v>4519</v>
      </c>
      <c r="J2741" t="s">
        <v>899</v>
      </c>
      <c r="M2741" s="134">
        <v>1305673</v>
      </c>
      <c r="N2741" s="134">
        <v>2700000</v>
      </c>
      <c r="O2741" t="s">
        <v>666</v>
      </c>
      <c r="P2741" t="s">
        <v>6301</v>
      </c>
      <c r="Q2741" t="s">
        <v>1939</v>
      </c>
      <c r="R2741" t="s">
        <v>5794</v>
      </c>
      <c r="U2741" t="s">
        <v>491</v>
      </c>
      <c r="X2741">
        <v>0</v>
      </c>
    </row>
    <row r="2742" spans="1:24" x14ac:dyDescent="0.25">
      <c r="A2742" s="234">
        <v>43017</v>
      </c>
      <c r="B2742" t="s">
        <v>328</v>
      </c>
      <c r="C2742" t="s">
        <v>603</v>
      </c>
      <c r="D2742" t="s">
        <v>672</v>
      </c>
      <c r="E2742" t="s">
        <v>588</v>
      </c>
      <c r="F2742" t="s">
        <v>8157</v>
      </c>
      <c r="G2742" t="s">
        <v>7855</v>
      </c>
      <c r="H2742" t="s">
        <v>1391</v>
      </c>
      <c r="I2742" t="s">
        <v>3600</v>
      </c>
      <c r="J2742" t="s">
        <v>899</v>
      </c>
      <c r="L2742">
        <v>9</v>
      </c>
      <c r="M2742" s="134">
        <v>1308000</v>
      </c>
      <c r="N2742" s="134">
        <v>2423820</v>
      </c>
      <c r="O2742" t="s">
        <v>560</v>
      </c>
      <c r="P2742" t="s">
        <v>8949</v>
      </c>
      <c r="Q2742" t="s">
        <v>592</v>
      </c>
      <c r="U2742" t="s">
        <v>491</v>
      </c>
      <c r="X2742">
        <v>0</v>
      </c>
    </row>
    <row r="2743" spans="1:24" x14ac:dyDescent="0.25">
      <c r="A2743" s="234">
        <v>43139</v>
      </c>
      <c r="B2743" t="s">
        <v>5360</v>
      </c>
      <c r="C2743" t="s">
        <v>899</v>
      </c>
      <c r="D2743" t="s">
        <v>732</v>
      </c>
      <c r="E2743" t="s">
        <v>588</v>
      </c>
      <c r="F2743" t="s">
        <v>7831</v>
      </c>
      <c r="G2743" t="s">
        <v>10308</v>
      </c>
      <c r="H2743" t="s">
        <v>607</v>
      </c>
      <c r="I2743" t="s">
        <v>4042</v>
      </c>
      <c r="J2743" t="s">
        <v>899</v>
      </c>
      <c r="L2743">
        <v>10</v>
      </c>
      <c r="M2743" s="134">
        <v>1309000</v>
      </c>
      <c r="N2743" s="134">
        <v>2028950</v>
      </c>
      <c r="O2743" t="s">
        <v>560</v>
      </c>
      <c r="P2743" t="s">
        <v>10309</v>
      </c>
      <c r="Q2743" t="s">
        <v>1939</v>
      </c>
      <c r="R2743" t="s">
        <v>10310</v>
      </c>
      <c r="U2743" t="s">
        <v>1327</v>
      </c>
      <c r="X2743">
        <v>0</v>
      </c>
    </row>
    <row r="2744" spans="1:24" x14ac:dyDescent="0.25">
      <c r="A2744" s="234">
        <v>42786</v>
      </c>
      <c r="B2744" t="s">
        <v>643</v>
      </c>
      <c r="C2744" t="s">
        <v>644</v>
      </c>
      <c r="D2744" t="s">
        <v>645</v>
      </c>
      <c r="E2744" t="s">
        <v>588</v>
      </c>
      <c r="F2744" t="s">
        <v>5726</v>
      </c>
      <c r="H2744" t="s">
        <v>607</v>
      </c>
      <c r="I2744" t="s">
        <v>3646</v>
      </c>
      <c r="J2744" t="s">
        <v>644</v>
      </c>
      <c r="L2744">
        <v>9</v>
      </c>
      <c r="M2744" s="134">
        <v>1319000</v>
      </c>
      <c r="N2744" s="134">
        <v>2506000</v>
      </c>
      <c r="O2744" t="s">
        <v>560</v>
      </c>
      <c r="P2744" t="s">
        <v>5727</v>
      </c>
      <c r="Q2744" t="s">
        <v>1939</v>
      </c>
      <c r="R2744" t="s">
        <v>5728</v>
      </c>
      <c r="U2744" t="s">
        <v>491</v>
      </c>
      <c r="X2744">
        <v>0</v>
      </c>
    </row>
    <row r="2745" spans="1:24" x14ac:dyDescent="0.25">
      <c r="A2745" s="234">
        <v>42579</v>
      </c>
      <c r="B2745" t="s">
        <v>328</v>
      </c>
      <c r="C2745" t="s">
        <v>603</v>
      </c>
      <c r="D2745" t="s">
        <v>1471</v>
      </c>
      <c r="E2745" t="s">
        <v>588</v>
      </c>
      <c r="F2745" t="s">
        <v>3103</v>
      </c>
      <c r="H2745" t="s">
        <v>607</v>
      </c>
      <c r="I2745" t="s">
        <v>3104</v>
      </c>
      <c r="M2745" s="134">
        <v>1319000</v>
      </c>
      <c r="N2745" s="134">
        <v>2637000</v>
      </c>
      <c r="O2745" t="s">
        <v>3107</v>
      </c>
      <c r="P2745" t="s">
        <v>3105</v>
      </c>
      <c r="Q2745" t="s">
        <v>1612</v>
      </c>
      <c r="R2745" t="s">
        <v>3106</v>
      </c>
      <c r="S2745" t="s">
        <v>3439</v>
      </c>
      <c r="U2745" t="s">
        <v>491</v>
      </c>
      <c r="X2745">
        <v>0</v>
      </c>
    </row>
    <row r="2746" spans="1:24" x14ac:dyDescent="0.25">
      <c r="A2746" s="234">
        <v>43398</v>
      </c>
      <c r="B2746" t="s">
        <v>569</v>
      </c>
      <c r="C2746" t="s">
        <v>899</v>
      </c>
      <c r="D2746" t="s">
        <v>625</v>
      </c>
      <c r="F2746" t="s">
        <v>13025</v>
      </c>
      <c r="G2746" t="s">
        <v>12327</v>
      </c>
      <c r="H2746" t="s">
        <v>607</v>
      </c>
      <c r="I2746" t="s">
        <v>2054</v>
      </c>
      <c r="J2746" t="s">
        <v>899</v>
      </c>
      <c r="K2746">
        <v>90069</v>
      </c>
      <c r="L2746">
        <v>1</v>
      </c>
      <c r="M2746" s="134">
        <v>1323000</v>
      </c>
      <c r="N2746" s="134">
        <v>2878200</v>
      </c>
      <c r="O2746" t="s">
        <v>10766</v>
      </c>
      <c r="P2746" t="s">
        <v>13420</v>
      </c>
      <c r="Q2746" t="s">
        <v>1939</v>
      </c>
      <c r="R2746" t="s">
        <v>13026</v>
      </c>
      <c r="U2746" t="s">
        <v>12344</v>
      </c>
      <c r="X2746">
        <v>0</v>
      </c>
    </row>
    <row r="2747" spans="1:24" x14ac:dyDescent="0.25">
      <c r="A2747" s="234">
        <v>42856</v>
      </c>
      <c r="B2747" t="s">
        <v>643</v>
      </c>
      <c r="C2747" t="s">
        <v>644</v>
      </c>
      <c r="D2747" t="s">
        <v>645</v>
      </c>
      <c r="E2747" t="s">
        <v>588</v>
      </c>
      <c r="F2747" t="s">
        <v>6615</v>
      </c>
      <c r="H2747" t="s">
        <v>4183</v>
      </c>
      <c r="I2747" t="s">
        <v>6616</v>
      </c>
      <c r="J2747" t="s">
        <v>3501</v>
      </c>
      <c r="L2747">
        <v>10</v>
      </c>
      <c r="M2747" s="134">
        <v>1333000</v>
      </c>
      <c r="N2747" s="134">
        <v>2174500</v>
      </c>
      <c r="O2747" t="s">
        <v>6617</v>
      </c>
      <c r="P2747" t="s">
        <v>6618</v>
      </c>
      <c r="Q2747" t="s">
        <v>29</v>
      </c>
      <c r="R2747" t="s">
        <v>6147</v>
      </c>
      <c r="U2747" t="s">
        <v>1327</v>
      </c>
      <c r="X2747">
        <v>1</v>
      </c>
    </row>
    <row r="2748" spans="1:24" x14ac:dyDescent="0.25">
      <c r="A2748" s="234">
        <v>42622</v>
      </c>
      <c r="B2748" t="s">
        <v>378</v>
      </c>
      <c r="C2748" t="s">
        <v>623</v>
      </c>
      <c r="D2748" t="s">
        <v>625</v>
      </c>
      <c r="E2748" t="s">
        <v>588</v>
      </c>
      <c r="F2748" t="s">
        <v>3835</v>
      </c>
      <c r="H2748" t="s">
        <v>607</v>
      </c>
      <c r="I2748" t="s">
        <v>3837</v>
      </c>
      <c r="J2748" t="s">
        <v>899</v>
      </c>
      <c r="L2748">
        <v>4</v>
      </c>
      <c r="M2748" s="134">
        <v>1333000</v>
      </c>
      <c r="N2748" s="134">
        <v>2383000</v>
      </c>
      <c r="O2748" t="s">
        <v>901</v>
      </c>
      <c r="P2748" t="s">
        <v>3838</v>
      </c>
      <c r="Q2748" t="s">
        <v>1939</v>
      </c>
      <c r="R2748" t="s">
        <v>3836</v>
      </c>
      <c r="U2748" t="s">
        <v>491</v>
      </c>
      <c r="X2748">
        <v>0</v>
      </c>
    </row>
    <row r="2749" spans="1:24" x14ac:dyDescent="0.25">
      <c r="A2749" s="234">
        <v>42513</v>
      </c>
      <c r="B2749" t="s">
        <v>328</v>
      </c>
      <c r="D2749" t="s">
        <v>2204</v>
      </c>
      <c r="E2749" t="s">
        <v>2200</v>
      </c>
      <c r="F2749" t="s">
        <v>2205</v>
      </c>
      <c r="H2749" t="s">
        <v>2206</v>
      </c>
      <c r="I2749" t="s">
        <v>2207</v>
      </c>
      <c r="M2749" s="134">
        <v>1341000</v>
      </c>
      <c r="N2749" s="134">
        <v>2413800</v>
      </c>
      <c r="O2749" t="s">
        <v>2208</v>
      </c>
      <c r="P2749" t="s">
        <v>2210</v>
      </c>
      <c r="Q2749" t="s">
        <v>620</v>
      </c>
      <c r="R2749" t="s">
        <v>2209</v>
      </c>
      <c r="U2749" t="s">
        <v>633</v>
      </c>
      <c r="X2749">
        <v>0</v>
      </c>
    </row>
    <row r="2750" spans="1:24" x14ac:dyDescent="0.25">
      <c r="A2750" s="234">
        <v>43277</v>
      </c>
      <c r="B2750" t="s">
        <v>569</v>
      </c>
      <c r="C2750" t="s">
        <v>899</v>
      </c>
      <c r="D2750" t="s">
        <v>624</v>
      </c>
      <c r="E2750" t="s">
        <v>588</v>
      </c>
      <c r="F2750" t="s">
        <v>11381</v>
      </c>
      <c r="G2750" t="s">
        <v>11647</v>
      </c>
      <c r="H2750" t="s">
        <v>607</v>
      </c>
      <c r="I2750" t="s">
        <v>3649</v>
      </c>
      <c r="J2750" t="s">
        <v>899</v>
      </c>
      <c r="M2750" s="134">
        <v>1350000</v>
      </c>
      <c r="N2750" s="134">
        <v>1810000</v>
      </c>
      <c r="O2750" t="s">
        <v>560</v>
      </c>
      <c r="P2750" t="s">
        <v>11648</v>
      </c>
      <c r="Q2750" t="s">
        <v>592</v>
      </c>
      <c r="R2750" t="s">
        <v>11649</v>
      </c>
      <c r="U2750" t="s">
        <v>1327</v>
      </c>
      <c r="X2750">
        <v>0</v>
      </c>
    </row>
    <row r="2751" spans="1:24" x14ac:dyDescent="0.25">
      <c r="A2751" s="234">
        <v>42605</v>
      </c>
      <c r="B2751" t="s">
        <v>1788</v>
      </c>
      <c r="D2751" t="s">
        <v>2678</v>
      </c>
      <c r="E2751" t="s">
        <v>588</v>
      </c>
      <c r="F2751" t="s">
        <v>3566</v>
      </c>
      <c r="H2751" t="s">
        <v>722</v>
      </c>
      <c r="I2751" t="s">
        <v>3567</v>
      </c>
      <c r="J2751" t="s">
        <v>3568</v>
      </c>
      <c r="L2751">
        <v>4</v>
      </c>
      <c r="M2751" s="134">
        <v>1350000</v>
      </c>
      <c r="N2751" s="134">
        <v>1900000</v>
      </c>
      <c r="O2751" t="s">
        <v>3569</v>
      </c>
      <c r="P2751" t="s">
        <v>3570</v>
      </c>
      <c r="Q2751" t="s">
        <v>592</v>
      </c>
      <c r="U2751" t="s">
        <v>491</v>
      </c>
      <c r="X2751">
        <v>0</v>
      </c>
    </row>
    <row r="2752" spans="1:24" x14ac:dyDescent="0.25">
      <c r="A2752" s="234">
        <v>43279</v>
      </c>
      <c r="B2752" t="s">
        <v>569</v>
      </c>
      <c r="C2752" t="s">
        <v>899</v>
      </c>
      <c r="D2752" t="s">
        <v>9981</v>
      </c>
      <c r="E2752" t="s">
        <v>588</v>
      </c>
      <c r="F2752" t="s">
        <v>11668</v>
      </c>
      <c r="G2752" t="s">
        <v>11669</v>
      </c>
      <c r="H2752" t="s">
        <v>607</v>
      </c>
      <c r="I2752" t="s">
        <v>2054</v>
      </c>
      <c r="J2752" t="s">
        <v>899</v>
      </c>
      <c r="M2752" s="134">
        <v>1350000</v>
      </c>
      <c r="N2752" s="134">
        <v>2160000</v>
      </c>
      <c r="O2752" t="s">
        <v>10766</v>
      </c>
      <c r="P2752" t="s">
        <v>11670</v>
      </c>
      <c r="Q2752" t="s">
        <v>1939</v>
      </c>
      <c r="R2752" t="s">
        <v>11671</v>
      </c>
      <c r="U2752" t="s">
        <v>1327</v>
      </c>
      <c r="X2752">
        <v>0</v>
      </c>
    </row>
    <row r="2753" spans="1:24" x14ac:dyDescent="0.25">
      <c r="A2753" s="234">
        <v>42604</v>
      </c>
      <c r="B2753" t="s">
        <v>378</v>
      </c>
      <c r="C2753" t="s">
        <v>623</v>
      </c>
      <c r="D2753" t="s">
        <v>625</v>
      </c>
      <c r="E2753" t="s">
        <v>588</v>
      </c>
      <c r="F2753" t="s">
        <v>3539</v>
      </c>
      <c r="H2753" t="s">
        <v>607</v>
      </c>
      <c r="I2753" t="s">
        <v>3540</v>
      </c>
      <c r="J2753" t="s">
        <v>899</v>
      </c>
      <c r="L2753">
        <v>2</v>
      </c>
      <c r="M2753" s="134">
        <v>1350000</v>
      </c>
      <c r="N2753" s="134">
        <v>2430000</v>
      </c>
      <c r="O2753" t="s">
        <v>3541</v>
      </c>
      <c r="P2753" t="s">
        <v>3542</v>
      </c>
      <c r="Q2753" t="s">
        <v>620</v>
      </c>
      <c r="R2753" t="s">
        <v>3543</v>
      </c>
      <c r="U2753" t="s">
        <v>491</v>
      </c>
      <c r="X2753">
        <v>0</v>
      </c>
    </row>
    <row r="2754" spans="1:24" x14ac:dyDescent="0.25">
      <c r="A2754" s="234">
        <v>42830</v>
      </c>
      <c r="B2754" t="s">
        <v>569</v>
      </c>
      <c r="D2754" t="s">
        <v>625</v>
      </c>
      <c r="E2754" t="s">
        <v>588</v>
      </c>
      <c r="F2754" t="s">
        <v>6269</v>
      </c>
      <c r="H2754" t="s">
        <v>607</v>
      </c>
      <c r="I2754" t="s">
        <v>3536</v>
      </c>
      <c r="J2754" t="s">
        <v>899</v>
      </c>
      <c r="L2754">
        <v>3</v>
      </c>
      <c r="M2754" s="134">
        <v>1350000</v>
      </c>
      <c r="N2754" s="134">
        <v>3290000</v>
      </c>
      <c r="O2754" t="s">
        <v>3107</v>
      </c>
      <c r="P2754" t="s">
        <v>6270</v>
      </c>
      <c r="Q2754" t="s">
        <v>1939</v>
      </c>
      <c r="R2754" t="s">
        <v>6271</v>
      </c>
      <c r="U2754" t="s">
        <v>491</v>
      </c>
      <c r="V2754" t="s">
        <v>6272</v>
      </c>
      <c r="X2754">
        <v>0</v>
      </c>
    </row>
    <row r="2755" spans="1:24" x14ac:dyDescent="0.25">
      <c r="A2755" s="234">
        <v>43347</v>
      </c>
      <c r="B2755" t="s">
        <v>569</v>
      </c>
      <c r="C2755" t="s">
        <v>899</v>
      </c>
      <c r="D2755" t="s">
        <v>3505</v>
      </c>
      <c r="E2755" t="s">
        <v>588</v>
      </c>
      <c r="F2755" t="s">
        <v>12484</v>
      </c>
      <c r="G2755" t="s">
        <v>12483</v>
      </c>
      <c r="H2755" t="s">
        <v>607</v>
      </c>
      <c r="I2755" t="s">
        <v>3388</v>
      </c>
      <c r="J2755" t="s">
        <v>899</v>
      </c>
      <c r="L2755">
        <v>1</v>
      </c>
      <c r="M2755" s="134">
        <v>1364000</v>
      </c>
      <c r="N2755" s="134">
        <v>2318000</v>
      </c>
      <c r="O2755" t="s">
        <v>560</v>
      </c>
      <c r="P2755" t="s">
        <v>12482</v>
      </c>
      <c r="Q2755" t="s">
        <v>592</v>
      </c>
      <c r="R2755" t="s">
        <v>12514</v>
      </c>
      <c r="U2755" t="s">
        <v>1327</v>
      </c>
      <c r="X2755">
        <v>0</v>
      </c>
    </row>
    <row r="2756" spans="1:24" x14ac:dyDescent="0.25">
      <c r="A2756" s="234">
        <v>43059</v>
      </c>
      <c r="B2756" t="s">
        <v>328</v>
      </c>
      <c r="C2756" t="s">
        <v>603</v>
      </c>
      <c r="D2756" t="s">
        <v>672</v>
      </c>
      <c r="E2756" t="s">
        <v>588</v>
      </c>
      <c r="F2756" t="s">
        <v>5096</v>
      </c>
      <c r="G2756" t="s">
        <v>8289</v>
      </c>
      <c r="H2756" t="s">
        <v>607</v>
      </c>
      <c r="I2756" t="s">
        <v>9515</v>
      </c>
      <c r="J2756" t="s">
        <v>899</v>
      </c>
      <c r="L2756">
        <v>9</v>
      </c>
      <c r="M2756" s="134">
        <v>1364560</v>
      </c>
      <c r="N2756" s="134">
        <v>2729129</v>
      </c>
      <c r="O2756" t="s">
        <v>560</v>
      </c>
      <c r="P2756" t="s">
        <v>9619</v>
      </c>
      <c r="Q2756" t="s">
        <v>592</v>
      </c>
      <c r="R2756" t="s">
        <v>9516</v>
      </c>
      <c r="U2756" t="s">
        <v>1327</v>
      </c>
      <c r="X2756">
        <v>0</v>
      </c>
    </row>
    <row r="2757" spans="1:24" x14ac:dyDescent="0.25">
      <c r="A2757" s="234">
        <v>43019</v>
      </c>
      <c r="B2757" t="s">
        <v>5176</v>
      </c>
      <c r="C2757" t="s">
        <v>604</v>
      </c>
      <c r="D2757" t="s">
        <v>595</v>
      </c>
      <c r="E2757" t="s">
        <v>588</v>
      </c>
      <c r="F2757" t="s">
        <v>8973</v>
      </c>
      <c r="G2757" t="s">
        <v>8974</v>
      </c>
      <c r="H2757" t="s">
        <v>886</v>
      </c>
      <c r="I2757" t="s">
        <v>1487</v>
      </c>
      <c r="J2757" t="s">
        <v>604</v>
      </c>
      <c r="L2757">
        <v>1</v>
      </c>
      <c r="M2757" s="134">
        <v>1366000</v>
      </c>
      <c r="N2757" s="134">
        <v>1466000</v>
      </c>
      <c r="O2757" t="s">
        <v>2908</v>
      </c>
      <c r="P2757" t="s">
        <v>8975</v>
      </c>
      <c r="Q2757" t="s">
        <v>1939</v>
      </c>
      <c r="R2757" t="s">
        <v>8976</v>
      </c>
      <c r="U2757" t="s">
        <v>1327</v>
      </c>
      <c r="X2757">
        <v>0</v>
      </c>
    </row>
    <row r="2758" spans="1:24" x14ac:dyDescent="0.25">
      <c r="A2758" s="234">
        <v>43545</v>
      </c>
      <c r="B2758" t="s">
        <v>328</v>
      </c>
      <c r="C2758" t="s">
        <v>603</v>
      </c>
      <c r="D2758" t="s">
        <v>649</v>
      </c>
      <c r="F2758" t="s">
        <v>14799</v>
      </c>
      <c r="G2758" t="s">
        <v>14800</v>
      </c>
      <c r="H2758" t="s">
        <v>607</v>
      </c>
      <c r="I2758" t="s">
        <v>14801</v>
      </c>
      <c r="J2758" t="s">
        <v>899</v>
      </c>
      <c r="K2758" t="s">
        <v>14802</v>
      </c>
      <c r="L2758">
        <v>2</v>
      </c>
      <c r="M2758" s="134">
        <v>1370000</v>
      </c>
      <c r="N2758" s="134">
        <v>2459000</v>
      </c>
      <c r="O2758" t="s">
        <v>10766</v>
      </c>
      <c r="P2758" t="s">
        <v>14803</v>
      </c>
      <c r="Q2758" t="s">
        <v>1939</v>
      </c>
      <c r="R2758" t="s">
        <v>14804</v>
      </c>
      <c r="S2758" t="s">
        <v>14805</v>
      </c>
      <c r="U2758" t="s">
        <v>491</v>
      </c>
      <c r="X2758">
        <v>0</v>
      </c>
    </row>
    <row r="2759" spans="1:24" x14ac:dyDescent="0.25">
      <c r="A2759" s="234">
        <v>42489</v>
      </c>
      <c r="B2759" t="s">
        <v>328</v>
      </c>
      <c r="C2759" t="s">
        <v>603</v>
      </c>
      <c r="D2759" t="s">
        <v>672</v>
      </c>
      <c r="E2759" t="s">
        <v>588</v>
      </c>
      <c r="F2759" t="s">
        <v>1889</v>
      </c>
      <c r="H2759" t="s">
        <v>1890</v>
      </c>
      <c r="I2759" t="s">
        <v>1891</v>
      </c>
      <c r="M2759" s="134">
        <v>1370000</v>
      </c>
      <c r="N2759" s="134">
        <v>2603000</v>
      </c>
      <c r="O2759" t="s">
        <v>1892</v>
      </c>
      <c r="P2759" t="s">
        <v>1893</v>
      </c>
      <c r="Q2759" t="s">
        <v>592</v>
      </c>
      <c r="R2759" t="s">
        <v>1894</v>
      </c>
      <c r="U2759" t="s">
        <v>491</v>
      </c>
      <c r="X2759">
        <v>0</v>
      </c>
    </row>
    <row r="2760" spans="1:24" x14ac:dyDescent="0.25">
      <c r="A2760" s="234">
        <v>42968</v>
      </c>
      <c r="B2760" t="s">
        <v>328</v>
      </c>
      <c r="C2760" t="s">
        <v>603</v>
      </c>
      <c r="D2760" t="s">
        <v>2500</v>
      </c>
      <c r="E2760" t="s">
        <v>588</v>
      </c>
      <c r="F2760" t="s">
        <v>8205</v>
      </c>
      <c r="G2760" t="s">
        <v>256</v>
      </c>
      <c r="H2760" t="s">
        <v>886</v>
      </c>
      <c r="I2760" t="s">
        <v>8206</v>
      </c>
      <c r="J2760" t="s">
        <v>604</v>
      </c>
      <c r="L2760">
        <v>9</v>
      </c>
      <c r="M2760" s="134">
        <v>1375000</v>
      </c>
      <c r="N2760" s="134">
        <v>1512500</v>
      </c>
      <c r="O2760" t="s">
        <v>560</v>
      </c>
      <c r="P2760" t="s">
        <v>8207</v>
      </c>
      <c r="Q2760" t="s">
        <v>1612</v>
      </c>
      <c r="R2760" t="s">
        <v>8358</v>
      </c>
      <c r="S2760" t="s">
        <v>8359</v>
      </c>
      <c r="T2760">
        <v>29</v>
      </c>
      <c r="U2760" t="s">
        <v>491</v>
      </c>
      <c r="X2760">
        <v>0</v>
      </c>
    </row>
    <row r="2761" spans="1:24" x14ac:dyDescent="0.25">
      <c r="A2761" s="234">
        <v>42478</v>
      </c>
      <c r="B2761" t="s">
        <v>328</v>
      </c>
      <c r="C2761" t="s">
        <v>603</v>
      </c>
      <c r="D2761" t="s">
        <v>672</v>
      </c>
      <c r="E2761" t="s">
        <v>588</v>
      </c>
      <c r="F2761" t="s">
        <v>1714</v>
      </c>
      <c r="H2761" t="s">
        <v>607</v>
      </c>
      <c r="I2761" t="s">
        <v>1715</v>
      </c>
      <c r="M2761" s="134">
        <v>1378000</v>
      </c>
      <c r="N2761" s="134">
        <v>1803000</v>
      </c>
      <c r="O2761" t="s">
        <v>1716</v>
      </c>
      <c r="P2761" t="s">
        <v>1717</v>
      </c>
      <c r="Q2761" t="s">
        <v>592</v>
      </c>
      <c r="U2761" t="s">
        <v>491</v>
      </c>
      <c r="X2761">
        <v>0</v>
      </c>
    </row>
    <row r="2762" spans="1:24" x14ac:dyDescent="0.25">
      <c r="A2762" s="234">
        <v>42531</v>
      </c>
      <c r="B2762" t="s">
        <v>328</v>
      </c>
      <c r="C2762" t="s">
        <v>603</v>
      </c>
      <c r="D2762" t="s">
        <v>1471</v>
      </c>
      <c r="E2762" t="s">
        <v>588</v>
      </c>
      <c r="F2762" t="s">
        <v>2468</v>
      </c>
      <c r="H2762" t="s">
        <v>607</v>
      </c>
      <c r="I2762" t="s">
        <v>2469</v>
      </c>
      <c r="M2762" s="134">
        <v>1384200</v>
      </c>
      <c r="N2762" s="134">
        <v>2768400</v>
      </c>
      <c r="O2762" t="s">
        <v>2470</v>
      </c>
      <c r="P2762" t="s">
        <v>2471</v>
      </c>
      <c r="Q2762" t="s">
        <v>29</v>
      </c>
      <c r="R2762" t="s">
        <v>2481</v>
      </c>
      <c r="U2762" t="s">
        <v>491</v>
      </c>
      <c r="X2762">
        <v>1</v>
      </c>
    </row>
    <row r="2763" spans="1:24" x14ac:dyDescent="0.25">
      <c r="A2763" s="234">
        <v>43047</v>
      </c>
      <c r="B2763" t="s">
        <v>328</v>
      </c>
      <c r="C2763" t="s">
        <v>603</v>
      </c>
      <c r="D2763" t="s">
        <v>2397</v>
      </c>
      <c r="E2763" t="s">
        <v>588</v>
      </c>
      <c r="F2763" t="s">
        <v>9374</v>
      </c>
      <c r="G2763" t="s">
        <v>9375</v>
      </c>
      <c r="H2763" t="s">
        <v>607</v>
      </c>
      <c r="I2763" t="s">
        <v>9376</v>
      </c>
      <c r="J2763" t="s">
        <v>899</v>
      </c>
      <c r="L2763">
        <v>10</v>
      </c>
      <c r="M2763" s="134">
        <v>1390000</v>
      </c>
      <c r="N2763" s="134">
        <v>2780000</v>
      </c>
      <c r="O2763" t="s">
        <v>560</v>
      </c>
      <c r="P2763" t="s">
        <v>9377</v>
      </c>
      <c r="Q2763" t="s">
        <v>592</v>
      </c>
      <c r="U2763" t="s">
        <v>491</v>
      </c>
      <c r="X2763">
        <v>0</v>
      </c>
    </row>
    <row r="2764" spans="1:24" x14ac:dyDescent="0.25">
      <c r="A2764" s="234">
        <v>43522</v>
      </c>
      <c r="B2764" t="s">
        <v>328</v>
      </c>
      <c r="C2764" t="s">
        <v>603</v>
      </c>
      <c r="D2764" t="s">
        <v>757</v>
      </c>
      <c r="F2764" t="s">
        <v>14525</v>
      </c>
      <c r="G2764" t="s">
        <v>14526</v>
      </c>
      <c r="H2764" t="s">
        <v>607</v>
      </c>
      <c r="I2764" t="s">
        <v>14530</v>
      </c>
      <c r="J2764" t="s">
        <v>899</v>
      </c>
      <c r="K2764" t="s">
        <v>13101</v>
      </c>
      <c r="L2764">
        <v>2</v>
      </c>
      <c r="M2764" s="134">
        <v>1394000</v>
      </c>
      <c r="N2764" s="134">
        <v>2648600</v>
      </c>
      <c r="O2764" t="s">
        <v>7564</v>
      </c>
      <c r="P2764" t="s">
        <v>14531</v>
      </c>
      <c r="Q2764" t="s">
        <v>1939</v>
      </c>
      <c r="R2764" t="s">
        <v>14532</v>
      </c>
      <c r="U2764" t="s">
        <v>12797</v>
      </c>
      <c r="X2764">
        <v>0</v>
      </c>
    </row>
    <row r="2765" spans="1:24" x14ac:dyDescent="0.25">
      <c r="A2765" s="234">
        <v>42620</v>
      </c>
      <c r="B2765" t="s">
        <v>328</v>
      </c>
      <c r="C2765" t="s">
        <v>603</v>
      </c>
      <c r="D2765" t="s">
        <v>1471</v>
      </c>
      <c r="E2765" t="s">
        <v>588</v>
      </c>
      <c r="F2765" t="s">
        <v>3792</v>
      </c>
      <c r="H2765" t="s">
        <v>607</v>
      </c>
      <c r="I2765" t="s">
        <v>3793</v>
      </c>
      <c r="J2765" t="s">
        <v>899</v>
      </c>
      <c r="L2765">
        <v>4</v>
      </c>
      <c r="M2765" s="134">
        <v>1397000</v>
      </c>
      <c r="N2765" s="134">
        <v>3003550</v>
      </c>
      <c r="O2765" t="s">
        <v>3086</v>
      </c>
      <c r="P2765" t="s">
        <v>3794</v>
      </c>
      <c r="Q2765" t="s">
        <v>592</v>
      </c>
      <c r="U2765" t="s">
        <v>491</v>
      </c>
      <c r="X2765">
        <v>0</v>
      </c>
    </row>
    <row r="2766" spans="1:24" x14ac:dyDescent="0.25">
      <c r="A2766" s="234">
        <v>42838</v>
      </c>
      <c r="B2766" t="s">
        <v>6076</v>
      </c>
      <c r="D2766" t="s">
        <v>2836</v>
      </c>
      <c r="E2766" t="s">
        <v>588</v>
      </c>
      <c r="H2766" t="s">
        <v>607</v>
      </c>
      <c r="I2766" t="s">
        <v>4016</v>
      </c>
      <c r="J2766" t="s">
        <v>3370</v>
      </c>
      <c r="M2766" s="134">
        <v>1400000</v>
      </c>
      <c r="N2766" s="134">
        <v>0</v>
      </c>
      <c r="O2766" t="s">
        <v>2908</v>
      </c>
      <c r="P2766" t="s">
        <v>6422</v>
      </c>
      <c r="Q2766" t="s">
        <v>1939</v>
      </c>
      <c r="R2766" t="s">
        <v>6423</v>
      </c>
      <c r="U2766" t="s">
        <v>491</v>
      </c>
      <c r="X2766">
        <v>0</v>
      </c>
    </row>
    <row r="2767" spans="1:24" x14ac:dyDescent="0.25">
      <c r="A2767" s="234">
        <v>43068</v>
      </c>
      <c r="B2767" t="s">
        <v>643</v>
      </c>
      <c r="C2767" t="s">
        <v>644</v>
      </c>
      <c r="D2767" t="s">
        <v>645</v>
      </c>
      <c r="E2767" t="s">
        <v>588</v>
      </c>
      <c r="F2767" t="s">
        <v>8201</v>
      </c>
      <c r="G2767" t="s">
        <v>9000</v>
      </c>
      <c r="H2767" t="s">
        <v>9567</v>
      </c>
      <c r="I2767" t="s">
        <v>9566</v>
      </c>
      <c r="J2767" t="s">
        <v>3501</v>
      </c>
      <c r="L2767">
        <v>10</v>
      </c>
      <c r="M2767" s="134">
        <v>1400000</v>
      </c>
      <c r="N2767" s="134">
        <v>1900100</v>
      </c>
      <c r="O2767" t="s">
        <v>7269</v>
      </c>
      <c r="P2767" t="s">
        <v>9568</v>
      </c>
      <c r="Q2767" t="s">
        <v>1939</v>
      </c>
      <c r="R2767" t="s">
        <v>9569</v>
      </c>
      <c r="U2767" t="s">
        <v>491</v>
      </c>
      <c r="X2767">
        <v>0</v>
      </c>
    </row>
    <row r="2768" spans="1:24" x14ac:dyDescent="0.25">
      <c r="A2768" s="234">
        <v>43182</v>
      </c>
      <c r="B2768" t="s">
        <v>328</v>
      </c>
      <c r="C2768" t="s">
        <v>603</v>
      </c>
      <c r="D2768" t="s">
        <v>649</v>
      </c>
      <c r="E2768" t="s">
        <v>588</v>
      </c>
      <c r="F2768" t="s">
        <v>10692</v>
      </c>
      <c r="G2768" t="s">
        <v>7830</v>
      </c>
      <c r="H2768" t="s">
        <v>10831</v>
      </c>
      <c r="I2768" t="s">
        <v>4809</v>
      </c>
      <c r="J2768" t="s">
        <v>4785</v>
      </c>
      <c r="L2768">
        <v>10</v>
      </c>
      <c r="M2768" s="134">
        <v>1400000</v>
      </c>
      <c r="N2768" s="134">
        <v>2000000</v>
      </c>
      <c r="O2768" t="s">
        <v>7124</v>
      </c>
      <c r="P2768" t="s">
        <v>10691</v>
      </c>
      <c r="Q2768" t="s">
        <v>1939</v>
      </c>
      <c r="R2768" t="s">
        <v>10693</v>
      </c>
      <c r="U2768" t="s">
        <v>1327</v>
      </c>
      <c r="X2768">
        <v>0</v>
      </c>
    </row>
    <row r="2769" spans="1:24" x14ac:dyDescent="0.25">
      <c r="A2769" s="234">
        <v>43474</v>
      </c>
      <c r="B2769" t="s">
        <v>569</v>
      </c>
      <c r="C2769" t="s">
        <v>899</v>
      </c>
      <c r="D2769" t="s">
        <v>625</v>
      </c>
      <c r="F2769" t="s">
        <v>13880</v>
      </c>
      <c r="G2769" t="s">
        <v>13881</v>
      </c>
      <c r="H2769" t="s">
        <v>607</v>
      </c>
      <c r="I2769" t="s">
        <v>4237</v>
      </c>
      <c r="J2769" t="s">
        <v>899</v>
      </c>
      <c r="K2769" t="s">
        <v>13807</v>
      </c>
      <c r="M2769" s="134">
        <v>1400000</v>
      </c>
      <c r="N2769" s="134">
        <v>2040000</v>
      </c>
      <c r="O2769" t="s">
        <v>10766</v>
      </c>
      <c r="P2769" t="s">
        <v>13882</v>
      </c>
      <c r="Q2769" t="s">
        <v>1939</v>
      </c>
      <c r="R2769" t="s">
        <v>13883</v>
      </c>
      <c r="S2769" t="s">
        <v>13884</v>
      </c>
      <c r="U2769" t="s">
        <v>491</v>
      </c>
      <c r="X2769">
        <v>0</v>
      </c>
    </row>
    <row r="2770" spans="1:24" x14ac:dyDescent="0.25">
      <c r="A2770" s="234">
        <v>43096</v>
      </c>
      <c r="B2770" t="s">
        <v>643</v>
      </c>
      <c r="C2770" t="s">
        <v>644</v>
      </c>
      <c r="D2770" t="s">
        <v>645</v>
      </c>
      <c r="E2770" t="s">
        <v>588</v>
      </c>
      <c r="F2770" t="s">
        <v>9874</v>
      </c>
      <c r="G2770" t="s">
        <v>9733</v>
      </c>
      <c r="H2770" t="s">
        <v>1391</v>
      </c>
      <c r="I2770" t="s">
        <v>9376</v>
      </c>
      <c r="J2770" t="s">
        <v>899</v>
      </c>
      <c r="L2770">
        <v>2</v>
      </c>
      <c r="M2770" s="134">
        <v>1400000</v>
      </c>
      <c r="N2770" s="134">
        <v>2125000</v>
      </c>
      <c r="O2770" t="s">
        <v>2928</v>
      </c>
      <c r="P2770" t="s">
        <v>9875</v>
      </c>
      <c r="Q2770" t="s">
        <v>29</v>
      </c>
      <c r="R2770" t="s">
        <v>9876</v>
      </c>
      <c r="U2770" t="s">
        <v>491</v>
      </c>
      <c r="X2770">
        <v>1</v>
      </c>
    </row>
    <row r="2771" spans="1:24" x14ac:dyDescent="0.25">
      <c r="A2771" s="234">
        <v>42503</v>
      </c>
      <c r="B2771" t="s">
        <v>328</v>
      </c>
      <c r="C2771" t="s">
        <v>603</v>
      </c>
      <c r="D2771" t="s">
        <v>587</v>
      </c>
      <c r="E2771" t="s">
        <v>588</v>
      </c>
      <c r="F2771" t="s">
        <v>2084</v>
      </c>
      <c r="H2771" t="s">
        <v>607</v>
      </c>
      <c r="I2771" t="s">
        <v>2085</v>
      </c>
      <c r="M2771" s="134">
        <v>1400000</v>
      </c>
      <c r="N2771" s="134">
        <v>2240000</v>
      </c>
      <c r="O2771" t="s">
        <v>2086</v>
      </c>
      <c r="P2771" t="s">
        <v>2087</v>
      </c>
      <c r="Q2771" t="s">
        <v>592</v>
      </c>
      <c r="U2771" t="s">
        <v>491</v>
      </c>
      <c r="X2771">
        <v>0</v>
      </c>
    </row>
    <row r="2772" spans="1:24" x14ac:dyDescent="0.25">
      <c r="A2772" s="234">
        <v>43584</v>
      </c>
      <c r="B2772" t="s">
        <v>13559</v>
      </c>
      <c r="C2772" t="s">
        <v>604</v>
      </c>
      <c r="D2772" t="s">
        <v>7814</v>
      </c>
      <c r="F2772" t="s">
        <v>9216</v>
      </c>
      <c r="G2772" t="s">
        <v>15284</v>
      </c>
      <c r="H2772" t="s">
        <v>10831</v>
      </c>
      <c r="I2772" t="s">
        <v>15285</v>
      </c>
      <c r="J2772" t="s">
        <v>3372</v>
      </c>
      <c r="K2772" t="s">
        <v>15286</v>
      </c>
      <c r="L2772">
        <v>9</v>
      </c>
      <c r="M2772" s="134">
        <v>1400000</v>
      </c>
      <c r="N2772" s="134">
        <v>2500000</v>
      </c>
      <c r="O2772" t="s">
        <v>560</v>
      </c>
      <c r="P2772" t="s">
        <v>15287</v>
      </c>
      <c r="Q2772" t="s">
        <v>620</v>
      </c>
      <c r="R2772" t="s">
        <v>15288</v>
      </c>
      <c r="U2772" t="s">
        <v>491</v>
      </c>
      <c r="X2772">
        <v>0</v>
      </c>
    </row>
    <row r="2773" spans="1:24" x14ac:dyDescent="0.25">
      <c r="A2773" s="234">
        <v>43342</v>
      </c>
      <c r="B2773" t="s">
        <v>328</v>
      </c>
      <c r="C2773" t="s">
        <v>603</v>
      </c>
      <c r="D2773" t="s">
        <v>8941</v>
      </c>
      <c r="E2773" t="s">
        <v>588</v>
      </c>
      <c r="F2773" t="s">
        <v>12435</v>
      </c>
      <c r="G2773" t="s">
        <v>256</v>
      </c>
      <c r="H2773" t="s">
        <v>607</v>
      </c>
      <c r="I2773" t="s">
        <v>8479</v>
      </c>
      <c r="J2773" t="s">
        <v>899</v>
      </c>
      <c r="L2773">
        <v>10</v>
      </c>
      <c r="M2773" s="134">
        <v>1400000</v>
      </c>
      <c r="N2773" s="134">
        <v>2520000</v>
      </c>
      <c r="O2773" t="s">
        <v>49</v>
      </c>
      <c r="P2773" t="s">
        <v>12436</v>
      </c>
      <c r="Q2773" t="s">
        <v>29</v>
      </c>
      <c r="R2773" t="s">
        <v>12437</v>
      </c>
      <c r="S2773" t="s">
        <v>12438</v>
      </c>
      <c r="U2773" t="s">
        <v>12344</v>
      </c>
      <c r="X2773">
        <v>1</v>
      </c>
    </row>
    <row r="2774" spans="1:24" x14ac:dyDescent="0.25">
      <c r="A2774" s="234">
        <v>43447</v>
      </c>
      <c r="B2774" t="s">
        <v>328</v>
      </c>
      <c r="C2774" t="s">
        <v>603</v>
      </c>
      <c r="D2774" t="s">
        <v>1401</v>
      </c>
      <c r="F2774" t="s">
        <v>13626</v>
      </c>
      <c r="G2774" t="s">
        <v>7814</v>
      </c>
      <c r="H2774" t="s">
        <v>607</v>
      </c>
      <c r="I2774" t="s">
        <v>3557</v>
      </c>
      <c r="J2774" t="s">
        <v>899</v>
      </c>
      <c r="K2774" t="s">
        <v>13627</v>
      </c>
      <c r="L2774">
        <v>1</v>
      </c>
      <c r="M2774" s="134">
        <v>1400000</v>
      </c>
      <c r="N2774" s="134">
        <v>2520000</v>
      </c>
      <c r="O2774" t="s">
        <v>7564</v>
      </c>
      <c r="P2774" t="s">
        <v>13628</v>
      </c>
      <c r="Q2774" t="s">
        <v>620</v>
      </c>
      <c r="R2774" t="s">
        <v>13767</v>
      </c>
      <c r="U2774" t="s">
        <v>12797</v>
      </c>
      <c r="X2774">
        <v>0</v>
      </c>
    </row>
    <row r="2775" spans="1:24" x14ac:dyDescent="0.25">
      <c r="A2775" s="234">
        <v>43164</v>
      </c>
      <c r="B2775" t="s">
        <v>643</v>
      </c>
      <c r="C2775" t="s">
        <v>644</v>
      </c>
      <c r="D2775" t="s">
        <v>645</v>
      </c>
      <c r="E2775" t="s">
        <v>588</v>
      </c>
      <c r="F2775" t="s">
        <v>10506</v>
      </c>
      <c r="G2775" t="s">
        <v>10507</v>
      </c>
      <c r="H2775" t="s">
        <v>607</v>
      </c>
      <c r="I2775" t="s">
        <v>7022</v>
      </c>
      <c r="J2775" t="s">
        <v>644</v>
      </c>
      <c r="L2775">
        <v>2</v>
      </c>
      <c r="M2775" s="134">
        <v>1400000</v>
      </c>
      <c r="N2775" s="134">
        <v>2800000</v>
      </c>
      <c r="O2775" t="s">
        <v>4533</v>
      </c>
      <c r="P2775" t="s">
        <v>10509</v>
      </c>
      <c r="Q2775" t="s">
        <v>1939</v>
      </c>
      <c r="R2775" t="s">
        <v>10508</v>
      </c>
      <c r="U2775" t="s">
        <v>1327</v>
      </c>
      <c r="X2775">
        <v>0</v>
      </c>
    </row>
    <row r="2776" spans="1:24" x14ac:dyDescent="0.25">
      <c r="A2776" s="234">
        <v>43509</v>
      </c>
      <c r="B2776" t="s">
        <v>9240</v>
      </c>
      <c r="C2776" t="s">
        <v>603</v>
      </c>
      <c r="D2776" t="s">
        <v>9241</v>
      </c>
      <c r="F2776" t="s">
        <v>13092</v>
      </c>
      <c r="G2776" t="s">
        <v>10272</v>
      </c>
      <c r="H2776" t="s">
        <v>10831</v>
      </c>
      <c r="I2776" t="s">
        <v>14445</v>
      </c>
      <c r="J2776" t="s">
        <v>603</v>
      </c>
      <c r="K2776" t="s">
        <v>13094</v>
      </c>
      <c r="L2776">
        <v>10</v>
      </c>
      <c r="M2776" s="134">
        <v>1400000</v>
      </c>
      <c r="N2776" s="134">
        <v>2836000</v>
      </c>
      <c r="O2776" t="s">
        <v>7124</v>
      </c>
      <c r="P2776" t="s">
        <v>14446</v>
      </c>
      <c r="Q2776" t="s">
        <v>1939</v>
      </c>
      <c r="R2776" t="s">
        <v>14566</v>
      </c>
      <c r="U2776" t="s">
        <v>12797</v>
      </c>
      <c r="X2776">
        <v>0</v>
      </c>
    </row>
    <row r="2777" spans="1:24" x14ac:dyDescent="0.25">
      <c r="A2777" s="234">
        <v>42465</v>
      </c>
      <c r="B2777" t="s">
        <v>378</v>
      </c>
      <c r="C2777" t="s">
        <v>623</v>
      </c>
      <c r="D2777" t="s">
        <v>800</v>
      </c>
      <c r="E2777" t="s">
        <v>588</v>
      </c>
      <c r="F2777" t="s">
        <v>1542</v>
      </c>
      <c r="H2777" t="s">
        <v>607</v>
      </c>
      <c r="I2777" t="s">
        <v>1543</v>
      </c>
      <c r="M2777" s="134">
        <v>1400000</v>
      </c>
      <c r="N2777" s="134">
        <v>2940000</v>
      </c>
      <c r="O2777" t="s">
        <v>1544</v>
      </c>
      <c r="P2777" t="s">
        <v>15988</v>
      </c>
      <c r="Q2777" t="s">
        <v>620</v>
      </c>
      <c r="R2777" t="s">
        <v>1545</v>
      </c>
      <c r="U2777" t="s">
        <v>491</v>
      </c>
      <c r="X2777">
        <v>0</v>
      </c>
    </row>
    <row r="2778" spans="1:24" x14ac:dyDescent="0.25">
      <c r="A2778" s="234">
        <v>43279</v>
      </c>
      <c r="B2778" t="s">
        <v>328</v>
      </c>
      <c r="C2778" t="s">
        <v>603</v>
      </c>
      <c r="D2778" t="s">
        <v>8941</v>
      </c>
      <c r="E2778" t="s">
        <v>588</v>
      </c>
      <c r="F2778" t="s">
        <v>11663</v>
      </c>
      <c r="G2778" t="s">
        <v>256</v>
      </c>
      <c r="H2778" t="s">
        <v>905</v>
      </c>
      <c r="I2778" t="s">
        <v>8649</v>
      </c>
      <c r="J2778" t="s">
        <v>5509</v>
      </c>
      <c r="L2778">
        <v>10</v>
      </c>
      <c r="M2778" s="134">
        <v>1400000</v>
      </c>
      <c r="N2778" s="134">
        <v>3020000</v>
      </c>
      <c r="O2778" t="s">
        <v>7124</v>
      </c>
      <c r="P2778" t="s">
        <v>11664</v>
      </c>
      <c r="Q2778" t="s">
        <v>620</v>
      </c>
      <c r="R2778" t="s">
        <v>11665</v>
      </c>
      <c r="U2778" t="s">
        <v>1327</v>
      </c>
      <c r="X2778">
        <v>0</v>
      </c>
    </row>
    <row r="2779" spans="1:24" x14ac:dyDescent="0.25">
      <c r="A2779" s="234">
        <v>42754</v>
      </c>
      <c r="B2779" t="s">
        <v>569</v>
      </c>
      <c r="D2779" t="s">
        <v>930</v>
      </c>
      <c r="E2779" t="s">
        <v>692</v>
      </c>
      <c r="F2779" t="s">
        <v>5373</v>
      </c>
      <c r="H2779" t="s">
        <v>607</v>
      </c>
      <c r="I2779" t="s">
        <v>232</v>
      </c>
      <c r="J2779" t="s">
        <v>899</v>
      </c>
      <c r="L2779" t="s">
        <v>5302</v>
      </c>
      <c r="M2779" s="134">
        <v>1400000</v>
      </c>
      <c r="N2779" s="134">
        <v>3110000</v>
      </c>
      <c r="O2779" t="s">
        <v>560</v>
      </c>
      <c r="P2779" t="s">
        <v>5374</v>
      </c>
      <c r="Q2779" t="s">
        <v>592</v>
      </c>
      <c r="U2779" t="s">
        <v>491</v>
      </c>
      <c r="X2779">
        <v>0</v>
      </c>
    </row>
    <row r="2780" spans="1:24" x14ac:dyDescent="0.25">
      <c r="A2780" s="234">
        <v>42969</v>
      </c>
      <c r="B2780" t="s">
        <v>5176</v>
      </c>
      <c r="C2780" t="s">
        <v>604</v>
      </c>
      <c r="D2780" t="s">
        <v>2454</v>
      </c>
      <c r="E2780" t="s">
        <v>588</v>
      </c>
      <c r="F2780" t="s">
        <v>8259</v>
      </c>
      <c r="H2780" t="s">
        <v>607</v>
      </c>
      <c r="I2780" t="s">
        <v>8260</v>
      </c>
      <c r="J2780" t="s">
        <v>4785</v>
      </c>
      <c r="M2780" s="134">
        <v>1400000</v>
      </c>
      <c r="N2780" s="134">
        <v>3220000</v>
      </c>
      <c r="O2780" t="s">
        <v>560</v>
      </c>
      <c r="P2780" t="s">
        <v>8261</v>
      </c>
      <c r="Q2780" t="s">
        <v>1939</v>
      </c>
      <c r="R2780" t="s">
        <v>8262</v>
      </c>
      <c r="T2780">
        <v>17</v>
      </c>
      <c r="U2780" t="s">
        <v>491</v>
      </c>
      <c r="X2780">
        <v>0</v>
      </c>
    </row>
    <row r="2781" spans="1:24" x14ac:dyDescent="0.25">
      <c r="A2781" s="234">
        <v>43378</v>
      </c>
      <c r="B2781" t="s">
        <v>328</v>
      </c>
      <c r="C2781" t="s">
        <v>603</v>
      </c>
      <c r="D2781" t="s">
        <v>649</v>
      </c>
      <c r="E2781" t="s">
        <v>588</v>
      </c>
      <c r="F2781" t="s">
        <v>12858</v>
      </c>
      <c r="G2781" t="s">
        <v>8941</v>
      </c>
      <c r="H2781" t="s">
        <v>607</v>
      </c>
      <c r="I2781" t="s">
        <v>6205</v>
      </c>
      <c r="J2781" t="s">
        <v>644</v>
      </c>
      <c r="L2781">
        <v>2</v>
      </c>
      <c r="M2781" s="134">
        <v>1404000</v>
      </c>
      <c r="N2781" s="134">
        <v>2737800</v>
      </c>
      <c r="O2781" t="s">
        <v>10766</v>
      </c>
      <c r="P2781" t="s">
        <v>12866</v>
      </c>
      <c r="Q2781" t="s">
        <v>1939</v>
      </c>
      <c r="R2781" t="s">
        <v>12867</v>
      </c>
      <c r="U2781" t="s">
        <v>12797</v>
      </c>
      <c r="X2781">
        <v>0</v>
      </c>
    </row>
    <row r="2782" spans="1:24" x14ac:dyDescent="0.25">
      <c r="A2782" s="234">
        <v>43076</v>
      </c>
      <c r="B2782" t="s">
        <v>569</v>
      </c>
      <c r="C2782" t="s">
        <v>899</v>
      </c>
      <c r="D2782" t="s">
        <v>625</v>
      </c>
      <c r="E2782" t="s">
        <v>588</v>
      </c>
      <c r="F2782" t="s">
        <v>9696</v>
      </c>
      <c r="G2782" t="s">
        <v>9350</v>
      </c>
      <c r="H2782" t="s">
        <v>607</v>
      </c>
      <c r="I2782" t="s">
        <v>3837</v>
      </c>
      <c r="J2782" t="s">
        <v>899</v>
      </c>
      <c r="L2782">
        <v>4</v>
      </c>
      <c r="M2782" s="134">
        <v>1406000</v>
      </c>
      <c r="N2782" s="134">
        <v>4200000</v>
      </c>
      <c r="O2782" t="s">
        <v>560</v>
      </c>
      <c r="P2782" t="s">
        <v>9697</v>
      </c>
      <c r="Q2782" t="s">
        <v>592</v>
      </c>
      <c r="R2782" t="s">
        <v>9698</v>
      </c>
      <c r="U2782" t="s">
        <v>1327</v>
      </c>
      <c r="X2782">
        <v>0</v>
      </c>
    </row>
    <row r="2783" spans="1:24" x14ac:dyDescent="0.25">
      <c r="A2783" s="234">
        <v>43474</v>
      </c>
      <c r="B2783" t="s">
        <v>328</v>
      </c>
      <c r="C2783" t="s">
        <v>603</v>
      </c>
      <c r="D2783" t="s">
        <v>10338</v>
      </c>
      <c r="F2783" t="s">
        <v>272</v>
      </c>
      <c r="G2783" t="s">
        <v>11155</v>
      </c>
      <c r="H2783" t="s">
        <v>10831</v>
      </c>
      <c r="I2783" t="s">
        <v>9429</v>
      </c>
      <c r="J2783" t="s">
        <v>3501</v>
      </c>
      <c r="K2783" t="s">
        <v>13892</v>
      </c>
      <c r="L2783">
        <v>10</v>
      </c>
      <c r="M2783" s="134">
        <v>1407000</v>
      </c>
      <c r="N2783" s="134">
        <v>2397700</v>
      </c>
      <c r="O2783" t="s">
        <v>7124</v>
      </c>
      <c r="P2783" t="s">
        <v>13893</v>
      </c>
      <c r="Q2783" t="s">
        <v>29</v>
      </c>
      <c r="R2783" t="s">
        <v>13894</v>
      </c>
      <c r="U2783" t="s">
        <v>12797</v>
      </c>
      <c r="X2783">
        <v>1</v>
      </c>
    </row>
    <row r="2784" spans="1:24" x14ac:dyDescent="0.25">
      <c r="A2784" s="234">
        <v>42632</v>
      </c>
      <c r="B2784" t="s">
        <v>643</v>
      </c>
      <c r="C2784" t="s">
        <v>644</v>
      </c>
      <c r="D2784" t="s">
        <v>645</v>
      </c>
      <c r="E2784" t="s">
        <v>588</v>
      </c>
      <c r="F2784" t="s">
        <v>3979</v>
      </c>
      <c r="H2784" t="s">
        <v>607</v>
      </c>
      <c r="I2784" t="s">
        <v>3980</v>
      </c>
      <c r="J2784" t="s">
        <v>644</v>
      </c>
      <c r="L2784">
        <v>10</v>
      </c>
      <c r="M2784" s="134">
        <v>1411000</v>
      </c>
      <c r="N2784" s="134">
        <v>2362100</v>
      </c>
      <c r="O2784" t="s">
        <v>3981</v>
      </c>
      <c r="P2784" t="s">
        <v>3982</v>
      </c>
      <c r="Q2784" t="s">
        <v>1939</v>
      </c>
      <c r="R2784" t="s">
        <v>3983</v>
      </c>
      <c r="U2784" t="s">
        <v>491</v>
      </c>
      <c r="X2784">
        <v>0</v>
      </c>
    </row>
    <row r="2785" spans="1:24" x14ac:dyDescent="0.25">
      <c r="A2785" s="234">
        <v>42611</v>
      </c>
      <c r="B2785" t="s">
        <v>378</v>
      </c>
      <c r="C2785" t="s">
        <v>623</v>
      </c>
      <c r="D2785" t="s">
        <v>625</v>
      </c>
      <c r="E2785" t="s">
        <v>588</v>
      </c>
      <c r="F2785" t="s">
        <v>3683</v>
      </c>
      <c r="H2785" t="s">
        <v>607</v>
      </c>
      <c r="I2785" t="s">
        <v>2054</v>
      </c>
      <c r="J2785" t="s">
        <v>899</v>
      </c>
      <c r="M2785" s="134">
        <v>1417000</v>
      </c>
      <c r="N2785" s="134">
        <v>2550100</v>
      </c>
      <c r="O2785" t="s">
        <v>1844</v>
      </c>
      <c r="P2785" t="s">
        <v>3684</v>
      </c>
      <c r="Q2785" t="s">
        <v>29</v>
      </c>
      <c r="R2785" t="s">
        <v>3685</v>
      </c>
      <c r="U2785" t="s">
        <v>491</v>
      </c>
      <c r="X2785">
        <v>1</v>
      </c>
    </row>
    <row r="2786" spans="1:24" x14ac:dyDescent="0.25">
      <c r="A2786" s="234">
        <v>42510</v>
      </c>
      <c r="B2786" t="s">
        <v>643</v>
      </c>
      <c r="C2786" t="s">
        <v>644</v>
      </c>
      <c r="D2786" t="s">
        <v>645</v>
      </c>
      <c r="E2786" t="s">
        <v>588</v>
      </c>
      <c r="F2786" t="s">
        <v>2183</v>
      </c>
      <c r="H2786" t="s">
        <v>607</v>
      </c>
      <c r="I2786" t="s">
        <v>2184</v>
      </c>
      <c r="M2786" s="134">
        <v>1423000</v>
      </c>
      <c r="N2786" s="134">
        <v>3000000</v>
      </c>
      <c r="O2786" t="s">
        <v>666</v>
      </c>
      <c r="P2786" t="s">
        <v>2185</v>
      </c>
      <c r="Q2786" t="s">
        <v>1939</v>
      </c>
      <c r="R2786" t="s">
        <v>2191</v>
      </c>
      <c r="S2786" t="s">
        <v>2248</v>
      </c>
      <c r="U2786" t="s">
        <v>491</v>
      </c>
      <c r="X2786">
        <v>0</v>
      </c>
    </row>
    <row r="2787" spans="1:24" x14ac:dyDescent="0.25">
      <c r="A2787" s="234">
        <v>42851</v>
      </c>
      <c r="B2787" t="s">
        <v>5360</v>
      </c>
      <c r="D2787" t="s">
        <v>1027</v>
      </c>
      <c r="E2787" t="s">
        <v>588</v>
      </c>
      <c r="F2787" t="s">
        <v>6567</v>
      </c>
      <c r="H2787" t="s">
        <v>722</v>
      </c>
      <c r="I2787" t="s">
        <v>3635</v>
      </c>
      <c r="J2787" t="s">
        <v>899</v>
      </c>
      <c r="L2787">
        <v>9</v>
      </c>
      <c r="M2787" s="134">
        <v>1425500</v>
      </c>
      <c r="N2787" s="134">
        <v>1576050</v>
      </c>
      <c r="O2787" t="s">
        <v>560</v>
      </c>
      <c r="P2787" t="s">
        <v>6568</v>
      </c>
      <c r="Q2787" t="s">
        <v>1939</v>
      </c>
      <c r="R2787" t="s">
        <v>6572</v>
      </c>
      <c r="U2787" t="s">
        <v>491</v>
      </c>
      <c r="X2787">
        <v>0</v>
      </c>
    </row>
    <row r="2788" spans="1:24" x14ac:dyDescent="0.25">
      <c r="A2788" s="234">
        <v>43293</v>
      </c>
      <c r="B2788" t="s">
        <v>569</v>
      </c>
      <c r="C2788" t="s">
        <v>899</v>
      </c>
      <c r="D2788" t="s">
        <v>11031</v>
      </c>
      <c r="E2788" t="s">
        <v>588</v>
      </c>
      <c r="F2788" t="s">
        <v>11781</v>
      </c>
      <c r="G2788" t="s">
        <v>8267</v>
      </c>
      <c r="H2788" t="s">
        <v>10831</v>
      </c>
      <c r="I2788" t="s">
        <v>8479</v>
      </c>
      <c r="J2788" t="s">
        <v>899</v>
      </c>
      <c r="M2788" s="134">
        <v>1430000</v>
      </c>
      <c r="N2788" s="134">
        <v>2502500</v>
      </c>
      <c r="O2788" t="s">
        <v>10766</v>
      </c>
      <c r="P2788" t="s">
        <v>11782</v>
      </c>
      <c r="Q2788" t="s">
        <v>1939</v>
      </c>
      <c r="R2788" t="s">
        <v>11783</v>
      </c>
      <c r="U2788" t="s">
        <v>1327</v>
      </c>
      <c r="X2788">
        <v>0</v>
      </c>
    </row>
    <row r="2789" spans="1:24" x14ac:dyDescent="0.25">
      <c r="A2789" s="234">
        <v>43168</v>
      </c>
      <c r="B2789" t="s">
        <v>569</v>
      </c>
      <c r="C2789" t="s">
        <v>899</v>
      </c>
      <c r="D2789" t="s">
        <v>624</v>
      </c>
      <c r="E2789" t="s">
        <v>588</v>
      </c>
      <c r="F2789" t="s">
        <v>10554</v>
      </c>
      <c r="G2789" t="s">
        <v>10553</v>
      </c>
      <c r="H2789" t="s">
        <v>607</v>
      </c>
      <c r="I2789" t="s">
        <v>3649</v>
      </c>
      <c r="J2789" t="s">
        <v>899</v>
      </c>
      <c r="M2789" s="134">
        <v>1431000</v>
      </c>
      <c r="N2789" s="134">
        <v>1681000</v>
      </c>
      <c r="O2789" t="s">
        <v>560</v>
      </c>
      <c r="P2789" t="s">
        <v>10552</v>
      </c>
      <c r="Q2789" t="s">
        <v>592</v>
      </c>
      <c r="R2789" t="s">
        <v>10551</v>
      </c>
      <c r="U2789" t="s">
        <v>1327</v>
      </c>
      <c r="X2789">
        <v>0</v>
      </c>
    </row>
    <row r="2790" spans="1:24" x14ac:dyDescent="0.25">
      <c r="A2790" s="234">
        <v>42781</v>
      </c>
      <c r="B2790" t="s">
        <v>569</v>
      </c>
      <c r="D2790" t="s">
        <v>625</v>
      </c>
      <c r="E2790" t="s">
        <v>588</v>
      </c>
      <c r="F2790" t="s">
        <v>5694</v>
      </c>
      <c r="H2790" t="s">
        <v>809</v>
      </c>
      <c r="I2790" t="s">
        <v>2054</v>
      </c>
      <c r="J2790" t="s">
        <v>899</v>
      </c>
      <c r="L2790">
        <v>1</v>
      </c>
      <c r="M2790" s="134">
        <v>1433000</v>
      </c>
      <c r="N2790" s="134">
        <v>1576000</v>
      </c>
      <c r="O2790" t="s">
        <v>5695</v>
      </c>
      <c r="P2790" t="s">
        <v>5696</v>
      </c>
      <c r="Q2790" t="s">
        <v>29</v>
      </c>
      <c r="R2790" t="s">
        <v>5697</v>
      </c>
      <c r="U2790" t="s">
        <v>491</v>
      </c>
      <c r="X2790">
        <v>1</v>
      </c>
    </row>
    <row r="2791" spans="1:24" x14ac:dyDescent="0.25">
      <c r="A2791" s="234">
        <v>43024</v>
      </c>
      <c r="B2791" t="s">
        <v>5176</v>
      </c>
      <c r="C2791" t="s">
        <v>604</v>
      </c>
      <c r="D2791" t="s">
        <v>6995</v>
      </c>
      <c r="E2791" t="s">
        <v>588</v>
      </c>
      <c r="F2791" t="s">
        <v>9037</v>
      </c>
      <c r="G2791" t="s">
        <v>9038</v>
      </c>
      <c r="H2791" t="s">
        <v>1391</v>
      </c>
      <c r="L2791">
        <v>5</v>
      </c>
      <c r="M2791" s="134">
        <v>1438910</v>
      </c>
      <c r="N2791" s="134">
        <v>1748910</v>
      </c>
      <c r="O2791" t="s">
        <v>7846</v>
      </c>
      <c r="P2791" t="s">
        <v>9039</v>
      </c>
      <c r="Q2791" t="s">
        <v>1939</v>
      </c>
      <c r="R2791" t="s">
        <v>9040</v>
      </c>
      <c r="U2791" t="s">
        <v>491</v>
      </c>
      <c r="X2791">
        <v>0</v>
      </c>
    </row>
    <row r="2792" spans="1:24" x14ac:dyDescent="0.25">
      <c r="A2792" s="234">
        <v>42563</v>
      </c>
      <c r="B2792" t="s">
        <v>328</v>
      </c>
      <c r="C2792" t="s">
        <v>603</v>
      </c>
      <c r="D2792" t="s">
        <v>1471</v>
      </c>
      <c r="E2792" t="s">
        <v>588</v>
      </c>
      <c r="F2792" t="s">
        <v>2858</v>
      </c>
      <c r="H2792" t="s">
        <v>607</v>
      </c>
      <c r="I2792" t="s">
        <v>2859</v>
      </c>
      <c r="M2792" s="134">
        <v>1443000</v>
      </c>
      <c r="N2792" s="134">
        <v>2958150</v>
      </c>
      <c r="O2792" t="s">
        <v>2860</v>
      </c>
      <c r="P2792" t="s">
        <v>2862</v>
      </c>
      <c r="Q2792" t="s">
        <v>1939</v>
      </c>
      <c r="R2792" t="s">
        <v>2861</v>
      </c>
      <c r="U2792" t="s">
        <v>491</v>
      </c>
      <c r="X2792">
        <v>0</v>
      </c>
    </row>
    <row r="2793" spans="1:24" x14ac:dyDescent="0.25">
      <c r="A2793" s="234">
        <v>42758</v>
      </c>
      <c r="B2793" t="s">
        <v>5176</v>
      </c>
      <c r="D2793" t="s">
        <v>727</v>
      </c>
      <c r="E2793" t="s">
        <v>588</v>
      </c>
      <c r="F2793" t="s">
        <v>5414</v>
      </c>
      <c r="H2793" t="s">
        <v>607</v>
      </c>
      <c r="I2793" t="s">
        <v>5415</v>
      </c>
      <c r="J2793" t="s">
        <v>3369</v>
      </c>
      <c r="M2793" s="134">
        <v>1445000</v>
      </c>
      <c r="N2793" s="134">
        <v>2601000</v>
      </c>
      <c r="O2793" t="s">
        <v>5416</v>
      </c>
      <c r="P2793" t="s">
        <v>5417</v>
      </c>
      <c r="Q2793" t="s">
        <v>620</v>
      </c>
      <c r="R2793" t="s">
        <v>5418</v>
      </c>
      <c r="U2793" t="s">
        <v>491</v>
      </c>
      <c r="X2793">
        <v>0</v>
      </c>
    </row>
    <row r="2794" spans="1:24" x14ac:dyDescent="0.25">
      <c r="A2794" s="234">
        <v>43475</v>
      </c>
      <c r="B2794" t="s">
        <v>5360</v>
      </c>
      <c r="C2794" t="s">
        <v>899</v>
      </c>
      <c r="D2794" t="s">
        <v>732</v>
      </c>
      <c r="F2794" t="s">
        <v>13916</v>
      </c>
      <c r="H2794" t="s">
        <v>886</v>
      </c>
      <c r="I2794" t="s">
        <v>3929</v>
      </c>
      <c r="J2794" t="s">
        <v>899</v>
      </c>
      <c r="K2794" t="s">
        <v>13917</v>
      </c>
      <c r="L2794">
        <v>1</v>
      </c>
      <c r="M2794" s="134">
        <v>1446000</v>
      </c>
      <c r="N2794" s="134">
        <v>1446000</v>
      </c>
      <c r="O2794" t="s">
        <v>2295</v>
      </c>
      <c r="P2794" t="s">
        <v>13918</v>
      </c>
      <c r="Q2794" t="s">
        <v>1939</v>
      </c>
      <c r="R2794" t="s">
        <v>13919</v>
      </c>
      <c r="U2794" t="s">
        <v>491</v>
      </c>
      <c r="X2794">
        <v>0</v>
      </c>
    </row>
    <row r="2795" spans="1:24" x14ac:dyDescent="0.25">
      <c r="A2795" s="234">
        <v>42802</v>
      </c>
      <c r="B2795" t="s">
        <v>5360</v>
      </c>
      <c r="D2795" t="s">
        <v>732</v>
      </c>
      <c r="E2795" t="s">
        <v>588</v>
      </c>
      <c r="F2795" t="s">
        <v>5897</v>
      </c>
      <c r="H2795" t="s">
        <v>5244</v>
      </c>
      <c r="I2795" t="s">
        <v>5898</v>
      </c>
      <c r="J2795" t="s">
        <v>899</v>
      </c>
      <c r="L2795">
        <v>9</v>
      </c>
      <c r="M2795" s="134">
        <v>1449000</v>
      </c>
      <c r="N2795" s="134">
        <v>2289000</v>
      </c>
      <c r="O2795" t="s">
        <v>560</v>
      </c>
      <c r="P2795" t="s">
        <v>5899</v>
      </c>
      <c r="Q2795" t="s">
        <v>1939</v>
      </c>
      <c r="R2795" t="s">
        <v>5900</v>
      </c>
      <c r="U2795" t="s">
        <v>491</v>
      </c>
      <c r="X2795">
        <v>0</v>
      </c>
    </row>
    <row r="2796" spans="1:24" x14ac:dyDescent="0.25">
      <c r="A2796" s="234">
        <v>42500</v>
      </c>
      <c r="B2796" t="s">
        <v>328</v>
      </c>
      <c r="C2796" t="s">
        <v>603</v>
      </c>
      <c r="D2796" t="s">
        <v>649</v>
      </c>
      <c r="E2796" t="s">
        <v>588</v>
      </c>
      <c r="F2796" t="s">
        <v>2009</v>
      </c>
      <c r="H2796" t="s">
        <v>905</v>
      </c>
      <c r="I2796" t="s">
        <v>2010</v>
      </c>
      <c r="M2796" s="134">
        <v>1449200</v>
      </c>
      <c r="N2796" s="134">
        <v>1802040</v>
      </c>
      <c r="O2796" t="s">
        <v>2011</v>
      </c>
      <c r="P2796" t="s">
        <v>2012</v>
      </c>
      <c r="Q2796" t="s">
        <v>1939</v>
      </c>
      <c r="R2796" t="s">
        <v>2013</v>
      </c>
      <c r="U2796" t="s">
        <v>491</v>
      </c>
      <c r="X2796">
        <v>0</v>
      </c>
    </row>
    <row r="2797" spans="1:24" x14ac:dyDescent="0.25">
      <c r="A2797" s="234">
        <v>42601</v>
      </c>
      <c r="B2797" t="s">
        <v>328</v>
      </c>
      <c r="C2797" t="s">
        <v>603</v>
      </c>
      <c r="D2797" t="s">
        <v>1471</v>
      </c>
      <c r="E2797" t="s">
        <v>588</v>
      </c>
      <c r="F2797" t="s">
        <v>3502</v>
      </c>
      <c r="H2797" t="s">
        <v>722</v>
      </c>
      <c r="I2797" t="s">
        <v>3500</v>
      </c>
      <c r="J2797" t="s">
        <v>3501</v>
      </c>
      <c r="L2797">
        <v>9</v>
      </c>
      <c r="M2797" s="134">
        <v>1450000</v>
      </c>
      <c r="N2797" s="134">
        <v>1840000</v>
      </c>
      <c r="O2797" t="s">
        <v>907</v>
      </c>
      <c r="P2797" t="s">
        <v>3503</v>
      </c>
      <c r="Q2797" t="s">
        <v>1939</v>
      </c>
      <c r="R2797" t="s">
        <v>3504</v>
      </c>
      <c r="U2797" t="s">
        <v>491</v>
      </c>
      <c r="X2797">
        <v>0</v>
      </c>
    </row>
    <row r="2798" spans="1:24" x14ac:dyDescent="0.25">
      <c r="A2798" s="234">
        <v>42417</v>
      </c>
      <c r="B2798" t="s">
        <v>250</v>
      </c>
      <c r="D2798" t="s">
        <v>1006</v>
      </c>
      <c r="E2798" t="s">
        <v>588</v>
      </c>
      <c r="F2798" t="s">
        <v>1007</v>
      </c>
      <c r="H2798" t="s">
        <v>607</v>
      </c>
      <c r="I2798" t="s">
        <v>1008</v>
      </c>
      <c r="M2798" s="134">
        <v>1450000</v>
      </c>
      <c r="N2798" s="134">
        <v>1880000</v>
      </c>
      <c r="O2798" t="s">
        <v>1162</v>
      </c>
      <c r="P2798" t="s">
        <v>1009</v>
      </c>
      <c r="Q2798" t="s">
        <v>592</v>
      </c>
      <c r="R2798" t="s">
        <v>1010</v>
      </c>
      <c r="S2798" t="s">
        <v>1163</v>
      </c>
      <c r="U2798" t="s">
        <v>491</v>
      </c>
      <c r="X2798">
        <v>0</v>
      </c>
    </row>
    <row r="2799" spans="1:24" x14ac:dyDescent="0.25">
      <c r="A2799" s="234">
        <v>43096</v>
      </c>
      <c r="B2799" t="s">
        <v>5360</v>
      </c>
      <c r="C2799" t="s">
        <v>899</v>
      </c>
      <c r="D2799" t="s">
        <v>732</v>
      </c>
      <c r="E2799" t="s">
        <v>588</v>
      </c>
      <c r="F2799" t="s">
        <v>9868</v>
      </c>
      <c r="G2799" t="s">
        <v>9869</v>
      </c>
      <c r="H2799" t="s">
        <v>905</v>
      </c>
      <c r="I2799" t="s">
        <v>3620</v>
      </c>
      <c r="J2799" t="s">
        <v>899</v>
      </c>
      <c r="L2799">
        <v>4</v>
      </c>
      <c r="M2799" s="134">
        <v>1455000</v>
      </c>
      <c r="N2799" s="134">
        <v>1996000</v>
      </c>
      <c r="O2799" t="s">
        <v>6357</v>
      </c>
      <c r="P2799" t="s">
        <v>9870</v>
      </c>
      <c r="Q2799" t="s">
        <v>1939</v>
      </c>
      <c r="R2799" t="s">
        <v>9871</v>
      </c>
      <c r="U2799" t="s">
        <v>491</v>
      </c>
      <c r="X2799">
        <v>0</v>
      </c>
    </row>
    <row r="2800" spans="1:24" x14ac:dyDescent="0.25">
      <c r="A2800" s="234">
        <v>43553</v>
      </c>
      <c r="B2800" t="s">
        <v>569</v>
      </c>
      <c r="C2800" t="s">
        <v>899</v>
      </c>
      <c r="D2800" t="s">
        <v>611</v>
      </c>
      <c r="F2800" t="s">
        <v>14908</v>
      </c>
      <c r="G2800" t="s">
        <v>14909</v>
      </c>
      <c r="H2800" t="s">
        <v>607</v>
      </c>
      <c r="I2800" t="s">
        <v>14910</v>
      </c>
      <c r="J2800" t="s">
        <v>899</v>
      </c>
      <c r="K2800" t="s">
        <v>13153</v>
      </c>
      <c r="M2800" s="134">
        <v>1455000</v>
      </c>
      <c r="N2800" s="134">
        <v>2982750</v>
      </c>
      <c r="O2800" t="s">
        <v>10766</v>
      </c>
      <c r="P2800" t="s">
        <v>14911</v>
      </c>
      <c r="Q2800" t="s">
        <v>620</v>
      </c>
      <c r="R2800" t="s">
        <v>14912</v>
      </c>
      <c r="U2800" t="s">
        <v>491</v>
      </c>
      <c r="X2800">
        <v>0</v>
      </c>
    </row>
    <row r="2801" spans="1:24" x14ac:dyDescent="0.25">
      <c r="A2801" s="234">
        <v>42879</v>
      </c>
      <c r="B2801" t="s">
        <v>328</v>
      </c>
      <c r="C2801" t="s">
        <v>603</v>
      </c>
      <c r="D2801" t="s">
        <v>1401</v>
      </c>
      <c r="E2801" t="s">
        <v>588</v>
      </c>
      <c r="F2801" t="s">
        <v>6867</v>
      </c>
      <c r="H2801" t="s">
        <v>607</v>
      </c>
      <c r="I2801" t="s">
        <v>6868</v>
      </c>
      <c r="J2801" t="s">
        <v>899</v>
      </c>
      <c r="L2801">
        <v>10</v>
      </c>
      <c r="M2801" s="134">
        <v>1457000</v>
      </c>
      <c r="N2801" s="134">
        <v>2982400</v>
      </c>
      <c r="O2801" t="s">
        <v>764</v>
      </c>
      <c r="P2801" t="s">
        <v>6886</v>
      </c>
      <c r="Q2801" t="s">
        <v>1939</v>
      </c>
      <c r="R2801" t="s">
        <v>7055</v>
      </c>
      <c r="S2801" t="s">
        <v>6887</v>
      </c>
      <c r="U2801" t="s">
        <v>1327</v>
      </c>
      <c r="X2801">
        <v>0</v>
      </c>
    </row>
    <row r="2802" spans="1:24" x14ac:dyDescent="0.25">
      <c r="A2802" s="234">
        <v>42878</v>
      </c>
      <c r="B2802" t="s">
        <v>328</v>
      </c>
      <c r="C2802" t="s">
        <v>603</v>
      </c>
      <c r="D2802" t="s">
        <v>2397</v>
      </c>
      <c r="E2802" t="s">
        <v>588</v>
      </c>
      <c r="F2802" t="s">
        <v>6867</v>
      </c>
      <c r="H2802" t="s">
        <v>607</v>
      </c>
      <c r="I2802" t="s">
        <v>6868</v>
      </c>
      <c r="J2802" t="s">
        <v>899</v>
      </c>
      <c r="L2802">
        <v>10</v>
      </c>
      <c r="M2802" s="134">
        <v>1457000</v>
      </c>
      <c r="N2802" s="134">
        <v>2983200</v>
      </c>
      <c r="O2802" t="s">
        <v>2886</v>
      </c>
      <c r="P2802" t="s">
        <v>6869</v>
      </c>
      <c r="Q2802" t="s">
        <v>1939</v>
      </c>
      <c r="R2802" t="s">
        <v>7053</v>
      </c>
      <c r="U2802" t="s">
        <v>1327</v>
      </c>
      <c r="X2802">
        <v>0</v>
      </c>
    </row>
    <row r="2803" spans="1:24" x14ac:dyDescent="0.25">
      <c r="A2803" s="234">
        <v>42605</v>
      </c>
      <c r="B2803" t="s">
        <v>328</v>
      </c>
      <c r="C2803" t="s">
        <v>603</v>
      </c>
      <c r="D2803" t="s">
        <v>1471</v>
      </c>
      <c r="E2803" t="s">
        <v>588</v>
      </c>
      <c r="F2803" t="s">
        <v>3578</v>
      </c>
      <c r="H2803" t="s">
        <v>607</v>
      </c>
      <c r="I2803" t="s">
        <v>3579</v>
      </c>
      <c r="J2803" t="s">
        <v>899</v>
      </c>
      <c r="L2803">
        <v>10</v>
      </c>
      <c r="M2803" s="134">
        <v>1457000</v>
      </c>
      <c r="N2803" s="134">
        <v>2983200</v>
      </c>
      <c r="O2803" t="s">
        <v>764</v>
      </c>
      <c r="P2803" t="s">
        <v>3580</v>
      </c>
      <c r="Q2803" t="s">
        <v>1612</v>
      </c>
      <c r="R2803" t="s">
        <v>3597</v>
      </c>
      <c r="U2803" t="s">
        <v>491</v>
      </c>
      <c r="X2803">
        <v>0</v>
      </c>
    </row>
    <row r="2804" spans="1:24" x14ac:dyDescent="0.25">
      <c r="A2804" s="234">
        <v>43440</v>
      </c>
      <c r="B2804" t="s">
        <v>328</v>
      </c>
      <c r="C2804" t="s">
        <v>603</v>
      </c>
      <c r="D2804" t="s">
        <v>1401</v>
      </c>
      <c r="F2804" t="s">
        <v>13525</v>
      </c>
      <c r="G2804" t="s">
        <v>7714</v>
      </c>
      <c r="H2804" t="s">
        <v>10831</v>
      </c>
      <c r="I2804" t="s">
        <v>3649</v>
      </c>
      <c r="J2804" t="s">
        <v>899</v>
      </c>
      <c r="K2804" t="s">
        <v>13526</v>
      </c>
      <c r="L2804">
        <v>2</v>
      </c>
      <c r="M2804" s="134">
        <v>1460000</v>
      </c>
      <c r="N2804" s="134">
        <v>3139000</v>
      </c>
      <c r="O2804" t="s">
        <v>560</v>
      </c>
      <c r="P2804" t="s">
        <v>13527</v>
      </c>
      <c r="Q2804" t="s">
        <v>29</v>
      </c>
      <c r="R2804" t="s">
        <v>13528</v>
      </c>
      <c r="U2804" t="s">
        <v>491</v>
      </c>
      <c r="X2804">
        <v>1</v>
      </c>
    </row>
    <row r="2805" spans="1:24" x14ac:dyDescent="0.25">
      <c r="A2805" s="234">
        <v>42899</v>
      </c>
      <c r="B2805" t="s">
        <v>5956</v>
      </c>
      <c r="C2805" t="s">
        <v>3369</v>
      </c>
      <c r="D2805" t="s">
        <v>7172</v>
      </c>
      <c r="E2805" t="s">
        <v>588</v>
      </c>
      <c r="F2805" t="s">
        <v>7173</v>
      </c>
      <c r="H2805" t="s">
        <v>905</v>
      </c>
      <c r="I2805" t="s">
        <v>7174</v>
      </c>
      <c r="J2805" t="s">
        <v>3369</v>
      </c>
      <c r="M2805" s="134">
        <v>1461000</v>
      </c>
      <c r="N2805" s="134">
        <v>1461000</v>
      </c>
      <c r="O2805" t="s">
        <v>35</v>
      </c>
      <c r="P2805" t="s">
        <v>7175</v>
      </c>
      <c r="Q2805" t="s">
        <v>1939</v>
      </c>
      <c r="R2805" t="s">
        <v>7176</v>
      </c>
      <c r="U2805" t="s">
        <v>491</v>
      </c>
      <c r="X2805">
        <v>0</v>
      </c>
    </row>
    <row r="2806" spans="1:24" x14ac:dyDescent="0.25">
      <c r="A2806" s="234">
        <v>42495</v>
      </c>
      <c r="B2806" t="s">
        <v>328</v>
      </c>
      <c r="C2806" t="s">
        <v>603</v>
      </c>
      <c r="D2806" t="s">
        <v>1401</v>
      </c>
      <c r="E2806" t="s">
        <v>588</v>
      </c>
      <c r="F2806" t="s">
        <v>1953</v>
      </c>
      <c r="H2806" t="s">
        <v>607</v>
      </c>
      <c r="I2806" t="s">
        <v>1954</v>
      </c>
      <c r="M2806" s="134">
        <v>1465000</v>
      </c>
      <c r="N2806" s="134">
        <v>3053500</v>
      </c>
      <c r="O2806" t="s">
        <v>891</v>
      </c>
      <c r="P2806" t="s">
        <v>2359</v>
      </c>
      <c r="Q2806" t="s">
        <v>1939</v>
      </c>
      <c r="R2806" t="s">
        <v>1955</v>
      </c>
      <c r="U2806" t="s">
        <v>491</v>
      </c>
      <c r="X2806">
        <v>0</v>
      </c>
    </row>
    <row r="2807" spans="1:24" x14ac:dyDescent="0.25">
      <c r="A2807" s="234">
        <v>42383</v>
      </c>
      <c r="B2807" t="s">
        <v>378</v>
      </c>
      <c r="C2807" t="s">
        <v>610</v>
      </c>
      <c r="D2807" t="s">
        <v>732</v>
      </c>
      <c r="E2807" t="s">
        <v>588</v>
      </c>
      <c r="F2807" t="s">
        <v>733</v>
      </c>
      <c r="H2807" t="s">
        <v>607</v>
      </c>
      <c r="I2807" t="s">
        <v>734</v>
      </c>
      <c r="M2807" s="134">
        <v>1468000</v>
      </c>
      <c r="N2807" s="134">
        <v>2208400</v>
      </c>
      <c r="O2807" t="s">
        <v>735</v>
      </c>
      <c r="P2807" t="s">
        <v>736</v>
      </c>
      <c r="Q2807" t="s">
        <v>592</v>
      </c>
      <c r="R2807" t="s">
        <v>737</v>
      </c>
      <c r="U2807" t="s">
        <v>491</v>
      </c>
      <c r="X2807">
        <v>0</v>
      </c>
    </row>
    <row r="2808" spans="1:24" x14ac:dyDescent="0.25">
      <c r="A2808" s="234">
        <v>42598</v>
      </c>
      <c r="B2808" t="s">
        <v>378</v>
      </c>
      <c r="C2808" t="s">
        <v>623</v>
      </c>
      <c r="D2808" t="s">
        <v>625</v>
      </c>
      <c r="E2808" t="s">
        <v>588</v>
      </c>
      <c r="F2808" t="s">
        <v>3447</v>
      </c>
      <c r="H2808" t="s">
        <v>1050</v>
      </c>
      <c r="I2808" t="s">
        <v>3448</v>
      </c>
      <c r="J2808" t="s">
        <v>899</v>
      </c>
      <c r="L2808">
        <v>3</v>
      </c>
      <c r="M2808" s="134">
        <v>1470000</v>
      </c>
      <c r="N2808" s="134">
        <v>1470000</v>
      </c>
      <c r="O2808" t="s">
        <v>2121</v>
      </c>
      <c r="P2808" t="s">
        <v>3449</v>
      </c>
      <c r="Q2808" t="s">
        <v>29</v>
      </c>
      <c r="R2808" t="s">
        <v>3450</v>
      </c>
      <c r="U2808" t="s">
        <v>491</v>
      </c>
      <c r="X2808">
        <v>1</v>
      </c>
    </row>
    <row r="2809" spans="1:24" x14ac:dyDescent="0.25">
      <c r="A2809" s="234">
        <v>42783</v>
      </c>
      <c r="B2809" t="s">
        <v>569</v>
      </c>
      <c r="D2809" t="s">
        <v>625</v>
      </c>
      <c r="E2809" t="s">
        <v>588</v>
      </c>
      <c r="F2809" t="s">
        <v>5718</v>
      </c>
      <c r="H2809" t="s">
        <v>607</v>
      </c>
      <c r="I2809" t="s">
        <v>3649</v>
      </c>
      <c r="J2809" t="s">
        <v>899</v>
      </c>
      <c r="L2809">
        <v>3</v>
      </c>
      <c r="M2809" s="134">
        <v>1474000</v>
      </c>
      <c r="N2809" s="134">
        <v>2574000</v>
      </c>
      <c r="O2809" t="s">
        <v>35</v>
      </c>
      <c r="P2809" t="s">
        <v>5719</v>
      </c>
      <c r="Q2809" t="s">
        <v>620</v>
      </c>
      <c r="R2809" t="s">
        <v>5720</v>
      </c>
      <c r="U2809" t="s">
        <v>491</v>
      </c>
      <c r="X2809">
        <v>0</v>
      </c>
    </row>
    <row r="2810" spans="1:24" x14ac:dyDescent="0.25">
      <c r="A2810" s="234">
        <v>43474</v>
      </c>
      <c r="B2810" t="s">
        <v>569</v>
      </c>
      <c r="C2810" t="s">
        <v>899</v>
      </c>
      <c r="D2810" t="s">
        <v>11286</v>
      </c>
      <c r="F2810" t="s">
        <v>13875</v>
      </c>
      <c r="G2810" t="s">
        <v>13876</v>
      </c>
      <c r="H2810" t="s">
        <v>607</v>
      </c>
      <c r="I2810" t="s">
        <v>9831</v>
      </c>
      <c r="J2810" t="s">
        <v>899</v>
      </c>
      <c r="K2810" t="s">
        <v>13877</v>
      </c>
      <c r="L2810">
        <v>2</v>
      </c>
      <c r="M2810" s="134">
        <v>1477000</v>
      </c>
      <c r="N2810" s="134">
        <v>2658600</v>
      </c>
      <c r="O2810" t="s">
        <v>10766</v>
      </c>
      <c r="P2810" t="s">
        <v>13878</v>
      </c>
      <c r="Q2810" t="s">
        <v>29</v>
      </c>
      <c r="R2810" t="s">
        <v>13879</v>
      </c>
      <c r="U2810" t="s">
        <v>491</v>
      </c>
      <c r="X2810">
        <v>1</v>
      </c>
    </row>
    <row r="2811" spans="1:24" x14ac:dyDescent="0.25">
      <c r="A2811" s="234">
        <v>42599</v>
      </c>
      <c r="B2811" t="s">
        <v>328</v>
      </c>
      <c r="C2811" t="s">
        <v>603</v>
      </c>
      <c r="D2811" t="s">
        <v>1401</v>
      </c>
      <c r="E2811" t="s">
        <v>588</v>
      </c>
      <c r="F2811" t="s">
        <v>3461</v>
      </c>
      <c r="H2811" t="s">
        <v>607</v>
      </c>
      <c r="I2811" t="s">
        <v>3462</v>
      </c>
      <c r="J2811" t="s">
        <v>899</v>
      </c>
      <c r="L2811">
        <v>5</v>
      </c>
      <c r="M2811" s="134">
        <v>1477000</v>
      </c>
      <c r="N2811" s="134">
        <v>3175550</v>
      </c>
      <c r="O2811" t="s">
        <v>2545</v>
      </c>
      <c r="P2811" t="s">
        <v>3464</v>
      </c>
      <c r="Q2811" t="s">
        <v>1939</v>
      </c>
      <c r="R2811" t="s">
        <v>3463</v>
      </c>
      <c r="U2811" t="s">
        <v>491</v>
      </c>
      <c r="X2811">
        <v>0</v>
      </c>
    </row>
    <row r="2812" spans="1:24" x14ac:dyDescent="0.25">
      <c r="A2812" s="234">
        <v>42506</v>
      </c>
      <c r="B2812" t="s">
        <v>1486</v>
      </c>
      <c r="C2812" t="s">
        <v>1883</v>
      </c>
      <c r="D2812" t="s">
        <v>727</v>
      </c>
      <c r="E2812" t="s">
        <v>588</v>
      </c>
      <c r="F2812" t="s">
        <v>2115</v>
      </c>
      <c r="H2812" t="s">
        <v>722</v>
      </c>
      <c r="I2812" t="s">
        <v>2116</v>
      </c>
      <c r="M2812" s="134">
        <v>1479000</v>
      </c>
      <c r="N2812" s="134">
        <v>2366400</v>
      </c>
      <c r="O2812" t="s">
        <v>2117</v>
      </c>
      <c r="P2812" t="s">
        <v>2118</v>
      </c>
      <c r="Q2812" t="s">
        <v>592</v>
      </c>
      <c r="R2812" t="s">
        <v>2119</v>
      </c>
      <c r="U2812" t="s">
        <v>491</v>
      </c>
      <c r="X2812">
        <v>0</v>
      </c>
    </row>
    <row r="2813" spans="1:24" x14ac:dyDescent="0.25">
      <c r="A2813" s="234">
        <v>43370</v>
      </c>
      <c r="B2813" t="s">
        <v>328</v>
      </c>
      <c r="C2813" t="s">
        <v>603</v>
      </c>
      <c r="D2813" t="s">
        <v>7595</v>
      </c>
      <c r="E2813" t="s">
        <v>588</v>
      </c>
      <c r="F2813" t="s">
        <v>12756</v>
      </c>
      <c r="G2813" t="s">
        <v>7814</v>
      </c>
      <c r="H2813" t="s">
        <v>886</v>
      </c>
      <c r="I2813" t="s">
        <v>6656</v>
      </c>
      <c r="J2813" t="s">
        <v>6657</v>
      </c>
      <c r="L2813">
        <v>4</v>
      </c>
      <c r="M2813" s="134">
        <v>1487130</v>
      </c>
      <c r="N2813" s="134">
        <v>2528120</v>
      </c>
      <c r="O2813" t="s">
        <v>10766</v>
      </c>
      <c r="P2813" t="s">
        <v>12757</v>
      </c>
      <c r="Q2813" t="s">
        <v>592</v>
      </c>
      <c r="R2813" t="s">
        <v>12758</v>
      </c>
      <c r="U2813" t="s">
        <v>12344</v>
      </c>
      <c r="X2813">
        <v>0</v>
      </c>
    </row>
    <row r="2814" spans="1:24" x14ac:dyDescent="0.25">
      <c r="A2814" s="234">
        <v>42711</v>
      </c>
      <c r="B2814" t="s">
        <v>328</v>
      </c>
      <c r="C2814" t="s">
        <v>603</v>
      </c>
      <c r="D2814" t="s">
        <v>2397</v>
      </c>
      <c r="E2814" t="s">
        <v>588</v>
      </c>
      <c r="F2814" t="s">
        <v>4941</v>
      </c>
      <c r="H2814" t="s">
        <v>2074</v>
      </c>
      <c r="I2814" t="s">
        <v>4942</v>
      </c>
      <c r="J2814" t="s">
        <v>3373</v>
      </c>
      <c r="L2814">
        <v>9</v>
      </c>
      <c r="M2814" s="134">
        <v>1487498</v>
      </c>
      <c r="N2814" s="134">
        <v>3049371</v>
      </c>
      <c r="O2814" t="s">
        <v>4943</v>
      </c>
      <c r="P2814" t="s">
        <v>4944</v>
      </c>
      <c r="Q2814" t="s">
        <v>1939</v>
      </c>
      <c r="R2814" t="s">
        <v>4945</v>
      </c>
      <c r="U2814" t="s">
        <v>491</v>
      </c>
      <c r="X2814">
        <v>0</v>
      </c>
    </row>
    <row r="2815" spans="1:24" x14ac:dyDescent="0.25">
      <c r="A2815" s="234">
        <v>42584</v>
      </c>
      <c r="B2815" t="s">
        <v>328</v>
      </c>
      <c r="C2815" t="s">
        <v>603</v>
      </c>
      <c r="D2815" t="s">
        <v>1471</v>
      </c>
      <c r="E2815" t="s">
        <v>588</v>
      </c>
      <c r="F2815" t="s">
        <v>3184</v>
      </c>
      <c r="H2815" t="s">
        <v>607</v>
      </c>
      <c r="I2815" t="s">
        <v>2062</v>
      </c>
      <c r="J2815" t="s">
        <v>644</v>
      </c>
      <c r="L2815">
        <v>10</v>
      </c>
      <c r="M2815" s="134">
        <v>1489300</v>
      </c>
      <c r="N2815" s="134">
        <v>2245930</v>
      </c>
      <c r="O2815" t="s">
        <v>3031</v>
      </c>
      <c r="P2815" t="s">
        <v>3185</v>
      </c>
      <c r="Q2815" t="s">
        <v>29</v>
      </c>
      <c r="R2815" t="s">
        <v>3186</v>
      </c>
      <c r="U2815" t="s">
        <v>491</v>
      </c>
      <c r="X2815">
        <v>1</v>
      </c>
    </row>
    <row r="2816" spans="1:24" x14ac:dyDescent="0.25">
      <c r="A2816" s="234">
        <v>43425</v>
      </c>
      <c r="B2816" t="s">
        <v>328</v>
      </c>
      <c r="C2816" t="s">
        <v>603</v>
      </c>
      <c r="D2816" t="s">
        <v>10338</v>
      </c>
      <c r="F2816" t="s">
        <v>13247</v>
      </c>
      <c r="G2816" t="s">
        <v>8533</v>
      </c>
      <c r="H2816" t="s">
        <v>607</v>
      </c>
      <c r="I2816" t="s">
        <v>2054</v>
      </c>
      <c r="J2816" t="s">
        <v>899</v>
      </c>
      <c r="K2816" t="s">
        <v>13248</v>
      </c>
      <c r="L2816">
        <v>1</v>
      </c>
      <c r="M2816" s="134">
        <v>1490000</v>
      </c>
      <c r="N2816" s="134">
        <v>2533000</v>
      </c>
      <c r="O2816" t="s">
        <v>7564</v>
      </c>
      <c r="P2816" t="s">
        <v>13249</v>
      </c>
      <c r="Q2816" t="s">
        <v>1939</v>
      </c>
      <c r="R2816" t="s">
        <v>13250</v>
      </c>
      <c r="U2816" t="s">
        <v>491</v>
      </c>
      <c r="X2816">
        <v>0</v>
      </c>
    </row>
    <row r="2817" spans="1:24" x14ac:dyDescent="0.25">
      <c r="A2817" s="234">
        <v>43187</v>
      </c>
      <c r="B2817" t="s">
        <v>9240</v>
      </c>
      <c r="C2817" t="s">
        <v>603</v>
      </c>
      <c r="D2817" t="s">
        <v>7814</v>
      </c>
      <c r="E2817" t="s">
        <v>588</v>
      </c>
      <c r="F2817" t="s">
        <v>10712</v>
      </c>
      <c r="G2817" t="s">
        <v>2500</v>
      </c>
      <c r="H2817" t="s">
        <v>10831</v>
      </c>
      <c r="I2817" t="s">
        <v>10713</v>
      </c>
      <c r="J2817" t="s">
        <v>3612</v>
      </c>
      <c r="L2817">
        <v>9</v>
      </c>
      <c r="M2817" s="134">
        <v>1500000</v>
      </c>
      <c r="N2817" s="134">
        <v>0</v>
      </c>
      <c r="O2817" t="s">
        <v>4533</v>
      </c>
      <c r="P2817" t="s">
        <v>10714</v>
      </c>
      <c r="Q2817" t="s">
        <v>1939</v>
      </c>
      <c r="R2817" t="s">
        <v>10849</v>
      </c>
      <c r="U2817" t="s">
        <v>1327</v>
      </c>
      <c r="X2817">
        <v>0</v>
      </c>
    </row>
    <row r="2818" spans="1:24" x14ac:dyDescent="0.25">
      <c r="A2818" s="234">
        <v>43187</v>
      </c>
      <c r="B2818" t="s">
        <v>569</v>
      </c>
      <c r="C2818" t="s">
        <v>899</v>
      </c>
      <c r="D2818" t="s">
        <v>625</v>
      </c>
      <c r="E2818" t="s">
        <v>821</v>
      </c>
      <c r="F2818" t="s">
        <v>10717</v>
      </c>
      <c r="H2818" t="s">
        <v>1050</v>
      </c>
      <c r="I2818" t="s">
        <v>3672</v>
      </c>
      <c r="J2818" t="s">
        <v>899</v>
      </c>
      <c r="L2818" t="s">
        <v>833</v>
      </c>
      <c r="M2818" s="134">
        <v>1500000</v>
      </c>
      <c r="N2818" s="134">
        <v>0</v>
      </c>
      <c r="O2818" t="s">
        <v>2295</v>
      </c>
      <c r="P2818" t="s">
        <v>10718</v>
      </c>
      <c r="Q2818" t="s">
        <v>1939</v>
      </c>
      <c r="R2818" t="s">
        <v>10719</v>
      </c>
      <c r="S2818" t="s">
        <v>10728</v>
      </c>
      <c r="U2818" t="s">
        <v>491</v>
      </c>
      <c r="X2818">
        <v>0</v>
      </c>
    </row>
    <row r="2819" spans="1:24" x14ac:dyDescent="0.25">
      <c r="A2819" s="234">
        <v>43245</v>
      </c>
      <c r="B2819" t="s">
        <v>5360</v>
      </c>
      <c r="C2819" t="s">
        <v>899</v>
      </c>
      <c r="D2819" t="s">
        <v>625</v>
      </c>
      <c r="E2819" t="s">
        <v>2200</v>
      </c>
      <c r="F2819" t="s">
        <v>11298</v>
      </c>
      <c r="G2819" t="s">
        <v>11299</v>
      </c>
      <c r="H2819" t="s">
        <v>886</v>
      </c>
      <c r="I2819" t="s">
        <v>3672</v>
      </c>
      <c r="J2819" t="s">
        <v>899</v>
      </c>
      <c r="M2819" s="134">
        <v>1500000</v>
      </c>
      <c r="N2819" s="134">
        <v>0</v>
      </c>
      <c r="O2819" t="s">
        <v>10763</v>
      </c>
      <c r="P2819" t="s">
        <v>11300</v>
      </c>
      <c r="Q2819" t="s">
        <v>29</v>
      </c>
      <c r="R2819" t="s">
        <v>11405</v>
      </c>
      <c r="U2819" t="s">
        <v>633</v>
      </c>
      <c r="X2819">
        <v>1</v>
      </c>
    </row>
    <row r="2820" spans="1:24" x14ac:dyDescent="0.25">
      <c r="A2820" s="234">
        <v>42914</v>
      </c>
      <c r="B2820" t="s">
        <v>5176</v>
      </c>
      <c r="D2820" t="s">
        <v>595</v>
      </c>
      <c r="E2820" t="s">
        <v>588</v>
      </c>
      <c r="F2820" t="s">
        <v>7409</v>
      </c>
      <c r="H2820" t="s">
        <v>886</v>
      </c>
      <c r="I2820" t="s">
        <v>7410</v>
      </c>
      <c r="J2820" t="s">
        <v>3733</v>
      </c>
      <c r="M2820" s="134">
        <v>1500000</v>
      </c>
      <c r="N2820" s="134">
        <v>0</v>
      </c>
      <c r="O2820" t="s">
        <v>5926</v>
      </c>
      <c r="P2820" t="s">
        <v>7411</v>
      </c>
      <c r="Q2820" t="s">
        <v>1612</v>
      </c>
      <c r="R2820" t="s">
        <v>7412</v>
      </c>
      <c r="U2820" t="s">
        <v>491</v>
      </c>
      <c r="X2820">
        <v>0</v>
      </c>
    </row>
    <row r="2821" spans="1:24" x14ac:dyDescent="0.25">
      <c r="A2821" s="234">
        <v>42978</v>
      </c>
      <c r="B2821" t="s">
        <v>569</v>
      </c>
      <c r="C2821" t="s">
        <v>899</v>
      </c>
      <c r="D2821" t="s">
        <v>930</v>
      </c>
      <c r="E2821" t="s">
        <v>821</v>
      </c>
      <c r="F2821" t="s">
        <v>8379</v>
      </c>
      <c r="H2821" t="s">
        <v>1391</v>
      </c>
      <c r="M2821" s="134">
        <v>1500000</v>
      </c>
      <c r="N2821" s="134">
        <v>0</v>
      </c>
      <c r="O2821" t="s">
        <v>639</v>
      </c>
      <c r="P2821" t="s">
        <v>8380</v>
      </c>
      <c r="Q2821" t="s">
        <v>1939</v>
      </c>
      <c r="R2821" t="s">
        <v>8381</v>
      </c>
      <c r="T2821">
        <v>8</v>
      </c>
      <c r="U2821" t="s">
        <v>491</v>
      </c>
      <c r="X2821">
        <v>0</v>
      </c>
    </row>
    <row r="2822" spans="1:24" x14ac:dyDescent="0.25">
      <c r="A2822" s="234">
        <v>43034</v>
      </c>
      <c r="B2822" t="s">
        <v>569</v>
      </c>
      <c r="C2822" t="s">
        <v>899</v>
      </c>
      <c r="D2822" t="s">
        <v>625</v>
      </c>
      <c r="E2822" t="s">
        <v>588</v>
      </c>
      <c r="F2822" t="s">
        <v>8966</v>
      </c>
      <c r="H2822" t="s">
        <v>607</v>
      </c>
      <c r="I2822" t="s">
        <v>3388</v>
      </c>
      <c r="J2822" t="s">
        <v>899</v>
      </c>
      <c r="M2822" s="134">
        <v>1500000</v>
      </c>
      <c r="N2822" s="134">
        <v>0</v>
      </c>
      <c r="O2822" t="s">
        <v>9088</v>
      </c>
      <c r="P2822" t="s">
        <v>9168</v>
      </c>
      <c r="Q2822" t="s">
        <v>1939</v>
      </c>
      <c r="R2822" t="s">
        <v>9169</v>
      </c>
      <c r="U2822" t="s">
        <v>491</v>
      </c>
      <c r="X2822">
        <v>0</v>
      </c>
    </row>
    <row r="2823" spans="1:24" x14ac:dyDescent="0.25">
      <c r="A2823" s="234">
        <v>42480</v>
      </c>
      <c r="B2823" t="s">
        <v>378</v>
      </c>
      <c r="C2823" t="s">
        <v>623</v>
      </c>
      <c r="D2823" t="s">
        <v>930</v>
      </c>
      <c r="E2823" t="s">
        <v>821</v>
      </c>
      <c r="H2823" t="s">
        <v>809</v>
      </c>
      <c r="I2823" t="s">
        <v>1324</v>
      </c>
      <c r="M2823" s="134">
        <v>1500000</v>
      </c>
      <c r="N2823" s="134">
        <v>0</v>
      </c>
      <c r="O2823" t="s">
        <v>1753</v>
      </c>
      <c r="P2823" t="s">
        <v>1754</v>
      </c>
      <c r="Q2823" t="s">
        <v>592</v>
      </c>
      <c r="R2823" t="s">
        <v>1755</v>
      </c>
      <c r="U2823" t="s">
        <v>491</v>
      </c>
      <c r="X2823">
        <v>0</v>
      </c>
    </row>
    <row r="2824" spans="1:24" x14ac:dyDescent="0.25">
      <c r="A2824" s="234">
        <v>42614</v>
      </c>
      <c r="B2824" t="s">
        <v>378</v>
      </c>
      <c r="C2824" t="s">
        <v>623</v>
      </c>
      <c r="D2824" t="s">
        <v>930</v>
      </c>
      <c r="E2824" t="s">
        <v>821</v>
      </c>
      <c r="F2824" t="s">
        <v>3737</v>
      </c>
      <c r="H2824" t="s">
        <v>607</v>
      </c>
      <c r="I2824" t="s">
        <v>3388</v>
      </c>
      <c r="J2824" t="s">
        <v>899</v>
      </c>
      <c r="M2824" s="134">
        <v>1500000</v>
      </c>
      <c r="N2824" s="134">
        <v>0</v>
      </c>
      <c r="O2824" t="s">
        <v>3738</v>
      </c>
      <c r="P2824" t="s">
        <v>3739</v>
      </c>
      <c r="Q2824" t="s">
        <v>592</v>
      </c>
      <c r="R2824" t="s">
        <v>3740</v>
      </c>
      <c r="U2824" t="s">
        <v>491</v>
      </c>
      <c r="X2824">
        <v>0</v>
      </c>
    </row>
    <row r="2825" spans="1:24" x14ac:dyDescent="0.25">
      <c r="A2825" s="234">
        <v>43007</v>
      </c>
      <c r="B2825" t="s">
        <v>328</v>
      </c>
      <c r="C2825" t="s">
        <v>603</v>
      </c>
      <c r="D2825" t="s">
        <v>649</v>
      </c>
      <c r="E2825" t="s">
        <v>588</v>
      </c>
      <c r="F2825" t="s">
        <v>8805</v>
      </c>
      <c r="G2825" t="s">
        <v>7855</v>
      </c>
      <c r="H2825" t="s">
        <v>886</v>
      </c>
      <c r="I2825" t="s">
        <v>8806</v>
      </c>
      <c r="J2825" t="s">
        <v>3373</v>
      </c>
      <c r="L2825">
        <v>4</v>
      </c>
      <c r="M2825" s="134">
        <v>1500000</v>
      </c>
      <c r="N2825" s="134">
        <v>1500000</v>
      </c>
      <c r="O2825" t="s">
        <v>1171</v>
      </c>
      <c r="P2825" t="s">
        <v>8807</v>
      </c>
      <c r="Q2825" t="s">
        <v>29</v>
      </c>
      <c r="R2825" t="s">
        <v>8818</v>
      </c>
      <c r="T2825">
        <v>29</v>
      </c>
      <c r="U2825" t="s">
        <v>491</v>
      </c>
      <c r="X2825">
        <v>1</v>
      </c>
    </row>
    <row r="2826" spans="1:24" x14ac:dyDescent="0.25">
      <c r="A2826" s="234">
        <v>42454</v>
      </c>
      <c r="B2826" t="s">
        <v>378</v>
      </c>
      <c r="C2826" t="s">
        <v>610</v>
      </c>
      <c r="D2826" t="s">
        <v>1027</v>
      </c>
      <c r="E2826" t="s">
        <v>588</v>
      </c>
      <c r="F2826" t="s">
        <v>1412</v>
      </c>
      <c r="H2826" t="s">
        <v>1050</v>
      </c>
      <c r="I2826" t="s">
        <v>1413</v>
      </c>
      <c r="M2826" s="134">
        <v>1500000</v>
      </c>
      <c r="N2826" s="134">
        <v>1500000</v>
      </c>
      <c r="O2826" t="s">
        <v>1414</v>
      </c>
      <c r="P2826" t="s">
        <v>1415</v>
      </c>
      <c r="Q2826" t="s">
        <v>29</v>
      </c>
      <c r="R2826" t="s">
        <v>1416</v>
      </c>
      <c r="U2826" t="s">
        <v>491</v>
      </c>
      <c r="X2826">
        <v>1</v>
      </c>
    </row>
    <row r="2827" spans="1:24" x14ac:dyDescent="0.25">
      <c r="A2827" s="234">
        <v>42493</v>
      </c>
      <c r="B2827" t="s">
        <v>378</v>
      </c>
      <c r="C2827" t="s">
        <v>623</v>
      </c>
      <c r="D2827" t="s">
        <v>930</v>
      </c>
      <c r="E2827" t="s">
        <v>588</v>
      </c>
      <c r="F2827" t="s">
        <v>1933</v>
      </c>
      <c r="H2827" t="s">
        <v>886</v>
      </c>
      <c r="I2827" t="s">
        <v>1934</v>
      </c>
      <c r="M2827" s="134">
        <v>1500000</v>
      </c>
      <c r="N2827" s="134">
        <v>1500000</v>
      </c>
      <c r="O2827" t="s">
        <v>1935</v>
      </c>
      <c r="P2827" t="s">
        <v>1937</v>
      </c>
      <c r="Q2827" t="s">
        <v>592</v>
      </c>
      <c r="R2827" t="s">
        <v>1936</v>
      </c>
      <c r="U2827" t="s">
        <v>491</v>
      </c>
      <c r="X2827">
        <v>0</v>
      </c>
    </row>
    <row r="2828" spans="1:24" x14ac:dyDescent="0.25">
      <c r="A2828" s="234">
        <v>42689</v>
      </c>
      <c r="B2828" t="s">
        <v>378</v>
      </c>
      <c r="C2828" t="s">
        <v>623</v>
      </c>
      <c r="D2828" t="s">
        <v>930</v>
      </c>
      <c r="E2828" t="s">
        <v>821</v>
      </c>
      <c r="F2828" t="s">
        <v>351</v>
      </c>
      <c r="H2828" t="s">
        <v>886</v>
      </c>
      <c r="I2828" t="s">
        <v>3462</v>
      </c>
      <c r="J2828" t="s">
        <v>899</v>
      </c>
      <c r="L2828">
        <v>4</v>
      </c>
      <c r="M2828" s="134">
        <v>1500000</v>
      </c>
      <c r="N2828" s="134">
        <v>1500000</v>
      </c>
      <c r="O2828" t="s">
        <v>2121</v>
      </c>
      <c r="P2828" t="s">
        <v>4702</v>
      </c>
      <c r="Q2828" t="s">
        <v>592</v>
      </c>
      <c r="U2828" t="s">
        <v>491</v>
      </c>
      <c r="X2828">
        <v>0</v>
      </c>
    </row>
    <row r="2829" spans="1:24" x14ac:dyDescent="0.25">
      <c r="A2829" s="234">
        <v>42769</v>
      </c>
      <c r="B2829" t="s">
        <v>328</v>
      </c>
      <c r="C2829" t="s">
        <v>603</v>
      </c>
      <c r="D2829" t="s">
        <v>2397</v>
      </c>
      <c r="E2829" t="s">
        <v>588</v>
      </c>
      <c r="F2829" t="s">
        <v>5615</v>
      </c>
      <c r="H2829" t="s">
        <v>1391</v>
      </c>
      <c r="I2829" t="s">
        <v>5616</v>
      </c>
      <c r="J2829" t="s">
        <v>899</v>
      </c>
      <c r="L2829">
        <v>10</v>
      </c>
      <c r="M2829" s="134">
        <v>1500000</v>
      </c>
      <c r="N2829" s="134">
        <v>1510000</v>
      </c>
      <c r="O2829" t="s">
        <v>5617</v>
      </c>
      <c r="P2829" t="s">
        <v>5618</v>
      </c>
      <c r="Q2829" t="s">
        <v>1939</v>
      </c>
      <c r="R2829" t="s">
        <v>6297</v>
      </c>
      <c r="U2829" t="s">
        <v>491</v>
      </c>
      <c r="X2829">
        <v>0</v>
      </c>
    </row>
    <row r="2830" spans="1:24" x14ac:dyDescent="0.25">
      <c r="A2830" s="234">
        <v>43136</v>
      </c>
      <c r="B2830" t="s">
        <v>328</v>
      </c>
      <c r="C2830" t="s">
        <v>603</v>
      </c>
      <c r="D2830" t="s">
        <v>757</v>
      </c>
      <c r="E2830" t="s">
        <v>588</v>
      </c>
      <c r="F2830" t="s">
        <v>10276</v>
      </c>
      <c r="G2830" t="s">
        <v>10277</v>
      </c>
      <c r="H2830" t="s">
        <v>1050</v>
      </c>
      <c r="I2830" t="s">
        <v>4754</v>
      </c>
      <c r="J2830" t="s">
        <v>899</v>
      </c>
      <c r="L2830">
        <v>4</v>
      </c>
      <c r="M2830" s="134">
        <v>1500000</v>
      </c>
      <c r="N2830" s="134">
        <v>1550000</v>
      </c>
      <c r="O2830" t="s">
        <v>49</v>
      </c>
      <c r="P2830" t="s">
        <v>10279</v>
      </c>
      <c r="Q2830" t="s">
        <v>1939</v>
      </c>
      <c r="R2830" t="s">
        <v>10278</v>
      </c>
      <c r="U2830" t="s">
        <v>1327</v>
      </c>
      <c r="X2830">
        <v>0</v>
      </c>
    </row>
    <row r="2831" spans="1:24" x14ac:dyDescent="0.25">
      <c r="A2831" s="234">
        <v>42769</v>
      </c>
      <c r="B2831" t="s">
        <v>328</v>
      </c>
      <c r="C2831" t="s">
        <v>603</v>
      </c>
      <c r="D2831" t="s">
        <v>2397</v>
      </c>
      <c r="E2831" t="s">
        <v>588</v>
      </c>
      <c r="F2831" t="s">
        <v>916</v>
      </c>
      <c r="H2831" t="s">
        <v>722</v>
      </c>
      <c r="I2831" t="s">
        <v>3635</v>
      </c>
      <c r="J2831" t="s">
        <v>899</v>
      </c>
      <c r="L2831">
        <v>9</v>
      </c>
      <c r="M2831" s="134">
        <v>1500000</v>
      </c>
      <c r="N2831" s="134">
        <v>1600000</v>
      </c>
      <c r="O2831" t="s">
        <v>560</v>
      </c>
      <c r="P2831" t="s">
        <v>5602</v>
      </c>
      <c r="Q2831" t="s">
        <v>592</v>
      </c>
      <c r="R2831" t="s">
        <v>5603</v>
      </c>
      <c r="U2831" t="s">
        <v>491</v>
      </c>
      <c r="X2831">
        <v>0</v>
      </c>
    </row>
    <row r="2832" spans="1:24" x14ac:dyDescent="0.25">
      <c r="A2832" s="234">
        <v>42403</v>
      </c>
      <c r="B2832" t="s">
        <v>328</v>
      </c>
      <c r="C2832" t="s">
        <v>603</v>
      </c>
      <c r="D2832" t="s">
        <v>757</v>
      </c>
      <c r="E2832" t="s">
        <v>588</v>
      </c>
      <c r="F2832" t="s">
        <v>916</v>
      </c>
      <c r="H2832" t="s">
        <v>722</v>
      </c>
      <c r="I2832" t="s">
        <v>917</v>
      </c>
      <c r="M2832" s="134">
        <v>1500000</v>
      </c>
      <c r="N2832" s="134">
        <v>1600000</v>
      </c>
      <c r="O2832" t="s">
        <v>907</v>
      </c>
      <c r="P2832" t="s">
        <v>918</v>
      </c>
      <c r="Q2832" t="s">
        <v>592</v>
      </c>
      <c r="R2832" t="s">
        <v>919</v>
      </c>
      <c r="U2832" t="s">
        <v>491</v>
      </c>
      <c r="X2832">
        <v>0</v>
      </c>
    </row>
    <row r="2833" spans="1:24" x14ac:dyDescent="0.25">
      <c r="A2833" s="234">
        <v>42741</v>
      </c>
      <c r="B2833" t="s">
        <v>643</v>
      </c>
      <c r="C2833" t="s">
        <v>644</v>
      </c>
      <c r="D2833" t="s">
        <v>645</v>
      </c>
      <c r="E2833" t="s">
        <v>588</v>
      </c>
      <c r="F2833" t="s">
        <v>5211</v>
      </c>
      <c r="H2833" t="s">
        <v>742</v>
      </c>
      <c r="I2833" t="s">
        <v>5212</v>
      </c>
      <c r="J2833" t="s">
        <v>644</v>
      </c>
      <c r="L2833">
        <v>2</v>
      </c>
      <c r="M2833" s="134">
        <v>1500000</v>
      </c>
      <c r="N2833" s="134">
        <v>1620000</v>
      </c>
      <c r="O2833" t="s">
        <v>5213</v>
      </c>
      <c r="P2833" t="s">
        <v>5214</v>
      </c>
      <c r="Q2833" t="s">
        <v>1939</v>
      </c>
      <c r="R2833" t="s">
        <v>5215</v>
      </c>
      <c r="S2833" t="s">
        <v>5216</v>
      </c>
      <c r="U2833" t="s">
        <v>491</v>
      </c>
      <c r="X2833">
        <v>0</v>
      </c>
    </row>
    <row r="2834" spans="1:24" x14ac:dyDescent="0.25">
      <c r="A2834" s="234">
        <v>42809</v>
      </c>
      <c r="B2834" t="s">
        <v>569</v>
      </c>
      <c r="D2834" t="s">
        <v>930</v>
      </c>
      <c r="E2834" t="s">
        <v>588</v>
      </c>
      <c r="H2834" t="s">
        <v>886</v>
      </c>
      <c r="M2834" s="134">
        <v>1500000</v>
      </c>
      <c r="N2834" s="134">
        <v>1650000</v>
      </c>
      <c r="O2834" t="s">
        <v>5234</v>
      </c>
      <c r="P2834" t="s">
        <v>5969</v>
      </c>
      <c r="Q2834" t="s">
        <v>29</v>
      </c>
      <c r="R2834" t="s">
        <v>5970</v>
      </c>
      <c r="U2834" t="s">
        <v>491</v>
      </c>
      <c r="X2834">
        <v>1</v>
      </c>
    </row>
    <row r="2835" spans="1:24" x14ac:dyDescent="0.25">
      <c r="A2835" s="234">
        <v>42459</v>
      </c>
      <c r="B2835" t="s">
        <v>643</v>
      </c>
      <c r="C2835" t="s">
        <v>644</v>
      </c>
      <c r="D2835" t="s">
        <v>645</v>
      </c>
      <c r="E2835" t="s">
        <v>588</v>
      </c>
      <c r="F2835" t="s">
        <v>1448</v>
      </c>
      <c r="H2835" t="s">
        <v>722</v>
      </c>
      <c r="I2835" t="s">
        <v>1449</v>
      </c>
      <c r="M2835" s="134">
        <v>1500000</v>
      </c>
      <c r="N2835" s="134">
        <v>1650000</v>
      </c>
      <c r="O2835" t="s">
        <v>1450</v>
      </c>
      <c r="P2835" t="s">
        <v>1451</v>
      </c>
      <c r="Q2835" t="s">
        <v>592</v>
      </c>
      <c r="R2835" t="s">
        <v>1465</v>
      </c>
      <c r="U2835" t="s">
        <v>491</v>
      </c>
      <c r="X2835">
        <v>0</v>
      </c>
    </row>
    <row r="2836" spans="1:24" x14ac:dyDescent="0.25">
      <c r="A2836" s="234">
        <v>42648</v>
      </c>
      <c r="B2836" t="s">
        <v>378</v>
      </c>
      <c r="C2836" t="s">
        <v>623</v>
      </c>
      <c r="D2836" t="s">
        <v>930</v>
      </c>
      <c r="E2836" t="s">
        <v>588</v>
      </c>
      <c r="F2836" t="s">
        <v>4180</v>
      </c>
      <c r="H2836" t="s">
        <v>886</v>
      </c>
      <c r="I2836" t="s">
        <v>3837</v>
      </c>
      <c r="J2836" t="s">
        <v>899</v>
      </c>
      <c r="L2836">
        <v>4</v>
      </c>
      <c r="M2836" s="134">
        <v>1500000</v>
      </c>
      <c r="N2836" s="134">
        <v>1650000</v>
      </c>
      <c r="O2836" t="s">
        <v>35</v>
      </c>
      <c r="P2836" t="s">
        <v>4181</v>
      </c>
      <c r="Q2836" t="s">
        <v>1612</v>
      </c>
      <c r="R2836" t="s">
        <v>4469</v>
      </c>
      <c r="U2836" t="s">
        <v>491</v>
      </c>
      <c r="X2836">
        <v>0</v>
      </c>
    </row>
    <row r="2837" spans="1:24" x14ac:dyDescent="0.25">
      <c r="A2837" s="234">
        <v>42751</v>
      </c>
      <c r="B2837" t="s">
        <v>569</v>
      </c>
      <c r="D2837" t="s">
        <v>625</v>
      </c>
      <c r="E2837" t="s">
        <v>692</v>
      </c>
      <c r="F2837" t="s">
        <v>5338</v>
      </c>
      <c r="H2837" t="s">
        <v>5339</v>
      </c>
      <c r="I2837" t="s">
        <v>5340</v>
      </c>
      <c r="J2837" t="s">
        <v>899</v>
      </c>
      <c r="L2837" t="s">
        <v>5341</v>
      </c>
      <c r="M2837" s="134">
        <v>1500000</v>
      </c>
      <c r="N2837" s="134">
        <v>1670000</v>
      </c>
      <c r="O2837" t="s">
        <v>5342</v>
      </c>
      <c r="P2837" t="s">
        <v>5343</v>
      </c>
      <c r="Q2837" t="s">
        <v>29</v>
      </c>
      <c r="R2837" t="s">
        <v>5438</v>
      </c>
      <c r="U2837" t="s">
        <v>491</v>
      </c>
      <c r="X2837">
        <v>1</v>
      </c>
    </row>
    <row r="2838" spans="1:24" x14ac:dyDescent="0.25">
      <c r="A2838" s="234">
        <v>42460</v>
      </c>
      <c r="B2838" t="s">
        <v>328</v>
      </c>
      <c r="C2838" t="s">
        <v>603</v>
      </c>
      <c r="D2838" t="s">
        <v>1471</v>
      </c>
      <c r="E2838" t="s">
        <v>588</v>
      </c>
      <c r="F2838" t="s">
        <v>1472</v>
      </c>
      <c r="H2838" t="s">
        <v>905</v>
      </c>
      <c r="I2838" t="s">
        <v>1473</v>
      </c>
      <c r="M2838" s="134">
        <v>1500000</v>
      </c>
      <c r="N2838" s="134">
        <v>1800000</v>
      </c>
      <c r="O2838" t="s">
        <v>1474</v>
      </c>
      <c r="P2838" t="s">
        <v>1475</v>
      </c>
      <c r="Q2838" t="s">
        <v>592</v>
      </c>
      <c r="R2838" t="s">
        <v>1476</v>
      </c>
      <c r="U2838" t="s">
        <v>491</v>
      </c>
      <c r="X2838">
        <v>0</v>
      </c>
    </row>
    <row r="2839" spans="1:24" x14ac:dyDescent="0.25">
      <c r="A2839" s="234">
        <v>43202</v>
      </c>
      <c r="B2839" t="s">
        <v>569</v>
      </c>
      <c r="C2839" t="s">
        <v>899</v>
      </c>
      <c r="D2839" t="s">
        <v>625</v>
      </c>
      <c r="E2839" t="s">
        <v>588</v>
      </c>
      <c r="F2839" t="s">
        <v>300</v>
      </c>
      <c r="G2839" t="s">
        <v>10912</v>
      </c>
      <c r="H2839" t="s">
        <v>905</v>
      </c>
      <c r="I2839" t="s">
        <v>3672</v>
      </c>
      <c r="J2839" t="s">
        <v>899</v>
      </c>
      <c r="L2839">
        <v>5</v>
      </c>
      <c r="M2839" s="134">
        <v>1500000</v>
      </c>
      <c r="N2839" s="134">
        <v>1820000</v>
      </c>
      <c r="O2839" t="s">
        <v>10766</v>
      </c>
      <c r="P2839" t="s">
        <v>10913</v>
      </c>
      <c r="Q2839" t="s">
        <v>1939</v>
      </c>
      <c r="R2839" t="s">
        <v>10914</v>
      </c>
      <c r="U2839" t="s">
        <v>491</v>
      </c>
      <c r="X2839">
        <v>0</v>
      </c>
    </row>
    <row r="2840" spans="1:24" x14ac:dyDescent="0.25">
      <c r="A2840" s="234">
        <v>43202</v>
      </c>
      <c r="B2840" t="s">
        <v>569</v>
      </c>
      <c r="C2840" t="s">
        <v>899</v>
      </c>
      <c r="D2840" t="s">
        <v>624</v>
      </c>
      <c r="E2840" t="s">
        <v>588</v>
      </c>
      <c r="F2840" t="s">
        <v>19</v>
      </c>
      <c r="G2840" t="s">
        <v>10910</v>
      </c>
      <c r="H2840" t="s">
        <v>809</v>
      </c>
      <c r="I2840" t="s">
        <v>3388</v>
      </c>
      <c r="J2840" t="s">
        <v>899</v>
      </c>
      <c r="L2840">
        <v>5</v>
      </c>
      <c r="M2840" s="134">
        <v>1500000</v>
      </c>
      <c r="N2840" s="134">
        <v>1940000</v>
      </c>
      <c r="O2840" t="s">
        <v>560</v>
      </c>
      <c r="P2840" t="s">
        <v>11143</v>
      </c>
      <c r="Q2840" t="s">
        <v>592</v>
      </c>
      <c r="R2840" t="s">
        <v>10911</v>
      </c>
      <c r="U2840" t="s">
        <v>491</v>
      </c>
      <c r="X2840">
        <v>0</v>
      </c>
    </row>
    <row r="2841" spans="1:24" x14ac:dyDescent="0.25">
      <c r="A2841" s="234">
        <v>43084</v>
      </c>
      <c r="B2841" t="s">
        <v>328</v>
      </c>
      <c r="C2841" t="s">
        <v>603</v>
      </c>
      <c r="D2841" t="s">
        <v>672</v>
      </c>
      <c r="E2841" t="s">
        <v>588</v>
      </c>
      <c r="F2841" t="s">
        <v>9786</v>
      </c>
      <c r="G2841" t="s">
        <v>9787</v>
      </c>
      <c r="H2841" t="s">
        <v>607</v>
      </c>
      <c r="I2841" t="s">
        <v>9788</v>
      </c>
      <c r="J2841" t="s">
        <v>602</v>
      </c>
      <c r="L2841">
        <v>10</v>
      </c>
      <c r="M2841" s="134">
        <v>1500000</v>
      </c>
      <c r="N2841" s="134">
        <v>1950000</v>
      </c>
      <c r="O2841" t="s">
        <v>2886</v>
      </c>
      <c r="P2841" t="s">
        <v>9789</v>
      </c>
      <c r="Q2841" t="s">
        <v>592</v>
      </c>
      <c r="R2841" t="s">
        <v>9516</v>
      </c>
      <c r="U2841" t="s">
        <v>1327</v>
      </c>
      <c r="X2841">
        <v>0</v>
      </c>
    </row>
    <row r="2842" spans="1:24" x14ac:dyDescent="0.25">
      <c r="A2842" s="234">
        <v>43017</v>
      </c>
      <c r="B2842" t="s">
        <v>569</v>
      </c>
      <c r="C2842" t="s">
        <v>899</v>
      </c>
      <c r="D2842" t="s">
        <v>930</v>
      </c>
      <c r="E2842" t="s">
        <v>588</v>
      </c>
      <c r="F2842" t="s">
        <v>8921</v>
      </c>
      <c r="H2842" t="s">
        <v>1391</v>
      </c>
      <c r="I2842" t="s">
        <v>6061</v>
      </c>
      <c r="J2842" t="s">
        <v>899</v>
      </c>
      <c r="M2842" s="134">
        <v>1500000</v>
      </c>
      <c r="N2842" s="134">
        <v>2000000</v>
      </c>
      <c r="O2842" t="s">
        <v>560</v>
      </c>
      <c r="P2842" t="s">
        <v>8950</v>
      </c>
      <c r="Q2842" t="s">
        <v>592</v>
      </c>
      <c r="U2842" t="s">
        <v>491</v>
      </c>
      <c r="X2842">
        <v>0</v>
      </c>
    </row>
    <row r="2843" spans="1:24" x14ac:dyDescent="0.25">
      <c r="A2843" s="234">
        <v>43049</v>
      </c>
      <c r="B2843" t="s">
        <v>5473</v>
      </c>
      <c r="C2843" t="s">
        <v>608</v>
      </c>
      <c r="D2843" t="s">
        <v>4655</v>
      </c>
      <c r="E2843" t="s">
        <v>588</v>
      </c>
      <c r="F2843" t="s">
        <v>9400</v>
      </c>
      <c r="G2843" t="s">
        <v>9401</v>
      </c>
      <c r="H2843" t="s">
        <v>1391</v>
      </c>
      <c r="I2843" t="s">
        <v>9402</v>
      </c>
      <c r="J2843" t="s">
        <v>608</v>
      </c>
      <c r="L2843">
        <v>3</v>
      </c>
      <c r="M2843" s="134">
        <v>1500000</v>
      </c>
      <c r="N2843" s="134">
        <v>2110000</v>
      </c>
      <c r="O2843" t="s">
        <v>8628</v>
      </c>
      <c r="P2843" t="s">
        <v>9403</v>
      </c>
      <c r="Q2843" t="s">
        <v>1612</v>
      </c>
      <c r="R2843" t="s">
        <v>9424</v>
      </c>
      <c r="U2843" t="s">
        <v>491</v>
      </c>
      <c r="X2843">
        <v>0</v>
      </c>
    </row>
    <row r="2844" spans="1:24" x14ac:dyDescent="0.25">
      <c r="A2844" s="234">
        <v>42835</v>
      </c>
      <c r="B2844" t="s">
        <v>1788</v>
      </c>
      <c r="C2844" t="s">
        <v>3369</v>
      </c>
      <c r="D2844" t="s">
        <v>6360</v>
      </c>
      <c r="E2844" t="s">
        <v>588</v>
      </c>
      <c r="F2844" t="s">
        <v>6361</v>
      </c>
      <c r="H2844" t="s">
        <v>6362</v>
      </c>
      <c r="I2844" t="s">
        <v>6363</v>
      </c>
      <c r="J2844" t="s">
        <v>3369</v>
      </c>
      <c r="M2844" s="134">
        <v>1500000</v>
      </c>
      <c r="N2844" s="134">
        <v>2120000</v>
      </c>
      <c r="O2844" t="s">
        <v>560</v>
      </c>
      <c r="P2844" t="s">
        <v>6364</v>
      </c>
      <c r="Q2844" t="s">
        <v>592</v>
      </c>
      <c r="U2844" t="s">
        <v>491</v>
      </c>
      <c r="X2844">
        <v>0</v>
      </c>
    </row>
    <row r="2845" spans="1:24" x14ac:dyDescent="0.25">
      <c r="A2845" s="234">
        <v>43053</v>
      </c>
      <c r="B2845" t="s">
        <v>328</v>
      </c>
      <c r="C2845" t="s">
        <v>603</v>
      </c>
      <c r="D2845" t="s">
        <v>649</v>
      </c>
      <c r="E2845" t="s">
        <v>588</v>
      </c>
      <c r="F2845" t="s">
        <v>9454</v>
      </c>
      <c r="G2845" t="s">
        <v>9453</v>
      </c>
      <c r="H2845" t="s">
        <v>607</v>
      </c>
      <c r="J2845" t="s">
        <v>899</v>
      </c>
      <c r="L2845">
        <v>10</v>
      </c>
      <c r="M2845" s="134">
        <v>1500000</v>
      </c>
      <c r="N2845" s="134">
        <v>2169230</v>
      </c>
      <c r="O2845" t="s">
        <v>6860</v>
      </c>
      <c r="P2845" t="s">
        <v>9452</v>
      </c>
      <c r="Q2845" t="s">
        <v>592</v>
      </c>
      <c r="R2845" t="s">
        <v>9455</v>
      </c>
      <c r="U2845" t="s">
        <v>1327</v>
      </c>
      <c r="X2845">
        <v>0</v>
      </c>
    </row>
    <row r="2846" spans="1:24" x14ac:dyDescent="0.25">
      <c r="A2846" s="234">
        <v>43297</v>
      </c>
      <c r="B2846" t="s">
        <v>5176</v>
      </c>
      <c r="C2846" t="s">
        <v>604</v>
      </c>
      <c r="D2846" t="s">
        <v>727</v>
      </c>
      <c r="E2846" t="s">
        <v>588</v>
      </c>
      <c r="F2846" t="s">
        <v>11817</v>
      </c>
      <c r="G2846" t="s">
        <v>8941</v>
      </c>
      <c r="H2846" t="s">
        <v>10832</v>
      </c>
      <c r="I2846" t="s">
        <v>4515</v>
      </c>
      <c r="J2846" t="s">
        <v>3369</v>
      </c>
      <c r="L2846">
        <v>9</v>
      </c>
      <c r="M2846" s="134">
        <v>1500000</v>
      </c>
      <c r="N2846" s="134">
        <v>2200000</v>
      </c>
      <c r="O2846" t="s">
        <v>7124</v>
      </c>
      <c r="P2846" t="s">
        <v>12004</v>
      </c>
      <c r="Q2846" t="s">
        <v>1939</v>
      </c>
      <c r="R2846" t="s">
        <v>11816</v>
      </c>
      <c r="U2846" t="s">
        <v>1327</v>
      </c>
      <c r="X2846">
        <v>0</v>
      </c>
    </row>
    <row r="2847" spans="1:24" x14ac:dyDescent="0.25">
      <c r="A2847" s="234">
        <v>43027</v>
      </c>
      <c r="B2847" t="s">
        <v>5360</v>
      </c>
      <c r="C2847" t="s">
        <v>899</v>
      </c>
      <c r="D2847" t="s">
        <v>1027</v>
      </c>
      <c r="E2847" t="s">
        <v>588</v>
      </c>
      <c r="F2847" t="s">
        <v>9107</v>
      </c>
      <c r="G2847" t="s">
        <v>9108</v>
      </c>
      <c r="H2847" t="s">
        <v>607</v>
      </c>
      <c r="I2847" t="s">
        <v>6587</v>
      </c>
      <c r="J2847" t="s">
        <v>899</v>
      </c>
      <c r="L2847">
        <v>9</v>
      </c>
      <c r="M2847" s="134">
        <v>1500000</v>
      </c>
      <c r="N2847" s="134">
        <v>2200000</v>
      </c>
      <c r="O2847" t="s">
        <v>560</v>
      </c>
      <c r="P2847" t="s">
        <v>9109</v>
      </c>
      <c r="Q2847" t="s">
        <v>1939</v>
      </c>
      <c r="R2847" t="s">
        <v>9110</v>
      </c>
      <c r="U2847" t="s">
        <v>491</v>
      </c>
      <c r="X2847">
        <v>0</v>
      </c>
    </row>
    <row r="2848" spans="1:24" x14ac:dyDescent="0.25">
      <c r="A2848" s="234">
        <v>42914</v>
      </c>
      <c r="B2848" t="s">
        <v>569</v>
      </c>
      <c r="D2848" t="s">
        <v>624</v>
      </c>
      <c r="E2848" t="s">
        <v>588</v>
      </c>
      <c r="F2848" t="s">
        <v>7423</v>
      </c>
      <c r="H2848" t="s">
        <v>7247</v>
      </c>
      <c r="I2848" t="s">
        <v>2054</v>
      </c>
      <c r="J2848" t="s">
        <v>899</v>
      </c>
      <c r="M2848" s="134">
        <v>1500000</v>
      </c>
      <c r="N2848" s="134">
        <v>2250000</v>
      </c>
      <c r="O2848" t="s">
        <v>7424</v>
      </c>
      <c r="P2848" t="s">
        <v>7425</v>
      </c>
      <c r="Q2848" t="s">
        <v>29</v>
      </c>
      <c r="R2848" t="s">
        <v>7538</v>
      </c>
      <c r="U2848" t="s">
        <v>491</v>
      </c>
      <c r="X2848">
        <v>1</v>
      </c>
    </row>
    <row r="2849" spans="1:24" x14ac:dyDescent="0.25">
      <c r="A2849" s="234">
        <v>43482</v>
      </c>
      <c r="B2849" t="s">
        <v>5956</v>
      </c>
      <c r="C2849" t="s">
        <v>3369</v>
      </c>
      <c r="D2849" t="s">
        <v>8126</v>
      </c>
      <c r="F2849" t="s">
        <v>14033</v>
      </c>
      <c r="G2849" t="s">
        <v>14034</v>
      </c>
      <c r="H2849" t="s">
        <v>607</v>
      </c>
      <c r="I2849" t="s">
        <v>3951</v>
      </c>
      <c r="J2849" t="s">
        <v>3369</v>
      </c>
      <c r="K2849" t="s">
        <v>14035</v>
      </c>
      <c r="L2849">
        <v>4</v>
      </c>
      <c r="M2849" s="134">
        <v>1500000</v>
      </c>
      <c r="N2849" s="134">
        <v>2295000</v>
      </c>
      <c r="O2849" t="s">
        <v>10763</v>
      </c>
      <c r="P2849" t="s">
        <v>14036</v>
      </c>
      <c r="Q2849" t="s">
        <v>592</v>
      </c>
      <c r="R2849" t="s">
        <v>14037</v>
      </c>
      <c r="U2849" t="s">
        <v>12797</v>
      </c>
      <c r="X2849">
        <v>0</v>
      </c>
    </row>
    <row r="2850" spans="1:24" x14ac:dyDescent="0.25">
      <c r="A2850" s="234">
        <v>43340</v>
      </c>
      <c r="B2850" t="s">
        <v>569</v>
      </c>
      <c r="C2850" t="s">
        <v>899</v>
      </c>
      <c r="D2850" t="s">
        <v>9981</v>
      </c>
      <c r="E2850" t="s">
        <v>588</v>
      </c>
      <c r="F2850" t="s">
        <v>12415</v>
      </c>
      <c r="G2850" t="s">
        <v>12416</v>
      </c>
      <c r="H2850" t="s">
        <v>10832</v>
      </c>
      <c r="I2850" t="s">
        <v>5972</v>
      </c>
      <c r="J2850" t="s">
        <v>899</v>
      </c>
      <c r="L2850">
        <v>3</v>
      </c>
      <c r="M2850" s="134">
        <v>1500000</v>
      </c>
      <c r="N2850" s="134">
        <v>2300000</v>
      </c>
      <c r="O2850" t="s">
        <v>4533</v>
      </c>
      <c r="P2850" t="s">
        <v>12417</v>
      </c>
      <c r="Q2850" t="s">
        <v>1939</v>
      </c>
      <c r="R2850" t="s">
        <v>12614</v>
      </c>
      <c r="U2850" t="s">
        <v>491</v>
      </c>
      <c r="X2850">
        <v>0</v>
      </c>
    </row>
    <row r="2851" spans="1:24" x14ac:dyDescent="0.25">
      <c r="A2851" s="234">
        <v>42739</v>
      </c>
      <c r="B2851" t="s">
        <v>328</v>
      </c>
      <c r="C2851" t="s">
        <v>603</v>
      </c>
      <c r="D2851" t="s">
        <v>2397</v>
      </c>
      <c r="E2851" t="s">
        <v>588</v>
      </c>
      <c r="F2851" t="s">
        <v>5197</v>
      </c>
      <c r="H2851" t="s">
        <v>607</v>
      </c>
      <c r="J2851" t="s">
        <v>899</v>
      </c>
      <c r="L2851">
        <v>10</v>
      </c>
      <c r="M2851" s="134">
        <v>1500000</v>
      </c>
      <c r="N2851" s="134">
        <v>2300000</v>
      </c>
      <c r="O2851" t="s">
        <v>1111</v>
      </c>
      <c r="P2851" t="s">
        <v>5198</v>
      </c>
      <c r="Q2851" t="s">
        <v>1939</v>
      </c>
      <c r="R2851" t="s">
        <v>5199</v>
      </c>
      <c r="U2851" t="s">
        <v>491</v>
      </c>
      <c r="X2851">
        <v>0</v>
      </c>
    </row>
    <row r="2852" spans="1:24" x14ac:dyDescent="0.25">
      <c r="A2852" s="234">
        <v>43234</v>
      </c>
      <c r="B2852" t="s">
        <v>569</v>
      </c>
      <c r="C2852" t="s">
        <v>899</v>
      </c>
      <c r="D2852" t="s">
        <v>625</v>
      </c>
      <c r="E2852" t="s">
        <v>588</v>
      </c>
      <c r="F2852" t="s">
        <v>11247</v>
      </c>
      <c r="G2852" t="s">
        <v>1877</v>
      </c>
      <c r="H2852" t="s">
        <v>607</v>
      </c>
      <c r="J2852" t="s">
        <v>899</v>
      </c>
      <c r="M2852" s="134">
        <v>1500000</v>
      </c>
      <c r="N2852" s="134">
        <v>2400000</v>
      </c>
      <c r="O2852" t="s">
        <v>560</v>
      </c>
      <c r="P2852" t="s">
        <v>11395</v>
      </c>
      <c r="Q2852" t="s">
        <v>592</v>
      </c>
      <c r="R2852" t="s">
        <v>11248</v>
      </c>
      <c r="U2852" t="s">
        <v>1327</v>
      </c>
      <c r="X2852">
        <v>0</v>
      </c>
    </row>
    <row r="2853" spans="1:24" x14ac:dyDescent="0.25">
      <c r="A2853" s="234">
        <v>42667</v>
      </c>
      <c r="B2853" t="s">
        <v>328</v>
      </c>
      <c r="C2853" t="s">
        <v>603</v>
      </c>
      <c r="D2853" t="s">
        <v>672</v>
      </c>
      <c r="E2853" t="s">
        <v>588</v>
      </c>
      <c r="F2853" t="s">
        <v>4456</v>
      </c>
      <c r="H2853" t="s">
        <v>722</v>
      </c>
      <c r="I2853" t="s">
        <v>4457</v>
      </c>
      <c r="J2853" t="s">
        <v>4458</v>
      </c>
      <c r="L2853">
        <v>10</v>
      </c>
      <c r="M2853" s="134">
        <v>1500000</v>
      </c>
      <c r="N2853" s="134">
        <v>2400000</v>
      </c>
      <c r="O2853" t="s">
        <v>560</v>
      </c>
      <c r="P2853" t="s">
        <v>4459</v>
      </c>
      <c r="Q2853" t="s">
        <v>1939</v>
      </c>
      <c r="R2853" t="s">
        <v>4460</v>
      </c>
      <c r="U2853" t="s">
        <v>491</v>
      </c>
      <c r="X2853">
        <v>0</v>
      </c>
    </row>
    <row r="2854" spans="1:24" x14ac:dyDescent="0.25">
      <c r="A2854" s="234">
        <v>43404</v>
      </c>
      <c r="B2854" t="s">
        <v>328</v>
      </c>
      <c r="C2854" t="s">
        <v>603</v>
      </c>
      <c r="D2854" t="s">
        <v>7595</v>
      </c>
      <c r="F2854" t="s">
        <v>13112</v>
      </c>
      <c r="G2854" t="s">
        <v>13113</v>
      </c>
      <c r="H2854" t="s">
        <v>10831</v>
      </c>
      <c r="I2854" t="s">
        <v>13114</v>
      </c>
      <c r="J2854" t="s">
        <v>4458</v>
      </c>
      <c r="K2854" t="s">
        <v>13115</v>
      </c>
      <c r="L2854">
        <v>10</v>
      </c>
      <c r="M2854" s="134">
        <v>1500000</v>
      </c>
      <c r="N2854" s="134">
        <v>2450000</v>
      </c>
      <c r="O2854" t="s">
        <v>7124</v>
      </c>
      <c r="P2854" t="s">
        <v>13116</v>
      </c>
      <c r="Q2854" t="s">
        <v>592</v>
      </c>
      <c r="R2854" t="s">
        <v>13130</v>
      </c>
      <c r="U2854" t="s">
        <v>2500</v>
      </c>
      <c r="X2854">
        <v>0</v>
      </c>
    </row>
    <row r="2855" spans="1:24" x14ac:dyDescent="0.25">
      <c r="A2855" s="234">
        <v>43005</v>
      </c>
      <c r="B2855" t="s">
        <v>5360</v>
      </c>
      <c r="C2855" t="s">
        <v>899</v>
      </c>
      <c r="D2855" t="s">
        <v>732</v>
      </c>
      <c r="E2855" t="s">
        <v>588</v>
      </c>
      <c r="F2855" t="s">
        <v>8744</v>
      </c>
      <c r="G2855" t="s">
        <v>8745</v>
      </c>
      <c r="H2855" t="s">
        <v>5991</v>
      </c>
      <c r="I2855" t="s">
        <v>3925</v>
      </c>
      <c r="J2855" t="s">
        <v>899</v>
      </c>
      <c r="L2855">
        <v>10</v>
      </c>
      <c r="M2855" s="134">
        <v>1500000</v>
      </c>
      <c r="N2855" s="134">
        <v>2459000</v>
      </c>
      <c r="O2855" t="s">
        <v>560</v>
      </c>
      <c r="P2855" t="s">
        <v>8747</v>
      </c>
      <c r="Q2855" t="s">
        <v>29</v>
      </c>
      <c r="R2855" t="s">
        <v>8746</v>
      </c>
      <c r="T2855">
        <v>47</v>
      </c>
      <c r="U2855" t="s">
        <v>491</v>
      </c>
      <c r="X2855">
        <v>1</v>
      </c>
    </row>
    <row r="2856" spans="1:24" x14ac:dyDescent="0.25">
      <c r="A2856" s="234">
        <v>43238</v>
      </c>
      <c r="B2856" t="s">
        <v>643</v>
      </c>
      <c r="C2856" t="s">
        <v>644</v>
      </c>
      <c r="D2856" t="s">
        <v>645</v>
      </c>
      <c r="E2856" t="s">
        <v>588</v>
      </c>
      <c r="F2856" t="s">
        <v>11330</v>
      </c>
      <c r="G2856" t="s">
        <v>11331</v>
      </c>
      <c r="H2856" t="s">
        <v>10831</v>
      </c>
      <c r="I2856" t="s">
        <v>10455</v>
      </c>
      <c r="J2856" t="s">
        <v>644</v>
      </c>
      <c r="L2856">
        <v>9</v>
      </c>
      <c r="M2856" s="134">
        <v>1500000</v>
      </c>
      <c r="N2856" s="134">
        <v>2500000</v>
      </c>
      <c r="O2856" t="s">
        <v>7124</v>
      </c>
      <c r="P2856" t="s">
        <v>11329</v>
      </c>
      <c r="Q2856" t="s">
        <v>592</v>
      </c>
      <c r="R2856" t="s">
        <v>11328</v>
      </c>
      <c r="U2856" t="s">
        <v>1327</v>
      </c>
      <c r="X2856">
        <v>0</v>
      </c>
    </row>
    <row r="2857" spans="1:24" x14ac:dyDescent="0.25">
      <c r="A2857" s="234">
        <v>42566</v>
      </c>
      <c r="B2857" t="s">
        <v>328</v>
      </c>
      <c r="C2857" t="s">
        <v>603</v>
      </c>
      <c r="D2857" t="s">
        <v>2282</v>
      </c>
      <c r="E2857" t="s">
        <v>588</v>
      </c>
      <c r="F2857" t="s">
        <v>2900</v>
      </c>
      <c r="H2857" t="s">
        <v>2884</v>
      </c>
      <c r="I2857" t="s">
        <v>2901</v>
      </c>
      <c r="M2857" s="134">
        <v>1500000</v>
      </c>
      <c r="N2857" s="134">
        <v>2550000</v>
      </c>
      <c r="O2857" t="s">
        <v>2886</v>
      </c>
      <c r="P2857" t="s">
        <v>2902</v>
      </c>
      <c r="Q2857" t="s">
        <v>592</v>
      </c>
      <c r="R2857" t="s">
        <v>2903</v>
      </c>
      <c r="U2857" t="s">
        <v>2227</v>
      </c>
      <c r="X2857">
        <v>0</v>
      </c>
    </row>
    <row r="2858" spans="1:24" x14ac:dyDescent="0.25">
      <c r="A2858" s="234">
        <v>42755</v>
      </c>
      <c r="B2858" t="s">
        <v>643</v>
      </c>
      <c r="C2858" t="s">
        <v>644</v>
      </c>
      <c r="D2858" t="s">
        <v>3132</v>
      </c>
      <c r="E2858" t="s">
        <v>588</v>
      </c>
      <c r="F2858" t="s">
        <v>5380</v>
      </c>
      <c r="H2858" t="s">
        <v>607</v>
      </c>
      <c r="I2858" t="s">
        <v>5381</v>
      </c>
      <c r="J2858" t="s">
        <v>644</v>
      </c>
      <c r="L2858" t="s">
        <v>5287</v>
      </c>
      <c r="M2858" s="134">
        <v>1500000</v>
      </c>
      <c r="N2858" s="134">
        <v>2600000</v>
      </c>
      <c r="O2858" t="s">
        <v>5383</v>
      </c>
      <c r="P2858" t="s">
        <v>5382</v>
      </c>
      <c r="Q2858" t="s">
        <v>29</v>
      </c>
      <c r="R2858" t="s">
        <v>5384</v>
      </c>
      <c r="U2858" t="s">
        <v>491</v>
      </c>
      <c r="X2858">
        <v>1</v>
      </c>
    </row>
    <row r="2859" spans="1:24" x14ac:dyDescent="0.25">
      <c r="A2859" s="234">
        <v>42979</v>
      </c>
      <c r="B2859" t="s">
        <v>328</v>
      </c>
      <c r="C2859" t="s">
        <v>603</v>
      </c>
      <c r="D2859" t="s">
        <v>2500</v>
      </c>
      <c r="E2859" t="s">
        <v>588</v>
      </c>
      <c r="F2859" t="s">
        <v>8395</v>
      </c>
      <c r="G2859" t="s">
        <v>8396</v>
      </c>
      <c r="H2859" t="s">
        <v>1050</v>
      </c>
      <c r="I2859" t="s">
        <v>8397</v>
      </c>
      <c r="J2859" t="s">
        <v>899</v>
      </c>
      <c r="M2859" s="134">
        <v>1500000</v>
      </c>
      <c r="N2859" s="134">
        <v>2600000</v>
      </c>
      <c r="O2859" t="s">
        <v>560</v>
      </c>
      <c r="P2859" t="s">
        <v>8398</v>
      </c>
      <c r="Q2859" t="s">
        <v>620</v>
      </c>
      <c r="R2859" t="s">
        <v>8399</v>
      </c>
      <c r="S2859" t="s">
        <v>8447</v>
      </c>
      <c r="T2859">
        <v>39</v>
      </c>
      <c r="U2859" t="s">
        <v>491</v>
      </c>
      <c r="X2859">
        <v>0</v>
      </c>
    </row>
    <row r="2860" spans="1:24" x14ac:dyDescent="0.25">
      <c r="A2860" s="234">
        <v>42706</v>
      </c>
      <c r="B2860" t="s">
        <v>328</v>
      </c>
      <c r="C2860" t="s">
        <v>603</v>
      </c>
      <c r="D2860" t="s">
        <v>2397</v>
      </c>
      <c r="E2860" t="s">
        <v>588</v>
      </c>
      <c r="F2860" t="s">
        <v>4888</v>
      </c>
      <c r="H2860" t="s">
        <v>607</v>
      </c>
      <c r="I2860" t="s">
        <v>2054</v>
      </c>
      <c r="J2860" t="s">
        <v>899</v>
      </c>
      <c r="L2860">
        <v>2</v>
      </c>
      <c r="M2860" s="134">
        <v>1500000</v>
      </c>
      <c r="N2860" s="134">
        <v>2600000</v>
      </c>
      <c r="O2860" t="s">
        <v>695</v>
      </c>
      <c r="P2860" t="s">
        <v>4889</v>
      </c>
      <c r="Q2860" t="s">
        <v>1939</v>
      </c>
      <c r="R2860" t="s">
        <v>5047</v>
      </c>
      <c r="U2860" t="s">
        <v>491</v>
      </c>
      <c r="X2860">
        <v>0</v>
      </c>
    </row>
    <row r="2861" spans="1:24" x14ac:dyDescent="0.25">
      <c r="A2861" s="234">
        <v>43213</v>
      </c>
      <c r="B2861" t="s">
        <v>5360</v>
      </c>
      <c r="C2861" t="s">
        <v>899</v>
      </c>
      <c r="D2861" t="s">
        <v>1027</v>
      </c>
      <c r="E2861" t="s">
        <v>588</v>
      </c>
      <c r="F2861" t="s">
        <v>11040</v>
      </c>
      <c r="G2861" t="s">
        <v>9300</v>
      </c>
      <c r="H2861" t="s">
        <v>607</v>
      </c>
      <c r="I2861" t="s">
        <v>3452</v>
      </c>
      <c r="J2861" t="s">
        <v>899</v>
      </c>
      <c r="L2861" t="s">
        <v>7579</v>
      </c>
      <c r="M2861" s="134">
        <v>1500000</v>
      </c>
      <c r="N2861" s="134">
        <v>2700000</v>
      </c>
      <c r="O2861" t="s">
        <v>7124</v>
      </c>
      <c r="P2861" t="s">
        <v>11041</v>
      </c>
      <c r="Q2861" t="s">
        <v>592</v>
      </c>
      <c r="R2861" t="s">
        <v>11042</v>
      </c>
      <c r="U2861" t="s">
        <v>1327</v>
      </c>
      <c r="X2861">
        <v>0</v>
      </c>
    </row>
    <row r="2862" spans="1:24" x14ac:dyDescent="0.25">
      <c r="A2862" s="234">
        <v>42846</v>
      </c>
      <c r="B2862" t="s">
        <v>328</v>
      </c>
      <c r="C2862" t="s">
        <v>603</v>
      </c>
      <c r="D2862" t="s">
        <v>2397</v>
      </c>
      <c r="E2862" t="s">
        <v>588</v>
      </c>
      <c r="F2862" t="s">
        <v>6504</v>
      </c>
      <c r="H2862" t="s">
        <v>607</v>
      </c>
      <c r="I2862" t="s">
        <v>6505</v>
      </c>
      <c r="J2862" t="s">
        <v>899</v>
      </c>
      <c r="L2862">
        <v>3</v>
      </c>
      <c r="M2862" s="134">
        <v>1500000</v>
      </c>
      <c r="N2862" s="134">
        <v>2700000</v>
      </c>
      <c r="O2862" t="s">
        <v>6506</v>
      </c>
      <c r="P2862" t="s">
        <v>6507</v>
      </c>
      <c r="Q2862" t="s">
        <v>592</v>
      </c>
      <c r="R2862" t="s">
        <v>6508</v>
      </c>
      <c r="U2862" t="s">
        <v>491</v>
      </c>
      <c r="X2862">
        <v>0</v>
      </c>
    </row>
    <row r="2863" spans="1:24" x14ac:dyDescent="0.25">
      <c r="A2863" s="234">
        <v>42380</v>
      </c>
      <c r="B2863" t="s">
        <v>378</v>
      </c>
      <c r="C2863" t="s">
        <v>623</v>
      </c>
      <c r="D2863" t="s">
        <v>625</v>
      </c>
      <c r="E2863" t="s">
        <v>692</v>
      </c>
      <c r="F2863" t="s">
        <v>693</v>
      </c>
      <c r="H2863" t="s">
        <v>607</v>
      </c>
      <c r="I2863" t="s">
        <v>694</v>
      </c>
      <c r="M2863" s="134">
        <v>1500000</v>
      </c>
      <c r="N2863" s="134">
        <v>2700000</v>
      </c>
      <c r="O2863" t="s">
        <v>695</v>
      </c>
      <c r="P2863" t="s">
        <v>696</v>
      </c>
      <c r="Q2863" t="s">
        <v>592</v>
      </c>
      <c r="R2863" t="s">
        <v>697</v>
      </c>
      <c r="S2863" t="s">
        <v>703</v>
      </c>
      <c r="U2863" t="s">
        <v>491</v>
      </c>
      <c r="X2863">
        <v>0</v>
      </c>
    </row>
    <row r="2864" spans="1:24" x14ac:dyDescent="0.25">
      <c r="A2864" s="234">
        <v>42620</v>
      </c>
      <c r="B2864" t="s">
        <v>378</v>
      </c>
      <c r="C2864" t="s">
        <v>623</v>
      </c>
      <c r="D2864" t="s">
        <v>625</v>
      </c>
      <c r="E2864" t="s">
        <v>588</v>
      </c>
      <c r="F2864" t="s">
        <v>3788</v>
      </c>
      <c r="H2864" t="s">
        <v>607</v>
      </c>
      <c r="I2864" t="s">
        <v>3388</v>
      </c>
      <c r="J2864" t="s">
        <v>899</v>
      </c>
      <c r="L2864">
        <v>4</v>
      </c>
      <c r="M2864" s="134">
        <v>1500000</v>
      </c>
      <c r="N2864" s="134">
        <v>2700000</v>
      </c>
      <c r="O2864" t="s">
        <v>695</v>
      </c>
      <c r="P2864" t="s">
        <v>3789</v>
      </c>
      <c r="Q2864" t="s">
        <v>592</v>
      </c>
      <c r="U2864" t="s">
        <v>491</v>
      </c>
      <c r="X2864">
        <v>0</v>
      </c>
    </row>
    <row r="2865" spans="1:24" x14ac:dyDescent="0.25">
      <c r="A2865" s="234">
        <v>43573</v>
      </c>
      <c r="B2865" t="s">
        <v>328</v>
      </c>
      <c r="C2865" t="s">
        <v>603</v>
      </c>
      <c r="D2865" t="s">
        <v>5701</v>
      </c>
      <c r="F2865" t="s">
        <v>15121</v>
      </c>
      <c r="G2865" t="s">
        <v>15122</v>
      </c>
      <c r="H2865" t="s">
        <v>10831</v>
      </c>
      <c r="I2865" t="s">
        <v>15123</v>
      </c>
      <c r="J2865" t="s">
        <v>15124</v>
      </c>
      <c r="K2865" t="s">
        <v>15125</v>
      </c>
      <c r="L2865">
        <v>10</v>
      </c>
      <c r="M2865" s="134">
        <v>1500000</v>
      </c>
      <c r="N2865" s="134">
        <v>2750000</v>
      </c>
      <c r="O2865" t="s">
        <v>7124</v>
      </c>
      <c r="P2865" t="s">
        <v>15126</v>
      </c>
      <c r="Q2865" t="s">
        <v>29</v>
      </c>
      <c r="R2865" t="s">
        <v>15127</v>
      </c>
      <c r="U2865" t="s">
        <v>491</v>
      </c>
      <c r="X2865">
        <v>1</v>
      </c>
    </row>
    <row r="2866" spans="1:24" x14ac:dyDescent="0.25">
      <c r="A2866" s="234">
        <v>42401</v>
      </c>
      <c r="B2866" t="s">
        <v>328</v>
      </c>
      <c r="C2866" t="s">
        <v>603</v>
      </c>
      <c r="D2866" t="s">
        <v>757</v>
      </c>
      <c r="E2866" t="s">
        <v>588</v>
      </c>
      <c r="F2866" t="s">
        <v>878</v>
      </c>
      <c r="H2866" t="s">
        <v>607</v>
      </c>
      <c r="I2866" t="s">
        <v>879</v>
      </c>
      <c r="M2866" s="134">
        <v>1500000</v>
      </c>
      <c r="N2866" s="134">
        <v>2750000</v>
      </c>
      <c r="O2866" t="s">
        <v>880</v>
      </c>
      <c r="P2866" t="s">
        <v>881</v>
      </c>
      <c r="Q2866" t="s">
        <v>592</v>
      </c>
      <c r="R2866" t="s">
        <v>924</v>
      </c>
      <c r="U2866" t="s">
        <v>491</v>
      </c>
      <c r="X2866">
        <v>0</v>
      </c>
    </row>
    <row r="2867" spans="1:24" x14ac:dyDescent="0.25">
      <c r="A2867" s="234">
        <v>43483</v>
      </c>
      <c r="B2867" t="s">
        <v>328</v>
      </c>
      <c r="C2867" t="s">
        <v>603</v>
      </c>
      <c r="D2867" t="s">
        <v>748</v>
      </c>
      <c r="F2867" t="s">
        <v>14057</v>
      </c>
      <c r="G2867" t="s">
        <v>2346</v>
      </c>
      <c r="H2867" t="s">
        <v>607</v>
      </c>
      <c r="I2867" t="s">
        <v>3918</v>
      </c>
      <c r="J2867" t="s">
        <v>899</v>
      </c>
      <c r="K2867" t="s">
        <v>14058</v>
      </c>
      <c r="L2867">
        <v>1</v>
      </c>
      <c r="M2867" s="134">
        <v>1500000</v>
      </c>
      <c r="N2867" s="134">
        <v>2800000</v>
      </c>
      <c r="O2867" t="s">
        <v>7564</v>
      </c>
      <c r="P2867" t="s">
        <v>14060</v>
      </c>
      <c r="Q2867" t="s">
        <v>592</v>
      </c>
      <c r="R2867" t="s">
        <v>14059</v>
      </c>
      <c r="U2867" t="s">
        <v>12797</v>
      </c>
      <c r="X2867">
        <v>0</v>
      </c>
    </row>
    <row r="2868" spans="1:24" x14ac:dyDescent="0.25">
      <c r="A2868" s="234">
        <v>42643</v>
      </c>
      <c r="B2868" t="s">
        <v>643</v>
      </c>
      <c r="C2868" t="s">
        <v>644</v>
      </c>
      <c r="D2868" t="s">
        <v>645</v>
      </c>
      <c r="E2868" t="s">
        <v>588</v>
      </c>
      <c r="F2868" t="s">
        <v>4135</v>
      </c>
      <c r="H2868" t="s">
        <v>607</v>
      </c>
      <c r="I2868" t="s">
        <v>3814</v>
      </c>
      <c r="J2868" t="s">
        <v>644</v>
      </c>
      <c r="L2868">
        <v>2</v>
      </c>
      <c r="M2868" s="134">
        <v>1500000</v>
      </c>
      <c r="N2868" s="134">
        <v>2800000</v>
      </c>
      <c r="O2868" t="s">
        <v>1171</v>
      </c>
      <c r="P2868" t="s">
        <v>4139</v>
      </c>
      <c r="Q2868" t="s">
        <v>1939</v>
      </c>
      <c r="R2868" t="s">
        <v>4136</v>
      </c>
      <c r="U2868" t="s">
        <v>491</v>
      </c>
      <c r="X2868">
        <v>0</v>
      </c>
    </row>
    <row r="2869" spans="1:24" x14ac:dyDescent="0.25">
      <c r="A2869" s="234">
        <v>43306</v>
      </c>
      <c r="B2869" t="s">
        <v>643</v>
      </c>
      <c r="C2869" t="s">
        <v>899</v>
      </c>
      <c r="D2869" t="s">
        <v>645</v>
      </c>
      <c r="E2869" t="s">
        <v>588</v>
      </c>
      <c r="F2869" t="s">
        <v>11915</v>
      </c>
      <c r="G2869" t="s">
        <v>7814</v>
      </c>
      <c r="H2869" t="s">
        <v>607</v>
      </c>
      <c r="J2869" t="s">
        <v>899</v>
      </c>
      <c r="L2869">
        <v>3</v>
      </c>
      <c r="M2869" s="134">
        <v>1500000</v>
      </c>
      <c r="N2869" s="134">
        <v>3050000</v>
      </c>
      <c r="O2869" t="s">
        <v>560</v>
      </c>
      <c r="P2869" t="s">
        <v>11914</v>
      </c>
      <c r="Q2869" t="s">
        <v>1939</v>
      </c>
      <c r="R2869" t="s">
        <v>11617</v>
      </c>
      <c r="U2869" t="s">
        <v>1327</v>
      </c>
      <c r="X2869">
        <v>0</v>
      </c>
    </row>
    <row r="2870" spans="1:24" x14ac:dyDescent="0.25">
      <c r="A2870" s="234">
        <v>42570</v>
      </c>
      <c r="B2870" t="s">
        <v>328</v>
      </c>
      <c r="C2870" t="s">
        <v>603</v>
      </c>
      <c r="D2870" t="s">
        <v>1401</v>
      </c>
      <c r="E2870" t="s">
        <v>588</v>
      </c>
      <c r="F2870" t="s">
        <v>2917</v>
      </c>
      <c r="H2870" t="s">
        <v>607</v>
      </c>
      <c r="I2870" t="s">
        <v>2918</v>
      </c>
      <c r="M2870" s="134">
        <v>1500000</v>
      </c>
      <c r="N2870" s="134">
        <v>3075000</v>
      </c>
      <c r="O2870" t="s">
        <v>891</v>
      </c>
      <c r="P2870" t="s">
        <v>2919</v>
      </c>
      <c r="Q2870" t="s">
        <v>1939</v>
      </c>
      <c r="R2870" t="s">
        <v>2920</v>
      </c>
      <c r="U2870" t="s">
        <v>491</v>
      </c>
      <c r="X2870">
        <v>0</v>
      </c>
    </row>
    <row r="2871" spans="1:24" x14ac:dyDescent="0.25">
      <c r="A2871" s="234">
        <v>43321</v>
      </c>
      <c r="B2871" t="s">
        <v>643</v>
      </c>
      <c r="C2871" t="s">
        <v>644</v>
      </c>
      <c r="D2871" t="s">
        <v>645</v>
      </c>
      <c r="E2871" t="s">
        <v>588</v>
      </c>
      <c r="F2871" t="s">
        <v>12063</v>
      </c>
      <c r="G2871" t="s">
        <v>12064</v>
      </c>
      <c r="H2871" t="s">
        <v>607</v>
      </c>
      <c r="I2871" t="s">
        <v>5910</v>
      </c>
      <c r="J2871" t="s">
        <v>899</v>
      </c>
      <c r="L2871">
        <v>3</v>
      </c>
      <c r="M2871" s="134">
        <v>1500000</v>
      </c>
      <c r="N2871" s="134">
        <v>3100000</v>
      </c>
      <c r="O2871" t="s">
        <v>560</v>
      </c>
      <c r="P2871" t="s">
        <v>12065</v>
      </c>
      <c r="Q2871" t="s">
        <v>1939</v>
      </c>
      <c r="R2871" t="s">
        <v>12066</v>
      </c>
      <c r="U2871" t="s">
        <v>491</v>
      </c>
      <c r="X2871">
        <v>0</v>
      </c>
    </row>
    <row r="2872" spans="1:24" x14ac:dyDescent="0.25">
      <c r="A2872" s="234">
        <v>43602</v>
      </c>
      <c r="B2872" t="s">
        <v>328</v>
      </c>
      <c r="C2872" t="s">
        <v>603</v>
      </c>
      <c r="D2872" t="s">
        <v>10705</v>
      </c>
      <c r="F2872" t="s">
        <v>15636</v>
      </c>
      <c r="G2872" t="s">
        <v>7714</v>
      </c>
      <c r="H2872" t="s">
        <v>607</v>
      </c>
      <c r="I2872" t="s">
        <v>3646</v>
      </c>
      <c r="J2872" t="s">
        <v>644</v>
      </c>
      <c r="K2872" t="s">
        <v>15638</v>
      </c>
      <c r="L2872">
        <v>9</v>
      </c>
      <c r="M2872" s="134">
        <v>1500000</v>
      </c>
      <c r="N2872" s="134">
        <v>3250000</v>
      </c>
      <c r="O2872" t="s">
        <v>7124</v>
      </c>
      <c r="P2872" t="s">
        <v>15639</v>
      </c>
      <c r="Q2872" t="s">
        <v>29</v>
      </c>
      <c r="R2872" t="s">
        <v>15640</v>
      </c>
      <c r="S2872" t="s">
        <v>15637</v>
      </c>
      <c r="U2872" t="s">
        <v>12344</v>
      </c>
      <c r="X2872">
        <v>1</v>
      </c>
    </row>
    <row r="2873" spans="1:24" x14ac:dyDescent="0.25">
      <c r="A2873" s="234">
        <v>42503</v>
      </c>
      <c r="B2873" t="s">
        <v>378</v>
      </c>
      <c r="C2873" t="s">
        <v>610</v>
      </c>
      <c r="D2873" t="s">
        <v>732</v>
      </c>
      <c r="E2873" t="s">
        <v>821</v>
      </c>
      <c r="F2873" t="s">
        <v>2081</v>
      </c>
      <c r="H2873" t="s">
        <v>607</v>
      </c>
      <c r="I2873" t="s">
        <v>2082</v>
      </c>
      <c r="M2873" s="134">
        <v>1510000</v>
      </c>
      <c r="N2873" s="134">
        <v>3020000</v>
      </c>
      <c r="O2873" t="s">
        <v>1498</v>
      </c>
      <c r="P2873" t="s">
        <v>2083</v>
      </c>
      <c r="Q2873" t="s">
        <v>1939</v>
      </c>
      <c r="R2873" t="s">
        <v>2093</v>
      </c>
      <c r="X2873">
        <v>0</v>
      </c>
    </row>
    <row r="2874" spans="1:24" x14ac:dyDescent="0.25">
      <c r="A2874" s="234">
        <v>42786</v>
      </c>
      <c r="B2874" t="s">
        <v>328</v>
      </c>
      <c r="C2874" t="s">
        <v>603</v>
      </c>
      <c r="D2874" t="s">
        <v>1401</v>
      </c>
      <c r="E2874" t="s">
        <v>588</v>
      </c>
      <c r="F2874" t="s">
        <v>5731</v>
      </c>
      <c r="H2874" t="s">
        <v>905</v>
      </c>
      <c r="I2874" t="s">
        <v>3586</v>
      </c>
      <c r="J2874" t="s">
        <v>899</v>
      </c>
      <c r="L2874">
        <v>4</v>
      </c>
      <c r="M2874" s="134">
        <v>1516500</v>
      </c>
      <c r="N2874" s="134">
        <v>3033000</v>
      </c>
      <c r="O2874" t="s">
        <v>560</v>
      </c>
      <c r="P2874" t="s">
        <v>5732</v>
      </c>
      <c r="Q2874" t="s">
        <v>592</v>
      </c>
      <c r="U2874" t="s">
        <v>491</v>
      </c>
      <c r="X2874">
        <v>0</v>
      </c>
    </row>
    <row r="2875" spans="1:24" x14ac:dyDescent="0.25">
      <c r="A2875" s="234">
        <v>43166</v>
      </c>
      <c r="B2875" t="s">
        <v>5176</v>
      </c>
      <c r="C2875" t="s">
        <v>604</v>
      </c>
      <c r="D2875" t="s">
        <v>727</v>
      </c>
      <c r="E2875" t="s">
        <v>588</v>
      </c>
      <c r="F2875" t="s">
        <v>10521</v>
      </c>
      <c r="G2875" t="s">
        <v>10521</v>
      </c>
      <c r="H2875" t="s">
        <v>10831</v>
      </c>
      <c r="I2875" t="s">
        <v>10520</v>
      </c>
      <c r="J2875" t="s">
        <v>3369</v>
      </c>
      <c r="L2875">
        <v>9</v>
      </c>
      <c r="M2875" s="134">
        <v>1520000</v>
      </c>
      <c r="N2875" s="134">
        <v>2347600</v>
      </c>
      <c r="O2875" t="s">
        <v>7124</v>
      </c>
      <c r="P2875" t="s">
        <v>10519</v>
      </c>
      <c r="Q2875" t="s">
        <v>1939</v>
      </c>
      <c r="R2875" t="s">
        <v>10627</v>
      </c>
      <c r="U2875" t="s">
        <v>1327</v>
      </c>
      <c r="X2875">
        <v>0</v>
      </c>
    </row>
    <row r="2876" spans="1:24" x14ac:dyDescent="0.25">
      <c r="A2876" s="234">
        <v>43119</v>
      </c>
      <c r="B2876" t="s">
        <v>569</v>
      </c>
      <c r="C2876" t="s">
        <v>899</v>
      </c>
      <c r="D2876" t="s">
        <v>625</v>
      </c>
      <c r="E2876" t="s">
        <v>588</v>
      </c>
      <c r="F2876" t="s">
        <v>8263</v>
      </c>
      <c r="G2876" t="s">
        <v>10076</v>
      </c>
      <c r="H2876" t="s">
        <v>607</v>
      </c>
      <c r="I2876" t="s">
        <v>3649</v>
      </c>
      <c r="J2876" t="s">
        <v>899</v>
      </c>
      <c r="M2876" s="134">
        <v>1523500</v>
      </c>
      <c r="N2876" s="134">
        <v>2688500</v>
      </c>
      <c r="O2876" t="s">
        <v>560</v>
      </c>
      <c r="P2876" t="s">
        <v>10077</v>
      </c>
      <c r="Q2876" t="s">
        <v>592</v>
      </c>
      <c r="R2876" t="s">
        <v>10078</v>
      </c>
      <c r="U2876" t="s">
        <v>1327</v>
      </c>
      <c r="X2876">
        <v>0</v>
      </c>
    </row>
    <row r="2877" spans="1:24" x14ac:dyDescent="0.25">
      <c r="A2877" s="234">
        <v>42678</v>
      </c>
      <c r="B2877" t="s">
        <v>328</v>
      </c>
      <c r="C2877" t="s">
        <v>603</v>
      </c>
      <c r="D2877" t="s">
        <v>2282</v>
      </c>
      <c r="E2877" t="s">
        <v>588</v>
      </c>
      <c r="F2877" t="s">
        <v>4604</v>
      </c>
      <c r="H2877" t="s">
        <v>1391</v>
      </c>
      <c r="I2877" t="s">
        <v>4605</v>
      </c>
      <c r="J2877" t="s">
        <v>3533</v>
      </c>
      <c r="L2877">
        <v>5</v>
      </c>
      <c r="M2877" s="134">
        <v>1525250</v>
      </c>
      <c r="N2877" s="134">
        <v>3050500</v>
      </c>
      <c r="O2877" t="s">
        <v>560</v>
      </c>
      <c r="P2877" t="s">
        <v>4606</v>
      </c>
      <c r="Q2877" t="s">
        <v>1939</v>
      </c>
      <c r="R2877" t="s">
        <v>4607</v>
      </c>
      <c r="S2877" t="s">
        <v>4609</v>
      </c>
      <c r="U2877" t="s">
        <v>1327</v>
      </c>
      <c r="X2877">
        <v>0</v>
      </c>
    </row>
    <row r="2878" spans="1:24" x14ac:dyDescent="0.25">
      <c r="A2878" s="234">
        <v>43105</v>
      </c>
      <c r="B2878" t="s">
        <v>569</v>
      </c>
      <c r="C2878" t="s">
        <v>899</v>
      </c>
      <c r="D2878" t="s">
        <v>625</v>
      </c>
      <c r="E2878" t="s">
        <v>588</v>
      </c>
      <c r="F2878" t="s">
        <v>9952</v>
      </c>
      <c r="G2878" t="s">
        <v>7792</v>
      </c>
      <c r="H2878" t="s">
        <v>607</v>
      </c>
      <c r="I2878" t="s">
        <v>3649</v>
      </c>
      <c r="J2878" t="s">
        <v>899</v>
      </c>
      <c r="L2878">
        <v>4</v>
      </c>
      <c r="M2878" s="134">
        <v>1526000</v>
      </c>
      <c r="N2878" s="134">
        <v>2151000</v>
      </c>
      <c r="O2878" t="s">
        <v>560</v>
      </c>
      <c r="P2878" t="s">
        <v>9953</v>
      </c>
      <c r="Q2878" t="s">
        <v>29</v>
      </c>
      <c r="R2878" t="s">
        <v>9954</v>
      </c>
      <c r="U2878" t="s">
        <v>1327</v>
      </c>
      <c r="X2878">
        <v>1</v>
      </c>
    </row>
    <row r="2879" spans="1:24" x14ac:dyDescent="0.25">
      <c r="A2879" s="234">
        <v>42426</v>
      </c>
      <c r="B2879" t="s">
        <v>594</v>
      </c>
      <c r="C2879" t="s">
        <v>959</v>
      </c>
      <c r="D2879" t="s">
        <v>732</v>
      </c>
      <c r="E2879" t="s">
        <v>588</v>
      </c>
      <c r="F2879" t="s">
        <v>1154</v>
      </c>
      <c r="H2879" t="s">
        <v>607</v>
      </c>
      <c r="I2879" t="s">
        <v>1155</v>
      </c>
      <c r="M2879" s="134">
        <v>1531000</v>
      </c>
      <c r="N2879" s="134">
        <v>2542200</v>
      </c>
      <c r="O2879" t="s">
        <v>1156</v>
      </c>
      <c r="P2879" t="s">
        <v>1157</v>
      </c>
      <c r="Q2879" t="s">
        <v>592</v>
      </c>
      <c r="R2879" t="s">
        <v>1194</v>
      </c>
      <c r="U2879" t="s">
        <v>491</v>
      </c>
      <c r="X2879">
        <v>0</v>
      </c>
    </row>
    <row r="2880" spans="1:24" x14ac:dyDescent="0.25">
      <c r="A2880" s="234">
        <v>42522</v>
      </c>
      <c r="B2880" t="s">
        <v>328</v>
      </c>
      <c r="D2880" t="s">
        <v>1401</v>
      </c>
      <c r="E2880" t="s">
        <v>588</v>
      </c>
      <c r="F2880" t="s">
        <v>2291</v>
      </c>
      <c r="M2880" s="134">
        <v>1533000</v>
      </c>
      <c r="N2880" s="134">
        <v>2836050</v>
      </c>
      <c r="O2880" t="s">
        <v>2292</v>
      </c>
      <c r="P2880" t="s">
        <v>2293</v>
      </c>
      <c r="Q2880" t="s">
        <v>1939</v>
      </c>
      <c r="R2880" t="s">
        <v>2294</v>
      </c>
      <c r="U2880" t="s">
        <v>633</v>
      </c>
      <c r="X2880">
        <v>0</v>
      </c>
    </row>
    <row r="2881" spans="1:24" x14ac:dyDescent="0.25">
      <c r="A2881" s="234">
        <v>43279</v>
      </c>
      <c r="B2881" t="s">
        <v>5360</v>
      </c>
      <c r="C2881" t="s">
        <v>899</v>
      </c>
      <c r="D2881" t="s">
        <v>732</v>
      </c>
      <c r="E2881" t="s">
        <v>588</v>
      </c>
      <c r="F2881" t="s">
        <v>11676</v>
      </c>
      <c r="G2881" t="s">
        <v>11677</v>
      </c>
      <c r="H2881" t="s">
        <v>607</v>
      </c>
      <c r="I2881" t="s">
        <v>3492</v>
      </c>
      <c r="J2881" t="s">
        <v>899</v>
      </c>
      <c r="L2881">
        <v>2</v>
      </c>
      <c r="M2881" s="134">
        <v>1535659</v>
      </c>
      <c r="N2881" s="134">
        <v>3001318</v>
      </c>
      <c r="O2881" t="s">
        <v>560</v>
      </c>
      <c r="P2881" t="s">
        <v>11678</v>
      </c>
      <c r="Q2881" t="s">
        <v>592</v>
      </c>
      <c r="R2881" t="s">
        <v>11679</v>
      </c>
      <c r="U2881" t="s">
        <v>1327</v>
      </c>
      <c r="X2881">
        <v>0</v>
      </c>
    </row>
    <row r="2882" spans="1:24" x14ac:dyDescent="0.25">
      <c r="A2882" s="234">
        <v>43404</v>
      </c>
      <c r="B2882" t="s">
        <v>5176</v>
      </c>
      <c r="C2882" t="s">
        <v>604</v>
      </c>
      <c r="D2882" t="s">
        <v>2454</v>
      </c>
      <c r="F2882" t="s">
        <v>11356</v>
      </c>
      <c r="G2882" t="s">
        <v>13096</v>
      </c>
      <c r="H2882" t="s">
        <v>10832</v>
      </c>
      <c r="I2882" t="s">
        <v>13097</v>
      </c>
      <c r="J2882" t="s">
        <v>3617</v>
      </c>
      <c r="K2882" t="s">
        <v>13098</v>
      </c>
      <c r="L2882">
        <v>1</v>
      </c>
      <c r="M2882" s="134">
        <v>1536000</v>
      </c>
      <c r="N2882" s="134">
        <v>1925400</v>
      </c>
      <c r="O2882" t="s">
        <v>560</v>
      </c>
      <c r="P2882" t="s">
        <v>13099</v>
      </c>
      <c r="Q2882" t="s">
        <v>29</v>
      </c>
      <c r="R2882" t="s">
        <v>13430</v>
      </c>
      <c r="U2882" t="s">
        <v>12344</v>
      </c>
      <c r="X2882">
        <v>1</v>
      </c>
    </row>
    <row r="2883" spans="1:24" x14ac:dyDescent="0.25">
      <c r="A2883" s="234">
        <v>43334</v>
      </c>
      <c r="B2883" t="s">
        <v>569</v>
      </c>
      <c r="C2883" t="s">
        <v>899</v>
      </c>
      <c r="D2883" t="s">
        <v>11359</v>
      </c>
      <c r="E2883" t="s">
        <v>588</v>
      </c>
      <c r="F2883" t="s">
        <v>10135</v>
      </c>
      <c r="G2883" t="s">
        <v>11192</v>
      </c>
      <c r="H2883" t="s">
        <v>5321</v>
      </c>
      <c r="I2883" t="s">
        <v>4438</v>
      </c>
      <c r="J2883" t="s">
        <v>899</v>
      </c>
      <c r="L2883">
        <v>2</v>
      </c>
      <c r="M2883" s="134">
        <v>1537000</v>
      </c>
      <c r="N2883" s="134">
        <v>2100000</v>
      </c>
      <c r="O2883" t="s">
        <v>560</v>
      </c>
      <c r="P2883" t="s">
        <v>12252</v>
      </c>
      <c r="Q2883" t="s">
        <v>592</v>
      </c>
      <c r="R2883" t="s">
        <v>12253</v>
      </c>
      <c r="U2883" t="s">
        <v>491</v>
      </c>
      <c r="X2883">
        <v>0</v>
      </c>
    </row>
    <row r="2884" spans="1:24" x14ac:dyDescent="0.25">
      <c r="A2884" s="234">
        <v>43601</v>
      </c>
      <c r="B2884" t="s">
        <v>328</v>
      </c>
      <c r="C2884" t="s">
        <v>603</v>
      </c>
      <c r="D2884" t="s">
        <v>649</v>
      </c>
      <c r="F2884" t="s">
        <v>15627</v>
      </c>
      <c r="G2884" t="s">
        <v>15628</v>
      </c>
      <c r="H2884" t="s">
        <v>607</v>
      </c>
      <c r="I2884" t="s">
        <v>11126</v>
      </c>
      <c r="J2884" t="s">
        <v>3533</v>
      </c>
      <c r="K2884" t="s">
        <v>13342</v>
      </c>
      <c r="L2884">
        <v>10</v>
      </c>
      <c r="M2884" s="134">
        <v>1539000</v>
      </c>
      <c r="N2884" s="134">
        <v>3308850</v>
      </c>
      <c r="O2884" t="s">
        <v>560</v>
      </c>
      <c r="P2884" t="s">
        <v>15629</v>
      </c>
      <c r="Q2884" t="s">
        <v>592</v>
      </c>
      <c r="R2884" t="s">
        <v>15630</v>
      </c>
      <c r="S2884" t="s">
        <v>15631</v>
      </c>
      <c r="U2884" t="s">
        <v>491</v>
      </c>
      <c r="X2884">
        <v>0</v>
      </c>
    </row>
    <row r="2885" spans="1:24" x14ac:dyDescent="0.25">
      <c r="A2885" s="234">
        <v>42580</v>
      </c>
      <c r="B2885" t="s">
        <v>328</v>
      </c>
      <c r="C2885" t="s">
        <v>603</v>
      </c>
      <c r="D2885" t="s">
        <v>1471</v>
      </c>
      <c r="E2885" t="s">
        <v>588</v>
      </c>
      <c r="F2885" t="s">
        <v>3124</v>
      </c>
      <c r="H2885" t="s">
        <v>607</v>
      </c>
      <c r="I2885" t="s">
        <v>3125</v>
      </c>
      <c r="M2885" s="134">
        <v>1543000</v>
      </c>
      <c r="N2885" s="134">
        <v>2777777</v>
      </c>
      <c r="O2885" t="s">
        <v>3126</v>
      </c>
      <c r="P2885" t="s">
        <v>3127</v>
      </c>
      <c r="Q2885" t="s">
        <v>29</v>
      </c>
      <c r="R2885" t="s">
        <v>3128</v>
      </c>
      <c r="U2885" t="s">
        <v>491</v>
      </c>
      <c r="X2885">
        <v>1</v>
      </c>
    </row>
    <row r="2886" spans="1:24" x14ac:dyDescent="0.25">
      <c r="A2886" s="234">
        <v>42689</v>
      </c>
      <c r="B2886" t="s">
        <v>328</v>
      </c>
      <c r="C2886" t="s">
        <v>603</v>
      </c>
      <c r="D2886" t="s">
        <v>1471</v>
      </c>
      <c r="E2886" t="s">
        <v>588</v>
      </c>
      <c r="F2886" t="s">
        <v>4695</v>
      </c>
      <c r="H2886" t="s">
        <v>1044</v>
      </c>
      <c r="I2886" t="s">
        <v>4696</v>
      </c>
      <c r="J2886" t="s">
        <v>899</v>
      </c>
      <c r="L2886">
        <v>9</v>
      </c>
      <c r="M2886" s="134">
        <v>1545125</v>
      </c>
      <c r="N2886" s="134">
        <v>1954149</v>
      </c>
      <c r="O2886" t="s">
        <v>560</v>
      </c>
      <c r="P2886" t="s">
        <v>4697</v>
      </c>
      <c r="Q2886" t="s">
        <v>1939</v>
      </c>
      <c r="R2886" t="s">
        <v>4698</v>
      </c>
      <c r="S2886" t="s">
        <v>9456</v>
      </c>
      <c r="U2886" t="s">
        <v>491</v>
      </c>
      <c r="X2886">
        <v>0</v>
      </c>
    </row>
    <row r="2887" spans="1:24" x14ac:dyDescent="0.25">
      <c r="A2887" s="234">
        <v>42864</v>
      </c>
      <c r="B2887" t="s">
        <v>328</v>
      </c>
      <c r="C2887" t="s">
        <v>603</v>
      </c>
      <c r="D2887" t="s">
        <v>672</v>
      </c>
      <c r="E2887" t="s">
        <v>588</v>
      </c>
      <c r="F2887" t="s">
        <v>6715</v>
      </c>
      <c r="H2887" t="s">
        <v>905</v>
      </c>
      <c r="I2887" t="s">
        <v>3672</v>
      </c>
      <c r="J2887" t="s">
        <v>899</v>
      </c>
      <c r="L2887">
        <v>42740</v>
      </c>
      <c r="M2887" s="134">
        <v>1546650</v>
      </c>
      <c r="N2887" s="134">
        <v>2020645</v>
      </c>
      <c r="O2887" t="s">
        <v>560</v>
      </c>
      <c r="P2887" t="s">
        <v>6716</v>
      </c>
      <c r="Q2887" t="s">
        <v>1939</v>
      </c>
      <c r="R2887" t="s">
        <v>6717</v>
      </c>
      <c r="U2887" t="s">
        <v>491</v>
      </c>
      <c r="X2887">
        <v>0</v>
      </c>
    </row>
    <row r="2888" spans="1:24" x14ac:dyDescent="0.25">
      <c r="A2888" s="234">
        <v>43098</v>
      </c>
      <c r="B2888" t="s">
        <v>328</v>
      </c>
      <c r="C2888" t="s">
        <v>603</v>
      </c>
      <c r="D2888" t="s">
        <v>649</v>
      </c>
      <c r="E2888" t="s">
        <v>588</v>
      </c>
      <c r="F2888" t="s">
        <v>8017</v>
      </c>
      <c r="G2888" t="s">
        <v>9896</v>
      </c>
      <c r="H2888" t="s">
        <v>9897</v>
      </c>
      <c r="I2888" t="s">
        <v>3793</v>
      </c>
      <c r="J2888" t="s">
        <v>899</v>
      </c>
      <c r="L2888">
        <v>10</v>
      </c>
      <c r="M2888" s="134">
        <v>1549159</v>
      </c>
      <c r="N2888" s="134">
        <v>1920159</v>
      </c>
      <c r="O2888" t="s">
        <v>560</v>
      </c>
      <c r="P2888" t="s">
        <v>9898</v>
      </c>
      <c r="Q2888" t="s">
        <v>1939</v>
      </c>
      <c r="R2888" t="s">
        <v>9899</v>
      </c>
      <c r="U2888" t="s">
        <v>491</v>
      </c>
      <c r="X2888">
        <v>0</v>
      </c>
    </row>
    <row r="2889" spans="1:24" x14ac:dyDescent="0.25">
      <c r="A2889" s="234">
        <v>43546</v>
      </c>
      <c r="B2889" t="s">
        <v>328</v>
      </c>
      <c r="C2889" t="s">
        <v>603</v>
      </c>
      <c r="D2889" t="s">
        <v>7595</v>
      </c>
      <c r="F2889" t="s">
        <v>13187</v>
      </c>
      <c r="G2889" t="s">
        <v>14858</v>
      </c>
      <c r="H2889" t="s">
        <v>886</v>
      </c>
      <c r="I2889" t="s">
        <v>14859</v>
      </c>
      <c r="J2889" t="s">
        <v>14074</v>
      </c>
      <c r="K2889" t="s">
        <v>14860</v>
      </c>
      <c r="L2889">
        <v>7</v>
      </c>
      <c r="M2889" s="134">
        <v>1550000</v>
      </c>
      <c r="N2889" s="134">
        <v>1550000</v>
      </c>
      <c r="O2889" t="s">
        <v>2295</v>
      </c>
      <c r="P2889" t="s">
        <v>14861</v>
      </c>
      <c r="Q2889" t="s">
        <v>1612</v>
      </c>
      <c r="R2889" t="s">
        <v>14945</v>
      </c>
      <c r="U2889" t="s">
        <v>12797</v>
      </c>
      <c r="X2889">
        <v>0</v>
      </c>
    </row>
    <row r="2890" spans="1:24" x14ac:dyDescent="0.25">
      <c r="A2890" s="234">
        <v>42669</v>
      </c>
      <c r="B2890" t="s">
        <v>378</v>
      </c>
      <c r="C2890" t="s">
        <v>623</v>
      </c>
      <c r="D2890" t="s">
        <v>1783</v>
      </c>
      <c r="E2890" t="s">
        <v>588</v>
      </c>
      <c r="F2890" t="s">
        <v>4490</v>
      </c>
      <c r="H2890" t="s">
        <v>607</v>
      </c>
      <c r="I2890" t="s">
        <v>4491</v>
      </c>
      <c r="J2890" t="s">
        <v>899</v>
      </c>
      <c r="M2890" s="134">
        <v>1550000</v>
      </c>
      <c r="N2890" s="134">
        <v>2800000</v>
      </c>
      <c r="O2890" t="s">
        <v>4492</v>
      </c>
      <c r="P2890" t="s">
        <v>4493</v>
      </c>
      <c r="Q2890" t="s">
        <v>592</v>
      </c>
      <c r="R2890" t="s">
        <v>4494</v>
      </c>
      <c r="U2890" t="s">
        <v>491</v>
      </c>
      <c r="X2890">
        <v>0</v>
      </c>
    </row>
    <row r="2891" spans="1:24" x14ac:dyDescent="0.25">
      <c r="A2891" s="234">
        <v>42907</v>
      </c>
      <c r="B2891" t="s">
        <v>328</v>
      </c>
      <c r="C2891" t="s">
        <v>603</v>
      </c>
      <c r="D2891" t="s">
        <v>1401</v>
      </c>
      <c r="E2891" t="s">
        <v>588</v>
      </c>
      <c r="F2891" t="s">
        <v>7316</v>
      </c>
      <c r="H2891" t="s">
        <v>607</v>
      </c>
      <c r="I2891" t="s">
        <v>5366</v>
      </c>
      <c r="J2891" t="s">
        <v>899</v>
      </c>
      <c r="L2891">
        <v>9</v>
      </c>
      <c r="M2891" s="134">
        <v>1550000</v>
      </c>
      <c r="N2891" s="134">
        <v>3000000</v>
      </c>
      <c r="O2891" t="s">
        <v>7317</v>
      </c>
      <c r="P2891" t="s">
        <v>7318</v>
      </c>
      <c r="Q2891" t="s">
        <v>1939</v>
      </c>
      <c r="R2891" t="s">
        <v>7319</v>
      </c>
      <c r="S2891" t="s">
        <v>7320</v>
      </c>
      <c r="U2891" t="s">
        <v>491</v>
      </c>
      <c r="X2891">
        <v>0</v>
      </c>
    </row>
    <row r="2892" spans="1:24" x14ac:dyDescent="0.25">
      <c r="A2892" s="234">
        <v>42837</v>
      </c>
      <c r="B2892" t="s">
        <v>328</v>
      </c>
      <c r="C2892" t="s">
        <v>603</v>
      </c>
      <c r="D2892" t="s">
        <v>1401</v>
      </c>
      <c r="E2892" t="s">
        <v>588</v>
      </c>
      <c r="F2892" t="s">
        <v>6410</v>
      </c>
      <c r="H2892" t="s">
        <v>2074</v>
      </c>
      <c r="I2892" t="s">
        <v>5362</v>
      </c>
      <c r="J2892" t="s">
        <v>899</v>
      </c>
      <c r="M2892" s="134">
        <v>1550000</v>
      </c>
      <c r="N2892" s="134">
        <v>3145000</v>
      </c>
      <c r="O2892" t="s">
        <v>560</v>
      </c>
      <c r="P2892" t="s">
        <v>6411</v>
      </c>
      <c r="Q2892" t="s">
        <v>1939</v>
      </c>
      <c r="R2892" t="s">
        <v>6430</v>
      </c>
      <c r="U2892" t="s">
        <v>491</v>
      </c>
      <c r="X2892">
        <v>0</v>
      </c>
    </row>
    <row r="2893" spans="1:24" x14ac:dyDescent="0.25">
      <c r="A2893" s="234">
        <v>42570</v>
      </c>
      <c r="B2893" t="s">
        <v>328</v>
      </c>
      <c r="C2893" t="s">
        <v>603</v>
      </c>
      <c r="D2893" t="s">
        <v>1471</v>
      </c>
      <c r="E2893" t="s">
        <v>588</v>
      </c>
      <c r="F2893" t="s">
        <v>2923</v>
      </c>
      <c r="H2893" t="s">
        <v>607</v>
      </c>
      <c r="I2893" t="s">
        <v>789</v>
      </c>
      <c r="M2893" s="134">
        <v>1550000</v>
      </c>
      <c r="N2893" s="134">
        <v>3223000</v>
      </c>
      <c r="O2893" t="s">
        <v>891</v>
      </c>
      <c r="P2893" t="s">
        <v>2924</v>
      </c>
      <c r="Q2893" t="s">
        <v>1939</v>
      </c>
      <c r="R2893" t="s">
        <v>2728</v>
      </c>
      <c r="U2893" t="s">
        <v>491</v>
      </c>
      <c r="X2893">
        <v>0</v>
      </c>
    </row>
    <row r="2894" spans="1:24" x14ac:dyDescent="0.25">
      <c r="A2894" s="234">
        <v>43423</v>
      </c>
      <c r="B2894" t="s">
        <v>643</v>
      </c>
      <c r="C2894" t="s">
        <v>644</v>
      </c>
      <c r="D2894" t="s">
        <v>645</v>
      </c>
      <c r="F2894" t="s">
        <v>12357</v>
      </c>
      <c r="G2894" t="s">
        <v>13202</v>
      </c>
      <c r="H2894" t="s">
        <v>607</v>
      </c>
      <c r="I2894" t="s">
        <v>3388</v>
      </c>
      <c r="J2894" t="s">
        <v>899</v>
      </c>
      <c r="K2894" t="s">
        <v>13203</v>
      </c>
      <c r="L2894">
        <v>1</v>
      </c>
      <c r="M2894" s="134">
        <v>1550000</v>
      </c>
      <c r="N2894" s="134">
        <v>3720000</v>
      </c>
      <c r="O2894" t="s">
        <v>560</v>
      </c>
      <c r="P2894" t="s">
        <v>13204</v>
      </c>
      <c r="Q2894" t="s">
        <v>29</v>
      </c>
      <c r="R2894" t="s">
        <v>13205</v>
      </c>
      <c r="U2894" t="s">
        <v>491</v>
      </c>
      <c r="X2894">
        <v>1</v>
      </c>
    </row>
    <row r="2895" spans="1:24" x14ac:dyDescent="0.25">
      <c r="A2895" s="234">
        <v>42872</v>
      </c>
      <c r="B2895" t="s">
        <v>643</v>
      </c>
      <c r="C2895" t="s">
        <v>644</v>
      </c>
      <c r="D2895" t="s">
        <v>645</v>
      </c>
      <c r="E2895" t="s">
        <v>588</v>
      </c>
      <c r="F2895" t="s">
        <v>6830</v>
      </c>
      <c r="H2895" t="s">
        <v>6831</v>
      </c>
      <c r="I2895" t="s">
        <v>6832</v>
      </c>
      <c r="J2895" t="s">
        <v>3501</v>
      </c>
      <c r="L2895">
        <v>4</v>
      </c>
      <c r="M2895" s="134">
        <v>1555900</v>
      </c>
      <c r="N2895" s="134">
        <v>3267400</v>
      </c>
      <c r="O2895" t="s">
        <v>560</v>
      </c>
      <c r="P2895" t="s">
        <v>6833</v>
      </c>
      <c r="Q2895" t="s">
        <v>592</v>
      </c>
      <c r="R2895" t="s">
        <v>6829</v>
      </c>
      <c r="U2895" t="s">
        <v>491</v>
      </c>
      <c r="X2895">
        <v>0</v>
      </c>
    </row>
    <row r="2896" spans="1:24" x14ac:dyDescent="0.25">
      <c r="A2896" s="234">
        <v>43572</v>
      </c>
      <c r="B2896" t="s">
        <v>643</v>
      </c>
      <c r="C2896" t="s">
        <v>644</v>
      </c>
      <c r="D2896" t="s">
        <v>3132</v>
      </c>
      <c r="F2896" t="s">
        <v>15255</v>
      </c>
      <c r="G2896" t="s">
        <v>15256</v>
      </c>
      <c r="H2896" t="s">
        <v>10831</v>
      </c>
      <c r="I2896" t="s">
        <v>10455</v>
      </c>
      <c r="J2896" t="s">
        <v>644</v>
      </c>
      <c r="K2896" t="s">
        <v>15257</v>
      </c>
      <c r="L2896">
        <v>9</v>
      </c>
      <c r="M2896" s="134">
        <v>1559000</v>
      </c>
      <c r="N2896" s="134">
        <v>2695800</v>
      </c>
      <c r="O2896" t="s">
        <v>560</v>
      </c>
      <c r="P2896" t="s">
        <v>15258</v>
      </c>
      <c r="Q2896" t="s">
        <v>592</v>
      </c>
      <c r="R2896" t="s">
        <v>15259</v>
      </c>
      <c r="U2896" t="s">
        <v>12797</v>
      </c>
      <c r="X2896">
        <v>0</v>
      </c>
    </row>
    <row r="2897" spans="1:24" x14ac:dyDescent="0.25">
      <c r="A2897" s="234">
        <v>42565</v>
      </c>
      <c r="B2897" t="s">
        <v>378</v>
      </c>
      <c r="C2897" t="s">
        <v>899</v>
      </c>
      <c r="D2897" t="s">
        <v>732</v>
      </c>
      <c r="E2897" t="s">
        <v>588</v>
      </c>
      <c r="F2897" t="s">
        <v>2904</v>
      </c>
      <c r="H2897" t="s">
        <v>2884</v>
      </c>
      <c r="I2897" t="s">
        <v>2885</v>
      </c>
      <c r="M2897" s="134">
        <v>1560600</v>
      </c>
      <c r="N2897" s="134">
        <v>2270600</v>
      </c>
      <c r="O2897" t="s">
        <v>2886</v>
      </c>
      <c r="P2897" t="s">
        <v>2887</v>
      </c>
      <c r="Q2897" t="s">
        <v>1939</v>
      </c>
      <c r="R2897" t="s">
        <v>2888</v>
      </c>
      <c r="U2897" t="s">
        <v>2889</v>
      </c>
      <c r="X2897">
        <v>0</v>
      </c>
    </row>
    <row r="2898" spans="1:24" x14ac:dyDescent="0.25">
      <c r="A2898" s="234">
        <v>42828</v>
      </c>
      <c r="B2898" t="s">
        <v>328</v>
      </c>
      <c r="C2898" t="s">
        <v>603</v>
      </c>
      <c r="D2898" t="s">
        <v>5701</v>
      </c>
      <c r="E2898" t="s">
        <v>588</v>
      </c>
      <c r="F2898" t="s">
        <v>6231</v>
      </c>
      <c r="H2898" t="s">
        <v>607</v>
      </c>
      <c r="I2898" t="s">
        <v>4528</v>
      </c>
      <c r="J2898" t="s">
        <v>899</v>
      </c>
      <c r="L2898">
        <v>10</v>
      </c>
      <c r="M2898" s="134">
        <v>1564000</v>
      </c>
      <c r="N2898" s="134">
        <v>3049800</v>
      </c>
      <c r="O2898" t="s">
        <v>560</v>
      </c>
      <c r="P2898" t="s">
        <v>6232</v>
      </c>
      <c r="Q2898" t="s">
        <v>1939</v>
      </c>
      <c r="R2898" t="s">
        <v>6233</v>
      </c>
      <c r="U2898" t="s">
        <v>491</v>
      </c>
      <c r="X2898">
        <v>0</v>
      </c>
    </row>
    <row r="2899" spans="1:24" x14ac:dyDescent="0.25">
      <c r="A2899" s="234">
        <v>43220</v>
      </c>
      <c r="B2899" t="s">
        <v>569</v>
      </c>
      <c r="C2899" t="s">
        <v>899</v>
      </c>
      <c r="D2899" t="s">
        <v>3505</v>
      </c>
      <c r="E2899" t="s">
        <v>588</v>
      </c>
      <c r="F2899" t="s">
        <v>11090</v>
      </c>
      <c r="G2899" t="s">
        <v>7714</v>
      </c>
      <c r="H2899" t="s">
        <v>905</v>
      </c>
      <c r="I2899" t="s">
        <v>9725</v>
      </c>
      <c r="J2899" t="s">
        <v>899</v>
      </c>
      <c r="L2899">
        <v>3</v>
      </c>
      <c r="M2899" s="134">
        <v>1566000</v>
      </c>
      <c r="N2899" s="134">
        <v>2200000</v>
      </c>
      <c r="O2899" t="s">
        <v>4533</v>
      </c>
      <c r="P2899" t="s">
        <v>11089</v>
      </c>
      <c r="Q2899" t="s">
        <v>1939</v>
      </c>
      <c r="R2899" t="s">
        <v>11088</v>
      </c>
      <c r="U2899" t="s">
        <v>1327</v>
      </c>
      <c r="X2899">
        <v>0</v>
      </c>
    </row>
    <row r="2900" spans="1:24" x14ac:dyDescent="0.25">
      <c r="A2900" s="234">
        <v>43201</v>
      </c>
      <c r="B2900" t="s">
        <v>569</v>
      </c>
      <c r="C2900" t="s">
        <v>899</v>
      </c>
      <c r="D2900" t="s">
        <v>625</v>
      </c>
      <c r="E2900" t="s">
        <v>588</v>
      </c>
      <c r="F2900" t="s">
        <v>10921</v>
      </c>
      <c r="G2900" t="s">
        <v>10922</v>
      </c>
      <c r="H2900" t="s">
        <v>607</v>
      </c>
      <c r="I2900" t="s">
        <v>10925</v>
      </c>
      <c r="J2900" t="s">
        <v>899</v>
      </c>
      <c r="L2900">
        <v>2</v>
      </c>
      <c r="M2900" s="134">
        <v>1567730</v>
      </c>
      <c r="N2900" s="134">
        <v>2775600</v>
      </c>
      <c r="O2900" t="s">
        <v>10766</v>
      </c>
      <c r="P2900" t="s">
        <v>10926</v>
      </c>
      <c r="Q2900" t="s">
        <v>592</v>
      </c>
      <c r="R2900" t="s">
        <v>10927</v>
      </c>
      <c r="U2900" t="s">
        <v>1327</v>
      </c>
      <c r="X2900">
        <v>0</v>
      </c>
    </row>
    <row r="2901" spans="1:24" x14ac:dyDescent="0.25">
      <c r="A2901" s="234">
        <v>43137</v>
      </c>
      <c r="B2901" t="s">
        <v>9240</v>
      </c>
      <c r="C2901" t="s">
        <v>603</v>
      </c>
      <c r="D2901" t="s">
        <v>9241</v>
      </c>
      <c r="E2901" t="s">
        <v>588</v>
      </c>
      <c r="F2901" t="s">
        <v>10245</v>
      </c>
      <c r="G2901" t="s">
        <v>9037</v>
      </c>
      <c r="H2901" t="s">
        <v>607</v>
      </c>
      <c r="I2901" t="s">
        <v>5691</v>
      </c>
      <c r="J2901" t="s">
        <v>3751</v>
      </c>
      <c r="M2901" s="134">
        <v>1570000</v>
      </c>
      <c r="N2901" s="134">
        <v>3000000</v>
      </c>
      <c r="O2901" t="s">
        <v>560</v>
      </c>
      <c r="P2901" t="s">
        <v>10246</v>
      </c>
      <c r="Q2901" t="s">
        <v>1939</v>
      </c>
      <c r="R2901" t="s">
        <v>10247</v>
      </c>
      <c r="U2901" t="s">
        <v>491</v>
      </c>
      <c r="X2901">
        <v>0</v>
      </c>
    </row>
    <row r="2902" spans="1:24" x14ac:dyDescent="0.25">
      <c r="A2902" s="234">
        <v>42430</v>
      </c>
      <c r="B2902" t="s">
        <v>643</v>
      </c>
      <c r="D2902" t="s">
        <v>645</v>
      </c>
      <c r="E2902" t="s">
        <v>588</v>
      </c>
      <c r="F2902" t="s">
        <v>1179</v>
      </c>
      <c r="H2902" t="s">
        <v>607</v>
      </c>
      <c r="I2902" t="s">
        <v>1180</v>
      </c>
      <c r="M2902" s="134">
        <v>1570400</v>
      </c>
      <c r="N2902" s="134">
        <v>4202000</v>
      </c>
      <c r="O2902" t="s">
        <v>891</v>
      </c>
      <c r="P2902" t="s">
        <v>1182</v>
      </c>
      <c r="Q2902" t="s">
        <v>592</v>
      </c>
      <c r="R2902" t="s">
        <v>1181</v>
      </c>
      <c r="U2902" t="s">
        <v>491</v>
      </c>
      <c r="X2902">
        <v>0</v>
      </c>
    </row>
    <row r="2903" spans="1:24" x14ac:dyDescent="0.25">
      <c r="A2903" s="234">
        <v>42541</v>
      </c>
      <c r="B2903" t="s">
        <v>378</v>
      </c>
      <c r="C2903" t="s">
        <v>623</v>
      </c>
      <c r="D2903" t="s">
        <v>930</v>
      </c>
      <c r="E2903" t="s">
        <v>588</v>
      </c>
      <c r="F2903" t="s">
        <v>2603</v>
      </c>
      <c r="H2903" t="s">
        <v>607</v>
      </c>
      <c r="I2903" t="s">
        <v>2604</v>
      </c>
      <c r="M2903" s="134">
        <v>1572000</v>
      </c>
      <c r="N2903" s="134">
        <v>3367600</v>
      </c>
      <c r="O2903" t="s">
        <v>891</v>
      </c>
      <c r="P2903" t="s">
        <v>2605</v>
      </c>
      <c r="Q2903" t="s">
        <v>592</v>
      </c>
      <c r="R2903" t="s">
        <v>2606</v>
      </c>
      <c r="U2903" t="s">
        <v>491</v>
      </c>
      <c r="X2903">
        <v>0</v>
      </c>
    </row>
    <row r="2904" spans="1:24" x14ac:dyDescent="0.25">
      <c r="A2904" s="234">
        <v>42958</v>
      </c>
      <c r="B2904" t="s">
        <v>328</v>
      </c>
      <c r="C2904" t="s">
        <v>603</v>
      </c>
      <c r="D2904" t="s">
        <v>1401</v>
      </c>
      <c r="E2904" t="s">
        <v>588</v>
      </c>
      <c r="F2904" t="s">
        <v>8142</v>
      </c>
      <c r="G2904" t="s">
        <v>8143</v>
      </c>
      <c r="H2904" t="s">
        <v>607</v>
      </c>
      <c r="I2904" t="s">
        <v>8144</v>
      </c>
      <c r="J2904" t="s">
        <v>899</v>
      </c>
      <c r="L2904">
        <v>10</v>
      </c>
      <c r="M2904" s="134">
        <v>1575900</v>
      </c>
      <c r="N2904" s="134">
        <v>2800000</v>
      </c>
      <c r="O2904" t="s">
        <v>764</v>
      </c>
      <c r="P2904" t="s">
        <v>8145</v>
      </c>
      <c r="Q2904" t="s">
        <v>1939</v>
      </c>
      <c r="R2904" t="s">
        <v>8146</v>
      </c>
      <c r="T2904">
        <v>15</v>
      </c>
      <c r="U2904" t="s">
        <v>491</v>
      </c>
      <c r="X2904">
        <v>0</v>
      </c>
    </row>
    <row r="2905" spans="1:24" x14ac:dyDescent="0.25">
      <c r="A2905" s="234">
        <v>43613</v>
      </c>
      <c r="B2905" t="s">
        <v>328</v>
      </c>
      <c r="C2905" t="s">
        <v>603</v>
      </c>
      <c r="D2905" t="s">
        <v>10338</v>
      </c>
      <c r="F2905" t="s">
        <v>15778</v>
      </c>
      <c r="G2905" t="s">
        <v>15779</v>
      </c>
      <c r="H2905" t="s">
        <v>10832</v>
      </c>
      <c r="I2905" t="s">
        <v>15780</v>
      </c>
      <c r="J2905" t="s">
        <v>899</v>
      </c>
      <c r="K2905" t="s">
        <v>15781</v>
      </c>
      <c r="L2905">
        <v>4</v>
      </c>
      <c r="M2905" s="134">
        <v>1578000</v>
      </c>
      <c r="N2905" s="134">
        <v>1953000</v>
      </c>
      <c r="O2905" t="s">
        <v>10762</v>
      </c>
      <c r="P2905" t="s">
        <v>15785</v>
      </c>
      <c r="Q2905" t="s">
        <v>29</v>
      </c>
      <c r="R2905" t="s">
        <v>15783</v>
      </c>
      <c r="S2905" t="s">
        <v>15784</v>
      </c>
      <c r="U2905" t="s">
        <v>491</v>
      </c>
      <c r="X2905">
        <v>1</v>
      </c>
    </row>
    <row r="2906" spans="1:24" x14ac:dyDescent="0.25">
      <c r="A2906" s="234">
        <v>43048</v>
      </c>
      <c r="B2906" t="s">
        <v>328</v>
      </c>
      <c r="C2906" t="s">
        <v>603</v>
      </c>
      <c r="D2906" t="s">
        <v>587</v>
      </c>
      <c r="E2906" t="s">
        <v>588</v>
      </c>
      <c r="F2906" t="s">
        <v>9389</v>
      </c>
      <c r="G2906" t="s">
        <v>8941</v>
      </c>
      <c r="H2906" t="s">
        <v>607</v>
      </c>
      <c r="I2906" t="s">
        <v>3793</v>
      </c>
      <c r="J2906" t="s">
        <v>899</v>
      </c>
      <c r="L2906">
        <v>10</v>
      </c>
      <c r="M2906" s="134">
        <v>1580000</v>
      </c>
      <c r="N2906" s="134">
        <v>2700000</v>
      </c>
      <c r="O2906" t="s">
        <v>764</v>
      </c>
      <c r="P2906" t="s">
        <v>6090</v>
      </c>
      <c r="Q2906" t="s">
        <v>592</v>
      </c>
      <c r="R2906" t="s">
        <v>9390</v>
      </c>
      <c r="U2906" t="s">
        <v>491</v>
      </c>
      <c r="X2906">
        <v>0</v>
      </c>
    </row>
    <row r="2907" spans="1:24" x14ac:dyDescent="0.25">
      <c r="A2907" s="234">
        <v>43132</v>
      </c>
      <c r="B2907" t="s">
        <v>9240</v>
      </c>
      <c r="C2907" t="s">
        <v>603</v>
      </c>
      <c r="D2907" t="s">
        <v>9241</v>
      </c>
      <c r="E2907" t="s">
        <v>588</v>
      </c>
      <c r="F2907" t="s">
        <v>289</v>
      </c>
      <c r="G2907" t="s">
        <v>10260</v>
      </c>
      <c r="H2907" t="s">
        <v>607</v>
      </c>
      <c r="I2907" t="s">
        <v>10261</v>
      </c>
      <c r="J2907" t="s">
        <v>4031</v>
      </c>
      <c r="L2907">
        <v>10</v>
      </c>
      <c r="M2907" s="134">
        <v>1587000</v>
      </c>
      <c r="N2907" s="134">
        <v>3332700</v>
      </c>
      <c r="O2907" t="s">
        <v>560</v>
      </c>
      <c r="P2907" t="s">
        <v>10262</v>
      </c>
      <c r="Q2907" t="s">
        <v>620</v>
      </c>
      <c r="R2907" t="s">
        <v>10263</v>
      </c>
      <c r="U2907" t="s">
        <v>1327</v>
      </c>
      <c r="X2907">
        <v>0</v>
      </c>
    </row>
    <row r="2908" spans="1:24" x14ac:dyDescent="0.25">
      <c r="A2908" s="234">
        <v>42768</v>
      </c>
      <c r="B2908" t="s">
        <v>569</v>
      </c>
      <c r="D2908" t="s">
        <v>930</v>
      </c>
      <c r="E2908" t="s">
        <v>588</v>
      </c>
      <c r="F2908" t="s">
        <v>5586</v>
      </c>
      <c r="H2908" t="s">
        <v>607</v>
      </c>
      <c r="I2908" t="s">
        <v>5449</v>
      </c>
      <c r="J2908" t="s">
        <v>899</v>
      </c>
      <c r="L2908">
        <v>10</v>
      </c>
      <c r="M2908" s="134">
        <v>1589000</v>
      </c>
      <c r="N2908" s="134">
        <v>2549000</v>
      </c>
      <c r="O2908" t="s">
        <v>560</v>
      </c>
      <c r="P2908" t="s">
        <v>5587</v>
      </c>
      <c r="Q2908" t="s">
        <v>1939</v>
      </c>
      <c r="R2908" t="s">
        <v>5588</v>
      </c>
      <c r="U2908" t="s">
        <v>491</v>
      </c>
      <c r="X2908">
        <v>0</v>
      </c>
    </row>
    <row r="2909" spans="1:24" x14ac:dyDescent="0.25">
      <c r="A2909" s="234">
        <v>43139</v>
      </c>
      <c r="B2909" t="s">
        <v>328</v>
      </c>
      <c r="C2909" t="s">
        <v>603</v>
      </c>
      <c r="D2909" t="s">
        <v>757</v>
      </c>
      <c r="E2909" t="s">
        <v>588</v>
      </c>
      <c r="F2909" t="s">
        <v>10311</v>
      </c>
      <c r="G2909" t="s">
        <v>10312</v>
      </c>
      <c r="H2909" t="s">
        <v>809</v>
      </c>
      <c r="J2909" t="s">
        <v>644</v>
      </c>
      <c r="M2909" s="134">
        <v>1600000</v>
      </c>
      <c r="N2909" s="134">
        <v>1600000</v>
      </c>
      <c r="O2909" t="s">
        <v>10762</v>
      </c>
      <c r="P2909" t="s">
        <v>10313</v>
      </c>
      <c r="Q2909" t="s">
        <v>29</v>
      </c>
      <c r="R2909" t="s">
        <v>10314</v>
      </c>
      <c r="U2909" t="s">
        <v>1327</v>
      </c>
      <c r="X2909">
        <v>1</v>
      </c>
    </row>
    <row r="2910" spans="1:24" x14ac:dyDescent="0.25">
      <c r="A2910" s="234">
        <v>43315</v>
      </c>
      <c r="B2910" t="s">
        <v>569</v>
      </c>
      <c r="C2910" t="s">
        <v>899</v>
      </c>
      <c r="D2910" t="s">
        <v>9981</v>
      </c>
      <c r="E2910" t="s">
        <v>588</v>
      </c>
      <c r="F2910" t="s">
        <v>12034</v>
      </c>
      <c r="G2910" t="s">
        <v>12035</v>
      </c>
      <c r="H2910" t="s">
        <v>886</v>
      </c>
      <c r="I2910" t="s">
        <v>11206</v>
      </c>
      <c r="J2910" t="s">
        <v>899</v>
      </c>
      <c r="L2910" t="s">
        <v>833</v>
      </c>
      <c r="M2910" s="134">
        <v>1600000</v>
      </c>
      <c r="N2910" s="134">
        <v>1600000</v>
      </c>
      <c r="O2910" t="s">
        <v>2295</v>
      </c>
      <c r="P2910" t="s">
        <v>12036</v>
      </c>
      <c r="Q2910" t="s">
        <v>29</v>
      </c>
      <c r="R2910" t="s">
        <v>12037</v>
      </c>
      <c r="U2910" t="s">
        <v>491</v>
      </c>
      <c r="X2910">
        <v>1</v>
      </c>
    </row>
    <row r="2911" spans="1:24" x14ac:dyDescent="0.25">
      <c r="A2911" s="234">
        <v>42796</v>
      </c>
      <c r="B2911" t="s">
        <v>569</v>
      </c>
      <c r="D2911" t="s">
        <v>625</v>
      </c>
      <c r="E2911" t="s">
        <v>588</v>
      </c>
      <c r="F2911" t="s">
        <v>5849</v>
      </c>
      <c r="H2911" t="s">
        <v>843</v>
      </c>
      <c r="I2911" t="s">
        <v>4237</v>
      </c>
      <c r="J2911" t="s">
        <v>899</v>
      </c>
      <c r="M2911" s="134">
        <v>1600000</v>
      </c>
      <c r="N2911" s="134">
        <v>1600000</v>
      </c>
      <c r="O2911" t="s">
        <v>560</v>
      </c>
      <c r="P2911" t="s">
        <v>5850</v>
      </c>
      <c r="Q2911" t="s">
        <v>29</v>
      </c>
      <c r="R2911" t="s">
        <v>5851</v>
      </c>
      <c r="U2911" t="s">
        <v>491</v>
      </c>
      <c r="X2911">
        <v>1</v>
      </c>
    </row>
    <row r="2912" spans="1:24" x14ac:dyDescent="0.25">
      <c r="A2912" s="234">
        <v>42489</v>
      </c>
      <c r="B2912" t="s">
        <v>1486</v>
      </c>
      <c r="C2912" t="s">
        <v>1883</v>
      </c>
      <c r="D2912" t="s">
        <v>727</v>
      </c>
      <c r="E2912" t="s">
        <v>588</v>
      </c>
      <c r="F2912" t="s">
        <v>1884</v>
      </c>
      <c r="H2912" t="s">
        <v>607</v>
      </c>
      <c r="I2912" t="s">
        <v>1885</v>
      </c>
      <c r="M2912" s="134">
        <v>1600000</v>
      </c>
      <c r="N2912" s="134">
        <v>1610000</v>
      </c>
      <c r="O2912" t="s">
        <v>1887</v>
      </c>
      <c r="P2912" t="s">
        <v>1886</v>
      </c>
      <c r="Q2912" t="s">
        <v>592</v>
      </c>
      <c r="R2912" t="s">
        <v>1888</v>
      </c>
      <c r="S2912" t="s">
        <v>15998</v>
      </c>
      <c r="U2912" t="s">
        <v>491</v>
      </c>
      <c r="X2912">
        <v>0</v>
      </c>
    </row>
    <row r="2913" spans="1:24" x14ac:dyDescent="0.25">
      <c r="A2913" s="234">
        <v>42831</v>
      </c>
      <c r="B2913" t="s">
        <v>328</v>
      </c>
      <c r="C2913" t="s">
        <v>603</v>
      </c>
      <c r="D2913" t="s">
        <v>1401</v>
      </c>
      <c r="E2913" t="s">
        <v>588</v>
      </c>
      <c r="F2913" t="s">
        <v>6276</v>
      </c>
      <c r="H2913" t="s">
        <v>1050</v>
      </c>
      <c r="I2913" t="s">
        <v>6277</v>
      </c>
      <c r="J2913" t="s">
        <v>608</v>
      </c>
      <c r="L2913">
        <v>6</v>
      </c>
      <c r="M2913" s="134">
        <v>1600000</v>
      </c>
      <c r="N2913" s="134">
        <v>1785000</v>
      </c>
      <c r="O2913" t="s">
        <v>695</v>
      </c>
      <c r="P2913" t="s">
        <v>6313</v>
      </c>
      <c r="Q2913" t="s">
        <v>592</v>
      </c>
      <c r="R2913" t="s">
        <v>6278</v>
      </c>
      <c r="U2913" t="s">
        <v>491</v>
      </c>
      <c r="X2913">
        <v>0</v>
      </c>
    </row>
    <row r="2914" spans="1:24" x14ac:dyDescent="0.25">
      <c r="A2914" s="234">
        <v>43314</v>
      </c>
      <c r="B2914" t="s">
        <v>569</v>
      </c>
      <c r="C2914" t="s">
        <v>899</v>
      </c>
      <c r="D2914" t="s">
        <v>624</v>
      </c>
      <c r="E2914" t="s">
        <v>588</v>
      </c>
      <c r="F2914" t="s">
        <v>12026</v>
      </c>
      <c r="H2914" t="s">
        <v>905</v>
      </c>
      <c r="I2914" t="s">
        <v>12027</v>
      </c>
      <c r="J2914" t="s">
        <v>899</v>
      </c>
      <c r="L2914">
        <v>3</v>
      </c>
      <c r="M2914" s="134">
        <v>1600000</v>
      </c>
      <c r="N2914" s="134">
        <v>1920000</v>
      </c>
      <c r="O2914" t="s">
        <v>10766</v>
      </c>
      <c r="P2914" t="s">
        <v>12028</v>
      </c>
      <c r="Q2914" t="s">
        <v>620</v>
      </c>
      <c r="R2914" t="s">
        <v>12029</v>
      </c>
      <c r="U2914" t="s">
        <v>491</v>
      </c>
      <c r="X2914">
        <v>0</v>
      </c>
    </row>
    <row r="2915" spans="1:24" x14ac:dyDescent="0.25">
      <c r="A2915" s="234">
        <v>42690</v>
      </c>
      <c r="B2915" t="s">
        <v>328</v>
      </c>
      <c r="C2915" t="s">
        <v>603</v>
      </c>
      <c r="D2915" t="s">
        <v>1471</v>
      </c>
      <c r="E2915" t="s">
        <v>588</v>
      </c>
      <c r="F2915" t="s">
        <v>4717</v>
      </c>
      <c r="H2915" t="s">
        <v>905</v>
      </c>
      <c r="I2915" t="s">
        <v>3388</v>
      </c>
      <c r="J2915" t="s">
        <v>899</v>
      </c>
      <c r="L2915">
        <v>1</v>
      </c>
      <c r="M2915" s="134">
        <v>1600000</v>
      </c>
      <c r="N2915" s="134">
        <v>2095000</v>
      </c>
      <c r="O2915" t="s">
        <v>560</v>
      </c>
      <c r="P2915" t="s">
        <v>4718</v>
      </c>
      <c r="Q2915" t="s">
        <v>592</v>
      </c>
      <c r="U2915" t="s">
        <v>491</v>
      </c>
      <c r="X2915">
        <v>0</v>
      </c>
    </row>
    <row r="2916" spans="1:24" x14ac:dyDescent="0.25">
      <c r="A2916" s="234">
        <v>42845</v>
      </c>
      <c r="B2916" t="s">
        <v>328</v>
      </c>
      <c r="C2916" t="s">
        <v>603</v>
      </c>
      <c r="D2916" t="s">
        <v>649</v>
      </c>
      <c r="E2916" t="s">
        <v>588</v>
      </c>
      <c r="F2916" t="s">
        <v>6486</v>
      </c>
      <c r="H2916" t="s">
        <v>5321</v>
      </c>
      <c r="I2916" t="s">
        <v>3929</v>
      </c>
      <c r="J2916" t="s">
        <v>899</v>
      </c>
      <c r="L2916">
        <v>1</v>
      </c>
      <c r="M2916" s="134">
        <v>1600000</v>
      </c>
      <c r="N2916" s="134">
        <v>2120000</v>
      </c>
      <c r="O2916" t="s">
        <v>2908</v>
      </c>
      <c r="P2916" t="s">
        <v>6487</v>
      </c>
      <c r="Q2916" t="s">
        <v>592</v>
      </c>
      <c r="U2916" t="s">
        <v>491</v>
      </c>
      <c r="X2916">
        <v>0</v>
      </c>
    </row>
    <row r="2917" spans="1:24" x14ac:dyDescent="0.25">
      <c r="A2917" s="234">
        <v>43168</v>
      </c>
      <c r="B2917" t="s">
        <v>569</v>
      </c>
      <c r="C2917" t="s">
        <v>899</v>
      </c>
      <c r="D2917" t="s">
        <v>625</v>
      </c>
      <c r="E2917" t="s">
        <v>588</v>
      </c>
      <c r="F2917" t="s">
        <v>10549</v>
      </c>
      <c r="G2917" t="s">
        <v>10550</v>
      </c>
      <c r="H2917" t="s">
        <v>607</v>
      </c>
      <c r="I2917" t="s">
        <v>4563</v>
      </c>
      <c r="J2917" t="s">
        <v>899</v>
      </c>
      <c r="M2917" s="134">
        <v>1600000</v>
      </c>
      <c r="N2917" s="134">
        <v>2460000</v>
      </c>
      <c r="O2917" t="s">
        <v>10766</v>
      </c>
      <c r="P2917" t="s">
        <v>10629</v>
      </c>
      <c r="Q2917" t="s">
        <v>1939</v>
      </c>
      <c r="R2917" t="s">
        <v>10656</v>
      </c>
      <c r="U2917" t="s">
        <v>1327</v>
      </c>
      <c r="X2917">
        <v>0</v>
      </c>
    </row>
    <row r="2918" spans="1:24" x14ac:dyDescent="0.25">
      <c r="A2918" s="234">
        <v>42704</v>
      </c>
      <c r="B2918" t="s">
        <v>378</v>
      </c>
      <c r="C2918" t="s">
        <v>623</v>
      </c>
      <c r="D2918" t="s">
        <v>625</v>
      </c>
      <c r="E2918" t="s">
        <v>588</v>
      </c>
      <c r="F2918" t="s">
        <v>4852</v>
      </c>
      <c r="H2918" t="s">
        <v>4132</v>
      </c>
      <c r="I2918" t="s">
        <v>4853</v>
      </c>
      <c r="J2918" t="s">
        <v>899</v>
      </c>
      <c r="L2918">
        <v>3</v>
      </c>
      <c r="M2918" s="134">
        <v>1600000</v>
      </c>
      <c r="N2918" s="134">
        <v>2460000</v>
      </c>
      <c r="O2918" t="s">
        <v>4732</v>
      </c>
      <c r="P2918" t="s">
        <v>4854</v>
      </c>
      <c r="Q2918" t="s">
        <v>1939</v>
      </c>
      <c r="R2918" t="s">
        <v>4855</v>
      </c>
      <c r="U2918" t="s">
        <v>491</v>
      </c>
      <c r="X2918">
        <v>0</v>
      </c>
    </row>
    <row r="2919" spans="1:24" x14ac:dyDescent="0.25">
      <c r="A2919" s="234">
        <v>43314</v>
      </c>
      <c r="B2919" t="s">
        <v>328</v>
      </c>
      <c r="C2919" t="s">
        <v>603</v>
      </c>
      <c r="D2919" t="s">
        <v>5701</v>
      </c>
      <c r="E2919" t="s">
        <v>588</v>
      </c>
      <c r="F2919" t="s">
        <v>12017</v>
      </c>
      <c r="G2919" t="s">
        <v>11205</v>
      </c>
      <c r="H2919" t="s">
        <v>10831</v>
      </c>
      <c r="I2919" t="s">
        <v>7088</v>
      </c>
      <c r="J2919" t="s">
        <v>899</v>
      </c>
      <c r="M2919" s="134">
        <v>1600000</v>
      </c>
      <c r="N2919" s="134">
        <v>2550000</v>
      </c>
      <c r="O2919" t="s">
        <v>4533</v>
      </c>
      <c r="P2919" t="s">
        <v>12018</v>
      </c>
      <c r="Q2919" t="s">
        <v>1939</v>
      </c>
      <c r="R2919" t="s">
        <v>12025</v>
      </c>
      <c r="U2919" t="s">
        <v>491</v>
      </c>
      <c r="X2919">
        <v>0</v>
      </c>
    </row>
    <row r="2920" spans="1:24" x14ac:dyDescent="0.25">
      <c r="A2920" s="234">
        <v>43220</v>
      </c>
      <c r="B2920" t="s">
        <v>643</v>
      </c>
      <c r="C2920" t="s">
        <v>644</v>
      </c>
      <c r="D2920" t="s">
        <v>645</v>
      </c>
      <c r="E2920" t="s">
        <v>588</v>
      </c>
      <c r="F2920" t="s">
        <v>11084</v>
      </c>
      <c r="G2920" t="s">
        <v>11083</v>
      </c>
      <c r="H2920" t="s">
        <v>809</v>
      </c>
      <c r="I2920" t="s">
        <v>5212</v>
      </c>
      <c r="J2920" t="s">
        <v>644</v>
      </c>
      <c r="L2920">
        <v>2</v>
      </c>
      <c r="M2920" s="134">
        <v>1600000</v>
      </c>
      <c r="N2920" s="134">
        <v>2560000</v>
      </c>
      <c r="O2920" t="s">
        <v>560</v>
      </c>
      <c r="P2920" t="s">
        <v>11082</v>
      </c>
      <c r="Q2920" t="s">
        <v>1939</v>
      </c>
      <c r="R2920" t="s">
        <v>11081</v>
      </c>
      <c r="U2920" t="s">
        <v>1327</v>
      </c>
      <c r="X2920">
        <v>0</v>
      </c>
    </row>
    <row r="2921" spans="1:24" x14ac:dyDescent="0.25">
      <c r="A2921" s="234">
        <v>43538</v>
      </c>
      <c r="B2921" t="s">
        <v>328</v>
      </c>
      <c r="C2921" t="s">
        <v>603</v>
      </c>
      <c r="D2921" t="s">
        <v>649</v>
      </c>
      <c r="F2921" t="s">
        <v>14711</v>
      </c>
      <c r="G2921" t="s">
        <v>14712</v>
      </c>
      <c r="H2921" t="s">
        <v>10831</v>
      </c>
      <c r="I2921" t="s">
        <v>14713</v>
      </c>
      <c r="J2921" t="s">
        <v>3751</v>
      </c>
      <c r="K2921" t="s">
        <v>13087</v>
      </c>
      <c r="L2921">
        <v>3</v>
      </c>
      <c r="M2921" s="134">
        <v>1600000</v>
      </c>
      <c r="N2921" s="134">
        <v>2880000</v>
      </c>
      <c r="O2921" t="s">
        <v>7564</v>
      </c>
      <c r="P2921" t="s">
        <v>14714</v>
      </c>
      <c r="Q2921" t="s">
        <v>592</v>
      </c>
      <c r="R2921" t="s">
        <v>14715</v>
      </c>
      <c r="U2921" t="s">
        <v>12797</v>
      </c>
      <c r="X2921">
        <v>0</v>
      </c>
    </row>
    <row r="2922" spans="1:24" x14ac:dyDescent="0.25">
      <c r="A2922" s="234">
        <v>42766</v>
      </c>
      <c r="B2922" t="s">
        <v>569</v>
      </c>
      <c r="D2922" t="s">
        <v>624</v>
      </c>
      <c r="E2922" t="s">
        <v>588</v>
      </c>
      <c r="F2922" t="s">
        <v>5549</v>
      </c>
      <c r="H2922" t="s">
        <v>607</v>
      </c>
      <c r="I2922" t="s">
        <v>5505</v>
      </c>
      <c r="J2922" t="s">
        <v>899</v>
      </c>
      <c r="L2922">
        <v>3</v>
      </c>
      <c r="M2922" s="134">
        <v>1600000</v>
      </c>
      <c r="N2922" s="134">
        <v>2880000</v>
      </c>
      <c r="O2922" t="s">
        <v>35</v>
      </c>
      <c r="P2922" t="s">
        <v>5550</v>
      </c>
      <c r="Q2922" t="s">
        <v>1939</v>
      </c>
      <c r="R2922" t="s">
        <v>5551</v>
      </c>
      <c r="U2922" t="s">
        <v>491</v>
      </c>
      <c r="X2922">
        <v>0</v>
      </c>
    </row>
    <row r="2923" spans="1:24" x14ac:dyDescent="0.25">
      <c r="A2923" s="234">
        <v>42689</v>
      </c>
      <c r="B2923" t="s">
        <v>378</v>
      </c>
      <c r="C2923" t="s">
        <v>623</v>
      </c>
      <c r="D2923" t="s">
        <v>625</v>
      </c>
      <c r="E2923" t="s">
        <v>588</v>
      </c>
      <c r="F2923" t="s">
        <v>4699</v>
      </c>
      <c r="H2923" t="s">
        <v>607</v>
      </c>
      <c r="I2923" t="s">
        <v>4700</v>
      </c>
      <c r="J2923" t="s">
        <v>899</v>
      </c>
      <c r="L2923">
        <v>10</v>
      </c>
      <c r="M2923" s="134">
        <v>1600000</v>
      </c>
      <c r="N2923" s="134">
        <v>2880000</v>
      </c>
      <c r="O2923" t="s">
        <v>1111</v>
      </c>
      <c r="P2923" t="s">
        <v>4701</v>
      </c>
      <c r="Q2923" t="s">
        <v>592</v>
      </c>
      <c r="U2923" t="s">
        <v>491</v>
      </c>
      <c r="X2923">
        <v>0</v>
      </c>
    </row>
    <row r="2924" spans="1:24" x14ac:dyDescent="0.25">
      <c r="A2924" s="234">
        <v>43340</v>
      </c>
      <c r="B2924" t="s">
        <v>569</v>
      </c>
      <c r="C2924" t="s">
        <v>899</v>
      </c>
      <c r="D2924" t="s">
        <v>3505</v>
      </c>
      <c r="E2924" t="s">
        <v>588</v>
      </c>
      <c r="F2924" t="s">
        <v>12346</v>
      </c>
      <c r="G2924" t="s">
        <v>7747</v>
      </c>
      <c r="H2924" t="s">
        <v>607</v>
      </c>
      <c r="I2924" t="s">
        <v>12347</v>
      </c>
      <c r="J2924" t="s">
        <v>899</v>
      </c>
      <c r="L2924">
        <v>3</v>
      </c>
      <c r="M2924" s="134">
        <v>1600000</v>
      </c>
      <c r="N2924" s="134">
        <v>2900000</v>
      </c>
      <c r="O2924" t="s">
        <v>10766</v>
      </c>
      <c r="P2924" t="s">
        <v>12508</v>
      </c>
      <c r="Q2924" t="s">
        <v>592</v>
      </c>
      <c r="R2924" t="s">
        <v>12348</v>
      </c>
      <c r="U2924" t="s">
        <v>491</v>
      </c>
      <c r="X2924">
        <v>0</v>
      </c>
    </row>
    <row r="2925" spans="1:24" x14ac:dyDescent="0.25">
      <c r="A2925" s="234">
        <v>42811</v>
      </c>
      <c r="B2925" t="s">
        <v>569</v>
      </c>
      <c r="C2925" t="s">
        <v>899</v>
      </c>
      <c r="D2925" t="s">
        <v>625</v>
      </c>
      <c r="E2925" t="s">
        <v>588</v>
      </c>
      <c r="F2925" t="s">
        <v>5997</v>
      </c>
      <c r="H2925" t="s">
        <v>607</v>
      </c>
      <c r="I2925" t="s">
        <v>5998</v>
      </c>
      <c r="J2925" t="s">
        <v>899</v>
      </c>
      <c r="L2925">
        <v>2</v>
      </c>
      <c r="M2925" s="134">
        <v>1600000</v>
      </c>
      <c r="N2925" s="134">
        <v>2912000</v>
      </c>
      <c r="O2925" t="s">
        <v>5999</v>
      </c>
      <c r="P2925" t="s">
        <v>6000</v>
      </c>
      <c r="Q2925" t="s">
        <v>1939</v>
      </c>
      <c r="R2925" t="s">
        <v>6307</v>
      </c>
      <c r="U2925" t="s">
        <v>1327</v>
      </c>
      <c r="X2925">
        <v>0</v>
      </c>
    </row>
    <row r="2926" spans="1:24" x14ac:dyDescent="0.25">
      <c r="A2926" s="234">
        <v>43105</v>
      </c>
      <c r="B2926" t="s">
        <v>328</v>
      </c>
      <c r="C2926" t="s">
        <v>603</v>
      </c>
      <c r="D2926" t="s">
        <v>649</v>
      </c>
      <c r="E2926" t="s">
        <v>588</v>
      </c>
      <c r="F2926" t="s">
        <v>9967</v>
      </c>
      <c r="G2926" t="s">
        <v>8490</v>
      </c>
      <c r="H2926" t="s">
        <v>10831</v>
      </c>
      <c r="I2926" t="s">
        <v>4598</v>
      </c>
      <c r="J2926" t="s">
        <v>3373</v>
      </c>
      <c r="L2926">
        <v>9</v>
      </c>
      <c r="M2926" s="134">
        <v>1600000</v>
      </c>
      <c r="N2926" s="134">
        <v>2960000</v>
      </c>
      <c r="O2926" t="s">
        <v>560</v>
      </c>
      <c r="P2926" t="s">
        <v>9968</v>
      </c>
      <c r="Q2926" t="s">
        <v>592</v>
      </c>
      <c r="R2926" t="s">
        <v>9969</v>
      </c>
      <c r="U2926" t="s">
        <v>1327</v>
      </c>
      <c r="X2926">
        <v>0</v>
      </c>
    </row>
    <row r="2927" spans="1:24" x14ac:dyDescent="0.25">
      <c r="A2927" s="234">
        <v>43070</v>
      </c>
      <c r="B2927" t="s">
        <v>328</v>
      </c>
      <c r="C2927" t="s">
        <v>603</v>
      </c>
      <c r="D2927" t="s">
        <v>649</v>
      </c>
      <c r="E2927" t="s">
        <v>588</v>
      </c>
      <c r="F2927" t="s">
        <v>9599</v>
      </c>
      <c r="G2927" t="s">
        <v>1877</v>
      </c>
      <c r="H2927" t="s">
        <v>607</v>
      </c>
      <c r="I2927" t="s">
        <v>9600</v>
      </c>
      <c r="J2927" t="s">
        <v>899</v>
      </c>
      <c r="L2927">
        <v>4</v>
      </c>
      <c r="M2927" s="134">
        <v>1600000</v>
      </c>
      <c r="N2927" s="134">
        <v>3010000</v>
      </c>
      <c r="O2927" t="s">
        <v>560</v>
      </c>
      <c r="P2927" t="s">
        <v>9601</v>
      </c>
      <c r="Q2927" t="s">
        <v>592</v>
      </c>
      <c r="R2927" t="s">
        <v>9602</v>
      </c>
      <c r="U2927" t="s">
        <v>1327</v>
      </c>
      <c r="X2927">
        <v>0</v>
      </c>
    </row>
    <row r="2928" spans="1:24" x14ac:dyDescent="0.25">
      <c r="A2928" s="234">
        <v>43168</v>
      </c>
      <c r="B2928" t="s">
        <v>328</v>
      </c>
      <c r="C2928" t="s">
        <v>603</v>
      </c>
      <c r="D2928" t="s">
        <v>2397</v>
      </c>
      <c r="E2928" t="s">
        <v>588</v>
      </c>
      <c r="F2928" t="s">
        <v>8776</v>
      </c>
      <c r="G2928" t="s">
        <v>10543</v>
      </c>
      <c r="H2928" t="s">
        <v>607</v>
      </c>
      <c r="J2928" t="s">
        <v>3733</v>
      </c>
      <c r="L2928">
        <v>1</v>
      </c>
      <c r="M2928" s="134">
        <v>1600000</v>
      </c>
      <c r="N2928" s="134">
        <v>3040000</v>
      </c>
      <c r="O2928" t="s">
        <v>7564</v>
      </c>
      <c r="P2928" t="s">
        <v>10544</v>
      </c>
      <c r="Q2928" t="s">
        <v>1939</v>
      </c>
      <c r="R2928" t="s">
        <v>10545</v>
      </c>
      <c r="U2928" t="s">
        <v>1327</v>
      </c>
      <c r="X2928">
        <v>0</v>
      </c>
    </row>
    <row r="2929" spans="1:24" x14ac:dyDescent="0.25">
      <c r="A2929" s="234">
        <v>42969</v>
      </c>
      <c r="B2929" t="s">
        <v>569</v>
      </c>
      <c r="C2929" t="s">
        <v>899</v>
      </c>
      <c r="D2929" t="s">
        <v>625</v>
      </c>
      <c r="E2929" t="s">
        <v>588</v>
      </c>
      <c r="F2929" t="s">
        <v>8237</v>
      </c>
      <c r="G2929" t="s">
        <v>8238</v>
      </c>
      <c r="H2929" t="s">
        <v>607</v>
      </c>
      <c r="I2929" t="s">
        <v>8239</v>
      </c>
      <c r="J2929" t="s">
        <v>899</v>
      </c>
      <c r="L2929">
        <v>10</v>
      </c>
      <c r="M2929" s="134">
        <v>1600000</v>
      </c>
      <c r="N2929" s="134">
        <v>3080000</v>
      </c>
      <c r="O2929" t="s">
        <v>560</v>
      </c>
      <c r="P2929" t="s">
        <v>8240</v>
      </c>
      <c r="Q2929" t="s">
        <v>29</v>
      </c>
      <c r="R2929" t="s">
        <v>8241</v>
      </c>
      <c r="T2929">
        <v>25</v>
      </c>
      <c r="U2929" t="s">
        <v>491</v>
      </c>
      <c r="X2929">
        <v>1</v>
      </c>
    </row>
    <row r="2930" spans="1:24" x14ac:dyDescent="0.25">
      <c r="A2930" s="234">
        <v>42439</v>
      </c>
      <c r="B2930" t="s">
        <v>328</v>
      </c>
      <c r="C2930" t="s">
        <v>603</v>
      </c>
      <c r="D2930" t="s">
        <v>672</v>
      </c>
      <c r="E2930" t="s">
        <v>588</v>
      </c>
      <c r="F2930" t="s">
        <v>1276</v>
      </c>
      <c r="H2930" t="s">
        <v>607</v>
      </c>
      <c r="I2930" t="s">
        <v>1277</v>
      </c>
      <c r="M2930" s="134">
        <v>1600000</v>
      </c>
      <c r="N2930" s="134">
        <v>3128000</v>
      </c>
      <c r="O2930" t="s">
        <v>891</v>
      </c>
      <c r="P2930" t="s">
        <v>1278</v>
      </c>
      <c r="Q2930" t="s">
        <v>592</v>
      </c>
      <c r="U2930" t="s">
        <v>491</v>
      </c>
      <c r="X2930">
        <v>0</v>
      </c>
    </row>
    <row r="2931" spans="1:24" x14ac:dyDescent="0.25">
      <c r="A2931" s="234">
        <v>42900</v>
      </c>
      <c r="B2931" t="s">
        <v>328</v>
      </c>
      <c r="C2931" t="s">
        <v>603</v>
      </c>
      <c r="D2931" t="s">
        <v>672</v>
      </c>
      <c r="E2931" t="s">
        <v>588</v>
      </c>
      <c r="F2931" t="s">
        <v>7187</v>
      </c>
      <c r="H2931" t="s">
        <v>607</v>
      </c>
      <c r="I2931" t="s">
        <v>7188</v>
      </c>
      <c r="J2931" t="s">
        <v>899</v>
      </c>
      <c r="L2931">
        <v>4</v>
      </c>
      <c r="M2931" s="134">
        <v>1600000</v>
      </c>
      <c r="N2931" s="134">
        <v>3200000</v>
      </c>
      <c r="O2931" t="s">
        <v>35</v>
      </c>
      <c r="P2931" t="s">
        <v>7192</v>
      </c>
      <c r="Q2931" t="s">
        <v>1939</v>
      </c>
      <c r="R2931" t="s">
        <v>7193</v>
      </c>
      <c r="S2931" t="s">
        <v>7194</v>
      </c>
      <c r="U2931" t="s">
        <v>491</v>
      </c>
      <c r="X2931">
        <v>0</v>
      </c>
    </row>
    <row r="2932" spans="1:24" x14ac:dyDescent="0.25">
      <c r="A2932" s="234">
        <v>42962</v>
      </c>
      <c r="B2932" t="s">
        <v>328</v>
      </c>
      <c r="C2932" t="s">
        <v>603</v>
      </c>
      <c r="D2932" t="s">
        <v>2397</v>
      </c>
      <c r="E2932" t="s">
        <v>588</v>
      </c>
      <c r="F2932" t="s">
        <v>8157</v>
      </c>
      <c r="G2932" t="s">
        <v>8156</v>
      </c>
      <c r="H2932" t="s">
        <v>607</v>
      </c>
      <c r="I2932" t="s">
        <v>8155</v>
      </c>
      <c r="J2932" t="s">
        <v>3369</v>
      </c>
      <c r="L2932">
        <v>3</v>
      </c>
      <c r="M2932" s="134">
        <v>1600000</v>
      </c>
      <c r="N2932" s="134">
        <v>3280000</v>
      </c>
      <c r="O2932" t="s">
        <v>8153</v>
      </c>
      <c r="P2932" t="s">
        <v>8154</v>
      </c>
      <c r="Q2932" t="s">
        <v>1939</v>
      </c>
      <c r="R2932" t="s">
        <v>8152</v>
      </c>
      <c r="U2932" t="s">
        <v>1327</v>
      </c>
      <c r="X2932">
        <v>0</v>
      </c>
    </row>
    <row r="2933" spans="1:24" x14ac:dyDescent="0.25">
      <c r="A2933" s="234">
        <v>42611</v>
      </c>
      <c r="B2933" t="s">
        <v>328</v>
      </c>
      <c r="C2933" t="s">
        <v>603</v>
      </c>
      <c r="D2933" t="s">
        <v>587</v>
      </c>
      <c r="E2933" t="s">
        <v>588</v>
      </c>
      <c r="F2933" t="s">
        <v>3663</v>
      </c>
      <c r="H2933" t="s">
        <v>607</v>
      </c>
      <c r="I2933" t="s">
        <v>3664</v>
      </c>
      <c r="J2933" t="s">
        <v>608</v>
      </c>
      <c r="L2933">
        <v>10</v>
      </c>
      <c r="M2933" s="134">
        <v>1600000</v>
      </c>
      <c r="N2933" s="134">
        <v>3360000</v>
      </c>
      <c r="O2933" t="s">
        <v>3665</v>
      </c>
      <c r="P2933" t="s">
        <v>3666</v>
      </c>
      <c r="Q2933" t="s">
        <v>29</v>
      </c>
      <c r="R2933" t="s">
        <v>3667</v>
      </c>
      <c r="U2933" t="s">
        <v>491</v>
      </c>
      <c r="X2933">
        <v>1</v>
      </c>
    </row>
    <row r="2934" spans="1:24" x14ac:dyDescent="0.25">
      <c r="A2934" s="234">
        <v>42892</v>
      </c>
      <c r="B2934" t="s">
        <v>569</v>
      </c>
      <c r="D2934" t="s">
        <v>625</v>
      </c>
      <c r="E2934" t="s">
        <v>588</v>
      </c>
      <c r="F2934" t="s">
        <v>7087</v>
      </c>
      <c r="H2934" t="s">
        <v>607</v>
      </c>
      <c r="I2934" t="s">
        <v>7088</v>
      </c>
      <c r="J2934" t="s">
        <v>899</v>
      </c>
      <c r="L2934">
        <v>4</v>
      </c>
      <c r="M2934" s="134">
        <v>1600000</v>
      </c>
      <c r="N2934" s="134">
        <v>3460000</v>
      </c>
      <c r="O2934" t="s">
        <v>560</v>
      </c>
      <c r="P2934" t="s">
        <v>7089</v>
      </c>
      <c r="Q2934" t="s">
        <v>1939</v>
      </c>
      <c r="R2934" t="s">
        <v>7090</v>
      </c>
      <c r="U2934" t="s">
        <v>491</v>
      </c>
      <c r="X2934">
        <v>0</v>
      </c>
    </row>
    <row r="2935" spans="1:24" x14ac:dyDescent="0.25">
      <c r="A2935" s="234">
        <v>43264</v>
      </c>
      <c r="B2935" t="s">
        <v>1788</v>
      </c>
      <c r="C2935" t="s">
        <v>3369</v>
      </c>
      <c r="D2935" t="s">
        <v>6360</v>
      </c>
      <c r="E2935" t="s">
        <v>588</v>
      </c>
      <c r="F2935" t="s">
        <v>11478</v>
      </c>
      <c r="G2935" t="s">
        <v>11479</v>
      </c>
      <c r="H2935" t="s">
        <v>607</v>
      </c>
      <c r="I2935" t="s">
        <v>9546</v>
      </c>
      <c r="J2935" t="s">
        <v>3369</v>
      </c>
      <c r="L2935">
        <v>4</v>
      </c>
      <c r="M2935" s="134">
        <v>1606000</v>
      </c>
      <c r="N2935" s="134">
        <v>2500000</v>
      </c>
      <c r="O2935" t="s">
        <v>49</v>
      </c>
      <c r="P2935" t="s">
        <v>11480</v>
      </c>
      <c r="Q2935" t="s">
        <v>620</v>
      </c>
      <c r="R2935" t="s">
        <v>11481</v>
      </c>
      <c r="S2935" t="s">
        <v>11497</v>
      </c>
      <c r="U2935" t="s">
        <v>491</v>
      </c>
      <c r="X2935">
        <v>0</v>
      </c>
    </row>
    <row r="2936" spans="1:24" x14ac:dyDescent="0.25">
      <c r="A2936" s="234">
        <v>43161</v>
      </c>
      <c r="B2936" t="s">
        <v>328</v>
      </c>
      <c r="C2936" t="s">
        <v>603</v>
      </c>
      <c r="D2936" t="s">
        <v>7595</v>
      </c>
      <c r="E2936" t="s">
        <v>588</v>
      </c>
      <c r="F2936" t="s">
        <v>10494</v>
      </c>
      <c r="G2936" t="s">
        <v>10495</v>
      </c>
      <c r="H2936" t="s">
        <v>607</v>
      </c>
      <c r="J2936" t="s">
        <v>899</v>
      </c>
      <c r="L2936">
        <v>3</v>
      </c>
      <c r="M2936" s="134">
        <v>1615696</v>
      </c>
      <c r="N2936" s="134">
        <v>3069824</v>
      </c>
      <c r="O2936" t="s">
        <v>560</v>
      </c>
      <c r="P2936" t="s">
        <v>10496</v>
      </c>
      <c r="Q2936" t="s">
        <v>1939</v>
      </c>
      <c r="R2936" t="s">
        <v>10497</v>
      </c>
      <c r="U2936" t="s">
        <v>1327</v>
      </c>
      <c r="X2936">
        <v>0</v>
      </c>
    </row>
    <row r="2937" spans="1:24" x14ac:dyDescent="0.25">
      <c r="A2937" s="234">
        <v>42761</v>
      </c>
      <c r="B2937" t="s">
        <v>328</v>
      </c>
      <c r="C2937" t="s">
        <v>603</v>
      </c>
      <c r="D2937" t="s">
        <v>649</v>
      </c>
      <c r="E2937" t="s">
        <v>588</v>
      </c>
      <c r="F2937" t="s">
        <v>5471</v>
      </c>
      <c r="H2937" t="s">
        <v>607</v>
      </c>
      <c r="I2937" t="s">
        <v>5472</v>
      </c>
      <c r="J2937" t="s">
        <v>899</v>
      </c>
      <c r="L2937" t="s">
        <v>5341</v>
      </c>
      <c r="M2937" s="134">
        <v>1617000</v>
      </c>
      <c r="N2937" s="134">
        <v>3314450</v>
      </c>
      <c r="O2937" t="s">
        <v>560</v>
      </c>
      <c r="P2937" t="s">
        <v>6294</v>
      </c>
      <c r="Q2937" t="s">
        <v>592</v>
      </c>
      <c r="U2937" t="s">
        <v>491</v>
      </c>
      <c r="X2937">
        <v>0</v>
      </c>
    </row>
    <row r="2938" spans="1:24" x14ac:dyDescent="0.25">
      <c r="A2938" s="234">
        <v>43153</v>
      </c>
      <c r="B2938" t="s">
        <v>569</v>
      </c>
      <c r="C2938" t="s">
        <v>899</v>
      </c>
      <c r="D2938" t="s">
        <v>625</v>
      </c>
      <c r="E2938" t="s">
        <v>588</v>
      </c>
      <c r="F2938" t="s">
        <v>10397</v>
      </c>
      <c r="G2938" t="s">
        <v>9305</v>
      </c>
      <c r="H2938" t="s">
        <v>607</v>
      </c>
      <c r="I2938" t="s">
        <v>3649</v>
      </c>
      <c r="J2938" t="s">
        <v>899</v>
      </c>
      <c r="L2938">
        <v>4</v>
      </c>
      <c r="M2938" s="134">
        <v>1621750</v>
      </c>
      <c r="N2938" s="134">
        <v>2258275</v>
      </c>
      <c r="O2938" t="s">
        <v>560</v>
      </c>
      <c r="P2938" t="s">
        <v>10443</v>
      </c>
      <c r="Q2938" t="s">
        <v>592</v>
      </c>
      <c r="R2938" t="s">
        <v>10398</v>
      </c>
      <c r="U2938" t="s">
        <v>1327</v>
      </c>
      <c r="X2938">
        <v>0</v>
      </c>
    </row>
    <row r="2939" spans="1:24" x14ac:dyDescent="0.25">
      <c r="A2939" s="234">
        <v>42811</v>
      </c>
      <c r="B2939" t="s">
        <v>569</v>
      </c>
      <c r="C2939" t="s">
        <v>899</v>
      </c>
      <c r="D2939" t="s">
        <v>732</v>
      </c>
      <c r="E2939" t="s">
        <v>588</v>
      </c>
      <c r="F2939" t="s">
        <v>6010</v>
      </c>
      <c r="H2939" t="s">
        <v>6011</v>
      </c>
      <c r="I2939" t="s">
        <v>6012</v>
      </c>
      <c r="J2939" t="s">
        <v>899</v>
      </c>
      <c r="L2939">
        <v>3</v>
      </c>
      <c r="M2939" s="134">
        <v>1622000</v>
      </c>
      <c r="N2939" s="134">
        <v>2308600</v>
      </c>
      <c r="O2939" t="s">
        <v>6008</v>
      </c>
      <c r="P2939" t="s">
        <v>6013</v>
      </c>
      <c r="Q2939" t="s">
        <v>592</v>
      </c>
      <c r="R2939" t="s">
        <v>6014</v>
      </c>
      <c r="U2939" t="s">
        <v>1327</v>
      </c>
      <c r="X2939">
        <v>0</v>
      </c>
    </row>
    <row r="2940" spans="1:24" x14ac:dyDescent="0.25">
      <c r="A2940" s="234">
        <v>42828</v>
      </c>
      <c r="B2940" t="s">
        <v>328</v>
      </c>
      <c r="C2940" t="s">
        <v>603</v>
      </c>
      <c r="D2940" t="s">
        <v>649</v>
      </c>
      <c r="E2940" t="s">
        <v>588</v>
      </c>
      <c r="F2940" t="s">
        <v>6234</v>
      </c>
      <c r="H2940" t="s">
        <v>809</v>
      </c>
      <c r="I2940" t="s">
        <v>6235</v>
      </c>
      <c r="J2940" t="s">
        <v>603</v>
      </c>
      <c r="L2940">
        <v>9</v>
      </c>
      <c r="M2940" s="134">
        <v>1622000</v>
      </c>
      <c r="N2940" s="134">
        <v>2919600</v>
      </c>
      <c r="O2940" t="s">
        <v>560</v>
      </c>
      <c r="P2940" t="s">
        <v>6236</v>
      </c>
      <c r="Q2940" t="s">
        <v>592</v>
      </c>
      <c r="U2940" t="s">
        <v>491</v>
      </c>
      <c r="X2940">
        <v>0</v>
      </c>
    </row>
    <row r="2941" spans="1:24" x14ac:dyDescent="0.25">
      <c r="A2941" s="234">
        <v>42621</v>
      </c>
      <c r="B2941" t="s">
        <v>378</v>
      </c>
      <c r="C2941" t="s">
        <v>623</v>
      </c>
      <c r="D2941" t="s">
        <v>625</v>
      </c>
      <c r="E2941" t="s">
        <v>588</v>
      </c>
      <c r="F2941" t="s">
        <v>3556</v>
      </c>
      <c r="H2941" t="s">
        <v>607</v>
      </c>
      <c r="I2941" t="s">
        <v>3557</v>
      </c>
      <c r="J2941" t="s">
        <v>899</v>
      </c>
      <c r="L2941">
        <v>2</v>
      </c>
      <c r="M2941" s="134">
        <v>1622000</v>
      </c>
      <c r="N2941" s="134">
        <v>3370400</v>
      </c>
      <c r="O2941" t="s">
        <v>3824</v>
      </c>
      <c r="P2941" t="s">
        <v>3825</v>
      </c>
      <c r="Q2941" t="s">
        <v>592</v>
      </c>
      <c r="U2941" t="s">
        <v>491</v>
      </c>
      <c r="X2941">
        <v>0</v>
      </c>
    </row>
    <row r="2942" spans="1:24" x14ac:dyDescent="0.25">
      <c r="A2942" s="234">
        <v>42605</v>
      </c>
      <c r="B2942" t="s">
        <v>378</v>
      </c>
      <c r="C2942" t="s">
        <v>623</v>
      </c>
      <c r="D2942" t="s">
        <v>625</v>
      </c>
      <c r="E2942" t="s">
        <v>588</v>
      </c>
      <c r="F2942" t="s">
        <v>3556</v>
      </c>
      <c r="H2942" t="s">
        <v>1890</v>
      </c>
      <c r="I2942" t="s">
        <v>3557</v>
      </c>
      <c r="J2942" t="s">
        <v>899</v>
      </c>
      <c r="L2942">
        <v>1</v>
      </c>
      <c r="M2942" s="134">
        <v>1622000</v>
      </c>
      <c r="N2942" s="134">
        <v>3451000</v>
      </c>
      <c r="O2942" t="s">
        <v>3558</v>
      </c>
      <c r="P2942" t="s">
        <v>3559</v>
      </c>
      <c r="Q2942" t="s">
        <v>1939</v>
      </c>
      <c r="R2942" t="s">
        <v>3560</v>
      </c>
      <c r="U2942" t="s">
        <v>491</v>
      </c>
      <c r="X2942">
        <v>0</v>
      </c>
    </row>
    <row r="2943" spans="1:24" x14ac:dyDescent="0.25">
      <c r="A2943" s="234">
        <v>42726</v>
      </c>
      <c r="B2943" t="s">
        <v>328</v>
      </c>
      <c r="C2943" t="s">
        <v>603</v>
      </c>
      <c r="D2943" t="s">
        <v>2397</v>
      </c>
      <c r="E2943" t="s">
        <v>588</v>
      </c>
      <c r="F2943" t="s">
        <v>5100</v>
      </c>
      <c r="H2943" t="s">
        <v>607</v>
      </c>
      <c r="I2943" t="s">
        <v>2054</v>
      </c>
      <c r="J2943" t="s">
        <v>899</v>
      </c>
      <c r="L2943">
        <v>1</v>
      </c>
      <c r="M2943" s="134">
        <v>1628000</v>
      </c>
      <c r="N2943" s="134">
        <v>3337400</v>
      </c>
      <c r="O2943" t="s">
        <v>560</v>
      </c>
      <c r="P2943" t="s">
        <v>5101</v>
      </c>
      <c r="Q2943" t="s">
        <v>1939</v>
      </c>
      <c r="R2943" t="s">
        <v>5102</v>
      </c>
      <c r="U2943" t="s">
        <v>491</v>
      </c>
      <c r="X2943">
        <v>0</v>
      </c>
    </row>
    <row r="2944" spans="1:24" x14ac:dyDescent="0.25">
      <c r="A2944" s="234">
        <v>42654</v>
      </c>
      <c r="B2944" t="s">
        <v>378</v>
      </c>
      <c r="C2944" t="s">
        <v>610</v>
      </c>
      <c r="D2944" t="s">
        <v>732</v>
      </c>
      <c r="E2944" t="s">
        <v>588</v>
      </c>
      <c r="F2944" t="s">
        <v>4255</v>
      </c>
      <c r="H2944" t="s">
        <v>905</v>
      </c>
      <c r="I2944" t="s">
        <v>4256</v>
      </c>
      <c r="J2944" t="s">
        <v>899</v>
      </c>
      <c r="L2944">
        <v>2</v>
      </c>
      <c r="M2944" s="134">
        <v>1630000</v>
      </c>
      <c r="N2944" s="134">
        <v>2169000</v>
      </c>
      <c r="O2944" t="s">
        <v>4257</v>
      </c>
      <c r="P2944" t="s">
        <v>4258</v>
      </c>
      <c r="Q2944" t="s">
        <v>1939</v>
      </c>
      <c r="R2944" t="s">
        <v>4259</v>
      </c>
      <c r="U2944" t="s">
        <v>491</v>
      </c>
      <c r="V2944" t="s">
        <v>3985</v>
      </c>
      <c r="X2944">
        <v>0</v>
      </c>
    </row>
    <row r="2945" spans="1:24" x14ac:dyDescent="0.25">
      <c r="A2945" s="234">
        <v>43412</v>
      </c>
      <c r="B2945" t="s">
        <v>328</v>
      </c>
      <c r="C2945" t="s">
        <v>603</v>
      </c>
      <c r="D2945" t="s">
        <v>1401</v>
      </c>
      <c r="F2945" t="s">
        <v>13155</v>
      </c>
      <c r="G2945" t="s">
        <v>9744</v>
      </c>
      <c r="H2945" t="s">
        <v>607</v>
      </c>
      <c r="I2945" t="s">
        <v>3462</v>
      </c>
      <c r="J2945" t="s">
        <v>899</v>
      </c>
      <c r="K2945" t="s">
        <v>13156</v>
      </c>
      <c r="L2945">
        <v>4</v>
      </c>
      <c r="M2945" s="134">
        <v>1632000</v>
      </c>
      <c r="N2945" s="134">
        <v>2095200</v>
      </c>
      <c r="O2945" t="s">
        <v>7564</v>
      </c>
      <c r="P2945" t="s">
        <v>13157</v>
      </c>
      <c r="Q2945" t="s">
        <v>1612</v>
      </c>
      <c r="R2945" t="s">
        <v>13158</v>
      </c>
      <c r="U2945" t="s">
        <v>12344</v>
      </c>
      <c r="X2945">
        <v>0</v>
      </c>
    </row>
    <row r="2946" spans="1:24" x14ac:dyDescent="0.25">
      <c r="A2946" s="234">
        <v>42620</v>
      </c>
      <c r="B2946" t="s">
        <v>328</v>
      </c>
      <c r="C2946" t="s">
        <v>603</v>
      </c>
      <c r="D2946" t="s">
        <v>1471</v>
      </c>
      <c r="E2946" t="s">
        <v>588</v>
      </c>
      <c r="F2946" t="s">
        <v>3778</v>
      </c>
      <c r="H2946" t="s">
        <v>607</v>
      </c>
      <c r="I2946" t="s">
        <v>3779</v>
      </c>
      <c r="J2946" t="s">
        <v>899</v>
      </c>
      <c r="L2946">
        <v>10</v>
      </c>
      <c r="M2946" s="134">
        <v>1633000</v>
      </c>
      <c r="N2946" s="134">
        <v>2283000</v>
      </c>
      <c r="O2946" t="s">
        <v>1111</v>
      </c>
      <c r="P2946" t="s">
        <v>3781</v>
      </c>
      <c r="Q2946" t="s">
        <v>29</v>
      </c>
      <c r="R2946" t="s">
        <v>3780</v>
      </c>
      <c r="U2946" t="s">
        <v>491</v>
      </c>
      <c r="X2946">
        <v>1</v>
      </c>
    </row>
    <row r="2947" spans="1:24" x14ac:dyDescent="0.25">
      <c r="A2947" s="234">
        <v>43194</v>
      </c>
      <c r="B2947" t="s">
        <v>328</v>
      </c>
      <c r="C2947" t="s">
        <v>603</v>
      </c>
      <c r="D2947" t="s">
        <v>2397</v>
      </c>
      <c r="E2947" t="s">
        <v>588</v>
      </c>
      <c r="F2947" t="s">
        <v>10787</v>
      </c>
      <c r="G2947" t="s">
        <v>10788</v>
      </c>
      <c r="H2947" t="s">
        <v>607</v>
      </c>
      <c r="I2947" t="s">
        <v>10789</v>
      </c>
      <c r="J2947" t="s">
        <v>603</v>
      </c>
      <c r="L2947">
        <v>6</v>
      </c>
      <c r="M2947" s="134">
        <v>1637500</v>
      </c>
      <c r="N2947" s="134">
        <v>2538125</v>
      </c>
      <c r="O2947" t="s">
        <v>10762</v>
      </c>
      <c r="P2947" t="s">
        <v>10790</v>
      </c>
      <c r="Q2947" t="s">
        <v>1939</v>
      </c>
      <c r="R2947" t="s">
        <v>10791</v>
      </c>
      <c r="U2947" t="s">
        <v>491</v>
      </c>
      <c r="X2947">
        <v>0</v>
      </c>
    </row>
    <row r="2948" spans="1:24" x14ac:dyDescent="0.25">
      <c r="A2948" s="234">
        <v>43502</v>
      </c>
      <c r="B2948" t="s">
        <v>569</v>
      </c>
      <c r="C2948" t="s">
        <v>899</v>
      </c>
      <c r="D2948" t="s">
        <v>625</v>
      </c>
      <c r="F2948" t="s">
        <v>10215</v>
      </c>
      <c r="G2948" t="s">
        <v>14271</v>
      </c>
      <c r="H2948" t="s">
        <v>607</v>
      </c>
      <c r="I2948" t="s">
        <v>5340</v>
      </c>
      <c r="J2948" t="s">
        <v>899</v>
      </c>
      <c r="K2948" t="s">
        <v>14272</v>
      </c>
      <c r="L2948">
        <v>4</v>
      </c>
      <c r="M2948" s="134">
        <v>1639000</v>
      </c>
      <c r="N2948" s="134">
        <v>281208</v>
      </c>
      <c r="O2948" t="s">
        <v>10766</v>
      </c>
      <c r="P2948" t="s">
        <v>14273</v>
      </c>
      <c r="Q2948" t="s">
        <v>29</v>
      </c>
      <c r="R2948" t="s">
        <v>14358</v>
      </c>
      <c r="U2948" t="s">
        <v>491</v>
      </c>
      <c r="X2948">
        <v>1</v>
      </c>
    </row>
    <row r="2949" spans="1:24" x14ac:dyDescent="0.25">
      <c r="A2949" s="234">
        <v>43042</v>
      </c>
      <c r="B2949" t="s">
        <v>328</v>
      </c>
      <c r="C2949" t="s">
        <v>603</v>
      </c>
      <c r="D2949" t="s">
        <v>649</v>
      </c>
      <c r="E2949" t="s">
        <v>588</v>
      </c>
      <c r="F2949" t="s">
        <v>9334</v>
      </c>
      <c r="G2949" t="s">
        <v>8449</v>
      </c>
      <c r="H2949" t="s">
        <v>607</v>
      </c>
      <c r="I2949" t="s">
        <v>5366</v>
      </c>
      <c r="J2949" t="s">
        <v>899</v>
      </c>
      <c r="L2949">
        <v>4</v>
      </c>
      <c r="M2949" s="134">
        <v>1643893</v>
      </c>
      <c r="N2949" s="134">
        <v>3793406</v>
      </c>
      <c r="O2949" t="s">
        <v>9335</v>
      </c>
      <c r="P2949" t="s">
        <v>9336</v>
      </c>
      <c r="Q2949" t="s">
        <v>1939</v>
      </c>
      <c r="R2949" t="s">
        <v>9337</v>
      </c>
      <c r="U2949" t="s">
        <v>1327</v>
      </c>
      <c r="X2949">
        <v>0</v>
      </c>
    </row>
    <row r="2950" spans="1:24" x14ac:dyDescent="0.25">
      <c r="A2950" s="234">
        <v>43577</v>
      </c>
      <c r="B2950" t="s">
        <v>328</v>
      </c>
      <c r="C2950" t="s">
        <v>603</v>
      </c>
      <c r="D2950" t="s">
        <v>5701</v>
      </c>
      <c r="F2950" t="s">
        <v>15158</v>
      </c>
      <c r="G2950" t="s">
        <v>10641</v>
      </c>
      <c r="H2950" t="s">
        <v>607</v>
      </c>
      <c r="I2950" t="s">
        <v>15159</v>
      </c>
      <c r="J2950" t="s">
        <v>3751</v>
      </c>
      <c r="K2950" t="s">
        <v>15160</v>
      </c>
      <c r="L2950">
        <v>5</v>
      </c>
      <c r="M2950" s="134">
        <v>1645000</v>
      </c>
      <c r="N2950" s="134">
        <v>2250000</v>
      </c>
      <c r="O2950" t="s">
        <v>10763</v>
      </c>
      <c r="P2950" t="s">
        <v>15340</v>
      </c>
      <c r="Q2950" t="s">
        <v>1612</v>
      </c>
      <c r="R2950" t="s">
        <v>15214</v>
      </c>
      <c r="S2950" t="s">
        <v>15215</v>
      </c>
      <c r="U2950" t="s">
        <v>491</v>
      </c>
      <c r="X2950">
        <v>0</v>
      </c>
    </row>
    <row r="2951" spans="1:24" x14ac:dyDescent="0.25">
      <c r="A2951" s="234">
        <v>43265</v>
      </c>
      <c r="B2951" t="s">
        <v>569</v>
      </c>
      <c r="C2951" t="s">
        <v>899</v>
      </c>
      <c r="D2951" t="s">
        <v>611</v>
      </c>
      <c r="E2951" t="s">
        <v>588</v>
      </c>
      <c r="F2951" t="s">
        <v>11500</v>
      </c>
      <c r="G2951" t="s">
        <v>11501</v>
      </c>
      <c r="H2951" t="s">
        <v>607</v>
      </c>
      <c r="I2951" t="s">
        <v>3649</v>
      </c>
      <c r="J2951" t="s">
        <v>899</v>
      </c>
      <c r="L2951">
        <v>4</v>
      </c>
      <c r="M2951" s="134">
        <v>1647814</v>
      </c>
      <c r="N2951" s="134">
        <v>3100000</v>
      </c>
      <c r="O2951" t="s">
        <v>560</v>
      </c>
      <c r="P2951" t="s">
        <v>11502</v>
      </c>
      <c r="Q2951" t="s">
        <v>29</v>
      </c>
      <c r="R2951" t="s">
        <v>11503</v>
      </c>
      <c r="U2951" t="s">
        <v>491</v>
      </c>
      <c r="X2951">
        <v>1</v>
      </c>
    </row>
    <row r="2952" spans="1:24" x14ac:dyDescent="0.25">
      <c r="A2952" s="234">
        <v>42913</v>
      </c>
      <c r="B2952" t="s">
        <v>328</v>
      </c>
      <c r="C2952" t="s">
        <v>603</v>
      </c>
      <c r="D2952" t="s">
        <v>649</v>
      </c>
      <c r="E2952" t="s">
        <v>588</v>
      </c>
      <c r="F2952" t="s">
        <v>7391</v>
      </c>
      <c r="H2952" t="s">
        <v>607</v>
      </c>
      <c r="I2952" t="s">
        <v>7392</v>
      </c>
      <c r="J2952" t="s">
        <v>3751</v>
      </c>
      <c r="M2952" s="134">
        <v>1648072</v>
      </c>
      <c r="N2952" s="134">
        <v>2803082</v>
      </c>
      <c r="O2952" t="s">
        <v>3107</v>
      </c>
      <c r="P2952" t="s">
        <v>7393</v>
      </c>
      <c r="Q2952" t="s">
        <v>29</v>
      </c>
      <c r="R2952" t="s">
        <v>7394</v>
      </c>
      <c r="U2952" t="s">
        <v>491</v>
      </c>
      <c r="X2952">
        <v>1</v>
      </c>
    </row>
    <row r="2953" spans="1:24" x14ac:dyDescent="0.25">
      <c r="A2953" s="234">
        <v>42892</v>
      </c>
      <c r="B2953" t="s">
        <v>569</v>
      </c>
      <c r="D2953" t="s">
        <v>624</v>
      </c>
      <c r="E2953" t="s">
        <v>588</v>
      </c>
      <c r="F2953" t="s">
        <v>7069</v>
      </c>
      <c r="H2953" t="s">
        <v>607</v>
      </c>
      <c r="I2953" t="s">
        <v>2054</v>
      </c>
      <c r="J2953" t="s">
        <v>899</v>
      </c>
      <c r="M2953" s="134">
        <v>1650000</v>
      </c>
      <c r="N2953" s="134">
        <v>3000000</v>
      </c>
      <c r="O2953" t="s">
        <v>560</v>
      </c>
      <c r="P2953" t="s">
        <v>7070</v>
      </c>
      <c r="Q2953" t="s">
        <v>1939</v>
      </c>
      <c r="R2953" t="s">
        <v>7071</v>
      </c>
      <c r="U2953" t="s">
        <v>491</v>
      </c>
      <c r="X2953">
        <v>0</v>
      </c>
    </row>
    <row r="2954" spans="1:24" x14ac:dyDescent="0.25">
      <c r="A2954" s="234">
        <v>43053</v>
      </c>
      <c r="B2954" t="s">
        <v>328</v>
      </c>
      <c r="C2954" t="s">
        <v>603</v>
      </c>
      <c r="D2954" t="s">
        <v>649</v>
      </c>
      <c r="E2954" t="s">
        <v>588</v>
      </c>
      <c r="F2954" t="s">
        <v>9425</v>
      </c>
      <c r="G2954" t="s">
        <v>9426</v>
      </c>
      <c r="H2954" t="s">
        <v>607</v>
      </c>
      <c r="I2954" t="s">
        <v>6353</v>
      </c>
      <c r="J2954" t="s">
        <v>899</v>
      </c>
      <c r="L2954">
        <v>10</v>
      </c>
      <c r="M2954" s="134">
        <v>1651000</v>
      </c>
      <c r="N2954" s="134">
        <v>3467100</v>
      </c>
      <c r="O2954" t="s">
        <v>560</v>
      </c>
      <c r="P2954" t="s">
        <v>9427</v>
      </c>
      <c r="Q2954" t="s">
        <v>1939</v>
      </c>
      <c r="R2954" t="s">
        <v>9428</v>
      </c>
      <c r="U2954" t="s">
        <v>491</v>
      </c>
      <c r="X2954">
        <v>0</v>
      </c>
    </row>
    <row r="2955" spans="1:24" x14ac:dyDescent="0.25">
      <c r="A2955" s="234">
        <v>43374</v>
      </c>
      <c r="B2955" t="s">
        <v>569</v>
      </c>
      <c r="C2955" t="s">
        <v>899</v>
      </c>
      <c r="D2955" t="s">
        <v>9981</v>
      </c>
      <c r="E2955" t="s">
        <v>588</v>
      </c>
      <c r="F2955" t="s">
        <v>3975</v>
      </c>
      <c r="G2955" t="s">
        <v>12772</v>
      </c>
      <c r="H2955" t="s">
        <v>905</v>
      </c>
      <c r="I2955" t="s">
        <v>5910</v>
      </c>
      <c r="J2955" t="s">
        <v>899</v>
      </c>
      <c r="M2955" s="134">
        <v>1657000</v>
      </c>
      <c r="N2955" s="134">
        <v>1822700</v>
      </c>
      <c r="O2955" t="s">
        <v>10763</v>
      </c>
      <c r="P2955" t="s">
        <v>12773</v>
      </c>
      <c r="Q2955" t="s">
        <v>1939</v>
      </c>
      <c r="U2955" t="s">
        <v>12344</v>
      </c>
      <c r="X2955">
        <v>0</v>
      </c>
    </row>
    <row r="2956" spans="1:24" x14ac:dyDescent="0.25">
      <c r="A2956" s="234">
        <v>42655</v>
      </c>
      <c r="B2956" t="s">
        <v>378</v>
      </c>
      <c r="C2956" t="s">
        <v>623</v>
      </c>
      <c r="D2956" t="s">
        <v>732</v>
      </c>
      <c r="E2956" t="s">
        <v>588</v>
      </c>
      <c r="F2956" t="s">
        <v>4275</v>
      </c>
      <c r="H2956" t="s">
        <v>607</v>
      </c>
      <c r="I2956" t="s">
        <v>4276</v>
      </c>
      <c r="J2956" t="s">
        <v>899</v>
      </c>
      <c r="L2956">
        <v>2</v>
      </c>
      <c r="M2956" s="134">
        <v>1661919</v>
      </c>
      <c r="N2956" s="134">
        <v>3323838</v>
      </c>
      <c r="O2956" t="s">
        <v>560</v>
      </c>
      <c r="P2956" t="s">
        <v>4277</v>
      </c>
      <c r="Q2956" t="s">
        <v>592</v>
      </c>
      <c r="U2956" t="s">
        <v>491</v>
      </c>
      <c r="X2956">
        <v>0</v>
      </c>
    </row>
    <row r="2957" spans="1:24" x14ac:dyDescent="0.25">
      <c r="A2957" s="234">
        <v>43257</v>
      </c>
      <c r="B2957" t="s">
        <v>569</v>
      </c>
      <c r="C2957" t="s">
        <v>899</v>
      </c>
      <c r="D2957" t="s">
        <v>625</v>
      </c>
      <c r="E2957" t="s">
        <v>588</v>
      </c>
      <c r="F2957" t="s">
        <v>11461</v>
      </c>
      <c r="G2957" t="s">
        <v>11462</v>
      </c>
      <c r="H2957" t="s">
        <v>10831</v>
      </c>
      <c r="I2957" t="s">
        <v>3649</v>
      </c>
      <c r="J2957" t="s">
        <v>899</v>
      </c>
      <c r="M2957" s="134">
        <v>1662600</v>
      </c>
      <c r="N2957" s="134">
        <v>2462600</v>
      </c>
      <c r="O2957" t="s">
        <v>560</v>
      </c>
      <c r="P2957" t="s">
        <v>11463</v>
      </c>
      <c r="Q2957" t="s">
        <v>1939</v>
      </c>
      <c r="R2957" t="s">
        <v>11464</v>
      </c>
      <c r="U2957" t="s">
        <v>1327</v>
      </c>
      <c r="X2957">
        <v>0</v>
      </c>
    </row>
    <row r="2958" spans="1:24" x14ac:dyDescent="0.25">
      <c r="A2958" s="234">
        <v>43220</v>
      </c>
      <c r="B2958" t="s">
        <v>643</v>
      </c>
      <c r="C2958" t="s">
        <v>644</v>
      </c>
      <c r="D2958" t="s">
        <v>645</v>
      </c>
      <c r="E2958" t="s">
        <v>588</v>
      </c>
      <c r="F2958" t="s">
        <v>11085</v>
      </c>
      <c r="G2958" t="s">
        <v>11086</v>
      </c>
      <c r="H2958" t="s">
        <v>1050</v>
      </c>
      <c r="I2958" t="s">
        <v>3624</v>
      </c>
      <c r="J2958" t="s">
        <v>644</v>
      </c>
      <c r="L2958">
        <v>5</v>
      </c>
      <c r="M2958" s="134">
        <v>1664400</v>
      </c>
      <c r="N2958" s="134">
        <v>2496600</v>
      </c>
      <c r="O2958" t="s">
        <v>560</v>
      </c>
      <c r="P2958" t="s">
        <v>11087</v>
      </c>
      <c r="Q2958" t="s">
        <v>592</v>
      </c>
      <c r="R2958" t="s">
        <v>11010</v>
      </c>
      <c r="U2958" t="s">
        <v>1327</v>
      </c>
      <c r="X2958">
        <v>0</v>
      </c>
    </row>
    <row r="2959" spans="1:24" x14ac:dyDescent="0.25">
      <c r="A2959" s="234">
        <v>43507</v>
      </c>
      <c r="B2959" t="s">
        <v>328</v>
      </c>
      <c r="C2959" t="s">
        <v>603</v>
      </c>
      <c r="D2959" t="s">
        <v>5701</v>
      </c>
      <c r="F2959" t="s">
        <v>14344</v>
      </c>
      <c r="G2959" t="s">
        <v>7855</v>
      </c>
      <c r="H2959" t="s">
        <v>607</v>
      </c>
      <c r="I2959" t="s">
        <v>2054</v>
      </c>
      <c r="J2959" t="s">
        <v>899</v>
      </c>
      <c r="K2959" t="s">
        <v>14012</v>
      </c>
      <c r="L2959">
        <v>1</v>
      </c>
      <c r="M2959" s="134">
        <v>1667500</v>
      </c>
      <c r="N2959" s="134">
        <v>2834750</v>
      </c>
      <c r="O2959" t="s">
        <v>7564</v>
      </c>
      <c r="P2959" t="s">
        <v>14345</v>
      </c>
      <c r="Q2959" t="s">
        <v>592</v>
      </c>
      <c r="R2959" t="s">
        <v>14346</v>
      </c>
      <c r="S2959" t="s">
        <v>14378</v>
      </c>
      <c r="U2959" t="s">
        <v>12797</v>
      </c>
      <c r="X2959">
        <v>0</v>
      </c>
    </row>
    <row r="2960" spans="1:24" x14ac:dyDescent="0.25">
      <c r="A2960" s="234">
        <v>42608</v>
      </c>
      <c r="B2960" t="s">
        <v>328</v>
      </c>
      <c r="C2960" t="s">
        <v>603</v>
      </c>
      <c r="D2960" t="s">
        <v>1401</v>
      </c>
      <c r="E2960" t="s">
        <v>588</v>
      </c>
      <c r="F2960" t="s">
        <v>3648</v>
      </c>
      <c r="H2960" t="s">
        <v>607</v>
      </c>
      <c r="I2960" t="s">
        <v>3649</v>
      </c>
      <c r="J2960" t="s">
        <v>899</v>
      </c>
      <c r="L2960">
        <v>4</v>
      </c>
      <c r="M2960" s="134">
        <v>1670000</v>
      </c>
      <c r="N2960" s="134">
        <v>3087000</v>
      </c>
      <c r="O2960" t="s">
        <v>560</v>
      </c>
      <c r="P2960" t="s">
        <v>3650</v>
      </c>
      <c r="Q2960" t="s">
        <v>1939</v>
      </c>
      <c r="R2960" t="s">
        <v>3651</v>
      </c>
      <c r="U2960" t="s">
        <v>491</v>
      </c>
      <c r="X2960">
        <v>0</v>
      </c>
    </row>
    <row r="2961" spans="1:24" x14ac:dyDescent="0.25">
      <c r="A2961" s="234">
        <v>42584</v>
      </c>
      <c r="B2961" t="s">
        <v>328</v>
      </c>
      <c r="C2961" t="s">
        <v>603</v>
      </c>
      <c r="D2961" t="s">
        <v>1401</v>
      </c>
      <c r="E2961" t="s">
        <v>588</v>
      </c>
      <c r="F2961" t="s">
        <v>3170</v>
      </c>
      <c r="H2961" t="s">
        <v>607</v>
      </c>
      <c r="I2961" t="s">
        <v>1045</v>
      </c>
      <c r="J2961" t="s">
        <v>899</v>
      </c>
      <c r="L2961">
        <v>6</v>
      </c>
      <c r="M2961" s="134">
        <v>1674000</v>
      </c>
      <c r="N2961" s="134">
        <v>2176200</v>
      </c>
      <c r="O2961" t="s">
        <v>3171</v>
      </c>
      <c r="P2961" t="s">
        <v>3173</v>
      </c>
      <c r="Q2961" t="s">
        <v>1939</v>
      </c>
      <c r="R2961" t="s">
        <v>3172</v>
      </c>
      <c r="U2961" t="s">
        <v>491</v>
      </c>
      <c r="X2961">
        <v>0</v>
      </c>
    </row>
    <row r="2962" spans="1:24" x14ac:dyDescent="0.25">
      <c r="A2962" s="234">
        <v>43476</v>
      </c>
      <c r="B2962" t="s">
        <v>569</v>
      </c>
      <c r="C2962" t="s">
        <v>899</v>
      </c>
      <c r="D2962" t="s">
        <v>625</v>
      </c>
      <c r="F2962" t="s">
        <v>13922</v>
      </c>
      <c r="H2962" t="s">
        <v>10832</v>
      </c>
      <c r="I2962" t="s">
        <v>13923</v>
      </c>
      <c r="J2962" t="s">
        <v>899</v>
      </c>
      <c r="K2962" t="s">
        <v>13924</v>
      </c>
      <c r="L2962">
        <v>2</v>
      </c>
      <c r="M2962" s="134">
        <v>1675000</v>
      </c>
      <c r="N2962" s="134">
        <v>1965000</v>
      </c>
      <c r="O2962" t="s">
        <v>6745</v>
      </c>
      <c r="P2962" t="s">
        <v>13925</v>
      </c>
      <c r="Q2962" t="s">
        <v>29</v>
      </c>
      <c r="R2962" t="s">
        <v>13926</v>
      </c>
      <c r="U2962" t="s">
        <v>491</v>
      </c>
      <c r="X2962">
        <v>1</v>
      </c>
    </row>
    <row r="2963" spans="1:24" x14ac:dyDescent="0.25">
      <c r="A2963" s="234">
        <v>42507</v>
      </c>
      <c r="B2963" t="s">
        <v>378</v>
      </c>
      <c r="C2963" t="s">
        <v>623</v>
      </c>
      <c r="D2963" t="s">
        <v>625</v>
      </c>
      <c r="E2963" t="s">
        <v>588</v>
      </c>
      <c r="F2963" t="s">
        <v>2126</v>
      </c>
      <c r="H2963" t="s">
        <v>722</v>
      </c>
      <c r="I2963" t="s">
        <v>1910</v>
      </c>
      <c r="M2963" s="134">
        <v>1680000</v>
      </c>
      <c r="N2963" s="134">
        <v>1680000</v>
      </c>
      <c r="O2963" t="s">
        <v>2362</v>
      </c>
      <c r="P2963" t="s">
        <v>2127</v>
      </c>
      <c r="Q2963" t="s">
        <v>1939</v>
      </c>
      <c r="R2963" t="s">
        <v>2128</v>
      </c>
      <c r="U2963" t="s">
        <v>491</v>
      </c>
      <c r="X2963">
        <v>0</v>
      </c>
    </row>
    <row r="2964" spans="1:24" x14ac:dyDescent="0.25">
      <c r="A2964" s="234">
        <v>42725</v>
      </c>
      <c r="B2964" t="s">
        <v>328</v>
      </c>
      <c r="C2964" t="s">
        <v>603</v>
      </c>
      <c r="D2964" t="s">
        <v>1471</v>
      </c>
      <c r="E2964" t="s">
        <v>588</v>
      </c>
      <c r="F2964" t="s">
        <v>5082</v>
      </c>
      <c r="H2964" t="s">
        <v>607</v>
      </c>
      <c r="I2964" t="s">
        <v>5083</v>
      </c>
      <c r="J2964" t="s">
        <v>899</v>
      </c>
      <c r="L2964">
        <v>4</v>
      </c>
      <c r="M2964" s="134">
        <v>1680000</v>
      </c>
      <c r="N2964" s="134">
        <v>3130000</v>
      </c>
      <c r="O2964" t="s">
        <v>560</v>
      </c>
      <c r="P2964" t="s">
        <v>5084</v>
      </c>
      <c r="Q2964" t="s">
        <v>1939</v>
      </c>
      <c r="R2964" t="s">
        <v>5085</v>
      </c>
      <c r="U2964" t="s">
        <v>491</v>
      </c>
      <c r="X2964">
        <v>0</v>
      </c>
    </row>
    <row r="2965" spans="1:24" x14ac:dyDescent="0.25">
      <c r="A2965" s="234">
        <v>42563</v>
      </c>
      <c r="B2965" t="s">
        <v>328</v>
      </c>
      <c r="C2965" t="s">
        <v>603</v>
      </c>
      <c r="D2965" t="s">
        <v>1401</v>
      </c>
      <c r="E2965" t="s">
        <v>588</v>
      </c>
      <c r="F2965" t="s">
        <v>2854</v>
      </c>
      <c r="H2965" t="s">
        <v>607</v>
      </c>
      <c r="I2965" t="s">
        <v>2855</v>
      </c>
      <c r="M2965" s="134">
        <v>1680000</v>
      </c>
      <c r="N2965" s="134">
        <v>3360000</v>
      </c>
      <c r="O2965" t="s">
        <v>891</v>
      </c>
      <c r="P2965" t="s">
        <v>2856</v>
      </c>
      <c r="Q2965" t="s">
        <v>592</v>
      </c>
      <c r="U2965" t="s">
        <v>491</v>
      </c>
      <c r="X2965">
        <v>0</v>
      </c>
    </row>
    <row r="2966" spans="1:24" x14ac:dyDescent="0.25">
      <c r="A2966" s="234">
        <v>42639</v>
      </c>
      <c r="B2966" t="s">
        <v>378</v>
      </c>
      <c r="C2966" t="s">
        <v>899</v>
      </c>
      <c r="D2966" t="s">
        <v>930</v>
      </c>
      <c r="E2966" t="s">
        <v>588</v>
      </c>
      <c r="F2966" t="s">
        <v>4077</v>
      </c>
      <c r="H2966" t="s">
        <v>1119</v>
      </c>
      <c r="I2966" t="s">
        <v>4078</v>
      </c>
      <c r="J2966" t="s">
        <v>899</v>
      </c>
      <c r="L2966">
        <v>3</v>
      </c>
      <c r="M2966" s="134">
        <v>1680000</v>
      </c>
      <c r="N2966" s="134">
        <v>3360000</v>
      </c>
      <c r="O2966" t="s">
        <v>4079</v>
      </c>
      <c r="P2966" t="s">
        <v>4080</v>
      </c>
      <c r="Q2966" t="s">
        <v>620</v>
      </c>
      <c r="R2966" t="s">
        <v>4081</v>
      </c>
      <c r="S2966" t="s">
        <v>4082</v>
      </c>
      <c r="U2966" t="s">
        <v>1327</v>
      </c>
      <c r="X2966">
        <v>0</v>
      </c>
    </row>
    <row r="2967" spans="1:24" x14ac:dyDescent="0.25">
      <c r="A2967" s="234">
        <v>42459</v>
      </c>
      <c r="B2967" t="s">
        <v>378</v>
      </c>
      <c r="C2967" t="s">
        <v>610</v>
      </c>
      <c r="D2967" t="s">
        <v>625</v>
      </c>
      <c r="E2967" t="s">
        <v>588</v>
      </c>
      <c r="F2967" t="s">
        <v>1439</v>
      </c>
      <c r="H2967" t="s">
        <v>809</v>
      </c>
      <c r="I2967" t="s">
        <v>1440</v>
      </c>
      <c r="M2967" s="134">
        <v>1681000</v>
      </c>
      <c r="N2967" s="134">
        <v>2857700</v>
      </c>
      <c r="O2967" t="s">
        <v>1441</v>
      </c>
      <c r="P2967" t="s">
        <v>1442</v>
      </c>
      <c r="Q2967" t="s">
        <v>592</v>
      </c>
      <c r="U2967" t="s">
        <v>491</v>
      </c>
      <c r="X2967">
        <v>0</v>
      </c>
    </row>
    <row r="2968" spans="1:24" x14ac:dyDescent="0.25">
      <c r="A2968" s="234">
        <v>42905</v>
      </c>
      <c r="B2968" t="s">
        <v>569</v>
      </c>
      <c r="D2968" t="s">
        <v>611</v>
      </c>
      <c r="E2968" t="s">
        <v>588</v>
      </c>
      <c r="F2968" t="s">
        <v>7241</v>
      </c>
      <c r="H2968" t="s">
        <v>607</v>
      </c>
      <c r="I2968" t="s">
        <v>6099</v>
      </c>
      <c r="J2968" t="s">
        <v>899</v>
      </c>
      <c r="L2968">
        <v>2</v>
      </c>
      <c r="M2968" s="134">
        <v>1689243</v>
      </c>
      <c r="N2968" s="134">
        <v>3189243</v>
      </c>
      <c r="O2968" t="s">
        <v>560</v>
      </c>
      <c r="P2968" t="s">
        <v>7242</v>
      </c>
      <c r="Q2968" t="s">
        <v>1939</v>
      </c>
      <c r="R2968" t="s">
        <v>7243</v>
      </c>
      <c r="U2968" t="s">
        <v>491</v>
      </c>
      <c r="X2968">
        <v>0</v>
      </c>
    </row>
    <row r="2969" spans="1:24" x14ac:dyDescent="0.25">
      <c r="A2969" s="234">
        <v>42611</v>
      </c>
      <c r="B2969" t="s">
        <v>328</v>
      </c>
      <c r="C2969" t="s">
        <v>603</v>
      </c>
      <c r="D2969" t="s">
        <v>1471</v>
      </c>
      <c r="E2969" t="s">
        <v>588</v>
      </c>
      <c r="F2969" t="s">
        <v>3671</v>
      </c>
      <c r="H2969" t="s">
        <v>607</v>
      </c>
      <c r="I2969" t="s">
        <v>3672</v>
      </c>
      <c r="J2969" t="s">
        <v>899</v>
      </c>
      <c r="L2969">
        <v>5</v>
      </c>
      <c r="M2969" s="134">
        <v>1690000</v>
      </c>
      <c r="N2969" s="134">
        <v>3080400</v>
      </c>
      <c r="O2969" t="s">
        <v>3673</v>
      </c>
      <c r="P2969" t="s">
        <v>3674</v>
      </c>
      <c r="Q2969" t="s">
        <v>592</v>
      </c>
      <c r="U2969" t="s">
        <v>491</v>
      </c>
      <c r="X2969">
        <v>0</v>
      </c>
    </row>
    <row r="2970" spans="1:24" x14ac:dyDescent="0.25">
      <c r="A2970" s="234">
        <v>43005</v>
      </c>
      <c r="B2970" t="s">
        <v>328</v>
      </c>
      <c r="C2970" t="s">
        <v>603</v>
      </c>
      <c r="D2970" t="s">
        <v>2397</v>
      </c>
      <c r="E2970" t="s">
        <v>588</v>
      </c>
      <c r="F2970" t="s">
        <v>8735</v>
      </c>
      <c r="G2970" t="s">
        <v>8736</v>
      </c>
      <c r="H2970" t="s">
        <v>607</v>
      </c>
      <c r="I2970" t="s">
        <v>3672</v>
      </c>
      <c r="J2970" t="s">
        <v>899</v>
      </c>
      <c r="L2970">
        <v>5</v>
      </c>
      <c r="M2970" s="134">
        <v>1690000</v>
      </c>
      <c r="N2970" s="134">
        <v>3211400</v>
      </c>
      <c r="O2970" t="s">
        <v>8737</v>
      </c>
      <c r="P2970" t="s">
        <v>8738</v>
      </c>
      <c r="Q2970" t="s">
        <v>592</v>
      </c>
      <c r="T2970">
        <v>25</v>
      </c>
      <c r="U2970" t="s">
        <v>491</v>
      </c>
      <c r="X2970">
        <v>0</v>
      </c>
    </row>
    <row r="2971" spans="1:24" x14ac:dyDescent="0.25">
      <c r="A2971" s="234">
        <v>42915</v>
      </c>
      <c r="B2971" t="s">
        <v>643</v>
      </c>
      <c r="C2971" t="s">
        <v>644</v>
      </c>
      <c r="D2971" t="s">
        <v>645</v>
      </c>
      <c r="E2971" t="s">
        <v>588</v>
      </c>
      <c r="F2971" t="s">
        <v>7430</v>
      </c>
      <c r="H2971" t="s">
        <v>1391</v>
      </c>
      <c r="I2971" t="s">
        <v>7431</v>
      </c>
      <c r="J2971" t="s">
        <v>899</v>
      </c>
      <c r="L2971">
        <v>5</v>
      </c>
      <c r="M2971" s="134">
        <v>1695000</v>
      </c>
      <c r="N2971" s="134">
        <v>3429000</v>
      </c>
      <c r="O2971" t="s">
        <v>560</v>
      </c>
      <c r="P2971" t="s">
        <v>7539</v>
      </c>
      <c r="Q2971" t="s">
        <v>1939</v>
      </c>
      <c r="R2971" t="s">
        <v>7432</v>
      </c>
      <c r="U2971" t="s">
        <v>491</v>
      </c>
      <c r="X2971">
        <v>0</v>
      </c>
    </row>
    <row r="2972" spans="1:24" x14ac:dyDescent="0.25">
      <c r="A2972" s="234">
        <v>43039</v>
      </c>
      <c r="B2972" t="s">
        <v>569</v>
      </c>
      <c r="C2972" t="s">
        <v>899</v>
      </c>
      <c r="D2972" t="s">
        <v>625</v>
      </c>
      <c r="E2972" t="s">
        <v>821</v>
      </c>
      <c r="F2972" t="s">
        <v>9247</v>
      </c>
      <c r="H2972" t="s">
        <v>886</v>
      </c>
      <c r="I2972" t="s">
        <v>3649</v>
      </c>
      <c r="J2972" t="s">
        <v>899</v>
      </c>
      <c r="M2972" s="134">
        <v>1700000</v>
      </c>
      <c r="N2972" s="134">
        <v>0</v>
      </c>
      <c r="O2972" t="s">
        <v>9248</v>
      </c>
      <c r="P2972" t="s">
        <v>9249</v>
      </c>
      <c r="Q2972" t="s">
        <v>1939</v>
      </c>
      <c r="R2972" t="s">
        <v>9250</v>
      </c>
      <c r="U2972" t="s">
        <v>491</v>
      </c>
      <c r="X2972">
        <v>0</v>
      </c>
    </row>
    <row r="2973" spans="1:24" x14ac:dyDescent="0.25">
      <c r="A2973" s="234">
        <v>42632</v>
      </c>
      <c r="B2973" t="s">
        <v>378</v>
      </c>
      <c r="C2973" t="s">
        <v>610</v>
      </c>
      <c r="D2973" t="s">
        <v>1027</v>
      </c>
      <c r="E2973" t="s">
        <v>821</v>
      </c>
      <c r="F2973" t="s">
        <v>3967</v>
      </c>
      <c r="H2973" t="s">
        <v>3968</v>
      </c>
      <c r="M2973" s="134">
        <v>1700000</v>
      </c>
      <c r="N2973" s="134">
        <v>0</v>
      </c>
      <c r="O2973" t="s">
        <v>3969</v>
      </c>
      <c r="P2973" t="s">
        <v>3970</v>
      </c>
      <c r="Q2973" t="s">
        <v>592</v>
      </c>
      <c r="U2973" t="s">
        <v>491</v>
      </c>
      <c r="X2973">
        <v>0</v>
      </c>
    </row>
    <row r="2974" spans="1:24" x14ac:dyDescent="0.25">
      <c r="A2974" s="234">
        <v>42535</v>
      </c>
      <c r="B2974" t="s">
        <v>594</v>
      </c>
      <c r="C2974" t="s">
        <v>1363</v>
      </c>
      <c r="D2974" t="s">
        <v>2346</v>
      </c>
      <c r="E2974" t="s">
        <v>588</v>
      </c>
      <c r="F2974" t="s">
        <v>2347</v>
      </c>
      <c r="H2974" t="s">
        <v>886</v>
      </c>
      <c r="I2974" t="s">
        <v>2348</v>
      </c>
      <c r="M2974" s="134">
        <v>1700000</v>
      </c>
      <c r="N2974" s="134">
        <v>1710000</v>
      </c>
      <c r="O2974" t="s">
        <v>1498</v>
      </c>
      <c r="P2974" t="s">
        <v>2495</v>
      </c>
      <c r="Q2974" t="s">
        <v>592</v>
      </c>
      <c r="R2974" t="s">
        <v>2496</v>
      </c>
      <c r="U2974" t="s">
        <v>491</v>
      </c>
      <c r="X2974">
        <v>0</v>
      </c>
    </row>
    <row r="2975" spans="1:24" x14ac:dyDescent="0.25">
      <c r="A2975" s="234">
        <v>43077</v>
      </c>
      <c r="B2975" t="s">
        <v>569</v>
      </c>
      <c r="C2975" t="s">
        <v>899</v>
      </c>
      <c r="D2975" t="s">
        <v>625</v>
      </c>
      <c r="E2975" t="s">
        <v>588</v>
      </c>
      <c r="F2975" t="s">
        <v>9719</v>
      </c>
      <c r="G2975" t="s">
        <v>9720</v>
      </c>
      <c r="H2975" t="s">
        <v>1050</v>
      </c>
      <c r="I2975" t="s">
        <v>4237</v>
      </c>
      <c r="J2975" t="s">
        <v>899</v>
      </c>
      <c r="L2975">
        <v>2</v>
      </c>
      <c r="M2975" s="134">
        <v>1700000</v>
      </c>
      <c r="N2975" s="134">
        <v>1870000</v>
      </c>
      <c r="O2975" t="s">
        <v>5926</v>
      </c>
      <c r="P2975" t="s">
        <v>9721</v>
      </c>
      <c r="Q2975" t="s">
        <v>1939</v>
      </c>
      <c r="R2975" t="s">
        <v>9722</v>
      </c>
      <c r="U2975" t="s">
        <v>1327</v>
      </c>
      <c r="X2975">
        <v>0</v>
      </c>
    </row>
    <row r="2976" spans="1:24" x14ac:dyDescent="0.25">
      <c r="A2976" s="234">
        <v>42902</v>
      </c>
      <c r="B2976" t="s">
        <v>569</v>
      </c>
      <c r="D2976" t="s">
        <v>930</v>
      </c>
      <c r="E2976" t="s">
        <v>821</v>
      </c>
      <c r="F2976" t="s">
        <v>7290</v>
      </c>
      <c r="H2976" t="s">
        <v>809</v>
      </c>
      <c r="I2976" t="s">
        <v>3956</v>
      </c>
      <c r="J2976" t="s">
        <v>899</v>
      </c>
      <c r="M2976" s="134">
        <v>1700000</v>
      </c>
      <c r="N2976" s="134">
        <v>1940000</v>
      </c>
      <c r="O2976" t="s">
        <v>639</v>
      </c>
      <c r="P2976" t="s">
        <v>7244</v>
      </c>
      <c r="Q2976" t="s">
        <v>1612</v>
      </c>
      <c r="R2976" t="s">
        <v>15982</v>
      </c>
      <c r="U2976" t="s">
        <v>491</v>
      </c>
      <c r="X2976">
        <v>0</v>
      </c>
    </row>
    <row r="2977" spans="1:24" x14ac:dyDescent="0.25">
      <c r="A2977" s="234">
        <v>42971</v>
      </c>
      <c r="B2977" t="s">
        <v>328</v>
      </c>
      <c r="C2977" t="s">
        <v>603</v>
      </c>
      <c r="D2977" t="s">
        <v>649</v>
      </c>
      <c r="E2977" t="s">
        <v>588</v>
      </c>
      <c r="F2977" t="s">
        <v>8</v>
      </c>
      <c r="G2977" t="s">
        <v>8297</v>
      </c>
      <c r="H2977" t="s">
        <v>607</v>
      </c>
      <c r="I2977" t="s">
        <v>8298</v>
      </c>
      <c r="J2977" t="s">
        <v>899</v>
      </c>
      <c r="L2977">
        <v>3</v>
      </c>
      <c r="M2977" s="134">
        <v>1700000</v>
      </c>
      <c r="N2977" s="134">
        <v>1970000</v>
      </c>
      <c r="O2977" t="s">
        <v>8299</v>
      </c>
      <c r="P2977" t="s">
        <v>8408</v>
      </c>
      <c r="Q2977" t="s">
        <v>29</v>
      </c>
      <c r="R2977" t="s">
        <v>8300</v>
      </c>
      <c r="T2977">
        <v>10</v>
      </c>
      <c r="U2977" t="s">
        <v>491</v>
      </c>
      <c r="X2977">
        <v>1</v>
      </c>
    </row>
    <row r="2978" spans="1:24" x14ac:dyDescent="0.25">
      <c r="A2978" s="234">
        <v>42957</v>
      </c>
      <c r="B2978" t="s">
        <v>328</v>
      </c>
      <c r="C2978" t="s">
        <v>603</v>
      </c>
      <c r="D2978" t="s">
        <v>2397</v>
      </c>
      <c r="E2978" t="s">
        <v>588</v>
      </c>
      <c r="F2978" t="s">
        <v>8083</v>
      </c>
      <c r="H2978" t="s">
        <v>809</v>
      </c>
      <c r="I2978" t="s">
        <v>4078</v>
      </c>
      <c r="J2978" t="s">
        <v>899</v>
      </c>
      <c r="L2978">
        <v>5</v>
      </c>
      <c r="M2978" s="134">
        <v>1700000</v>
      </c>
      <c r="N2978" s="134">
        <v>2210000</v>
      </c>
      <c r="O2978" t="s">
        <v>560</v>
      </c>
      <c r="P2978" t="s">
        <v>8084</v>
      </c>
      <c r="Q2978" t="s">
        <v>1939</v>
      </c>
      <c r="R2978" t="s">
        <v>8085</v>
      </c>
      <c r="T2978">
        <v>15</v>
      </c>
      <c r="U2978" t="s">
        <v>491</v>
      </c>
      <c r="X2978">
        <v>0</v>
      </c>
    </row>
    <row r="2979" spans="1:24" x14ac:dyDescent="0.25">
      <c r="A2979" s="234">
        <v>42984</v>
      </c>
      <c r="B2979" t="s">
        <v>328</v>
      </c>
      <c r="C2979" t="s">
        <v>603</v>
      </c>
      <c r="D2979" t="s">
        <v>649</v>
      </c>
      <c r="E2979" t="s">
        <v>588</v>
      </c>
      <c r="F2979" t="s">
        <v>8549</v>
      </c>
      <c r="G2979" t="s">
        <v>8550</v>
      </c>
      <c r="H2979" t="s">
        <v>8551</v>
      </c>
      <c r="I2979" t="s">
        <v>3959</v>
      </c>
      <c r="J2979" t="s">
        <v>899</v>
      </c>
      <c r="L2979">
        <v>4</v>
      </c>
      <c r="M2979" s="134">
        <v>1700000</v>
      </c>
      <c r="N2979" s="134">
        <v>2210000</v>
      </c>
      <c r="O2979" t="s">
        <v>560</v>
      </c>
      <c r="P2979" t="s">
        <v>8552</v>
      </c>
      <c r="Q2979" t="s">
        <v>1939</v>
      </c>
      <c r="R2979" t="s">
        <v>8553</v>
      </c>
      <c r="S2979" t="s">
        <v>8554</v>
      </c>
      <c r="U2979" t="s">
        <v>1327</v>
      </c>
      <c r="X2979">
        <v>0</v>
      </c>
    </row>
    <row r="2980" spans="1:24" x14ac:dyDescent="0.25">
      <c r="A2980" s="234">
        <v>43559</v>
      </c>
      <c r="B2980" t="s">
        <v>328</v>
      </c>
      <c r="C2980" t="s">
        <v>603</v>
      </c>
      <c r="D2980" t="s">
        <v>5701</v>
      </c>
      <c r="F2980" t="s">
        <v>14997</v>
      </c>
      <c r="G2980" t="s">
        <v>14998</v>
      </c>
      <c r="H2980" t="s">
        <v>10831</v>
      </c>
      <c r="I2980" t="s">
        <v>14999</v>
      </c>
      <c r="J2980" t="s">
        <v>3371</v>
      </c>
      <c r="K2980" t="s">
        <v>15000</v>
      </c>
      <c r="L2980">
        <v>9</v>
      </c>
      <c r="M2980" s="134">
        <v>1700000</v>
      </c>
      <c r="N2980" s="134">
        <v>2275000</v>
      </c>
      <c r="O2980" t="s">
        <v>7124</v>
      </c>
      <c r="P2980" t="s">
        <v>15329</v>
      </c>
      <c r="Q2980" t="s">
        <v>29</v>
      </c>
      <c r="R2980" t="s">
        <v>15001</v>
      </c>
      <c r="S2980" t="s">
        <v>15002</v>
      </c>
      <c r="U2980" t="s">
        <v>12797</v>
      </c>
      <c r="X2980">
        <v>1</v>
      </c>
    </row>
    <row r="2981" spans="1:24" x14ac:dyDescent="0.25">
      <c r="A2981" s="234">
        <v>43293</v>
      </c>
      <c r="B2981" t="s">
        <v>328</v>
      </c>
      <c r="C2981" t="s">
        <v>603</v>
      </c>
      <c r="D2981" t="s">
        <v>5701</v>
      </c>
      <c r="E2981" t="s">
        <v>588</v>
      </c>
      <c r="F2981" t="s">
        <v>11727</v>
      </c>
      <c r="G2981" t="s">
        <v>11728</v>
      </c>
      <c r="H2981" t="s">
        <v>905</v>
      </c>
      <c r="J2981" t="s">
        <v>899</v>
      </c>
      <c r="L2981">
        <v>2</v>
      </c>
      <c r="M2981" s="134">
        <v>1700000</v>
      </c>
      <c r="N2981" s="134">
        <v>2480000</v>
      </c>
      <c r="O2981" t="s">
        <v>10766</v>
      </c>
      <c r="P2981" t="s">
        <v>11999</v>
      </c>
      <c r="Q2981" t="s">
        <v>1939</v>
      </c>
      <c r="R2981" t="s">
        <v>11729</v>
      </c>
      <c r="U2981" t="s">
        <v>491</v>
      </c>
      <c r="X2981">
        <v>0</v>
      </c>
    </row>
    <row r="2982" spans="1:24" x14ac:dyDescent="0.25">
      <c r="A2982" s="234">
        <v>42507</v>
      </c>
      <c r="B2982" t="s">
        <v>378</v>
      </c>
      <c r="C2982" t="s">
        <v>610</v>
      </c>
      <c r="D2982" t="s">
        <v>732</v>
      </c>
      <c r="E2982" t="s">
        <v>588</v>
      </c>
      <c r="F2982" t="s">
        <v>2134</v>
      </c>
      <c r="H2982" t="s">
        <v>607</v>
      </c>
      <c r="I2982" t="s">
        <v>2135</v>
      </c>
      <c r="M2982" s="134">
        <v>1700000</v>
      </c>
      <c r="N2982" s="134">
        <v>2620000</v>
      </c>
      <c r="O2982" t="s">
        <v>764</v>
      </c>
      <c r="P2982" t="s">
        <v>2136</v>
      </c>
      <c r="Q2982" t="s">
        <v>592</v>
      </c>
      <c r="U2982" t="s">
        <v>491</v>
      </c>
      <c r="X2982">
        <v>0</v>
      </c>
    </row>
    <row r="2983" spans="1:24" x14ac:dyDescent="0.25">
      <c r="A2983" s="234">
        <v>43482</v>
      </c>
      <c r="B2983" t="s">
        <v>328</v>
      </c>
      <c r="C2983" t="s">
        <v>603</v>
      </c>
      <c r="D2983" t="s">
        <v>649</v>
      </c>
      <c r="F2983" t="s">
        <v>14038</v>
      </c>
      <c r="G2983" t="s">
        <v>14039</v>
      </c>
      <c r="H2983" t="s">
        <v>10831</v>
      </c>
      <c r="I2983" t="s">
        <v>14040</v>
      </c>
      <c r="J2983" t="s">
        <v>604</v>
      </c>
      <c r="K2983" t="s">
        <v>14041</v>
      </c>
      <c r="L2983">
        <v>9</v>
      </c>
      <c r="M2983" s="134">
        <v>1700000</v>
      </c>
      <c r="N2983" s="134">
        <v>2720000</v>
      </c>
      <c r="O2983" t="s">
        <v>7124</v>
      </c>
      <c r="P2983" t="s">
        <v>14242</v>
      </c>
      <c r="Q2983" t="s">
        <v>592</v>
      </c>
      <c r="R2983" t="s">
        <v>14042</v>
      </c>
      <c r="U2983" t="s">
        <v>12797</v>
      </c>
      <c r="X2983">
        <v>0</v>
      </c>
    </row>
    <row r="2984" spans="1:24" x14ac:dyDescent="0.25">
      <c r="A2984" s="234">
        <v>42748</v>
      </c>
      <c r="B2984" t="s">
        <v>569</v>
      </c>
      <c r="D2984" t="s">
        <v>625</v>
      </c>
      <c r="E2984" t="s">
        <v>692</v>
      </c>
      <c r="F2984" t="s">
        <v>5325</v>
      </c>
      <c r="H2984" t="s">
        <v>886</v>
      </c>
      <c r="L2984" t="s">
        <v>5280</v>
      </c>
      <c r="M2984" s="134">
        <v>1700000</v>
      </c>
      <c r="N2984" s="134">
        <v>2970000</v>
      </c>
      <c r="O2984" t="s">
        <v>560</v>
      </c>
      <c r="P2984" t="s">
        <v>5326</v>
      </c>
      <c r="Q2984" t="s">
        <v>592</v>
      </c>
      <c r="U2984" t="s">
        <v>491</v>
      </c>
      <c r="X2984">
        <v>0</v>
      </c>
    </row>
    <row r="2985" spans="1:24" x14ac:dyDescent="0.25">
      <c r="A2985" s="234">
        <v>42664</v>
      </c>
      <c r="B2985" t="s">
        <v>378</v>
      </c>
      <c r="C2985" t="s">
        <v>623</v>
      </c>
      <c r="D2985" t="s">
        <v>625</v>
      </c>
      <c r="E2985" t="s">
        <v>588</v>
      </c>
      <c r="F2985" t="s">
        <v>4437</v>
      </c>
      <c r="H2985" t="s">
        <v>607</v>
      </c>
      <c r="I2985" t="s">
        <v>4438</v>
      </c>
      <c r="M2985" s="134">
        <v>1700000</v>
      </c>
      <c r="N2985" s="134">
        <v>3050000</v>
      </c>
      <c r="O2985" t="s">
        <v>560</v>
      </c>
      <c r="P2985" t="s">
        <v>4439</v>
      </c>
      <c r="Q2985" t="s">
        <v>592</v>
      </c>
      <c r="U2985" t="s">
        <v>491</v>
      </c>
      <c r="X2985">
        <v>0</v>
      </c>
    </row>
    <row r="2986" spans="1:24" x14ac:dyDescent="0.25">
      <c r="A2986" s="234">
        <v>43160</v>
      </c>
      <c r="B2986" t="s">
        <v>328</v>
      </c>
      <c r="C2986" t="s">
        <v>603</v>
      </c>
      <c r="D2986" t="s">
        <v>8941</v>
      </c>
      <c r="E2986" t="s">
        <v>588</v>
      </c>
      <c r="F2986" t="s">
        <v>8891</v>
      </c>
      <c r="G2986" t="s">
        <v>10408</v>
      </c>
      <c r="H2986" t="s">
        <v>607</v>
      </c>
      <c r="I2986" t="s">
        <v>10409</v>
      </c>
      <c r="J2986" t="s">
        <v>899</v>
      </c>
      <c r="L2986">
        <v>1</v>
      </c>
      <c r="M2986" s="134">
        <v>1700000</v>
      </c>
      <c r="N2986" s="134">
        <v>3060000</v>
      </c>
      <c r="O2986" t="s">
        <v>560</v>
      </c>
      <c r="P2986" t="s">
        <v>10410</v>
      </c>
      <c r="Q2986" t="s">
        <v>592</v>
      </c>
      <c r="S2986" t="s">
        <v>10621</v>
      </c>
      <c r="U2986" t="s">
        <v>491</v>
      </c>
      <c r="X2986">
        <v>0</v>
      </c>
    </row>
    <row r="2987" spans="1:24" x14ac:dyDescent="0.25">
      <c r="A2987" s="234">
        <v>42783</v>
      </c>
      <c r="B2987" t="s">
        <v>328</v>
      </c>
      <c r="C2987" t="s">
        <v>603</v>
      </c>
      <c r="D2987" t="s">
        <v>672</v>
      </c>
      <c r="E2987" t="s">
        <v>588</v>
      </c>
      <c r="F2987" t="s">
        <v>5724</v>
      </c>
      <c r="H2987" t="s">
        <v>607</v>
      </c>
      <c r="I2987" t="s">
        <v>3536</v>
      </c>
      <c r="J2987" t="s">
        <v>899</v>
      </c>
      <c r="L2987">
        <v>1</v>
      </c>
      <c r="M2987" s="134">
        <v>1700000</v>
      </c>
      <c r="N2987" s="134">
        <v>3060000</v>
      </c>
      <c r="O2987" t="s">
        <v>560</v>
      </c>
      <c r="P2987" t="s">
        <v>5725</v>
      </c>
      <c r="Q2987" t="s">
        <v>592</v>
      </c>
      <c r="R2987" t="s">
        <v>6548</v>
      </c>
      <c r="U2987" t="s">
        <v>491</v>
      </c>
      <c r="X2987">
        <v>0</v>
      </c>
    </row>
    <row r="2988" spans="1:24" x14ac:dyDescent="0.25">
      <c r="A2988" s="234">
        <v>43013</v>
      </c>
      <c r="B2988" t="s">
        <v>328</v>
      </c>
      <c r="C2988" t="s">
        <v>899</v>
      </c>
      <c r="D2988" t="s">
        <v>649</v>
      </c>
      <c r="E2988" t="s">
        <v>588</v>
      </c>
      <c r="F2988" t="s">
        <v>8897</v>
      </c>
      <c r="G2988" t="s">
        <v>256</v>
      </c>
      <c r="H2988" t="s">
        <v>607</v>
      </c>
      <c r="I2988" t="s">
        <v>8445</v>
      </c>
      <c r="J2988" t="s">
        <v>899</v>
      </c>
      <c r="L2988">
        <v>3</v>
      </c>
      <c r="M2988" s="134">
        <v>1700000</v>
      </c>
      <c r="N2988" s="134">
        <v>3060000</v>
      </c>
      <c r="O2988" t="s">
        <v>560</v>
      </c>
      <c r="P2988" t="s">
        <v>8898</v>
      </c>
      <c r="Q2988" t="s">
        <v>592</v>
      </c>
      <c r="T2988">
        <v>21</v>
      </c>
      <c r="U2988" t="s">
        <v>491</v>
      </c>
      <c r="X2988">
        <v>0</v>
      </c>
    </row>
    <row r="2989" spans="1:24" x14ac:dyDescent="0.25">
      <c r="A2989" s="234">
        <v>43521</v>
      </c>
      <c r="B2989" t="s">
        <v>13559</v>
      </c>
      <c r="C2989" t="s">
        <v>4031</v>
      </c>
      <c r="D2989" t="s">
        <v>13560</v>
      </c>
      <c r="F2989" t="s">
        <v>14513</v>
      </c>
      <c r="G2989" t="s">
        <v>14514</v>
      </c>
      <c r="H2989" t="s">
        <v>607</v>
      </c>
      <c r="I2989" t="s">
        <v>8193</v>
      </c>
      <c r="J2989" t="s">
        <v>8194</v>
      </c>
      <c r="K2989" t="s">
        <v>14515</v>
      </c>
      <c r="L2989">
        <v>10</v>
      </c>
      <c r="M2989" s="134">
        <v>1700000</v>
      </c>
      <c r="N2989" s="134">
        <v>3375000</v>
      </c>
      <c r="O2989" t="s">
        <v>7124</v>
      </c>
      <c r="P2989" t="s">
        <v>14572</v>
      </c>
      <c r="Q2989" t="s">
        <v>29</v>
      </c>
      <c r="R2989" t="s">
        <v>14516</v>
      </c>
      <c r="U2989" t="s">
        <v>12797</v>
      </c>
      <c r="X2989">
        <v>1</v>
      </c>
    </row>
    <row r="2990" spans="1:24" x14ac:dyDescent="0.25">
      <c r="A2990" s="234">
        <v>43496</v>
      </c>
      <c r="B2990" t="s">
        <v>643</v>
      </c>
      <c r="C2990" t="s">
        <v>644</v>
      </c>
      <c r="D2990" t="s">
        <v>625</v>
      </c>
      <c r="F2990" t="s">
        <v>14145</v>
      </c>
      <c r="G2990" t="s">
        <v>14146</v>
      </c>
      <c r="H2990" t="s">
        <v>607</v>
      </c>
      <c r="I2990" t="s">
        <v>7022</v>
      </c>
      <c r="J2990" t="s">
        <v>644</v>
      </c>
      <c r="K2990" t="s">
        <v>14147</v>
      </c>
      <c r="L2990">
        <v>3</v>
      </c>
      <c r="M2990" s="134">
        <v>1700000</v>
      </c>
      <c r="N2990" s="134">
        <v>3500000</v>
      </c>
      <c r="O2990" t="s">
        <v>10766</v>
      </c>
      <c r="P2990" t="s">
        <v>14260</v>
      </c>
      <c r="Q2990" t="s">
        <v>620</v>
      </c>
      <c r="R2990" t="s">
        <v>14148</v>
      </c>
      <c r="U2990" t="s">
        <v>491</v>
      </c>
      <c r="X2990">
        <v>0</v>
      </c>
    </row>
    <row r="2991" spans="1:24" x14ac:dyDescent="0.25">
      <c r="A2991" s="234">
        <v>43083</v>
      </c>
      <c r="B2991" t="s">
        <v>569</v>
      </c>
      <c r="C2991" t="s">
        <v>899</v>
      </c>
      <c r="D2991" t="s">
        <v>625</v>
      </c>
      <c r="E2991" t="s">
        <v>588</v>
      </c>
      <c r="F2991" t="s">
        <v>9776</v>
      </c>
      <c r="G2991" t="s">
        <v>9777</v>
      </c>
      <c r="H2991" t="s">
        <v>607</v>
      </c>
      <c r="I2991" t="s">
        <v>5914</v>
      </c>
      <c r="J2991" t="s">
        <v>899</v>
      </c>
      <c r="M2991" s="134">
        <v>1700000</v>
      </c>
      <c r="N2991" s="134">
        <v>3955000</v>
      </c>
      <c r="O2991" t="s">
        <v>666</v>
      </c>
      <c r="P2991" t="s">
        <v>9778</v>
      </c>
      <c r="Q2991" t="s">
        <v>620</v>
      </c>
      <c r="R2991" t="s">
        <v>9779</v>
      </c>
      <c r="S2991" t="s">
        <v>9781</v>
      </c>
      <c r="U2991" t="s">
        <v>1327</v>
      </c>
      <c r="X2991">
        <v>0</v>
      </c>
    </row>
    <row r="2992" spans="1:24" x14ac:dyDescent="0.25">
      <c r="A2992" s="234">
        <v>42900</v>
      </c>
      <c r="B2992" t="s">
        <v>328</v>
      </c>
      <c r="C2992" t="s">
        <v>603</v>
      </c>
      <c r="D2992" t="s">
        <v>672</v>
      </c>
      <c r="E2992" t="s">
        <v>588</v>
      </c>
      <c r="F2992" t="s">
        <v>7189</v>
      </c>
      <c r="H2992" t="s">
        <v>607</v>
      </c>
      <c r="I2992" t="s">
        <v>7190</v>
      </c>
      <c r="J2992" t="s">
        <v>899</v>
      </c>
      <c r="L2992">
        <v>2</v>
      </c>
      <c r="M2992" s="134">
        <v>1706600</v>
      </c>
      <c r="N2992" s="134">
        <v>3071880</v>
      </c>
      <c r="O2992" t="s">
        <v>1171</v>
      </c>
      <c r="P2992" t="s">
        <v>7191</v>
      </c>
      <c r="Q2992" t="s">
        <v>592</v>
      </c>
      <c r="U2992" t="s">
        <v>491</v>
      </c>
      <c r="X2992">
        <v>0</v>
      </c>
    </row>
    <row r="2993" spans="1:24" x14ac:dyDescent="0.25">
      <c r="A2993" s="234">
        <v>43434</v>
      </c>
      <c r="B2993" t="s">
        <v>569</v>
      </c>
      <c r="C2993" t="s">
        <v>899</v>
      </c>
      <c r="D2993" t="s">
        <v>624</v>
      </c>
      <c r="F2993" t="s">
        <v>13380</v>
      </c>
      <c r="G2993" t="s">
        <v>12327</v>
      </c>
      <c r="H2993" t="s">
        <v>607</v>
      </c>
      <c r="I2993" t="s">
        <v>4078</v>
      </c>
      <c r="J2993" t="s">
        <v>899</v>
      </c>
      <c r="K2993" t="s">
        <v>13328</v>
      </c>
      <c r="L2993">
        <v>5</v>
      </c>
      <c r="M2993" s="134">
        <v>1710500</v>
      </c>
      <c r="N2993" s="134">
        <v>2900000</v>
      </c>
      <c r="O2993" t="s">
        <v>6745</v>
      </c>
      <c r="P2993" t="s">
        <v>13381</v>
      </c>
      <c r="Q2993" t="s">
        <v>29</v>
      </c>
      <c r="R2993" t="s">
        <v>13382</v>
      </c>
      <c r="U2993" t="s">
        <v>491</v>
      </c>
      <c r="X2993">
        <v>1</v>
      </c>
    </row>
    <row r="2994" spans="1:24" x14ac:dyDescent="0.25">
      <c r="A2994" s="234">
        <v>42676</v>
      </c>
      <c r="B2994" t="s">
        <v>1486</v>
      </c>
      <c r="C2994" t="s">
        <v>1883</v>
      </c>
      <c r="D2994" t="s">
        <v>727</v>
      </c>
      <c r="E2994" t="s">
        <v>588</v>
      </c>
      <c r="F2994" t="s">
        <v>4583</v>
      </c>
      <c r="H2994" t="s">
        <v>886</v>
      </c>
      <c r="I2994" t="s">
        <v>4584</v>
      </c>
      <c r="J2994" t="s">
        <v>3369</v>
      </c>
      <c r="M2994" s="134">
        <v>1711000</v>
      </c>
      <c r="N2994" s="134">
        <v>3433200</v>
      </c>
      <c r="O2994" t="s">
        <v>1171</v>
      </c>
      <c r="P2994" t="s">
        <v>4586</v>
      </c>
      <c r="Q2994" t="s">
        <v>620</v>
      </c>
      <c r="R2994" t="s">
        <v>4585</v>
      </c>
      <c r="U2994" t="s">
        <v>491</v>
      </c>
      <c r="X2994">
        <v>0</v>
      </c>
    </row>
    <row r="2995" spans="1:24" x14ac:dyDescent="0.25">
      <c r="A2995" s="234">
        <v>42912</v>
      </c>
      <c r="B2995" t="s">
        <v>328</v>
      </c>
      <c r="C2995" t="s">
        <v>603</v>
      </c>
      <c r="D2995" t="s">
        <v>649</v>
      </c>
      <c r="E2995" t="s">
        <v>588</v>
      </c>
      <c r="F2995" t="s">
        <v>7384</v>
      </c>
      <c r="H2995" t="s">
        <v>5991</v>
      </c>
      <c r="I2995" t="s">
        <v>7385</v>
      </c>
      <c r="J2995" t="s">
        <v>3533</v>
      </c>
      <c r="L2995">
        <v>10</v>
      </c>
      <c r="M2995" s="134">
        <v>1715000</v>
      </c>
      <c r="N2995" s="134">
        <v>2429500</v>
      </c>
      <c r="O2995" t="s">
        <v>7386</v>
      </c>
      <c r="P2995" t="s">
        <v>7387</v>
      </c>
      <c r="Q2995" t="s">
        <v>1939</v>
      </c>
      <c r="R2995" t="s">
        <v>7395</v>
      </c>
      <c r="S2995" t="s">
        <v>7396</v>
      </c>
      <c r="U2995" t="s">
        <v>491</v>
      </c>
      <c r="X2995">
        <v>0</v>
      </c>
    </row>
    <row r="2996" spans="1:24" x14ac:dyDescent="0.25">
      <c r="A2996" s="234">
        <v>42703</v>
      </c>
      <c r="B2996" t="s">
        <v>378</v>
      </c>
      <c r="C2996" t="s">
        <v>623</v>
      </c>
      <c r="D2996" t="s">
        <v>930</v>
      </c>
      <c r="E2996" t="s">
        <v>588</v>
      </c>
      <c r="F2996" t="s">
        <v>4844</v>
      </c>
      <c r="H2996" t="s">
        <v>886</v>
      </c>
      <c r="I2996" t="s">
        <v>4845</v>
      </c>
      <c r="J2996" t="s">
        <v>899</v>
      </c>
      <c r="L2996">
        <v>4</v>
      </c>
      <c r="M2996" s="134">
        <v>1719000</v>
      </c>
      <c r="N2996" s="134">
        <v>3094200</v>
      </c>
      <c r="O2996" t="s">
        <v>560</v>
      </c>
      <c r="P2996" t="s">
        <v>4846</v>
      </c>
      <c r="Q2996" t="s">
        <v>1939</v>
      </c>
      <c r="R2996" t="s">
        <v>4847</v>
      </c>
      <c r="U2996" t="s">
        <v>491</v>
      </c>
      <c r="X2996">
        <v>0</v>
      </c>
    </row>
    <row r="2997" spans="1:24" x14ac:dyDescent="0.25">
      <c r="A2997" s="234">
        <v>42927</v>
      </c>
      <c r="B2997" t="s">
        <v>5360</v>
      </c>
      <c r="C2997" t="s">
        <v>899</v>
      </c>
      <c r="D2997" t="s">
        <v>1027</v>
      </c>
      <c r="E2997" t="s">
        <v>588</v>
      </c>
      <c r="F2997" t="s">
        <v>7528</v>
      </c>
      <c r="H2997" t="s">
        <v>607</v>
      </c>
      <c r="I2997" t="s">
        <v>6676</v>
      </c>
      <c r="J2997" t="s">
        <v>899</v>
      </c>
      <c r="L2997">
        <v>3</v>
      </c>
      <c r="M2997" s="134">
        <v>1720000</v>
      </c>
      <c r="N2997" s="134">
        <v>3462600</v>
      </c>
      <c r="O2997" t="s">
        <v>7567</v>
      </c>
      <c r="P2997" t="s">
        <v>7568</v>
      </c>
      <c r="Q2997" t="s">
        <v>1939</v>
      </c>
      <c r="R2997" t="s">
        <v>7569</v>
      </c>
      <c r="S2997" t="s">
        <v>8376</v>
      </c>
      <c r="U2997" t="s">
        <v>2227</v>
      </c>
      <c r="X2997">
        <v>0</v>
      </c>
    </row>
    <row r="2998" spans="1:24" x14ac:dyDescent="0.25">
      <c r="A2998" s="234">
        <v>42695</v>
      </c>
      <c r="B2998" t="s">
        <v>1486</v>
      </c>
      <c r="C2998" t="s">
        <v>959</v>
      </c>
      <c r="D2998" t="s">
        <v>732</v>
      </c>
      <c r="E2998" t="s">
        <v>588</v>
      </c>
      <c r="F2998" t="s">
        <v>4770</v>
      </c>
      <c r="H2998" t="s">
        <v>1391</v>
      </c>
      <c r="I2998" t="s">
        <v>4766</v>
      </c>
      <c r="J2998" t="s">
        <v>602</v>
      </c>
      <c r="M2998" s="134">
        <v>1723000</v>
      </c>
      <c r="N2998" s="134">
        <v>0</v>
      </c>
      <c r="O2998" t="s">
        <v>4767</v>
      </c>
      <c r="P2998" t="s">
        <v>4768</v>
      </c>
      <c r="Q2998" t="s">
        <v>620</v>
      </c>
      <c r="R2998" t="s">
        <v>4769</v>
      </c>
      <c r="U2998" t="s">
        <v>1327</v>
      </c>
      <c r="X2998">
        <v>0</v>
      </c>
    </row>
    <row r="2999" spans="1:24" x14ac:dyDescent="0.25">
      <c r="A2999" s="234">
        <v>42502</v>
      </c>
      <c r="B2999" t="s">
        <v>328</v>
      </c>
      <c r="C2999" t="s">
        <v>603</v>
      </c>
      <c r="D2999" t="s">
        <v>649</v>
      </c>
      <c r="E2999" t="s">
        <v>588</v>
      </c>
      <c r="F2999" t="s">
        <v>2067</v>
      </c>
      <c r="H2999" t="s">
        <v>905</v>
      </c>
      <c r="I2999" t="s">
        <v>802</v>
      </c>
      <c r="M2999" s="134">
        <v>1727310</v>
      </c>
      <c r="N2999" s="134">
        <v>2283291</v>
      </c>
      <c r="O2999" t="s">
        <v>1474</v>
      </c>
      <c r="P2999" t="s">
        <v>2068</v>
      </c>
      <c r="Q2999" t="s">
        <v>1939</v>
      </c>
      <c r="R2999" t="s">
        <v>2069</v>
      </c>
      <c r="U2999" t="s">
        <v>491</v>
      </c>
      <c r="X2999">
        <v>0</v>
      </c>
    </row>
    <row r="3000" spans="1:24" x14ac:dyDescent="0.25">
      <c r="A3000" s="234">
        <v>43061</v>
      </c>
      <c r="B3000" t="s">
        <v>569</v>
      </c>
      <c r="C3000" t="s">
        <v>899</v>
      </c>
      <c r="D3000" t="s">
        <v>624</v>
      </c>
      <c r="E3000" t="s">
        <v>588</v>
      </c>
      <c r="F3000" t="s">
        <v>9540</v>
      </c>
      <c r="G3000" t="s">
        <v>9541</v>
      </c>
      <c r="H3000" t="s">
        <v>607</v>
      </c>
      <c r="I3000" t="s">
        <v>9530</v>
      </c>
      <c r="J3000" t="s">
        <v>899</v>
      </c>
      <c r="L3000">
        <v>3</v>
      </c>
      <c r="M3000" s="134">
        <v>1728000</v>
      </c>
      <c r="N3000" s="134">
        <v>3108800</v>
      </c>
      <c r="O3000" t="s">
        <v>560</v>
      </c>
      <c r="P3000" t="s">
        <v>9542</v>
      </c>
      <c r="Q3000" t="s">
        <v>1939</v>
      </c>
      <c r="R3000" t="s">
        <v>9543</v>
      </c>
      <c r="U3000" t="s">
        <v>1327</v>
      </c>
      <c r="X3000">
        <v>0</v>
      </c>
    </row>
    <row r="3001" spans="1:24" x14ac:dyDescent="0.25">
      <c r="A3001" s="234">
        <v>43424</v>
      </c>
      <c r="B3001" t="s">
        <v>328</v>
      </c>
      <c r="C3001" t="s">
        <v>603</v>
      </c>
      <c r="D3001" t="s">
        <v>9977</v>
      </c>
      <c r="F3001" t="s">
        <v>13237</v>
      </c>
      <c r="G3001" t="s">
        <v>13238</v>
      </c>
      <c r="H3001" t="s">
        <v>10832</v>
      </c>
      <c r="I3001" t="s">
        <v>13239</v>
      </c>
      <c r="J3001" t="s">
        <v>3501</v>
      </c>
      <c r="K3001" t="s">
        <v>13240</v>
      </c>
      <c r="L3001">
        <v>10</v>
      </c>
      <c r="M3001" s="134">
        <v>1731425</v>
      </c>
      <c r="N3001" s="134">
        <v>2870281</v>
      </c>
      <c r="O3001" t="s">
        <v>7564</v>
      </c>
      <c r="P3001" t="s">
        <v>13241</v>
      </c>
      <c r="Q3001" t="s">
        <v>1939</v>
      </c>
      <c r="R3001" t="s">
        <v>13242</v>
      </c>
      <c r="U3001" t="s">
        <v>491</v>
      </c>
      <c r="X3001">
        <v>0</v>
      </c>
    </row>
    <row r="3002" spans="1:24" x14ac:dyDescent="0.25">
      <c r="A3002" s="234">
        <v>43433</v>
      </c>
      <c r="B3002" t="s">
        <v>328</v>
      </c>
      <c r="C3002" t="s">
        <v>603</v>
      </c>
      <c r="D3002" t="s">
        <v>7595</v>
      </c>
      <c r="F3002" t="s">
        <v>13237</v>
      </c>
      <c r="G3002" t="s">
        <v>13238</v>
      </c>
      <c r="H3002" t="s">
        <v>10832</v>
      </c>
      <c r="I3002" t="s">
        <v>13239</v>
      </c>
      <c r="J3002" t="s">
        <v>3501</v>
      </c>
      <c r="K3002" t="s">
        <v>13240</v>
      </c>
      <c r="L3002">
        <v>10</v>
      </c>
      <c r="M3002" s="134">
        <v>1731425</v>
      </c>
      <c r="N3002" s="134">
        <v>3300852</v>
      </c>
      <c r="O3002" t="s">
        <v>7564</v>
      </c>
      <c r="P3002" t="s">
        <v>13351</v>
      </c>
      <c r="Q3002" t="s">
        <v>1939</v>
      </c>
      <c r="R3002" t="s">
        <v>13352</v>
      </c>
      <c r="U3002" t="s">
        <v>491</v>
      </c>
      <c r="X3002">
        <v>0</v>
      </c>
    </row>
    <row r="3003" spans="1:24" x14ac:dyDescent="0.25">
      <c r="A3003" s="234">
        <v>43557</v>
      </c>
      <c r="B3003" t="s">
        <v>328</v>
      </c>
      <c r="C3003" t="s">
        <v>603</v>
      </c>
      <c r="D3003" t="s">
        <v>5701</v>
      </c>
      <c r="F3003" t="s">
        <v>14936</v>
      </c>
      <c r="G3003" t="s">
        <v>10080</v>
      </c>
      <c r="H3003" t="s">
        <v>607</v>
      </c>
      <c r="I3003" t="s">
        <v>14938</v>
      </c>
      <c r="J3003" t="s">
        <v>644</v>
      </c>
      <c r="K3003" t="s">
        <v>14939</v>
      </c>
      <c r="L3003">
        <v>9</v>
      </c>
      <c r="M3003" s="134">
        <v>1734720</v>
      </c>
      <c r="N3003" s="134">
        <v>3919664</v>
      </c>
      <c r="O3003" t="s">
        <v>560</v>
      </c>
      <c r="P3003" t="s">
        <v>15326</v>
      </c>
      <c r="Q3003" t="s">
        <v>1939</v>
      </c>
      <c r="R3003" t="s">
        <v>14964</v>
      </c>
      <c r="S3003" t="s">
        <v>14965</v>
      </c>
      <c r="U3003" t="s">
        <v>12797</v>
      </c>
      <c r="X3003">
        <v>0</v>
      </c>
    </row>
    <row r="3004" spans="1:24" x14ac:dyDescent="0.25">
      <c r="A3004" s="234">
        <v>42634</v>
      </c>
      <c r="B3004" t="s">
        <v>328</v>
      </c>
      <c r="C3004" t="s">
        <v>603</v>
      </c>
      <c r="D3004" t="s">
        <v>1471</v>
      </c>
      <c r="E3004" t="s">
        <v>588</v>
      </c>
      <c r="F3004" t="s">
        <v>4015</v>
      </c>
      <c r="H3004" t="s">
        <v>607</v>
      </c>
      <c r="I3004" t="s">
        <v>4016</v>
      </c>
      <c r="J3004" t="s">
        <v>3370</v>
      </c>
      <c r="L3004">
        <v>2</v>
      </c>
      <c r="M3004" s="134">
        <v>1735770</v>
      </c>
      <c r="N3004" s="134">
        <v>3297963</v>
      </c>
      <c r="O3004" t="s">
        <v>4017</v>
      </c>
      <c r="P3004" t="s">
        <v>4018</v>
      </c>
      <c r="Q3004" t="s">
        <v>1939</v>
      </c>
      <c r="R3004" t="s">
        <v>4019</v>
      </c>
      <c r="U3004" t="s">
        <v>491</v>
      </c>
      <c r="X3004">
        <v>0</v>
      </c>
    </row>
    <row r="3005" spans="1:24" x14ac:dyDescent="0.25">
      <c r="A3005" s="234">
        <v>42754</v>
      </c>
      <c r="B3005" t="s">
        <v>569</v>
      </c>
      <c r="D3005" t="s">
        <v>930</v>
      </c>
      <c r="E3005" t="s">
        <v>588</v>
      </c>
      <c r="F3005" t="s">
        <v>4077</v>
      </c>
      <c r="H3005" t="s">
        <v>607</v>
      </c>
      <c r="I3005" t="s">
        <v>4078</v>
      </c>
      <c r="J3005" t="s">
        <v>899</v>
      </c>
      <c r="L3005" t="s">
        <v>5280</v>
      </c>
      <c r="M3005" s="134">
        <v>1739000</v>
      </c>
      <c r="N3005" s="134">
        <v>3149000</v>
      </c>
      <c r="O3005" t="s">
        <v>560</v>
      </c>
      <c r="P3005" t="s">
        <v>5375</v>
      </c>
      <c r="Q3005" t="s">
        <v>1939</v>
      </c>
      <c r="R3005" t="s">
        <v>5376</v>
      </c>
      <c r="U3005" t="s">
        <v>491</v>
      </c>
      <c r="X3005">
        <v>0</v>
      </c>
    </row>
    <row r="3006" spans="1:24" x14ac:dyDescent="0.25">
      <c r="A3006" s="234">
        <v>42886</v>
      </c>
      <c r="B3006" t="s">
        <v>569</v>
      </c>
      <c r="D3006" t="s">
        <v>625</v>
      </c>
      <c r="E3006" t="s">
        <v>821</v>
      </c>
      <c r="H3006" t="s">
        <v>905</v>
      </c>
      <c r="I3006" t="s">
        <v>3388</v>
      </c>
      <c r="J3006" t="s">
        <v>899</v>
      </c>
      <c r="M3006" s="134">
        <v>1750000</v>
      </c>
      <c r="N3006" s="134">
        <v>0</v>
      </c>
      <c r="O3006" t="s">
        <v>1171</v>
      </c>
      <c r="P3006" t="s">
        <v>6984</v>
      </c>
      <c r="Q3006" t="s">
        <v>620</v>
      </c>
      <c r="R3006" t="s">
        <v>6985</v>
      </c>
      <c r="U3006" t="s">
        <v>491</v>
      </c>
      <c r="X3006">
        <v>0</v>
      </c>
    </row>
    <row r="3007" spans="1:24" x14ac:dyDescent="0.25">
      <c r="A3007" s="234">
        <v>42642</v>
      </c>
      <c r="B3007" t="s">
        <v>1486</v>
      </c>
      <c r="C3007" t="s">
        <v>1363</v>
      </c>
      <c r="D3007" t="s">
        <v>2346</v>
      </c>
      <c r="E3007" t="s">
        <v>588</v>
      </c>
      <c r="F3007" t="s">
        <v>4123</v>
      </c>
      <c r="H3007" t="s">
        <v>886</v>
      </c>
      <c r="I3007" t="s">
        <v>3809</v>
      </c>
      <c r="J3007" t="s">
        <v>602</v>
      </c>
      <c r="L3007">
        <v>1</v>
      </c>
      <c r="M3007" s="134">
        <v>1750000</v>
      </c>
      <c r="N3007" s="134">
        <v>2250000</v>
      </c>
      <c r="O3007" t="s">
        <v>4104</v>
      </c>
      <c r="P3007" t="s">
        <v>4124</v>
      </c>
      <c r="Q3007" t="s">
        <v>29</v>
      </c>
      <c r="R3007" t="s">
        <v>4125</v>
      </c>
      <c r="U3007" t="s">
        <v>491</v>
      </c>
      <c r="X3007">
        <v>1</v>
      </c>
    </row>
    <row r="3008" spans="1:24" x14ac:dyDescent="0.25">
      <c r="A3008" s="234">
        <v>42531</v>
      </c>
      <c r="B3008" t="s">
        <v>328</v>
      </c>
      <c r="C3008" t="s">
        <v>603</v>
      </c>
      <c r="D3008" t="s">
        <v>1471</v>
      </c>
      <c r="E3008" t="s">
        <v>588</v>
      </c>
      <c r="F3008" t="s">
        <v>2438</v>
      </c>
      <c r="H3008" t="s">
        <v>905</v>
      </c>
      <c r="I3008" t="s">
        <v>2439</v>
      </c>
      <c r="M3008" s="134">
        <v>1750000</v>
      </c>
      <c r="N3008" s="134">
        <v>2372000</v>
      </c>
      <c r="O3008" t="s">
        <v>1302</v>
      </c>
      <c r="P3008" t="s">
        <v>2441</v>
      </c>
      <c r="Q3008" t="s">
        <v>1939</v>
      </c>
      <c r="R3008" t="s">
        <v>2440</v>
      </c>
      <c r="U3008" t="s">
        <v>491</v>
      </c>
      <c r="X3008">
        <v>0</v>
      </c>
    </row>
    <row r="3009" spans="1:24" x14ac:dyDescent="0.25">
      <c r="A3009" s="234">
        <v>43368</v>
      </c>
      <c r="B3009" t="s">
        <v>328</v>
      </c>
      <c r="C3009" t="s">
        <v>603</v>
      </c>
      <c r="D3009" t="s">
        <v>8941</v>
      </c>
      <c r="E3009" t="s">
        <v>588</v>
      </c>
      <c r="F3009" t="s">
        <v>12706</v>
      </c>
      <c r="G3009" t="s">
        <v>9461</v>
      </c>
      <c r="H3009" t="s">
        <v>10831</v>
      </c>
      <c r="I3009" t="s">
        <v>12709</v>
      </c>
      <c r="J3009" t="s">
        <v>603</v>
      </c>
      <c r="L3009" t="s">
        <v>12707</v>
      </c>
      <c r="M3009" s="134">
        <v>1750000</v>
      </c>
      <c r="N3009" s="134">
        <v>2500500</v>
      </c>
      <c r="O3009" t="s">
        <v>7124</v>
      </c>
      <c r="P3009" t="s">
        <v>12710</v>
      </c>
      <c r="Q3009" t="s">
        <v>1939</v>
      </c>
      <c r="R3009" t="s">
        <v>12708</v>
      </c>
      <c r="U3009" t="s">
        <v>12344</v>
      </c>
      <c r="X3009">
        <v>0</v>
      </c>
    </row>
    <row r="3010" spans="1:24" x14ac:dyDescent="0.25">
      <c r="A3010" s="234">
        <v>43551</v>
      </c>
      <c r="B3010" t="s">
        <v>328</v>
      </c>
      <c r="C3010" t="s">
        <v>603</v>
      </c>
      <c r="D3010" t="s">
        <v>1401</v>
      </c>
      <c r="F3010" t="s">
        <v>14888</v>
      </c>
      <c r="G3010" t="s">
        <v>14889</v>
      </c>
      <c r="H3010" t="s">
        <v>10832</v>
      </c>
      <c r="I3010" t="s">
        <v>13691</v>
      </c>
      <c r="J3010" t="s">
        <v>899</v>
      </c>
      <c r="K3010" t="s">
        <v>13692</v>
      </c>
      <c r="L3010">
        <v>6</v>
      </c>
      <c r="M3010" s="134">
        <v>1750000</v>
      </c>
      <c r="N3010" s="134">
        <v>2625000</v>
      </c>
      <c r="O3010" t="s">
        <v>4533</v>
      </c>
      <c r="P3010" t="s">
        <v>14890</v>
      </c>
      <c r="Q3010" t="s">
        <v>592</v>
      </c>
      <c r="R3010" t="s">
        <v>14891</v>
      </c>
      <c r="U3010" t="s">
        <v>12797</v>
      </c>
      <c r="X3010">
        <v>0</v>
      </c>
    </row>
    <row r="3011" spans="1:24" x14ac:dyDescent="0.25">
      <c r="A3011" s="234">
        <v>43294</v>
      </c>
      <c r="B3011" t="s">
        <v>569</v>
      </c>
      <c r="C3011" t="s">
        <v>899</v>
      </c>
      <c r="D3011" t="s">
        <v>625</v>
      </c>
      <c r="E3011" t="s">
        <v>588</v>
      </c>
      <c r="F3011" t="s">
        <v>11730</v>
      </c>
      <c r="H3011" t="s">
        <v>607</v>
      </c>
      <c r="I3011" t="s">
        <v>4438</v>
      </c>
      <c r="J3011" t="s">
        <v>899</v>
      </c>
      <c r="M3011" s="134">
        <v>1750000</v>
      </c>
      <c r="N3011" s="134">
        <v>2650000</v>
      </c>
      <c r="O3011" t="s">
        <v>560</v>
      </c>
      <c r="P3011" t="s">
        <v>11731</v>
      </c>
      <c r="Q3011" t="s">
        <v>29</v>
      </c>
      <c r="R3011" t="s">
        <v>11732</v>
      </c>
      <c r="U3011" t="s">
        <v>491</v>
      </c>
      <c r="X3011">
        <v>1</v>
      </c>
    </row>
    <row r="3012" spans="1:24" x14ac:dyDescent="0.25">
      <c r="A3012" s="234">
        <v>42696</v>
      </c>
      <c r="B3012" t="s">
        <v>328</v>
      </c>
      <c r="C3012" t="s">
        <v>603</v>
      </c>
      <c r="D3012" t="s">
        <v>1471</v>
      </c>
      <c r="E3012" t="s">
        <v>588</v>
      </c>
      <c r="F3012" t="s">
        <v>4793</v>
      </c>
      <c r="H3012" t="s">
        <v>710</v>
      </c>
      <c r="I3012" t="s">
        <v>4794</v>
      </c>
      <c r="J3012" t="s">
        <v>899</v>
      </c>
      <c r="L3012">
        <v>4</v>
      </c>
      <c r="M3012" s="134">
        <v>1750000</v>
      </c>
      <c r="N3012" s="134">
        <v>3325000</v>
      </c>
      <c r="O3012" t="s">
        <v>560</v>
      </c>
      <c r="P3012" t="s">
        <v>4795</v>
      </c>
      <c r="Q3012" t="s">
        <v>592</v>
      </c>
      <c r="R3012" t="s">
        <v>4796</v>
      </c>
      <c r="U3012" t="s">
        <v>1327</v>
      </c>
      <c r="X3012">
        <v>0</v>
      </c>
    </row>
    <row r="3013" spans="1:24" x14ac:dyDescent="0.25">
      <c r="A3013" s="234">
        <v>42787</v>
      </c>
      <c r="B3013" t="s">
        <v>328</v>
      </c>
      <c r="C3013" t="s">
        <v>603</v>
      </c>
      <c r="D3013" t="s">
        <v>1401</v>
      </c>
      <c r="E3013" t="s">
        <v>588</v>
      </c>
      <c r="F3013" t="s">
        <v>5760</v>
      </c>
      <c r="H3013" t="s">
        <v>607</v>
      </c>
      <c r="I3013" t="s">
        <v>5340</v>
      </c>
      <c r="J3013" t="s">
        <v>899</v>
      </c>
      <c r="L3013">
        <v>1</v>
      </c>
      <c r="M3013" s="134">
        <v>1750000</v>
      </c>
      <c r="N3013" s="134">
        <v>3500000</v>
      </c>
      <c r="O3013" t="s">
        <v>560</v>
      </c>
      <c r="P3013" t="s">
        <v>5761</v>
      </c>
      <c r="Q3013" t="s">
        <v>1939</v>
      </c>
      <c r="R3013" t="s">
        <v>5762</v>
      </c>
      <c r="U3013" t="s">
        <v>491</v>
      </c>
      <c r="X3013">
        <v>0</v>
      </c>
    </row>
    <row r="3014" spans="1:24" x14ac:dyDescent="0.25">
      <c r="A3014" s="234">
        <v>42902</v>
      </c>
      <c r="B3014" t="s">
        <v>328</v>
      </c>
      <c r="C3014" t="s">
        <v>603</v>
      </c>
      <c r="D3014" t="s">
        <v>2397</v>
      </c>
      <c r="E3014" t="s">
        <v>588</v>
      </c>
      <c r="F3014" t="s">
        <v>7231</v>
      </c>
      <c r="H3014" t="s">
        <v>607</v>
      </c>
      <c r="I3014" t="s">
        <v>7232</v>
      </c>
      <c r="J3014" t="s">
        <v>899</v>
      </c>
      <c r="L3014">
        <v>4</v>
      </c>
      <c r="M3014" s="134">
        <v>1750000</v>
      </c>
      <c r="N3014" s="134">
        <v>3500000</v>
      </c>
      <c r="O3014" t="s">
        <v>560</v>
      </c>
      <c r="P3014" t="s">
        <v>7233</v>
      </c>
      <c r="Q3014" t="s">
        <v>1612</v>
      </c>
      <c r="R3014" t="s">
        <v>7299</v>
      </c>
      <c r="U3014" t="s">
        <v>491</v>
      </c>
      <c r="X3014">
        <v>0</v>
      </c>
    </row>
    <row r="3015" spans="1:24" x14ac:dyDescent="0.25">
      <c r="A3015" s="234">
        <v>42629</v>
      </c>
      <c r="B3015" t="s">
        <v>328</v>
      </c>
      <c r="C3015" t="s">
        <v>603</v>
      </c>
      <c r="D3015" t="s">
        <v>1471</v>
      </c>
      <c r="E3015" t="s">
        <v>588</v>
      </c>
      <c r="F3015" t="s">
        <v>3944</v>
      </c>
      <c r="H3015" t="s">
        <v>607</v>
      </c>
      <c r="I3015" t="s">
        <v>3492</v>
      </c>
      <c r="J3015" t="s">
        <v>899</v>
      </c>
      <c r="L3015">
        <v>4</v>
      </c>
      <c r="M3015" s="134">
        <v>1750000</v>
      </c>
      <c r="N3015" s="134">
        <v>3500000</v>
      </c>
      <c r="O3015" t="s">
        <v>560</v>
      </c>
      <c r="P3015" t="s">
        <v>3945</v>
      </c>
      <c r="Q3015" t="s">
        <v>592</v>
      </c>
      <c r="U3015" t="s">
        <v>491</v>
      </c>
      <c r="X3015">
        <v>0</v>
      </c>
    </row>
    <row r="3016" spans="1:24" x14ac:dyDescent="0.25">
      <c r="A3016" s="234">
        <v>43494</v>
      </c>
      <c r="B3016" t="s">
        <v>328</v>
      </c>
      <c r="C3016" t="s">
        <v>603</v>
      </c>
      <c r="D3016" t="s">
        <v>10338</v>
      </c>
      <c r="F3016" t="s">
        <v>14134</v>
      </c>
      <c r="H3016" t="s">
        <v>10831</v>
      </c>
      <c r="I3016" t="s">
        <v>7088</v>
      </c>
      <c r="J3016" t="s">
        <v>899</v>
      </c>
      <c r="K3016" t="s">
        <v>14135</v>
      </c>
      <c r="L3016">
        <v>4</v>
      </c>
      <c r="M3016" s="134">
        <v>1750000</v>
      </c>
      <c r="N3016" s="134">
        <v>3700000</v>
      </c>
      <c r="O3016" t="s">
        <v>7564</v>
      </c>
      <c r="P3016" t="s">
        <v>14136</v>
      </c>
      <c r="Q3016" t="s">
        <v>1939</v>
      </c>
      <c r="R3016" t="s">
        <v>14137</v>
      </c>
      <c r="U3016" t="s">
        <v>491</v>
      </c>
      <c r="X3016">
        <v>0</v>
      </c>
    </row>
    <row r="3017" spans="1:24" x14ac:dyDescent="0.25">
      <c r="A3017" s="234">
        <v>42858</v>
      </c>
      <c r="B3017" t="s">
        <v>328</v>
      </c>
      <c r="C3017" t="s">
        <v>603</v>
      </c>
      <c r="D3017" t="s">
        <v>1401</v>
      </c>
      <c r="E3017" t="s">
        <v>588</v>
      </c>
      <c r="F3017" t="s">
        <v>6653</v>
      </c>
      <c r="H3017" t="s">
        <v>607</v>
      </c>
      <c r="I3017" t="s">
        <v>6654</v>
      </c>
      <c r="J3017" t="s">
        <v>899</v>
      </c>
      <c r="L3017">
        <v>2</v>
      </c>
      <c r="M3017" s="134">
        <v>1752800</v>
      </c>
      <c r="N3017" s="134">
        <v>3593240</v>
      </c>
      <c r="O3017" t="s">
        <v>560</v>
      </c>
      <c r="P3017" t="s">
        <v>6655</v>
      </c>
      <c r="Q3017" t="s">
        <v>1939</v>
      </c>
      <c r="U3017" t="s">
        <v>491</v>
      </c>
      <c r="X3017">
        <v>0</v>
      </c>
    </row>
    <row r="3018" spans="1:24" x14ac:dyDescent="0.25">
      <c r="A3018" s="234">
        <v>42566</v>
      </c>
      <c r="B3018" t="s">
        <v>328</v>
      </c>
      <c r="C3018" t="s">
        <v>603</v>
      </c>
      <c r="D3018" t="s">
        <v>2282</v>
      </c>
      <c r="E3018" t="s">
        <v>588</v>
      </c>
      <c r="F3018" t="s">
        <v>2890</v>
      </c>
      <c r="H3018" t="s">
        <v>710</v>
      </c>
      <c r="I3018" t="s">
        <v>2891</v>
      </c>
      <c r="M3018" s="134">
        <v>1754000</v>
      </c>
      <c r="N3018" s="134">
        <v>2983000</v>
      </c>
      <c r="O3018" t="s">
        <v>2892</v>
      </c>
      <c r="P3018" t="s">
        <v>2893</v>
      </c>
      <c r="Q3018" t="s">
        <v>1939</v>
      </c>
      <c r="R3018" t="s">
        <v>2894</v>
      </c>
      <c r="S3018" t="s">
        <v>2916</v>
      </c>
      <c r="U3018" t="s">
        <v>2227</v>
      </c>
      <c r="X3018">
        <v>0</v>
      </c>
    </row>
    <row r="3019" spans="1:24" x14ac:dyDescent="0.25">
      <c r="A3019" s="234">
        <v>42929</v>
      </c>
      <c r="B3019" t="s">
        <v>328</v>
      </c>
      <c r="C3019" t="s">
        <v>603</v>
      </c>
      <c r="D3019" t="s">
        <v>649</v>
      </c>
      <c r="E3019" t="s">
        <v>588</v>
      </c>
      <c r="F3019" t="s">
        <v>7009</v>
      </c>
      <c r="H3019" t="s">
        <v>6002</v>
      </c>
      <c r="I3019" t="s">
        <v>3452</v>
      </c>
      <c r="J3019" t="s">
        <v>899</v>
      </c>
      <c r="L3019">
        <v>8</v>
      </c>
      <c r="M3019" s="134">
        <v>1755000</v>
      </c>
      <c r="N3019" s="134">
        <v>3951500</v>
      </c>
      <c r="O3019" t="s">
        <v>560</v>
      </c>
      <c r="P3019" t="s">
        <v>7599</v>
      </c>
      <c r="Q3019" t="s">
        <v>1939</v>
      </c>
      <c r="R3019" t="s">
        <v>7601</v>
      </c>
      <c r="S3019" t="s">
        <v>7600</v>
      </c>
      <c r="U3019" t="s">
        <v>2227</v>
      </c>
      <c r="X3019">
        <v>0</v>
      </c>
    </row>
    <row r="3020" spans="1:24" x14ac:dyDescent="0.25">
      <c r="A3020" s="234">
        <v>42422</v>
      </c>
      <c r="B3020" t="s">
        <v>378</v>
      </c>
      <c r="C3020" t="s">
        <v>623</v>
      </c>
      <c r="D3020" t="s">
        <v>800</v>
      </c>
      <c r="E3020" t="s">
        <v>588</v>
      </c>
      <c r="F3020" t="s">
        <v>1076</v>
      </c>
      <c r="H3020" t="s">
        <v>607</v>
      </c>
      <c r="I3020" t="s">
        <v>1077</v>
      </c>
      <c r="M3020" s="134">
        <v>1759000</v>
      </c>
      <c r="N3020" s="134">
        <v>3149000</v>
      </c>
      <c r="O3020" t="s">
        <v>560</v>
      </c>
      <c r="P3020" t="s">
        <v>1078</v>
      </c>
      <c r="Q3020" t="s">
        <v>592</v>
      </c>
      <c r="R3020" t="s">
        <v>1197</v>
      </c>
      <c r="S3020" t="s">
        <v>1250</v>
      </c>
      <c r="U3020" t="s">
        <v>491</v>
      </c>
      <c r="X3020">
        <v>0</v>
      </c>
    </row>
    <row r="3021" spans="1:24" x14ac:dyDescent="0.25">
      <c r="A3021" s="234">
        <v>42529</v>
      </c>
      <c r="B3021" t="s">
        <v>328</v>
      </c>
      <c r="C3021" t="s">
        <v>603</v>
      </c>
      <c r="D3021" t="s">
        <v>1471</v>
      </c>
      <c r="E3021" t="s">
        <v>588</v>
      </c>
      <c r="F3021" t="s">
        <v>2401</v>
      </c>
      <c r="H3021" t="s">
        <v>607</v>
      </c>
      <c r="I3021" t="s">
        <v>2402</v>
      </c>
      <c r="M3021" s="134">
        <v>1759633</v>
      </c>
      <c r="N3021" s="134">
        <v>3519265</v>
      </c>
      <c r="O3021" t="s">
        <v>891</v>
      </c>
      <c r="P3021" t="s">
        <v>2403</v>
      </c>
      <c r="Q3021" t="s">
        <v>592</v>
      </c>
      <c r="U3021" t="s">
        <v>491</v>
      </c>
      <c r="X3021">
        <v>0</v>
      </c>
    </row>
    <row r="3022" spans="1:24" x14ac:dyDescent="0.25">
      <c r="A3022" s="234">
        <v>42865</v>
      </c>
      <c r="B3022" t="s">
        <v>569</v>
      </c>
      <c r="D3022" t="s">
        <v>625</v>
      </c>
      <c r="E3022" t="s">
        <v>588</v>
      </c>
      <c r="F3022" t="s">
        <v>6732</v>
      </c>
      <c r="H3022" t="s">
        <v>607</v>
      </c>
      <c r="I3022" t="s">
        <v>3672</v>
      </c>
      <c r="J3022" t="s">
        <v>899</v>
      </c>
      <c r="M3022" s="134">
        <v>1760000</v>
      </c>
      <c r="N3022" s="134">
        <v>0</v>
      </c>
      <c r="O3022" t="s">
        <v>6733</v>
      </c>
      <c r="P3022" t="s">
        <v>6734</v>
      </c>
      <c r="Q3022" t="s">
        <v>592</v>
      </c>
      <c r="R3022" t="s">
        <v>6735</v>
      </c>
      <c r="U3022" t="s">
        <v>491</v>
      </c>
      <c r="X3022">
        <v>0</v>
      </c>
    </row>
    <row r="3023" spans="1:24" x14ac:dyDescent="0.25">
      <c r="A3023" s="234">
        <v>43369</v>
      </c>
      <c r="B3023" t="s">
        <v>569</v>
      </c>
      <c r="C3023" t="s">
        <v>899</v>
      </c>
      <c r="D3023" t="s">
        <v>732</v>
      </c>
      <c r="E3023" t="s">
        <v>588</v>
      </c>
      <c r="F3023" t="s">
        <v>10173</v>
      </c>
      <c r="G3023" t="s">
        <v>10348</v>
      </c>
      <c r="H3023" t="s">
        <v>607</v>
      </c>
      <c r="I3023" t="s">
        <v>4078</v>
      </c>
      <c r="J3023" t="s">
        <v>899</v>
      </c>
      <c r="L3023">
        <v>1</v>
      </c>
      <c r="M3023" s="134">
        <v>1760000</v>
      </c>
      <c r="N3023" s="134">
        <v>3088000</v>
      </c>
      <c r="O3023" t="s">
        <v>560</v>
      </c>
      <c r="P3023" t="s">
        <v>12730</v>
      </c>
      <c r="Q3023" t="s">
        <v>1939</v>
      </c>
      <c r="R3023" t="s">
        <v>12729</v>
      </c>
      <c r="U3023" t="s">
        <v>12344</v>
      </c>
      <c r="X3023">
        <v>0</v>
      </c>
    </row>
    <row r="3024" spans="1:24" x14ac:dyDescent="0.25">
      <c r="A3024" s="234">
        <v>42912</v>
      </c>
      <c r="B3024" t="s">
        <v>643</v>
      </c>
      <c r="C3024" t="s">
        <v>644</v>
      </c>
      <c r="D3024" t="s">
        <v>645</v>
      </c>
      <c r="E3024" t="s">
        <v>588</v>
      </c>
      <c r="F3024" t="s">
        <v>7374</v>
      </c>
      <c r="H3024" t="s">
        <v>886</v>
      </c>
      <c r="I3024" t="s">
        <v>5230</v>
      </c>
      <c r="J3024" t="s">
        <v>899</v>
      </c>
      <c r="M3024" s="134">
        <v>1765517</v>
      </c>
      <c r="N3024" s="134">
        <v>2326551</v>
      </c>
      <c r="O3024" t="s">
        <v>7375</v>
      </c>
      <c r="P3024" t="s">
        <v>7376</v>
      </c>
      <c r="Q3024" t="s">
        <v>1939</v>
      </c>
      <c r="R3024" t="s">
        <v>7383</v>
      </c>
      <c r="U3024" t="s">
        <v>491</v>
      </c>
      <c r="X3024">
        <v>0</v>
      </c>
    </row>
    <row r="3025" spans="1:24" x14ac:dyDescent="0.25">
      <c r="A3025" s="234">
        <v>42464</v>
      </c>
      <c r="B3025" t="s">
        <v>378</v>
      </c>
      <c r="C3025" t="s">
        <v>623</v>
      </c>
      <c r="D3025" t="s">
        <v>930</v>
      </c>
      <c r="E3025" t="s">
        <v>692</v>
      </c>
      <c r="F3025" t="s">
        <v>1509</v>
      </c>
      <c r="H3025" t="s">
        <v>607</v>
      </c>
      <c r="I3025" t="s">
        <v>1510</v>
      </c>
      <c r="M3025" s="134">
        <v>1766000</v>
      </c>
      <c r="N3025" s="134">
        <v>3084000</v>
      </c>
      <c r="O3025" t="s">
        <v>1511</v>
      </c>
      <c r="P3025" t="s">
        <v>15985</v>
      </c>
      <c r="Q3025" t="s">
        <v>29</v>
      </c>
      <c r="R3025" t="s">
        <v>1512</v>
      </c>
      <c r="U3025" t="s">
        <v>491</v>
      </c>
      <c r="X3025">
        <v>1</v>
      </c>
    </row>
    <row r="3026" spans="1:24" x14ac:dyDescent="0.25">
      <c r="A3026" s="234">
        <v>43334</v>
      </c>
      <c r="B3026" t="s">
        <v>569</v>
      </c>
      <c r="C3026" t="s">
        <v>899</v>
      </c>
      <c r="D3026" t="s">
        <v>11359</v>
      </c>
      <c r="E3026" t="s">
        <v>588</v>
      </c>
      <c r="F3026" t="s">
        <v>12254</v>
      </c>
      <c r="G3026" t="s">
        <v>12255</v>
      </c>
      <c r="H3026" t="s">
        <v>607</v>
      </c>
      <c r="I3026" t="s">
        <v>2054</v>
      </c>
      <c r="J3026" t="s">
        <v>899</v>
      </c>
      <c r="L3026">
        <v>2</v>
      </c>
      <c r="M3026" s="134">
        <v>1770300</v>
      </c>
      <c r="N3026" s="134">
        <v>3200000</v>
      </c>
      <c r="O3026" t="s">
        <v>560</v>
      </c>
      <c r="P3026" t="s">
        <v>12256</v>
      </c>
      <c r="Q3026" t="s">
        <v>1939</v>
      </c>
      <c r="R3026" t="s">
        <v>12257</v>
      </c>
      <c r="U3026" t="s">
        <v>491</v>
      </c>
      <c r="V3026" t="s">
        <v>3985</v>
      </c>
      <c r="W3026" t="s">
        <v>12258</v>
      </c>
      <c r="X3026">
        <v>0</v>
      </c>
    </row>
    <row r="3027" spans="1:24" x14ac:dyDescent="0.25">
      <c r="A3027" s="234">
        <v>42503</v>
      </c>
      <c r="B3027" t="s">
        <v>328</v>
      </c>
      <c r="C3027" t="s">
        <v>603</v>
      </c>
      <c r="D3027" t="s">
        <v>649</v>
      </c>
      <c r="E3027" t="s">
        <v>588</v>
      </c>
      <c r="F3027" t="s">
        <v>2073</v>
      </c>
      <c r="H3027" t="s">
        <v>2074</v>
      </c>
      <c r="I3027" t="s">
        <v>2075</v>
      </c>
      <c r="M3027" s="134">
        <v>1771000</v>
      </c>
      <c r="N3027" s="134">
        <v>3010700</v>
      </c>
      <c r="O3027" t="s">
        <v>891</v>
      </c>
      <c r="P3027" t="s">
        <v>2076</v>
      </c>
      <c r="Q3027" t="s">
        <v>1939</v>
      </c>
      <c r="R3027" t="s">
        <v>2077</v>
      </c>
      <c r="U3027" t="s">
        <v>491</v>
      </c>
      <c r="X3027">
        <v>0</v>
      </c>
    </row>
    <row r="3028" spans="1:24" x14ac:dyDescent="0.25">
      <c r="A3028" s="234">
        <v>43616</v>
      </c>
      <c r="B3028" t="s">
        <v>328</v>
      </c>
      <c r="C3028" t="s">
        <v>603</v>
      </c>
      <c r="D3028" t="s">
        <v>10705</v>
      </c>
      <c r="F3028" t="s">
        <v>497</v>
      </c>
      <c r="G3028" t="s">
        <v>645</v>
      </c>
      <c r="H3028" t="s">
        <v>607</v>
      </c>
      <c r="I3028" t="s">
        <v>15874</v>
      </c>
      <c r="J3028" t="s">
        <v>761</v>
      </c>
      <c r="K3028" t="s">
        <v>15875</v>
      </c>
      <c r="L3028">
        <v>10</v>
      </c>
      <c r="M3028" s="134">
        <v>1775000</v>
      </c>
      <c r="N3028" s="134">
        <v>3195000</v>
      </c>
      <c r="O3028" t="s">
        <v>7124</v>
      </c>
      <c r="P3028" t="s">
        <v>15914</v>
      </c>
      <c r="Q3028" t="s">
        <v>592</v>
      </c>
      <c r="R3028" t="s">
        <v>15876</v>
      </c>
      <c r="U3028" t="s">
        <v>12797</v>
      </c>
      <c r="X3028">
        <v>0</v>
      </c>
    </row>
    <row r="3029" spans="1:24" x14ac:dyDescent="0.25">
      <c r="A3029" s="234">
        <v>42508</v>
      </c>
      <c r="B3029" t="s">
        <v>378</v>
      </c>
      <c r="C3029" t="s">
        <v>610</v>
      </c>
      <c r="D3029" t="s">
        <v>732</v>
      </c>
      <c r="E3029" t="s">
        <v>588</v>
      </c>
      <c r="F3029" t="s">
        <v>2140</v>
      </c>
      <c r="H3029" t="s">
        <v>607</v>
      </c>
      <c r="I3029" t="s">
        <v>1715</v>
      </c>
      <c r="M3029" s="134">
        <v>1775400</v>
      </c>
      <c r="N3029" s="134">
        <v>3550800</v>
      </c>
      <c r="O3029" t="s">
        <v>2141</v>
      </c>
      <c r="P3029" t="s">
        <v>2142</v>
      </c>
      <c r="Q3029" t="s">
        <v>1939</v>
      </c>
      <c r="R3029" t="s">
        <v>2143</v>
      </c>
      <c r="U3029" t="s">
        <v>491</v>
      </c>
      <c r="X3029">
        <v>0</v>
      </c>
    </row>
    <row r="3030" spans="1:24" x14ac:dyDescent="0.25">
      <c r="A3030" s="234">
        <v>42965</v>
      </c>
      <c r="B3030" t="s">
        <v>5360</v>
      </c>
      <c r="C3030" t="s">
        <v>899</v>
      </c>
      <c r="D3030" t="s">
        <v>732</v>
      </c>
      <c r="E3030" t="s">
        <v>588</v>
      </c>
      <c r="F3030" t="s">
        <v>440</v>
      </c>
      <c r="G3030" t="s">
        <v>8201</v>
      </c>
      <c r="H3030" t="s">
        <v>7603</v>
      </c>
      <c r="I3030" t="s">
        <v>3649</v>
      </c>
      <c r="J3030" t="s">
        <v>899</v>
      </c>
      <c r="L3030">
        <v>4</v>
      </c>
      <c r="M3030" s="134">
        <v>1780000</v>
      </c>
      <c r="N3030" s="134">
        <v>3560000</v>
      </c>
      <c r="O3030" t="s">
        <v>560</v>
      </c>
      <c r="P3030" t="s">
        <v>8204</v>
      </c>
      <c r="Q3030" t="s">
        <v>592</v>
      </c>
      <c r="R3030" t="s">
        <v>8186</v>
      </c>
      <c r="U3030" t="s">
        <v>2227</v>
      </c>
      <c r="X3030">
        <v>0</v>
      </c>
    </row>
    <row r="3031" spans="1:24" x14ac:dyDescent="0.25">
      <c r="A3031" s="234">
        <v>42726</v>
      </c>
      <c r="B3031" t="s">
        <v>378</v>
      </c>
      <c r="C3031" t="s">
        <v>610</v>
      </c>
      <c r="D3031" t="s">
        <v>732</v>
      </c>
      <c r="E3031" t="s">
        <v>588</v>
      </c>
      <c r="F3031" t="s">
        <v>5086</v>
      </c>
      <c r="H3031" t="s">
        <v>607</v>
      </c>
      <c r="I3031" t="s">
        <v>5087</v>
      </c>
      <c r="J3031" t="s">
        <v>899</v>
      </c>
      <c r="L3031">
        <v>1</v>
      </c>
      <c r="M3031" s="134">
        <v>1781000</v>
      </c>
      <c r="N3031" s="134">
        <v>3562000</v>
      </c>
      <c r="O3031" t="s">
        <v>560</v>
      </c>
      <c r="P3031" t="s">
        <v>5088</v>
      </c>
      <c r="Q3031" t="s">
        <v>29</v>
      </c>
      <c r="R3031" t="s">
        <v>5089</v>
      </c>
      <c r="U3031" t="s">
        <v>491</v>
      </c>
      <c r="X3031">
        <v>1</v>
      </c>
    </row>
    <row r="3032" spans="1:24" x14ac:dyDescent="0.25">
      <c r="A3032" s="234">
        <v>43182</v>
      </c>
      <c r="B3032" t="s">
        <v>569</v>
      </c>
      <c r="C3032" t="s">
        <v>899</v>
      </c>
      <c r="D3032" t="s">
        <v>9981</v>
      </c>
      <c r="E3032" t="s">
        <v>588</v>
      </c>
      <c r="F3032" t="s">
        <v>10689</v>
      </c>
      <c r="H3032" t="s">
        <v>607</v>
      </c>
      <c r="I3032" t="s">
        <v>7525</v>
      </c>
      <c r="J3032" t="s">
        <v>899</v>
      </c>
      <c r="L3032">
        <v>3</v>
      </c>
      <c r="M3032" s="134">
        <v>1785380</v>
      </c>
      <c r="N3032" s="134">
        <v>2740000</v>
      </c>
      <c r="O3032" t="s">
        <v>4533</v>
      </c>
      <c r="P3032" t="s">
        <v>10749</v>
      </c>
      <c r="Q3032" t="s">
        <v>29</v>
      </c>
      <c r="R3032" t="s">
        <v>10690</v>
      </c>
      <c r="U3032" t="s">
        <v>491</v>
      </c>
      <c r="X3032">
        <v>1</v>
      </c>
    </row>
    <row r="3033" spans="1:24" x14ac:dyDescent="0.25">
      <c r="A3033" s="234">
        <v>42765</v>
      </c>
      <c r="B3033" t="s">
        <v>328</v>
      </c>
      <c r="C3033" t="s">
        <v>603</v>
      </c>
      <c r="D3033" t="s">
        <v>1401</v>
      </c>
      <c r="E3033" t="s">
        <v>588</v>
      </c>
      <c r="F3033" t="s">
        <v>5516</v>
      </c>
      <c r="H3033" t="s">
        <v>607</v>
      </c>
      <c r="I3033" t="s">
        <v>3462</v>
      </c>
      <c r="J3033" t="s">
        <v>899</v>
      </c>
      <c r="L3033" t="s">
        <v>5280</v>
      </c>
      <c r="M3033" s="134">
        <v>1786000</v>
      </c>
      <c r="N3033" s="134">
        <v>3571800</v>
      </c>
      <c r="O3033" t="s">
        <v>560</v>
      </c>
      <c r="P3033" t="s">
        <v>5522</v>
      </c>
      <c r="Q3033" t="s">
        <v>1939</v>
      </c>
      <c r="R3033" t="s">
        <v>1621</v>
      </c>
      <c r="U3033" t="s">
        <v>491</v>
      </c>
      <c r="X3033">
        <v>0</v>
      </c>
    </row>
    <row r="3034" spans="1:24" x14ac:dyDescent="0.25">
      <c r="A3034" s="234">
        <v>42886</v>
      </c>
      <c r="B3034" t="s">
        <v>328</v>
      </c>
      <c r="C3034" t="s">
        <v>603</v>
      </c>
      <c r="D3034" t="s">
        <v>672</v>
      </c>
      <c r="E3034" t="s">
        <v>588</v>
      </c>
      <c r="F3034" t="s">
        <v>7009</v>
      </c>
      <c r="H3034" t="s">
        <v>607</v>
      </c>
      <c r="I3034" t="s">
        <v>3452</v>
      </c>
      <c r="J3034" t="s">
        <v>899</v>
      </c>
      <c r="L3034">
        <v>9</v>
      </c>
      <c r="M3034" s="134">
        <v>1792000</v>
      </c>
      <c r="N3034" s="134">
        <v>3720600</v>
      </c>
      <c r="O3034" t="s">
        <v>560</v>
      </c>
      <c r="P3034" t="s">
        <v>7010</v>
      </c>
      <c r="Q3034" t="s">
        <v>592</v>
      </c>
      <c r="R3034" t="s">
        <v>7298</v>
      </c>
      <c r="S3034" t="s">
        <v>7487</v>
      </c>
      <c r="U3034" t="s">
        <v>491</v>
      </c>
      <c r="X3034">
        <v>0</v>
      </c>
    </row>
    <row r="3035" spans="1:24" x14ac:dyDescent="0.25">
      <c r="A3035" s="234">
        <v>43403</v>
      </c>
      <c r="B3035" t="s">
        <v>9240</v>
      </c>
      <c r="C3035" t="s">
        <v>603</v>
      </c>
      <c r="D3035" t="s">
        <v>9241</v>
      </c>
      <c r="F3035" t="s">
        <v>13092</v>
      </c>
      <c r="G3035" t="s">
        <v>10272</v>
      </c>
      <c r="H3035" t="s">
        <v>10831</v>
      </c>
      <c r="I3035" t="s">
        <v>13093</v>
      </c>
      <c r="J3035" t="s">
        <v>603</v>
      </c>
      <c r="K3035" t="s">
        <v>13094</v>
      </c>
      <c r="L3035">
        <v>10</v>
      </c>
      <c r="M3035" s="134">
        <v>1795000</v>
      </c>
      <c r="N3035" s="134">
        <v>3231000</v>
      </c>
      <c r="O3035" t="s">
        <v>7124</v>
      </c>
      <c r="P3035" t="s">
        <v>13429</v>
      </c>
      <c r="Q3035" t="s">
        <v>620</v>
      </c>
      <c r="R3035" t="s">
        <v>15977</v>
      </c>
      <c r="S3035" t="s">
        <v>13118</v>
      </c>
      <c r="U3035" t="s">
        <v>12344</v>
      </c>
      <c r="X3035">
        <v>0</v>
      </c>
    </row>
    <row r="3036" spans="1:24" x14ac:dyDescent="0.25">
      <c r="A3036" s="234">
        <v>42514</v>
      </c>
      <c r="B3036" t="s">
        <v>378</v>
      </c>
      <c r="C3036" t="s">
        <v>623</v>
      </c>
      <c r="D3036" t="s">
        <v>625</v>
      </c>
      <c r="E3036" t="s">
        <v>588</v>
      </c>
      <c r="F3036" t="s">
        <v>2228</v>
      </c>
      <c r="H3036" t="s">
        <v>2229</v>
      </c>
      <c r="I3036" t="s">
        <v>2230</v>
      </c>
      <c r="M3036" s="134">
        <v>1800000</v>
      </c>
      <c r="N3036" s="134">
        <v>0</v>
      </c>
      <c r="O3036" t="s">
        <v>2231</v>
      </c>
      <c r="P3036" t="s">
        <v>2232</v>
      </c>
      <c r="Q3036" t="s">
        <v>592</v>
      </c>
      <c r="R3036" t="s">
        <v>2233</v>
      </c>
      <c r="U3036" t="s">
        <v>633</v>
      </c>
      <c r="X3036">
        <v>0</v>
      </c>
    </row>
    <row r="3037" spans="1:24" x14ac:dyDescent="0.25">
      <c r="A3037" s="234">
        <v>43223</v>
      </c>
      <c r="B3037" t="s">
        <v>328</v>
      </c>
      <c r="C3037" t="s">
        <v>899</v>
      </c>
      <c r="D3037" t="s">
        <v>7595</v>
      </c>
      <c r="E3037" t="s">
        <v>588</v>
      </c>
      <c r="F3037" t="s">
        <v>11109</v>
      </c>
      <c r="G3037" t="s">
        <v>11110</v>
      </c>
      <c r="H3037" t="s">
        <v>10829</v>
      </c>
      <c r="I3037" t="s">
        <v>3672</v>
      </c>
      <c r="J3037" t="s">
        <v>899</v>
      </c>
      <c r="M3037" s="134">
        <v>1800000</v>
      </c>
      <c r="N3037" s="134">
        <v>1980000</v>
      </c>
      <c r="O3037" t="s">
        <v>10762</v>
      </c>
      <c r="P3037" t="s">
        <v>11132</v>
      </c>
      <c r="Q3037" t="s">
        <v>1612</v>
      </c>
      <c r="R3037" t="s">
        <v>11244</v>
      </c>
      <c r="U3037" t="s">
        <v>491</v>
      </c>
      <c r="X3037">
        <v>0</v>
      </c>
    </row>
    <row r="3038" spans="1:24" x14ac:dyDescent="0.25">
      <c r="A3038" s="234">
        <v>42895</v>
      </c>
      <c r="B3038" t="s">
        <v>328</v>
      </c>
      <c r="C3038" t="s">
        <v>603</v>
      </c>
      <c r="D3038" t="s">
        <v>1401</v>
      </c>
      <c r="E3038" t="s">
        <v>588</v>
      </c>
      <c r="F3038" t="s">
        <v>7154</v>
      </c>
      <c r="H3038" t="s">
        <v>905</v>
      </c>
      <c r="I3038" t="s">
        <v>5898</v>
      </c>
      <c r="J3038" t="s">
        <v>899</v>
      </c>
      <c r="L3038">
        <v>3</v>
      </c>
      <c r="M3038" s="134">
        <v>1800000</v>
      </c>
      <c r="N3038" s="134">
        <v>1990000</v>
      </c>
      <c r="O3038" t="s">
        <v>560</v>
      </c>
      <c r="P3038" t="s">
        <v>7155</v>
      </c>
      <c r="Q3038" t="s">
        <v>592</v>
      </c>
      <c r="U3038" t="s">
        <v>491</v>
      </c>
      <c r="X3038">
        <v>0</v>
      </c>
    </row>
    <row r="3039" spans="1:24" x14ac:dyDescent="0.25">
      <c r="A3039" s="234">
        <v>42802</v>
      </c>
      <c r="B3039" t="s">
        <v>328</v>
      </c>
      <c r="C3039" t="s">
        <v>603</v>
      </c>
      <c r="D3039" t="s">
        <v>5701</v>
      </c>
      <c r="E3039" t="s">
        <v>588</v>
      </c>
      <c r="F3039" t="s">
        <v>5896</v>
      </c>
      <c r="H3039" t="s">
        <v>809</v>
      </c>
      <c r="J3039" t="s">
        <v>3398</v>
      </c>
      <c r="L3039">
        <v>3</v>
      </c>
      <c r="M3039" s="134">
        <v>1800000</v>
      </c>
      <c r="N3039" s="134">
        <v>2110000</v>
      </c>
      <c r="O3039" t="s">
        <v>560</v>
      </c>
      <c r="P3039" t="s">
        <v>6302</v>
      </c>
      <c r="Q3039" t="s">
        <v>592</v>
      </c>
      <c r="U3039" t="s">
        <v>491</v>
      </c>
      <c r="X3039">
        <v>0</v>
      </c>
    </row>
    <row r="3040" spans="1:24" x14ac:dyDescent="0.25">
      <c r="A3040" s="234">
        <v>43327</v>
      </c>
      <c r="B3040" t="s">
        <v>569</v>
      </c>
      <c r="C3040" t="s">
        <v>899</v>
      </c>
      <c r="D3040" t="s">
        <v>11031</v>
      </c>
      <c r="E3040" t="s">
        <v>588</v>
      </c>
      <c r="F3040" t="s">
        <v>12216</v>
      </c>
      <c r="G3040" t="s">
        <v>7855</v>
      </c>
      <c r="H3040" t="s">
        <v>607</v>
      </c>
      <c r="I3040" t="s">
        <v>12215</v>
      </c>
      <c r="J3040" t="s">
        <v>899</v>
      </c>
      <c r="L3040">
        <v>8</v>
      </c>
      <c r="M3040" s="134">
        <v>1800000</v>
      </c>
      <c r="N3040" s="134">
        <v>2160000</v>
      </c>
      <c r="O3040" t="s">
        <v>2295</v>
      </c>
      <c r="P3040" t="s">
        <v>12214</v>
      </c>
      <c r="Q3040" t="s">
        <v>592</v>
      </c>
      <c r="R3040" t="s">
        <v>12213</v>
      </c>
      <c r="U3040" t="s">
        <v>1327</v>
      </c>
      <c r="X3040">
        <v>0</v>
      </c>
    </row>
    <row r="3041" spans="1:24" x14ac:dyDescent="0.25">
      <c r="A3041" s="234">
        <v>43185</v>
      </c>
      <c r="B3041" t="s">
        <v>5473</v>
      </c>
      <c r="C3041" t="s">
        <v>608</v>
      </c>
      <c r="D3041" t="s">
        <v>2340</v>
      </c>
      <c r="E3041" t="s">
        <v>588</v>
      </c>
      <c r="F3041" t="s">
        <v>10697</v>
      </c>
      <c r="H3041" t="s">
        <v>607</v>
      </c>
      <c r="M3041" s="134">
        <v>1800000</v>
      </c>
      <c r="N3041" s="134">
        <v>2200000</v>
      </c>
      <c r="O3041" t="s">
        <v>49</v>
      </c>
      <c r="P3041" t="s">
        <v>10698</v>
      </c>
      <c r="Q3041" t="s">
        <v>29</v>
      </c>
      <c r="R3041" t="s">
        <v>10699</v>
      </c>
      <c r="U3041" t="s">
        <v>491</v>
      </c>
      <c r="X3041">
        <v>1</v>
      </c>
    </row>
    <row r="3042" spans="1:24" x14ac:dyDescent="0.25">
      <c r="A3042" s="234">
        <v>43445</v>
      </c>
      <c r="B3042" t="s">
        <v>643</v>
      </c>
      <c r="C3042" t="s">
        <v>644</v>
      </c>
      <c r="D3042" t="s">
        <v>645</v>
      </c>
      <c r="F3042" t="s">
        <v>13572</v>
      </c>
      <c r="G3042" t="s">
        <v>256</v>
      </c>
      <c r="H3042" t="s">
        <v>886</v>
      </c>
      <c r="I3042" t="s">
        <v>5546</v>
      </c>
      <c r="J3042" t="s">
        <v>644</v>
      </c>
      <c r="K3042" t="s">
        <v>13163</v>
      </c>
      <c r="L3042">
        <v>5</v>
      </c>
      <c r="M3042" s="134">
        <v>1800000</v>
      </c>
      <c r="N3042" s="134">
        <v>2200000</v>
      </c>
      <c r="O3042" t="s">
        <v>2295</v>
      </c>
      <c r="P3042" t="s">
        <v>13573</v>
      </c>
      <c r="Q3042" t="s">
        <v>1939</v>
      </c>
      <c r="R3042" t="s">
        <v>13746</v>
      </c>
      <c r="U3042" t="s">
        <v>12797</v>
      </c>
      <c r="X3042">
        <v>0</v>
      </c>
    </row>
    <row r="3043" spans="1:24" x14ac:dyDescent="0.25">
      <c r="A3043" s="234">
        <v>42802</v>
      </c>
      <c r="B3043" t="s">
        <v>569</v>
      </c>
      <c r="D3043" t="s">
        <v>625</v>
      </c>
      <c r="E3043" t="s">
        <v>821</v>
      </c>
      <c r="F3043" t="s">
        <v>5913</v>
      </c>
      <c r="H3043" t="s">
        <v>607</v>
      </c>
      <c r="I3043" t="s">
        <v>5914</v>
      </c>
      <c r="J3043" t="s">
        <v>899</v>
      </c>
      <c r="L3043">
        <v>3</v>
      </c>
      <c r="M3043" s="134">
        <v>1800000</v>
      </c>
      <c r="N3043" s="134">
        <v>2220000</v>
      </c>
      <c r="O3043" t="s">
        <v>5323</v>
      </c>
      <c r="P3043" t="s">
        <v>5904</v>
      </c>
      <c r="Q3043" t="s">
        <v>592</v>
      </c>
      <c r="R3043" t="s">
        <v>5905</v>
      </c>
      <c r="U3043" t="s">
        <v>491</v>
      </c>
      <c r="X3043">
        <v>0</v>
      </c>
    </row>
    <row r="3044" spans="1:24" x14ac:dyDescent="0.25">
      <c r="A3044" s="234">
        <v>43140</v>
      </c>
      <c r="B3044" t="s">
        <v>5360</v>
      </c>
      <c r="C3044" t="s">
        <v>899</v>
      </c>
      <c r="D3044" t="s">
        <v>732</v>
      </c>
      <c r="E3044" t="s">
        <v>588</v>
      </c>
      <c r="F3044" t="s">
        <v>10288</v>
      </c>
      <c r="G3044" t="s">
        <v>649</v>
      </c>
      <c r="H3044" t="s">
        <v>607</v>
      </c>
      <c r="I3044" t="s">
        <v>10289</v>
      </c>
      <c r="J3044" t="s">
        <v>899</v>
      </c>
      <c r="L3044">
        <v>43229</v>
      </c>
      <c r="M3044" s="134">
        <v>1800000</v>
      </c>
      <c r="N3044" s="134">
        <v>2260000</v>
      </c>
      <c r="O3044" t="s">
        <v>10766</v>
      </c>
      <c r="P3044" t="s">
        <v>10440</v>
      </c>
      <c r="Q3044" t="s">
        <v>620</v>
      </c>
      <c r="R3044" t="s">
        <v>10323</v>
      </c>
      <c r="S3044" t="s">
        <v>10324</v>
      </c>
      <c r="U3044" t="s">
        <v>491</v>
      </c>
      <c r="X3044">
        <v>0</v>
      </c>
    </row>
    <row r="3045" spans="1:24" x14ac:dyDescent="0.25">
      <c r="A3045" s="234">
        <v>43468</v>
      </c>
      <c r="B3045" t="s">
        <v>569</v>
      </c>
      <c r="C3045" t="s">
        <v>899</v>
      </c>
      <c r="D3045" t="s">
        <v>625</v>
      </c>
      <c r="F3045" t="s">
        <v>13806</v>
      </c>
      <c r="G3045" t="s">
        <v>7911</v>
      </c>
      <c r="H3045" t="s">
        <v>607</v>
      </c>
      <c r="I3045" t="s">
        <v>4237</v>
      </c>
      <c r="J3045" t="s">
        <v>899</v>
      </c>
      <c r="K3045" t="s">
        <v>13807</v>
      </c>
      <c r="L3045">
        <v>3</v>
      </c>
      <c r="M3045" s="134">
        <v>1800000</v>
      </c>
      <c r="N3045" s="134">
        <v>2580000</v>
      </c>
      <c r="O3045" t="s">
        <v>10766</v>
      </c>
      <c r="P3045" t="s">
        <v>14219</v>
      </c>
      <c r="Q3045" t="s">
        <v>1939</v>
      </c>
      <c r="R3045" t="s">
        <v>13808</v>
      </c>
      <c r="U3045" t="s">
        <v>12797</v>
      </c>
      <c r="X3045">
        <v>0</v>
      </c>
    </row>
    <row r="3046" spans="1:24" x14ac:dyDescent="0.25">
      <c r="A3046" s="234">
        <v>43294</v>
      </c>
      <c r="B3046" t="s">
        <v>328</v>
      </c>
      <c r="C3046" t="s">
        <v>603</v>
      </c>
      <c r="D3046" t="s">
        <v>649</v>
      </c>
      <c r="E3046" t="s">
        <v>588</v>
      </c>
      <c r="F3046" t="s">
        <v>11733</v>
      </c>
      <c r="G3046" t="s">
        <v>7978</v>
      </c>
      <c r="H3046" t="s">
        <v>607</v>
      </c>
      <c r="I3046" t="s">
        <v>11734</v>
      </c>
      <c r="J3046" t="s">
        <v>899</v>
      </c>
      <c r="L3046">
        <v>3</v>
      </c>
      <c r="M3046" s="134">
        <v>1800000</v>
      </c>
      <c r="N3046" s="134">
        <v>2600000</v>
      </c>
      <c r="O3046" t="s">
        <v>10766</v>
      </c>
      <c r="P3046" t="s">
        <v>11735</v>
      </c>
      <c r="Q3046" t="s">
        <v>1939</v>
      </c>
      <c r="R3046" t="s">
        <v>11736</v>
      </c>
      <c r="U3046" t="s">
        <v>491</v>
      </c>
      <c r="X3046">
        <v>0</v>
      </c>
    </row>
    <row r="3047" spans="1:24" x14ac:dyDescent="0.25">
      <c r="A3047" s="234">
        <v>42851</v>
      </c>
      <c r="B3047" t="s">
        <v>569</v>
      </c>
      <c r="D3047" t="s">
        <v>625</v>
      </c>
      <c r="E3047" t="s">
        <v>588</v>
      </c>
      <c r="F3047" t="s">
        <v>6555</v>
      </c>
      <c r="H3047" t="s">
        <v>607</v>
      </c>
      <c r="I3047" t="s">
        <v>2054</v>
      </c>
      <c r="J3047" t="s">
        <v>899</v>
      </c>
      <c r="M3047" s="134">
        <v>1800000</v>
      </c>
      <c r="N3047" s="134">
        <v>2600000</v>
      </c>
      <c r="O3047" t="s">
        <v>1171</v>
      </c>
      <c r="P3047" t="s">
        <v>6556</v>
      </c>
      <c r="Q3047" t="s">
        <v>1939</v>
      </c>
      <c r="R3047" t="s">
        <v>6557</v>
      </c>
      <c r="U3047" t="s">
        <v>491</v>
      </c>
      <c r="X3047">
        <v>0</v>
      </c>
    </row>
    <row r="3048" spans="1:24" x14ac:dyDescent="0.25">
      <c r="A3048" s="234">
        <v>43216</v>
      </c>
      <c r="B3048" t="s">
        <v>328</v>
      </c>
      <c r="C3048" t="s">
        <v>603</v>
      </c>
      <c r="D3048" t="s">
        <v>649</v>
      </c>
      <c r="E3048" t="s">
        <v>588</v>
      </c>
      <c r="F3048" t="s">
        <v>11069</v>
      </c>
      <c r="G3048" t="s">
        <v>11069</v>
      </c>
      <c r="H3048" t="s">
        <v>905</v>
      </c>
      <c r="J3048" t="s">
        <v>4031</v>
      </c>
      <c r="L3048">
        <v>6</v>
      </c>
      <c r="M3048" s="134">
        <v>1800000</v>
      </c>
      <c r="N3048" s="134">
        <v>2780000</v>
      </c>
      <c r="O3048" t="s">
        <v>4533</v>
      </c>
      <c r="P3048" t="s">
        <v>11149</v>
      </c>
      <c r="Q3048" t="s">
        <v>620</v>
      </c>
      <c r="R3048" t="s">
        <v>11068</v>
      </c>
      <c r="U3048" t="s">
        <v>1327</v>
      </c>
      <c r="X3048">
        <v>0</v>
      </c>
    </row>
    <row r="3049" spans="1:24" x14ac:dyDescent="0.25">
      <c r="A3049" s="234">
        <v>43227</v>
      </c>
      <c r="B3049" t="s">
        <v>569</v>
      </c>
      <c r="C3049" t="s">
        <v>899</v>
      </c>
      <c r="D3049" t="s">
        <v>625</v>
      </c>
      <c r="E3049" t="s">
        <v>588</v>
      </c>
      <c r="F3049" t="s">
        <v>11194</v>
      </c>
      <c r="G3049" t="s">
        <v>11195</v>
      </c>
      <c r="H3049" t="s">
        <v>886</v>
      </c>
      <c r="I3049" t="s">
        <v>3672</v>
      </c>
      <c r="J3049" t="s">
        <v>899</v>
      </c>
      <c r="L3049">
        <v>2</v>
      </c>
      <c r="M3049" s="134">
        <v>1800000</v>
      </c>
      <c r="N3049" s="134">
        <v>2800000</v>
      </c>
      <c r="O3049" t="s">
        <v>10762</v>
      </c>
      <c r="P3049" t="s">
        <v>11196</v>
      </c>
      <c r="Q3049" t="s">
        <v>592</v>
      </c>
      <c r="R3049" t="s">
        <v>11197</v>
      </c>
      <c r="U3049" t="s">
        <v>1327</v>
      </c>
      <c r="X3049">
        <v>0</v>
      </c>
    </row>
    <row r="3050" spans="1:24" x14ac:dyDescent="0.25">
      <c r="A3050" s="234">
        <v>43147</v>
      </c>
      <c r="B3050" t="s">
        <v>328</v>
      </c>
      <c r="C3050" t="s">
        <v>603</v>
      </c>
      <c r="D3050" t="s">
        <v>649</v>
      </c>
      <c r="E3050" t="s">
        <v>588</v>
      </c>
      <c r="F3050" t="s">
        <v>10350</v>
      </c>
      <c r="G3050" t="s">
        <v>10351</v>
      </c>
      <c r="H3050" t="s">
        <v>607</v>
      </c>
      <c r="J3050" t="s">
        <v>899</v>
      </c>
      <c r="L3050">
        <v>5</v>
      </c>
      <c r="M3050" s="134">
        <v>1800000</v>
      </c>
      <c r="N3050" s="134">
        <v>2880000</v>
      </c>
      <c r="O3050" t="s">
        <v>560</v>
      </c>
      <c r="P3050" t="s">
        <v>10353</v>
      </c>
      <c r="Q3050" t="s">
        <v>1939</v>
      </c>
      <c r="R3050" t="s">
        <v>10352</v>
      </c>
      <c r="U3050" t="s">
        <v>1327</v>
      </c>
      <c r="X3050">
        <v>0</v>
      </c>
    </row>
    <row r="3051" spans="1:24" x14ac:dyDescent="0.25">
      <c r="A3051" s="234">
        <v>42954</v>
      </c>
      <c r="B3051" t="s">
        <v>328</v>
      </c>
      <c r="C3051" t="s">
        <v>603</v>
      </c>
      <c r="D3051" t="s">
        <v>2397</v>
      </c>
      <c r="E3051" t="s">
        <v>588</v>
      </c>
      <c r="F3051" t="s">
        <v>7996</v>
      </c>
      <c r="G3051" t="s">
        <v>727</v>
      </c>
      <c r="H3051" t="s">
        <v>607</v>
      </c>
      <c r="I3051" t="s">
        <v>5345</v>
      </c>
      <c r="J3051" t="s">
        <v>644</v>
      </c>
      <c r="L3051">
        <v>9</v>
      </c>
      <c r="M3051" s="134">
        <v>1800000</v>
      </c>
      <c r="N3051" s="134">
        <v>2880000</v>
      </c>
      <c r="O3051" t="s">
        <v>560</v>
      </c>
      <c r="P3051" t="s">
        <v>7997</v>
      </c>
      <c r="Q3051" t="s">
        <v>592</v>
      </c>
      <c r="S3051" t="s">
        <v>7998</v>
      </c>
      <c r="T3051">
        <v>15</v>
      </c>
      <c r="U3051" t="s">
        <v>491</v>
      </c>
      <c r="X3051">
        <v>0</v>
      </c>
    </row>
    <row r="3052" spans="1:24" x14ac:dyDescent="0.25">
      <c r="A3052" s="234">
        <v>43370</v>
      </c>
      <c r="B3052" t="s">
        <v>5956</v>
      </c>
      <c r="C3052" t="s">
        <v>644</v>
      </c>
      <c r="D3052" t="s">
        <v>645</v>
      </c>
      <c r="E3052" t="s">
        <v>588</v>
      </c>
      <c r="F3052" t="s">
        <v>12744</v>
      </c>
      <c r="G3052" t="s">
        <v>1016</v>
      </c>
      <c r="H3052" t="s">
        <v>886</v>
      </c>
      <c r="I3052" t="s">
        <v>12745</v>
      </c>
      <c r="J3052" t="s">
        <v>644</v>
      </c>
      <c r="L3052">
        <v>1</v>
      </c>
      <c r="M3052" s="134">
        <v>1800000</v>
      </c>
      <c r="N3052" s="134">
        <v>3010000</v>
      </c>
      <c r="O3052" t="s">
        <v>10766</v>
      </c>
      <c r="P3052" t="s">
        <v>12746</v>
      </c>
      <c r="Q3052" t="s">
        <v>1939</v>
      </c>
      <c r="R3052" t="s">
        <v>12832</v>
      </c>
      <c r="U3052" t="s">
        <v>12344</v>
      </c>
      <c r="X3052">
        <v>0</v>
      </c>
    </row>
    <row r="3053" spans="1:24" x14ac:dyDescent="0.25">
      <c r="A3053" s="234">
        <v>43399</v>
      </c>
      <c r="B3053" t="s">
        <v>569</v>
      </c>
      <c r="C3053" t="s">
        <v>899</v>
      </c>
      <c r="D3053" t="s">
        <v>625</v>
      </c>
      <c r="F3053" t="s">
        <v>13073</v>
      </c>
      <c r="G3053" t="s">
        <v>11446</v>
      </c>
      <c r="H3053" t="s">
        <v>607</v>
      </c>
      <c r="I3053" t="s">
        <v>8479</v>
      </c>
      <c r="J3053" t="s">
        <v>899</v>
      </c>
      <c r="K3053">
        <v>93012</v>
      </c>
      <c r="L3053">
        <v>10</v>
      </c>
      <c r="M3053" s="134">
        <v>1800000</v>
      </c>
      <c r="N3053" s="134">
        <v>3060000</v>
      </c>
      <c r="O3053" t="s">
        <v>560</v>
      </c>
      <c r="P3053" t="s">
        <v>13074</v>
      </c>
      <c r="Q3053" t="s">
        <v>29</v>
      </c>
      <c r="R3053" t="s">
        <v>13075</v>
      </c>
      <c r="U3053" t="s">
        <v>12344</v>
      </c>
      <c r="X3053">
        <v>1</v>
      </c>
    </row>
    <row r="3054" spans="1:24" x14ac:dyDescent="0.25">
      <c r="A3054" s="234">
        <v>42747</v>
      </c>
      <c r="B3054" t="s">
        <v>569</v>
      </c>
      <c r="D3054" t="s">
        <v>625</v>
      </c>
      <c r="E3054" t="s">
        <v>588</v>
      </c>
      <c r="F3054" t="s">
        <v>5279</v>
      </c>
      <c r="H3054" t="s">
        <v>722</v>
      </c>
      <c r="I3054" t="s">
        <v>3649</v>
      </c>
      <c r="J3054" t="s">
        <v>899</v>
      </c>
      <c r="L3054" t="s">
        <v>5280</v>
      </c>
      <c r="M3054" s="134">
        <v>1800000</v>
      </c>
      <c r="N3054" s="134">
        <v>3060000</v>
      </c>
      <c r="O3054" t="s">
        <v>560</v>
      </c>
      <c r="P3054" t="s">
        <v>5281</v>
      </c>
      <c r="Q3054" t="s">
        <v>1939</v>
      </c>
      <c r="R3054" t="s">
        <v>5282</v>
      </c>
      <c r="U3054" t="s">
        <v>491</v>
      </c>
      <c r="X3054">
        <v>0</v>
      </c>
    </row>
    <row r="3055" spans="1:24" x14ac:dyDescent="0.25">
      <c r="A3055" s="234">
        <v>42927</v>
      </c>
      <c r="B3055" t="s">
        <v>328</v>
      </c>
      <c r="C3055" t="s">
        <v>603</v>
      </c>
      <c r="D3055" t="s">
        <v>649</v>
      </c>
      <c r="E3055" t="s">
        <v>588</v>
      </c>
      <c r="F3055" t="s">
        <v>7555</v>
      </c>
      <c r="H3055" t="s">
        <v>905</v>
      </c>
      <c r="I3055" t="s">
        <v>7554</v>
      </c>
      <c r="J3055" t="s">
        <v>4557</v>
      </c>
      <c r="L3055">
        <v>10</v>
      </c>
      <c r="M3055" s="134">
        <v>1800000</v>
      </c>
      <c r="N3055" s="134">
        <v>3060000</v>
      </c>
      <c r="O3055" t="s">
        <v>7553</v>
      </c>
      <c r="P3055" t="s">
        <v>7944</v>
      </c>
      <c r="Q3055" t="s">
        <v>1939</v>
      </c>
      <c r="S3055" t="s">
        <v>7577</v>
      </c>
      <c r="U3055" t="s">
        <v>2227</v>
      </c>
      <c r="X3055">
        <v>0</v>
      </c>
    </row>
    <row r="3056" spans="1:24" x14ac:dyDescent="0.25">
      <c r="A3056" s="234">
        <v>42936</v>
      </c>
      <c r="B3056" t="s">
        <v>328</v>
      </c>
      <c r="C3056" t="s">
        <v>603</v>
      </c>
      <c r="D3056" t="s">
        <v>649</v>
      </c>
      <c r="E3056" t="s">
        <v>588</v>
      </c>
      <c r="F3056" t="s">
        <v>7688</v>
      </c>
      <c r="H3056" t="s">
        <v>1391</v>
      </c>
      <c r="I3056" t="s">
        <v>5444</v>
      </c>
      <c r="J3056" t="s">
        <v>3885</v>
      </c>
      <c r="L3056">
        <v>10</v>
      </c>
      <c r="M3056" s="134">
        <v>1800000</v>
      </c>
      <c r="N3056" s="134">
        <v>3060000</v>
      </c>
      <c r="O3056" t="s">
        <v>6860</v>
      </c>
      <c r="P3056" t="s">
        <v>7689</v>
      </c>
      <c r="Q3056" t="s">
        <v>1939</v>
      </c>
      <c r="R3056" t="s">
        <v>7690</v>
      </c>
      <c r="S3056" t="s">
        <v>7691</v>
      </c>
      <c r="U3056" t="s">
        <v>2227</v>
      </c>
      <c r="X3056">
        <v>0</v>
      </c>
    </row>
    <row r="3057" spans="1:24" x14ac:dyDescent="0.25">
      <c r="A3057" s="234">
        <v>42948</v>
      </c>
      <c r="B3057" t="s">
        <v>328</v>
      </c>
      <c r="C3057" t="s">
        <v>603</v>
      </c>
      <c r="D3057" t="s">
        <v>7595</v>
      </c>
      <c r="E3057" t="s">
        <v>588</v>
      </c>
      <c r="F3057" t="s">
        <v>7924</v>
      </c>
      <c r="G3057" t="s">
        <v>7925</v>
      </c>
      <c r="H3057" t="s">
        <v>607</v>
      </c>
      <c r="I3057" t="s">
        <v>7926</v>
      </c>
      <c r="J3057" t="s">
        <v>899</v>
      </c>
      <c r="L3057">
        <v>3</v>
      </c>
      <c r="M3057" s="134">
        <v>1800000</v>
      </c>
      <c r="N3057" s="134">
        <v>3060000</v>
      </c>
      <c r="O3057" t="s">
        <v>560</v>
      </c>
      <c r="P3057" t="s">
        <v>7927</v>
      </c>
      <c r="Q3057" t="s">
        <v>1612</v>
      </c>
      <c r="R3057" t="s">
        <v>7945</v>
      </c>
      <c r="T3057">
        <v>40</v>
      </c>
      <c r="U3057" t="s">
        <v>491</v>
      </c>
      <c r="X3057">
        <v>0</v>
      </c>
    </row>
    <row r="3058" spans="1:24" x14ac:dyDescent="0.25">
      <c r="A3058" s="234">
        <v>43007</v>
      </c>
      <c r="B3058" t="s">
        <v>328</v>
      </c>
      <c r="C3058" t="s">
        <v>603</v>
      </c>
      <c r="D3058" t="s">
        <v>649</v>
      </c>
      <c r="E3058" t="s">
        <v>588</v>
      </c>
      <c r="F3058" t="s">
        <v>7924</v>
      </c>
      <c r="G3058" t="s">
        <v>7925</v>
      </c>
      <c r="H3058" t="s">
        <v>607</v>
      </c>
      <c r="I3058" t="s">
        <v>7926</v>
      </c>
      <c r="J3058" t="s">
        <v>899</v>
      </c>
      <c r="L3058">
        <v>4</v>
      </c>
      <c r="M3058" s="134">
        <v>1800000</v>
      </c>
      <c r="N3058" s="134">
        <v>3060000</v>
      </c>
      <c r="O3058" t="s">
        <v>695</v>
      </c>
      <c r="P3058" t="s">
        <v>8803</v>
      </c>
      <c r="Q3058" t="s">
        <v>29</v>
      </c>
      <c r="R3058" t="s">
        <v>8804</v>
      </c>
      <c r="T3058">
        <v>36</v>
      </c>
      <c r="U3058" t="s">
        <v>491</v>
      </c>
      <c r="X3058">
        <v>1</v>
      </c>
    </row>
    <row r="3059" spans="1:24" x14ac:dyDescent="0.25">
      <c r="A3059" s="234">
        <v>43249</v>
      </c>
      <c r="B3059" t="s">
        <v>9240</v>
      </c>
      <c r="C3059" t="s">
        <v>603</v>
      </c>
      <c r="D3059" t="s">
        <v>9241</v>
      </c>
      <c r="E3059" t="s">
        <v>588</v>
      </c>
      <c r="F3059" t="s">
        <v>11356</v>
      </c>
      <c r="G3059" t="s">
        <v>9000</v>
      </c>
      <c r="H3059" t="s">
        <v>10830</v>
      </c>
      <c r="I3059" t="s">
        <v>11357</v>
      </c>
      <c r="J3059" t="s">
        <v>608</v>
      </c>
      <c r="M3059" s="134">
        <v>1800000</v>
      </c>
      <c r="N3059" s="134">
        <v>3096000</v>
      </c>
      <c r="O3059" t="s">
        <v>4533</v>
      </c>
      <c r="P3059" t="s">
        <v>11411</v>
      </c>
      <c r="Q3059" t="s">
        <v>1939</v>
      </c>
      <c r="R3059" t="s">
        <v>11412</v>
      </c>
      <c r="U3059" t="s">
        <v>11358</v>
      </c>
      <c r="X3059">
        <v>0</v>
      </c>
    </row>
    <row r="3060" spans="1:24" x14ac:dyDescent="0.25">
      <c r="A3060" s="234">
        <v>42747</v>
      </c>
      <c r="B3060" t="s">
        <v>328</v>
      </c>
      <c r="C3060" t="s">
        <v>603</v>
      </c>
      <c r="D3060" t="s">
        <v>2397</v>
      </c>
      <c r="E3060" t="s">
        <v>588</v>
      </c>
      <c r="F3060" t="s">
        <v>5283</v>
      </c>
      <c r="H3060" t="s">
        <v>1391</v>
      </c>
      <c r="I3060" t="s">
        <v>4507</v>
      </c>
      <c r="J3060" t="s">
        <v>899</v>
      </c>
      <c r="L3060" t="s">
        <v>5284</v>
      </c>
      <c r="M3060" s="134">
        <v>1800000</v>
      </c>
      <c r="N3060" s="134">
        <v>3133000</v>
      </c>
      <c r="O3060" t="s">
        <v>560</v>
      </c>
      <c r="P3060" t="s">
        <v>5285</v>
      </c>
      <c r="Q3060" t="s">
        <v>592</v>
      </c>
      <c r="U3060" t="s">
        <v>491</v>
      </c>
      <c r="X3060">
        <v>0</v>
      </c>
    </row>
    <row r="3061" spans="1:24" x14ac:dyDescent="0.25">
      <c r="A3061" s="234">
        <v>42866</v>
      </c>
      <c r="B3061" t="s">
        <v>569</v>
      </c>
      <c r="D3061" t="s">
        <v>625</v>
      </c>
      <c r="E3061" t="s">
        <v>588</v>
      </c>
      <c r="F3061" t="s">
        <v>6749</v>
      </c>
      <c r="H3061" t="s">
        <v>607</v>
      </c>
      <c r="I3061" t="s">
        <v>3837</v>
      </c>
      <c r="J3061" t="s">
        <v>899</v>
      </c>
      <c r="L3061">
        <v>9</v>
      </c>
      <c r="M3061" s="134">
        <v>1800000</v>
      </c>
      <c r="N3061" s="134">
        <v>3200000</v>
      </c>
      <c r="O3061" t="s">
        <v>560</v>
      </c>
      <c r="P3061" t="s">
        <v>6750</v>
      </c>
      <c r="Q3061" t="s">
        <v>592</v>
      </c>
      <c r="U3061" t="s">
        <v>491</v>
      </c>
      <c r="X3061">
        <v>0</v>
      </c>
    </row>
    <row r="3062" spans="1:24" x14ac:dyDescent="0.25">
      <c r="A3062" s="234">
        <v>43105</v>
      </c>
      <c r="B3062" t="s">
        <v>569</v>
      </c>
      <c r="C3062" t="s">
        <v>899</v>
      </c>
      <c r="D3062" t="s">
        <v>625</v>
      </c>
      <c r="E3062" t="s">
        <v>588</v>
      </c>
      <c r="F3062" t="s">
        <v>9966</v>
      </c>
      <c r="G3062" t="s">
        <v>7172</v>
      </c>
      <c r="H3062" t="s">
        <v>607</v>
      </c>
      <c r="I3062" t="s">
        <v>2054</v>
      </c>
      <c r="J3062" t="s">
        <v>899</v>
      </c>
      <c r="L3062">
        <v>4</v>
      </c>
      <c r="M3062" s="134">
        <v>1800000</v>
      </c>
      <c r="N3062" s="134">
        <v>3240000</v>
      </c>
      <c r="O3062" t="s">
        <v>560</v>
      </c>
      <c r="P3062" t="s">
        <v>9965</v>
      </c>
      <c r="Q3062" t="s">
        <v>592</v>
      </c>
      <c r="R3062" t="s">
        <v>9705</v>
      </c>
      <c r="U3062" t="s">
        <v>1327</v>
      </c>
      <c r="X3062">
        <v>0</v>
      </c>
    </row>
    <row r="3063" spans="1:24" x14ac:dyDescent="0.25">
      <c r="A3063" s="234">
        <v>43299</v>
      </c>
      <c r="B3063" t="s">
        <v>569</v>
      </c>
      <c r="C3063" t="s">
        <v>899</v>
      </c>
      <c r="D3063" t="s">
        <v>625</v>
      </c>
      <c r="E3063" t="s">
        <v>588</v>
      </c>
      <c r="F3063" t="s">
        <v>11853</v>
      </c>
      <c r="G3063" t="s">
        <v>6161</v>
      </c>
      <c r="H3063" t="s">
        <v>607</v>
      </c>
      <c r="I3063" t="s">
        <v>4438</v>
      </c>
      <c r="J3063" t="s">
        <v>899</v>
      </c>
      <c r="L3063">
        <v>2</v>
      </c>
      <c r="M3063" s="134">
        <v>1800000</v>
      </c>
      <c r="N3063" s="134">
        <v>3240000</v>
      </c>
      <c r="O3063" t="s">
        <v>560</v>
      </c>
      <c r="P3063" t="s">
        <v>11854</v>
      </c>
      <c r="Q3063" t="s">
        <v>1939</v>
      </c>
      <c r="R3063" t="s">
        <v>11855</v>
      </c>
      <c r="U3063" t="s">
        <v>491</v>
      </c>
      <c r="X3063">
        <v>0</v>
      </c>
    </row>
    <row r="3064" spans="1:24" x14ac:dyDescent="0.25">
      <c r="A3064" s="234">
        <v>43306</v>
      </c>
      <c r="B3064" t="s">
        <v>569</v>
      </c>
      <c r="C3064" t="s">
        <v>899</v>
      </c>
      <c r="D3064" t="s">
        <v>3505</v>
      </c>
      <c r="E3064" t="s">
        <v>588</v>
      </c>
      <c r="F3064" t="s">
        <v>11916</v>
      </c>
      <c r="G3064" t="s">
        <v>11917</v>
      </c>
      <c r="H3064" t="s">
        <v>607</v>
      </c>
      <c r="I3064" t="s">
        <v>10574</v>
      </c>
      <c r="J3064" t="s">
        <v>899</v>
      </c>
      <c r="M3064" s="134">
        <v>1800000</v>
      </c>
      <c r="N3064" s="134">
        <v>3240000</v>
      </c>
      <c r="O3064" t="s">
        <v>560</v>
      </c>
      <c r="P3064" t="s">
        <v>12013</v>
      </c>
      <c r="Q3064" t="s">
        <v>592</v>
      </c>
      <c r="R3064" t="s">
        <v>11918</v>
      </c>
      <c r="U3064" t="s">
        <v>1327</v>
      </c>
      <c r="X3064">
        <v>0</v>
      </c>
    </row>
    <row r="3065" spans="1:24" x14ac:dyDescent="0.25">
      <c r="A3065" s="234">
        <v>43376</v>
      </c>
      <c r="B3065" t="s">
        <v>569</v>
      </c>
      <c r="C3065" t="s">
        <v>899</v>
      </c>
      <c r="D3065" t="s">
        <v>3505</v>
      </c>
      <c r="E3065" t="s">
        <v>588</v>
      </c>
      <c r="F3065" t="s">
        <v>12814</v>
      </c>
      <c r="G3065" t="s">
        <v>10086</v>
      </c>
      <c r="H3065" t="s">
        <v>607</v>
      </c>
      <c r="I3065" t="s">
        <v>3837</v>
      </c>
      <c r="J3065" t="s">
        <v>899</v>
      </c>
      <c r="L3065">
        <v>2</v>
      </c>
      <c r="M3065" s="134">
        <v>1800000</v>
      </c>
      <c r="N3065" s="134">
        <v>3240000</v>
      </c>
      <c r="O3065" t="s">
        <v>560</v>
      </c>
      <c r="P3065" t="s">
        <v>12815</v>
      </c>
      <c r="Q3065" t="s">
        <v>1939</v>
      </c>
      <c r="R3065" t="s">
        <v>12816</v>
      </c>
      <c r="U3065" t="s">
        <v>12344</v>
      </c>
      <c r="X3065">
        <v>0</v>
      </c>
    </row>
    <row r="3066" spans="1:24" x14ac:dyDescent="0.25">
      <c r="A3066" s="234">
        <v>42745</v>
      </c>
      <c r="B3066" t="s">
        <v>328</v>
      </c>
      <c r="C3066" t="s">
        <v>603</v>
      </c>
      <c r="D3066" t="s">
        <v>2397</v>
      </c>
      <c r="E3066" t="s">
        <v>588</v>
      </c>
      <c r="F3066" t="s">
        <v>5254</v>
      </c>
      <c r="H3066" t="s">
        <v>607</v>
      </c>
      <c r="I3066" t="s">
        <v>5255</v>
      </c>
      <c r="J3066" t="s">
        <v>899</v>
      </c>
      <c r="L3066">
        <v>3</v>
      </c>
      <c r="M3066" s="134">
        <v>1800000</v>
      </c>
      <c r="N3066" s="134">
        <v>3240000</v>
      </c>
      <c r="O3066" t="s">
        <v>560</v>
      </c>
      <c r="P3066" t="s">
        <v>5256</v>
      </c>
      <c r="Q3066" t="s">
        <v>592</v>
      </c>
      <c r="R3066" t="s">
        <v>5257</v>
      </c>
      <c r="U3066" t="s">
        <v>491</v>
      </c>
      <c r="X3066">
        <v>0</v>
      </c>
    </row>
    <row r="3067" spans="1:24" x14ac:dyDescent="0.25">
      <c r="A3067" s="234">
        <v>42955</v>
      </c>
      <c r="B3067" t="s">
        <v>643</v>
      </c>
      <c r="C3067" t="s">
        <v>644</v>
      </c>
      <c r="D3067" t="s">
        <v>645</v>
      </c>
      <c r="E3067" t="s">
        <v>588</v>
      </c>
      <c r="F3067" t="s">
        <v>8040</v>
      </c>
      <c r="G3067" t="s">
        <v>8041</v>
      </c>
      <c r="H3067" t="s">
        <v>607</v>
      </c>
      <c r="I3067" t="s">
        <v>4237</v>
      </c>
      <c r="J3067" t="s">
        <v>899</v>
      </c>
      <c r="L3067">
        <v>2</v>
      </c>
      <c r="M3067" s="134">
        <v>1800000</v>
      </c>
      <c r="N3067" s="134">
        <v>3240000</v>
      </c>
      <c r="O3067" t="s">
        <v>35</v>
      </c>
      <c r="P3067" t="s">
        <v>8042</v>
      </c>
      <c r="Q3067" t="s">
        <v>620</v>
      </c>
      <c r="R3067" t="s">
        <v>8043</v>
      </c>
      <c r="T3067">
        <v>10</v>
      </c>
      <c r="U3067" t="s">
        <v>491</v>
      </c>
      <c r="X3067">
        <v>0</v>
      </c>
    </row>
    <row r="3068" spans="1:24" x14ac:dyDescent="0.25">
      <c r="A3068" s="234">
        <v>42590</v>
      </c>
      <c r="B3068" t="s">
        <v>328</v>
      </c>
      <c r="C3068" t="s">
        <v>603</v>
      </c>
      <c r="D3068" t="s">
        <v>1471</v>
      </c>
      <c r="E3068" t="s">
        <v>588</v>
      </c>
      <c r="F3068" t="s">
        <v>3288</v>
      </c>
      <c r="H3068" t="s">
        <v>2074</v>
      </c>
      <c r="I3068" t="s">
        <v>2643</v>
      </c>
      <c r="J3068" t="s">
        <v>899</v>
      </c>
      <c r="L3068">
        <v>3</v>
      </c>
      <c r="M3068" s="134">
        <v>1800000</v>
      </c>
      <c r="N3068" s="134">
        <v>3240000</v>
      </c>
      <c r="O3068" t="s">
        <v>891</v>
      </c>
      <c r="P3068" t="s">
        <v>3290</v>
      </c>
      <c r="Q3068" t="s">
        <v>620</v>
      </c>
      <c r="R3068" t="s">
        <v>3289</v>
      </c>
      <c r="U3068" t="s">
        <v>491</v>
      </c>
      <c r="X3068">
        <v>0</v>
      </c>
    </row>
    <row r="3069" spans="1:24" x14ac:dyDescent="0.25">
      <c r="A3069" s="234">
        <v>43367</v>
      </c>
      <c r="B3069" t="s">
        <v>569</v>
      </c>
      <c r="C3069" t="s">
        <v>899</v>
      </c>
      <c r="D3069" t="s">
        <v>11286</v>
      </c>
      <c r="E3069" t="s">
        <v>588</v>
      </c>
      <c r="F3069" t="s">
        <v>12701</v>
      </c>
      <c r="G3069" t="s">
        <v>12702</v>
      </c>
      <c r="H3069" t="s">
        <v>607</v>
      </c>
      <c r="I3069" t="s">
        <v>5910</v>
      </c>
      <c r="J3069" t="s">
        <v>899</v>
      </c>
      <c r="L3069">
        <v>2</v>
      </c>
      <c r="M3069" s="134">
        <v>1800000</v>
      </c>
      <c r="N3069" s="134">
        <v>3300000</v>
      </c>
      <c r="O3069" t="s">
        <v>560</v>
      </c>
      <c r="P3069" t="s">
        <v>12703</v>
      </c>
      <c r="Q3069" t="s">
        <v>1939</v>
      </c>
      <c r="R3069" t="s">
        <v>12705</v>
      </c>
      <c r="U3069" t="s">
        <v>12344</v>
      </c>
      <c r="X3069">
        <v>0</v>
      </c>
    </row>
    <row r="3070" spans="1:24" x14ac:dyDescent="0.25">
      <c r="A3070" s="234">
        <v>42801</v>
      </c>
      <c r="B3070" t="s">
        <v>328</v>
      </c>
      <c r="C3070" t="s">
        <v>603</v>
      </c>
      <c r="D3070" t="s">
        <v>672</v>
      </c>
      <c r="E3070" t="s">
        <v>588</v>
      </c>
      <c r="F3070" t="s">
        <v>5882</v>
      </c>
      <c r="H3070" t="s">
        <v>607</v>
      </c>
      <c r="I3070" t="s">
        <v>4689</v>
      </c>
      <c r="J3070" t="s">
        <v>899</v>
      </c>
      <c r="L3070">
        <v>3</v>
      </c>
      <c r="M3070" s="134">
        <v>1800000</v>
      </c>
      <c r="N3070" s="134">
        <v>3420000</v>
      </c>
      <c r="O3070" t="s">
        <v>560</v>
      </c>
      <c r="P3070" t="s">
        <v>5883</v>
      </c>
      <c r="Q3070" t="s">
        <v>1612</v>
      </c>
      <c r="R3070" t="s">
        <v>5886</v>
      </c>
      <c r="U3070" t="s">
        <v>491</v>
      </c>
      <c r="X3070">
        <v>0</v>
      </c>
    </row>
    <row r="3071" spans="1:24" x14ac:dyDescent="0.25">
      <c r="A3071" s="234">
        <v>43119</v>
      </c>
      <c r="B3071" t="s">
        <v>328</v>
      </c>
      <c r="C3071" t="s">
        <v>603</v>
      </c>
      <c r="D3071" t="s">
        <v>1401</v>
      </c>
      <c r="E3071" t="s">
        <v>588</v>
      </c>
      <c r="F3071" t="s">
        <v>10058</v>
      </c>
      <c r="G3071" t="s">
        <v>256</v>
      </c>
      <c r="H3071" t="s">
        <v>607</v>
      </c>
      <c r="I3071" t="s">
        <v>7954</v>
      </c>
      <c r="J3071" t="s">
        <v>899</v>
      </c>
      <c r="L3071">
        <v>3</v>
      </c>
      <c r="M3071" s="134">
        <v>1800000</v>
      </c>
      <c r="N3071" s="134">
        <v>3600000</v>
      </c>
      <c r="O3071" t="s">
        <v>560</v>
      </c>
      <c r="P3071" t="s">
        <v>10059</v>
      </c>
      <c r="Q3071" t="s">
        <v>592</v>
      </c>
      <c r="R3071" t="s">
        <v>10063</v>
      </c>
      <c r="U3071" t="s">
        <v>1327</v>
      </c>
      <c r="X3071">
        <v>0</v>
      </c>
    </row>
    <row r="3072" spans="1:24" x14ac:dyDescent="0.25">
      <c r="A3072" s="234">
        <v>43552</v>
      </c>
      <c r="B3072" t="s">
        <v>643</v>
      </c>
      <c r="C3072" t="s">
        <v>644</v>
      </c>
      <c r="D3072" t="s">
        <v>645</v>
      </c>
      <c r="F3072" t="s">
        <v>14936</v>
      </c>
      <c r="G3072" t="s">
        <v>14937</v>
      </c>
      <c r="H3072" t="s">
        <v>886</v>
      </c>
      <c r="I3072" t="s">
        <v>14938</v>
      </c>
      <c r="J3072" t="s">
        <v>644</v>
      </c>
      <c r="K3072" t="s">
        <v>14939</v>
      </c>
      <c r="M3072" s="134">
        <v>1800000</v>
      </c>
      <c r="N3072" s="134">
        <v>3660000</v>
      </c>
      <c r="O3072" t="s">
        <v>560</v>
      </c>
      <c r="P3072" t="s">
        <v>14972</v>
      </c>
      <c r="Q3072" t="s">
        <v>1939</v>
      </c>
      <c r="R3072" t="s">
        <v>15009</v>
      </c>
      <c r="U3072" t="s">
        <v>12797</v>
      </c>
      <c r="X3072">
        <v>0</v>
      </c>
    </row>
    <row r="3073" spans="1:24" x14ac:dyDescent="0.25">
      <c r="A3073" s="234">
        <v>42872</v>
      </c>
      <c r="B3073" t="s">
        <v>328</v>
      </c>
      <c r="C3073" t="s">
        <v>603</v>
      </c>
      <c r="D3073" t="s">
        <v>649</v>
      </c>
      <c r="E3073" t="s">
        <v>588</v>
      </c>
      <c r="F3073" t="s">
        <v>6817</v>
      </c>
      <c r="H3073" t="s">
        <v>1391</v>
      </c>
      <c r="I3073" t="s">
        <v>3452</v>
      </c>
      <c r="J3073" t="s">
        <v>899</v>
      </c>
      <c r="M3073" s="134">
        <v>1800000</v>
      </c>
      <c r="N3073" s="134">
        <v>3753750</v>
      </c>
      <c r="O3073" t="s">
        <v>560</v>
      </c>
      <c r="P3073" t="s">
        <v>6818</v>
      </c>
      <c r="Q3073" t="s">
        <v>1939</v>
      </c>
      <c r="R3073" t="s">
        <v>6910</v>
      </c>
      <c r="U3073" t="s">
        <v>491</v>
      </c>
      <c r="X3073">
        <v>0</v>
      </c>
    </row>
    <row r="3074" spans="1:24" x14ac:dyDescent="0.25">
      <c r="A3074" s="234">
        <v>43500</v>
      </c>
      <c r="B3074" t="s">
        <v>569</v>
      </c>
      <c r="C3074" t="s">
        <v>899</v>
      </c>
      <c r="D3074" t="s">
        <v>11286</v>
      </c>
      <c r="F3074" t="s">
        <v>14198</v>
      </c>
      <c r="G3074" t="s">
        <v>7855</v>
      </c>
      <c r="H3074" t="s">
        <v>607</v>
      </c>
      <c r="I3074" t="s">
        <v>9530</v>
      </c>
      <c r="J3074" t="s">
        <v>899</v>
      </c>
      <c r="K3074" t="s">
        <v>14199</v>
      </c>
      <c r="L3074">
        <v>4</v>
      </c>
      <c r="M3074" s="134">
        <v>1800300</v>
      </c>
      <c r="N3074" s="134">
        <v>0</v>
      </c>
      <c r="O3074" t="s">
        <v>10766</v>
      </c>
      <c r="P3074" t="s">
        <v>14200</v>
      </c>
      <c r="Q3074" t="s">
        <v>29</v>
      </c>
      <c r="R3074" t="s">
        <v>14201</v>
      </c>
      <c r="U3074" t="s">
        <v>491</v>
      </c>
      <c r="X3074">
        <v>1</v>
      </c>
    </row>
    <row r="3075" spans="1:24" x14ac:dyDescent="0.25">
      <c r="A3075" s="234">
        <v>43026</v>
      </c>
      <c r="B3075" t="s">
        <v>643</v>
      </c>
      <c r="C3075" t="s">
        <v>644</v>
      </c>
      <c r="D3075" t="s">
        <v>645</v>
      </c>
      <c r="E3075" t="s">
        <v>588</v>
      </c>
      <c r="F3075" t="s">
        <v>9082</v>
      </c>
      <c r="G3075" t="s">
        <v>9083</v>
      </c>
      <c r="H3075" t="s">
        <v>607</v>
      </c>
      <c r="I3075" t="s">
        <v>9087</v>
      </c>
      <c r="J3075" t="s">
        <v>644</v>
      </c>
      <c r="M3075" s="134">
        <v>1804000</v>
      </c>
      <c r="N3075" s="134">
        <v>2202800</v>
      </c>
      <c r="O3075" t="s">
        <v>9088</v>
      </c>
      <c r="P3075" t="s">
        <v>9089</v>
      </c>
      <c r="Q3075" t="s">
        <v>1939</v>
      </c>
      <c r="R3075" t="s">
        <v>9090</v>
      </c>
      <c r="U3075" t="s">
        <v>491</v>
      </c>
      <c r="X3075">
        <v>0</v>
      </c>
    </row>
    <row r="3076" spans="1:24" x14ac:dyDescent="0.25">
      <c r="A3076" s="234">
        <v>43404</v>
      </c>
      <c r="B3076" t="s">
        <v>569</v>
      </c>
      <c r="C3076" t="s">
        <v>899</v>
      </c>
      <c r="D3076" t="s">
        <v>11286</v>
      </c>
      <c r="F3076" t="s">
        <v>13109</v>
      </c>
      <c r="G3076" t="s">
        <v>4118</v>
      </c>
      <c r="H3076" t="s">
        <v>607</v>
      </c>
      <c r="I3076" t="s">
        <v>3536</v>
      </c>
      <c r="J3076" t="s">
        <v>899</v>
      </c>
      <c r="K3076" t="s">
        <v>13110</v>
      </c>
      <c r="L3076">
        <v>1</v>
      </c>
      <c r="M3076" s="134">
        <v>1804000</v>
      </c>
      <c r="N3076" s="134">
        <v>3247200</v>
      </c>
      <c r="O3076" t="s">
        <v>560</v>
      </c>
      <c r="P3076" t="s">
        <v>13433</v>
      </c>
      <c r="Q3076" t="s">
        <v>1939</v>
      </c>
      <c r="R3076" t="s">
        <v>13111</v>
      </c>
      <c r="U3076" t="s">
        <v>12344</v>
      </c>
      <c r="X3076">
        <v>0</v>
      </c>
    </row>
    <row r="3077" spans="1:24" x14ac:dyDescent="0.25">
      <c r="A3077" s="234">
        <v>42384</v>
      </c>
      <c r="B3077" t="s">
        <v>328</v>
      </c>
      <c r="C3077" t="s">
        <v>603</v>
      </c>
      <c r="D3077" t="s">
        <v>748</v>
      </c>
      <c r="E3077" t="s">
        <v>588</v>
      </c>
      <c r="F3077" t="s">
        <v>749</v>
      </c>
      <c r="H3077" t="s">
        <v>627</v>
      </c>
      <c r="I3077" t="s">
        <v>750</v>
      </c>
      <c r="M3077" s="134">
        <v>1824000</v>
      </c>
      <c r="N3077" s="134">
        <v>0</v>
      </c>
      <c r="O3077" t="s">
        <v>751</v>
      </c>
      <c r="P3077" t="s">
        <v>752</v>
      </c>
      <c r="Q3077" t="s">
        <v>592</v>
      </c>
      <c r="R3077" t="s">
        <v>756</v>
      </c>
      <c r="U3077" t="s">
        <v>491</v>
      </c>
      <c r="X3077">
        <v>0</v>
      </c>
    </row>
    <row r="3078" spans="1:24" x14ac:dyDescent="0.25">
      <c r="A3078" s="234">
        <v>42601</v>
      </c>
      <c r="B3078" t="s">
        <v>328</v>
      </c>
      <c r="C3078" t="s">
        <v>603</v>
      </c>
      <c r="D3078" t="s">
        <v>1471</v>
      </c>
      <c r="E3078" t="s">
        <v>588</v>
      </c>
      <c r="F3078" t="s">
        <v>3521</v>
      </c>
      <c r="H3078" t="s">
        <v>607</v>
      </c>
      <c r="I3078" t="s">
        <v>3522</v>
      </c>
      <c r="J3078" t="s">
        <v>3523</v>
      </c>
      <c r="L3078">
        <v>4</v>
      </c>
      <c r="M3078" s="134">
        <v>1833960</v>
      </c>
      <c r="N3078" s="134">
        <v>3117732</v>
      </c>
      <c r="O3078" t="s">
        <v>560</v>
      </c>
      <c r="P3078" t="s">
        <v>3524</v>
      </c>
      <c r="Q3078" t="s">
        <v>1939</v>
      </c>
      <c r="R3078" t="s">
        <v>3525</v>
      </c>
      <c r="U3078" t="s">
        <v>491</v>
      </c>
      <c r="X3078">
        <v>0</v>
      </c>
    </row>
    <row r="3079" spans="1:24" x14ac:dyDescent="0.25">
      <c r="A3079" s="234">
        <v>43174</v>
      </c>
      <c r="B3079" t="s">
        <v>569</v>
      </c>
      <c r="C3079" t="s">
        <v>899</v>
      </c>
      <c r="D3079" t="s">
        <v>624</v>
      </c>
      <c r="E3079" t="s">
        <v>588</v>
      </c>
      <c r="F3079" t="s">
        <v>10607</v>
      </c>
      <c r="G3079" t="s">
        <v>10608</v>
      </c>
      <c r="H3079" t="s">
        <v>607</v>
      </c>
      <c r="I3079" t="s">
        <v>3388</v>
      </c>
      <c r="J3079" t="s">
        <v>899</v>
      </c>
      <c r="M3079" s="134">
        <v>1836000</v>
      </c>
      <c r="N3079" s="134">
        <v>3000000</v>
      </c>
      <c r="O3079" t="s">
        <v>10765</v>
      </c>
      <c r="P3079" t="s">
        <v>10609</v>
      </c>
      <c r="Q3079" t="s">
        <v>1939</v>
      </c>
      <c r="R3079" t="s">
        <v>10610</v>
      </c>
      <c r="U3079" t="s">
        <v>491</v>
      </c>
      <c r="X3079">
        <v>0</v>
      </c>
    </row>
    <row r="3080" spans="1:24" x14ac:dyDescent="0.25">
      <c r="A3080" s="234">
        <v>42515</v>
      </c>
      <c r="B3080" t="s">
        <v>378</v>
      </c>
      <c r="C3080" t="s">
        <v>899</v>
      </c>
      <c r="D3080" t="s">
        <v>625</v>
      </c>
      <c r="E3080" t="s">
        <v>588</v>
      </c>
      <c r="F3080" t="s">
        <v>2244</v>
      </c>
      <c r="H3080" t="s">
        <v>1831</v>
      </c>
      <c r="I3080" t="s">
        <v>844</v>
      </c>
      <c r="M3080" s="134">
        <v>1837000</v>
      </c>
      <c r="N3080" s="134">
        <v>3000000</v>
      </c>
      <c r="O3080" t="s">
        <v>560</v>
      </c>
      <c r="P3080" t="s">
        <v>2246</v>
      </c>
      <c r="Q3080" t="s">
        <v>1939</v>
      </c>
      <c r="R3080" t="s">
        <v>2247</v>
      </c>
      <c r="X3080">
        <v>0</v>
      </c>
    </row>
    <row r="3081" spans="1:24" x14ac:dyDescent="0.25">
      <c r="A3081" s="234">
        <v>42650</v>
      </c>
      <c r="B3081" t="s">
        <v>643</v>
      </c>
      <c r="C3081" t="s">
        <v>644</v>
      </c>
      <c r="D3081" t="s">
        <v>3132</v>
      </c>
      <c r="E3081" t="s">
        <v>588</v>
      </c>
      <c r="F3081" t="s">
        <v>4207</v>
      </c>
      <c r="H3081" t="s">
        <v>722</v>
      </c>
      <c r="I3081" t="s">
        <v>4208</v>
      </c>
      <c r="J3081" t="s">
        <v>644</v>
      </c>
      <c r="L3081">
        <v>2</v>
      </c>
      <c r="M3081" s="134">
        <v>1840000</v>
      </c>
      <c r="N3081" s="134">
        <v>2364000</v>
      </c>
      <c r="O3081" t="s">
        <v>4209</v>
      </c>
      <c r="P3081" t="s">
        <v>4210</v>
      </c>
      <c r="Q3081" t="s">
        <v>1939</v>
      </c>
      <c r="R3081" t="s">
        <v>4211</v>
      </c>
      <c r="U3081" t="s">
        <v>491</v>
      </c>
      <c r="X3081">
        <v>0</v>
      </c>
    </row>
    <row r="3082" spans="1:24" x14ac:dyDescent="0.25">
      <c r="A3082" s="234">
        <v>43133</v>
      </c>
      <c r="B3082" t="s">
        <v>569</v>
      </c>
      <c r="C3082" t="s">
        <v>899</v>
      </c>
      <c r="D3082" t="s">
        <v>930</v>
      </c>
      <c r="E3082" t="s">
        <v>1707</v>
      </c>
      <c r="F3082" t="s">
        <v>10229</v>
      </c>
      <c r="G3082" t="s">
        <v>8515</v>
      </c>
      <c r="H3082" t="s">
        <v>809</v>
      </c>
      <c r="I3082" t="s">
        <v>6889</v>
      </c>
      <c r="J3082" t="s">
        <v>899</v>
      </c>
      <c r="M3082" s="134">
        <v>1844000</v>
      </c>
      <c r="N3082" s="134">
        <v>2000000</v>
      </c>
      <c r="O3082" t="s">
        <v>6745</v>
      </c>
      <c r="P3082" t="s">
        <v>10230</v>
      </c>
      <c r="Q3082" t="s">
        <v>1939</v>
      </c>
      <c r="R3082" t="s">
        <v>10231</v>
      </c>
      <c r="U3082" t="s">
        <v>491</v>
      </c>
      <c r="V3082" t="s">
        <v>3985</v>
      </c>
      <c r="W3082" t="s">
        <v>10232</v>
      </c>
      <c r="X3082">
        <v>0</v>
      </c>
    </row>
    <row r="3083" spans="1:24" x14ac:dyDescent="0.25">
      <c r="A3083" s="234">
        <v>42438</v>
      </c>
      <c r="B3083" t="s">
        <v>594</v>
      </c>
      <c r="C3083" t="s">
        <v>959</v>
      </c>
      <c r="D3083" t="s">
        <v>732</v>
      </c>
      <c r="E3083" t="s">
        <v>588</v>
      </c>
      <c r="F3083" t="s">
        <v>1261</v>
      </c>
      <c r="H3083" t="s">
        <v>905</v>
      </c>
      <c r="I3083" t="s">
        <v>1262</v>
      </c>
      <c r="M3083" s="134">
        <v>1850000</v>
      </c>
      <c r="N3083" s="134">
        <v>2040000</v>
      </c>
      <c r="O3083" t="s">
        <v>35</v>
      </c>
      <c r="P3083" t="s">
        <v>1263</v>
      </c>
      <c r="Q3083" t="s">
        <v>592</v>
      </c>
      <c r="R3083" t="s">
        <v>1264</v>
      </c>
      <c r="U3083" t="s">
        <v>491</v>
      </c>
      <c r="X3083">
        <v>0</v>
      </c>
    </row>
    <row r="3084" spans="1:24" x14ac:dyDescent="0.25">
      <c r="A3084" s="234">
        <v>43488</v>
      </c>
      <c r="B3084" t="s">
        <v>569</v>
      </c>
      <c r="C3084" t="s">
        <v>899</v>
      </c>
      <c r="D3084" t="s">
        <v>3505</v>
      </c>
      <c r="F3084" t="s">
        <v>14108</v>
      </c>
      <c r="G3084" t="s">
        <v>14109</v>
      </c>
      <c r="H3084" t="s">
        <v>607</v>
      </c>
      <c r="I3084" t="s">
        <v>3918</v>
      </c>
      <c r="J3084" t="s">
        <v>899</v>
      </c>
      <c r="K3084" t="s">
        <v>14058</v>
      </c>
      <c r="L3084">
        <v>4</v>
      </c>
      <c r="M3084" s="134">
        <v>1850000</v>
      </c>
      <c r="N3084" s="134">
        <v>2982500</v>
      </c>
      <c r="O3084" t="s">
        <v>7564</v>
      </c>
      <c r="P3084" t="s">
        <v>14110</v>
      </c>
      <c r="Q3084" t="s">
        <v>592</v>
      </c>
      <c r="R3084" t="s">
        <v>11010</v>
      </c>
      <c r="U3084" t="s">
        <v>12797</v>
      </c>
      <c r="X3084">
        <v>0</v>
      </c>
    </row>
    <row r="3085" spans="1:24" x14ac:dyDescent="0.25">
      <c r="A3085" s="234">
        <v>43347</v>
      </c>
      <c r="B3085" t="s">
        <v>328</v>
      </c>
      <c r="C3085" t="s">
        <v>603</v>
      </c>
      <c r="D3085" t="s">
        <v>7595</v>
      </c>
      <c r="E3085" t="s">
        <v>588</v>
      </c>
      <c r="F3085" t="s">
        <v>12478</v>
      </c>
      <c r="G3085" t="s">
        <v>10281</v>
      </c>
      <c r="H3085" t="s">
        <v>607</v>
      </c>
      <c r="I3085" t="s">
        <v>4237</v>
      </c>
      <c r="J3085" t="s">
        <v>899</v>
      </c>
      <c r="L3085">
        <v>2</v>
      </c>
      <c r="M3085" s="134">
        <v>1850000</v>
      </c>
      <c r="N3085" s="134">
        <v>3255000</v>
      </c>
      <c r="O3085" t="s">
        <v>7564</v>
      </c>
      <c r="P3085" t="s">
        <v>12477</v>
      </c>
      <c r="Q3085" t="s">
        <v>1939</v>
      </c>
      <c r="R3085" t="s">
        <v>12476</v>
      </c>
      <c r="U3085" t="s">
        <v>1327</v>
      </c>
      <c r="X3085">
        <v>0</v>
      </c>
    </row>
    <row r="3086" spans="1:24" x14ac:dyDescent="0.25">
      <c r="A3086" s="234">
        <v>43376</v>
      </c>
      <c r="B3086" t="s">
        <v>569</v>
      </c>
      <c r="C3086" t="s">
        <v>899</v>
      </c>
      <c r="D3086" t="s">
        <v>625</v>
      </c>
      <c r="E3086" t="s">
        <v>588</v>
      </c>
      <c r="F3086" t="s">
        <v>12821</v>
      </c>
      <c r="G3086" t="s">
        <v>9305</v>
      </c>
      <c r="H3086" t="s">
        <v>607</v>
      </c>
      <c r="I3086" t="s">
        <v>12347</v>
      </c>
      <c r="J3086" t="s">
        <v>899</v>
      </c>
      <c r="L3086">
        <v>5</v>
      </c>
      <c r="M3086" s="134">
        <v>1850000</v>
      </c>
      <c r="N3086" s="134">
        <v>3330000</v>
      </c>
      <c r="O3086" t="s">
        <v>560</v>
      </c>
      <c r="P3086" t="s">
        <v>12822</v>
      </c>
      <c r="Q3086" t="s">
        <v>592</v>
      </c>
      <c r="R3086" t="s">
        <v>12823</v>
      </c>
      <c r="U3086" t="s">
        <v>12344</v>
      </c>
      <c r="X3086">
        <v>0</v>
      </c>
    </row>
    <row r="3087" spans="1:24" x14ac:dyDescent="0.25">
      <c r="A3087" s="234">
        <v>42948</v>
      </c>
      <c r="B3087" t="s">
        <v>569</v>
      </c>
      <c r="D3087" t="s">
        <v>624</v>
      </c>
      <c r="E3087" t="s">
        <v>588</v>
      </c>
      <c r="F3087" t="s">
        <v>7952</v>
      </c>
      <c r="G3087" t="s">
        <v>7953</v>
      </c>
      <c r="H3087" t="s">
        <v>607</v>
      </c>
      <c r="I3087" t="s">
        <v>7954</v>
      </c>
      <c r="J3087" t="s">
        <v>899</v>
      </c>
      <c r="L3087">
        <v>3</v>
      </c>
      <c r="M3087" s="134">
        <v>1850000</v>
      </c>
      <c r="N3087" s="134">
        <v>3500000</v>
      </c>
      <c r="O3087" t="s">
        <v>560</v>
      </c>
      <c r="P3087" t="s">
        <v>7955</v>
      </c>
      <c r="Q3087" t="s">
        <v>1939</v>
      </c>
      <c r="R3087" t="s">
        <v>7956</v>
      </c>
      <c r="T3087">
        <v>18</v>
      </c>
      <c r="U3087" t="s">
        <v>491</v>
      </c>
      <c r="X3087">
        <v>0</v>
      </c>
    </row>
    <row r="3088" spans="1:24" x14ac:dyDescent="0.25">
      <c r="A3088" s="234">
        <v>43369</v>
      </c>
      <c r="B3088" t="s">
        <v>5360</v>
      </c>
      <c r="C3088" t="s">
        <v>899</v>
      </c>
      <c r="D3088" t="s">
        <v>624</v>
      </c>
      <c r="E3088" t="s">
        <v>12741</v>
      </c>
      <c r="F3088" t="s">
        <v>12742</v>
      </c>
      <c r="G3088" t="s">
        <v>10705</v>
      </c>
      <c r="H3088" t="s">
        <v>607</v>
      </c>
      <c r="I3088" t="s">
        <v>4078</v>
      </c>
      <c r="J3088" t="s">
        <v>899</v>
      </c>
      <c r="L3088">
        <v>3</v>
      </c>
      <c r="M3088" s="134">
        <v>1850160</v>
      </c>
      <c r="N3088" s="134">
        <v>3515304</v>
      </c>
      <c r="O3088" t="s">
        <v>560</v>
      </c>
      <c r="P3088" t="s">
        <v>12892</v>
      </c>
      <c r="Q3088" t="s">
        <v>1939</v>
      </c>
      <c r="R3088" t="s">
        <v>13396</v>
      </c>
      <c r="U3088" t="s">
        <v>12893</v>
      </c>
      <c r="X3088">
        <v>0</v>
      </c>
    </row>
    <row r="3089" spans="1:24" x14ac:dyDescent="0.25">
      <c r="A3089" s="234">
        <v>42431</v>
      </c>
      <c r="B3089" t="s">
        <v>378</v>
      </c>
      <c r="C3089" t="s">
        <v>623</v>
      </c>
      <c r="D3089" t="s">
        <v>625</v>
      </c>
      <c r="E3089" t="s">
        <v>588</v>
      </c>
      <c r="F3089" t="s">
        <v>1211</v>
      </c>
      <c r="H3089" t="s">
        <v>607</v>
      </c>
      <c r="I3089" t="s">
        <v>1212</v>
      </c>
      <c r="M3089" s="134">
        <v>1851000</v>
      </c>
      <c r="N3089" s="134">
        <v>3794550</v>
      </c>
      <c r="O3089" t="s">
        <v>1059</v>
      </c>
      <c r="P3089" t="s">
        <v>1213</v>
      </c>
      <c r="Q3089" t="s">
        <v>592</v>
      </c>
      <c r="R3089" t="s">
        <v>1216</v>
      </c>
      <c r="S3089" t="s">
        <v>1304</v>
      </c>
      <c r="U3089" t="s">
        <v>491</v>
      </c>
      <c r="X3089">
        <v>0</v>
      </c>
    </row>
    <row r="3090" spans="1:24" x14ac:dyDescent="0.25">
      <c r="A3090" s="234">
        <v>42587</v>
      </c>
      <c r="B3090" t="s">
        <v>328</v>
      </c>
      <c r="C3090" t="s">
        <v>603</v>
      </c>
      <c r="D3090" t="s">
        <v>1471</v>
      </c>
      <c r="E3090" t="s">
        <v>588</v>
      </c>
      <c r="F3090" t="s">
        <v>3264</v>
      </c>
      <c r="H3090" t="s">
        <v>607</v>
      </c>
      <c r="I3090" t="s">
        <v>789</v>
      </c>
      <c r="J3090" t="s">
        <v>899</v>
      </c>
      <c r="L3090">
        <v>2</v>
      </c>
      <c r="M3090" s="134">
        <v>1852000</v>
      </c>
      <c r="N3090" s="134">
        <v>3796600</v>
      </c>
      <c r="O3090" t="s">
        <v>891</v>
      </c>
      <c r="P3090" t="s">
        <v>3265</v>
      </c>
      <c r="Q3090" t="s">
        <v>592</v>
      </c>
      <c r="U3090" t="s">
        <v>491</v>
      </c>
      <c r="X3090">
        <v>0</v>
      </c>
    </row>
    <row r="3091" spans="1:24" x14ac:dyDescent="0.25">
      <c r="A3091" s="234">
        <v>43158</v>
      </c>
      <c r="B3091" t="s">
        <v>328</v>
      </c>
      <c r="C3091" t="s">
        <v>603</v>
      </c>
      <c r="D3091" t="s">
        <v>2397</v>
      </c>
      <c r="E3091" t="s">
        <v>588</v>
      </c>
      <c r="F3091" t="s">
        <v>10428</v>
      </c>
      <c r="G3091" t="s">
        <v>10429</v>
      </c>
      <c r="H3091" t="s">
        <v>10832</v>
      </c>
      <c r="J3091" t="s">
        <v>603</v>
      </c>
      <c r="L3091">
        <v>10</v>
      </c>
      <c r="M3091" s="134">
        <v>1855250</v>
      </c>
      <c r="N3091" s="134">
        <v>905000</v>
      </c>
      <c r="O3091" t="s">
        <v>7124</v>
      </c>
      <c r="P3091" t="s">
        <v>10448</v>
      </c>
      <c r="Q3091" t="s">
        <v>1939</v>
      </c>
      <c r="R3091" t="s">
        <v>10449</v>
      </c>
      <c r="U3091" t="s">
        <v>1327</v>
      </c>
      <c r="X3091">
        <v>0</v>
      </c>
    </row>
    <row r="3092" spans="1:24" x14ac:dyDescent="0.25">
      <c r="A3092" s="234">
        <v>42908</v>
      </c>
      <c r="B3092" t="s">
        <v>5360</v>
      </c>
      <c r="D3092" t="s">
        <v>732</v>
      </c>
      <c r="E3092" t="s">
        <v>588</v>
      </c>
      <c r="F3092" t="s">
        <v>7345</v>
      </c>
      <c r="H3092" t="s">
        <v>607</v>
      </c>
      <c r="I3092" t="s">
        <v>3649</v>
      </c>
      <c r="J3092" t="s">
        <v>899</v>
      </c>
      <c r="L3092">
        <v>4</v>
      </c>
      <c r="M3092" s="134">
        <v>1856000</v>
      </c>
      <c r="N3092" s="134">
        <v>3433600</v>
      </c>
      <c r="O3092" t="s">
        <v>560</v>
      </c>
      <c r="P3092" t="s">
        <v>7342</v>
      </c>
      <c r="Q3092" t="s">
        <v>1939</v>
      </c>
      <c r="R3092" t="s">
        <v>7343</v>
      </c>
      <c r="U3092" t="s">
        <v>491</v>
      </c>
      <c r="X3092">
        <v>0</v>
      </c>
    </row>
    <row r="3093" spans="1:24" x14ac:dyDescent="0.25">
      <c r="A3093" s="234">
        <v>43125</v>
      </c>
      <c r="B3093" t="s">
        <v>569</v>
      </c>
      <c r="C3093" t="s">
        <v>899</v>
      </c>
      <c r="D3093" t="s">
        <v>930</v>
      </c>
      <c r="E3093" t="s">
        <v>588</v>
      </c>
      <c r="F3093" t="s">
        <v>10104</v>
      </c>
      <c r="G3093" t="s">
        <v>9465</v>
      </c>
      <c r="H3093" t="s">
        <v>607</v>
      </c>
      <c r="I3093" t="s">
        <v>10105</v>
      </c>
      <c r="J3093" t="s">
        <v>899</v>
      </c>
      <c r="M3093" s="134">
        <v>1857000</v>
      </c>
      <c r="N3093" s="134">
        <v>3200000</v>
      </c>
      <c r="O3093" t="s">
        <v>560</v>
      </c>
      <c r="P3093" t="s">
        <v>10185</v>
      </c>
      <c r="Q3093" t="s">
        <v>592</v>
      </c>
      <c r="R3093" t="s">
        <v>10118</v>
      </c>
      <c r="U3093" t="s">
        <v>1327</v>
      </c>
      <c r="X3093">
        <v>0</v>
      </c>
    </row>
    <row r="3094" spans="1:24" x14ac:dyDescent="0.25">
      <c r="A3094" s="234">
        <v>42878</v>
      </c>
      <c r="B3094" t="s">
        <v>328</v>
      </c>
      <c r="C3094" t="s">
        <v>603</v>
      </c>
      <c r="D3094" t="s">
        <v>2397</v>
      </c>
      <c r="E3094" t="s">
        <v>588</v>
      </c>
      <c r="F3094" t="s">
        <v>6870</v>
      </c>
      <c r="H3094" t="s">
        <v>607</v>
      </c>
      <c r="I3094" t="s">
        <v>4759</v>
      </c>
      <c r="J3094" t="s">
        <v>899</v>
      </c>
      <c r="L3094">
        <v>2</v>
      </c>
      <c r="M3094" s="134">
        <v>1859000</v>
      </c>
      <c r="N3094" s="134">
        <v>3903800</v>
      </c>
      <c r="O3094" t="s">
        <v>1171</v>
      </c>
      <c r="P3094" t="s">
        <v>6871</v>
      </c>
      <c r="Q3094" t="s">
        <v>1939</v>
      </c>
      <c r="R3094" t="s">
        <v>6872</v>
      </c>
      <c r="U3094" t="s">
        <v>1327</v>
      </c>
      <c r="X3094">
        <v>0</v>
      </c>
    </row>
    <row r="3095" spans="1:24" x14ac:dyDescent="0.25">
      <c r="A3095" s="234">
        <v>43606</v>
      </c>
      <c r="B3095" t="s">
        <v>328</v>
      </c>
      <c r="C3095" t="s">
        <v>603</v>
      </c>
      <c r="D3095" t="s">
        <v>1401</v>
      </c>
      <c r="F3095" t="s">
        <v>11614</v>
      </c>
      <c r="G3095" t="s">
        <v>11205</v>
      </c>
      <c r="H3095" t="s">
        <v>10831</v>
      </c>
      <c r="I3095" t="s">
        <v>15678</v>
      </c>
      <c r="J3095" t="s">
        <v>3398</v>
      </c>
      <c r="K3095" t="s">
        <v>15679</v>
      </c>
      <c r="L3095">
        <v>10</v>
      </c>
      <c r="M3095" s="134">
        <v>1863000</v>
      </c>
      <c r="N3095" s="134">
        <v>3340800</v>
      </c>
      <c r="O3095" t="s">
        <v>560</v>
      </c>
      <c r="P3095" t="s">
        <v>15681</v>
      </c>
      <c r="Q3095" t="s">
        <v>29</v>
      </c>
      <c r="R3095" t="s">
        <v>15715</v>
      </c>
      <c r="S3095" t="s">
        <v>15680</v>
      </c>
      <c r="U3095" t="s">
        <v>491</v>
      </c>
      <c r="X3095">
        <v>1</v>
      </c>
    </row>
    <row r="3096" spans="1:24" x14ac:dyDescent="0.25">
      <c r="A3096" s="234">
        <v>42453</v>
      </c>
      <c r="B3096" t="s">
        <v>378</v>
      </c>
      <c r="C3096" t="s">
        <v>623</v>
      </c>
      <c r="D3096" t="s">
        <v>800</v>
      </c>
      <c r="E3096" t="s">
        <v>588</v>
      </c>
      <c r="F3096" t="s">
        <v>1390</v>
      </c>
      <c r="H3096" t="s">
        <v>1391</v>
      </c>
      <c r="I3096" t="s">
        <v>1395</v>
      </c>
      <c r="M3096" s="134">
        <v>1865124</v>
      </c>
      <c r="N3096" s="134">
        <v>2777964</v>
      </c>
      <c r="O3096" t="s">
        <v>1393</v>
      </c>
      <c r="P3096" t="s">
        <v>1392</v>
      </c>
      <c r="Q3096" t="s">
        <v>29</v>
      </c>
      <c r="R3096" t="s">
        <v>1394</v>
      </c>
      <c r="U3096" t="s">
        <v>491</v>
      </c>
      <c r="X3096">
        <v>1</v>
      </c>
    </row>
    <row r="3097" spans="1:24" x14ac:dyDescent="0.25">
      <c r="A3097" s="234">
        <v>42732</v>
      </c>
      <c r="B3097" t="s">
        <v>378</v>
      </c>
      <c r="C3097" t="s">
        <v>899</v>
      </c>
      <c r="D3097" t="s">
        <v>611</v>
      </c>
      <c r="E3097" t="s">
        <v>588</v>
      </c>
      <c r="F3097" t="s">
        <v>5131</v>
      </c>
      <c r="H3097" t="s">
        <v>1057</v>
      </c>
      <c r="I3097" t="s">
        <v>5132</v>
      </c>
      <c r="J3097" t="s">
        <v>899</v>
      </c>
      <c r="L3097">
        <v>3</v>
      </c>
      <c r="M3097" s="134">
        <v>1866614</v>
      </c>
      <c r="N3097" s="134">
        <v>0</v>
      </c>
      <c r="O3097" t="s">
        <v>5133</v>
      </c>
      <c r="P3097" t="s">
        <v>5134</v>
      </c>
      <c r="Q3097" t="s">
        <v>592</v>
      </c>
      <c r="R3097" t="s">
        <v>5135</v>
      </c>
      <c r="U3097" t="s">
        <v>1327</v>
      </c>
      <c r="X3097">
        <v>0</v>
      </c>
    </row>
    <row r="3098" spans="1:24" x14ac:dyDescent="0.25">
      <c r="A3098" s="234">
        <v>43209</v>
      </c>
      <c r="B3098" t="s">
        <v>5473</v>
      </c>
      <c r="C3098" t="s">
        <v>608</v>
      </c>
      <c r="D3098" t="s">
        <v>1495</v>
      </c>
      <c r="E3098" t="s">
        <v>588</v>
      </c>
      <c r="F3098" t="s">
        <v>9299</v>
      </c>
      <c r="G3098" t="s">
        <v>10983</v>
      </c>
      <c r="H3098" t="s">
        <v>886</v>
      </c>
      <c r="I3098" t="s">
        <v>1363</v>
      </c>
      <c r="J3098" t="s">
        <v>608</v>
      </c>
      <c r="M3098" s="134">
        <v>1869900</v>
      </c>
      <c r="N3098" s="134">
        <v>1869900</v>
      </c>
      <c r="O3098" t="s">
        <v>49</v>
      </c>
      <c r="P3098" t="s">
        <v>10984</v>
      </c>
      <c r="Q3098" t="s">
        <v>1939</v>
      </c>
      <c r="R3098" t="s">
        <v>10985</v>
      </c>
      <c r="U3098" t="s">
        <v>491</v>
      </c>
      <c r="X3098">
        <v>0</v>
      </c>
    </row>
    <row r="3099" spans="1:24" x14ac:dyDescent="0.25">
      <c r="A3099" s="234">
        <v>43476</v>
      </c>
      <c r="B3099" t="s">
        <v>569</v>
      </c>
      <c r="C3099" t="s">
        <v>899</v>
      </c>
      <c r="D3099" t="s">
        <v>1070</v>
      </c>
      <c r="F3099" t="s">
        <v>13966</v>
      </c>
      <c r="H3099" t="s">
        <v>10831</v>
      </c>
      <c r="I3099" t="s">
        <v>8970</v>
      </c>
      <c r="J3099" t="s">
        <v>899</v>
      </c>
      <c r="K3099" t="s">
        <v>13967</v>
      </c>
      <c r="M3099" s="134">
        <v>1875000</v>
      </c>
      <c r="N3099" s="134">
        <v>2045000</v>
      </c>
      <c r="O3099" t="s">
        <v>10765</v>
      </c>
      <c r="P3099" t="s">
        <v>13968</v>
      </c>
      <c r="Q3099" t="s">
        <v>29</v>
      </c>
      <c r="R3099" t="s">
        <v>13965</v>
      </c>
      <c r="U3099" t="s">
        <v>12797</v>
      </c>
      <c r="X3099">
        <v>1</v>
      </c>
    </row>
    <row r="3100" spans="1:24" x14ac:dyDescent="0.25">
      <c r="A3100" s="234">
        <v>43334</v>
      </c>
      <c r="B3100" t="s">
        <v>328</v>
      </c>
      <c r="C3100" t="s">
        <v>603</v>
      </c>
      <c r="D3100" t="s">
        <v>672</v>
      </c>
      <c r="E3100" t="s">
        <v>588</v>
      </c>
      <c r="F3100" t="s">
        <v>9671</v>
      </c>
      <c r="G3100" t="s">
        <v>8044</v>
      </c>
      <c r="H3100" t="s">
        <v>607</v>
      </c>
      <c r="I3100" t="s">
        <v>12262</v>
      </c>
      <c r="J3100" t="s">
        <v>3373</v>
      </c>
      <c r="M3100" s="134">
        <v>1880400</v>
      </c>
      <c r="N3100" s="134">
        <v>3383720</v>
      </c>
      <c r="O3100" t="s">
        <v>10765</v>
      </c>
      <c r="P3100" t="s">
        <v>12267</v>
      </c>
      <c r="Q3100" t="s">
        <v>29</v>
      </c>
      <c r="R3100" t="s">
        <v>12264</v>
      </c>
      <c r="S3100" t="s">
        <v>12263</v>
      </c>
      <c r="U3100" t="s">
        <v>491</v>
      </c>
      <c r="X3100">
        <v>1</v>
      </c>
    </row>
    <row r="3101" spans="1:24" x14ac:dyDescent="0.25">
      <c r="A3101" s="234">
        <v>43075</v>
      </c>
      <c r="B3101" t="s">
        <v>328</v>
      </c>
      <c r="C3101" t="s">
        <v>603</v>
      </c>
      <c r="D3101" t="s">
        <v>672</v>
      </c>
      <c r="E3101" t="s">
        <v>588</v>
      </c>
      <c r="F3101" t="s">
        <v>9671</v>
      </c>
      <c r="G3101" t="s">
        <v>8044</v>
      </c>
      <c r="H3101" t="s">
        <v>607</v>
      </c>
      <c r="I3101" t="s">
        <v>9672</v>
      </c>
      <c r="J3101" t="s">
        <v>3373</v>
      </c>
      <c r="L3101">
        <v>9</v>
      </c>
      <c r="M3101" s="134">
        <v>1880400</v>
      </c>
      <c r="N3101" s="134">
        <v>3383720</v>
      </c>
      <c r="O3101" t="s">
        <v>560</v>
      </c>
      <c r="P3101" t="s">
        <v>9673</v>
      </c>
      <c r="Q3101" t="s">
        <v>1939</v>
      </c>
      <c r="R3101" t="s">
        <v>9674</v>
      </c>
      <c r="U3101" t="s">
        <v>1327</v>
      </c>
      <c r="X3101">
        <v>0</v>
      </c>
    </row>
    <row r="3102" spans="1:24" x14ac:dyDescent="0.25">
      <c r="A3102" s="234">
        <v>43237</v>
      </c>
      <c r="B3102" t="s">
        <v>643</v>
      </c>
      <c r="C3102" t="s">
        <v>644</v>
      </c>
      <c r="D3102" t="s">
        <v>645</v>
      </c>
      <c r="E3102" t="s">
        <v>588</v>
      </c>
      <c r="F3102" t="s">
        <v>5636</v>
      </c>
      <c r="G3102" t="s">
        <v>11323</v>
      </c>
      <c r="H3102" t="s">
        <v>607</v>
      </c>
      <c r="I3102" t="s">
        <v>4078</v>
      </c>
      <c r="J3102" t="s">
        <v>899</v>
      </c>
      <c r="L3102">
        <v>3</v>
      </c>
      <c r="M3102" s="134">
        <v>1885000</v>
      </c>
      <c r="N3102" s="134">
        <v>3581000</v>
      </c>
      <c r="O3102" t="s">
        <v>10766</v>
      </c>
      <c r="P3102" t="s">
        <v>11408</v>
      </c>
      <c r="Q3102" t="s">
        <v>592</v>
      </c>
      <c r="R3102" t="s">
        <v>11322</v>
      </c>
      <c r="U3102" t="s">
        <v>1327</v>
      </c>
      <c r="X3102">
        <v>0</v>
      </c>
    </row>
    <row r="3103" spans="1:24" x14ac:dyDescent="0.25">
      <c r="A3103" s="234">
        <v>42387</v>
      </c>
      <c r="B3103" t="s">
        <v>328</v>
      </c>
      <c r="C3103" t="s">
        <v>603</v>
      </c>
      <c r="D3103" t="s">
        <v>587</v>
      </c>
      <c r="E3103" t="s">
        <v>588</v>
      </c>
      <c r="F3103" t="s">
        <v>766</v>
      </c>
      <c r="H3103" t="s">
        <v>607</v>
      </c>
      <c r="I3103" t="s">
        <v>767</v>
      </c>
      <c r="M3103" s="134">
        <v>1888000</v>
      </c>
      <c r="N3103" s="134">
        <v>3900000</v>
      </c>
      <c r="O3103" t="s">
        <v>768</v>
      </c>
      <c r="P3103" t="s">
        <v>769</v>
      </c>
      <c r="Q3103" t="s">
        <v>592</v>
      </c>
      <c r="R3103" t="s">
        <v>771</v>
      </c>
      <c r="U3103" t="s">
        <v>491</v>
      </c>
      <c r="X3103">
        <v>0</v>
      </c>
    </row>
    <row r="3104" spans="1:24" x14ac:dyDescent="0.25">
      <c r="A3104" s="234">
        <v>43476</v>
      </c>
      <c r="B3104" t="s">
        <v>569</v>
      </c>
      <c r="C3104" t="s">
        <v>899</v>
      </c>
      <c r="D3104" t="s">
        <v>625</v>
      </c>
      <c r="F3104" t="s">
        <v>13978</v>
      </c>
      <c r="G3104" t="s">
        <v>13979</v>
      </c>
      <c r="H3104" t="s">
        <v>607</v>
      </c>
      <c r="I3104" t="s">
        <v>3837</v>
      </c>
      <c r="J3104" t="s">
        <v>899</v>
      </c>
      <c r="K3104" t="s">
        <v>13383</v>
      </c>
      <c r="M3104" s="134">
        <v>1890000</v>
      </c>
      <c r="N3104" s="134">
        <v>2937000</v>
      </c>
      <c r="O3104" t="s">
        <v>7564</v>
      </c>
      <c r="P3104" t="s">
        <v>13980</v>
      </c>
      <c r="Q3104" t="s">
        <v>29</v>
      </c>
      <c r="R3104" t="s">
        <v>13989</v>
      </c>
      <c r="U3104" t="s">
        <v>12797</v>
      </c>
      <c r="X3104">
        <v>1</v>
      </c>
    </row>
    <row r="3105" spans="1:24" x14ac:dyDescent="0.25">
      <c r="A3105" s="234">
        <v>43098</v>
      </c>
      <c r="B3105" t="s">
        <v>328</v>
      </c>
      <c r="C3105" t="s">
        <v>603</v>
      </c>
      <c r="D3105" t="s">
        <v>649</v>
      </c>
      <c r="E3105" t="s">
        <v>588</v>
      </c>
      <c r="F3105" t="s">
        <v>9894</v>
      </c>
      <c r="G3105" t="s">
        <v>465</v>
      </c>
      <c r="H3105" t="s">
        <v>1391</v>
      </c>
      <c r="I3105" t="s">
        <v>3649</v>
      </c>
      <c r="J3105" t="s">
        <v>899</v>
      </c>
      <c r="L3105">
        <v>4</v>
      </c>
      <c r="M3105" s="134">
        <v>1891000</v>
      </c>
      <c r="N3105" s="134">
        <v>3592900</v>
      </c>
      <c r="O3105" t="s">
        <v>35</v>
      </c>
      <c r="P3105" t="s">
        <v>9895</v>
      </c>
      <c r="Q3105" t="s">
        <v>29</v>
      </c>
      <c r="R3105" t="s">
        <v>9926</v>
      </c>
      <c r="U3105" t="s">
        <v>491</v>
      </c>
      <c r="X3105">
        <v>1</v>
      </c>
    </row>
    <row r="3106" spans="1:24" x14ac:dyDescent="0.25">
      <c r="A3106" s="234">
        <v>42674</v>
      </c>
      <c r="B3106" t="s">
        <v>378</v>
      </c>
      <c r="C3106" t="s">
        <v>899</v>
      </c>
      <c r="D3106" t="s">
        <v>624</v>
      </c>
      <c r="E3106" t="s">
        <v>588</v>
      </c>
      <c r="F3106" t="s">
        <v>4591</v>
      </c>
      <c r="H3106" t="s">
        <v>607</v>
      </c>
      <c r="I3106" t="s">
        <v>2054</v>
      </c>
      <c r="J3106" t="s">
        <v>899</v>
      </c>
      <c r="L3106">
        <v>2</v>
      </c>
      <c r="M3106" s="134">
        <v>1891080</v>
      </c>
      <c r="N3106" s="134">
        <v>3000000</v>
      </c>
      <c r="O3106" t="s">
        <v>560</v>
      </c>
      <c r="P3106" t="s">
        <v>4594</v>
      </c>
      <c r="Q3106" t="s">
        <v>592</v>
      </c>
      <c r="R3106" t="s">
        <v>4595</v>
      </c>
      <c r="U3106" t="s">
        <v>1327</v>
      </c>
      <c r="X3106">
        <v>0</v>
      </c>
    </row>
    <row r="3107" spans="1:24" x14ac:dyDescent="0.25">
      <c r="A3107" s="234">
        <v>43279</v>
      </c>
      <c r="B3107" t="s">
        <v>569</v>
      </c>
      <c r="C3107" t="s">
        <v>899</v>
      </c>
      <c r="D3107" t="s">
        <v>3505</v>
      </c>
      <c r="E3107" t="s">
        <v>588</v>
      </c>
      <c r="F3107" t="s">
        <v>11662</v>
      </c>
      <c r="G3107" t="s">
        <v>11661</v>
      </c>
      <c r="H3107" t="s">
        <v>607</v>
      </c>
      <c r="I3107" t="s">
        <v>10301</v>
      </c>
      <c r="J3107" t="s">
        <v>899</v>
      </c>
      <c r="L3107">
        <v>2</v>
      </c>
      <c r="M3107" s="134">
        <v>1894568</v>
      </c>
      <c r="N3107" s="134">
        <v>3894568</v>
      </c>
      <c r="O3107" t="s">
        <v>560</v>
      </c>
      <c r="P3107" t="s">
        <v>11660</v>
      </c>
      <c r="Q3107" t="s">
        <v>592</v>
      </c>
      <c r="R3107" t="s">
        <v>11659</v>
      </c>
      <c r="U3107" t="s">
        <v>1327</v>
      </c>
      <c r="X3107">
        <v>0</v>
      </c>
    </row>
    <row r="3108" spans="1:24" x14ac:dyDescent="0.25">
      <c r="A3108" s="234">
        <v>42902</v>
      </c>
      <c r="B3108" t="s">
        <v>569</v>
      </c>
      <c r="D3108" t="s">
        <v>611</v>
      </c>
      <c r="E3108" t="s">
        <v>588</v>
      </c>
      <c r="H3108" t="s">
        <v>607</v>
      </c>
      <c r="I3108" t="s">
        <v>6099</v>
      </c>
      <c r="J3108" t="s">
        <v>899</v>
      </c>
      <c r="L3108">
        <v>2</v>
      </c>
      <c r="M3108" s="134">
        <v>1894568</v>
      </c>
      <c r="N3108" s="134">
        <v>3894568</v>
      </c>
      <c r="O3108" t="s">
        <v>560</v>
      </c>
      <c r="P3108" t="s">
        <v>7213</v>
      </c>
      <c r="Q3108" t="s">
        <v>592</v>
      </c>
      <c r="U3108" t="s">
        <v>491</v>
      </c>
      <c r="X3108">
        <v>0</v>
      </c>
    </row>
    <row r="3109" spans="1:24" x14ac:dyDescent="0.25">
      <c r="A3109" s="234">
        <v>43447</v>
      </c>
      <c r="B3109" t="s">
        <v>5360</v>
      </c>
      <c r="C3109" t="s">
        <v>899</v>
      </c>
      <c r="D3109" t="s">
        <v>732</v>
      </c>
      <c r="F3109" t="s">
        <v>12821</v>
      </c>
      <c r="G3109" t="s">
        <v>13843</v>
      </c>
      <c r="H3109" t="s">
        <v>809</v>
      </c>
      <c r="I3109" t="s">
        <v>3929</v>
      </c>
      <c r="J3109" t="s">
        <v>899</v>
      </c>
      <c r="K3109" t="s">
        <v>13629</v>
      </c>
      <c r="L3109">
        <v>1</v>
      </c>
      <c r="M3109" s="134">
        <v>1895000</v>
      </c>
      <c r="N3109" s="134">
        <v>1895000</v>
      </c>
      <c r="O3109" t="s">
        <v>2295</v>
      </c>
      <c r="P3109" t="s">
        <v>13756</v>
      </c>
      <c r="Q3109" t="s">
        <v>1612</v>
      </c>
      <c r="R3109" t="s">
        <v>13844</v>
      </c>
      <c r="U3109" t="s">
        <v>12797</v>
      </c>
      <c r="X3109">
        <v>0</v>
      </c>
    </row>
    <row r="3110" spans="1:24" x14ac:dyDescent="0.25">
      <c r="A3110" s="234">
        <v>43230</v>
      </c>
      <c r="B3110" t="s">
        <v>9240</v>
      </c>
      <c r="C3110" t="s">
        <v>603</v>
      </c>
      <c r="D3110" t="s">
        <v>9241</v>
      </c>
      <c r="E3110" t="s">
        <v>588</v>
      </c>
      <c r="F3110" t="s">
        <v>11233</v>
      </c>
      <c r="G3110" t="s">
        <v>11232</v>
      </c>
      <c r="H3110" t="s">
        <v>607</v>
      </c>
      <c r="J3110" t="s">
        <v>603</v>
      </c>
      <c r="L3110">
        <v>3</v>
      </c>
      <c r="M3110" s="134">
        <v>1899500</v>
      </c>
      <c r="N3110" s="134">
        <v>3799000</v>
      </c>
      <c r="O3110" t="s">
        <v>10766</v>
      </c>
      <c r="P3110" t="s">
        <v>11231</v>
      </c>
      <c r="Q3110" t="s">
        <v>29</v>
      </c>
      <c r="R3110" t="s">
        <v>11230</v>
      </c>
      <c r="U3110" t="s">
        <v>1327</v>
      </c>
      <c r="X3110">
        <v>1</v>
      </c>
    </row>
    <row r="3111" spans="1:24" x14ac:dyDescent="0.25">
      <c r="A3111" s="234">
        <v>42639</v>
      </c>
      <c r="B3111" t="s">
        <v>1486</v>
      </c>
      <c r="C3111" t="s">
        <v>899</v>
      </c>
      <c r="D3111" t="s">
        <v>625</v>
      </c>
      <c r="E3111" t="s">
        <v>588</v>
      </c>
      <c r="F3111" t="s">
        <v>4068</v>
      </c>
      <c r="H3111" t="s">
        <v>4069</v>
      </c>
      <c r="I3111" t="s">
        <v>4070</v>
      </c>
      <c r="J3111" t="s">
        <v>899</v>
      </c>
      <c r="M3111" s="134">
        <v>1900000</v>
      </c>
      <c r="N3111" s="134">
        <v>0</v>
      </c>
      <c r="O3111" t="s">
        <v>4071</v>
      </c>
      <c r="P3111" t="s">
        <v>4072</v>
      </c>
      <c r="Q3111" t="s">
        <v>29</v>
      </c>
      <c r="R3111" t="s">
        <v>4073</v>
      </c>
      <c r="S3111" t="s">
        <v>4090</v>
      </c>
      <c r="U3111" t="s">
        <v>1327</v>
      </c>
      <c r="X3111">
        <v>1</v>
      </c>
    </row>
    <row r="3112" spans="1:24" x14ac:dyDescent="0.25">
      <c r="A3112" s="234">
        <v>43130</v>
      </c>
      <c r="B3112" t="s">
        <v>328</v>
      </c>
      <c r="C3112" t="s">
        <v>603</v>
      </c>
      <c r="D3112" t="s">
        <v>649</v>
      </c>
      <c r="E3112" t="s">
        <v>588</v>
      </c>
      <c r="F3112" t="s">
        <v>10161</v>
      </c>
      <c r="G3112" t="s">
        <v>7855</v>
      </c>
      <c r="H3112" t="s">
        <v>809</v>
      </c>
      <c r="J3112" t="s">
        <v>3373</v>
      </c>
      <c r="L3112">
        <v>10</v>
      </c>
      <c r="M3112" s="134">
        <v>1900000</v>
      </c>
      <c r="N3112" s="134">
        <v>2100000</v>
      </c>
      <c r="O3112" t="s">
        <v>560</v>
      </c>
      <c r="P3112" t="s">
        <v>10213</v>
      </c>
      <c r="Q3112" t="s">
        <v>592</v>
      </c>
      <c r="R3112" t="s">
        <v>10188</v>
      </c>
      <c r="U3112" t="s">
        <v>1327</v>
      </c>
      <c r="X3112">
        <v>0</v>
      </c>
    </row>
    <row r="3113" spans="1:24" x14ac:dyDescent="0.25">
      <c r="A3113" s="234">
        <v>43473</v>
      </c>
      <c r="B3113" t="s">
        <v>643</v>
      </c>
      <c r="C3113" t="s">
        <v>644</v>
      </c>
      <c r="D3113" t="s">
        <v>625</v>
      </c>
      <c r="F3113" t="s">
        <v>13725</v>
      </c>
      <c r="G3113" t="s">
        <v>13857</v>
      </c>
      <c r="H3113" t="s">
        <v>2510</v>
      </c>
      <c r="I3113" t="s">
        <v>4399</v>
      </c>
      <c r="J3113" t="s">
        <v>644</v>
      </c>
      <c r="K3113" t="s">
        <v>13858</v>
      </c>
      <c r="L3113">
        <v>2</v>
      </c>
      <c r="M3113" s="134">
        <v>1900000</v>
      </c>
      <c r="N3113" s="134">
        <v>2300000</v>
      </c>
      <c r="O3113" t="s">
        <v>560</v>
      </c>
      <c r="P3113" t="s">
        <v>13859</v>
      </c>
      <c r="Q3113" t="s">
        <v>592</v>
      </c>
      <c r="R3113" t="s">
        <v>13860</v>
      </c>
      <c r="U3113" t="s">
        <v>491</v>
      </c>
      <c r="X3113">
        <v>0</v>
      </c>
    </row>
    <row r="3114" spans="1:24" x14ac:dyDescent="0.25">
      <c r="A3114" s="234">
        <v>42914</v>
      </c>
      <c r="B3114" t="s">
        <v>328</v>
      </c>
      <c r="C3114" t="s">
        <v>603</v>
      </c>
      <c r="D3114" t="s">
        <v>672</v>
      </c>
      <c r="E3114" t="s">
        <v>588</v>
      </c>
      <c r="F3114" t="s">
        <v>7195</v>
      </c>
      <c r="H3114" t="s">
        <v>5991</v>
      </c>
      <c r="I3114" t="s">
        <v>7196</v>
      </c>
      <c r="J3114" t="s">
        <v>899</v>
      </c>
      <c r="L3114">
        <v>1</v>
      </c>
      <c r="M3114" s="134">
        <v>1900000</v>
      </c>
      <c r="N3114" s="134">
        <v>2390000</v>
      </c>
      <c r="O3114" t="s">
        <v>560</v>
      </c>
      <c r="P3114" t="s">
        <v>7408</v>
      </c>
      <c r="Q3114" t="s">
        <v>1612</v>
      </c>
      <c r="R3114" t="s">
        <v>7468</v>
      </c>
      <c r="U3114" t="s">
        <v>491</v>
      </c>
      <c r="X3114">
        <v>0</v>
      </c>
    </row>
    <row r="3115" spans="1:24" x14ac:dyDescent="0.25">
      <c r="A3115" s="234">
        <v>42747</v>
      </c>
      <c r="B3115" t="s">
        <v>569</v>
      </c>
      <c r="D3115" t="s">
        <v>625</v>
      </c>
      <c r="E3115" t="s">
        <v>692</v>
      </c>
      <c r="F3115" t="s">
        <v>5290</v>
      </c>
      <c r="H3115" t="s">
        <v>905</v>
      </c>
      <c r="I3115" t="s">
        <v>3536</v>
      </c>
      <c r="J3115" t="s">
        <v>899</v>
      </c>
      <c r="M3115" s="134">
        <v>1900000</v>
      </c>
      <c r="N3115" s="134">
        <v>2490000</v>
      </c>
      <c r="O3115" t="s">
        <v>5291</v>
      </c>
      <c r="P3115" t="s">
        <v>5292</v>
      </c>
      <c r="Q3115" t="s">
        <v>1612</v>
      </c>
      <c r="R3115" t="s">
        <v>9484</v>
      </c>
      <c r="U3115" t="s">
        <v>491</v>
      </c>
      <c r="X3115">
        <v>0</v>
      </c>
    </row>
    <row r="3116" spans="1:24" x14ac:dyDescent="0.25">
      <c r="A3116" s="234">
        <v>43321</v>
      </c>
      <c r="B3116" t="s">
        <v>569</v>
      </c>
      <c r="C3116" t="s">
        <v>899</v>
      </c>
      <c r="D3116" t="s">
        <v>11286</v>
      </c>
      <c r="E3116" t="s">
        <v>588</v>
      </c>
      <c r="F3116" t="s">
        <v>12134</v>
      </c>
      <c r="G3116" t="s">
        <v>12133</v>
      </c>
      <c r="H3116" t="s">
        <v>607</v>
      </c>
      <c r="I3116" t="s">
        <v>5340</v>
      </c>
      <c r="J3116" t="s">
        <v>899</v>
      </c>
      <c r="L3116">
        <v>1</v>
      </c>
      <c r="M3116" s="134">
        <v>1900000</v>
      </c>
      <c r="N3116" s="134">
        <v>3270000</v>
      </c>
      <c r="O3116" t="s">
        <v>560</v>
      </c>
      <c r="P3116" t="s">
        <v>12132</v>
      </c>
      <c r="Q3116" t="s">
        <v>592</v>
      </c>
      <c r="R3116" t="s">
        <v>12131</v>
      </c>
      <c r="U3116" t="s">
        <v>1327</v>
      </c>
      <c r="X3116">
        <v>0</v>
      </c>
    </row>
    <row r="3117" spans="1:24" x14ac:dyDescent="0.25">
      <c r="A3117" s="234">
        <v>42842</v>
      </c>
      <c r="B3117" t="s">
        <v>328</v>
      </c>
      <c r="C3117" t="s">
        <v>603</v>
      </c>
      <c r="D3117" t="s">
        <v>5701</v>
      </c>
      <c r="E3117" t="s">
        <v>588</v>
      </c>
      <c r="F3117" t="s">
        <v>6450</v>
      </c>
      <c r="H3117" t="s">
        <v>607</v>
      </c>
      <c r="I3117" t="s">
        <v>2054</v>
      </c>
      <c r="J3117" t="s">
        <v>899</v>
      </c>
      <c r="L3117">
        <v>2</v>
      </c>
      <c r="M3117" s="134">
        <v>1900000</v>
      </c>
      <c r="N3117" s="134">
        <v>3300000</v>
      </c>
      <c r="O3117" t="s">
        <v>560</v>
      </c>
      <c r="P3117" t="s">
        <v>6451</v>
      </c>
      <c r="Q3117" t="s">
        <v>1612</v>
      </c>
      <c r="R3117" t="s">
        <v>7972</v>
      </c>
      <c r="S3117" t="s">
        <v>8165</v>
      </c>
      <c r="U3117" t="s">
        <v>491</v>
      </c>
      <c r="X3117">
        <v>0</v>
      </c>
    </row>
    <row r="3118" spans="1:24" x14ac:dyDescent="0.25">
      <c r="A3118" s="234">
        <v>42818</v>
      </c>
      <c r="B3118" t="s">
        <v>5360</v>
      </c>
      <c r="D3118" t="s">
        <v>732</v>
      </c>
      <c r="E3118" t="s">
        <v>588</v>
      </c>
      <c r="F3118" t="s">
        <v>6112</v>
      </c>
      <c r="H3118" t="s">
        <v>607</v>
      </c>
      <c r="I3118" t="s">
        <v>4689</v>
      </c>
      <c r="J3118" t="s">
        <v>899</v>
      </c>
      <c r="L3118">
        <v>1</v>
      </c>
      <c r="M3118" s="134">
        <v>1900000</v>
      </c>
      <c r="N3118" s="134">
        <v>3401000</v>
      </c>
      <c r="O3118" t="s">
        <v>560</v>
      </c>
      <c r="P3118" t="s">
        <v>6113</v>
      </c>
      <c r="Q3118" t="s">
        <v>1939</v>
      </c>
      <c r="R3118" t="s">
        <v>6114</v>
      </c>
      <c r="S3118" t="s">
        <v>6148</v>
      </c>
      <c r="U3118" t="s">
        <v>491</v>
      </c>
      <c r="X3118">
        <v>0</v>
      </c>
    </row>
    <row r="3119" spans="1:24" x14ac:dyDescent="0.25">
      <c r="A3119" s="234">
        <v>42933</v>
      </c>
      <c r="B3119" t="s">
        <v>569</v>
      </c>
      <c r="D3119" t="s">
        <v>625</v>
      </c>
      <c r="E3119" t="s">
        <v>588</v>
      </c>
      <c r="F3119" t="s">
        <v>7620</v>
      </c>
      <c r="H3119" t="s">
        <v>4261</v>
      </c>
      <c r="I3119" t="s">
        <v>3388</v>
      </c>
      <c r="J3119" t="s">
        <v>899</v>
      </c>
      <c r="L3119">
        <v>1</v>
      </c>
      <c r="M3119" s="134">
        <v>1900000</v>
      </c>
      <c r="N3119" s="134">
        <v>3458000</v>
      </c>
      <c r="O3119" t="s">
        <v>560</v>
      </c>
      <c r="P3119" t="s">
        <v>7621</v>
      </c>
      <c r="Q3119" t="s">
        <v>1939</v>
      </c>
      <c r="R3119" t="s">
        <v>7622</v>
      </c>
      <c r="U3119" t="s">
        <v>491</v>
      </c>
      <c r="X3119">
        <v>0</v>
      </c>
    </row>
    <row r="3120" spans="1:24" x14ac:dyDescent="0.25">
      <c r="A3120" s="234">
        <v>42431</v>
      </c>
      <c r="B3120" t="s">
        <v>328</v>
      </c>
      <c r="C3120" t="s">
        <v>603</v>
      </c>
      <c r="D3120" t="s">
        <v>672</v>
      </c>
      <c r="E3120" t="s">
        <v>588</v>
      </c>
      <c r="F3120" t="s">
        <v>1207</v>
      </c>
      <c r="H3120" t="s">
        <v>607</v>
      </c>
      <c r="I3120" t="s">
        <v>1208</v>
      </c>
      <c r="M3120" s="134">
        <v>1900000</v>
      </c>
      <c r="N3120" s="134">
        <v>3800000</v>
      </c>
      <c r="O3120" t="s">
        <v>1209</v>
      </c>
      <c r="P3120" t="s">
        <v>1210</v>
      </c>
      <c r="Q3120" t="s">
        <v>592</v>
      </c>
      <c r="R3120" t="s">
        <v>1215</v>
      </c>
      <c r="U3120" t="s">
        <v>491</v>
      </c>
      <c r="X3120">
        <v>0</v>
      </c>
    </row>
    <row r="3121" spans="1:24" x14ac:dyDescent="0.25">
      <c r="A3121" s="234">
        <v>42465</v>
      </c>
      <c r="B3121" t="s">
        <v>378</v>
      </c>
      <c r="C3121" t="s">
        <v>610</v>
      </c>
      <c r="D3121" t="s">
        <v>732</v>
      </c>
      <c r="E3121" t="s">
        <v>588</v>
      </c>
      <c r="F3121" t="s">
        <v>1526</v>
      </c>
      <c r="H3121" t="s">
        <v>607</v>
      </c>
      <c r="I3121" t="s">
        <v>1528</v>
      </c>
      <c r="M3121" s="134">
        <v>1900000</v>
      </c>
      <c r="N3121" s="134">
        <v>4167000</v>
      </c>
      <c r="O3121" t="s">
        <v>891</v>
      </c>
      <c r="P3121" t="s">
        <v>15986</v>
      </c>
      <c r="Q3121" t="s">
        <v>592</v>
      </c>
      <c r="R3121" t="s">
        <v>1534</v>
      </c>
      <c r="U3121" t="s">
        <v>491</v>
      </c>
      <c r="X3121">
        <v>0</v>
      </c>
    </row>
    <row r="3122" spans="1:24" x14ac:dyDescent="0.25">
      <c r="A3122" s="234">
        <v>42900</v>
      </c>
      <c r="B3122" t="s">
        <v>328</v>
      </c>
      <c r="C3122" t="s">
        <v>603</v>
      </c>
      <c r="D3122" t="s">
        <v>672</v>
      </c>
      <c r="E3122" t="s">
        <v>588</v>
      </c>
      <c r="F3122" t="s">
        <v>7195</v>
      </c>
      <c r="H3122" t="s">
        <v>905</v>
      </c>
      <c r="I3122" t="s">
        <v>7196</v>
      </c>
      <c r="J3122" t="s">
        <v>899</v>
      </c>
      <c r="L3122">
        <v>3</v>
      </c>
      <c r="M3122" s="134">
        <v>1900000</v>
      </c>
      <c r="N3122" s="134">
        <v>0</v>
      </c>
      <c r="O3122" t="s">
        <v>560</v>
      </c>
      <c r="P3122" t="s">
        <v>7197</v>
      </c>
      <c r="Q3122" t="s">
        <v>1612</v>
      </c>
      <c r="R3122" t="s">
        <v>7382</v>
      </c>
      <c r="U3122" t="s">
        <v>491</v>
      </c>
      <c r="X3122">
        <v>0</v>
      </c>
    </row>
    <row r="3123" spans="1:24" x14ac:dyDescent="0.25">
      <c r="A3123" s="234">
        <v>42537</v>
      </c>
      <c r="B3123" t="s">
        <v>328</v>
      </c>
      <c r="C3123" t="s">
        <v>603</v>
      </c>
      <c r="D3123" t="s">
        <v>1471</v>
      </c>
      <c r="E3123" t="s">
        <v>588</v>
      </c>
      <c r="F3123" t="s">
        <v>2529</v>
      </c>
      <c r="H3123" t="s">
        <v>722</v>
      </c>
      <c r="I3123" t="s">
        <v>2531</v>
      </c>
      <c r="M3123" s="134">
        <v>1902000</v>
      </c>
      <c r="N3123" s="134">
        <v>3233400</v>
      </c>
      <c r="O3123" t="s">
        <v>891</v>
      </c>
      <c r="P3123" t="s">
        <v>2530</v>
      </c>
      <c r="Q3123" t="s">
        <v>1939</v>
      </c>
      <c r="R3123" t="s">
        <v>2532</v>
      </c>
      <c r="U3123" t="s">
        <v>491</v>
      </c>
      <c r="X3123">
        <v>0</v>
      </c>
    </row>
    <row r="3124" spans="1:24" x14ac:dyDescent="0.25">
      <c r="A3124" s="234">
        <v>43621</v>
      </c>
      <c r="B3124" t="s">
        <v>328</v>
      </c>
      <c r="C3124" t="s">
        <v>603</v>
      </c>
      <c r="D3124" t="s">
        <v>649</v>
      </c>
      <c r="F3124" t="s">
        <v>10006</v>
      </c>
      <c r="G3124" t="s">
        <v>15929</v>
      </c>
      <c r="H3124" t="s">
        <v>607</v>
      </c>
      <c r="I3124" t="s">
        <v>15930</v>
      </c>
      <c r="J3124" t="s">
        <v>5309</v>
      </c>
      <c r="K3124" t="s">
        <v>15931</v>
      </c>
      <c r="L3124">
        <v>2</v>
      </c>
      <c r="M3124" s="134">
        <v>1904000</v>
      </c>
      <c r="N3124" s="134">
        <v>3500000</v>
      </c>
      <c r="O3124" t="s">
        <v>7564</v>
      </c>
      <c r="P3124" t="s">
        <v>15932</v>
      </c>
      <c r="Q3124" t="s">
        <v>29</v>
      </c>
      <c r="R3124" t="s">
        <v>15933</v>
      </c>
      <c r="S3124" t="s">
        <v>15934</v>
      </c>
      <c r="U3124" t="s">
        <v>491</v>
      </c>
      <c r="X3124">
        <v>1</v>
      </c>
    </row>
    <row r="3125" spans="1:24" x14ac:dyDescent="0.25">
      <c r="A3125" s="234">
        <v>42962</v>
      </c>
      <c r="B3125" t="s">
        <v>328</v>
      </c>
      <c r="C3125" t="s">
        <v>603</v>
      </c>
      <c r="D3125" t="s">
        <v>649</v>
      </c>
      <c r="E3125" t="s">
        <v>588</v>
      </c>
      <c r="F3125" t="s">
        <v>8158</v>
      </c>
      <c r="G3125" t="s">
        <v>8158</v>
      </c>
      <c r="H3125" t="s">
        <v>607</v>
      </c>
      <c r="I3125" t="s">
        <v>8159</v>
      </c>
      <c r="J3125" t="s">
        <v>3373</v>
      </c>
      <c r="L3125">
        <v>7</v>
      </c>
      <c r="M3125" s="134">
        <v>1905700</v>
      </c>
      <c r="N3125" s="134">
        <v>3906685</v>
      </c>
      <c r="O3125" t="s">
        <v>8160</v>
      </c>
      <c r="P3125" t="s">
        <v>8161</v>
      </c>
      <c r="Q3125" t="s">
        <v>620</v>
      </c>
      <c r="R3125" t="s">
        <v>8270</v>
      </c>
      <c r="U3125" t="s">
        <v>2227</v>
      </c>
      <c r="X3125">
        <v>0</v>
      </c>
    </row>
    <row r="3126" spans="1:24" x14ac:dyDescent="0.25">
      <c r="A3126" s="234">
        <v>42947</v>
      </c>
      <c r="B3126" t="s">
        <v>569</v>
      </c>
      <c r="D3126" t="s">
        <v>625</v>
      </c>
      <c r="E3126" t="s">
        <v>588</v>
      </c>
      <c r="F3126" t="s">
        <v>7888</v>
      </c>
      <c r="H3126" t="s">
        <v>905</v>
      </c>
      <c r="I3126" t="s">
        <v>3649</v>
      </c>
      <c r="J3126" t="s">
        <v>899</v>
      </c>
      <c r="M3126" s="134">
        <v>1907000</v>
      </c>
      <c r="N3126" s="134">
        <v>1530000</v>
      </c>
      <c r="O3126" t="s">
        <v>7889</v>
      </c>
      <c r="P3126" t="s">
        <v>7890</v>
      </c>
      <c r="Q3126" t="s">
        <v>1939</v>
      </c>
      <c r="R3126" t="s">
        <v>7891</v>
      </c>
      <c r="T3126">
        <v>12</v>
      </c>
      <c r="U3126" t="s">
        <v>491</v>
      </c>
      <c r="X3126">
        <v>0</v>
      </c>
    </row>
    <row r="3127" spans="1:24" x14ac:dyDescent="0.25">
      <c r="A3127" s="234">
        <v>42705</v>
      </c>
      <c r="B3127" t="s">
        <v>378</v>
      </c>
      <c r="C3127" t="s">
        <v>623</v>
      </c>
      <c r="D3127" t="s">
        <v>611</v>
      </c>
      <c r="E3127" t="s">
        <v>588</v>
      </c>
      <c r="F3127" t="s">
        <v>4875</v>
      </c>
      <c r="H3127" t="s">
        <v>809</v>
      </c>
      <c r="I3127" t="s">
        <v>3388</v>
      </c>
      <c r="J3127" t="s">
        <v>899</v>
      </c>
      <c r="L3127">
        <v>2</v>
      </c>
      <c r="M3127" s="134">
        <v>1910174</v>
      </c>
      <c r="N3127" s="134">
        <v>2090174</v>
      </c>
      <c r="O3127" t="s">
        <v>35</v>
      </c>
      <c r="P3127" t="s">
        <v>4876</v>
      </c>
      <c r="Q3127" t="s">
        <v>1612</v>
      </c>
      <c r="R3127" t="s">
        <v>4877</v>
      </c>
      <c r="S3127" t="s">
        <v>5121</v>
      </c>
      <c r="U3127" t="s">
        <v>5122</v>
      </c>
      <c r="X3127">
        <v>0</v>
      </c>
    </row>
    <row r="3128" spans="1:24" x14ac:dyDescent="0.25">
      <c r="A3128" s="234">
        <v>43580</v>
      </c>
      <c r="B3128" t="s">
        <v>328</v>
      </c>
      <c r="C3128" t="s">
        <v>603</v>
      </c>
      <c r="D3128" t="s">
        <v>10705</v>
      </c>
      <c r="F3128" t="s">
        <v>15221</v>
      </c>
      <c r="G3128" t="s">
        <v>7714</v>
      </c>
      <c r="H3128" t="s">
        <v>607</v>
      </c>
      <c r="I3128" t="s">
        <v>7990</v>
      </c>
      <c r="J3128" t="s">
        <v>8194</v>
      </c>
      <c r="K3128" t="s">
        <v>15222</v>
      </c>
      <c r="L3128">
        <v>9</v>
      </c>
      <c r="M3128" s="134">
        <v>1914000</v>
      </c>
      <c r="N3128" s="134">
        <v>3923700</v>
      </c>
      <c r="O3128" t="s">
        <v>560</v>
      </c>
      <c r="P3128" t="s">
        <v>15223</v>
      </c>
      <c r="Q3128" t="s">
        <v>29</v>
      </c>
      <c r="R3128" t="s">
        <v>15225</v>
      </c>
      <c r="S3128" t="s">
        <v>15224</v>
      </c>
      <c r="U3128" t="s">
        <v>491</v>
      </c>
      <c r="X3128">
        <v>1</v>
      </c>
    </row>
    <row r="3129" spans="1:24" x14ac:dyDescent="0.25">
      <c r="A3129" s="234">
        <v>43249</v>
      </c>
      <c r="B3129" t="s">
        <v>328</v>
      </c>
      <c r="C3129" t="s">
        <v>603</v>
      </c>
      <c r="D3129" t="s">
        <v>7595</v>
      </c>
      <c r="E3129" t="s">
        <v>588</v>
      </c>
      <c r="F3129" t="s">
        <v>10780</v>
      </c>
      <c r="G3129" t="s">
        <v>9461</v>
      </c>
      <c r="H3129" t="s">
        <v>607</v>
      </c>
      <c r="J3129" t="s">
        <v>899</v>
      </c>
      <c r="L3129">
        <v>2</v>
      </c>
      <c r="M3129" s="134">
        <v>1916000</v>
      </c>
      <c r="N3129" s="134">
        <v>3065600</v>
      </c>
      <c r="O3129" t="s">
        <v>560</v>
      </c>
      <c r="P3129" t="s">
        <v>11344</v>
      </c>
      <c r="Q3129" t="s">
        <v>592</v>
      </c>
      <c r="R3129" t="s">
        <v>11345</v>
      </c>
      <c r="U3129" t="s">
        <v>1327</v>
      </c>
      <c r="X3129">
        <v>0</v>
      </c>
    </row>
    <row r="3130" spans="1:24" x14ac:dyDescent="0.25">
      <c r="A3130" s="234">
        <v>43238</v>
      </c>
      <c r="B3130" t="s">
        <v>328</v>
      </c>
      <c r="C3130" t="s">
        <v>603</v>
      </c>
      <c r="D3130" t="s">
        <v>649</v>
      </c>
      <c r="E3130" t="s">
        <v>588</v>
      </c>
      <c r="F3130" t="s">
        <v>11324</v>
      </c>
      <c r="G3130" t="s">
        <v>11325</v>
      </c>
      <c r="H3130" t="s">
        <v>10831</v>
      </c>
      <c r="I3130" t="s">
        <v>11326</v>
      </c>
      <c r="J3130" t="s">
        <v>899</v>
      </c>
      <c r="L3130">
        <v>4</v>
      </c>
      <c r="M3130" s="134">
        <v>1916000</v>
      </c>
      <c r="N3130" s="134">
        <v>3257000</v>
      </c>
      <c r="O3130" t="s">
        <v>560</v>
      </c>
      <c r="P3130" t="s">
        <v>11327</v>
      </c>
      <c r="Q3130" t="s">
        <v>1939</v>
      </c>
      <c r="R3130" t="s">
        <v>10497</v>
      </c>
      <c r="U3130" t="s">
        <v>1327</v>
      </c>
      <c r="X3130">
        <v>0</v>
      </c>
    </row>
    <row r="3131" spans="1:24" x14ac:dyDescent="0.25">
      <c r="A3131" s="234">
        <v>43082</v>
      </c>
      <c r="B3131" t="s">
        <v>328</v>
      </c>
      <c r="C3131" t="s">
        <v>603</v>
      </c>
      <c r="D3131" t="s">
        <v>672</v>
      </c>
      <c r="E3131" t="s">
        <v>588</v>
      </c>
      <c r="F3131" t="s">
        <v>9767</v>
      </c>
      <c r="G3131" t="s">
        <v>9768</v>
      </c>
      <c r="H3131" t="s">
        <v>1391</v>
      </c>
      <c r="I3131" t="s">
        <v>9769</v>
      </c>
      <c r="J3131" t="s">
        <v>899</v>
      </c>
      <c r="L3131">
        <v>9</v>
      </c>
      <c r="M3131" s="134">
        <v>1917300</v>
      </c>
      <c r="N3131" s="134">
        <v>2992490</v>
      </c>
      <c r="O3131" t="s">
        <v>9189</v>
      </c>
      <c r="P3131" t="s">
        <v>9770</v>
      </c>
      <c r="Q3131" t="s">
        <v>592</v>
      </c>
      <c r="R3131" t="s">
        <v>9516</v>
      </c>
      <c r="U3131" t="s">
        <v>1327</v>
      </c>
      <c r="X3131">
        <v>0</v>
      </c>
    </row>
    <row r="3132" spans="1:24" x14ac:dyDescent="0.25">
      <c r="A3132" s="234">
        <v>42990</v>
      </c>
      <c r="B3132" t="s">
        <v>569</v>
      </c>
      <c r="C3132" t="s">
        <v>899</v>
      </c>
      <c r="D3132" t="s">
        <v>611</v>
      </c>
      <c r="E3132" t="s">
        <v>588</v>
      </c>
      <c r="F3132" t="s">
        <v>8507</v>
      </c>
      <c r="G3132" t="s">
        <v>8508</v>
      </c>
      <c r="H3132" t="s">
        <v>607</v>
      </c>
      <c r="I3132" t="s">
        <v>2054</v>
      </c>
      <c r="J3132" t="s">
        <v>899</v>
      </c>
      <c r="L3132">
        <v>2</v>
      </c>
      <c r="M3132" s="134">
        <v>1922000</v>
      </c>
      <c r="N3132" s="134">
        <v>3000000</v>
      </c>
      <c r="O3132" t="s">
        <v>560</v>
      </c>
      <c r="P3132" t="s">
        <v>8509</v>
      </c>
      <c r="Q3132" t="s">
        <v>1939</v>
      </c>
      <c r="R3132" t="s">
        <v>8510</v>
      </c>
      <c r="T3132">
        <v>24</v>
      </c>
      <c r="U3132" t="s">
        <v>491</v>
      </c>
      <c r="X3132">
        <v>0</v>
      </c>
    </row>
    <row r="3133" spans="1:24" x14ac:dyDescent="0.25">
      <c r="A3133" s="234">
        <v>43552</v>
      </c>
      <c r="B3133" t="s">
        <v>13559</v>
      </c>
      <c r="C3133" t="s">
        <v>3373</v>
      </c>
      <c r="D3133" t="s">
        <v>13560</v>
      </c>
      <c r="F3133" t="s">
        <v>14723</v>
      </c>
      <c r="H3133" t="s">
        <v>1615</v>
      </c>
      <c r="I3133" t="s">
        <v>14724</v>
      </c>
      <c r="J3133" t="s">
        <v>3373</v>
      </c>
      <c r="K3133" t="s">
        <v>14725</v>
      </c>
      <c r="M3133" s="134">
        <v>1925000</v>
      </c>
      <c r="N3133" s="134">
        <v>0</v>
      </c>
      <c r="O3133" t="s">
        <v>4533</v>
      </c>
      <c r="P3133" t="s">
        <v>14726</v>
      </c>
      <c r="Q3133" t="s">
        <v>29</v>
      </c>
      <c r="R3133" t="s">
        <v>14727</v>
      </c>
      <c r="S3133" t="s">
        <v>14898</v>
      </c>
      <c r="U3133" t="s">
        <v>491</v>
      </c>
      <c r="X3133">
        <v>1</v>
      </c>
    </row>
    <row r="3134" spans="1:24" x14ac:dyDescent="0.25">
      <c r="A3134" s="234">
        <v>43538</v>
      </c>
      <c r="B3134" t="s">
        <v>328</v>
      </c>
      <c r="C3134" t="s">
        <v>603</v>
      </c>
      <c r="D3134" t="s">
        <v>757</v>
      </c>
      <c r="F3134" t="s">
        <v>14723</v>
      </c>
      <c r="H3134" t="s">
        <v>905</v>
      </c>
      <c r="I3134" t="s">
        <v>14724</v>
      </c>
      <c r="J3134" t="s">
        <v>3373</v>
      </c>
      <c r="K3134" t="s">
        <v>14725</v>
      </c>
      <c r="L3134">
        <v>3</v>
      </c>
      <c r="M3134" s="134">
        <v>1925000</v>
      </c>
      <c r="N3134" s="134">
        <v>3530700</v>
      </c>
      <c r="O3134" t="s">
        <v>10763</v>
      </c>
      <c r="P3134" t="s">
        <v>14726</v>
      </c>
      <c r="Q3134" t="s">
        <v>29</v>
      </c>
      <c r="R3134" t="s">
        <v>14727</v>
      </c>
      <c r="U3134" t="s">
        <v>12797</v>
      </c>
      <c r="X3134">
        <v>1</v>
      </c>
    </row>
    <row r="3135" spans="1:24" x14ac:dyDescent="0.25">
      <c r="A3135" s="234">
        <v>42969</v>
      </c>
      <c r="B3135" t="s">
        <v>328</v>
      </c>
      <c r="C3135" t="s">
        <v>603</v>
      </c>
      <c r="D3135" t="s">
        <v>649</v>
      </c>
      <c r="E3135" t="s">
        <v>588</v>
      </c>
      <c r="F3135" t="s">
        <v>8263</v>
      </c>
      <c r="G3135" t="s">
        <v>8264</v>
      </c>
      <c r="H3135" t="s">
        <v>607</v>
      </c>
      <c r="I3135" t="s">
        <v>2054</v>
      </c>
      <c r="J3135" t="s">
        <v>899</v>
      </c>
      <c r="M3135" s="134">
        <v>1930000</v>
      </c>
      <c r="N3135" s="134">
        <v>3088000</v>
      </c>
      <c r="O3135" t="s">
        <v>560</v>
      </c>
      <c r="P3135" t="s">
        <v>8265</v>
      </c>
      <c r="Q3135" t="s">
        <v>1612</v>
      </c>
      <c r="R3135" t="s">
        <v>9436</v>
      </c>
      <c r="T3135">
        <v>21</v>
      </c>
      <c r="U3135" t="s">
        <v>491</v>
      </c>
      <c r="X3135">
        <v>0</v>
      </c>
    </row>
    <row r="3136" spans="1:24" x14ac:dyDescent="0.25">
      <c r="A3136" s="234">
        <v>42817</v>
      </c>
      <c r="B3136" t="s">
        <v>643</v>
      </c>
      <c r="C3136" t="s">
        <v>644</v>
      </c>
      <c r="D3136" t="s">
        <v>645</v>
      </c>
      <c r="E3136" t="s">
        <v>588</v>
      </c>
      <c r="F3136" t="s">
        <v>6070</v>
      </c>
      <c r="H3136" t="s">
        <v>905</v>
      </c>
      <c r="I3136" t="s">
        <v>6071</v>
      </c>
      <c r="J3136" t="s">
        <v>644</v>
      </c>
      <c r="M3136" s="134">
        <v>1933200</v>
      </c>
      <c r="N3136" s="134">
        <v>2240172</v>
      </c>
      <c r="O3136" t="s">
        <v>6072</v>
      </c>
      <c r="P3136" t="s">
        <v>6073</v>
      </c>
      <c r="Q3136" t="s">
        <v>1939</v>
      </c>
      <c r="R3136" t="s">
        <v>6074</v>
      </c>
      <c r="U3136" t="s">
        <v>491</v>
      </c>
      <c r="X3136">
        <v>0</v>
      </c>
    </row>
    <row r="3137" spans="1:24" x14ac:dyDescent="0.25">
      <c r="A3137" s="234">
        <v>42563</v>
      </c>
      <c r="B3137" t="s">
        <v>328</v>
      </c>
      <c r="C3137" t="s">
        <v>603</v>
      </c>
      <c r="D3137" t="s">
        <v>1471</v>
      </c>
      <c r="E3137" t="s">
        <v>588</v>
      </c>
      <c r="F3137" t="s">
        <v>2863</v>
      </c>
      <c r="H3137" t="s">
        <v>607</v>
      </c>
      <c r="I3137" t="s">
        <v>628</v>
      </c>
      <c r="M3137" s="134">
        <v>1935246</v>
      </c>
      <c r="N3137" s="134">
        <v>3296364</v>
      </c>
      <c r="O3137" t="s">
        <v>891</v>
      </c>
      <c r="P3137" t="s">
        <v>2864</v>
      </c>
      <c r="Q3137" t="s">
        <v>592</v>
      </c>
      <c r="U3137" t="s">
        <v>491</v>
      </c>
      <c r="X3137">
        <v>0</v>
      </c>
    </row>
    <row r="3138" spans="1:24" x14ac:dyDescent="0.25">
      <c r="A3138" s="234">
        <v>42957</v>
      </c>
      <c r="B3138" t="s">
        <v>328</v>
      </c>
      <c r="C3138" t="s">
        <v>603</v>
      </c>
      <c r="D3138" t="s">
        <v>2500</v>
      </c>
      <c r="E3138" t="s">
        <v>588</v>
      </c>
      <c r="F3138" t="s">
        <v>8103</v>
      </c>
      <c r="G3138" t="s">
        <v>8104</v>
      </c>
      <c r="H3138" t="s">
        <v>905</v>
      </c>
      <c r="I3138" t="s">
        <v>3929</v>
      </c>
      <c r="J3138" t="s">
        <v>899</v>
      </c>
      <c r="L3138">
        <v>1</v>
      </c>
      <c r="M3138" s="134">
        <v>1935900</v>
      </c>
      <c r="N3138" s="134">
        <v>2333080</v>
      </c>
      <c r="O3138" t="s">
        <v>560</v>
      </c>
      <c r="P3138" t="s">
        <v>8105</v>
      </c>
      <c r="Q3138" t="s">
        <v>1939</v>
      </c>
      <c r="R3138" t="s">
        <v>8106</v>
      </c>
      <c r="T3138">
        <v>21</v>
      </c>
      <c r="U3138" t="s">
        <v>491</v>
      </c>
      <c r="X3138">
        <v>0</v>
      </c>
    </row>
    <row r="3139" spans="1:24" x14ac:dyDescent="0.25">
      <c r="A3139" s="234">
        <v>42769</v>
      </c>
      <c r="B3139" t="s">
        <v>328</v>
      </c>
      <c r="C3139" t="s">
        <v>603</v>
      </c>
      <c r="D3139" t="s">
        <v>2397</v>
      </c>
      <c r="E3139" t="s">
        <v>588</v>
      </c>
      <c r="F3139" t="s">
        <v>5604</v>
      </c>
      <c r="H3139" t="s">
        <v>607</v>
      </c>
      <c r="I3139" t="s">
        <v>5605</v>
      </c>
      <c r="J3139" t="s">
        <v>603</v>
      </c>
      <c r="M3139" s="134">
        <v>1943000</v>
      </c>
      <c r="N3139" s="134">
        <v>3983150</v>
      </c>
      <c r="O3139" t="s">
        <v>560</v>
      </c>
      <c r="P3139" t="s">
        <v>5606</v>
      </c>
      <c r="Q3139" t="s">
        <v>1939</v>
      </c>
      <c r="R3139" t="s">
        <v>5607</v>
      </c>
      <c r="U3139" t="s">
        <v>491</v>
      </c>
      <c r="X3139">
        <v>0</v>
      </c>
    </row>
    <row r="3140" spans="1:24" x14ac:dyDescent="0.25">
      <c r="A3140" s="234">
        <v>42839</v>
      </c>
      <c r="B3140" t="s">
        <v>569</v>
      </c>
      <c r="D3140" t="s">
        <v>625</v>
      </c>
      <c r="E3140" t="s">
        <v>588</v>
      </c>
      <c r="F3140" t="s">
        <v>6446</v>
      </c>
      <c r="H3140" t="s">
        <v>607</v>
      </c>
      <c r="I3140" t="s">
        <v>3672</v>
      </c>
      <c r="J3140" t="s">
        <v>899</v>
      </c>
      <c r="L3140">
        <v>4</v>
      </c>
      <c r="M3140" s="134">
        <v>1948000</v>
      </c>
      <c r="N3140" s="134">
        <v>3600000</v>
      </c>
      <c r="O3140" t="s">
        <v>6447</v>
      </c>
      <c r="P3140" t="s">
        <v>6448</v>
      </c>
      <c r="Q3140" t="s">
        <v>1939</v>
      </c>
      <c r="R3140" t="s">
        <v>6449</v>
      </c>
      <c r="U3140" t="s">
        <v>491</v>
      </c>
      <c r="X3140">
        <v>0</v>
      </c>
    </row>
    <row r="3141" spans="1:24" x14ac:dyDescent="0.25">
      <c r="A3141" s="234">
        <v>43021</v>
      </c>
      <c r="B3141" t="s">
        <v>643</v>
      </c>
      <c r="C3141" t="s">
        <v>644</v>
      </c>
      <c r="D3141" t="s">
        <v>645</v>
      </c>
      <c r="E3141" t="s">
        <v>588</v>
      </c>
      <c r="F3141" t="s">
        <v>9006</v>
      </c>
      <c r="G3141" t="s">
        <v>9007</v>
      </c>
      <c r="H3141" t="s">
        <v>9008</v>
      </c>
      <c r="I3141" t="s">
        <v>9009</v>
      </c>
      <c r="J3141" t="s">
        <v>899</v>
      </c>
      <c r="L3141">
        <v>4</v>
      </c>
      <c r="M3141" s="134">
        <v>1950000</v>
      </c>
      <c r="N3141" s="134">
        <v>3430000</v>
      </c>
      <c r="O3141" t="s">
        <v>560</v>
      </c>
      <c r="P3141" t="s">
        <v>9010</v>
      </c>
      <c r="Q3141" t="s">
        <v>592</v>
      </c>
      <c r="R3141" t="s">
        <v>9011</v>
      </c>
      <c r="U3141" t="s">
        <v>1327</v>
      </c>
      <c r="X3141">
        <v>0</v>
      </c>
    </row>
    <row r="3142" spans="1:24" x14ac:dyDescent="0.25">
      <c r="A3142" s="234">
        <v>43432</v>
      </c>
      <c r="B3142" t="s">
        <v>5360</v>
      </c>
      <c r="C3142" t="s">
        <v>899</v>
      </c>
      <c r="D3142" t="s">
        <v>732</v>
      </c>
      <c r="F3142" t="s">
        <v>13326</v>
      </c>
      <c r="G3142" t="s">
        <v>13327</v>
      </c>
      <c r="H3142" t="s">
        <v>607</v>
      </c>
      <c r="I3142" t="s">
        <v>4078</v>
      </c>
      <c r="J3142" t="s">
        <v>899</v>
      </c>
      <c r="K3142" t="s">
        <v>13328</v>
      </c>
      <c r="L3142">
        <v>1</v>
      </c>
      <c r="M3142" s="134">
        <v>1950000</v>
      </c>
      <c r="N3142" s="134">
        <v>3510000</v>
      </c>
      <c r="O3142" t="s">
        <v>560</v>
      </c>
      <c r="P3142" t="s">
        <v>13329</v>
      </c>
      <c r="Q3142" t="s">
        <v>29</v>
      </c>
      <c r="R3142" t="s">
        <v>13330</v>
      </c>
      <c r="U3142" t="s">
        <v>491</v>
      </c>
      <c r="X3142">
        <v>1</v>
      </c>
    </row>
    <row r="3143" spans="1:24" x14ac:dyDescent="0.25">
      <c r="A3143" s="234">
        <v>42601</v>
      </c>
      <c r="B3143" t="s">
        <v>378</v>
      </c>
      <c r="C3143" t="s">
        <v>623</v>
      </c>
      <c r="D3143" t="s">
        <v>930</v>
      </c>
      <c r="E3143" t="s">
        <v>588</v>
      </c>
      <c r="F3143" t="s">
        <v>3509</v>
      </c>
      <c r="H3143" t="s">
        <v>607</v>
      </c>
      <c r="I3143" t="s">
        <v>3388</v>
      </c>
      <c r="J3143" t="s">
        <v>899</v>
      </c>
      <c r="L3143">
        <v>3</v>
      </c>
      <c r="M3143" s="134">
        <v>1950000</v>
      </c>
      <c r="N3143" s="134">
        <v>3510000</v>
      </c>
      <c r="O3143" t="s">
        <v>3510</v>
      </c>
      <c r="P3143" t="s">
        <v>3511</v>
      </c>
      <c r="Q3143" t="s">
        <v>1939</v>
      </c>
      <c r="R3143" t="s">
        <v>3512</v>
      </c>
      <c r="U3143" t="s">
        <v>491</v>
      </c>
      <c r="X3143">
        <v>0</v>
      </c>
    </row>
    <row r="3144" spans="1:24" x14ac:dyDescent="0.25">
      <c r="A3144" s="234">
        <v>43140</v>
      </c>
      <c r="B3144" t="s">
        <v>328</v>
      </c>
      <c r="C3144" t="s">
        <v>603</v>
      </c>
      <c r="D3144" t="s">
        <v>2204</v>
      </c>
      <c r="E3144" t="s">
        <v>588</v>
      </c>
      <c r="F3144" t="s">
        <v>8040</v>
      </c>
      <c r="G3144" t="s">
        <v>7814</v>
      </c>
      <c r="H3144" t="s">
        <v>607</v>
      </c>
      <c r="J3144" t="s">
        <v>899</v>
      </c>
      <c r="L3144">
        <v>4</v>
      </c>
      <c r="M3144" s="134">
        <v>1950000</v>
      </c>
      <c r="N3144" s="134">
        <v>3705000</v>
      </c>
      <c r="O3144" t="s">
        <v>560</v>
      </c>
      <c r="P3144" t="s">
        <v>10315</v>
      </c>
      <c r="Q3144" t="s">
        <v>592</v>
      </c>
      <c r="R3144" t="s">
        <v>10316</v>
      </c>
      <c r="U3144" t="s">
        <v>1327</v>
      </c>
      <c r="X3144">
        <v>0</v>
      </c>
    </row>
    <row r="3145" spans="1:24" x14ac:dyDescent="0.25">
      <c r="A3145" s="234">
        <v>42465</v>
      </c>
      <c r="B3145" t="s">
        <v>328</v>
      </c>
      <c r="C3145" t="s">
        <v>603</v>
      </c>
      <c r="D3145" t="s">
        <v>649</v>
      </c>
      <c r="E3145" t="s">
        <v>588</v>
      </c>
      <c r="F3145" t="s">
        <v>1551</v>
      </c>
      <c r="H3145" t="s">
        <v>722</v>
      </c>
      <c r="I3145" t="s">
        <v>1552</v>
      </c>
      <c r="M3145" s="134">
        <v>1954000</v>
      </c>
      <c r="N3145" s="134">
        <v>3321800</v>
      </c>
      <c r="O3145" t="s">
        <v>891</v>
      </c>
      <c r="P3145" t="s">
        <v>1554</v>
      </c>
      <c r="Q3145" t="s">
        <v>620</v>
      </c>
      <c r="R3145" t="s">
        <v>1553</v>
      </c>
      <c r="U3145" t="s">
        <v>491</v>
      </c>
      <c r="X3145">
        <v>0</v>
      </c>
    </row>
    <row r="3146" spans="1:24" x14ac:dyDescent="0.25">
      <c r="A3146" s="234">
        <v>42991</v>
      </c>
      <c r="B3146" t="s">
        <v>328</v>
      </c>
      <c r="C3146" t="s">
        <v>603</v>
      </c>
      <c r="D3146" t="s">
        <v>672</v>
      </c>
      <c r="E3146" t="s">
        <v>588</v>
      </c>
      <c r="F3146" t="s">
        <v>8256</v>
      </c>
      <c r="G3146" t="s">
        <v>8533</v>
      </c>
      <c r="H3146" t="s">
        <v>607</v>
      </c>
      <c r="I3146" t="s">
        <v>3388</v>
      </c>
      <c r="J3146" t="s">
        <v>899</v>
      </c>
      <c r="M3146" s="134">
        <v>1956830</v>
      </c>
      <c r="N3146" s="134">
        <v>3618196</v>
      </c>
      <c r="O3146" t="s">
        <v>695</v>
      </c>
      <c r="P3146" t="s">
        <v>8832</v>
      </c>
      <c r="Q3146" t="s">
        <v>29</v>
      </c>
      <c r="R3146" t="s">
        <v>8540</v>
      </c>
      <c r="S3146" t="s">
        <v>8539</v>
      </c>
      <c r="T3146">
        <v>40</v>
      </c>
      <c r="U3146" t="s">
        <v>491</v>
      </c>
      <c r="X3146">
        <v>1</v>
      </c>
    </row>
    <row r="3147" spans="1:24" x14ac:dyDescent="0.25">
      <c r="A3147" s="234">
        <v>42943</v>
      </c>
      <c r="B3147" t="s">
        <v>569</v>
      </c>
      <c r="D3147" t="s">
        <v>611</v>
      </c>
      <c r="E3147" t="s">
        <v>1707</v>
      </c>
      <c r="F3147" t="s">
        <v>7806</v>
      </c>
      <c r="G3147" t="s">
        <v>7803</v>
      </c>
      <c r="H3147" t="s">
        <v>607</v>
      </c>
      <c r="I3147" t="s">
        <v>7804</v>
      </c>
      <c r="J3147" t="s">
        <v>899</v>
      </c>
      <c r="M3147" s="134">
        <v>1959469</v>
      </c>
      <c r="N3147" s="134">
        <v>0</v>
      </c>
      <c r="O3147" t="s">
        <v>7805</v>
      </c>
      <c r="P3147" t="s">
        <v>7808</v>
      </c>
      <c r="Q3147" t="s">
        <v>1939</v>
      </c>
      <c r="R3147" t="s">
        <v>7807</v>
      </c>
      <c r="T3147">
        <v>27</v>
      </c>
      <c r="U3147" t="s">
        <v>491</v>
      </c>
      <c r="X3147">
        <v>0</v>
      </c>
    </row>
    <row r="3148" spans="1:24" x14ac:dyDescent="0.25">
      <c r="A3148" s="234">
        <v>43167</v>
      </c>
      <c r="B3148" t="s">
        <v>5360</v>
      </c>
      <c r="C3148" t="s">
        <v>899</v>
      </c>
      <c r="D3148" t="s">
        <v>732</v>
      </c>
      <c r="E3148" t="s">
        <v>588</v>
      </c>
      <c r="F3148" t="s">
        <v>10538</v>
      </c>
      <c r="G3148" t="s">
        <v>10539</v>
      </c>
      <c r="H3148" t="s">
        <v>886</v>
      </c>
      <c r="I3148" t="s">
        <v>10542</v>
      </c>
      <c r="J3148" t="s">
        <v>899</v>
      </c>
      <c r="M3148" s="134">
        <v>1960000</v>
      </c>
      <c r="N3148" s="134">
        <v>1960000</v>
      </c>
      <c r="O3148" t="s">
        <v>2295</v>
      </c>
      <c r="P3148" t="s">
        <v>10541</v>
      </c>
      <c r="Q3148" t="s">
        <v>1939</v>
      </c>
      <c r="R3148" t="s">
        <v>10540</v>
      </c>
      <c r="U3148" t="s">
        <v>1327</v>
      </c>
      <c r="X3148">
        <v>0</v>
      </c>
    </row>
    <row r="3149" spans="1:24" x14ac:dyDescent="0.25">
      <c r="A3149" s="234">
        <v>43406</v>
      </c>
      <c r="B3149" t="s">
        <v>569</v>
      </c>
      <c r="C3149" t="s">
        <v>899</v>
      </c>
      <c r="D3149" t="s">
        <v>11286</v>
      </c>
      <c r="F3149" t="s">
        <v>13126</v>
      </c>
      <c r="G3149" t="s">
        <v>13127</v>
      </c>
      <c r="H3149" t="s">
        <v>607</v>
      </c>
      <c r="I3149" t="s">
        <v>8881</v>
      </c>
      <c r="J3149" t="s">
        <v>899</v>
      </c>
      <c r="K3149" t="s">
        <v>13128</v>
      </c>
      <c r="L3149">
        <v>2</v>
      </c>
      <c r="M3149" s="134">
        <v>1968000</v>
      </c>
      <c r="N3149" s="134">
        <v>3200000</v>
      </c>
      <c r="O3149" t="s">
        <v>560</v>
      </c>
      <c r="P3149" t="s">
        <v>13129</v>
      </c>
      <c r="Q3149" t="s">
        <v>592</v>
      </c>
      <c r="U3149" t="s">
        <v>2500</v>
      </c>
      <c r="X3149">
        <v>0</v>
      </c>
    </row>
    <row r="3150" spans="1:24" x14ac:dyDescent="0.25">
      <c r="A3150" s="234">
        <v>42725</v>
      </c>
      <c r="B3150" t="s">
        <v>328</v>
      </c>
      <c r="C3150" t="s">
        <v>603</v>
      </c>
      <c r="D3150" t="s">
        <v>2397</v>
      </c>
      <c r="E3150" t="s">
        <v>588</v>
      </c>
      <c r="F3150" t="s">
        <v>5067</v>
      </c>
      <c r="H3150" t="s">
        <v>5063</v>
      </c>
      <c r="I3150" t="s">
        <v>4880</v>
      </c>
      <c r="J3150" t="s">
        <v>899</v>
      </c>
      <c r="L3150">
        <v>4</v>
      </c>
      <c r="M3150" s="134">
        <v>1972000</v>
      </c>
      <c r="N3150" s="134">
        <v>2569000</v>
      </c>
      <c r="O3150" t="s">
        <v>5068</v>
      </c>
      <c r="P3150" t="s">
        <v>5069</v>
      </c>
      <c r="Q3150" t="s">
        <v>620</v>
      </c>
      <c r="R3150" t="s">
        <v>5070</v>
      </c>
      <c r="U3150" t="s">
        <v>491</v>
      </c>
      <c r="X3150">
        <v>0</v>
      </c>
    </row>
    <row r="3151" spans="1:24" x14ac:dyDescent="0.25">
      <c r="A3151" s="234">
        <v>42709</v>
      </c>
      <c r="B3151" t="s">
        <v>643</v>
      </c>
      <c r="C3151" t="s">
        <v>644</v>
      </c>
      <c r="D3151" t="s">
        <v>645</v>
      </c>
      <c r="E3151" t="s">
        <v>588</v>
      </c>
      <c r="F3151" t="s">
        <v>4914</v>
      </c>
      <c r="H3151" t="s">
        <v>905</v>
      </c>
      <c r="I3151" t="s">
        <v>4915</v>
      </c>
      <c r="J3151" t="s">
        <v>899</v>
      </c>
      <c r="L3151">
        <v>2</v>
      </c>
      <c r="M3151" s="134">
        <v>1975000</v>
      </c>
      <c r="N3151" s="134">
        <v>2617500</v>
      </c>
      <c r="O3151" t="s">
        <v>560</v>
      </c>
      <c r="P3151" t="s">
        <v>4916</v>
      </c>
      <c r="Q3151" t="s">
        <v>592</v>
      </c>
      <c r="U3151" t="s">
        <v>491</v>
      </c>
      <c r="X3151">
        <v>0</v>
      </c>
    </row>
    <row r="3152" spans="1:24" x14ac:dyDescent="0.25">
      <c r="A3152" s="234">
        <v>42577</v>
      </c>
      <c r="B3152" t="s">
        <v>378</v>
      </c>
      <c r="C3152" t="s">
        <v>623</v>
      </c>
      <c r="D3152" t="s">
        <v>625</v>
      </c>
      <c r="E3152" t="s">
        <v>588</v>
      </c>
      <c r="F3152" t="s">
        <v>3050</v>
      </c>
      <c r="H3152" t="s">
        <v>607</v>
      </c>
      <c r="I3152" t="s">
        <v>789</v>
      </c>
      <c r="M3152" s="134">
        <v>1980000</v>
      </c>
      <c r="N3152" s="134">
        <v>3240200</v>
      </c>
      <c r="O3152" t="s">
        <v>891</v>
      </c>
      <c r="P3152" t="s">
        <v>3051</v>
      </c>
      <c r="Q3152" t="s">
        <v>1939</v>
      </c>
      <c r="R3152" t="s">
        <v>3052</v>
      </c>
      <c r="U3152" t="s">
        <v>491</v>
      </c>
      <c r="X3152">
        <v>0</v>
      </c>
    </row>
    <row r="3153" spans="1:24" x14ac:dyDescent="0.25">
      <c r="A3153" s="234">
        <v>43586</v>
      </c>
      <c r="B3153" t="s">
        <v>328</v>
      </c>
      <c r="C3153" t="s">
        <v>603</v>
      </c>
      <c r="D3153" t="s">
        <v>649</v>
      </c>
      <c r="F3153" t="s">
        <v>15305</v>
      </c>
      <c r="G3153" t="s">
        <v>4118</v>
      </c>
      <c r="H3153" t="s">
        <v>10831</v>
      </c>
      <c r="I3153" t="s">
        <v>4042</v>
      </c>
      <c r="J3153" t="s">
        <v>644</v>
      </c>
      <c r="K3153" t="s">
        <v>15306</v>
      </c>
      <c r="L3153">
        <v>10</v>
      </c>
      <c r="M3153" s="134">
        <v>1985000</v>
      </c>
      <c r="N3153" s="134">
        <v>3573000</v>
      </c>
      <c r="O3153" t="s">
        <v>7124</v>
      </c>
      <c r="P3153" t="s">
        <v>15308</v>
      </c>
      <c r="Q3153" t="s">
        <v>29</v>
      </c>
      <c r="R3153" t="s">
        <v>15307</v>
      </c>
      <c r="S3153" t="s">
        <v>15312</v>
      </c>
      <c r="U3153" t="s">
        <v>491</v>
      </c>
      <c r="X3153">
        <v>1</v>
      </c>
    </row>
    <row r="3154" spans="1:24" x14ac:dyDescent="0.25">
      <c r="A3154" s="234">
        <v>42528</v>
      </c>
      <c r="B3154" t="s">
        <v>378</v>
      </c>
      <c r="C3154" t="s">
        <v>623</v>
      </c>
      <c r="D3154" t="s">
        <v>930</v>
      </c>
      <c r="E3154" t="s">
        <v>588</v>
      </c>
      <c r="F3154" t="s">
        <v>2372</v>
      </c>
      <c r="H3154" t="s">
        <v>607</v>
      </c>
      <c r="I3154" t="s">
        <v>2373</v>
      </c>
      <c r="M3154" s="134">
        <v>1990000</v>
      </c>
      <c r="N3154" s="134">
        <v>3234000</v>
      </c>
      <c r="O3154" t="s">
        <v>891</v>
      </c>
      <c r="P3154" t="s">
        <v>2374</v>
      </c>
      <c r="Q3154" t="s">
        <v>592</v>
      </c>
      <c r="U3154" t="s">
        <v>491</v>
      </c>
      <c r="X3154">
        <v>0</v>
      </c>
    </row>
    <row r="3155" spans="1:24" x14ac:dyDescent="0.25">
      <c r="A3155" s="234">
        <v>42655</v>
      </c>
      <c r="B3155" t="s">
        <v>328</v>
      </c>
      <c r="C3155" t="s">
        <v>603</v>
      </c>
      <c r="D3155" t="s">
        <v>1471</v>
      </c>
      <c r="E3155" t="s">
        <v>588</v>
      </c>
      <c r="F3155" t="s">
        <v>4299</v>
      </c>
      <c r="H3155" t="s">
        <v>607</v>
      </c>
      <c r="I3155" t="s">
        <v>4300</v>
      </c>
      <c r="J3155" t="s">
        <v>3370</v>
      </c>
      <c r="L3155">
        <v>2</v>
      </c>
      <c r="M3155" s="134">
        <v>1991000</v>
      </c>
      <c r="N3155" s="134">
        <v>3782500</v>
      </c>
      <c r="O3155" t="s">
        <v>4104</v>
      </c>
      <c r="P3155" t="s">
        <v>4301</v>
      </c>
      <c r="Q3155" t="s">
        <v>592</v>
      </c>
      <c r="R3155" t="s">
        <v>4302</v>
      </c>
      <c r="U3155" t="s">
        <v>491</v>
      </c>
      <c r="X3155">
        <v>0</v>
      </c>
    </row>
    <row r="3156" spans="1:24" x14ac:dyDescent="0.25">
      <c r="A3156" s="234">
        <v>43269</v>
      </c>
      <c r="B3156" t="s">
        <v>569</v>
      </c>
      <c r="C3156" t="s">
        <v>899</v>
      </c>
      <c r="D3156" t="s">
        <v>625</v>
      </c>
      <c r="E3156" t="s">
        <v>588</v>
      </c>
      <c r="F3156" t="s">
        <v>11560</v>
      </c>
      <c r="G3156" t="s">
        <v>7855</v>
      </c>
      <c r="H3156" t="s">
        <v>607</v>
      </c>
      <c r="I3156" t="s">
        <v>3672</v>
      </c>
      <c r="J3156" t="s">
        <v>899</v>
      </c>
      <c r="M3156" s="134">
        <v>1996800</v>
      </c>
      <c r="N3156" s="134">
        <v>4194800</v>
      </c>
      <c r="O3156" t="s">
        <v>560</v>
      </c>
      <c r="P3156" t="s">
        <v>11696</v>
      </c>
      <c r="Q3156" t="s">
        <v>1939</v>
      </c>
      <c r="R3156" t="s">
        <v>11559</v>
      </c>
      <c r="U3156" t="s">
        <v>1327</v>
      </c>
      <c r="X3156">
        <v>0</v>
      </c>
    </row>
    <row r="3157" spans="1:24" x14ac:dyDescent="0.25">
      <c r="A3157" s="234">
        <v>42860</v>
      </c>
      <c r="B3157" t="s">
        <v>569</v>
      </c>
      <c r="D3157" t="s">
        <v>625</v>
      </c>
      <c r="E3157" t="s">
        <v>821</v>
      </c>
      <c r="H3157" t="s">
        <v>905</v>
      </c>
      <c r="I3157" t="s">
        <v>3649</v>
      </c>
      <c r="J3157" t="s">
        <v>899</v>
      </c>
      <c r="M3157" s="134">
        <v>2000000</v>
      </c>
      <c r="N3157" s="134">
        <v>0</v>
      </c>
      <c r="O3157" t="s">
        <v>6696</v>
      </c>
      <c r="P3157" t="s">
        <v>6703</v>
      </c>
      <c r="Q3157" t="s">
        <v>592</v>
      </c>
      <c r="R3157" t="s">
        <v>6697</v>
      </c>
      <c r="U3157" t="s">
        <v>491</v>
      </c>
      <c r="X3157">
        <v>0</v>
      </c>
    </row>
    <row r="3158" spans="1:24" x14ac:dyDescent="0.25">
      <c r="A3158" s="234">
        <v>42551</v>
      </c>
      <c r="B3158" t="s">
        <v>378</v>
      </c>
      <c r="C3158" t="s">
        <v>623</v>
      </c>
      <c r="D3158" t="s">
        <v>625</v>
      </c>
      <c r="E3158" t="s">
        <v>821</v>
      </c>
      <c r="I3158" t="s">
        <v>2745</v>
      </c>
      <c r="M3158" s="134">
        <v>2000000</v>
      </c>
      <c r="N3158" s="134">
        <v>0</v>
      </c>
      <c r="O3158" t="s">
        <v>2744</v>
      </c>
      <c r="P3158" t="s">
        <v>2746</v>
      </c>
      <c r="Q3158" t="s">
        <v>620</v>
      </c>
      <c r="R3158" t="s">
        <v>2747</v>
      </c>
      <c r="U3158" t="s">
        <v>491</v>
      </c>
      <c r="X3158">
        <v>0</v>
      </c>
    </row>
    <row r="3159" spans="1:24" x14ac:dyDescent="0.25">
      <c r="A3159" s="234">
        <v>42571</v>
      </c>
      <c r="B3159" t="s">
        <v>378</v>
      </c>
      <c r="C3159" t="s">
        <v>623</v>
      </c>
      <c r="D3159" t="s">
        <v>930</v>
      </c>
      <c r="E3159" t="s">
        <v>821</v>
      </c>
      <c r="H3159" t="s">
        <v>607</v>
      </c>
      <c r="M3159" s="134">
        <v>2000000</v>
      </c>
      <c r="N3159" s="134">
        <v>0</v>
      </c>
      <c r="O3159" t="s">
        <v>1171</v>
      </c>
      <c r="P3159" t="s">
        <v>2960</v>
      </c>
      <c r="Q3159" t="s">
        <v>29</v>
      </c>
      <c r="R3159" t="s">
        <v>2961</v>
      </c>
      <c r="U3159" t="s">
        <v>491</v>
      </c>
      <c r="X3159">
        <v>1</v>
      </c>
    </row>
    <row r="3160" spans="1:24" x14ac:dyDescent="0.25">
      <c r="A3160" s="234">
        <v>42639</v>
      </c>
      <c r="B3160" t="s">
        <v>328</v>
      </c>
      <c r="C3160" t="s">
        <v>899</v>
      </c>
      <c r="D3160" t="s">
        <v>2282</v>
      </c>
      <c r="E3160" t="s">
        <v>588</v>
      </c>
      <c r="F3160" t="s">
        <v>4091</v>
      </c>
      <c r="H3160" t="s">
        <v>1119</v>
      </c>
      <c r="I3160" t="s">
        <v>4016</v>
      </c>
      <c r="J3160" t="s">
        <v>3370</v>
      </c>
      <c r="L3160">
        <v>2</v>
      </c>
      <c r="M3160" s="134">
        <v>2000000</v>
      </c>
      <c r="N3160" s="134">
        <v>0</v>
      </c>
      <c r="O3160" t="s">
        <v>4079</v>
      </c>
      <c r="P3160" t="s">
        <v>4092</v>
      </c>
      <c r="Q3160" t="s">
        <v>592</v>
      </c>
      <c r="R3160" t="s">
        <v>4093</v>
      </c>
      <c r="U3160" t="s">
        <v>633</v>
      </c>
      <c r="V3160" t="s">
        <v>3985</v>
      </c>
      <c r="W3160" t="s">
        <v>4304</v>
      </c>
      <c r="X3160">
        <v>0</v>
      </c>
    </row>
    <row r="3161" spans="1:24" x14ac:dyDescent="0.25">
      <c r="A3161" s="234">
        <v>42545</v>
      </c>
      <c r="B3161" t="s">
        <v>328</v>
      </c>
      <c r="C3161" t="s">
        <v>603</v>
      </c>
      <c r="D3161" t="s">
        <v>1471</v>
      </c>
      <c r="E3161" t="s">
        <v>588</v>
      </c>
      <c r="F3161" t="s">
        <v>2672</v>
      </c>
      <c r="H3161" t="s">
        <v>905</v>
      </c>
      <c r="I3161" t="s">
        <v>789</v>
      </c>
      <c r="M3161" s="134">
        <v>2000000</v>
      </c>
      <c r="N3161" s="134">
        <v>260000</v>
      </c>
      <c r="O3161" t="s">
        <v>695</v>
      </c>
      <c r="P3161" t="s">
        <v>2673</v>
      </c>
      <c r="Q3161" t="s">
        <v>592</v>
      </c>
      <c r="U3161" t="s">
        <v>491</v>
      </c>
      <c r="X3161">
        <v>0</v>
      </c>
    </row>
    <row r="3162" spans="1:24" x14ac:dyDescent="0.25">
      <c r="A3162" s="234">
        <v>42795</v>
      </c>
      <c r="B3162" t="s">
        <v>328</v>
      </c>
      <c r="C3162" t="s">
        <v>603</v>
      </c>
      <c r="D3162" t="s">
        <v>5701</v>
      </c>
      <c r="E3162" t="s">
        <v>588</v>
      </c>
      <c r="F3162" t="s">
        <v>5829</v>
      </c>
      <c r="H3162" t="s">
        <v>809</v>
      </c>
      <c r="I3162" t="s">
        <v>5830</v>
      </c>
      <c r="J3162" t="s">
        <v>3523</v>
      </c>
      <c r="L3162">
        <v>5</v>
      </c>
      <c r="M3162" s="134">
        <v>2000000</v>
      </c>
      <c r="N3162" s="134">
        <v>2030000</v>
      </c>
      <c r="O3162" t="s">
        <v>560</v>
      </c>
      <c r="P3162" t="s">
        <v>5831</v>
      </c>
      <c r="Q3162" t="s">
        <v>592</v>
      </c>
      <c r="U3162" t="s">
        <v>491</v>
      </c>
      <c r="X3162">
        <v>0</v>
      </c>
    </row>
    <row r="3163" spans="1:24" x14ac:dyDescent="0.25">
      <c r="A3163" s="234">
        <v>42970</v>
      </c>
      <c r="B3163" t="s">
        <v>643</v>
      </c>
      <c r="C3163" t="s">
        <v>644</v>
      </c>
      <c r="D3163" t="s">
        <v>645</v>
      </c>
      <c r="E3163" t="s">
        <v>588</v>
      </c>
      <c r="F3163" t="s">
        <v>8275</v>
      </c>
      <c r="G3163" t="s">
        <v>8276</v>
      </c>
      <c r="H3163" t="s">
        <v>809</v>
      </c>
      <c r="I3163" t="s">
        <v>4399</v>
      </c>
      <c r="J3163" t="s">
        <v>644</v>
      </c>
      <c r="L3163">
        <v>5</v>
      </c>
      <c r="M3163" s="134">
        <v>2000000</v>
      </c>
      <c r="N3163" s="134">
        <v>2060000</v>
      </c>
      <c r="O3163" t="s">
        <v>560</v>
      </c>
      <c r="P3163" t="s">
        <v>8277</v>
      </c>
      <c r="Q3163" t="s">
        <v>592</v>
      </c>
      <c r="T3163">
        <v>12</v>
      </c>
      <c r="U3163" t="s">
        <v>491</v>
      </c>
      <c r="X3163">
        <v>0</v>
      </c>
    </row>
    <row r="3164" spans="1:24" x14ac:dyDescent="0.25">
      <c r="A3164" s="234">
        <v>42738</v>
      </c>
      <c r="B3164" t="s">
        <v>328</v>
      </c>
      <c r="C3164" t="s">
        <v>603</v>
      </c>
      <c r="D3164" t="s">
        <v>2397</v>
      </c>
      <c r="E3164" t="s">
        <v>588</v>
      </c>
      <c r="F3164" t="s">
        <v>5166</v>
      </c>
      <c r="H3164" t="s">
        <v>5167</v>
      </c>
      <c r="I3164" t="s">
        <v>5165</v>
      </c>
      <c r="J3164" t="s">
        <v>899</v>
      </c>
      <c r="M3164" s="134">
        <v>2000000</v>
      </c>
      <c r="N3164" s="134">
        <v>2075000</v>
      </c>
      <c r="O3164" t="s">
        <v>5168</v>
      </c>
      <c r="P3164" t="s">
        <v>5170</v>
      </c>
      <c r="Q3164" t="s">
        <v>1939</v>
      </c>
      <c r="R3164" t="s">
        <v>5171</v>
      </c>
      <c r="U3164" t="s">
        <v>491</v>
      </c>
      <c r="X3164">
        <v>0</v>
      </c>
    </row>
    <row r="3165" spans="1:24" x14ac:dyDescent="0.25">
      <c r="A3165" s="234">
        <v>42691</v>
      </c>
      <c r="B3165" t="s">
        <v>643</v>
      </c>
      <c r="C3165" t="s">
        <v>644</v>
      </c>
      <c r="D3165" t="s">
        <v>645</v>
      </c>
      <c r="E3165" t="s">
        <v>588</v>
      </c>
      <c r="F3165" t="s">
        <v>4739</v>
      </c>
      <c r="H3165" t="s">
        <v>905</v>
      </c>
      <c r="I3165" t="s">
        <v>4740</v>
      </c>
      <c r="J3165" t="s">
        <v>644</v>
      </c>
      <c r="L3165">
        <v>4</v>
      </c>
      <c r="M3165" s="134">
        <v>2000000</v>
      </c>
      <c r="N3165" s="134">
        <v>2076000</v>
      </c>
      <c r="O3165" t="s">
        <v>4741</v>
      </c>
      <c r="P3165" t="s">
        <v>4742</v>
      </c>
      <c r="Q3165" t="s">
        <v>1939</v>
      </c>
      <c r="R3165" t="s">
        <v>4743</v>
      </c>
      <c r="S3165" t="s">
        <v>4744</v>
      </c>
      <c r="U3165" t="s">
        <v>491</v>
      </c>
      <c r="X3165">
        <v>0</v>
      </c>
    </row>
    <row r="3166" spans="1:24" x14ac:dyDescent="0.25">
      <c r="A3166" s="234">
        <v>43362</v>
      </c>
      <c r="B3166" t="s">
        <v>569</v>
      </c>
      <c r="C3166" t="s">
        <v>899</v>
      </c>
      <c r="D3166" t="s">
        <v>11286</v>
      </c>
      <c r="E3166" t="s">
        <v>588</v>
      </c>
      <c r="F3166" t="s">
        <v>12673</v>
      </c>
      <c r="G3166" t="s">
        <v>12020</v>
      </c>
      <c r="H3166" t="s">
        <v>886</v>
      </c>
      <c r="I3166" t="s">
        <v>6894</v>
      </c>
      <c r="J3166" t="s">
        <v>899</v>
      </c>
      <c r="M3166" s="134">
        <v>2000000</v>
      </c>
      <c r="N3166" s="134">
        <v>2150000</v>
      </c>
      <c r="O3166" t="s">
        <v>2295</v>
      </c>
      <c r="P3166" t="s">
        <v>12659</v>
      </c>
      <c r="Q3166" t="s">
        <v>1612</v>
      </c>
      <c r="R3166" t="s">
        <v>12675</v>
      </c>
      <c r="U3166" t="s">
        <v>12344</v>
      </c>
      <c r="X3166">
        <v>0</v>
      </c>
    </row>
    <row r="3167" spans="1:24" x14ac:dyDescent="0.25">
      <c r="A3167" s="234">
        <v>43089</v>
      </c>
      <c r="B3167" t="s">
        <v>569</v>
      </c>
      <c r="C3167" t="s">
        <v>899</v>
      </c>
      <c r="D3167" t="s">
        <v>625</v>
      </c>
      <c r="E3167" t="s">
        <v>692</v>
      </c>
      <c r="F3167" t="s">
        <v>9800</v>
      </c>
      <c r="G3167" t="s">
        <v>9801</v>
      </c>
      <c r="H3167" t="s">
        <v>9802</v>
      </c>
      <c r="I3167" t="s">
        <v>3649</v>
      </c>
      <c r="J3167" t="s">
        <v>899</v>
      </c>
      <c r="L3167">
        <v>4</v>
      </c>
      <c r="M3167" s="134">
        <v>2000000</v>
      </c>
      <c r="N3167" s="134">
        <v>2200000</v>
      </c>
      <c r="O3167" t="s">
        <v>560</v>
      </c>
      <c r="P3167" t="s">
        <v>9803</v>
      </c>
      <c r="Q3167" t="s">
        <v>1939</v>
      </c>
      <c r="R3167" t="s">
        <v>9804</v>
      </c>
      <c r="U3167" t="s">
        <v>491</v>
      </c>
      <c r="X3167">
        <v>0</v>
      </c>
    </row>
    <row r="3168" spans="1:24" x14ac:dyDescent="0.25">
      <c r="A3168" s="234">
        <v>43011</v>
      </c>
      <c r="B3168" t="s">
        <v>643</v>
      </c>
      <c r="C3168" t="s">
        <v>644</v>
      </c>
      <c r="D3168" t="s">
        <v>645</v>
      </c>
      <c r="E3168" t="s">
        <v>588</v>
      </c>
      <c r="F3168" t="s">
        <v>8852</v>
      </c>
      <c r="G3168" t="s">
        <v>8853</v>
      </c>
      <c r="H3168" t="s">
        <v>809</v>
      </c>
      <c r="I3168" t="s">
        <v>5212</v>
      </c>
      <c r="J3168" t="s">
        <v>644</v>
      </c>
      <c r="L3168">
        <v>2</v>
      </c>
      <c r="M3168" s="134">
        <v>2000000</v>
      </c>
      <c r="N3168" s="134">
        <v>2300000</v>
      </c>
      <c r="O3168" t="s">
        <v>560</v>
      </c>
      <c r="P3168" t="s">
        <v>8854</v>
      </c>
      <c r="Q3168" t="s">
        <v>1939</v>
      </c>
      <c r="R3168" t="s">
        <v>8855</v>
      </c>
      <c r="S3168" t="s">
        <v>9514</v>
      </c>
      <c r="T3168">
        <v>23</v>
      </c>
      <c r="U3168" t="s">
        <v>491</v>
      </c>
      <c r="X3168">
        <v>0</v>
      </c>
    </row>
    <row r="3169" spans="1:24" x14ac:dyDescent="0.25">
      <c r="A3169" s="234">
        <v>43584</v>
      </c>
      <c r="B3169" t="s">
        <v>13559</v>
      </c>
      <c r="C3169" t="s">
        <v>6575</v>
      </c>
      <c r="D3169" t="s">
        <v>9183</v>
      </c>
      <c r="F3169" t="s">
        <v>8275</v>
      </c>
      <c r="G3169" t="s">
        <v>15289</v>
      </c>
      <c r="H3169" t="s">
        <v>10831</v>
      </c>
      <c r="I3169" t="s">
        <v>15290</v>
      </c>
      <c r="J3169" t="s">
        <v>3369</v>
      </c>
      <c r="K3169" t="s">
        <v>15291</v>
      </c>
      <c r="L3169">
        <v>9</v>
      </c>
      <c r="M3169" s="134">
        <v>2000000</v>
      </c>
      <c r="N3169" s="134">
        <v>2350000</v>
      </c>
      <c r="O3169" t="s">
        <v>560</v>
      </c>
      <c r="P3169" t="s">
        <v>15292</v>
      </c>
      <c r="Q3169" t="s">
        <v>1939</v>
      </c>
      <c r="R3169" t="s">
        <v>15293</v>
      </c>
      <c r="U3169" t="s">
        <v>491</v>
      </c>
      <c r="X3169">
        <v>0</v>
      </c>
    </row>
    <row r="3170" spans="1:24" x14ac:dyDescent="0.25">
      <c r="A3170" s="234">
        <v>42838</v>
      </c>
      <c r="B3170" t="s">
        <v>328</v>
      </c>
      <c r="C3170" t="s">
        <v>603</v>
      </c>
      <c r="D3170" t="s">
        <v>1401</v>
      </c>
      <c r="E3170" t="s">
        <v>588</v>
      </c>
      <c r="F3170" t="s">
        <v>6424</v>
      </c>
      <c r="H3170" t="s">
        <v>905</v>
      </c>
      <c r="I3170" t="s">
        <v>6425</v>
      </c>
      <c r="J3170" t="s">
        <v>899</v>
      </c>
      <c r="L3170">
        <v>10</v>
      </c>
      <c r="M3170" s="134">
        <v>2000000</v>
      </c>
      <c r="N3170" s="134">
        <v>2400000</v>
      </c>
      <c r="O3170" t="s">
        <v>560</v>
      </c>
      <c r="P3170" t="s">
        <v>6427</v>
      </c>
      <c r="Q3170" t="s">
        <v>1939</v>
      </c>
      <c r="R3170" t="s">
        <v>6426</v>
      </c>
      <c r="U3170" t="s">
        <v>491</v>
      </c>
      <c r="X3170">
        <v>0</v>
      </c>
    </row>
    <row r="3171" spans="1:24" x14ac:dyDescent="0.25">
      <c r="A3171" s="234">
        <v>42600</v>
      </c>
      <c r="B3171" t="s">
        <v>378</v>
      </c>
      <c r="C3171" t="s">
        <v>623</v>
      </c>
      <c r="D3171" t="s">
        <v>625</v>
      </c>
      <c r="E3171" t="s">
        <v>588</v>
      </c>
      <c r="H3171" t="s">
        <v>1626</v>
      </c>
      <c r="I3171" t="s">
        <v>3497</v>
      </c>
      <c r="J3171" t="s">
        <v>899</v>
      </c>
      <c r="L3171">
        <v>4</v>
      </c>
      <c r="M3171" s="134">
        <v>2000000</v>
      </c>
      <c r="N3171" s="134">
        <v>2400000</v>
      </c>
      <c r="O3171" t="s">
        <v>2941</v>
      </c>
      <c r="P3171" t="s">
        <v>3498</v>
      </c>
      <c r="Q3171" t="s">
        <v>1939</v>
      </c>
      <c r="R3171" t="s">
        <v>3499</v>
      </c>
      <c r="U3171" t="s">
        <v>491</v>
      </c>
      <c r="X3171">
        <v>0</v>
      </c>
    </row>
    <row r="3172" spans="1:24" x14ac:dyDescent="0.25">
      <c r="A3172" s="234">
        <v>42478</v>
      </c>
      <c r="B3172" t="s">
        <v>378</v>
      </c>
      <c r="C3172" t="s">
        <v>610</v>
      </c>
      <c r="D3172" t="s">
        <v>732</v>
      </c>
      <c r="E3172" t="s">
        <v>588</v>
      </c>
      <c r="F3172" t="s">
        <v>1710</v>
      </c>
      <c r="H3172" t="s">
        <v>607</v>
      </c>
      <c r="I3172" t="s">
        <v>1713</v>
      </c>
      <c r="M3172" s="134">
        <v>2000000</v>
      </c>
      <c r="N3172" s="134">
        <v>2402000</v>
      </c>
      <c r="O3172" t="s">
        <v>1711</v>
      </c>
      <c r="P3172" t="s">
        <v>1712</v>
      </c>
      <c r="Q3172" t="s">
        <v>592</v>
      </c>
      <c r="U3172" t="s">
        <v>491</v>
      </c>
      <c r="X3172">
        <v>0</v>
      </c>
    </row>
    <row r="3173" spans="1:24" x14ac:dyDescent="0.25">
      <c r="A3173" s="234">
        <v>43388</v>
      </c>
      <c r="B3173" t="s">
        <v>6076</v>
      </c>
      <c r="D3173" t="s">
        <v>12933</v>
      </c>
      <c r="F3173" t="s">
        <v>11356</v>
      </c>
      <c r="G3173" t="s">
        <v>1471</v>
      </c>
      <c r="H3173" t="s">
        <v>10831</v>
      </c>
      <c r="I3173" t="s">
        <v>491</v>
      </c>
      <c r="J3173" t="s">
        <v>3370</v>
      </c>
      <c r="L3173">
        <v>4</v>
      </c>
      <c r="M3173" s="134">
        <v>2000000</v>
      </c>
      <c r="N3173" s="134">
        <v>2500000</v>
      </c>
      <c r="O3173" t="s">
        <v>560</v>
      </c>
      <c r="P3173" t="s">
        <v>12935</v>
      </c>
      <c r="Q3173" t="s">
        <v>592</v>
      </c>
      <c r="R3173" t="s">
        <v>12934</v>
      </c>
      <c r="U3173" t="s">
        <v>12344</v>
      </c>
      <c r="X3173">
        <v>0</v>
      </c>
    </row>
    <row r="3174" spans="1:24" x14ac:dyDescent="0.25">
      <c r="A3174" s="234">
        <v>42447</v>
      </c>
      <c r="B3174" t="s">
        <v>378</v>
      </c>
      <c r="C3174" t="s">
        <v>610</v>
      </c>
      <c r="D3174" t="s">
        <v>1027</v>
      </c>
      <c r="E3174" t="s">
        <v>588</v>
      </c>
      <c r="F3174" t="s">
        <v>1372</v>
      </c>
      <c r="H3174" t="s">
        <v>905</v>
      </c>
      <c r="I3174" t="s">
        <v>1373</v>
      </c>
      <c r="M3174" s="134">
        <v>2000000</v>
      </c>
      <c r="N3174" s="134">
        <v>2500000</v>
      </c>
      <c r="O3174" t="s">
        <v>1374</v>
      </c>
      <c r="P3174" t="s">
        <v>1375</v>
      </c>
      <c r="Q3174" t="s">
        <v>592</v>
      </c>
      <c r="R3174" t="s">
        <v>1376</v>
      </c>
      <c r="U3174" t="s">
        <v>491</v>
      </c>
      <c r="X3174">
        <v>0</v>
      </c>
    </row>
    <row r="3175" spans="1:24" x14ac:dyDescent="0.25">
      <c r="A3175" s="234">
        <v>42934</v>
      </c>
      <c r="B3175" t="s">
        <v>643</v>
      </c>
      <c r="C3175" t="s">
        <v>644</v>
      </c>
      <c r="D3175" t="s">
        <v>645</v>
      </c>
      <c r="E3175" t="s">
        <v>588</v>
      </c>
      <c r="F3175" t="s">
        <v>7636</v>
      </c>
      <c r="H3175" t="s">
        <v>5991</v>
      </c>
      <c r="I3175" t="s">
        <v>5212</v>
      </c>
      <c r="J3175" t="s">
        <v>644</v>
      </c>
      <c r="L3175">
        <v>3</v>
      </c>
      <c r="M3175" s="134">
        <v>2000000</v>
      </c>
      <c r="N3175" s="134">
        <v>2750000</v>
      </c>
      <c r="O3175" t="s">
        <v>7637</v>
      </c>
      <c r="P3175" t="s">
        <v>7638</v>
      </c>
      <c r="Q3175" t="s">
        <v>1939</v>
      </c>
      <c r="R3175" t="s">
        <v>7639</v>
      </c>
      <c r="U3175" t="s">
        <v>491</v>
      </c>
      <c r="X3175">
        <v>0</v>
      </c>
    </row>
    <row r="3176" spans="1:24" x14ac:dyDescent="0.25">
      <c r="A3176" s="234">
        <v>43507</v>
      </c>
      <c r="B3176" t="s">
        <v>13559</v>
      </c>
      <c r="C3176" t="s">
        <v>3369</v>
      </c>
      <c r="D3176" t="s">
        <v>6360</v>
      </c>
      <c r="F3176" t="s">
        <v>240</v>
      </c>
      <c r="G3176" t="s">
        <v>14353</v>
      </c>
      <c r="H3176" t="s">
        <v>905</v>
      </c>
      <c r="I3176" t="s">
        <v>6193</v>
      </c>
      <c r="J3176" t="s">
        <v>14354</v>
      </c>
      <c r="K3176" t="s">
        <v>14355</v>
      </c>
      <c r="L3176">
        <v>10</v>
      </c>
      <c r="M3176" s="134">
        <v>2000000</v>
      </c>
      <c r="N3176" s="134">
        <v>2896000</v>
      </c>
      <c r="O3176" t="s">
        <v>10766</v>
      </c>
      <c r="P3176" t="s">
        <v>14356</v>
      </c>
      <c r="Q3176" t="s">
        <v>29</v>
      </c>
      <c r="R3176" t="s">
        <v>14357</v>
      </c>
      <c r="S3176" t="s">
        <v>14378</v>
      </c>
      <c r="U3176" t="s">
        <v>12797</v>
      </c>
      <c r="X3176">
        <v>1</v>
      </c>
    </row>
    <row r="3177" spans="1:24" x14ac:dyDescent="0.25">
      <c r="A3177" s="234">
        <v>42531</v>
      </c>
      <c r="B3177" t="s">
        <v>594</v>
      </c>
      <c r="C3177" t="s">
        <v>1363</v>
      </c>
      <c r="D3177" t="s">
        <v>2457</v>
      </c>
      <c r="E3177" t="s">
        <v>692</v>
      </c>
      <c r="F3177" t="s">
        <v>2458</v>
      </c>
      <c r="H3177" t="s">
        <v>886</v>
      </c>
      <c r="I3177" t="s">
        <v>2348</v>
      </c>
      <c r="M3177" s="134">
        <v>2000000</v>
      </c>
      <c r="N3177" s="134">
        <v>2980000</v>
      </c>
      <c r="O3177" t="s">
        <v>1498</v>
      </c>
      <c r="P3177" t="s">
        <v>2460</v>
      </c>
      <c r="Q3177" t="s">
        <v>1939</v>
      </c>
      <c r="R3177" t="s">
        <v>2461</v>
      </c>
      <c r="U3177" t="s">
        <v>491</v>
      </c>
      <c r="X3177">
        <v>0</v>
      </c>
    </row>
    <row r="3178" spans="1:24" x14ac:dyDescent="0.25">
      <c r="A3178" s="234">
        <v>42852</v>
      </c>
      <c r="B3178" t="s">
        <v>5176</v>
      </c>
      <c r="C3178" t="s">
        <v>604</v>
      </c>
      <c r="D3178" t="s">
        <v>727</v>
      </c>
      <c r="E3178" t="s">
        <v>588</v>
      </c>
      <c r="F3178" t="s">
        <v>6573</v>
      </c>
      <c r="H3178" t="s">
        <v>722</v>
      </c>
      <c r="I3178" t="s">
        <v>6574</v>
      </c>
      <c r="J3178" t="s">
        <v>6575</v>
      </c>
      <c r="L3178">
        <v>9</v>
      </c>
      <c r="M3178" s="134">
        <v>2000000</v>
      </c>
      <c r="N3178" s="134">
        <v>3000000</v>
      </c>
      <c r="O3178" t="s">
        <v>560</v>
      </c>
      <c r="P3178" t="s">
        <v>6576</v>
      </c>
      <c r="Q3178" t="s">
        <v>1939</v>
      </c>
      <c r="R3178" t="s">
        <v>6577</v>
      </c>
      <c r="U3178" t="s">
        <v>491</v>
      </c>
      <c r="X3178">
        <v>0</v>
      </c>
    </row>
    <row r="3179" spans="1:24" x14ac:dyDescent="0.25">
      <c r="A3179" s="234">
        <v>43028</v>
      </c>
      <c r="B3179" t="s">
        <v>328</v>
      </c>
      <c r="C3179" t="s">
        <v>603</v>
      </c>
      <c r="D3179" t="s">
        <v>2397</v>
      </c>
      <c r="E3179" t="s">
        <v>588</v>
      </c>
      <c r="F3179" t="s">
        <v>9127</v>
      </c>
      <c r="G3179" t="s">
        <v>9128</v>
      </c>
      <c r="H3179" t="s">
        <v>1391</v>
      </c>
      <c r="I3179" t="s">
        <v>5412</v>
      </c>
      <c r="J3179" t="s">
        <v>899</v>
      </c>
      <c r="L3179">
        <v>3</v>
      </c>
      <c r="M3179" s="134">
        <v>2000000</v>
      </c>
      <c r="N3179" s="134">
        <v>3000000</v>
      </c>
      <c r="O3179" t="s">
        <v>560</v>
      </c>
      <c r="P3179" t="s">
        <v>9129</v>
      </c>
      <c r="Q3179" t="s">
        <v>592</v>
      </c>
      <c r="U3179" t="s">
        <v>491</v>
      </c>
      <c r="X3179">
        <v>0</v>
      </c>
    </row>
    <row r="3180" spans="1:24" x14ac:dyDescent="0.25">
      <c r="A3180" s="234">
        <v>43179</v>
      </c>
      <c r="B3180" t="s">
        <v>569</v>
      </c>
      <c r="C3180" t="s">
        <v>899</v>
      </c>
      <c r="D3180" t="s">
        <v>625</v>
      </c>
      <c r="E3180" t="s">
        <v>1707</v>
      </c>
      <c r="F3180" t="s">
        <v>10661</v>
      </c>
      <c r="G3180" t="s">
        <v>10662</v>
      </c>
      <c r="H3180" t="s">
        <v>607</v>
      </c>
      <c r="I3180" t="s">
        <v>2054</v>
      </c>
      <c r="J3180" t="s">
        <v>899</v>
      </c>
      <c r="L3180">
        <v>2</v>
      </c>
      <c r="M3180" s="134">
        <v>2000000</v>
      </c>
      <c r="N3180" s="134">
        <v>3050000</v>
      </c>
      <c r="O3180" t="s">
        <v>560</v>
      </c>
      <c r="P3180" t="s">
        <v>10663</v>
      </c>
      <c r="Q3180" t="s">
        <v>1939</v>
      </c>
      <c r="R3180" t="s">
        <v>10667</v>
      </c>
      <c r="U3180" t="s">
        <v>491</v>
      </c>
      <c r="X3180">
        <v>0</v>
      </c>
    </row>
    <row r="3181" spans="1:24" x14ac:dyDescent="0.25">
      <c r="A3181" s="234">
        <v>43580</v>
      </c>
      <c r="B3181" t="s">
        <v>328</v>
      </c>
      <c r="C3181" t="s">
        <v>603</v>
      </c>
      <c r="D3181" t="s">
        <v>5701</v>
      </c>
      <c r="F3181" t="s">
        <v>15266</v>
      </c>
      <c r="G3181" t="s">
        <v>11938</v>
      </c>
      <c r="H3181" t="s">
        <v>607</v>
      </c>
      <c r="I3181" t="s">
        <v>12911</v>
      </c>
      <c r="J3181" t="s">
        <v>3523</v>
      </c>
      <c r="K3181" t="s">
        <v>15267</v>
      </c>
      <c r="L3181">
        <v>3</v>
      </c>
      <c r="M3181" s="134">
        <v>2000000</v>
      </c>
      <c r="N3181" s="134">
        <v>3100000</v>
      </c>
      <c r="O3181" t="s">
        <v>7564</v>
      </c>
      <c r="P3181" t="s">
        <v>15268</v>
      </c>
      <c r="Q3181" t="s">
        <v>1939</v>
      </c>
      <c r="R3181" t="s">
        <v>15269</v>
      </c>
      <c r="U3181" t="s">
        <v>12797</v>
      </c>
      <c r="X3181">
        <v>0</v>
      </c>
    </row>
    <row r="3182" spans="1:24" x14ac:dyDescent="0.25">
      <c r="A3182" s="234">
        <v>42921</v>
      </c>
      <c r="B3182" t="s">
        <v>328</v>
      </c>
      <c r="C3182" t="s">
        <v>603</v>
      </c>
      <c r="D3182" t="s">
        <v>1401</v>
      </c>
      <c r="E3182" t="s">
        <v>588</v>
      </c>
      <c r="F3182" t="s">
        <v>7483</v>
      </c>
      <c r="H3182" t="s">
        <v>1391</v>
      </c>
      <c r="I3182" t="s">
        <v>7484</v>
      </c>
      <c r="J3182" t="s">
        <v>899</v>
      </c>
      <c r="L3182">
        <v>2</v>
      </c>
      <c r="M3182" s="134">
        <v>2000000</v>
      </c>
      <c r="N3182" s="134">
        <v>3100000</v>
      </c>
      <c r="O3182" t="s">
        <v>560</v>
      </c>
      <c r="P3182" t="s">
        <v>7485</v>
      </c>
      <c r="Q3182" t="s">
        <v>1939</v>
      </c>
      <c r="R3182" t="s">
        <v>7486</v>
      </c>
      <c r="U3182" t="s">
        <v>1327</v>
      </c>
      <c r="X3182">
        <v>0</v>
      </c>
    </row>
    <row r="3183" spans="1:24" x14ac:dyDescent="0.25">
      <c r="A3183" s="234">
        <v>42604</v>
      </c>
      <c r="B3183" t="s">
        <v>378</v>
      </c>
      <c r="C3183" t="s">
        <v>610</v>
      </c>
      <c r="D3183" t="s">
        <v>1027</v>
      </c>
      <c r="E3183" t="s">
        <v>588</v>
      </c>
      <c r="F3183" t="s">
        <v>3549</v>
      </c>
      <c r="H3183" t="s">
        <v>607</v>
      </c>
      <c r="I3183" t="s">
        <v>3462</v>
      </c>
      <c r="J3183" t="s">
        <v>899</v>
      </c>
      <c r="L3183">
        <v>4</v>
      </c>
      <c r="M3183" s="134">
        <v>2000000</v>
      </c>
      <c r="N3183" s="134">
        <v>3150000</v>
      </c>
      <c r="O3183" t="s">
        <v>560</v>
      </c>
      <c r="P3183" t="s">
        <v>3550</v>
      </c>
      <c r="Q3183" t="s">
        <v>1939</v>
      </c>
      <c r="R3183" t="s">
        <v>3551</v>
      </c>
      <c r="U3183" t="s">
        <v>491</v>
      </c>
      <c r="X3183">
        <v>0</v>
      </c>
    </row>
    <row r="3184" spans="1:24" x14ac:dyDescent="0.25">
      <c r="A3184" s="234">
        <v>43132</v>
      </c>
      <c r="B3184" t="s">
        <v>328</v>
      </c>
      <c r="C3184" t="s">
        <v>603</v>
      </c>
      <c r="D3184" t="s">
        <v>2397</v>
      </c>
      <c r="E3184" t="s">
        <v>588</v>
      </c>
      <c r="F3184" t="s">
        <v>10251</v>
      </c>
      <c r="G3184" t="s">
        <v>10252</v>
      </c>
      <c r="H3184" t="s">
        <v>607</v>
      </c>
      <c r="I3184" t="s">
        <v>3388</v>
      </c>
      <c r="J3184" t="s">
        <v>899</v>
      </c>
      <c r="L3184">
        <v>1</v>
      </c>
      <c r="M3184" s="134">
        <v>2000000</v>
      </c>
      <c r="N3184" s="134">
        <v>3185000</v>
      </c>
      <c r="O3184" t="s">
        <v>560</v>
      </c>
      <c r="P3184" t="s">
        <v>10253</v>
      </c>
      <c r="Q3184" t="s">
        <v>592</v>
      </c>
      <c r="R3184" t="s">
        <v>10437</v>
      </c>
      <c r="U3184" t="s">
        <v>1327</v>
      </c>
      <c r="X3184">
        <v>0</v>
      </c>
    </row>
    <row r="3185" spans="1:24" x14ac:dyDescent="0.25">
      <c r="A3185" s="234">
        <v>43423</v>
      </c>
      <c r="B3185" t="s">
        <v>328</v>
      </c>
      <c r="C3185" t="s">
        <v>603</v>
      </c>
      <c r="D3185" t="s">
        <v>10705</v>
      </c>
      <c r="F3185" t="s">
        <v>10951</v>
      </c>
      <c r="G3185" t="s">
        <v>9843</v>
      </c>
      <c r="H3185" t="s">
        <v>10831</v>
      </c>
      <c r="I3185" t="s">
        <v>13196</v>
      </c>
      <c r="J3185" t="s">
        <v>603</v>
      </c>
      <c r="K3185" t="s">
        <v>13197</v>
      </c>
      <c r="L3185">
        <v>10</v>
      </c>
      <c r="M3185" s="134">
        <v>2000000</v>
      </c>
      <c r="N3185" s="134">
        <v>3200000</v>
      </c>
      <c r="O3185" t="s">
        <v>560</v>
      </c>
      <c r="P3185" t="s">
        <v>13198</v>
      </c>
      <c r="Q3185" t="s">
        <v>1612</v>
      </c>
      <c r="R3185" t="s">
        <v>13291</v>
      </c>
      <c r="U3185" t="s">
        <v>491</v>
      </c>
      <c r="X3185">
        <v>0</v>
      </c>
    </row>
    <row r="3186" spans="1:24" x14ac:dyDescent="0.25">
      <c r="A3186" s="234">
        <v>42874</v>
      </c>
      <c r="B3186" t="s">
        <v>328</v>
      </c>
      <c r="C3186" t="s">
        <v>603</v>
      </c>
      <c r="D3186" t="s">
        <v>672</v>
      </c>
      <c r="E3186" t="s">
        <v>588</v>
      </c>
      <c r="F3186" t="s">
        <v>6852</v>
      </c>
      <c r="H3186" t="s">
        <v>607</v>
      </c>
      <c r="I3186" t="s">
        <v>3388</v>
      </c>
      <c r="J3186" t="s">
        <v>899</v>
      </c>
      <c r="L3186">
        <v>1</v>
      </c>
      <c r="M3186" s="134">
        <v>2000000</v>
      </c>
      <c r="N3186" s="134">
        <v>3200000</v>
      </c>
      <c r="O3186" t="s">
        <v>560</v>
      </c>
      <c r="P3186" t="s">
        <v>6853</v>
      </c>
      <c r="Q3186" t="s">
        <v>592</v>
      </c>
      <c r="U3186" t="s">
        <v>491</v>
      </c>
      <c r="X3186">
        <v>0</v>
      </c>
    </row>
    <row r="3187" spans="1:24" x14ac:dyDescent="0.25">
      <c r="A3187" s="234">
        <v>42873</v>
      </c>
      <c r="B3187" t="s">
        <v>569</v>
      </c>
      <c r="D3187" t="s">
        <v>930</v>
      </c>
      <c r="E3187" t="s">
        <v>588</v>
      </c>
      <c r="F3187" t="s">
        <v>6842</v>
      </c>
      <c r="H3187" t="s">
        <v>607</v>
      </c>
      <c r="I3187" t="s">
        <v>6843</v>
      </c>
      <c r="J3187" t="s">
        <v>899</v>
      </c>
      <c r="M3187" s="134">
        <v>2000000</v>
      </c>
      <c r="N3187" s="134">
        <v>3240000</v>
      </c>
      <c r="O3187" t="s">
        <v>1171</v>
      </c>
      <c r="P3187" t="s">
        <v>6844</v>
      </c>
      <c r="Q3187" t="s">
        <v>1939</v>
      </c>
      <c r="R3187" t="s">
        <v>6845</v>
      </c>
      <c r="U3187" t="s">
        <v>491</v>
      </c>
      <c r="X3187">
        <v>0</v>
      </c>
    </row>
    <row r="3188" spans="1:24" x14ac:dyDescent="0.25">
      <c r="A3188" s="234">
        <v>42585</v>
      </c>
      <c r="B3188" t="s">
        <v>328</v>
      </c>
      <c r="C3188" t="s">
        <v>603</v>
      </c>
      <c r="D3188" t="s">
        <v>3211</v>
      </c>
      <c r="E3188" t="s">
        <v>588</v>
      </c>
      <c r="F3188" t="s">
        <v>3212</v>
      </c>
      <c r="H3188" t="s">
        <v>607</v>
      </c>
      <c r="I3188" t="s">
        <v>2166</v>
      </c>
      <c r="J3188" t="s">
        <v>3370</v>
      </c>
      <c r="L3188">
        <v>2</v>
      </c>
      <c r="M3188" s="134">
        <v>2000000</v>
      </c>
      <c r="N3188" s="134">
        <v>3248000</v>
      </c>
      <c r="O3188" t="s">
        <v>891</v>
      </c>
      <c r="P3188" t="s">
        <v>3213</v>
      </c>
      <c r="Q3188" t="s">
        <v>1612</v>
      </c>
      <c r="R3188" t="s">
        <v>3275</v>
      </c>
      <c r="U3188" t="s">
        <v>491</v>
      </c>
      <c r="X3188">
        <v>0</v>
      </c>
    </row>
    <row r="3189" spans="1:24" x14ac:dyDescent="0.25">
      <c r="A3189" s="234">
        <v>43192</v>
      </c>
      <c r="B3189" t="s">
        <v>5360</v>
      </c>
      <c r="C3189" t="s">
        <v>899</v>
      </c>
      <c r="D3189" t="s">
        <v>611</v>
      </c>
      <c r="E3189" t="s">
        <v>588</v>
      </c>
      <c r="F3189" t="s">
        <v>10757</v>
      </c>
      <c r="G3189" t="s">
        <v>10758</v>
      </c>
      <c r="H3189" t="s">
        <v>607</v>
      </c>
      <c r="I3189" t="s">
        <v>4060</v>
      </c>
      <c r="J3189" t="s">
        <v>899</v>
      </c>
      <c r="L3189">
        <v>10</v>
      </c>
      <c r="M3189" s="134">
        <v>2000000</v>
      </c>
      <c r="N3189" s="134">
        <v>3350000</v>
      </c>
      <c r="O3189" t="s">
        <v>560</v>
      </c>
      <c r="P3189" t="s">
        <v>10759</v>
      </c>
      <c r="Q3189" t="s">
        <v>29</v>
      </c>
      <c r="R3189" t="s">
        <v>10760</v>
      </c>
      <c r="U3189" t="s">
        <v>491</v>
      </c>
      <c r="X3189">
        <v>1</v>
      </c>
    </row>
    <row r="3190" spans="1:24" x14ac:dyDescent="0.25">
      <c r="A3190" s="234">
        <v>43006</v>
      </c>
      <c r="B3190" t="s">
        <v>328</v>
      </c>
      <c r="C3190" t="s">
        <v>603</v>
      </c>
      <c r="D3190" t="s">
        <v>649</v>
      </c>
      <c r="E3190" t="s">
        <v>588</v>
      </c>
      <c r="F3190" t="s">
        <v>8780</v>
      </c>
      <c r="G3190" t="s">
        <v>7457</v>
      </c>
      <c r="H3190" t="s">
        <v>1391</v>
      </c>
      <c r="I3190" t="s">
        <v>8781</v>
      </c>
      <c r="J3190" t="s">
        <v>899</v>
      </c>
      <c r="L3190">
        <v>3</v>
      </c>
      <c r="M3190" s="134">
        <v>2000000</v>
      </c>
      <c r="N3190" s="134">
        <v>3350000</v>
      </c>
      <c r="O3190" t="s">
        <v>560</v>
      </c>
      <c r="P3190" t="s">
        <v>8782</v>
      </c>
      <c r="Q3190" t="s">
        <v>1939</v>
      </c>
      <c r="R3190" t="s">
        <v>8786</v>
      </c>
      <c r="T3190">
        <v>28</v>
      </c>
      <c r="U3190" t="s">
        <v>491</v>
      </c>
      <c r="X3190">
        <v>0</v>
      </c>
    </row>
    <row r="3191" spans="1:24" x14ac:dyDescent="0.25">
      <c r="A3191" s="234">
        <v>43602</v>
      </c>
      <c r="B3191" t="s">
        <v>328</v>
      </c>
      <c r="C3191" t="s">
        <v>603</v>
      </c>
      <c r="D3191" t="s">
        <v>10705</v>
      </c>
      <c r="F3191" t="s">
        <v>15649</v>
      </c>
      <c r="G3191" t="s">
        <v>11967</v>
      </c>
      <c r="H3191" t="s">
        <v>607</v>
      </c>
      <c r="I3191" t="s">
        <v>5862</v>
      </c>
      <c r="J3191" t="s">
        <v>6015</v>
      </c>
      <c r="K3191" t="s">
        <v>15651</v>
      </c>
      <c r="L3191">
        <v>9</v>
      </c>
      <c r="M3191" s="134">
        <v>2000000</v>
      </c>
      <c r="N3191" s="134">
        <v>3400000</v>
      </c>
      <c r="O3191" t="s">
        <v>10766</v>
      </c>
      <c r="P3191" t="s">
        <v>15650</v>
      </c>
      <c r="Q3191" t="s">
        <v>29</v>
      </c>
      <c r="R3191" t="s">
        <v>15652</v>
      </c>
      <c r="U3191" t="s">
        <v>15653</v>
      </c>
      <c r="X3191">
        <v>1</v>
      </c>
    </row>
    <row r="3192" spans="1:24" x14ac:dyDescent="0.25">
      <c r="A3192" s="234">
        <v>43355</v>
      </c>
      <c r="B3192" t="s">
        <v>569</v>
      </c>
      <c r="C3192" t="s">
        <v>899</v>
      </c>
      <c r="D3192" t="s">
        <v>11286</v>
      </c>
      <c r="E3192" t="s">
        <v>588</v>
      </c>
      <c r="F3192" t="s">
        <v>12575</v>
      </c>
      <c r="G3192" t="s">
        <v>12405</v>
      </c>
      <c r="H3192" t="s">
        <v>607</v>
      </c>
      <c r="I3192" t="s">
        <v>3649</v>
      </c>
      <c r="J3192" t="s">
        <v>899</v>
      </c>
      <c r="L3192">
        <v>5</v>
      </c>
      <c r="M3192" s="134">
        <v>2000000</v>
      </c>
      <c r="N3192" s="134">
        <v>3400000</v>
      </c>
      <c r="O3192" t="s">
        <v>10763</v>
      </c>
      <c r="P3192" t="s">
        <v>12576</v>
      </c>
      <c r="Q3192" t="s">
        <v>592</v>
      </c>
      <c r="R3192" t="s">
        <v>12577</v>
      </c>
      <c r="U3192" t="s">
        <v>12344</v>
      </c>
      <c r="X3192">
        <v>0</v>
      </c>
    </row>
    <row r="3193" spans="1:24" x14ac:dyDescent="0.25">
      <c r="A3193" s="234">
        <v>42902</v>
      </c>
      <c r="B3193" t="s">
        <v>328</v>
      </c>
      <c r="C3193" t="s">
        <v>603</v>
      </c>
      <c r="D3193" t="s">
        <v>2397</v>
      </c>
      <c r="E3193" t="s">
        <v>588</v>
      </c>
      <c r="F3193" t="s">
        <v>7218</v>
      </c>
      <c r="H3193" t="s">
        <v>1391</v>
      </c>
      <c r="I3193" t="s">
        <v>7219</v>
      </c>
      <c r="J3193" t="s">
        <v>899</v>
      </c>
      <c r="L3193">
        <v>2</v>
      </c>
      <c r="M3193" s="134">
        <v>2000000</v>
      </c>
      <c r="N3193" s="134">
        <v>3400000</v>
      </c>
      <c r="O3193" t="s">
        <v>560</v>
      </c>
      <c r="P3193" t="s">
        <v>7220</v>
      </c>
      <c r="Q3193" t="s">
        <v>1612</v>
      </c>
      <c r="R3193" t="s">
        <v>7315</v>
      </c>
      <c r="U3193" t="s">
        <v>491</v>
      </c>
      <c r="X3193">
        <v>0</v>
      </c>
    </row>
    <row r="3194" spans="1:24" x14ac:dyDescent="0.25">
      <c r="A3194" s="234">
        <v>42986</v>
      </c>
      <c r="B3194" t="s">
        <v>328</v>
      </c>
      <c r="C3194" t="s">
        <v>603</v>
      </c>
      <c r="D3194" t="s">
        <v>8488</v>
      </c>
      <c r="E3194" t="s">
        <v>588</v>
      </c>
      <c r="F3194" t="s">
        <v>8459</v>
      </c>
      <c r="G3194" t="s">
        <v>8460</v>
      </c>
      <c r="H3194" t="s">
        <v>607</v>
      </c>
      <c r="I3194" t="s">
        <v>8461</v>
      </c>
      <c r="J3194" t="s">
        <v>899</v>
      </c>
      <c r="L3194">
        <v>10</v>
      </c>
      <c r="M3194" s="134">
        <v>2000000</v>
      </c>
      <c r="N3194" s="134">
        <v>3400000</v>
      </c>
      <c r="O3194" t="s">
        <v>560</v>
      </c>
      <c r="P3194" t="s">
        <v>8462</v>
      </c>
      <c r="Q3194" t="s">
        <v>1939</v>
      </c>
      <c r="R3194" t="s">
        <v>8541</v>
      </c>
      <c r="T3194">
        <v>26</v>
      </c>
      <c r="U3194" t="s">
        <v>491</v>
      </c>
      <c r="X3194">
        <v>0</v>
      </c>
    </row>
    <row r="3195" spans="1:24" x14ac:dyDescent="0.25">
      <c r="A3195" s="234">
        <v>43035</v>
      </c>
      <c r="B3195" t="s">
        <v>328</v>
      </c>
      <c r="C3195" t="s">
        <v>899</v>
      </c>
      <c r="D3195" t="s">
        <v>649</v>
      </c>
      <c r="E3195" t="s">
        <v>588</v>
      </c>
      <c r="F3195" t="s">
        <v>9207</v>
      </c>
      <c r="G3195" t="s">
        <v>9206</v>
      </c>
      <c r="H3195" t="s">
        <v>607</v>
      </c>
      <c r="I3195" t="s">
        <v>2054</v>
      </c>
      <c r="J3195" t="s">
        <v>899</v>
      </c>
      <c r="L3195">
        <v>1</v>
      </c>
      <c r="M3195" s="134">
        <v>2000000</v>
      </c>
      <c r="N3195" s="134">
        <v>3400000</v>
      </c>
      <c r="O3195" t="s">
        <v>560</v>
      </c>
      <c r="P3195" t="s">
        <v>9205</v>
      </c>
      <c r="Q3195" t="s">
        <v>1939</v>
      </c>
      <c r="R3195" t="s">
        <v>9208</v>
      </c>
      <c r="U3195" t="s">
        <v>1327</v>
      </c>
      <c r="X3195">
        <v>0</v>
      </c>
    </row>
    <row r="3196" spans="1:24" x14ac:dyDescent="0.25">
      <c r="A3196" s="234">
        <v>42426</v>
      </c>
      <c r="B3196" t="s">
        <v>328</v>
      </c>
      <c r="C3196" t="s">
        <v>603</v>
      </c>
      <c r="D3196" t="s">
        <v>672</v>
      </c>
      <c r="E3196" t="s">
        <v>588</v>
      </c>
      <c r="F3196" t="s">
        <v>1148</v>
      </c>
      <c r="H3196" t="s">
        <v>607</v>
      </c>
      <c r="I3196" t="s">
        <v>1149</v>
      </c>
      <c r="M3196" s="134">
        <v>2000000</v>
      </c>
      <c r="N3196" s="134">
        <v>3400000</v>
      </c>
      <c r="O3196" t="s">
        <v>891</v>
      </c>
      <c r="P3196" t="s">
        <v>1174</v>
      </c>
      <c r="Q3196" t="s">
        <v>592</v>
      </c>
      <c r="R3196" t="s">
        <v>1175</v>
      </c>
      <c r="U3196" t="s">
        <v>491</v>
      </c>
      <c r="X3196">
        <v>0</v>
      </c>
    </row>
    <row r="3197" spans="1:24" x14ac:dyDescent="0.25">
      <c r="A3197" s="234">
        <v>42531</v>
      </c>
      <c r="B3197" t="s">
        <v>328</v>
      </c>
      <c r="C3197" t="s">
        <v>603</v>
      </c>
      <c r="D3197" t="s">
        <v>1471</v>
      </c>
      <c r="E3197" t="s">
        <v>588</v>
      </c>
      <c r="F3197" t="s">
        <v>2434</v>
      </c>
      <c r="H3197" t="s">
        <v>722</v>
      </c>
      <c r="I3197" t="s">
        <v>2436</v>
      </c>
      <c r="M3197" s="134">
        <v>2000000</v>
      </c>
      <c r="N3197" s="134">
        <v>3400000</v>
      </c>
      <c r="O3197" t="s">
        <v>891</v>
      </c>
      <c r="P3197" t="s">
        <v>2435</v>
      </c>
      <c r="Q3197" t="s">
        <v>592</v>
      </c>
      <c r="U3197" t="s">
        <v>491</v>
      </c>
      <c r="X3197">
        <v>0</v>
      </c>
    </row>
    <row r="3198" spans="1:24" x14ac:dyDescent="0.25">
      <c r="A3198" s="234">
        <v>42674</v>
      </c>
      <c r="B3198" t="s">
        <v>328</v>
      </c>
      <c r="C3198" t="s">
        <v>603</v>
      </c>
      <c r="D3198" t="s">
        <v>2397</v>
      </c>
      <c r="E3198" t="s">
        <v>588</v>
      </c>
      <c r="F3198" t="s">
        <v>4590</v>
      </c>
      <c r="H3198" t="s">
        <v>710</v>
      </c>
      <c r="I3198" t="s">
        <v>4300</v>
      </c>
      <c r="J3198" t="s">
        <v>3370</v>
      </c>
      <c r="L3198">
        <v>2</v>
      </c>
      <c r="M3198" s="134">
        <v>2000000</v>
      </c>
      <c r="N3198" s="134">
        <v>3400000</v>
      </c>
      <c r="O3198" t="s">
        <v>560</v>
      </c>
      <c r="P3198" t="s">
        <v>4592</v>
      </c>
      <c r="Q3198" t="s">
        <v>592</v>
      </c>
      <c r="R3198" t="s">
        <v>4593</v>
      </c>
      <c r="U3198" t="s">
        <v>1327</v>
      </c>
      <c r="X3198">
        <v>0</v>
      </c>
    </row>
    <row r="3199" spans="1:24" x14ac:dyDescent="0.25">
      <c r="A3199" s="234">
        <v>42929</v>
      </c>
      <c r="B3199" t="s">
        <v>569</v>
      </c>
      <c r="C3199" t="s">
        <v>899</v>
      </c>
      <c r="D3199" t="s">
        <v>625</v>
      </c>
      <c r="E3199" t="s">
        <v>588</v>
      </c>
      <c r="F3199" t="s">
        <v>7602</v>
      </c>
      <c r="H3199" t="s">
        <v>7603</v>
      </c>
      <c r="I3199" t="s">
        <v>2054</v>
      </c>
      <c r="J3199" t="s">
        <v>899</v>
      </c>
      <c r="L3199">
        <v>2</v>
      </c>
      <c r="M3199" s="134">
        <v>2000000</v>
      </c>
      <c r="N3199" s="134">
        <v>3535000</v>
      </c>
      <c r="O3199" t="s">
        <v>560</v>
      </c>
      <c r="P3199" t="s">
        <v>7604</v>
      </c>
      <c r="Q3199" t="s">
        <v>592</v>
      </c>
      <c r="R3199" t="s">
        <v>7605</v>
      </c>
      <c r="U3199" t="s">
        <v>2227</v>
      </c>
      <c r="X3199">
        <v>0</v>
      </c>
    </row>
    <row r="3200" spans="1:24" x14ac:dyDescent="0.25">
      <c r="A3200" s="234">
        <v>43399</v>
      </c>
      <c r="B3200" t="s">
        <v>569</v>
      </c>
      <c r="C3200" t="s">
        <v>899</v>
      </c>
      <c r="D3200" t="s">
        <v>11031</v>
      </c>
      <c r="F3200" t="s">
        <v>13064</v>
      </c>
      <c r="G3200" t="s">
        <v>13065</v>
      </c>
      <c r="H3200" t="s">
        <v>607</v>
      </c>
      <c r="I3200" t="s">
        <v>3819</v>
      </c>
      <c r="J3200" t="s">
        <v>899</v>
      </c>
      <c r="K3200">
        <v>95032</v>
      </c>
      <c r="L3200">
        <v>2</v>
      </c>
      <c r="M3200" s="134">
        <v>2000000</v>
      </c>
      <c r="N3200" s="134">
        <v>3600000</v>
      </c>
      <c r="O3200" t="s">
        <v>560</v>
      </c>
      <c r="P3200" t="s">
        <v>13066</v>
      </c>
      <c r="Q3200" t="s">
        <v>592</v>
      </c>
      <c r="U3200" t="s">
        <v>12344</v>
      </c>
      <c r="X3200">
        <v>0</v>
      </c>
    </row>
    <row r="3201" spans="1:24" x14ac:dyDescent="0.25">
      <c r="A3201" s="234">
        <v>43425</v>
      </c>
      <c r="B3201" t="s">
        <v>569</v>
      </c>
      <c r="C3201" t="s">
        <v>899</v>
      </c>
      <c r="D3201" t="s">
        <v>625</v>
      </c>
      <c r="F3201" t="s">
        <v>11364</v>
      </c>
      <c r="G3201" t="s">
        <v>7813</v>
      </c>
      <c r="H3201" t="s">
        <v>607</v>
      </c>
      <c r="I3201" t="s">
        <v>4070</v>
      </c>
      <c r="J3201" t="s">
        <v>899</v>
      </c>
      <c r="K3201" t="s">
        <v>13278</v>
      </c>
      <c r="M3201" s="134">
        <v>2000000</v>
      </c>
      <c r="N3201" s="134">
        <v>3600000</v>
      </c>
      <c r="O3201" t="s">
        <v>560</v>
      </c>
      <c r="P3201" t="s">
        <v>13279</v>
      </c>
      <c r="Q3201" t="s">
        <v>29</v>
      </c>
      <c r="R3201" t="s">
        <v>13280</v>
      </c>
      <c r="U3201" t="s">
        <v>491</v>
      </c>
      <c r="X3201">
        <v>1</v>
      </c>
    </row>
    <row r="3202" spans="1:24" x14ac:dyDescent="0.25">
      <c r="A3202" s="234">
        <v>43035</v>
      </c>
      <c r="B3202" t="s">
        <v>328</v>
      </c>
      <c r="C3202" t="s">
        <v>899</v>
      </c>
      <c r="D3202" t="s">
        <v>649</v>
      </c>
      <c r="E3202" t="s">
        <v>588</v>
      </c>
      <c r="F3202" t="s">
        <v>9211</v>
      </c>
      <c r="G3202" t="s">
        <v>9211</v>
      </c>
      <c r="H3202" t="s">
        <v>1391</v>
      </c>
      <c r="I3202" t="s">
        <v>3557</v>
      </c>
      <c r="J3202" t="s">
        <v>899</v>
      </c>
      <c r="L3202">
        <v>2</v>
      </c>
      <c r="M3202" s="134">
        <v>2000000</v>
      </c>
      <c r="N3202" s="134">
        <v>3600000</v>
      </c>
      <c r="O3202" t="s">
        <v>9210</v>
      </c>
      <c r="P3202" t="s">
        <v>9281</v>
      </c>
      <c r="Q3202" t="s">
        <v>592</v>
      </c>
      <c r="R3202" t="s">
        <v>9209</v>
      </c>
      <c r="U3202" t="s">
        <v>1327</v>
      </c>
      <c r="X3202">
        <v>0</v>
      </c>
    </row>
    <row r="3203" spans="1:24" x14ac:dyDescent="0.25">
      <c r="A3203" s="234">
        <v>43090</v>
      </c>
      <c r="B3203" t="s">
        <v>328</v>
      </c>
      <c r="C3203" t="s">
        <v>603</v>
      </c>
      <c r="D3203" t="s">
        <v>649</v>
      </c>
      <c r="E3203" t="s">
        <v>588</v>
      </c>
      <c r="F3203" t="s">
        <v>9842</v>
      </c>
      <c r="G3203" t="s">
        <v>9843</v>
      </c>
      <c r="H3203" t="s">
        <v>607</v>
      </c>
      <c r="J3203" t="s">
        <v>6329</v>
      </c>
      <c r="L3203">
        <v>3</v>
      </c>
      <c r="M3203" s="134">
        <v>2000000</v>
      </c>
      <c r="N3203" s="134">
        <v>3600000</v>
      </c>
      <c r="O3203" t="s">
        <v>560</v>
      </c>
      <c r="P3203" t="s">
        <v>9845</v>
      </c>
      <c r="Q3203" t="s">
        <v>1939</v>
      </c>
      <c r="R3203" t="s">
        <v>9844</v>
      </c>
      <c r="U3203" t="s">
        <v>1327</v>
      </c>
      <c r="X3203">
        <v>0</v>
      </c>
    </row>
    <row r="3204" spans="1:24" x14ac:dyDescent="0.25">
      <c r="A3204" s="234">
        <v>42447</v>
      </c>
      <c r="B3204" t="s">
        <v>378</v>
      </c>
      <c r="C3204" t="s">
        <v>623</v>
      </c>
      <c r="D3204" t="s">
        <v>625</v>
      </c>
      <c r="E3204" t="s">
        <v>588</v>
      </c>
      <c r="F3204" t="s">
        <v>1370</v>
      </c>
      <c r="H3204" t="s">
        <v>607</v>
      </c>
      <c r="I3204" t="s">
        <v>1417</v>
      </c>
      <c r="M3204" s="134">
        <v>2000000</v>
      </c>
      <c r="N3204" s="134">
        <v>3600000</v>
      </c>
      <c r="O3204" t="s">
        <v>1371</v>
      </c>
      <c r="P3204" t="s">
        <v>1418</v>
      </c>
      <c r="Q3204" t="s">
        <v>592</v>
      </c>
      <c r="R3204" t="s">
        <v>1419</v>
      </c>
      <c r="U3204" t="s">
        <v>491</v>
      </c>
      <c r="X3204">
        <v>0</v>
      </c>
    </row>
    <row r="3205" spans="1:24" x14ac:dyDescent="0.25">
      <c r="A3205" s="234">
        <v>42501</v>
      </c>
      <c r="B3205" t="s">
        <v>378</v>
      </c>
      <c r="C3205" t="s">
        <v>623</v>
      </c>
      <c r="D3205" t="s">
        <v>625</v>
      </c>
      <c r="E3205" t="s">
        <v>1707</v>
      </c>
      <c r="F3205" t="s">
        <v>2053</v>
      </c>
      <c r="H3205" t="s">
        <v>607</v>
      </c>
      <c r="I3205" t="s">
        <v>2054</v>
      </c>
      <c r="M3205" s="134">
        <v>2000000</v>
      </c>
      <c r="N3205" s="134">
        <v>3600000</v>
      </c>
      <c r="O3205" t="s">
        <v>2057</v>
      </c>
      <c r="P3205" t="s">
        <v>2055</v>
      </c>
      <c r="Q3205" t="s">
        <v>620</v>
      </c>
      <c r="R3205" t="s">
        <v>2056</v>
      </c>
      <c r="S3205" t="s">
        <v>2124</v>
      </c>
      <c r="U3205" t="s">
        <v>491</v>
      </c>
      <c r="X3205">
        <v>0</v>
      </c>
    </row>
    <row r="3206" spans="1:24" x14ac:dyDescent="0.25">
      <c r="A3206" s="234">
        <v>42646</v>
      </c>
      <c r="B3206" t="s">
        <v>378</v>
      </c>
      <c r="C3206" t="s">
        <v>623</v>
      </c>
      <c r="D3206" t="s">
        <v>930</v>
      </c>
      <c r="E3206" t="s">
        <v>588</v>
      </c>
      <c r="F3206" t="s">
        <v>4143</v>
      </c>
      <c r="H3206" t="s">
        <v>607</v>
      </c>
      <c r="I3206" t="s">
        <v>3452</v>
      </c>
      <c r="J3206" t="s">
        <v>899</v>
      </c>
      <c r="L3206">
        <v>4</v>
      </c>
      <c r="M3206" s="134">
        <v>2000000</v>
      </c>
      <c r="N3206" s="134">
        <v>3600000</v>
      </c>
      <c r="O3206" t="s">
        <v>560</v>
      </c>
      <c r="P3206" t="s">
        <v>4144</v>
      </c>
      <c r="Q3206" t="s">
        <v>1939</v>
      </c>
      <c r="R3206" t="s">
        <v>4145</v>
      </c>
      <c r="U3206" t="s">
        <v>491</v>
      </c>
      <c r="X3206">
        <v>0</v>
      </c>
    </row>
    <row r="3207" spans="1:24" x14ac:dyDescent="0.25">
      <c r="A3207" s="234">
        <v>42676</v>
      </c>
      <c r="B3207" t="s">
        <v>378</v>
      </c>
      <c r="C3207" t="s">
        <v>623</v>
      </c>
      <c r="D3207" t="s">
        <v>625</v>
      </c>
      <c r="E3207" t="s">
        <v>588</v>
      </c>
      <c r="F3207" t="s">
        <v>4562</v>
      </c>
      <c r="H3207" t="s">
        <v>607</v>
      </c>
      <c r="I3207" t="s">
        <v>4563</v>
      </c>
      <c r="J3207" t="s">
        <v>899</v>
      </c>
      <c r="L3207">
        <v>4</v>
      </c>
      <c r="M3207" s="134">
        <v>2000000</v>
      </c>
      <c r="N3207" s="134">
        <v>3600000</v>
      </c>
      <c r="P3207" t="s">
        <v>4564</v>
      </c>
      <c r="Q3207" t="s">
        <v>1939</v>
      </c>
      <c r="R3207" t="s">
        <v>4565</v>
      </c>
      <c r="U3207" t="s">
        <v>491</v>
      </c>
      <c r="X3207">
        <v>0</v>
      </c>
    </row>
    <row r="3208" spans="1:24" x14ac:dyDescent="0.25">
      <c r="A3208" s="234">
        <v>43105</v>
      </c>
      <c r="B3208" t="s">
        <v>328</v>
      </c>
      <c r="C3208" t="s">
        <v>603</v>
      </c>
      <c r="D3208" t="s">
        <v>649</v>
      </c>
      <c r="E3208" t="s">
        <v>588</v>
      </c>
      <c r="F3208" t="s">
        <v>9955</v>
      </c>
      <c r="G3208" t="s">
        <v>7792</v>
      </c>
      <c r="H3208" t="s">
        <v>607</v>
      </c>
      <c r="I3208" t="s">
        <v>5914</v>
      </c>
      <c r="J3208" t="s">
        <v>899</v>
      </c>
      <c r="L3208">
        <v>1</v>
      </c>
      <c r="M3208" s="134">
        <v>2000000</v>
      </c>
      <c r="N3208" s="134">
        <v>3700000</v>
      </c>
      <c r="O3208" t="s">
        <v>560</v>
      </c>
      <c r="P3208" t="s">
        <v>9956</v>
      </c>
      <c r="Q3208" t="s">
        <v>592</v>
      </c>
      <c r="R3208" t="s">
        <v>9957</v>
      </c>
      <c r="U3208" t="s">
        <v>1327</v>
      </c>
      <c r="X3208">
        <v>0</v>
      </c>
    </row>
    <row r="3209" spans="1:24" x14ac:dyDescent="0.25">
      <c r="A3209" s="234">
        <v>43535</v>
      </c>
      <c r="B3209" t="s">
        <v>328</v>
      </c>
      <c r="C3209" t="s">
        <v>603</v>
      </c>
      <c r="D3209" t="s">
        <v>10705</v>
      </c>
      <c r="F3209" t="s">
        <v>264</v>
      </c>
      <c r="G3209" t="s">
        <v>8044</v>
      </c>
      <c r="H3209" t="s">
        <v>607</v>
      </c>
      <c r="I3209" t="s">
        <v>14680</v>
      </c>
      <c r="J3209" t="s">
        <v>4785</v>
      </c>
      <c r="K3209" t="s">
        <v>14681</v>
      </c>
      <c r="L3209">
        <v>3</v>
      </c>
      <c r="M3209" s="134">
        <v>2000000</v>
      </c>
      <c r="N3209" s="134">
        <v>3800000</v>
      </c>
      <c r="O3209" t="s">
        <v>10763</v>
      </c>
      <c r="P3209" t="s">
        <v>14825</v>
      </c>
      <c r="Q3209" t="s">
        <v>1939</v>
      </c>
      <c r="R3209" t="s">
        <v>14682</v>
      </c>
      <c r="U3209" t="s">
        <v>12797</v>
      </c>
      <c r="X3209">
        <v>0</v>
      </c>
    </row>
    <row r="3210" spans="1:24" x14ac:dyDescent="0.25">
      <c r="A3210" s="234">
        <v>43599</v>
      </c>
      <c r="B3210" t="s">
        <v>643</v>
      </c>
      <c r="C3210" t="s">
        <v>644</v>
      </c>
      <c r="D3210" t="s">
        <v>645</v>
      </c>
      <c r="F3210" t="s">
        <v>15556</v>
      </c>
      <c r="G3210" t="s">
        <v>15557</v>
      </c>
      <c r="H3210" t="s">
        <v>10831</v>
      </c>
      <c r="I3210" t="s">
        <v>8756</v>
      </c>
      <c r="J3210" t="s">
        <v>3398</v>
      </c>
      <c r="K3210" t="s">
        <v>15558</v>
      </c>
      <c r="L3210">
        <v>10</v>
      </c>
      <c r="M3210" s="134">
        <v>2000000</v>
      </c>
      <c r="N3210" s="134">
        <v>3800000</v>
      </c>
      <c r="O3210" t="s">
        <v>560</v>
      </c>
      <c r="P3210" t="s">
        <v>15559</v>
      </c>
      <c r="Q3210" t="s">
        <v>1939</v>
      </c>
      <c r="R3210" t="s">
        <v>15560</v>
      </c>
      <c r="U3210" t="s">
        <v>491</v>
      </c>
      <c r="X3210">
        <v>0</v>
      </c>
    </row>
    <row r="3211" spans="1:24" x14ac:dyDescent="0.25">
      <c r="A3211" s="234">
        <v>43381</v>
      </c>
      <c r="B3211" t="s">
        <v>5360</v>
      </c>
      <c r="C3211" t="s">
        <v>899</v>
      </c>
      <c r="D3211" t="s">
        <v>611</v>
      </c>
      <c r="E3211" t="s">
        <v>588</v>
      </c>
      <c r="F3211" t="s">
        <v>12863</v>
      </c>
      <c r="G3211" t="s">
        <v>10080</v>
      </c>
      <c r="H3211" t="s">
        <v>607</v>
      </c>
      <c r="I3211" t="s">
        <v>11734</v>
      </c>
      <c r="J3211" t="s">
        <v>899</v>
      </c>
      <c r="L3211">
        <v>3</v>
      </c>
      <c r="M3211" s="134">
        <v>2000000</v>
      </c>
      <c r="N3211" s="134">
        <v>3800000</v>
      </c>
      <c r="O3211" t="s">
        <v>560</v>
      </c>
      <c r="P3211" t="s">
        <v>12864</v>
      </c>
      <c r="Q3211" t="s">
        <v>592</v>
      </c>
      <c r="R3211" t="s">
        <v>12865</v>
      </c>
      <c r="U3211" t="s">
        <v>12797</v>
      </c>
      <c r="X3211">
        <v>0</v>
      </c>
    </row>
    <row r="3212" spans="1:24" x14ac:dyDescent="0.25">
      <c r="A3212" s="234">
        <v>42989</v>
      </c>
      <c r="B3212" t="s">
        <v>328</v>
      </c>
      <c r="C3212" t="s">
        <v>603</v>
      </c>
      <c r="D3212" t="s">
        <v>5701</v>
      </c>
      <c r="E3212" t="s">
        <v>588</v>
      </c>
      <c r="F3212" t="s">
        <v>8485</v>
      </c>
      <c r="G3212" t="s">
        <v>8486</v>
      </c>
      <c r="H3212" t="s">
        <v>607</v>
      </c>
      <c r="I3212" t="s">
        <v>3814</v>
      </c>
      <c r="J3212" t="s">
        <v>644</v>
      </c>
      <c r="L3212">
        <v>2</v>
      </c>
      <c r="M3212" s="134">
        <v>2000000</v>
      </c>
      <c r="N3212" s="134">
        <v>3800000</v>
      </c>
      <c r="O3212" t="s">
        <v>35</v>
      </c>
      <c r="P3212" t="s">
        <v>8487</v>
      </c>
      <c r="Q3212" t="s">
        <v>29</v>
      </c>
      <c r="R3212" t="s">
        <v>8493</v>
      </c>
      <c r="T3212">
        <v>32</v>
      </c>
      <c r="U3212" t="s">
        <v>491</v>
      </c>
      <c r="X3212">
        <v>1</v>
      </c>
    </row>
    <row r="3213" spans="1:24" x14ac:dyDescent="0.25">
      <c r="A3213" s="234">
        <v>42667</v>
      </c>
      <c r="B3213" t="s">
        <v>643</v>
      </c>
      <c r="C3213" t="s">
        <v>644</v>
      </c>
      <c r="D3213" t="s">
        <v>645</v>
      </c>
      <c r="E3213" t="s">
        <v>588</v>
      </c>
      <c r="F3213" t="s">
        <v>4443</v>
      </c>
      <c r="H3213" t="s">
        <v>4445</v>
      </c>
      <c r="I3213" t="s">
        <v>4444</v>
      </c>
      <c r="J3213" t="s">
        <v>644</v>
      </c>
      <c r="L3213">
        <v>4</v>
      </c>
      <c r="M3213" s="134">
        <v>2000000</v>
      </c>
      <c r="N3213" s="134">
        <v>3800000</v>
      </c>
      <c r="O3213" t="s">
        <v>560</v>
      </c>
      <c r="P3213" t="s">
        <v>4446</v>
      </c>
      <c r="Q3213" t="s">
        <v>592</v>
      </c>
      <c r="U3213" t="s">
        <v>491</v>
      </c>
      <c r="X3213">
        <v>0</v>
      </c>
    </row>
    <row r="3214" spans="1:24" x14ac:dyDescent="0.25">
      <c r="A3214" s="234">
        <v>42398</v>
      </c>
      <c r="B3214" t="s">
        <v>328</v>
      </c>
      <c r="C3214" t="s">
        <v>603</v>
      </c>
      <c r="D3214" t="s">
        <v>587</v>
      </c>
      <c r="E3214" t="s">
        <v>588</v>
      </c>
      <c r="F3214" t="s">
        <v>874</v>
      </c>
      <c r="H3214" t="s">
        <v>651</v>
      </c>
      <c r="I3214" t="s">
        <v>875</v>
      </c>
      <c r="M3214" s="134">
        <v>2000000</v>
      </c>
      <c r="N3214" s="134">
        <v>3900000</v>
      </c>
      <c r="O3214" t="s">
        <v>876</v>
      </c>
      <c r="P3214" t="s">
        <v>877</v>
      </c>
      <c r="Q3214" t="s">
        <v>592</v>
      </c>
      <c r="R3214" t="s">
        <v>923</v>
      </c>
      <c r="U3214" t="s">
        <v>491</v>
      </c>
      <c r="X3214">
        <v>0</v>
      </c>
    </row>
    <row r="3215" spans="1:24" x14ac:dyDescent="0.25">
      <c r="A3215" s="234">
        <v>43558</v>
      </c>
      <c r="B3215" t="s">
        <v>643</v>
      </c>
      <c r="C3215" t="s">
        <v>644</v>
      </c>
      <c r="D3215" t="s">
        <v>645</v>
      </c>
      <c r="F3215" t="s">
        <v>14966</v>
      </c>
      <c r="G3215" t="s">
        <v>14967</v>
      </c>
      <c r="H3215" t="s">
        <v>607</v>
      </c>
      <c r="I3215" t="s">
        <v>14968</v>
      </c>
      <c r="J3215" t="s">
        <v>899</v>
      </c>
      <c r="K3215" t="s">
        <v>14969</v>
      </c>
      <c r="L3215">
        <v>2</v>
      </c>
      <c r="M3215" s="134">
        <v>2000000</v>
      </c>
      <c r="N3215" s="134">
        <v>3950000</v>
      </c>
      <c r="O3215" t="s">
        <v>560</v>
      </c>
      <c r="P3215" t="s">
        <v>14970</v>
      </c>
      <c r="Q3215" t="s">
        <v>29</v>
      </c>
      <c r="R3215" t="s">
        <v>14971</v>
      </c>
      <c r="U3215" t="s">
        <v>12797</v>
      </c>
      <c r="X3215">
        <v>1</v>
      </c>
    </row>
    <row r="3216" spans="1:24" x14ac:dyDescent="0.25">
      <c r="A3216" s="234">
        <v>43130</v>
      </c>
      <c r="B3216" t="s">
        <v>5956</v>
      </c>
      <c r="C3216" t="s">
        <v>3369</v>
      </c>
      <c r="D3216" t="s">
        <v>10156</v>
      </c>
      <c r="E3216" t="s">
        <v>588</v>
      </c>
      <c r="F3216" t="s">
        <v>10157</v>
      </c>
      <c r="G3216" t="s">
        <v>813</v>
      </c>
      <c r="H3216" t="s">
        <v>607</v>
      </c>
      <c r="I3216" t="s">
        <v>10158</v>
      </c>
      <c r="J3216" t="s">
        <v>3369</v>
      </c>
      <c r="L3216">
        <v>4</v>
      </c>
      <c r="M3216" s="134">
        <v>2000000</v>
      </c>
      <c r="N3216" s="134">
        <v>4000000</v>
      </c>
      <c r="O3216" t="s">
        <v>10879</v>
      </c>
      <c r="P3216" t="s">
        <v>10159</v>
      </c>
      <c r="Q3216" t="s">
        <v>1939</v>
      </c>
      <c r="R3216" t="s">
        <v>10160</v>
      </c>
      <c r="U3216" t="s">
        <v>1327</v>
      </c>
      <c r="X3216">
        <v>0</v>
      </c>
    </row>
    <row r="3217" spans="1:24" x14ac:dyDescent="0.25">
      <c r="A3217" s="234">
        <v>42758</v>
      </c>
      <c r="B3217" t="s">
        <v>328</v>
      </c>
      <c r="C3217" t="s">
        <v>603</v>
      </c>
      <c r="D3217" t="s">
        <v>2397</v>
      </c>
      <c r="E3217" t="s">
        <v>588</v>
      </c>
      <c r="F3217" t="s">
        <v>5400</v>
      </c>
      <c r="H3217" t="s">
        <v>607</v>
      </c>
      <c r="I3217" t="s">
        <v>5401</v>
      </c>
      <c r="J3217" t="s">
        <v>5402</v>
      </c>
      <c r="L3217" t="s">
        <v>5280</v>
      </c>
      <c r="M3217" s="134">
        <v>2000000</v>
      </c>
      <c r="N3217" s="134">
        <v>4000000</v>
      </c>
      <c r="O3217" t="s">
        <v>560</v>
      </c>
      <c r="P3217" t="s">
        <v>5404</v>
      </c>
      <c r="Q3217" t="s">
        <v>620</v>
      </c>
      <c r="R3217" t="s">
        <v>5403</v>
      </c>
      <c r="U3217" t="s">
        <v>491</v>
      </c>
      <c r="X3217">
        <v>0</v>
      </c>
    </row>
    <row r="3218" spans="1:24" x14ac:dyDescent="0.25">
      <c r="A3218" s="234">
        <v>42585</v>
      </c>
      <c r="B3218" t="s">
        <v>328</v>
      </c>
      <c r="C3218" t="s">
        <v>603</v>
      </c>
      <c r="D3218" t="s">
        <v>1471</v>
      </c>
      <c r="E3218" t="s">
        <v>588</v>
      </c>
      <c r="F3218" t="s">
        <v>3204</v>
      </c>
      <c r="H3218" t="s">
        <v>722</v>
      </c>
      <c r="I3218" t="s">
        <v>3205</v>
      </c>
      <c r="J3218" t="s">
        <v>899</v>
      </c>
      <c r="L3218">
        <v>4</v>
      </c>
      <c r="M3218" s="134">
        <v>2000000</v>
      </c>
      <c r="N3218" s="134">
        <v>4000000</v>
      </c>
      <c r="O3218" t="s">
        <v>891</v>
      </c>
      <c r="P3218" t="s">
        <v>3209</v>
      </c>
      <c r="Q3218" t="s">
        <v>592</v>
      </c>
      <c r="U3218" t="s">
        <v>491</v>
      </c>
      <c r="X3218">
        <v>0</v>
      </c>
    </row>
    <row r="3219" spans="1:24" x14ac:dyDescent="0.25">
      <c r="A3219" s="234">
        <v>42585</v>
      </c>
      <c r="B3219" t="s">
        <v>328</v>
      </c>
      <c r="C3219" t="s">
        <v>603</v>
      </c>
      <c r="D3219" t="s">
        <v>1471</v>
      </c>
      <c r="E3219" t="s">
        <v>588</v>
      </c>
      <c r="F3219" t="s">
        <v>3208</v>
      </c>
      <c r="H3219" t="s">
        <v>722</v>
      </c>
      <c r="I3219" t="s">
        <v>3205</v>
      </c>
      <c r="J3219" t="s">
        <v>899</v>
      </c>
      <c r="L3219">
        <v>4</v>
      </c>
      <c r="M3219" s="134">
        <v>2000000</v>
      </c>
      <c r="N3219" s="134">
        <v>4000000</v>
      </c>
      <c r="O3219" t="s">
        <v>891</v>
      </c>
      <c r="P3219" t="s">
        <v>3210</v>
      </c>
      <c r="Q3219" t="s">
        <v>592</v>
      </c>
      <c r="U3219" t="s">
        <v>491</v>
      </c>
      <c r="X3219">
        <v>0</v>
      </c>
    </row>
    <row r="3220" spans="1:24" x14ac:dyDescent="0.25">
      <c r="A3220" s="234">
        <v>42443</v>
      </c>
      <c r="B3220" t="s">
        <v>378</v>
      </c>
      <c r="C3220" t="s">
        <v>899</v>
      </c>
      <c r="D3220" t="s">
        <v>930</v>
      </c>
      <c r="E3220" t="s">
        <v>1314</v>
      </c>
      <c r="F3220" t="s">
        <v>1315</v>
      </c>
      <c r="H3220" t="s">
        <v>607</v>
      </c>
      <c r="I3220" t="s">
        <v>1322</v>
      </c>
      <c r="M3220" s="134">
        <v>2000000</v>
      </c>
      <c r="N3220" s="134">
        <v>4320000</v>
      </c>
      <c r="P3220" t="s">
        <v>1316</v>
      </c>
      <c r="Q3220" t="s">
        <v>592</v>
      </c>
      <c r="R3220" t="s">
        <v>1317</v>
      </c>
      <c r="U3220" t="s">
        <v>633</v>
      </c>
      <c r="X3220">
        <v>0</v>
      </c>
    </row>
    <row r="3221" spans="1:24" x14ac:dyDescent="0.25">
      <c r="A3221" s="234">
        <v>42634</v>
      </c>
      <c r="B3221" t="s">
        <v>643</v>
      </c>
      <c r="C3221" t="s">
        <v>644</v>
      </c>
      <c r="D3221" t="s">
        <v>645</v>
      </c>
      <c r="E3221" t="s">
        <v>588</v>
      </c>
      <c r="F3221" t="s">
        <v>4001</v>
      </c>
      <c r="H3221" t="s">
        <v>722</v>
      </c>
      <c r="I3221" t="s">
        <v>4002</v>
      </c>
      <c r="J3221" t="s">
        <v>644</v>
      </c>
      <c r="L3221">
        <v>10</v>
      </c>
      <c r="M3221" s="134">
        <v>2000000</v>
      </c>
      <c r="N3221" s="134">
        <v>4400000</v>
      </c>
      <c r="O3221" t="s">
        <v>4003</v>
      </c>
      <c r="P3221" t="s">
        <v>4004</v>
      </c>
      <c r="Q3221" t="s">
        <v>1612</v>
      </c>
      <c r="R3221" t="s">
        <v>4014</v>
      </c>
      <c r="U3221" t="s">
        <v>491</v>
      </c>
      <c r="X3221">
        <v>0</v>
      </c>
    </row>
    <row r="3222" spans="1:24" x14ac:dyDescent="0.25">
      <c r="A3222" s="234">
        <v>42537</v>
      </c>
      <c r="B3222" t="s">
        <v>328</v>
      </c>
      <c r="C3222" t="s">
        <v>603</v>
      </c>
      <c r="D3222" t="s">
        <v>1471</v>
      </c>
      <c r="E3222" t="s">
        <v>588</v>
      </c>
      <c r="F3222" t="s">
        <v>2542</v>
      </c>
      <c r="H3222" t="s">
        <v>607</v>
      </c>
      <c r="I3222" t="s">
        <v>2543</v>
      </c>
      <c r="M3222" s="134">
        <v>2003000</v>
      </c>
      <c r="N3222" s="134">
        <v>3605400</v>
      </c>
      <c r="O3222" t="s">
        <v>2545</v>
      </c>
      <c r="P3222" t="s">
        <v>2544</v>
      </c>
      <c r="Q3222" t="s">
        <v>1939</v>
      </c>
      <c r="R3222" t="s">
        <v>2546</v>
      </c>
      <c r="U3222" t="s">
        <v>491</v>
      </c>
      <c r="X3222">
        <v>0</v>
      </c>
    </row>
    <row r="3223" spans="1:24" x14ac:dyDescent="0.25">
      <c r="A3223" s="234">
        <v>42661</v>
      </c>
      <c r="B3223" t="s">
        <v>378</v>
      </c>
      <c r="C3223" t="s">
        <v>623</v>
      </c>
      <c r="D3223" t="s">
        <v>930</v>
      </c>
      <c r="E3223" t="s">
        <v>588</v>
      </c>
      <c r="F3223" t="s">
        <v>4368</v>
      </c>
      <c r="H3223" t="s">
        <v>607</v>
      </c>
      <c r="I3223" t="s">
        <v>3441</v>
      </c>
      <c r="J3223" t="s">
        <v>899</v>
      </c>
      <c r="L3223">
        <v>3</v>
      </c>
      <c r="M3223" s="134">
        <v>2004000</v>
      </c>
      <c r="N3223" s="134">
        <v>4008000</v>
      </c>
      <c r="O3223" t="s">
        <v>560</v>
      </c>
      <c r="P3223" t="s">
        <v>4370</v>
      </c>
      <c r="Q3223" t="s">
        <v>592</v>
      </c>
      <c r="U3223" t="s">
        <v>491</v>
      </c>
      <c r="X3223">
        <v>0</v>
      </c>
    </row>
    <row r="3224" spans="1:24" x14ac:dyDescent="0.25">
      <c r="A3224" s="234">
        <v>43468</v>
      </c>
      <c r="B3224" t="s">
        <v>328</v>
      </c>
      <c r="C3224" t="s">
        <v>603</v>
      </c>
      <c r="D3224" t="s">
        <v>10338</v>
      </c>
      <c r="F3224" t="s">
        <v>13818</v>
      </c>
      <c r="H3224" t="s">
        <v>809</v>
      </c>
      <c r="I3224" t="s">
        <v>8</v>
      </c>
      <c r="J3224" t="s">
        <v>3612</v>
      </c>
      <c r="K3224" t="s">
        <v>13819</v>
      </c>
      <c r="L3224">
        <v>2</v>
      </c>
      <c r="M3224" s="134">
        <v>2007000</v>
      </c>
      <c r="N3224" s="134">
        <v>3411900</v>
      </c>
      <c r="O3224" t="s">
        <v>4533</v>
      </c>
      <c r="P3224" t="s">
        <v>14224</v>
      </c>
      <c r="Q3224" t="s">
        <v>1939</v>
      </c>
      <c r="R3224" t="s">
        <v>14225</v>
      </c>
      <c r="U3224" t="s">
        <v>12797</v>
      </c>
      <c r="X3224">
        <v>0</v>
      </c>
    </row>
    <row r="3225" spans="1:24" x14ac:dyDescent="0.25">
      <c r="A3225" s="234">
        <v>42754</v>
      </c>
      <c r="B3225" t="s">
        <v>569</v>
      </c>
      <c r="D3225" t="s">
        <v>625</v>
      </c>
      <c r="E3225" t="s">
        <v>588</v>
      </c>
      <c r="F3225" t="s">
        <v>5377</v>
      </c>
      <c r="H3225" t="s">
        <v>607</v>
      </c>
      <c r="I3225" t="s">
        <v>2054</v>
      </c>
      <c r="J3225" t="s">
        <v>899</v>
      </c>
      <c r="L3225" t="s">
        <v>5341</v>
      </c>
      <c r="M3225" s="134">
        <v>2009000</v>
      </c>
      <c r="N3225" s="134">
        <v>3616200</v>
      </c>
      <c r="O3225" t="s">
        <v>4017</v>
      </c>
      <c r="P3225" t="s">
        <v>5378</v>
      </c>
      <c r="Q3225" t="s">
        <v>1939</v>
      </c>
      <c r="R3225" t="s">
        <v>5379</v>
      </c>
      <c r="U3225" t="s">
        <v>491</v>
      </c>
      <c r="X3225">
        <v>0</v>
      </c>
    </row>
    <row r="3226" spans="1:24" x14ac:dyDescent="0.25">
      <c r="A3226" s="234">
        <v>42657</v>
      </c>
      <c r="B3226" t="s">
        <v>328</v>
      </c>
      <c r="C3226" t="s">
        <v>603</v>
      </c>
      <c r="D3226" t="s">
        <v>1471</v>
      </c>
      <c r="E3226" t="s">
        <v>588</v>
      </c>
      <c r="F3226" t="s">
        <v>4318</v>
      </c>
      <c r="H3226" t="s">
        <v>607</v>
      </c>
      <c r="I3226" t="s">
        <v>3536</v>
      </c>
      <c r="J3226" t="s">
        <v>899</v>
      </c>
      <c r="L3226">
        <v>4</v>
      </c>
      <c r="M3226" s="134">
        <v>2013000</v>
      </c>
      <c r="N3226" s="134">
        <v>3649600</v>
      </c>
      <c r="O3226" t="s">
        <v>560</v>
      </c>
      <c r="P3226" t="s">
        <v>4381</v>
      </c>
      <c r="Q3226" t="s">
        <v>1939</v>
      </c>
      <c r="R3226" t="s">
        <v>4319</v>
      </c>
      <c r="U3226" t="s">
        <v>491</v>
      </c>
      <c r="X3226">
        <v>0</v>
      </c>
    </row>
    <row r="3227" spans="1:24" x14ac:dyDescent="0.25">
      <c r="A3227" s="234">
        <v>43360</v>
      </c>
      <c r="B3227" t="s">
        <v>569</v>
      </c>
      <c r="C3227" t="s">
        <v>899</v>
      </c>
      <c r="D3227" t="s">
        <v>11031</v>
      </c>
      <c r="E3227" t="s">
        <v>588</v>
      </c>
      <c r="F3227" t="s">
        <v>4</v>
      </c>
      <c r="G3227" t="s">
        <v>12622</v>
      </c>
      <c r="H3227" t="s">
        <v>607</v>
      </c>
      <c r="I3227" t="s">
        <v>3959</v>
      </c>
      <c r="J3227" t="s">
        <v>899</v>
      </c>
      <c r="M3227" s="134">
        <v>2014000</v>
      </c>
      <c r="N3227" s="134">
        <v>3618900</v>
      </c>
      <c r="O3227" t="s">
        <v>560</v>
      </c>
      <c r="P3227" t="s">
        <v>12623</v>
      </c>
      <c r="Q3227" t="s">
        <v>1939</v>
      </c>
      <c r="R3227" t="s">
        <v>12647</v>
      </c>
      <c r="U3227" t="s">
        <v>12344</v>
      </c>
      <c r="X3227">
        <v>0</v>
      </c>
    </row>
    <row r="3228" spans="1:24" x14ac:dyDescent="0.25">
      <c r="A3228" s="234">
        <v>42796</v>
      </c>
      <c r="B3228" t="s">
        <v>569</v>
      </c>
      <c r="D3228" t="s">
        <v>625</v>
      </c>
      <c r="E3228" t="s">
        <v>588</v>
      </c>
      <c r="F3228" t="s">
        <v>5837</v>
      </c>
      <c r="H3228" t="s">
        <v>607</v>
      </c>
      <c r="I3228" t="s">
        <v>5838</v>
      </c>
      <c r="J3228" t="s">
        <v>899</v>
      </c>
      <c r="L3228">
        <v>2</v>
      </c>
      <c r="M3228" s="134">
        <v>2014000</v>
      </c>
      <c r="N3228" s="134">
        <v>3625000</v>
      </c>
      <c r="O3228" t="s">
        <v>695</v>
      </c>
      <c r="P3228" t="s">
        <v>5840</v>
      </c>
      <c r="Q3228" t="s">
        <v>29</v>
      </c>
      <c r="R3228" t="s">
        <v>5841</v>
      </c>
      <c r="U3228" t="s">
        <v>491</v>
      </c>
      <c r="X3228">
        <v>1</v>
      </c>
    </row>
    <row r="3229" spans="1:24" x14ac:dyDescent="0.25">
      <c r="A3229" s="234">
        <v>42440</v>
      </c>
      <c r="B3229" t="s">
        <v>328</v>
      </c>
      <c r="C3229" t="s">
        <v>603</v>
      </c>
      <c r="D3229" t="s">
        <v>587</v>
      </c>
      <c r="E3229" t="s">
        <v>588</v>
      </c>
      <c r="F3229" t="s">
        <v>1301</v>
      </c>
      <c r="H3229" t="s">
        <v>905</v>
      </c>
      <c r="I3229" t="s">
        <v>789</v>
      </c>
      <c r="M3229" s="134">
        <v>2017000</v>
      </c>
      <c r="N3229" s="134">
        <v>1420000</v>
      </c>
      <c r="O3229" t="s">
        <v>1302</v>
      </c>
      <c r="P3229" t="s">
        <v>1303</v>
      </c>
      <c r="Q3229" t="s">
        <v>592</v>
      </c>
      <c r="R3229" t="s">
        <v>1481</v>
      </c>
      <c r="U3229" t="s">
        <v>491</v>
      </c>
      <c r="X3229">
        <v>0</v>
      </c>
    </row>
    <row r="3230" spans="1:24" x14ac:dyDescent="0.25">
      <c r="A3230" s="234">
        <v>43014</v>
      </c>
      <c r="B3230" t="s">
        <v>328</v>
      </c>
      <c r="C3230" t="s">
        <v>603</v>
      </c>
      <c r="D3230" t="s">
        <v>649</v>
      </c>
      <c r="E3230" t="s">
        <v>588</v>
      </c>
      <c r="F3230" t="s">
        <v>8936</v>
      </c>
      <c r="G3230" t="s">
        <v>7855</v>
      </c>
      <c r="H3230" t="s">
        <v>607</v>
      </c>
      <c r="I3230" t="s">
        <v>8937</v>
      </c>
      <c r="J3230" t="s">
        <v>4031</v>
      </c>
      <c r="L3230">
        <v>10</v>
      </c>
      <c r="M3230" s="134">
        <v>2021000</v>
      </c>
      <c r="N3230" s="134">
        <v>4073850</v>
      </c>
      <c r="O3230" t="s">
        <v>560</v>
      </c>
      <c r="P3230" t="s">
        <v>8938</v>
      </c>
      <c r="Q3230" t="s">
        <v>1612</v>
      </c>
      <c r="R3230" t="s">
        <v>9272</v>
      </c>
      <c r="S3230" t="s">
        <v>8939</v>
      </c>
      <c r="T3230">
        <v>45</v>
      </c>
      <c r="U3230" t="s">
        <v>491</v>
      </c>
      <c r="X3230">
        <v>0</v>
      </c>
    </row>
    <row r="3231" spans="1:24" x14ac:dyDescent="0.25">
      <c r="A3231" s="234">
        <v>43003</v>
      </c>
      <c r="B3231" t="s">
        <v>328</v>
      </c>
      <c r="C3231" t="s">
        <v>603</v>
      </c>
      <c r="D3231" t="s">
        <v>649</v>
      </c>
      <c r="E3231" t="s">
        <v>588</v>
      </c>
      <c r="F3231" t="s">
        <v>8681</v>
      </c>
      <c r="H3231" t="s">
        <v>607</v>
      </c>
      <c r="I3231" t="s">
        <v>8682</v>
      </c>
      <c r="J3231" t="s">
        <v>5402</v>
      </c>
      <c r="L3231">
        <v>4</v>
      </c>
      <c r="M3231" s="134">
        <v>2022000</v>
      </c>
      <c r="N3231" s="134">
        <v>3437400</v>
      </c>
      <c r="O3231" t="s">
        <v>560</v>
      </c>
      <c r="P3231" t="s">
        <v>8683</v>
      </c>
      <c r="Q3231" t="s">
        <v>1939</v>
      </c>
      <c r="R3231" t="s">
        <v>8684</v>
      </c>
      <c r="T3231">
        <v>25</v>
      </c>
      <c r="U3231" t="s">
        <v>491</v>
      </c>
      <c r="X3231">
        <v>0</v>
      </c>
    </row>
    <row r="3232" spans="1:24" x14ac:dyDescent="0.25">
      <c r="A3232" s="234">
        <v>42941</v>
      </c>
      <c r="B3232" t="s">
        <v>569</v>
      </c>
      <c r="D3232" t="s">
        <v>625</v>
      </c>
      <c r="E3232" t="s">
        <v>588</v>
      </c>
      <c r="F3232" t="s">
        <v>7756</v>
      </c>
      <c r="G3232" t="s">
        <v>7757</v>
      </c>
      <c r="H3232" t="s">
        <v>4261</v>
      </c>
      <c r="I3232" t="s">
        <v>3649</v>
      </c>
      <c r="J3232" t="s">
        <v>899</v>
      </c>
      <c r="L3232">
        <v>4</v>
      </c>
      <c r="M3232" s="134">
        <v>2025000</v>
      </c>
      <c r="N3232" s="134">
        <v>3094000</v>
      </c>
      <c r="O3232" t="s">
        <v>560</v>
      </c>
      <c r="P3232" t="s">
        <v>7758</v>
      </c>
      <c r="Q3232" t="s">
        <v>1939</v>
      </c>
      <c r="R3232" t="s">
        <v>7759</v>
      </c>
      <c r="U3232" t="s">
        <v>491</v>
      </c>
      <c r="X3232">
        <v>0</v>
      </c>
    </row>
    <row r="3233" spans="1:24" x14ac:dyDescent="0.25">
      <c r="A3233" s="234">
        <v>43005</v>
      </c>
      <c r="B3233" t="s">
        <v>328</v>
      </c>
      <c r="C3233" t="s">
        <v>603</v>
      </c>
      <c r="D3233" t="s">
        <v>1401</v>
      </c>
      <c r="E3233" t="s">
        <v>588</v>
      </c>
      <c r="F3233" t="s">
        <v>8754</v>
      </c>
      <c r="G3233" t="s">
        <v>8755</v>
      </c>
      <c r="H3233" t="s">
        <v>809</v>
      </c>
      <c r="I3233" t="s">
        <v>8756</v>
      </c>
      <c r="J3233" t="s">
        <v>3398</v>
      </c>
      <c r="L3233">
        <v>3</v>
      </c>
      <c r="M3233" s="134">
        <v>2028000</v>
      </c>
      <c r="N3233" s="134">
        <v>2200000</v>
      </c>
      <c r="O3233" t="s">
        <v>8757</v>
      </c>
      <c r="P3233" t="s">
        <v>8758</v>
      </c>
      <c r="Q3233" t="s">
        <v>1612</v>
      </c>
      <c r="R3233" t="s">
        <v>8788</v>
      </c>
      <c r="T3233">
        <v>23</v>
      </c>
      <c r="U3233" t="s">
        <v>491</v>
      </c>
      <c r="X3233">
        <v>0</v>
      </c>
    </row>
    <row r="3234" spans="1:24" x14ac:dyDescent="0.25">
      <c r="A3234" s="234">
        <v>43411</v>
      </c>
      <c r="B3234" t="s">
        <v>569</v>
      </c>
      <c r="C3234" t="s">
        <v>899</v>
      </c>
      <c r="D3234" t="s">
        <v>732</v>
      </c>
      <c r="F3234" t="s">
        <v>11487</v>
      </c>
      <c r="G3234" t="s">
        <v>7757</v>
      </c>
      <c r="H3234" t="s">
        <v>607</v>
      </c>
      <c r="I3234" t="s">
        <v>10599</v>
      </c>
      <c r="J3234" t="s">
        <v>899</v>
      </c>
      <c r="K3234" t="s">
        <v>13148</v>
      </c>
      <c r="L3234">
        <v>2</v>
      </c>
      <c r="M3234" s="134">
        <v>2029000</v>
      </c>
      <c r="N3234" s="134">
        <v>3652200</v>
      </c>
      <c r="O3234" t="s">
        <v>560</v>
      </c>
      <c r="P3234" t="s">
        <v>13149</v>
      </c>
      <c r="Q3234" t="s">
        <v>592</v>
      </c>
      <c r="U3234" t="s">
        <v>12344</v>
      </c>
      <c r="X3234">
        <v>0</v>
      </c>
    </row>
    <row r="3235" spans="1:24" x14ac:dyDescent="0.25">
      <c r="A3235" s="234">
        <v>42661</v>
      </c>
      <c r="B3235" t="s">
        <v>328</v>
      </c>
      <c r="C3235" t="s">
        <v>603</v>
      </c>
      <c r="D3235" t="s">
        <v>2397</v>
      </c>
      <c r="E3235" t="s">
        <v>588</v>
      </c>
      <c r="F3235" t="s">
        <v>4357</v>
      </c>
      <c r="H3235" t="s">
        <v>607</v>
      </c>
      <c r="I3235" t="s">
        <v>3649</v>
      </c>
      <c r="J3235" t="s">
        <v>899</v>
      </c>
      <c r="L3235">
        <v>4</v>
      </c>
      <c r="M3235" s="134">
        <v>2031000</v>
      </c>
      <c r="N3235" s="134">
        <v>3649600</v>
      </c>
      <c r="O3235" t="s">
        <v>560</v>
      </c>
      <c r="P3235" t="s">
        <v>4358</v>
      </c>
      <c r="Q3235" t="s">
        <v>1939</v>
      </c>
      <c r="R3235" t="s">
        <v>4359</v>
      </c>
      <c r="U3235" t="s">
        <v>491</v>
      </c>
      <c r="X3235">
        <v>0</v>
      </c>
    </row>
    <row r="3236" spans="1:24" x14ac:dyDescent="0.25">
      <c r="A3236" s="234">
        <v>42578</v>
      </c>
      <c r="B3236" t="s">
        <v>328</v>
      </c>
      <c r="C3236" t="s">
        <v>603</v>
      </c>
      <c r="D3236" t="s">
        <v>1401</v>
      </c>
      <c r="E3236" t="s">
        <v>588</v>
      </c>
      <c r="F3236" t="s">
        <v>3067</v>
      </c>
      <c r="H3236" t="s">
        <v>722</v>
      </c>
      <c r="I3236" t="s">
        <v>3068</v>
      </c>
      <c r="M3236" s="134">
        <v>2037000</v>
      </c>
      <c r="N3236" s="134">
        <v>4074000</v>
      </c>
      <c r="O3236" t="s">
        <v>891</v>
      </c>
      <c r="P3236" t="s">
        <v>3069</v>
      </c>
      <c r="Q3236" t="s">
        <v>1939</v>
      </c>
      <c r="R3236" t="s">
        <v>3070</v>
      </c>
      <c r="S3236" t="s">
        <v>3089</v>
      </c>
      <c r="U3236" t="s">
        <v>491</v>
      </c>
      <c r="X3236">
        <v>0</v>
      </c>
    </row>
    <row r="3237" spans="1:24" x14ac:dyDescent="0.25">
      <c r="A3237" s="234">
        <v>42401</v>
      </c>
      <c r="B3237" t="s">
        <v>378</v>
      </c>
      <c r="C3237" t="s">
        <v>623</v>
      </c>
      <c r="D3237" t="s">
        <v>930</v>
      </c>
      <c r="E3237" t="s">
        <v>588</v>
      </c>
      <c r="F3237" t="s">
        <v>942</v>
      </c>
      <c r="H3237" t="s">
        <v>607</v>
      </c>
      <c r="I3237" t="s">
        <v>943</v>
      </c>
      <c r="M3237" s="134">
        <v>2038000</v>
      </c>
      <c r="N3237" s="134">
        <v>3557000</v>
      </c>
      <c r="O3237" t="s">
        <v>891</v>
      </c>
      <c r="P3237" t="s">
        <v>944</v>
      </c>
      <c r="Q3237" t="s">
        <v>592</v>
      </c>
      <c r="R3237" t="s">
        <v>945</v>
      </c>
      <c r="U3237" t="s">
        <v>289</v>
      </c>
      <c r="X3237">
        <v>0</v>
      </c>
    </row>
    <row r="3238" spans="1:24" x14ac:dyDescent="0.25">
      <c r="A3238" s="234">
        <v>42613</v>
      </c>
      <c r="B3238" t="s">
        <v>378</v>
      </c>
      <c r="C3238" t="s">
        <v>623</v>
      </c>
      <c r="D3238" t="s">
        <v>625</v>
      </c>
      <c r="E3238" t="s">
        <v>588</v>
      </c>
      <c r="F3238" t="s">
        <v>3724</v>
      </c>
      <c r="H3238" t="s">
        <v>809</v>
      </c>
      <c r="I3238" t="s">
        <v>3388</v>
      </c>
      <c r="J3238" t="s">
        <v>899</v>
      </c>
      <c r="L3238">
        <v>3</v>
      </c>
      <c r="M3238" s="134">
        <v>2038200</v>
      </c>
      <c r="N3238" s="134">
        <v>2244000</v>
      </c>
      <c r="O3238" t="s">
        <v>2117</v>
      </c>
      <c r="P3238" t="s">
        <v>3725</v>
      </c>
      <c r="Q3238" t="s">
        <v>592</v>
      </c>
      <c r="U3238" t="s">
        <v>491</v>
      </c>
      <c r="X3238">
        <v>0</v>
      </c>
    </row>
    <row r="3239" spans="1:24" x14ac:dyDescent="0.25">
      <c r="A3239" s="234">
        <v>43080</v>
      </c>
      <c r="B3239" t="s">
        <v>569</v>
      </c>
      <c r="C3239" t="s">
        <v>899</v>
      </c>
      <c r="D3239" t="s">
        <v>625</v>
      </c>
      <c r="E3239" t="s">
        <v>588</v>
      </c>
      <c r="F3239" t="s">
        <v>9739</v>
      </c>
      <c r="G3239" t="s">
        <v>9740</v>
      </c>
      <c r="H3239" t="s">
        <v>905</v>
      </c>
      <c r="I3239" t="s">
        <v>3388</v>
      </c>
      <c r="J3239" t="s">
        <v>899</v>
      </c>
      <c r="L3239">
        <v>3</v>
      </c>
      <c r="M3239" s="134">
        <v>2038200</v>
      </c>
      <c r="N3239" s="134">
        <v>0</v>
      </c>
      <c r="O3239" t="s">
        <v>2117</v>
      </c>
      <c r="P3239" t="s">
        <v>9741</v>
      </c>
      <c r="Q3239" t="s">
        <v>592</v>
      </c>
      <c r="S3239" t="s">
        <v>833</v>
      </c>
      <c r="U3239" t="s">
        <v>491</v>
      </c>
      <c r="X3239">
        <v>0</v>
      </c>
    </row>
    <row r="3240" spans="1:24" x14ac:dyDescent="0.25">
      <c r="A3240" s="234">
        <v>42902</v>
      </c>
      <c r="B3240" t="s">
        <v>569</v>
      </c>
      <c r="D3240" t="s">
        <v>611</v>
      </c>
      <c r="E3240" t="s">
        <v>588</v>
      </c>
      <c r="F3240" t="s">
        <v>7221</v>
      </c>
      <c r="H3240" t="s">
        <v>607</v>
      </c>
      <c r="I3240" t="s">
        <v>2054</v>
      </c>
      <c r="J3240" t="s">
        <v>899</v>
      </c>
      <c r="L3240">
        <v>2</v>
      </c>
      <c r="M3240" s="134">
        <v>2040000</v>
      </c>
      <c r="N3240" s="134">
        <v>2340000</v>
      </c>
      <c r="O3240" t="s">
        <v>5821</v>
      </c>
      <c r="P3240" t="s">
        <v>7222</v>
      </c>
      <c r="Q3240" t="s">
        <v>1939</v>
      </c>
      <c r="R3240" t="s">
        <v>7223</v>
      </c>
      <c r="U3240" t="s">
        <v>491</v>
      </c>
      <c r="X3240">
        <v>0</v>
      </c>
    </row>
    <row r="3241" spans="1:24" x14ac:dyDescent="0.25">
      <c r="A3241" s="234">
        <v>42571</v>
      </c>
      <c r="B3241" t="s">
        <v>378</v>
      </c>
      <c r="C3241" t="s">
        <v>623</v>
      </c>
      <c r="D3241" t="s">
        <v>625</v>
      </c>
      <c r="E3241" t="s">
        <v>588</v>
      </c>
      <c r="F3241" t="s">
        <v>2940</v>
      </c>
      <c r="H3241" t="s">
        <v>607</v>
      </c>
      <c r="M3241" s="134">
        <v>2040000</v>
      </c>
      <c r="N3241" s="134">
        <v>2931000</v>
      </c>
      <c r="O3241" t="s">
        <v>2941</v>
      </c>
      <c r="P3241" t="s">
        <v>2942</v>
      </c>
      <c r="Q3241" t="s">
        <v>1939</v>
      </c>
      <c r="R3241" t="s">
        <v>2943</v>
      </c>
      <c r="U3241" t="s">
        <v>491</v>
      </c>
      <c r="X3241">
        <v>0</v>
      </c>
    </row>
    <row r="3242" spans="1:24" x14ac:dyDescent="0.25">
      <c r="A3242" s="234">
        <v>42612</v>
      </c>
      <c r="B3242" t="s">
        <v>378</v>
      </c>
      <c r="C3242" t="s">
        <v>623</v>
      </c>
      <c r="D3242" t="s">
        <v>625</v>
      </c>
      <c r="E3242" t="s">
        <v>588</v>
      </c>
      <c r="F3242" t="s">
        <v>3689</v>
      </c>
      <c r="H3242" t="s">
        <v>607</v>
      </c>
      <c r="I3242" t="s">
        <v>2054</v>
      </c>
      <c r="J3242" t="s">
        <v>899</v>
      </c>
      <c r="L3242">
        <v>4</v>
      </c>
      <c r="M3242" s="134">
        <v>2040000</v>
      </c>
      <c r="N3242" s="134">
        <v>3672000</v>
      </c>
      <c r="O3242" t="s">
        <v>560</v>
      </c>
      <c r="P3242" t="s">
        <v>3690</v>
      </c>
      <c r="Q3242" t="s">
        <v>592</v>
      </c>
      <c r="U3242" t="s">
        <v>491</v>
      </c>
      <c r="X3242">
        <v>0</v>
      </c>
    </row>
    <row r="3243" spans="1:24" x14ac:dyDescent="0.25">
      <c r="A3243" s="234">
        <v>42818</v>
      </c>
      <c r="B3243" t="s">
        <v>569</v>
      </c>
      <c r="C3243" t="s">
        <v>899</v>
      </c>
      <c r="D3243" t="s">
        <v>625</v>
      </c>
      <c r="E3243" t="s">
        <v>588</v>
      </c>
      <c r="F3243" t="s">
        <v>6095</v>
      </c>
      <c r="H3243" t="s">
        <v>607</v>
      </c>
      <c r="I3243" t="s">
        <v>3649</v>
      </c>
      <c r="J3243" t="s">
        <v>899</v>
      </c>
      <c r="L3243">
        <v>10</v>
      </c>
      <c r="M3243" s="134">
        <v>2050200</v>
      </c>
      <c r="N3243" s="134">
        <v>3207260</v>
      </c>
      <c r="O3243" t="s">
        <v>764</v>
      </c>
      <c r="P3243" t="s">
        <v>6096</v>
      </c>
      <c r="Q3243" t="s">
        <v>1939</v>
      </c>
      <c r="R3243" t="s">
        <v>6097</v>
      </c>
      <c r="U3243" t="s">
        <v>491</v>
      </c>
      <c r="X3243">
        <v>0</v>
      </c>
    </row>
    <row r="3244" spans="1:24" x14ac:dyDescent="0.25">
      <c r="A3244" s="234">
        <v>43410</v>
      </c>
      <c r="B3244" t="s">
        <v>328</v>
      </c>
      <c r="C3244" t="s">
        <v>603</v>
      </c>
      <c r="D3244" t="s">
        <v>757</v>
      </c>
      <c r="F3244" t="s">
        <v>13143</v>
      </c>
      <c r="G3244" t="s">
        <v>9350</v>
      </c>
      <c r="H3244" t="s">
        <v>10831</v>
      </c>
      <c r="I3244" t="s">
        <v>13144</v>
      </c>
      <c r="J3244" t="s">
        <v>6575</v>
      </c>
      <c r="K3244" t="s">
        <v>13145</v>
      </c>
      <c r="L3244">
        <v>4</v>
      </c>
      <c r="M3244" s="134">
        <v>2050940</v>
      </c>
      <c r="N3244" s="134">
        <v>2893128</v>
      </c>
      <c r="O3244" t="s">
        <v>10766</v>
      </c>
      <c r="P3244" t="s">
        <v>13146</v>
      </c>
      <c r="Q3244" t="s">
        <v>1939</v>
      </c>
      <c r="R3244" t="s">
        <v>13147</v>
      </c>
      <c r="U3244" t="s">
        <v>12344</v>
      </c>
      <c r="X3244">
        <v>0</v>
      </c>
    </row>
    <row r="3245" spans="1:24" x14ac:dyDescent="0.25">
      <c r="A3245" s="234">
        <v>42696</v>
      </c>
      <c r="B3245" t="s">
        <v>378</v>
      </c>
      <c r="C3245" t="s">
        <v>899</v>
      </c>
      <c r="D3245" t="s">
        <v>625</v>
      </c>
      <c r="E3245" t="s">
        <v>588</v>
      </c>
      <c r="F3245" t="s">
        <v>4797</v>
      </c>
      <c r="H3245" t="s">
        <v>2884</v>
      </c>
      <c r="I3245" t="s">
        <v>4060</v>
      </c>
      <c r="J3245" t="s">
        <v>899</v>
      </c>
      <c r="L3245">
        <v>10</v>
      </c>
      <c r="M3245" s="134">
        <v>2056000</v>
      </c>
      <c r="N3245" s="134">
        <v>3167120</v>
      </c>
      <c r="O3245" t="s">
        <v>4798</v>
      </c>
      <c r="P3245" t="s">
        <v>4804</v>
      </c>
      <c r="Q3245" t="s">
        <v>29</v>
      </c>
      <c r="R3245" t="s">
        <v>4799</v>
      </c>
      <c r="U3245" t="s">
        <v>1327</v>
      </c>
      <c r="X3245">
        <v>1</v>
      </c>
    </row>
    <row r="3246" spans="1:24" x14ac:dyDescent="0.25">
      <c r="A3246" s="234">
        <v>43578</v>
      </c>
      <c r="B3246" t="s">
        <v>9240</v>
      </c>
      <c r="C3246" t="s">
        <v>603</v>
      </c>
      <c r="D3246" t="s">
        <v>9241</v>
      </c>
      <c r="F3246" t="s">
        <v>15175</v>
      </c>
      <c r="G3246" t="s">
        <v>15176</v>
      </c>
      <c r="H3246" t="s">
        <v>607</v>
      </c>
      <c r="I3246" t="s">
        <v>15177</v>
      </c>
      <c r="J3246" t="s">
        <v>5402</v>
      </c>
      <c r="K3246" t="s">
        <v>15178</v>
      </c>
      <c r="L3246">
        <v>5</v>
      </c>
      <c r="M3246" s="134">
        <v>2058584</v>
      </c>
      <c r="N3246" s="134">
        <v>2500000</v>
      </c>
      <c r="O3246" t="s">
        <v>10765</v>
      </c>
      <c r="P3246" t="s">
        <v>15179</v>
      </c>
      <c r="Q3246" t="s">
        <v>1939</v>
      </c>
      <c r="R3246" t="s">
        <v>15181</v>
      </c>
      <c r="S3246" t="s">
        <v>15180</v>
      </c>
      <c r="U3246" t="s">
        <v>491</v>
      </c>
      <c r="X3246">
        <v>0</v>
      </c>
    </row>
    <row r="3247" spans="1:24" x14ac:dyDescent="0.25">
      <c r="A3247" s="234">
        <v>42955</v>
      </c>
      <c r="B3247" t="s">
        <v>328</v>
      </c>
      <c r="C3247" t="s">
        <v>603</v>
      </c>
      <c r="D3247" t="s">
        <v>8039</v>
      </c>
      <c r="E3247" t="s">
        <v>588</v>
      </c>
      <c r="F3247" t="s">
        <v>8009</v>
      </c>
      <c r="G3247" t="s">
        <v>8010</v>
      </c>
      <c r="H3247" t="s">
        <v>905</v>
      </c>
      <c r="I3247" t="s">
        <v>3925</v>
      </c>
      <c r="J3247" t="s">
        <v>899</v>
      </c>
      <c r="L3247">
        <v>3</v>
      </c>
      <c r="M3247" s="134">
        <v>2060000</v>
      </c>
      <c r="N3247" s="134">
        <v>2818080</v>
      </c>
      <c r="O3247" t="s">
        <v>560</v>
      </c>
      <c r="P3247" t="s">
        <v>8011</v>
      </c>
      <c r="Q3247" t="s">
        <v>1612</v>
      </c>
      <c r="R3247" t="s">
        <v>8012</v>
      </c>
      <c r="S3247" t="s">
        <v>8062</v>
      </c>
      <c r="T3247">
        <v>25</v>
      </c>
      <c r="U3247" t="s">
        <v>491</v>
      </c>
      <c r="X3247">
        <v>0</v>
      </c>
    </row>
    <row r="3248" spans="1:24" x14ac:dyDescent="0.25">
      <c r="A3248" s="234">
        <v>42481</v>
      </c>
      <c r="B3248" t="s">
        <v>378</v>
      </c>
      <c r="C3248" t="s">
        <v>623</v>
      </c>
      <c r="D3248" t="s">
        <v>930</v>
      </c>
      <c r="E3248" t="s">
        <v>1707</v>
      </c>
      <c r="F3248" t="s">
        <v>1775</v>
      </c>
      <c r="H3248" t="s">
        <v>607</v>
      </c>
      <c r="I3248" t="s">
        <v>1761</v>
      </c>
      <c r="M3248" s="134">
        <v>2065000</v>
      </c>
      <c r="N3248" s="134">
        <v>2785000</v>
      </c>
      <c r="O3248" t="s">
        <v>1762</v>
      </c>
      <c r="P3248" t="s">
        <v>1763</v>
      </c>
      <c r="Q3248" t="s">
        <v>1612</v>
      </c>
      <c r="R3248" t="s">
        <v>1769</v>
      </c>
      <c r="U3248" t="s">
        <v>491</v>
      </c>
      <c r="X3248">
        <v>0</v>
      </c>
    </row>
    <row r="3249" spans="1:24" x14ac:dyDescent="0.25">
      <c r="A3249" s="234">
        <v>42865</v>
      </c>
      <c r="B3249" t="s">
        <v>569</v>
      </c>
      <c r="D3249" t="s">
        <v>930</v>
      </c>
      <c r="E3249" t="s">
        <v>588</v>
      </c>
      <c r="F3249" t="s">
        <v>6718</v>
      </c>
      <c r="H3249" t="s">
        <v>607</v>
      </c>
      <c r="I3249" t="s">
        <v>5677</v>
      </c>
      <c r="J3249" t="s">
        <v>899</v>
      </c>
      <c r="L3249">
        <v>92887</v>
      </c>
      <c r="M3249" s="134">
        <v>2065000</v>
      </c>
      <c r="N3249" s="134">
        <v>4000000</v>
      </c>
      <c r="O3249" t="s">
        <v>560</v>
      </c>
      <c r="P3249" t="s">
        <v>6720</v>
      </c>
      <c r="Q3249" t="s">
        <v>1939</v>
      </c>
      <c r="R3249" t="s">
        <v>6719</v>
      </c>
      <c r="U3249" t="s">
        <v>491</v>
      </c>
      <c r="X3249">
        <v>0</v>
      </c>
    </row>
    <row r="3250" spans="1:24" x14ac:dyDescent="0.25">
      <c r="A3250" s="234">
        <v>43217</v>
      </c>
      <c r="B3250" t="s">
        <v>328</v>
      </c>
      <c r="C3250" t="s">
        <v>603</v>
      </c>
      <c r="D3250" t="s">
        <v>649</v>
      </c>
      <c r="E3250" t="s">
        <v>588</v>
      </c>
      <c r="F3250" t="s">
        <v>7831</v>
      </c>
      <c r="G3250" t="s">
        <v>11078</v>
      </c>
      <c r="H3250" t="s">
        <v>607</v>
      </c>
      <c r="J3250" t="s">
        <v>603</v>
      </c>
      <c r="L3250">
        <v>4</v>
      </c>
      <c r="M3250" s="134">
        <v>2068000</v>
      </c>
      <c r="N3250" s="134">
        <v>4136000</v>
      </c>
      <c r="O3250" t="s">
        <v>10766</v>
      </c>
      <c r="P3250" t="s">
        <v>11079</v>
      </c>
      <c r="Q3250" t="s">
        <v>1939</v>
      </c>
      <c r="R3250" t="s">
        <v>11080</v>
      </c>
      <c r="U3250" t="s">
        <v>1327</v>
      </c>
      <c r="X3250">
        <v>0</v>
      </c>
    </row>
    <row r="3251" spans="1:24" x14ac:dyDescent="0.25">
      <c r="A3251" s="234">
        <v>42682</v>
      </c>
      <c r="B3251" t="s">
        <v>328</v>
      </c>
      <c r="C3251" t="s">
        <v>603</v>
      </c>
      <c r="D3251" t="s">
        <v>2397</v>
      </c>
      <c r="E3251" t="s">
        <v>588</v>
      </c>
      <c r="F3251" t="s">
        <v>4632</v>
      </c>
      <c r="H3251" t="s">
        <v>905</v>
      </c>
      <c r="I3251" t="s">
        <v>4633</v>
      </c>
      <c r="J3251" t="s">
        <v>899</v>
      </c>
      <c r="L3251">
        <v>3</v>
      </c>
      <c r="M3251" s="134">
        <v>2081000</v>
      </c>
      <c r="N3251" s="134">
        <v>2381000</v>
      </c>
      <c r="O3251" t="s">
        <v>560</v>
      </c>
      <c r="P3251" t="s">
        <v>4634</v>
      </c>
      <c r="Q3251" t="s">
        <v>1939</v>
      </c>
      <c r="R3251" t="s">
        <v>4635</v>
      </c>
      <c r="U3251" t="s">
        <v>491</v>
      </c>
      <c r="X3251">
        <v>0</v>
      </c>
    </row>
    <row r="3252" spans="1:24" x14ac:dyDescent="0.25">
      <c r="A3252" s="234">
        <v>42419</v>
      </c>
      <c r="B3252" t="s">
        <v>378</v>
      </c>
      <c r="C3252" t="s">
        <v>623</v>
      </c>
      <c r="D3252" t="s">
        <v>930</v>
      </c>
      <c r="E3252" t="s">
        <v>588</v>
      </c>
      <c r="F3252" t="s">
        <v>1061</v>
      </c>
      <c r="H3252" t="s">
        <v>607</v>
      </c>
      <c r="I3252" t="s">
        <v>1062</v>
      </c>
      <c r="M3252" s="134">
        <v>2083100</v>
      </c>
      <c r="N3252" s="134">
        <v>4400000</v>
      </c>
      <c r="O3252" t="s">
        <v>560</v>
      </c>
      <c r="P3252" t="s">
        <v>1063</v>
      </c>
      <c r="Q3252" t="s">
        <v>592</v>
      </c>
      <c r="R3252" t="s">
        <v>1069</v>
      </c>
      <c r="U3252" t="s">
        <v>491</v>
      </c>
      <c r="X3252">
        <v>0</v>
      </c>
    </row>
    <row r="3253" spans="1:24" x14ac:dyDescent="0.25">
      <c r="A3253" s="234">
        <v>43404</v>
      </c>
      <c r="B3253" t="s">
        <v>643</v>
      </c>
      <c r="C3253" t="s">
        <v>644</v>
      </c>
      <c r="D3253" t="s">
        <v>645</v>
      </c>
      <c r="F3253" t="s">
        <v>13100</v>
      </c>
      <c r="G3253" t="s">
        <v>8515</v>
      </c>
      <c r="H3253" t="s">
        <v>607</v>
      </c>
      <c r="I3253" t="s">
        <v>11305</v>
      </c>
      <c r="J3253" t="s">
        <v>899</v>
      </c>
      <c r="K3253" t="s">
        <v>13101</v>
      </c>
      <c r="L3253">
        <v>1</v>
      </c>
      <c r="M3253" s="134">
        <v>2093000</v>
      </c>
      <c r="N3253" s="134">
        <v>1827650</v>
      </c>
      <c r="O3253" t="s">
        <v>10766</v>
      </c>
      <c r="P3253" t="s">
        <v>13431</v>
      </c>
      <c r="Q3253" t="s">
        <v>29</v>
      </c>
      <c r="R3253" t="s">
        <v>13119</v>
      </c>
      <c r="U3253" t="s">
        <v>12344</v>
      </c>
      <c r="X3253">
        <v>1</v>
      </c>
    </row>
    <row r="3254" spans="1:24" x14ac:dyDescent="0.25">
      <c r="A3254" s="234">
        <v>43404</v>
      </c>
      <c r="B3254" t="s">
        <v>643</v>
      </c>
      <c r="C3254" t="s">
        <v>644</v>
      </c>
      <c r="D3254" t="s">
        <v>645</v>
      </c>
      <c r="F3254" t="s">
        <v>13103</v>
      </c>
      <c r="G3254" t="s">
        <v>6974</v>
      </c>
      <c r="H3254" t="s">
        <v>607</v>
      </c>
      <c r="I3254" t="s">
        <v>11305</v>
      </c>
      <c r="J3254" t="s">
        <v>899</v>
      </c>
      <c r="K3254" t="s">
        <v>13101</v>
      </c>
      <c r="L3254">
        <v>1</v>
      </c>
      <c r="M3254" s="134">
        <v>2093000</v>
      </c>
      <c r="N3254" s="134">
        <v>4035428</v>
      </c>
      <c r="O3254" t="s">
        <v>560</v>
      </c>
      <c r="P3254" t="s">
        <v>13432</v>
      </c>
      <c r="Q3254" t="s">
        <v>29</v>
      </c>
      <c r="R3254" t="s">
        <v>13102</v>
      </c>
      <c r="U3254" t="s">
        <v>12344</v>
      </c>
      <c r="X3254">
        <v>1</v>
      </c>
    </row>
    <row r="3255" spans="1:24" x14ac:dyDescent="0.25">
      <c r="A3255" s="234">
        <v>42977</v>
      </c>
      <c r="B3255" t="s">
        <v>5176</v>
      </c>
      <c r="C3255" t="s">
        <v>604</v>
      </c>
      <c r="D3255" t="s">
        <v>595</v>
      </c>
      <c r="E3255" t="s">
        <v>1707</v>
      </c>
      <c r="F3255" t="s">
        <v>8366</v>
      </c>
      <c r="G3255" t="s">
        <v>8367</v>
      </c>
      <c r="H3255" t="s">
        <v>886</v>
      </c>
      <c r="I3255" t="s">
        <v>8369</v>
      </c>
      <c r="J3255" t="s">
        <v>959</v>
      </c>
      <c r="M3255" s="134">
        <v>2100000</v>
      </c>
      <c r="N3255" s="134">
        <v>0</v>
      </c>
      <c r="O3255" t="s">
        <v>5926</v>
      </c>
      <c r="P3255" t="s">
        <v>8368</v>
      </c>
      <c r="Q3255" t="s">
        <v>29</v>
      </c>
      <c r="R3255" t="s">
        <v>8370</v>
      </c>
      <c r="S3255" t="s">
        <v>8961</v>
      </c>
      <c r="T3255">
        <v>95</v>
      </c>
      <c r="U3255" t="s">
        <v>491</v>
      </c>
      <c r="X3255">
        <v>1</v>
      </c>
    </row>
    <row r="3256" spans="1:24" x14ac:dyDescent="0.25">
      <c r="A3256" s="234">
        <v>42606</v>
      </c>
      <c r="B3256" t="s">
        <v>378</v>
      </c>
      <c r="C3256" t="s">
        <v>623</v>
      </c>
      <c r="D3256" t="s">
        <v>930</v>
      </c>
      <c r="E3256" t="s">
        <v>588</v>
      </c>
      <c r="F3256" t="s">
        <v>3605</v>
      </c>
      <c r="H3256" t="s">
        <v>886</v>
      </c>
      <c r="M3256" s="134">
        <v>2100000</v>
      </c>
      <c r="N3256" s="134">
        <v>0</v>
      </c>
      <c r="O3256" t="s">
        <v>1802</v>
      </c>
      <c r="P3256" t="s">
        <v>3606</v>
      </c>
      <c r="Q3256" t="s">
        <v>592</v>
      </c>
      <c r="U3256" t="s">
        <v>491</v>
      </c>
      <c r="X3256">
        <v>0</v>
      </c>
    </row>
    <row r="3257" spans="1:24" x14ac:dyDescent="0.25">
      <c r="A3257" s="234">
        <v>42674</v>
      </c>
      <c r="B3257" t="s">
        <v>328</v>
      </c>
      <c r="C3257" t="s">
        <v>603</v>
      </c>
      <c r="D3257" t="s">
        <v>2397</v>
      </c>
      <c r="E3257" t="s">
        <v>588</v>
      </c>
      <c r="F3257" t="s">
        <v>4552</v>
      </c>
      <c r="H3257" t="s">
        <v>905</v>
      </c>
      <c r="I3257" t="s">
        <v>4553</v>
      </c>
      <c r="J3257" t="s">
        <v>899</v>
      </c>
      <c r="L3257">
        <v>3</v>
      </c>
      <c r="M3257" s="134">
        <v>2100000</v>
      </c>
      <c r="N3257" s="134">
        <v>2350000</v>
      </c>
      <c r="O3257" t="s">
        <v>560</v>
      </c>
      <c r="P3257" t="s">
        <v>4554</v>
      </c>
      <c r="Q3257" t="s">
        <v>1939</v>
      </c>
      <c r="R3257" t="s">
        <v>4555</v>
      </c>
      <c r="U3257" t="s">
        <v>491</v>
      </c>
      <c r="X3257">
        <v>0</v>
      </c>
    </row>
    <row r="3258" spans="1:24" x14ac:dyDescent="0.25">
      <c r="A3258" s="234">
        <v>42843</v>
      </c>
      <c r="B3258" t="s">
        <v>328</v>
      </c>
      <c r="C3258" t="s">
        <v>603</v>
      </c>
      <c r="D3258" t="s">
        <v>649</v>
      </c>
      <c r="E3258" t="s">
        <v>588</v>
      </c>
      <c r="F3258" t="s">
        <v>6455</v>
      </c>
      <c r="H3258" t="s">
        <v>905</v>
      </c>
      <c r="I3258" t="s">
        <v>6456</v>
      </c>
      <c r="J3258" t="s">
        <v>899</v>
      </c>
      <c r="L3258">
        <v>3</v>
      </c>
      <c r="M3258" s="134">
        <v>2100000</v>
      </c>
      <c r="N3258" s="134">
        <v>2730000</v>
      </c>
      <c r="O3258" t="s">
        <v>560</v>
      </c>
      <c r="P3258" t="s">
        <v>6457</v>
      </c>
      <c r="Q3258" t="s">
        <v>1939</v>
      </c>
      <c r="R3258" t="s">
        <v>6458</v>
      </c>
      <c r="U3258" t="s">
        <v>491</v>
      </c>
      <c r="X3258">
        <v>0</v>
      </c>
    </row>
    <row r="3259" spans="1:24" x14ac:dyDescent="0.25">
      <c r="A3259" s="234">
        <v>43048</v>
      </c>
      <c r="B3259" t="s">
        <v>328</v>
      </c>
      <c r="C3259" t="s">
        <v>603</v>
      </c>
      <c r="D3259" t="s">
        <v>2500</v>
      </c>
      <c r="E3259" t="s">
        <v>588</v>
      </c>
      <c r="F3259" t="s">
        <v>9386</v>
      </c>
      <c r="G3259" t="s">
        <v>9387</v>
      </c>
      <c r="H3259" t="s">
        <v>607</v>
      </c>
      <c r="I3259" t="s">
        <v>2054</v>
      </c>
      <c r="J3259" t="s">
        <v>899</v>
      </c>
      <c r="L3259">
        <v>1</v>
      </c>
      <c r="M3259" s="134">
        <v>2100000</v>
      </c>
      <c r="N3259" s="134">
        <v>3270000</v>
      </c>
      <c r="O3259" t="s">
        <v>560</v>
      </c>
      <c r="P3259" t="s">
        <v>9388</v>
      </c>
      <c r="Q3259" t="s">
        <v>592</v>
      </c>
      <c r="U3259" t="s">
        <v>491</v>
      </c>
      <c r="X3259">
        <v>0</v>
      </c>
    </row>
    <row r="3260" spans="1:24" x14ac:dyDescent="0.25">
      <c r="A3260" s="234">
        <v>42444</v>
      </c>
      <c r="B3260" t="s">
        <v>378</v>
      </c>
      <c r="C3260" t="s">
        <v>899</v>
      </c>
      <c r="D3260" t="s">
        <v>625</v>
      </c>
      <c r="E3260" t="s">
        <v>588</v>
      </c>
      <c r="F3260" t="s">
        <v>1323</v>
      </c>
      <c r="H3260" t="s">
        <v>607</v>
      </c>
      <c r="I3260" t="s">
        <v>1324</v>
      </c>
      <c r="M3260" s="134">
        <v>2100000</v>
      </c>
      <c r="N3260" s="134">
        <v>3570000</v>
      </c>
      <c r="O3260" t="s">
        <v>1325</v>
      </c>
      <c r="P3260" t="s">
        <v>1326</v>
      </c>
      <c r="Q3260" t="s">
        <v>592</v>
      </c>
      <c r="U3260" t="s">
        <v>633</v>
      </c>
      <c r="X3260">
        <v>0</v>
      </c>
    </row>
    <row r="3261" spans="1:24" x14ac:dyDescent="0.25">
      <c r="A3261" s="234">
        <v>43586</v>
      </c>
      <c r="B3261" t="s">
        <v>643</v>
      </c>
      <c r="C3261" t="s">
        <v>644</v>
      </c>
      <c r="D3261" t="s">
        <v>645</v>
      </c>
      <c r="F3261" t="s">
        <v>15323</v>
      </c>
      <c r="H3261" t="s">
        <v>607</v>
      </c>
      <c r="I3261" t="s">
        <v>8636</v>
      </c>
      <c r="J3261" t="s">
        <v>644</v>
      </c>
      <c r="K3261" t="s">
        <v>13585</v>
      </c>
      <c r="L3261">
        <v>5</v>
      </c>
      <c r="M3261" s="134">
        <v>2100000</v>
      </c>
      <c r="N3261" s="134">
        <v>3700000</v>
      </c>
      <c r="O3261" t="s">
        <v>560</v>
      </c>
      <c r="P3261" t="s">
        <v>15324</v>
      </c>
      <c r="Q3261" t="s">
        <v>1939</v>
      </c>
      <c r="R3261" t="s">
        <v>15345</v>
      </c>
      <c r="S3261" t="s">
        <v>15325</v>
      </c>
      <c r="U3261" t="s">
        <v>491</v>
      </c>
      <c r="X3261">
        <v>0</v>
      </c>
    </row>
    <row r="3262" spans="1:24" x14ac:dyDescent="0.25">
      <c r="A3262" s="234">
        <v>42817</v>
      </c>
      <c r="B3262" t="s">
        <v>328</v>
      </c>
      <c r="C3262" t="s">
        <v>603</v>
      </c>
      <c r="D3262" t="s">
        <v>649</v>
      </c>
      <c r="E3262" t="s">
        <v>588</v>
      </c>
      <c r="F3262" t="s">
        <v>6085</v>
      </c>
      <c r="H3262" t="s">
        <v>2074</v>
      </c>
      <c r="I3262" t="s">
        <v>6088</v>
      </c>
      <c r="J3262" t="s">
        <v>899</v>
      </c>
      <c r="L3262">
        <v>5</v>
      </c>
      <c r="M3262" s="134">
        <v>2100000</v>
      </c>
      <c r="N3262" s="134">
        <v>3710000</v>
      </c>
      <c r="O3262" t="s">
        <v>6086</v>
      </c>
      <c r="P3262" t="s">
        <v>6087</v>
      </c>
      <c r="Q3262" t="s">
        <v>1939</v>
      </c>
      <c r="R3262" t="s">
        <v>6089</v>
      </c>
      <c r="U3262" t="s">
        <v>491</v>
      </c>
      <c r="X3262">
        <v>0</v>
      </c>
    </row>
    <row r="3263" spans="1:24" x14ac:dyDescent="0.25">
      <c r="A3263" s="234">
        <v>42583</v>
      </c>
      <c r="B3263" t="s">
        <v>378</v>
      </c>
      <c r="C3263" t="s">
        <v>623</v>
      </c>
      <c r="D3263" t="s">
        <v>625</v>
      </c>
      <c r="E3263" t="s">
        <v>588</v>
      </c>
      <c r="F3263" t="s">
        <v>3154</v>
      </c>
      <c r="H3263" t="s">
        <v>607</v>
      </c>
      <c r="I3263" t="s">
        <v>3155</v>
      </c>
      <c r="J3263" t="s">
        <v>899</v>
      </c>
      <c r="L3263">
        <v>10</v>
      </c>
      <c r="M3263" s="134">
        <v>2100000</v>
      </c>
      <c r="N3263" s="134">
        <v>3730000</v>
      </c>
      <c r="O3263" t="s">
        <v>764</v>
      </c>
      <c r="P3263" t="s">
        <v>3156</v>
      </c>
      <c r="Q3263" t="s">
        <v>1939</v>
      </c>
      <c r="R3263" t="s">
        <v>3157</v>
      </c>
      <c r="U3263" t="s">
        <v>491</v>
      </c>
      <c r="X3263">
        <v>0</v>
      </c>
    </row>
    <row r="3264" spans="1:24" x14ac:dyDescent="0.25">
      <c r="A3264" s="234">
        <v>42776</v>
      </c>
      <c r="B3264" t="s">
        <v>569</v>
      </c>
      <c r="D3264" t="s">
        <v>930</v>
      </c>
      <c r="E3264" t="s">
        <v>588</v>
      </c>
      <c r="F3264" t="s">
        <v>5667</v>
      </c>
      <c r="H3264" t="s">
        <v>607</v>
      </c>
      <c r="I3264" t="s">
        <v>5668</v>
      </c>
      <c r="J3264" t="s">
        <v>899</v>
      </c>
      <c r="L3264">
        <v>2</v>
      </c>
      <c r="M3264" s="134">
        <v>2100000</v>
      </c>
      <c r="N3264" s="134">
        <v>3780000</v>
      </c>
      <c r="O3264" t="s">
        <v>560</v>
      </c>
      <c r="P3264" t="s">
        <v>5669</v>
      </c>
      <c r="Q3264" t="s">
        <v>1939</v>
      </c>
      <c r="R3264" t="s">
        <v>5670</v>
      </c>
      <c r="U3264" t="s">
        <v>491</v>
      </c>
      <c r="X3264">
        <v>0</v>
      </c>
    </row>
    <row r="3265" spans="1:24" x14ac:dyDescent="0.25">
      <c r="A3265" s="234">
        <v>42927</v>
      </c>
      <c r="B3265" t="s">
        <v>328</v>
      </c>
      <c r="C3265" t="s">
        <v>603</v>
      </c>
      <c r="D3265" t="s">
        <v>649</v>
      </c>
      <c r="E3265" t="s">
        <v>588</v>
      </c>
      <c r="F3265" t="s">
        <v>7557</v>
      </c>
      <c r="H3265" t="s">
        <v>1348</v>
      </c>
      <c r="I3265" t="s">
        <v>7558</v>
      </c>
      <c r="J3265" t="s">
        <v>899</v>
      </c>
      <c r="L3265">
        <v>4</v>
      </c>
      <c r="M3265" s="134">
        <v>2100000</v>
      </c>
      <c r="N3265" s="134">
        <v>3780000</v>
      </c>
      <c r="O3265" t="s">
        <v>560</v>
      </c>
      <c r="P3265" t="s">
        <v>7559</v>
      </c>
      <c r="Q3265" t="s">
        <v>592</v>
      </c>
      <c r="R3265" t="s">
        <v>7932</v>
      </c>
      <c r="U3265" t="s">
        <v>2227</v>
      </c>
      <c r="X3265">
        <v>0</v>
      </c>
    </row>
    <row r="3266" spans="1:24" x14ac:dyDescent="0.25">
      <c r="A3266" s="234">
        <v>42914</v>
      </c>
      <c r="B3266" t="s">
        <v>328</v>
      </c>
      <c r="C3266" t="s">
        <v>603</v>
      </c>
      <c r="D3266" t="s">
        <v>5701</v>
      </c>
      <c r="E3266" t="s">
        <v>588</v>
      </c>
      <c r="F3266" t="s">
        <v>7427</v>
      </c>
      <c r="H3266" t="s">
        <v>607</v>
      </c>
      <c r="I3266" t="s">
        <v>7428</v>
      </c>
      <c r="J3266" t="s">
        <v>3373</v>
      </c>
      <c r="L3266">
        <v>4</v>
      </c>
      <c r="M3266" s="134">
        <v>2100000</v>
      </c>
      <c r="N3266" s="134">
        <v>3927000</v>
      </c>
      <c r="O3266" t="s">
        <v>560</v>
      </c>
      <c r="P3266" t="s">
        <v>7429</v>
      </c>
      <c r="Q3266" t="s">
        <v>592</v>
      </c>
      <c r="U3266" t="s">
        <v>491</v>
      </c>
      <c r="X3266">
        <v>0</v>
      </c>
    </row>
    <row r="3267" spans="1:24" x14ac:dyDescent="0.25">
      <c r="A3267" s="234">
        <v>42426</v>
      </c>
      <c r="B3267" t="s">
        <v>378</v>
      </c>
      <c r="C3267" t="s">
        <v>610</v>
      </c>
      <c r="D3267" t="s">
        <v>1027</v>
      </c>
      <c r="E3267" t="s">
        <v>588</v>
      </c>
      <c r="F3267" t="s">
        <v>1158</v>
      </c>
      <c r="H3267" t="s">
        <v>722</v>
      </c>
      <c r="I3267" t="s">
        <v>1159</v>
      </c>
      <c r="M3267" s="134">
        <v>2100000</v>
      </c>
      <c r="N3267" s="134">
        <v>3990000</v>
      </c>
      <c r="O3267" t="s">
        <v>891</v>
      </c>
      <c r="P3267" t="s">
        <v>1160</v>
      </c>
      <c r="Q3267" t="s">
        <v>592</v>
      </c>
      <c r="R3267" t="s">
        <v>1161</v>
      </c>
      <c r="U3267" t="s">
        <v>491</v>
      </c>
      <c r="X3267">
        <v>0</v>
      </c>
    </row>
    <row r="3268" spans="1:24" x14ac:dyDescent="0.25">
      <c r="A3268" s="234">
        <v>42432</v>
      </c>
      <c r="B3268" t="s">
        <v>328</v>
      </c>
      <c r="C3268" t="s">
        <v>603</v>
      </c>
      <c r="D3268" t="s">
        <v>672</v>
      </c>
      <c r="E3268" t="s">
        <v>588</v>
      </c>
      <c r="F3268" t="s">
        <v>1158</v>
      </c>
      <c r="H3268" t="s">
        <v>722</v>
      </c>
      <c r="I3268" t="s">
        <v>1214</v>
      </c>
      <c r="M3268" s="134">
        <v>2100000</v>
      </c>
      <c r="N3268" s="134">
        <v>4095000</v>
      </c>
      <c r="O3268" t="s">
        <v>891</v>
      </c>
      <c r="P3268" t="s">
        <v>1217</v>
      </c>
      <c r="Q3268" t="s">
        <v>592</v>
      </c>
      <c r="R3268" t="s">
        <v>833</v>
      </c>
      <c r="U3268" t="s">
        <v>491</v>
      </c>
      <c r="X3268">
        <v>0</v>
      </c>
    </row>
    <row r="3269" spans="1:24" x14ac:dyDescent="0.25">
      <c r="A3269" s="234">
        <v>42906</v>
      </c>
      <c r="B3269" t="s">
        <v>328</v>
      </c>
      <c r="C3269" t="s">
        <v>603</v>
      </c>
      <c r="D3269" t="s">
        <v>649</v>
      </c>
      <c r="E3269" t="s">
        <v>588</v>
      </c>
      <c r="F3269" t="s">
        <v>7291</v>
      </c>
      <c r="H3269" t="s">
        <v>4261</v>
      </c>
      <c r="I3269" t="s">
        <v>3672</v>
      </c>
      <c r="J3269" t="s">
        <v>899</v>
      </c>
      <c r="L3269">
        <v>5</v>
      </c>
      <c r="M3269" s="134">
        <v>2100000</v>
      </c>
      <c r="N3269" s="134">
        <v>4200000</v>
      </c>
      <c r="O3269" t="s">
        <v>560</v>
      </c>
      <c r="P3269" t="s">
        <v>7292</v>
      </c>
      <c r="Q3269" t="s">
        <v>1939</v>
      </c>
      <c r="R3269" t="s">
        <v>7293</v>
      </c>
      <c r="U3269" t="s">
        <v>491</v>
      </c>
      <c r="X3269">
        <v>0</v>
      </c>
    </row>
    <row r="3270" spans="1:24" x14ac:dyDescent="0.25">
      <c r="A3270" s="234">
        <v>42534</v>
      </c>
      <c r="B3270" t="s">
        <v>328</v>
      </c>
      <c r="C3270" t="s">
        <v>603</v>
      </c>
      <c r="D3270" t="s">
        <v>1471</v>
      </c>
      <c r="E3270" t="s">
        <v>588</v>
      </c>
      <c r="F3270" t="s">
        <v>2483</v>
      </c>
      <c r="H3270" t="s">
        <v>607</v>
      </c>
      <c r="I3270" t="s">
        <v>2059</v>
      </c>
      <c r="M3270" s="134">
        <v>2100000</v>
      </c>
      <c r="N3270" s="134">
        <v>4200000</v>
      </c>
      <c r="O3270" t="s">
        <v>891</v>
      </c>
      <c r="P3270" t="s">
        <v>2485</v>
      </c>
      <c r="Q3270" t="s">
        <v>1612</v>
      </c>
      <c r="R3270" t="s">
        <v>2486</v>
      </c>
      <c r="S3270" t="s">
        <v>2516</v>
      </c>
      <c r="U3270" t="s">
        <v>491</v>
      </c>
      <c r="X3270">
        <v>0</v>
      </c>
    </row>
    <row r="3271" spans="1:24" x14ac:dyDescent="0.25">
      <c r="A3271" s="234">
        <v>43376</v>
      </c>
      <c r="B3271" t="s">
        <v>328</v>
      </c>
      <c r="C3271" t="s">
        <v>603</v>
      </c>
      <c r="D3271" t="s">
        <v>625</v>
      </c>
      <c r="E3271" t="s">
        <v>588</v>
      </c>
      <c r="F3271" t="s">
        <v>12801</v>
      </c>
      <c r="G3271" t="s">
        <v>7855</v>
      </c>
      <c r="H3271" t="s">
        <v>607</v>
      </c>
      <c r="I3271" t="s">
        <v>12802</v>
      </c>
      <c r="J3271" t="s">
        <v>899</v>
      </c>
      <c r="L3271" t="s">
        <v>12803</v>
      </c>
      <c r="M3271" s="134">
        <v>2100000</v>
      </c>
      <c r="N3271" s="134">
        <v>4410000</v>
      </c>
      <c r="O3271" t="s">
        <v>560</v>
      </c>
      <c r="P3271" t="s">
        <v>12804</v>
      </c>
      <c r="Q3271" t="s">
        <v>1939</v>
      </c>
      <c r="R3271" t="s">
        <v>12805</v>
      </c>
      <c r="U3271" t="s">
        <v>12344</v>
      </c>
      <c r="X3271">
        <v>0</v>
      </c>
    </row>
    <row r="3272" spans="1:24" x14ac:dyDescent="0.25">
      <c r="A3272" s="234">
        <v>43329</v>
      </c>
      <c r="B3272" t="s">
        <v>5360</v>
      </c>
      <c r="C3272" t="s">
        <v>899</v>
      </c>
      <c r="D3272" t="s">
        <v>732</v>
      </c>
      <c r="E3272" t="s">
        <v>588</v>
      </c>
      <c r="F3272" t="s">
        <v>12389</v>
      </c>
      <c r="G3272" t="s">
        <v>10870</v>
      </c>
      <c r="H3272" t="s">
        <v>607</v>
      </c>
      <c r="I3272" t="s">
        <v>5998</v>
      </c>
      <c r="J3272" t="s">
        <v>899</v>
      </c>
      <c r="L3272">
        <v>2</v>
      </c>
      <c r="M3272" s="134">
        <v>2100600</v>
      </c>
      <c r="N3272" s="134">
        <v>3362580</v>
      </c>
      <c r="O3272" t="s">
        <v>560</v>
      </c>
      <c r="P3272" t="s">
        <v>12388</v>
      </c>
      <c r="Q3272" t="s">
        <v>29</v>
      </c>
      <c r="R3272" t="s">
        <v>12387</v>
      </c>
      <c r="U3272" t="s">
        <v>1327</v>
      </c>
      <c r="X3272">
        <v>1</v>
      </c>
    </row>
    <row r="3273" spans="1:24" x14ac:dyDescent="0.25">
      <c r="A3273" s="234">
        <v>43335</v>
      </c>
      <c r="B3273" t="s">
        <v>5473</v>
      </c>
      <c r="C3273" t="s">
        <v>608</v>
      </c>
      <c r="D3273" t="s">
        <v>11800</v>
      </c>
      <c r="E3273" t="s">
        <v>588</v>
      </c>
      <c r="F3273" t="s">
        <v>10367</v>
      </c>
      <c r="G3273" t="s">
        <v>9896</v>
      </c>
      <c r="H3273" t="s">
        <v>607</v>
      </c>
      <c r="I3273" t="s">
        <v>12278</v>
      </c>
      <c r="J3273" t="s">
        <v>608</v>
      </c>
      <c r="L3273">
        <v>9</v>
      </c>
      <c r="M3273" s="134">
        <v>2101200</v>
      </c>
      <c r="N3273" s="134">
        <v>4412520</v>
      </c>
      <c r="O3273" t="s">
        <v>560</v>
      </c>
      <c r="P3273" t="s">
        <v>12298</v>
      </c>
      <c r="Q3273" t="s">
        <v>620</v>
      </c>
      <c r="R3273" t="s">
        <v>12299</v>
      </c>
      <c r="U3273" t="s">
        <v>491</v>
      </c>
      <c r="X3273">
        <v>0</v>
      </c>
    </row>
    <row r="3274" spans="1:24" x14ac:dyDescent="0.25">
      <c r="A3274" s="234">
        <v>42916</v>
      </c>
      <c r="B3274" t="s">
        <v>328</v>
      </c>
      <c r="C3274" t="s">
        <v>603</v>
      </c>
      <c r="D3274" t="s">
        <v>672</v>
      </c>
      <c r="E3274" t="s">
        <v>588</v>
      </c>
      <c r="F3274" t="s">
        <v>7478</v>
      </c>
      <c r="H3274" t="s">
        <v>607</v>
      </c>
      <c r="I3274" t="s">
        <v>7475</v>
      </c>
      <c r="J3274" t="s">
        <v>644</v>
      </c>
      <c r="L3274">
        <v>5</v>
      </c>
      <c r="M3274" s="134">
        <v>2107280</v>
      </c>
      <c r="N3274" s="134">
        <v>3424200</v>
      </c>
      <c r="O3274" t="s">
        <v>7476</v>
      </c>
      <c r="P3274" t="s">
        <v>7477</v>
      </c>
      <c r="Q3274" t="s">
        <v>1612</v>
      </c>
      <c r="R3274" t="s">
        <v>7669</v>
      </c>
      <c r="U3274" t="s">
        <v>491</v>
      </c>
      <c r="X3274">
        <v>0</v>
      </c>
    </row>
    <row r="3275" spans="1:24" x14ac:dyDescent="0.25">
      <c r="A3275" s="234">
        <v>42538</v>
      </c>
      <c r="B3275" t="s">
        <v>378</v>
      </c>
      <c r="C3275" t="s">
        <v>610</v>
      </c>
      <c r="D3275" t="s">
        <v>732</v>
      </c>
      <c r="E3275" t="s">
        <v>588</v>
      </c>
      <c r="F3275" t="s">
        <v>2572</v>
      </c>
      <c r="H3275" t="s">
        <v>905</v>
      </c>
      <c r="I3275" t="s">
        <v>789</v>
      </c>
      <c r="M3275" s="134">
        <v>2110745</v>
      </c>
      <c r="N3275" s="134">
        <v>3466345</v>
      </c>
      <c r="O3275" t="s">
        <v>891</v>
      </c>
      <c r="P3275" t="s">
        <v>2573</v>
      </c>
      <c r="Q3275" t="s">
        <v>592</v>
      </c>
      <c r="U3275" t="s">
        <v>491</v>
      </c>
      <c r="X3275">
        <v>0</v>
      </c>
    </row>
    <row r="3276" spans="1:24" x14ac:dyDescent="0.25">
      <c r="A3276" s="234">
        <v>42688</v>
      </c>
      <c r="B3276" t="s">
        <v>378</v>
      </c>
      <c r="C3276" t="s">
        <v>610</v>
      </c>
      <c r="D3276" t="s">
        <v>732</v>
      </c>
      <c r="E3276" t="s">
        <v>588</v>
      </c>
      <c r="F3276" t="s">
        <v>4688</v>
      </c>
      <c r="H3276" t="s">
        <v>607</v>
      </c>
      <c r="I3276" t="s">
        <v>4689</v>
      </c>
      <c r="J3276" t="s">
        <v>899</v>
      </c>
      <c r="L3276">
        <v>5</v>
      </c>
      <c r="M3276" s="134">
        <v>2111804</v>
      </c>
      <c r="N3276" s="134">
        <v>4300804</v>
      </c>
      <c r="O3276" t="s">
        <v>560</v>
      </c>
      <c r="P3276" t="s">
        <v>4690</v>
      </c>
      <c r="Q3276" t="s">
        <v>1939</v>
      </c>
      <c r="R3276" t="s">
        <v>4693</v>
      </c>
      <c r="U3276" t="s">
        <v>491</v>
      </c>
      <c r="X3276">
        <v>0</v>
      </c>
    </row>
    <row r="3277" spans="1:24" x14ac:dyDescent="0.25">
      <c r="A3277" s="234">
        <v>42794</v>
      </c>
      <c r="B3277" t="s">
        <v>328</v>
      </c>
      <c r="C3277" t="s">
        <v>603</v>
      </c>
      <c r="D3277" t="s">
        <v>1401</v>
      </c>
      <c r="E3277" t="s">
        <v>588</v>
      </c>
      <c r="F3277" t="s">
        <v>5819</v>
      </c>
      <c r="H3277" t="s">
        <v>905</v>
      </c>
      <c r="I3277" t="s">
        <v>4973</v>
      </c>
      <c r="J3277" t="s">
        <v>899</v>
      </c>
      <c r="L3277">
        <v>6</v>
      </c>
      <c r="M3277" s="134">
        <v>2115000</v>
      </c>
      <c r="N3277" s="134">
        <v>2476500</v>
      </c>
      <c r="O3277" t="s">
        <v>560</v>
      </c>
      <c r="P3277" t="s">
        <v>5820</v>
      </c>
      <c r="Q3277" t="s">
        <v>592</v>
      </c>
      <c r="U3277" t="s">
        <v>491</v>
      </c>
      <c r="X3277">
        <v>0</v>
      </c>
    </row>
    <row r="3278" spans="1:24" x14ac:dyDescent="0.25">
      <c r="A3278" s="234">
        <v>43503</v>
      </c>
      <c r="B3278" t="s">
        <v>643</v>
      </c>
      <c r="C3278" t="s">
        <v>644</v>
      </c>
      <c r="D3278" t="s">
        <v>3132</v>
      </c>
      <c r="F3278" t="s">
        <v>14300</v>
      </c>
      <c r="G3278" t="s">
        <v>8941</v>
      </c>
      <c r="H3278" t="s">
        <v>607</v>
      </c>
      <c r="I3278" t="s">
        <v>5345</v>
      </c>
      <c r="J3278" t="s">
        <v>644</v>
      </c>
      <c r="K3278" t="s">
        <v>14301</v>
      </c>
      <c r="L3278">
        <v>4</v>
      </c>
      <c r="M3278" s="134">
        <v>2117200</v>
      </c>
      <c r="N3278" s="134">
        <v>3810960</v>
      </c>
      <c r="O3278" t="s">
        <v>560</v>
      </c>
      <c r="P3278" t="s">
        <v>14302</v>
      </c>
      <c r="Q3278" t="s">
        <v>1939</v>
      </c>
      <c r="R3278" t="s">
        <v>14303</v>
      </c>
      <c r="U3278" t="s">
        <v>491</v>
      </c>
      <c r="X3278">
        <v>0</v>
      </c>
    </row>
    <row r="3279" spans="1:24" x14ac:dyDescent="0.25">
      <c r="A3279" s="234">
        <v>42928</v>
      </c>
      <c r="B3279" t="s">
        <v>328</v>
      </c>
      <c r="C3279" t="s">
        <v>603</v>
      </c>
      <c r="D3279" t="s">
        <v>5701</v>
      </c>
      <c r="E3279" t="s">
        <v>588</v>
      </c>
      <c r="F3279" t="s">
        <v>7583</v>
      </c>
      <c r="H3279" t="s">
        <v>4183</v>
      </c>
      <c r="I3279" t="s">
        <v>7584</v>
      </c>
      <c r="J3279" t="s">
        <v>3374</v>
      </c>
      <c r="L3279">
        <v>2</v>
      </c>
      <c r="M3279" s="134">
        <v>2118214</v>
      </c>
      <c r="N3279" s="134">
        <v>3918696</v>
      </c>
      <c r="O3279" t="s">
        <v>560</v>
      </c>
      <c r="P3279" t="s">
        <v>7934</v>
      </c>
      <c r="Q3279" t="s">
        <v>592</v>
      </c>
      <c r="R3279" t="s">
        <v>7585</v>
      </c>
      <c r="S3279" t="s">
        <v>7586</v>
      </c>
      <c r="U3279" t="s">
        <v>2227</v>
      </c>
      <c r="X3279">
        <v>0</v>
      </c>
    </row>
    <row r="3280" spans="1:24" x14ac:dyDescent="0.25">
      <c r="A3280" s="234">
        <v>42503</v>
      </c>
      <c r="B3280" t="s">
        <v>378</v>
      </c>
      <c r="C3280" t="s">
        <v>610</v>
      </c>
      <c r="D3280" t="s">
        <v>732</v>
      </c>
      <c r="E3280" t="s">
        <v>588</v>
      </c>
      <c r="F3280" t="s">
        <v>2070</v>
      </c>
      <c r="H3280" t="s">
        <v>607</v>
      </c>
      <c r="I3280" t="s">
        <v>2071</v>
      </c>
      <c r="M3280" s="134">
        <v>2120000</v>
      </c>
      <c r="N3280" s="134">
        <v>3816000</v>
      </c>
      <c r="O3280" t="s">
        <v>891</v>
      </c>
      <c r="P3280" t="s">
        <v>2072</v>
      </c>
      <c r="Q3280" t="s">
        <v>592</v>
      </c>
      <c r="U3280" t="s">
        <v>491</v>
      </c>
      <c r="X3280">
        <v>0</v>
      </c>
    </row>
    <row r="3281" spans="1:24" x14ac:dyDescent="0.25">
      <c r="A3281" s="234">
        <v>43489</v>
      </c>
      <c r="B3281" t="s">
        <v>643</v>
      </c>
      <c r="C3281" t="s">
        <v>644</v>
      </c>
      <c r="D3281" t="s">
        <v>3132</v>
      </c>
      <c r="F3281" t="s">
        <v>14101</v>
      </c>
      <c r="G3281" t="s">
        <v>14102</v>
      </c>
      <c r="H3281" t="s">
        <v>10832</v>
      </c>
      <c r="I3281" t="s">
        <v>8636</v>
      </c>
      <c r="J3281" t="s">
        <v>644</v>
      </c>
      <c r="K3281" t="s">
        <v>13585</v>
      </c>
      <c r="L3281">
        <v>4</v>
      </c>
      <c r="M3281" s="134">
        <v>2121000</v>
      </c>
      <c r="N3281" s="134">
        <v>3713640</v>
      </c>
      <c r="O3281" t="s">
        <v>560</v>
      </c>
      <c r="P3281" t="s">
        <v>14103</v>
      </c>
      <c r="Q3281" t="s">
        <v>1939</v>
      </c>
      <c r="R3281" t="s">
        <v>14104</v>
      </c>
      <c r="U3281" t="s">
        <v>491</v>
      </c>
      <c r="X3281">
        <v>0</v>
      </c>
    </row>
    <row r="3282" spans="1:24" x14ac:dyDescent="0.25">
      <c r="A3282" s="234">
        <v>42965</v>
      </c>
      <c r="B3282" t="s">
        <v>328</v>
      </c>
      <c r="C3282" t="s">
        <v>603</v>
      </c>
      <c r="D3282" t="s">
        <v>672</v>
      </c>
      <c r="E3282" t="s">
        <v>588</v>
      </c>
      <c r="F3282" t="s">
        <v>240</v>
      </c>
      <c r="G3282" t="s">
        <v>8192</v>
      </c>
      <c r="H3282" t="s">
        <v>7837</v>
      </c>
      <c r="I3282" t="s">
        <v>8193</v>
      </c>
      <c r="J3282" t="s">
        <v>8194</v>
      </c>
      <c r="L3282">
        <v>5</v>
      </c>
      <c r="M3282" s="134">
        <v>2124000</v>
      </c>
      <c r="N3282" s="134">
        <v>2124000</v>
      </c>
      <c r="O3282" t="s">
        <v>560</v>
      </c>
      <c r="P3282" t="s">
        <v>8195</v>
      </c>
      <c r="Q3282" t="s">
        <v>592</v>
      </c>
      <c r="R3282" t="s">
        <v>8186</v>
      </c>
      <c r="U3282" t="s">
        <v>2227</v>
      </c>
      <c r="X3282">
        <v>0</v>
      </c>
    </row>
    <row r="3283" spans="1:24" x14ac:dyDescent="0.25">
      <c r="A3283" s="234">
        <v>43382</v>
      </c>
      <c r="B3283" t="s">
        <v>328</v>
      </c>
      <c r="C3283" t="s">
        <v>603</v>
      </c>
      <c r="D3283" t="s">
        <v>8941</v>
      </c>
      <c r="E3283" t="s">
        <v>588</v>
      </c>
      <c r="F3283" t="s">
        <v>12869</v>
      </c>
      <c r="G3283" t="s">
        <v>8267</v>
      </c>
      <c r="H3283" t="s">
        <v>607</v>
      </c>
      <c r="I3283" t="s">
        <v>4070</v>
      </c>
      <c r="J3283" t="s">
        <v>899</v>
      </c>
      <c r="L3283">
        <v>4</v>
      </c>
      <c r="M3283" s="134">
        <v>2137000</v>
      </c>
      <c r="N3283" s="134">
        <v>2762000</v>
      </c>
      <c r="O3283" t="s">
        <v>10763</v>
      </c>
      <c r="P3283" t="s">
        <v>12902</v>
      </c>
      <c r="Q3283" t="s">
        <v>1939</v>
      </c>
      <c r="R3283" t="s">
        <v>12903</v>
      </c>
      <c r="U3283" t="s">
        <v>12344</v>
      </c>
      <c r="X3283">
        <v>0</v>
      </c>
    </row>
    <row r="3284" spans="1:24" x14ac:dyDescent="0.25">
      <c r="A3284" s="234">
        <v>43451</v>
      </c>
      <c r="B3284" t="s">
        <v>328</v>
      </c>
      <c r="C3284" t="s">
        <v>603</v>
      </c>
      <c r="D3284" t="s">
        <v>5701</v>
      </c>
      <c r="F3284" t="s">
        <v>13654</v>
      </c>
      <c r="H3284" t="s">
        <v>10831</v>
      </c>
      <c r="I3284" t="s">
        <v>13237</v>
      </c>
      <c r="J3284" t="s">
        <v>3371</v>
      </c>
      <c r="K3284" t="s">
        <v>13655</v>
      </c>
      <c r="L3284">
        <v>10</v>
      </c>
      <c r="M3284" s="134">
        <v>2141000</v>
      </c>
      <c r="N3284" s="134">
        <v>3211200</v>
      </c>
      <c r="O3284" t="s">
        <v>10762</v>
      </c>
      <c r="P3284" t="s">
        <v>13656</v>
      </c>
      <c r="Q3284" t="s">
        <v>1939</v>
      </c>
      <c r="R3284" t="s">
        <v>13657</v>
      </c>
      <c r="U3284" t="s">
        <v>491</v>
      </c>
      <c r="X3284">
        <v>0</v>
      </c>
    </row>
    <row r="3285" spans="1:24" x14ac:dyDescent="0.25">
      <c r="A3285" s="234">
        <v>42943</v>
      </c>
      <c r="B3285" t="s">
        <v>110</v>
      </c>
      <c r="C3285" t="s">
        <v>761</v>
      </c>
      <c r="D3285" t="s">
        <v>715</v>
      </c>
      <c r="E3285" t="s">
        <v>588</v>
      </c>
      <c r="F3285" t="s">
        <v>473</v>
      </c>
      <c r="G3285" t="s">
        <v>7832</v>
      </c>
      <c r="H3285" t="s">
        <v>1391</v>
      </c>
      <c r="J3285" t="s">
        <v>4785</v>
      </c>
      <c r="L3285">
        <v>4</v>
      </c>
      <c r="M3285" s="134">
        <v>2142000</v>
      </c>
      <c r="N3285" s="134">
        <v>2606288</v>
      </c>
      <c r="O3285" t="s">
        <v>560</v>
      </c>
      <c r="P3285" t="s">
        <v>7833</v>
      </c>
      <c r="Q3285" t="s">
        <v>1939</v>
      </c>
      <c r="R3285" t="s">
        <v>7834</v>
      </c>
      <c r="U3285" t="s">
        <v>2227</v>
      </c>
      <c r="X3285">
        <v>0</v>
      </c>
    </row>
    <row r="3286" spans="1:24" x14ac:dyDescent="0.25">
      <c r="A3286" s="234">
        <v>42598</v>
      </c>
      <c r="B3286" t="s">
        <v>378</v>
      </c>
      <c r="C3286" t="s">
        <v>623</v>
      </c>
      <c r="D3286" t="s">
        <v>930</v>
      </c>
      <c r="E3286" t="s">
        <v>588</v>
      </c>
      <c r="F3286" t="s">
        <v>3440</v>
      </c>
      <c r="H3286" t="s">
        <v>607</v>
      </c>
      <c r="I3286" t="s">
        <v>3441</v>
      </c>
      <c r="J3286" t="s">
        <v>899</v>
      </c>
      <c r="L3286">
        <v>3</v>
      </c>
      <c r="M3286" s="134">
        <v>2150000</v>
      </c>
      <c r="N3286" s="134">
        <v>4040000</v>
      </c>
      <c r="O3286" t="s">
        <v>560</v>
      </c>
      <c r="P3286" t="s">
        <v>3442</v>
      </c>
      <c r="Q3286" t="s">
        <v>592</v>
      </c>
      <c r="U3286" t="s">
        <v>491</v>
      </c>
      <c r="X3286">
        <v>0</v>
      </c>
    </row>
    <row r="3287" spans="1:24" x14ac:dyDescent="0.25">
      <c r="A3287" s="234">
        <v>43110</v>
      </c>
      <c r="B3287" t="s">
        <v>643</v>
      </c>
      <c r="C3287" t="s">
        <v>644</v>
      </c>
      <c r="D3287" t="s">
        <v>645</v>
      </c>
      <c r="E3287" t="s">
        <v>588</v>
      </c>
      <c r="F3287" t="s">
        <v>9995</v>
      </c>
      <c r="G3287" t="s">
        <v>9996</v>
      </c>
      <c r="H3287" t="s">
        <v>607</v>
      </c>
      <c r="I3287" t="s">
        <v>7022</v>
      </c>
      <c r="J3287" t="s">
        <v>644</v>
      </c>
      <c r="L3287">
        <v>5</v>
      </c>
      <c r="M3287" s="134">
        <v>2150000</v>
      </c>
      <c r="N3287" s="134">
        <v>4290000</v>
      </c>
      <c r="O3287" t="s">
        <v>560</v>
      </c>
      <c r="P3287" t="s">
        <v>9997</v>
      </c>
      <c r="Q3287" t="s">
        <v>1939</v>
      </c>
      <c r="R3287" t="s">
        <v>9998</v>
      </c>
      <c r="U3287" t="s">
        <v>1327</v>
      </c>
      <c r="X3287">
        <v>0</v>
      </c>
    </row>
    <row r="3288" spans="1:24" x14ac:dyDescent="0.25">
      <c r="A3288" s="234">
        <v>43052</v>
      </c>
      <c r="B3288" t="s">
        <v>5176</v>
      </c>
      <c r="C3288" t="s">
        <v>899</v>
      </c>
      <c r="D3288" t="s">
        <v>732</v>
      </c>
      <c r="E3288" t="s">
        <v>588</v>
      </c>
      <c r="F3288" t="s">
        <v>9445</v>
      </c>
      <c r="G3288" t="s">
        <v>9444</v>
      </c>
      <c r="H3288" t="s">
        <v>607</v>
      </c>
      <c r="I3288" t="s">
        <v>4689</v>
      </c>
      <c r="J3288" t="s">
        <v>899</v>
      </c>
      <c r="L3288">
        <v>5</v>
      </c>
      <c r="M3288" s="134">
        <v>2154040</v>
      </c>
      <c r="N3288" s="134">
        <v>4300000</v>
      </c>
      <c r="O3288" t="s">
        <v>9448</v>
      </c>
      <c r="P3288" t="s">
        <v>9446</v>
      </c>
      <c r="Q3288" t="s">
        <v>592</v>
      </c>
      <c r="R3288" t="s">
        <v>9447</v>
      </c>
      <c r="U3288" t="s">
        <v>1327</v>
      </c>
      <c r="X3288">
        <v>0</v>
      </c>
    </row>
    <row r="3289" spans="1:24" x14ac:dyDescent="0.25">
      <c r="A3289" s="234">
        <v>42577</v>
      </c>
      <c r="B3289" t="s">
        <v>1486</v>
      </c>
      <c r="C3289" t="s">
        <v>1883</v>
      </c>
      <c r="D3289" t="s">
        <v>727</v>
      </c>
      <c r="E3289" t="s">
        <v>588</v>
      </c>
      <c r="F3289" t="s">
        <v>3025</v>
      </c>
      <c r="H3289" t="s">
        <v>905</v>
      </c>
      <c r="I3289" t="s">
        <v>3026</v>
      </c>
      <c r="M3289" s="134">
        <v>2160000</v>
      </c>
      <c r="N3289" s="134">
        <v>3058000</v>
      </c>
      <c r="O3289" t="s">
        <v>831</v>
      </c>
      <c r="P3289" t="s">
        <v>3027</v>
      </c>
      <c r="Q3289" t="s">
        <v>620</v>
      </c>
      <c r="R3289" t="s">
        <v>3028</v>
      </c>
      <c r="U3289" t="s">
        <v>491</v>
      </c>
      <c r="X3289">
        <v>0</v>
      </c>
    </row>
    <row r="3290" spans="1:24" x14ac:dyDescent="0.25">
      <c r="A3290" s="234">
        <v>43399</v>
      </c>
      <c r="B3290" t="s">
        <v>569</v>
      </c>
      <c r="C3290" t="s">
        <v>899</v>
      </c>
      <c r="D3290" t="s">
        <v>9981</v>
      </c>
      <c r="F3290" t="s">
        <v>13059</v>
      </c>
      <c r="G3290" t="s">
        <v>10870</v>
      </c>
      <c r="H3290" t="s">
        <v>607</v>
      </c>
      <c r="I3290" t="s">
        <v>4709</v>
      </c>
      <c r="J3290" t="s">
        <v>899</v>
      </c>
      <c r="K3290">
        <v>92675</v>
      </c>
      <c r="L3290">
        <v>3</v>
      </c>
      <c r="M3290" s="134">
        <v>2166986</v>
      </c>
      <c r="N3290" s="134">
        <v>3264986</v>
      </c>
      <c r="O3290" t="s">
        <v>560</v>
      </c>
      <c r="P3290" t="s">
        <v>13060</v>
      </c>
      <c r="Q3290" t="s">
        <v>592</v>
      </c>
      <c r="R3290" t="s">
        <v>13061</v>
      </c>
      <c r="U3290" t="s">
        <v>12344</v>
      </c>
      <c r="X3290">
        <v>0</v>
      </c>
    </row>
    <row r="3291" spans="1:24" x14ac:dyDescent="0.25">
      <c r="A3291" s="234">
        <v>42660</v>
      </c>
      <c r="B3291" t="s">
        <v>378</v>
      </c>
      <c r="C3291" t="s">
        <v>899</v>
      </c>
      <c r="D3291" t="s">
        <v>624</v>
      </c>
      <c r="E3291" t="s">
        <v>588</v>
      </c>
      <c r="F3291" t="s">
        <v>4349</v>
      </c>
      <c r="H3291" t="s">
        <v>607</v>
      </c>
      <c r="I3291" t="s">
        <v>2054</v>
      </c>
      <c r="J3291" t="s">
        <v>899</v>
      </c>
      <c r="L3291">
        <v>2</v>
      </c>
      <c r="M3291" s="134">
        <v>2168024</v>
      </c>
      <c r="N3291" s="134">
        <v>0</v>
      </c>
      <c r="O3291" t="s">
        <v>4350</v>
      </c>
      <c r="P3291" t="s">
        <v>4351</v>
      </c>
      <c r="Q3291" t="s">
        <v>592</v>
      </c>
      <c r="R3291" t="s">
        <v>4352</v>
      </c>
      <c r="U3291" t="s">
        <v>1327</v>
      </c>
      <c r="X3291">
        <v>0</v>
      </c>
    </row>
    <row r="3292" spans="1:24" x14ac:dyDescent="0.25">
      <c r="A3292" s="234">
        <v>42940</v>
      </c>
      <c r="B3292" t="s">
        <v>328</v>
      </c>
      <c r="C3292" t="s">
        <v>603</v>
      </c>
      <c r="D3292" t="s">
        <v>672</v>
      </c>
      <c r="E3292" t="s">
        <v>588</v>
      </c>
      <c r="F3292" t="s">
        <v>7720</v>
      </c>
      <c r="G3292" t="s">
        <v>7721</v>
      </c>
      <c r="H3292" t="s">
        <v>722</v>
      </c>
      <c r="I3292" t="s">
        <v>4674</v>
      </c>
      <c r="J3292" t="s">
        <v>899</v>
      </c>
      <c r="L3292">
        <v>4</v>
      </c>
      <c r="M3292" s="134">
        <v>2171000</v>
      </c>
      <c r="N3292" s="134">
        <v>3691000</v>
      </c>
      <c r="O3292" t="s">
        <v>560</v>
      </c>
      <c r="P3292" t="s">
        <v>7722</v>
      </c>
      <c r="Q3292" t="s">
        <v>1939</v>
      </c>
      <c r="R3292" t="s">
        <v>7723</v>
      </c>
      <c r="U3292" t="s">
        <v>491</v>
      </c>
      <c r="X3292">
        <v>0</v>
      </c>
    </row>
    <row r="3293" spans="1:24" x14ac:dyDescent="0.25">
      <c r="A3293" s="234">
        <v>43224</v>
      </c>
      <c r="B3293" t="s">
        <v>569</v>
      </c>
      <c r="C3293" t="s">
        <v>899</v>
      </c>
      <c r="D3293" t="s">
        <v>625</v>
      </c>
      <c r="E3293" t="s">
        <v>588</v>
      </c>
      <c r="F3293" t="s">
        <v>11134</v>
      </c>
      <c r="H3293" t="s">
        <v>5321</v>
      </c>
      <c r="I3293" t="s">
        <v>3649</v>
      </c>
      <c r="J3293" t="s">
        <v>899</v>
      </c>
      <c r="M3293" s="134">
        <v>2171000</v>
      </c>
      <c r="N3293" s="134">
        <v>4000000</v>
      </c>
      <c r="O3293" t="s">
        <v>560</v>
      </c>
      <c r="P3293" t="s">
        <v>11135</v>
      </c>
      <c r="Q3293" t="s">
        <v>1612</v>
      </c>
      <c r="R3293" t="s">
        <v>11162</v>
      </c>
      <c r="S3293" t="s">
        <v>11163</v>
      </c>
      <c r="U3293" t="s">
        <v>491</v>
      </c>
      <c r="X3293">
        <v>0</v>
      </c>
    </row>
    <row r="3294" spans="1:24" x14ac:dyDescent="0.25">
      <c r="A3294" s="234">
        <v>43537</v>
      </c>
      <c r="B3294" t="s">
        <v>643</v>
      </c>
      <c r="C3294" t="s">
        <v>644</v>
      </c>
      <c r="D3294" t="s">
        <v>645</v>
      </c>
      <c r="F3294" t="s">
        <v>272</v>
      </c>
      <c r="G3294" t="s">
        <v>14698</v>
      </c>
      <c r="H3294" t="s">
        <v>607</v>
      </c>
      <c r="I3294" t="s">
        <v>3624</v>
      </c>
      <c r="J3294" t="s">
        <v>644</v>
      </c>
      <c r="K3294" t="s">
        <v>14699</v>
      </c>
      <c r="L3294">
        <v>3</v>
      </c>
      <c r="M3294" s="134">
        <v>2176000</v>
      </c>
      <c r="N3294" s="134">
        <v>3481600</v>
      </c>
      <c r="O3294" t="s">
        <v>560</v>
      </c>
      <c r="P3294" t="s">
        <v>14829</v>
      </c>
      <c r="Q3294" t="s">
        <v>1939</v>
      </c>
      <c r="R3294" t="s">
        <v>14854</v>
      </c>
      <c r="U3294" t="s">
        <v>12797</v>
      </c>
      <c r="X3294">
        <v>0</v>
      </c>
    </row>
    <row r="3295" spans="1:24" x14ac:dyDescent="0.25">
      <c r="A3295" s="234">
        <v>43167</v>
      </c>
      <c r="B3295" t="s">
        <v>569</v>
      </c>
      <c r="C3295" t="s">
        <v>899</v>
      </c>
      <c r="D3295" t="s">
        <v>624</v>
      </c>
      <c r="E3295" t="s">
        <v>588</v>
      </c>
      <c r="F3295" t="s">
        <v>10531</v>
      </c>
      <c r="G3295" t="s">
        <v>10532</v>
      </c>
      <c r="H3295" t="s">
        <v>607</v>
      </c>
      <c r="I3295" t="s">
        <v>10533</v>
      </c>
      <c r="J3295" t="s">
        <v>899</v>
      </c>
      <c r="L3295">
        <v>4</v>
      </c>
      <c r="M3295" s="134">
        <v>2177000</v>
      </c>
      <c r="N3295" s="134">
        <v>3304000</v>
      </c>
      <c r="O3295" t="s">
        <v>560</v>
      </c>
      <c r="P3295" t="s">
        <v>10755</v>
      </c>
      <c r="Q3295" t="s">
        <v>592</v>
      </c>
      <c r="R3295" t="s">
        <v>10534</v>
      </c>
      <c r="U3295" t="s">
        <v>1327</v>
      </c>
      <c r="X3295">
        <v>0</v>
      </c>
    </row>
    <row r="3296" spans="1:24" x14ac:dyDescent="0.25">
      <c r="A3296" s="234">
        <v>42970</v>
      </c>
      <c r="B3296" t="s">
        <v>328</v>
      </c>
      <c r="C3296" t="s">
        <v>603</v>
      </c>
      <c r="D3296" t="s">
        <v>2397</v>
      </c>
      <c r="E3296" t="s">
        <v>588</v>
      </c>
      <c r="F3296" t="s">
        <v>8279</v>
      </c>
      <c r="G3296" t="s">
        <v>8280</v>
      </c>
      <c r="H3296" t="s">
        <v>607</v>
      </c>
      <c r="I3296" t="s">
        <v>8281</v>
      </c>
      <c r="J3296" t="s">
        <v>899</v>
      </c>
      <c r="L3296">
        <v>4</v>
      </c>
      <c r="M3296" s="134">
        <v>2181000</v>
      </c>
      <c r="N3296" s="134">
        <v>3925000</v>
      </c>
      <c r="O3296" t="s">
        <v>560</v>
      </c>
      <c r="P3296" t="s">
        <v>8282</v>
      </c>
      <c r="Q3296" t="s">
        <v>592</v>
      </c>
      <c r="T3296">
        <v>23</v>
      </c>
      <c r="U3296" t="s">
        <v>491</v>
      </c>
      <c r="X3296">
        <v>0</v>
      </c>
    </row>
    <row r="3297" spans="1:24" x14ac:dyDescent="0.25">
      <c r="A3297" s="234">
        <v>43542</v>
      </c>
      <c r="B3297" t="s">
        <v>12367</v>
      </c>
      <c r="C3297" t="s">
        <v>5610</v>
      </c>
      <c r="D3297" t="s">
        <v>7814</v>
      </c>
      <c r="F3297" t="s">
        <v>14750</v>
      </c>
      <c r="G3297" t="s">
        <v>12593</v>
      </c>
      <c r="H3297" t="s">
        <v>607</v>
      </c>
      <c r="I3297" t="s">
        <v>9361</v>
      </c>
      <c r="J3297" t="s">
        <v>3751</v>
      </c>
      <c r="K3297" t="s">
        <v>14751</v>
      </c>
      <c r="L3297">
        <v>4</v>
      </c>
      <c r="M3297" s="134">
        <v>2186895</v>
      </c>
      <c r="N3297" s="134">
        <v>2276895</v>
      </c>
      <c r="O3297" t="s">
        <v>560</v>
      </c>
      <c r="P3297" t="s">
        <v>14838</v>
      </c>
      <c r="Q3297" t="s">
        <v>1939</v>
      </c>
      <c r="R3297" t="s">
        <v>14752</v>
      </c>
      <c r="U3297" t="s">
        <v>12797</v>
      </c>
      <c r="X3297">
        <v>0</v>
      </c>
    </row>
    <row r="3298" spans="1:24" x14ac:dyDescent="0.25">
      <c r="A3298" s="234">
        <v>43349</v>
      </c>
      <c r="B3298" t="s">
        <v>569</v>
      </c>
      <c r="C3298" t="s">
        <v>899</v>
      </c>
      <c r="D3298" t="s">
        <v>11031</v>
      </c>
      <c r="E3298" t="s">
        <v>588</v>
      </c>
      <c r="F3298" t="s">
        <v>12538</v>
      </c>
      <c r="G3298" t="s">
        <v>12537</v>
      </c>
      <c r="H3298" t="s">
        <v>607</v>
      </c>
      <c r="I3298" t="s">
        <v>8144</v>
      </c>
      <c r="J3298" t="s">
        <v>899</v>
      </c>
      <c r="L3298">
        <v>2</v>
      </c>
      <c r="M3298" s="134">
        <v>2198500</v>
      </c>
      <c r="N3298" s="134">
        <v>4138500</v>
      </c>
      <c r="O3298" t="s">
        <v>560</v>
      </c>
      <c r="P3298" t="s">
        <v>12536</v>
      </c>
      <c r="Q3298" t="s">
        <v>29</v>
      </c>
      <c r="R3298" t="s">
        <v>12154</v>
      </c>
      <c r="U3298" t="s">
        <v>1327</v>
      </c>
      <c r="X3298">
        <v>1</v>
      </c>
    </row>
    <row r="3299" spans="1:24" x14ac:dyDescent="0.25">
      <c r="A3299" s="234">
        <v>42956</v>
      </c>
      <c r="B3299" t="s">
        <v>328</v>
      </c>
      <c r="C3299" t="s">
        <v>603</v>
      </c>
      <c r="D3299" t="s">
        <v>5701</v>
      </c>
      <c r="E3299" t="s">
        <v>692</v>
      </c>
      <c r="F3299" t="s">
        <v>8063</v>
      </c>
      <c r="G3299" t="s">
        <v>8064</v>
      </c>
      <c r="H3299" t="s">
        <v>886</v>
      </c>
      <c r="I3299" t="s">
        <v>6904</v>
      </c>
      <c r="J3299" t="s">
        <v>3523</v>
      </c>
      <c r="M3299" s="134">
        <v>2200000</v>
      </c>
      <c r="N3299" s="134">
        <v>2200000</v>
      </c>
      <c r="O3299" t="s">
        <v>8065</v>
      </c>
      <c r="P3299" t="s">
        <v>8066</v>
      </c>
      <c r="Q3299" t="s">
        <v>1939</v>
      </c>
      <c r="R3299" t="s">
        <v>8067</v>
      </c>
      <c r="S3299" t="s">
        <v>8068</v>
      </c>
      <c r="T3299">
        <v>28</v>
      </c>
      <c r="U3299" t="s">
        <v>491</v>
      </c>
      <c r="X3299">
        <v>0</v>
      </c>
    </row>
    <row r="3300" spans="1:24" x14ac:dyDescent="0.25">
      <c r="A3300" s="234">
        <v>42649</v>
      </c>
      <c r="B3300" t="s">
        <v>378</v>
      </c>
      <c r="C3300" t="s">
        <v>623</v>
      </c>
      <c r="D3300" t="s">
        <v>625</v>
      </c>
      <c r="E3300" t="s">
        <v>588</v>
      </c>
      <c r="F3300" t="s">
        <v>4188</v>
      </c>
      <c r="H3300" t="s">
        <v>4189</v>
      </c>
      <c r="I3300" t="s">
        <v>3388</v>
      </c>
      <c r="J3300" t="s">
        <v>899</v>
      </c>
      <c r="L3300">
        <v>1</v>
      </c>
      <c r="M3300" s="134">
        <v>2200000</v>
      </c>
      <c r="N3300" s="134">
        <v>2420000</v>
      </c>
      <c r="O3300" t="s">
        <v>695</v>
      </c>
      <c r="P3300" t="s">
        <v>4190</v>
      </c>
      <c r="Q3300" t="s">
        <v>592</v>
      </c>
      <c r="U3300" t="s">
        <v>491</v>
      </c>
      <c r="X3300">
        <v>0</v>
      </c>
    </row>
    <row r="3301" spans="1:24" x14ac:dyDescent="0.25">
      <c r="A3301" s="234">
        <v>42437</v>
      </c>
      <c r="B3301" t="s">
        <v>594</v>
      </c>
      <c r="C3301" t="s">
        <v>604</v>
      </c>
      <c r="D3301" t="s">
        <v>727</v>
      </c>
      <c r="E3301" t="s">
        <v>588</v>
      </c>
      <c r="F3301" t="s">
        <v>1241</v>
      </c>
      <c r="H3301" t="s">
        <v>809</v>
      </c>
      <c r="I3301" t="s">
        <v>1240</v>
      </c>
      <c r="M3301" s="134">
        <v>2200000</v>
      </c>
      <c r="N3301" s="134">
        <v>2920000</v>
      </c>
      <c r="O3301" t="s">
        <v>1242</v>
      </c>
      <c r="P3301" t="s">
        <v>1243</v>
      </c>
      <c r="Q3301" t="s">
        <v>592</v>
      </c>
      <c r="R3301" t="s">
        <v>1244</v>
      </c>
      <c r="U3301" t="s">
        <v>491</v>
      </c>
      <c r="X3301">
        <v>0</v>
      </c>
    </row>
    <row r="3302" spans="1:24" x14ac:dyDescent="0.25">
      <c r="A3302" s="234">
        <v>42682</v>
      </c>
      <c r="B3302" t="s">
        <v>328</v>
      </c>
      <c r="C3302" t="s">
        <v>603</v>
      </c>
      <c r="D3302" t="s">
        <v>2397</v>
      </c>
      <c r="E3302" t="s">
        <v>588</v>
      </c>
      <c r="F3302" t="s">
        <v>4636</v>
      </c>
      <c r="H3302" t="s">
        <v>607</v>
      </c>
      <c r="I3302" t="s">
        <v>4641</v>
      </c>
      <c r="J3302" t="s">
        <v>899</v>
      </c>
      <c r="L3302">
        <v>3</v>
      </c>
      <c r="M3302" s="134">
        <v>2200000</v>
      </c>
      <c r="N3302" s="134">
        <v>3140000</v>
      </c>
      <c r="O3302" t="s">
        <v>560</v>
      </c>
      <c r="P3302" t="s">
        <v>4637</v>
      </c>
      <c r="Q3302" t="s">
        <v>1939</v>
      </c>
      <c r="R3302" t="s">
        <v>4638</v>
      </c>
      <c r="S3302" t="s">
        <v>4765</v>
      </c>
      <c r="U3302" t="s">
        <v>491</v>
      </c>
      <c r="X3302">
        <v>0</v>
      </c>
    </row>
    <row r="3303" spans="1:24" x14ac:dyDescent="0.25">
      <c r="A3303" s="234">
        <v>42986</v>
      </c>
      <c r="B3303" t="s">
        <v>569</v>
      </c>
      <c r="C3303" t="s">
        <v>899</v>
      </c>
      <c r="D3303" t="s">
        <v>930</v>
      </c>
      <c r="E3303" t="s">
        <v>588</v>
      </c>
      <c r="F3303" t="s">
        <v>195</v>
      </c>
      <c r="G3303" t="s">
        <v>8452</v>
      </c>
      <c r="H3303" t="s">
        <v>607</v>
      </c>
      <c r="I3303" t="s">
        <v>5423</v>
      </c>
      <c r="J3303" t="s">
        <v>899</v>
      </c>
      <c r="L3303">
        <v>4</v>
      </c>
      <c r="M3303" s="134">
        <v>2200000</v>
      </c>
      <c r="N3303" s="134">
        <v>3200000</v>
      </c>
      <c r="O3303" t="s">
        <v>560</v>
      </c>
      <c r="P3303" t="s">
        <v>8453</v>
      </c>
      <c r="Q3303" t="s">
        <v>592</v>
      </c>
      <c r="R3303" t="s">
        <v>8454</v>
      </c>
      <c r="T3303">
        <v>18</v>
      </c>
      <c r="U3303" t="s">
        <v>491</v>
      </c>
      <c r="X3303">
        <v>0</v>
      </c>
    </row>
    <row r="3304" spans="1:24" x14ac:dyDescent="0.25">
      <c r="A3304" s="234">
        <v>42783</v>
      </c>
      <c r="B3304" t="s">
        <v>328</v>
      </c>
      <c r="C3304" t="s">
        <v>603</v>
      </c>
      <c r="D3304" t="s">
        <v>2397</v>
      </c>
      <c r="E3304" t="s">
        <v>588</v>
      </c>
      <c r="F3304" t="s">
        <v>5721</v>
      </c>
      <c r="H3304" t="s">
        <v>1391</v>
      </c>
      <c r="I3304" t="s">
        <v>5722</v>
      </c>
      <c r="J3304" t="s">
        <v>644</v>
      </c>
      <c r="L3304">
        <v>10</v>
      </c>
      <c r="M3304" s="134">
        <v>2200000</v>
      </c>
      <c r="N3304" s="134">
        <v>3342000</v>
      </c>
      <c r="O3304" t="s">
        <v>560</v>
      </c>
      <c r="P3304" t="s">
        <v>5723</v>
      </c>
      <c r="Q3304" t="s">
        <v>592</v>
      </c>
      <c r="U3304" t="s">
        <v>491</v>
      </c>
      <c r="X3304">
        <v>0</v>
      </c>
    </row>
    <row r="3305" spans="1:24" x14ac:dyDescent="0.25">
      <c r="A3305" s="234">
        <v>43027</v>
      </c>
      <c r="B3305" t="s">
        <v>569</v>
      </c>
      <c r="C3305" t="s">
        <v>899</v>
      </c>
      <c r="D3305" t="s">
        <v>930</v>
      </c>
      <c r="E3305" t="s">
        <v>1707</v>
      </c>
      <c r="F3305" t="s">
        <v>9123</v>
      </c>
      <c r="G3305" t="s">
        <v>9124</v>
      </c>
      <c r="H3305" t="s">
        <v>607</v>
      </c>
      <c r="I3305" t="s">
        <v>3649</v>
      </c>
      <c r="J3305" t="s">
        <v>899</v>
      </c>
      <c r="L3305">
        <v>4</v>
      </c>
      <c r="M3305" s="134">
        <v>2200000</v>
      </c>
      <c r="N3305" s="134">
        <v>3420000</v>
      </c>
      <c r="O3305" t="s">
        <v>9116</v>
      </c>
      <c r="P3305" t="s">
        <v>9125</v>
      </c>
      <c r="Q3305" t="s">
        <v>1939</v>
      </c>
      <c r="R3305" t="s">
        <v>9126</v>
      </c>
      <c r="U3305" t="s">
        <v>491</v>
      </c>
      <c r="X3305">
        <v>0</v>
      </c>
    </row>
    <row r="3306" spans="1:24" x14ac:dyDescent="0.25">
      <c r="A3306" s="234">
        <v>42702</v>
      </c>
      <c r="B3306" t="s">
        <v>328</v>
      </c>
      <c r="C3306" t="s">
        <v>603</v>
      </c>
      <c r="D3306" t="s">
        <v>2397</v>
      </c>
      <c r="E3306" t="s">
        <v>588</v>
      </c>
      <c r="F3306" t="s">
        <v>4835</v>
      </c>
      <c r="H3306" t="s">
        <v>4132</v>
      </c>
      <c r="I3306" t="s">
        <v>4836</v>
      </c>
      <c r="J3306" t="s">
        <v>644</v>
      </c>
      <c r="L3306">
        <v>10</v>
      </c>
      <c r="M3306" s="134">
        <v>2200000</v>
      </c>
      <c r="N3306" s="134">
        <v>3420000</v>
      </c>
      <c r="O3306" t="s">
        <v>4837</v>
      </c>
      <c r="P3306" t="s">
        <v>4838</v>
      </c>
      <c r="Q3306" t="s">
        <v>29</v>
      </c>
      <c r="R3306" t="s">
        <v>4839</v>
      </c>
      <c r="U3306" t="s">
        <v>491</v>
      </c>
      <c r="X3306">
        <v>1</v>
      </c>
    </row>
    <row r="3307" spans="1:24" x14ac:dyDescent="0.25">
      <c r="A3307" s="234">
        <v>43158</v>
      </c>
      <c r="B3307" t="s">
        <v>328</v>
      </c>
      <c r="C3307" t="s">
        <v>603</v>
      </c>
      <c r="D3307" t="s">
        <v>2397</v>
      </c>
      <c r="E3307" t="s">
        <v>588</v>
      </c>
      <c r="F3307" t="s">
        <v>5685</v>
      </c>
      <c r="G3307" t="s">
        <v>10422</v>
      </c>
      <c r="H3307" t="s">
        <v>607</v>
      </c>
      <c r="J3307" t="s">
        <v>899</v>
      </c>
      <c r="L3307">
        <v>1</v>
      </c>
      <c r="M3307" s="134">
        <v>2200000</v>
      </c>
      <c r="N3307" s="134">
        <v>3960000</v>
      </c>
      <c r="O3307" t="s">
        <v>10766</v>
      </c>
      <c r="P3307" t="s">
        <v>10423</v>
      </c>
      <c r="Q3307" t="s">
        <v>1939</v>
      </c>
      <c r="R3307" t="s">
        <v>10424</v>
      </c>
      <c r="U3307" t="s">
        <v>1327</v>
      </c>
      <c r="X3307">
        <v>0</v>
      </c>
    </row>
    <row r="3308" spans="1:24" x14ac:dyDescent="0.25">
      <c r="A3308" s="234">
        <v>43252</v>
      </c>
      <c r="B3308" t="s">
        <v>569</v>
      </c>
      <c r="C3308" t="s">
        <v>899</v>
      </c>
      <c r="D3308" t="s">
        <v>625</v>
      </c>
      <c r="E3308" t="s">
        <v>588</v>
      </c>
      <c r="F3308" t="s">
        <v>8780</v>
      </c>
      <c r="G3308" t="s">
        <v>11444</v>
      </c>
      <c r="H3308" t="s">
        <v>607</v>
      </c>
      <c r="I3308" t="s">
        <v>3649</v>
      </c>
      <c r="J3308" t="s">
        <v>899</v>
      </c>
      <c r="M3308" s="134">
        <v>2200000</v>
      </c>
      <c r="N3308" s="134">
        <v>3960000</v>
      </c>
      <c r="O3308" t="s">
        <v>560</v>
      </c>
      <c r="P3308" t="s">
        <v>11688</v>
      </c>
      <c r="Q3308" t="s">
        <v>29</v>
      </c>
      <c r="R3308" t="s">
        <v>11443</v>
      </c>
      <c r="U3308" t="s">
        <v>1327</v>
      </c>
      <c r="X3308">
        <v>1</v>
      </c>
    </row>
    <row r="3309" spans="1:24" x14ac:dyDescent="0.25">
      <c r="A3309" s="234">
        <v>43340</v>
      </c>
      <c r="B3309" t="s">
        <v>569</v>
      </c>
      <c r="C3309" t="s">
        <v>899</v>
      </c>
      <c r="D3309" t="s">
        <v>3505</v>
      </c>
      <c r="E3309" t="s">
        <v>588</v>
      </c>
      <c r="F3309" t="s">
        <v>12361</v>
      </c>
      <c r="G3309" t="s">
        <v>11509</v>
      </c>
      <c r="H3309" t="s">
        <v>607</v>
      </c>
      <c r="I3309" t="s">
        <v>12347</v>
      </c>
      <c r="J3309" t="s">
        <v>899</v>
      </c>
      <c r="L3309">
        <v>3</v>
      </c>
      <c r="M3309" s="134">
        <v>2200000</v>
      </c>
      <c r="N3309" s="134">
        <v>3960000</v>
      </c>
      <c r="O3309" t="s">
        <v>560</v>
      </c>
      <c r="P3309" t="s">
        <v>12362</v>
      </c>
      <c r="Q3309" t="s">
        <v>1939</v>
      </c>
      <c r="R3309" t="s">
        <v>12363</v>
      </c>
      <c r="U3309" t="s">
        <v>1327</v>
      </c>
      <c r="X3309">
        <v>0</v>
      </c>
    </row>
    <row r="3310" spans="1:24" x14ac:dyDescent="0.25">
      <c r="A3310" s="234">
        <v>42576</v>
      </c>
      <c r="B3310" t="s">
        <v>328</v>
      </c>
      <c r="C3310" t="s">
        <v>603</v>
      </c>
      <c r="D3310" t="s">
        <v>587</v>
      </c>
      <c r="E3310" t="s">
        <v>588</v>
      </c>
      <c r="F3310" t="s">
        <v>3018</v>
      </c>
      <c r="H3310" t="s">
        <v>607</v>
      </c>
      <c r="I3310" t="s">
        <v>1058</v>
      </c>
      <c r="M3310" s="134">
        <v>2200000</v>
      </c>
      <c r="N3310" s="134">
        <v>4290000</v>
      </c>
      <c r="O3310" t="s">
        <v>891</v>
      </c>
      <c r="P3310" t="s">
        <v>3019</v>
      </c>
      <c r="Q3310" t="s">
        <v>1939</v>
      </c>
      <c r="R3310" t="s">
        <v>3020</v>
      </c>
      <c r="U3310" t="s">
        <v>491</v>
      </c>
      <c r="X3310">
        <v>0</v>
      </c>
    </row>
    <row r="3311" spans="1:24" x14ac:dyDescent="0.25">
      <c r="A3311" s="234">
        <v>43007</v>
      </c>
      <c r="B3311" t="s">
        <v>328</v>
      </c>
      <c r="C3311" t="s">
        <v>603</v>
      </c>
      <c r="D3311" t="s">
        <v>649</v>
      </c>
      <c r="E3311" t="s">
        <v>588</v>
      </c>
      <c r="F3311" t="s">
        <v>8795</v>
      </c>
      <c r="G3311" t="s">
        <v>7978</v>
      </c>
      <c r="H3311" t="s">
        <v>1391</v>
      </c>
      <c r="I3311" t="s">
        <v>8796</v>
      </c>
      <c r="J3311" t="s">
        <v>899</v>
      </c>
      <c r="L3311">
        <v>10</v>
      </c>
      <c r="M3311" s="134">
        <v>2200000</v>
      </c>
      <c r="N3311" s="134">
        <v>4400000</v>
      </c>
      <c r="O3311" t="s">
        <v>560</v>
      </c>
      <c r="P3311" t="s">
        <v>8797</v>
      </c>
      <c r="Q3311" t="s">
        <v>29</v>
      </c>
      <c r="R3311" t="s">
        <v>8798</v>
      </c>
      <c r="T3311">
        <v>23</v>
      </c>
      <c r="U3311" t="s">
        <v>491</v>
      </c>
      <c r="X3311">
        <v>1</v>
      </c>
    </row>
    <row r="3312" spans="1:24" x14ac:dyDescent="0.25">
      <c r="A3312" s="234">
        <v>43314</v>
      </c>
      <c r="B3312" t="s">
        <v>569</v>
      </c>
      <c r="C3312" t="s">
        <v>899</v>
      </c>
      <c r="D3312" t="s">
        <v>3505</v>
      </c>
      <c r="E3312" t="s">
        <v>588</v>
      </c>
      <c r="F3312" t="s">
        <v>11992</v>
      </c>
      <c r="G3312" t="s">
        <v>11993</v>
      </c>
      <c r="H3312" t="s">
        <v>607</v>
      </c>
      <c r="I3312" t="s">
        <v>4256</v>
      </c>
      <c r="J3312" t="s">
        <v>899</v>
      </c>
      <c r="L3312">
        <v>1</v>
      </c>
      <c r="M3312" s="134">
        <v>2200000</v>
      </c>
      <c r="N3312" s="134">
        <v>4600000</v>
      </c>
      <c r="O3312" t="s">
        <v>560</v>
      </c>
      <c r="P3312" t="s">
        <v>11994</v>
      </c>
      <c r="Q3312" t="s">
        <v>592</v>
      </c>
      <c r="R3312" t="s">
        <v>11995</v>
      </c>
      <c r="U3312" t="s">
        <v>491</v>
      </c>
      <c r="X3312">
        <v>0</v>
      </c>
    </row>
    <row r="3313" spans="1:24" x14ac:dyDescent="0.25">
      <c r="A3313" s="234">
        <v>42587</v>
      </c>
      <c r="B3313" t="s">
        <v>643</v>
      </c>
      <c r="C3313" t="s">
        <v>644</v>
      </c>
      <c r="D3313" t="s">
        <v>645</v>
      </c>
      <c r="E3313" t="s">
        <v>588</v>
      </c>
      <c r="F3313" t="s">
        <v>3259</v>
      </c>
      <c r="H3313" t="s">
        <v>722</v>
      </c>
      <c r="I3313" t="s">
        <v>3260</v>
      </c>
      <c r="J3313" t="s">
        <v>644</v>
      </c>
      <c r="L3313">
        <v>10</v>
      </c>
      <c r="M3313" s="134">
        <v>2200000</v>
      </c>
      <c r="N3313" s="134">
        <v>4620000</v>
      </c>
      <c r="O3313" t="s">
        <v>3261</v>
      </c>
      <c r="P3313" t="s">
        <v>3262</v>
      </c>
      <c r="Q3313" t="s">
        <v>592</v>
      </c>
      <c r="R3313" t="s">
        <v>3263</v>
      </c>
      <c r="U3313" t="s">
        <v>491</v>
      </c>
      <c r="X3313">
        <v>0</v>
      </c>
    </row>
    <row r="3314" spans="1:24" x14ac:dyDescent="0.25">
      <c r="A3314" s="234">
        <v>43468</v>
      </c>
      <c r="B3314" t="s">
        <v>328</v>
      </c>
      <c r="C3314" t="s">
        <v>603</v>
      </c>
      <c r="D3314" t="s">
        <v>649</v>
      </c>
      <c r="F3314" t="s">
        <v>7990</v>
      </c>
      <c r="G3314" t="s">
        <v>10967</v>
      </c>
      <c r="H3314" t="s">
        <v>607</v>
      </c>
      <c r="I3314" t="s">
        <v>13814</v>
      </c>
      <c r="J3314" t="s">
        <v>5610</v>
      </c>
      <c r="K3314" t="s">
        <v>13815</v>
      </c>
      <c r="L3314">
        <v>10</v>
      </c>
      <c r="M3314" s="134">
        <v>2200000</v>
      </c>
      <c r="N3314" s="134">
        <v>4804220</v>
      </c>
      <c r="O3314" t="s">
        <v>560</v>
      </c>
      <c r="P3314" t="s">
        <v>13816</v>
      </c>
      <c r="Q3314" t="s">
        <v>29</v>
      </c>
      <c r="R3314" t="s">
        <v>13817</v>
      </c>
      <c r="U3314" t="s">
        <v>12797</v>
      </c>
      <c r="X3314">
        <v>1</v>
      </c>
    </row>
    <row r="3315" spans="1:24" x14ac:dyDescent="0.25">
      <c r="A3315" s="234">
        <v>42401</v>
      </c>
      <c r="B3315" t="s">
        <v>328</v>
      </c>
      <c r="C3315" t="s">
        <v>603</v>
      </c>
      <c r="D3315" t="s">
        <v>587</v>
      </c>
      <c r="E3315" t="s">
        <v>588</v>
      </c>
      <c r="F3315" t="s">
        <v>890</v>
      </c>
      <c r="H3315" t="s">
        <v>607</v>
      </c>
      <c r="I3315" t="s">
        <v>789</v>
      </c>
      <c r="M3315" s="134">
        <v>2200000</v>
      </c>
      <c r="N3315" s="134">
        <v>4830000</v>
      </c>
      <c r="O3315" t="s">
        <v>891</v>
      </c>
      <c r="P3315" t="s">
        <v>892</v>
      </c>
      <c r="Q3315" t="s">
        <v>592</v>
      </c>
      <c r="R3315" t="s">
        <v>893</v>
      </c>
      <c r="U3315" t="s">
        <v>491</v>
      </c>
      <c r="X3315">
        <v>0</v>
      </c>
    </row>
    <row r="3316" spans="1:24" x14ac:dyDescent="0.25">
      <c r="A3316" s="234">
        <v>43224</v>
      </c>
      <c r="B3316" t="s">
        <v>569</v>
      </c>
      <c r="C3316" t="s">
        <v>899</v>
      </c>
      <c r="D3316" t="s">
        <v>625</v>
      </c>
      <c r="E3316" t="s">
        <v>588</v>
      </c>
      <c r="F3316" t="s">
        <v>11136</v>
      </c>
      <c r="G3316" t="s">
        <v>8827</v>
      </c>
      <c r="H3316" t="s">
        <v>5321</v>
      </c>
      <c r="I3316" t="s">
        <v>3649</v>
      </c>
      <c r="J3316" t="s">
        <v>899</v>
      </c>
      <c r="M3316" s="134">
        <v>2206000</v>
      </c>
      <c r="N3316" s="134">
        <v>3200000</v>
      </c>
      <c r="O3316" t="s">
        <v>560</v>
      </c>
      <c r="P3316" t="s">
        <v>11141</v>
      </c>
      <c r="Q3316" t="s">
        <v>1612</v>
      </c>
      <c r="R3316" t="s">
        <v>11245</v>
      </c>
      <c r="S3316" t="s">
        <v>11246</v>
      </c>
      <c r="U3316" t="s">
        <v>491</v>
      </c>
      <c r="X3316">
        <v>0</v>
      </c>
    </row>
    <row r="3317" spans="1:24" x14ac:dyDescent="0.25">
      <c r="A3317" s="234">
        <v>43172</v>
      </c>
      <c r="B3317" t="s">
        <v>328</v>
      </c>
      <c r="C3317" t="s">
        <v>603</v>
      </c>
      <c r="D3317" t="s">
        <v>649</v>
      </c>
      <c r="E3317" t="s">
        <v>588</v>
      </c>
      <c r="F3317" t="s">
        <v>10584</v>
      </c>
      <c r="G3317" t="s">
        <v>8941</v>
      </c>
      <c r="H3317" t="s">
        <v>10831</v>
      </c>
      <c r="I3317" t="s">
        <v>10585</v>
      </c>
      <c r="J3317" t="s">
        <v>4458</v>
      </c>
      <c r="L3317">
        <v>10</v>
      </c>
      <c r="M3317" s="134">
        <v>2214420</v>
      </c>
      <c r="N3317" s="134">
        <v>3214530</v>
      </c>
      <c r="O3317" t="s">
        <v>7124</v>
      </c>
      <c r="P3317" t="s">
        <v>10586</v>
      </c>
      <c r="Q3317" t="s">
        <v>1939</v>
      </c>
      <c r="R3317" t="s">
        <v>10630</v>
      </c>
      <c r="U3317" t="s">
        <v>1327</v>
      </c>
      <c r="X3317">
        <v>0</v>
      </c>
    </row>
    <row r="3318" spans="1:24" x14ac:dyDescent="0.25">
      <c r="A3318" s="234">
        <v>43503</v>
      </c>
      <c r="B3318" t="s">
        <v>328</v>
      </c>
      <c r="C3318" t="s">
        <v>603</v>
      </c>
      <c r="D3318" t="s">
        <v>2500</v>
      </c>
      <c r="F3318" t="s">
        <v>14312</v>
      </c>
      <c r="H3318" t="s">
        <v>10831</v>
      </c>
      <c r="I3318" t="s">
        <v>10404</v>
      </c>
      <c r="J3318" t="s">
        <v>644</v>
      </c>
      <c r="K3318" t="s">
        <v>14313</v>
      </c>
      <c r="L3318">
        <v>10</v>
      </c>
      <c r="M3318" s="134">
        <v>2224500</v>
      </c>
      <c r="N3318" s="134">
        <v>3837540</v>
      </c>
      <c r="O3318" t="s">
        <v>560</v>
      </c>
      <c r="P3318" t="s">
        <v>14314</v>
      </c>
      <c r="Q3318" t="s">
        <v>620</v>
      </c>
      <c r="R3318" t="s">
        <v>14560</v>
      </c>
      <c r="U3318" t="s">
        <v>491</v>
      </c>
      <c r="X3318">
        <v>0</v>
      </c>
    </row>
    <row r="3319" spans="1:24" x14ac:dyDescent="0.25">
      <c r="A3319" s="234">
        <v>43483</v>
      </c>
      <c r="B3319" t="s">
        <v>328</v>
      </c>
      <c r="C3319" t="s">
        <v>603</v>
      </c>
      <c r="D3319" t="s">
        <v>649</v>
      </c>
      <c r="F3319" t="s">
        <v>14072</v>
      </c>
      <c r="G3319" t="s">
        <v>14073</v>
      </c>
      <c r="H3319" t="s">
        <v>607</v>
      </c>
      <c r="I3319" t="s">
        <v>12926</v>
      </c>
      <c r="J3319" t="s">
        <v>14074</v>
      </c>
      <c r="K3319" t="s">
        <v>14075</v>
      </c>
      <c r="L3319">
        <v>10</v>
      </c>
      <c r="M3319" s="134">
        <v>2226500</v>
      </c>
      <c r="N3319" s="134">
        <v>4453000</v>
      </c>
      <c r="O3319" t="s">
        <v>4533</v>
      </c>
      <c r="P3319" t="s">
        <v>14245</v>
      </c>
      <c r="Q3319" t="s">
        <v>1939</v>
      </c>
      <c r="R3319" t="s">
        <v>14076</v>
      </c>
      <c r="U3319" t="s">
        <v>12797</v>
      </c>
      <c r="X3319">
        <v>0</v>
      </c>
    </row>
    <row r="3320" spans="1:24" x14ac:dyDescent="0.25">
      <c r="A3320" s="234">
        <v>43402</v>
      </c>
      <c r="B3320" t="s">
        <v>569</v>
      </c>
      <c r="C3320" t="s">
        <v>899</v>
      </c>
      <c r="D3320" t="s">
        <v>732</v>
      </c>
      <c r="F3320" t="s">
        <v>8338</v>
      </c>
      <c r="G3320" t="s">
        <v>7855</v>
      </c>
      <c r="H3320" t="s">
        <v>607</v>
      </c>
      <c r="I3320" t="s">
        <v>8445</v>
      </c>
      <c r="J3320" t="s">
        <v>899</v>
      </c>
      <c r="K3320" t="s">
        <v>13080</v>
      </c>
      <c r="L3320">
        <v>1</v>
      </c>
      <c r="M3320" s="134">
        <v>2244000</v>
      </c>
      <c r="N3320" s="134">
        <v>3444000</v>
      </c>
      <c r="O3320" t="s">
        <v>560</v>
      </c>
      <c r="P3320" t="s">
        <v>13081</v>
      </c>
      <c r="Q3320" t="s">
        <v>1939</v>
      </c>
      <c r="R3320" t="s">
        <v>13082</v>
      </c>
      <c r="U3320" t="s">
        <v>12344</v>
      </c>
      <c r="X3320">
        <v>0</v>
      </c>
    </row>
    <row r="3321" spans="1:24" x14ac:dyDescent="0.25">
      <c r="A3321" s="234">
        <v>42782</v>
      </c>
      <c r="B3321" t="s">
        <v>328</v>
      </c>
      <c r="C3321" t="s">
        <v>603</v>
      </c>
      <c r="D3321" t="s">
        <v>2397</v>
      </c>
      <c r="E3321" t="s">
        <v>588</v>
      </c>
      <c r="F3321" t="s">
        <v>5698</v>
      </c>
      <c r="H3321" t="s">
        <v>607</v>
      </c>
      <c r="I3321" t="s">
        <v>5699</v>
      </c>
      <c r="J3321" t="s">
        <v>899</v>
      </c>
      <c r="L3321">
        <v>3</v>
      </c>
      <c r="M3321" s="134">
        <v>2250000</v>
      </c>
      <c r="N3321" s="134">
        <v>3825000</v>
      </c>
      <c r="O3321" t="s">
        <v>560</v>
      </c>
      <c r="P3321" t="s">
        <v>5700</v>
      </c>
      <c r="Q3321" t="s">
        <v>592</v>
      </c>
      <c r="U3321" t="s">
        <v>491</v>
      </c>
      <c r="X3321">
        <v>0</v>
      </c>
    </row>
    <row r="3322" spans="1:24" x14ac:dyDescent="0.25">
      <c r="A3322" s="234">
        <v>42620</v>
      </c>
      <c r="B3322" t="s">
        <v>328</v>
      </c>
      <c r="C3322" t="s">
        <v>603</v>
      </c>
      <c r="D3322" t="s">
        <v>672</v>
      </c>
      <c r="E3322" t="s">
        <v>588</v>
      </c>
      <c r="F3322" t="s">
        <v>3775</v>
      </c>
      <c r="H3322" t="s">
        <v>607</v>
      </c>
      <c r="I3322" t="s">
        <v>3776</v>
      </c>
      <c r="J3322" t="s">
        <v>3373</v>
      </c>
      <c r="L3322">
        <v>10</v>
      </c>
      <c r="M3322" s="134">
        <v>2250000</v>
      </c>
      <c r="N3322" s="134">
        <v>4837500</v>
      </c>
      <c r="O3322" t="s">
        <v>1111</v>
      </c>
      <c r="P3322" t="s">
        <v>3777</v>
      </c>
      <c r="Q3322" t="s">
        <v>592</v>
      </c>
      <c r="U3322" t="s">
        <v>491</v>
      </c>
      <c r="X3322">
        <v>0</v>
      </c>
    </row>
    <row r="3323" spans="1:24" x14ac:dyDescent="0.25">
      <c r="A3323" s="234">
        <v>42671</v>
      </c>
      <c r="B3323" t="s">
        <v>328</v>
      </c>
      <c r="C3323" t="s">
        <v>603</v>
      </c>
      <c r="D3323" t="s">
        <v>1471</v>
      </c>
      <c r="E3323" t="s">
        <v>588</v>
      </c>
      <c r="F3323" t="s">
        <v>3775</v>
      </c>
      <c r="H3323" t="s">
        <v>905</v>
      </c>
      <c r="I3323" t="s">
        <v>3776</v>
      </c>
      <c r="J3323" t="s">
        <v>3373</v>
      </c>
      <c r="L3323">
        <v>10</v>
      </c>
      <c r="M3323" s="134">
        <v>2250000</v>
      </c>
      <c r="N3323" s="134">
        <v>4837500</v>
      </c>
      <c r="O3323" t="s">
        <v>1111</v>
      </c>
      <c r="P3323" t="s">
        <v>4539</v>
      </c>
      <c r="Q3323" t="s">
        <v>1939</v>
      </c>
      <c r="R3323" t="s">
        <v>4538</v>
      </c>
      <c r="U3323" t="s">
        <v>491</v>
      </c>
      <c r="X3323">
        <v>0</v>
      </c>
    </row>
    <row r="3324" spans="1:24" x14ac:dyDescent="0.25">
      <c r="A3324" s="234">
        <v>43395</v>
      </c>
      <c r="B3324" t="s">
        <v>5360</v>
      </c>
      <c r="C3324" t="s">
        <v>899</v>
      </c>
      <c r="D3324" t="s">
        <v>732</v>
      </c>
      <c r="F3324" t="s">
        <v>12979</v>
      </c>
      <c r="G3324" t="s">
        <v>9170</v>
      </c>
      <c r="H3324" t="s">
        <v>607</v>
      </c>
      <c r="I3324" t="s">
        <v>3672</v>
      </c>
      <c r="J3324" t="s">
        <v>899</v>
      </c>
      <c r="K3324">
        <v>93105</v>
      </c>
      <c r="L3324">
        <v>2</v>
      </c>
      <c r="M3324" s="134">
        <v>2250000</v>
      </c>
      <c r="N3324" s="134">
        <v>5062500</v>
      </c>
      <c r="O3324" t="s">
        <v>560</v>
      </c>
      <c r="P3324" t="s">
        <v>13415</v>
      </c>
      <c r="Q3324" t="s">
        <v>29</v>
      </c>
      <c r="R3324" t="s">
        <v>12980</v>
      </c>
      <c r="U3324" t="s">
        <v>12344</v>
      </c>
      <c r="X3324">
        <v>1</v>
      </c>
    </row>
    <row r="3325" spans="1:24" x14ac:dyDescent="0.25">
      <c r="A3325" s="234">
        <v>42759</v>
      </c>
      <c r="B3325" t="s">
        <v>328</v>
      </c>
      <c r="C3325" t="s">
        <v>603</v>
      </c>
      <c r="D3325" t="s">
        <v>2397</v>
      </c>
      <c r="E3325" t="s">
        <v>588</v>
      </c>
      <c r="F3325" t="s">
        <v>5422</v>
      </c>
      <c r="H3325" t="s">
        <v>607</v>
      </c>
      <c r="I3325" t="s">
        <v>5423</v>
      </c>
      <c r="J3325" t="s">
        <v>899</v>
      </c>
      <c r="L3325" t="s">
        <v>5280</v>
      </c>
      <c r="M3325" s="134">
        <v>2250600</v>
      </c>
      <c r="N3325" s="134">
        <v>3846960</v>
      </c>
      <c r="O3325" t="s">
        <v>560</v>
      </c>
      <c r="P3325" t="s">
        <v>5424</v>
      </c>
      <c r="Q3325" t="s">
        <v>1939</v>
      </c>
      <c r="R3325" t="s">
        <v>5425</v>
      </c>
      <c r="U3325" t="s">
        <v>491</v>
      </c>
      <c r="X3325">
        <v>0</v>
      </c>
    </row>
    <row r="3326" spans="1:24" x14ac:dyDescent="0.25">
      <c r="A3326" s="234">
        <v>42676</v>
      </c>
      <c r="B3326" t="s">
        <v>378</v>
      </c>
      <c r="C3326" t="s">
        <v>610</v>
      </c>
      <c r="D3326" t="s">
        <v>732</v>
      </c>
      <c r="E3326" t="s">
        <v>588</v>
      </c>
      <c r="F3326" t="s">
        <v>4566</v>
      </c>
      <c r="H3326" t="s">
        <v>722</v>
      </c>
      <c r="I3326" t="s">
        <v>610</v>
      </c>
      <c r="J3326" t="s">
        <v>899</v>
      </c>
      <c r="L3326">
        <v>3</v>
      </c>
      <c r="M3326" s="134">
        <v>2255000</v>
      </c>
      <c r="N3326" s="134">
        <v>3095000</v>
      </c>
      <c r="O3326" t="s">
        <v>4567</v>
      </c>
      <c r="P3326" t="s">
        <v>4568</v>
      </c>
      <c r="Q3326" t="s">
        <v>620</v>
      </c>
      <c r="R3326" t="s">
        <v>4569</v>
      </c>
      <c r="U3326" t="s">
        <v>491</v>
      </c>
      <c r="X3326">
        <v>0</v>
      </c>
    </row>
    <row r="3327" spans="1:24" x14ac:dyDescent="0.25">
      <c r="A3327" s="234">
        <v>42846</v>
      </c>
      <c r="B3327" t="s">
        <v>328</v>
      </c>
      <c r="C3327" t="s">
        <v>603</v>
      </c>
      <c r="D3327" t="s">
        <v>5701</v>
      </c>
      <c r="E3327" t="s">
        <v>588</v>
      </c>
      <c r="F3327" t="s">
        <v>6509</v>
      </c>
      <c r="H3327" t="s">
        <v>722</v>
      </c>
      <c r="I3327" t="s">
        <v>4553</v>
      </c>
      <c r="J3327" t="s">
        <v>899</v>
      </c>
      <c r="L3327">
        <v>4</v>
      </c>
      <c r="M3327" s="134">
        <v>2256700</v>
      </c>
      <c r="N3327" s="134">
        <v>4326060</v>
      </c>
      <c r="O3327" t="s">
        <v>560</v>
      </c>
      <c r="P3327" t="s">
        <v>6510</v>
      </c>
      <c r="Q3327" t="s">
        <v>1939</v>
      </c>
      <c r="R3327" t="s">
        <v>6054</v>
      </c>
      <c r="U3327" t="s">
        <v>491</v>
      </c>
      <c r="X3327">
        <v>0</v>
      </c>
    </row>
    <row r="3328" spans="1:24" x14ac:dyDescent="0.25">
      <c r="A3328" s="234">
        <v>43446</v>
      </c>
      <c r="B3328" t="s">
        <v>569</v>
      </c>
      <c r="C3328" t="s">
        <v>899</v>
      </c>
      <c r="D3328" t="s">
        <v>11031</v>
      </c>
      <c r="F3328" t="s">
        <v>13622</v>
      </c>
      <c r="G3328" t="s">
        <v>13623</v>
      </c>
      <c r="H3328" t="s">
        <v>809</v>
      </c>
      <c r="I3328" t="s">
        <v>2054</v>
      </c>
      <c r="J3328" t="s">
        <v>899</v>
      </c>
      <c r="K3328" t="s">
        <v>13624</v>
      </c>
      <c r="M3328" s="134">
        <v>2257000</v>
      </c>
      <c r="N3328" s="134">
        <v>2257000</v>
      </c>
      <c r="O3328" t="s">
        <v>7564</v>
      </c>
      <c r="P3328" t="s">
        <v>13625</v>
      </c>
      <c r="Q3328" t="s">
        <v>1939</v>
      </c>
      <c r="R3328" t="s">
        <v>13755</v>
      </c>
      <c r="U3328" t="s">
        <v>12797</v>
      </c>
      <c r="X3328">
        <v>0</v>
      </c>
    </row>
    <row r="3329" spans="1:24" x14ac:dyDescent="0.25">
      <c r="A3329" s="234">
        <v>43595</v>
      </c>
      <c r="B3329" t="s">
        <v>328</v>
      </c>
      <c r="C3329" t="s">
        <v>603</v>
      </c>
      <c r="D3329" t="s">
        <v>10705</v>
      </c>
      <c r="F3329" t="s">
        <v>15305</v>
      </c>
      <c r="G3329" t="s">
        <v>15501</v>
      </c>
      <c r="H3329" t="s">
        <v>10831</v>
      </c>
      <c r="J3329" t="s">
        <v>644</v>
      </c>
      <c r="L3329">
        <v>10</v>
      </c>
      <c r="M3329" s="134">
        <v>2257000</v>
      </c>
      <c r="N3329" s="134">
        <v>2582700</v>
      </c>
      <c r="O3329" t="s">
        <v>7124</v>
      </c>
      <c r="P3329" t="s">
        <v>15502</v>
      </c>
      <c r="Q3329" t="s">
        <v>29</v>
      </c>
      <c r="R3329" t="s">
        <v>15503</v>
      </c>
      <c r="S3329" t="s">
        <v>15504</v>
      </c>
      <c r="U3329" t="s">
        <v>491</v>
      </c>
      <c r="X3329">
        <v>1</v>
      </c>
    </row>
    <row r="3330" spans="1:24" x14ac:dyDescent="0.25">
      <c r="A3330" s="234">
        <v>43437</v>
      </c>
      <c r="B3330" t="s">
        <v>5360</v>
      </c>
      <c r="C3330" t="s">
        <v>899</v>
      </c>
      <c r="D3330" t="s">
        <v>611</v>
      </c>
      <c r="F3330" t="s">
        <v>13448</v>
      </c>
      <c r="G3330" t="s">
        <v>13449</v>
      </c>
      <c r="H3330" t="s">
        <v>607</v>
      </c>
      <c r="I3330" t="s">
        <v>4078</v>
      </c>
      <c r="J3330" t="s">
        <v>899</v>
      </c>
      <c r="K3330" t="s">
        <v>13328</v>
      </c>
      <c r="L3330">
        <v>1</v>
      </c>
      <c r="M3330" s="134">
        <v>2264951</v>
      </c>
      <c r="N3330" s="134">
        <v>4419951</v>
      </c>
      <c r="O3330" t="s">
        <v>560</v>
      </c>
      <c r="P3330" t="s">
        <v>13450</v>
      </c>
      <c r="Q3330" t="s">
        <v>29</v>
      </c>
      <c r="R3330" t="s">
        <v>13451</v>
      </c>
      <c r="U3330" t="s">
        <v>491</v>
      </c>
      <c r="X3330">
        <v>1</v>
      </c>
    </row>
    <row r="3331" spans="1:24" x14ac:dyDescent="0.25">
      <c r="A3331" s="234">
        <v>43206</v>
      </c>
      <c r="B3331" t="s">
        <v>643</v>
      </c>
      <c r="C3331" t="s">
        <v>644</v>
      </c>
      <c r="D3331" t="s">
        <v>645</v>
      </c>
      <c r="E3331" t="s">
        <v>588</v>
      </c>
      <c r="F3331" t="s">
        <v>10951</v>
      </c>
      <c r="G3331" t="s">
        <v>10952</v>
      </c>
      <c r="H3331" t="s">
        <v>607</v>
      </c>
      <c r="I3331" t="s">
        <v>10953</v>
      </c>
      <c r="J3331" t="s">
        <v>644</v>
      </c>
      <c r="L3331">
        <v>3</v>
      </c>
      <c r="M3331" s="134">
        <v>2266000</v>
      </c>
      <c r="N3331" s="134">
        <v>3339000</v>
      </c>
      <c r="O3331" t="s">
        <v>560</v>
      </c>
      <c r="P3331" t="s">
        <v>10954</v>
      </c>
      <c r="Q3331" t="s">
        <v>1939</v>
      </c>
      <c r="R3331" t="s">
        <v>10955</v>
      </c>
      <c r="U3331" t="s">
        <v>1327</v>
      </c>
      <c r="X3331">
        <v>0</v>
      </c>
    </row>
    <row r="3332" spans="1:24" x14ac:dyDescent="0.25">
      <c r="A3332" s="234">
        <v>42996</v>
      </c>
      <c r="B3332" t="s">
        <v>643</v>
      </c>
      <c r="C3332" t="s">
        <v>644</v>
      </c>
      <c r="D3332" t="s">
        <v>645</v>
      </c>
      <c r="E3332" t="s">
        <v>588</v>
      </c>
      <c r="F3332" t="s">
        <v>346</v>
      </c>
      <c r="G3332" t="s">
        <v>8598</v>
      </c>
      <c r="H3332" t="s">
        <v>607</v>
      </c>
      <c r="I3332" t="s">
        <v>5212</v>
      </c>
      <c r="J3332" t="s">
        <v>644</v>
      </c>
      <c r="L3332">
        <v>2</v>
      </c>
      <c r="M3332" s="134">
        <v>2273000</v>
      </c>
      <c r="N3332" s="134">
        <v>4273000</v>
      </c>
      <c r="O3332" t="s">
        <v>560</v>
      </c>
      <c r="P3332" t="s">
        <v>8599</v>
      </c>
      <c r="Q3332" t="s">
        <v>1939</v>
      </c>
      <c r="R3332" t="s">
        <v>8604</v>
      </c>
      <c r="T3332">
        <v>40</v>
      </c>
      <c r="U3332" t="s">
        <v>491</v>
      </c>
      <c r="X3332">
        <v>0</v>
      </c>
    </row>
    <row r="3333" spans="1:24" x14ac:dyDescent="0.25">
      <c r="A3333" s="234">
        <v>43406</v>
      </c>
      <c r="B3333" t="s">
        <v>643</v>
      </c>
      <c r="C3333" t="s">
        <v>644</v>
      </c>
      <c r="D3333" t="s">
        <v>645</v>
      </c>
      <c r="F3333" t="s">
        <v>13103</v>
      </c>
      <c r="G3333" t="s">
        <v>6974</v>
      </c>
      <c r="H3333" t="s">
        <v>607</v>
      </c>
      <c r="I3333" t="s">
        <v>11305</v>
      </c>
      <c r="J3333" t="s">
        <v>899</v>
      </c>
      <c r="K3333" t="s">
        <v>13101</v>
      </c>
      <c r="L3333">
        <v>2</v>
      </c>
      <c r="M3333" s="134">
        <v>2276000</v>
      </c>
      <c r="N3333" s="134">
        <v>3800000</v>
      </c>
      <c r="O3333" t="s">
        <v>560</v>
      </c>
      <c r="P3333" t="s">
        <v>13131</v>
      </c>
      <c r="Q3333" t="s">
        <v>29</v>
      </c>
      <c r="R3333" t="s">
        <v>13132</v>
      </c>
      <c r="U3333" t="s">
        <v>2500</v>
      </c>
      <c r="X3333">
        <v>1</v>
      </c>
    </row>
    <row r="3334" spans="1:24" x14ac:dyDescent="0.25">
      <c r="A3334" s="234">
        <v>42816</v>
      </c>
      <c r="B3334" t="s">
        <v>328</v>
      </c>
      <c r="C3334" t="s">
        <v>603</v>
      </c>
      <c r="D3334" t="s">
        <v>2397</v>
      </c>
      <c r="E3334" t="s">
        <v>588</v>
      </c>
      <c r="F3334" t="s">
        <v>6066</v>
      </c>
      <c r="H3334" t="s">
        <v>607</v>
      </c>
      <c r="I3334" t="s">
        <v>2054</v>
      </c>
      <c r="J3334" t="s">
        <v>899</v>
      </c>
      <c r="L3334">
        <v>1</v>
      </c>
      <c r="M3334" s="134">
        <v>2280000</v>
      </c>
      <c r="N3334" s="134">
        <v>3876000</v>
      </c>
      <c r="O3334" t="s">
        <v>560</v>
      </c>
      <c r="P3334" t="s">
        <v>6067</v>
      </c>
      <c r="Q3334" t="s">
        <v>1939</v>
      </c>
      <c r="R3334" t="s">
        <v>6068</v>
      </c>
      <c r="U3334" t="s">
        <v>491</v>
      </c>
      <c r="X3334">
        <v>0</v>
      </c>
    </row>
    <row r="3335" spans="1:24" x14ac:dyDescent="0.25">
      <c r="A3335" s="234">
        <v>42985</v>
      </c>
      <c r="B3335" t="s">
        <v>328</v>
      </c>
      <c r="C3335" t="s">
        <v>603</v>
      </c>
      <c r="D3335" t="s">
        <v>7595</v>
      </c>
      <c r="E3335" t="s">
        <v>588</v>
      </c>
      <c r="F3335" t="s">
        <v>8443</v>
      </c>
      <c r="G3335" t="s">
        <v>8444</v>
      </c>
      <c r="H3335" t="s">
        <v>1391</v>
      </c>
      <c r="I3335" t="s">
        <v>8445</v>
      </c>
      <c r="J3335" t="s">
        <v>899</v>
      </c>
      <c r="L3335">
        <v>3</v>
      </c>
      <c r="M3335" s="134">
        <v>2285555</v>
      </c>
      <c r="N3335" s="134">
        <v>3885445</v>
      </c>
      <c r="O3335" t="s">
        <v>560</v>
      </c>
      <c r="P3335" t="s">
        <v>8446</v>
      </c>
      <c r="Q3335" t="s">
        <v>592</v>
      </c>
      <c r="T3335">
        <v>18</v>
      </c>
      <c r="U3335" t="s">
        <v>491</v>
      </c>
      <c r="X3335">
        <v>0</v>
      </c>
    </row>
    <row r="3336" spans="1:24" x14ac:dyDescent="0.25">
      <c r="A3336" s="234">
        <v>43424</v>
      </c>
      <c r="B3336" t="s">
        <v>569</v>
      </c>
      <c r="C3336" t="s">
        <v>899</v>
      </c>
      <c r="D3336" t="s">
        <v>3505</v>
      </c>
      <c r="F3336" t="s">
        <v>13233</v>
      </c>
      <c r="G3336" t="s">
        <v>13234</v>
      </c>
      <c r="H3336" t="s">
        <v>607</v>
      </c>
      <c r="I3336" t="s">
        <v>3536</v>
      </c>
      <c r="J3336" t="s">
        <v>899</v>
      </c>
      <c r="K3336" t="s">
        <v>13110</v>
      </c>
      <c r="L3336">
        <v>2</v>
      </c>
      <c r="M3336" s="134">
        <v>2297370</v>
      </c>
      <c r="N3336" s="134">
        <v>3500000</v>
      </c>
      <c r="O3336" t="s">
        <v>560</v>
      </c>
      <c r="P3336" t="s">
        <v>13235</v>
      </c>
      <c r="Q3336" t="s">
        <v>29</v>
      </c>
      <c r="R3336" t="s">
        <v>13236</v>
      </c>
      <c r="U3336" t="s">
        <v>491</v>
      </c>
      <c r="X3336">
        <v>1</v>
      </c>
    </row>
    <row r="3337" spans="1:24" x14ac:dyDescent="0.25">
      <c r="A3337" s="234">
        <v>42569</v>
      </c>
      <c r="B3337" t="s">
        <v>328</v>
      </c>
      <c r="C3337" t="s">
        <v>603</v>
      </c>
      <c r="D3337" t="s">
        <v>1401</v>
      </c>
      <c r="E3337" t="s">
        <v>588</v>
      </c>
      <c r="F3337" t="s">
        <v>2911</v>
      </c>
      <c r="H3337" t="s">
        <v>2912</v>
      </c>
      <c r="I3337" t="s">
        <v>2913</v>
      </c>
      <c r="M3337" s="134">
        <v>2300000</v>
      </c>
      <c r="N3337" s="134">
        <v>2300000</v>
      </c>
      <c r="O3337" t="s">
        <v>1302</v>
      </c>
      <c r="P3337" t="s">
        <v>2914</v>
      </c>
      <c r="Q3337" t="s">
        <v>1939</v>
      </c>
      <c r="R3337" t="s">
        <v>2915</v>
      </c>
      <c r="U3337" t="s">
        <v>491</v>
      </c>
      <c r="X3337">
        <v>0</v>
      </c>
    </row>
    <row r="3338" spans="1:24" x14ac:dyDescent="0.25">
      <c r="A3338" s="234">
        <v>42423</v>
      </c>
      <c r="B3338" t="s">
        <v>594</v>
      </c>
      <c r="C3338" t="s">
        <v>604</v>
      </c>
      <c r="D3338" t="s">
        <v>727</v>
      </c>
      <c r="E3338" t="s">
        <v>588</v>
      </c>
      <c r="F3338" t="s">
        <v>1094</v>
      </c>
      <c r="H3338" t="s">
        <v>905</v>
      </c>
      <c r="I3338" t="s">
        <v>1095</v>
      </c>
      <c r="M3338" s="134">
        <v>2300000</v>
      </c>
      <c r="N3338" s="134">
        <v>2446000</v>
      </c>
      <c r="O3338" t="s">
        <v>1097</v>
      </c>
      <c r="P3338" t="s">
        <v>1096</v>
      </c>
      <c r="Q3338" t="s">
        <v>592</v>
      </c>
      <c r="R3338" t="s">
        <v>1098</v>
      </c>
      <c r="U3338" t="s">
        <v>491</v>
      </c>
      <c r="X3338">
        <v>0</v>
      </c>
    </row>
    <row r="3339" spans="1:24" x14ac:dyDescent="0.25">
      <c r="A3339" s="234">
        <v>43490</v>
      </c>
      <c r="B3339" t="s">
        <v>643</v>
      </c>
      <c r="C3339" t="s">
        <v>644</v>
      </c>
      <c r="D3339" t="s">
        <v>645</v>
      </c>
      <c r="F3339" t="s">
        <v>14125</v>
      </c>
      <c r="G3339" t="s">
        <v>12361</v>
      </c>
      <c r="H3339" t="s">
        <v>607</v>
      </c>
      <c r="I3339" t="s">
        <v>14126</v>
      </c>
      <c r="J3339" t="s">
        <v>644</v>
      </c>
      <c r="K3339" t="s">
        <v>14127</v>
      </c>
      <c r="L3339">
        <v>10</v>
      </c>
      <c r="M3339" s="134">
        <v>2300000</v>
      </c>
      <c r="N3339" s="134">
        <v>3400000</v>
      </c>
      <c r="O3339" t="s">
        <v>560</v>
      </c>
      <c r="P3339" t="s">
        <v>14128</v>
      </c>
      <c r="Q3339" t="s">
        <v>1612</v>
      </c>
      <c r="R3339" t="s">
        <v>14129</v>
      </c>
      <c r="U3339" t="s">
        <v>491</v>
      </c>
      <c r="X3339">
        <v>0</v>
      </c>
    </row>
    <row r="3340" spans="1:24" x14ac:dyDescent="0.25">
      <c r="A3340" s="234">
        <v>43468</v>
      </c>
      <c r="B3340" t="s">
        <v>328</v>
      </c>
      <c r="C3340" t="s">
        <v>603</v>
      </c>
      <c r="D3340" t="s">
        <v>672</v>
      </c>
      <c r="F3340" t="s">
        <v>13773</v>
      </c>
      <c r="G3340" t="s">
        <v>13774</v>
      </c>
      <c r="H3340" t="s">
        <v>607</v>
      </c>
      <c r="I3340" t="s">
        <v>13775</v>
      </c>
      <c r="J3340" t="s">
        <v>3733</v>
      </c>
      <c r="K3340" t="s">
        <v>13776</v>
      </c>
      <c r="L3340">
        <v>10</v>
      </c>
      <c r="M3340" s="134">
        <v>2300000</v>
      </c>
      <c r="N3340" s="134">
        <v>3600000</v>
      </c>
      <c r="O3340" t="s">
        <v>10765</v>
      </c>
      <c r="P3340" t="s">
        <v>13777</v>
      </c>
      <c r="Q3340" t="s">
        <v>1939</v>
      </c>
      <c r="R3340" t="s">
        <v>13778</v>
      </c>
      <c r="S3340" t="s">
        <v>13779</v>
      </c>
      <c r="U3340" t="s">
        <v>491</v>
      </c>
      <c r="X3340">
        <f>IF(Q3340="Decline",1,0)</f>
        <v>0</v>
      </c>
    </row>
    <row r="3341" spans="1:24" x14ac:dyDescent="0.25">
      <c r="A3341" s="234">
        <v>42739</v>
      </c>
      <c r="B3341" t="s">
        <v>569</v>
      </c>
      <c r="D3341" t="s">
        <v>624</v>
      </c>
      <c r="E3341" t="s">
        <v>588</v>
      </c>
      <c r="F3341" t="s">
        <v>5200</v>
      </c>
      <c r="H3341" t="s">
        <v>607</v>
      </c>
      <c r="I3341" t="s">
        <v>3462</v>
      </c>
      <c r="J3341" t="s">
        <v>899</v>
      </c>
      <c r="L3341">
        <v>4</v>
      </c>
      <c r="M3341" s="134">
        <v>2300000</v>
      </c>
      <c r="N3341" s="134">
        <v>3910000</v>
      </c>
      <c r="O3341" t="s">
        <v>695</v>
      </c>
      <c r="P3341" t="s">
        <v>5201</v>
      </c>
      <c r="Q3341" t="s">
        <v>29</v>
      </c>
      <c r="R3341" t="s">
        <v>5202</v>
      </c>
      <c r="U3341" t="s">
        <v>491</v>
      </c>
      <c r="X3341">
        <v>1</v>
      </c>
    </row>
    <row r="3342" spans="1:24" x14ac:dyDescent="0.25">
      <c r="A3342" s="234">
        <v>42916</v>
      </c>
      <c r="B3342" t="s">
        <v>569</v>
      </c>
      <c r="D3342" t="s">
        <v>625</v>
      </c>
      <c r="E3342" t="s">
        <v>588</v>
      </c>
      <c r="F3342" t="s">
        <v>7472</v>
      </c>
      <c r="H3342" t="s">
        <v>722</v>
      </c>
      <c r="I3342" t="s">
        <v>3649</v>
      </c>
      <c r="J3342" t="s">
        <v>899</v>
      </c>
      <c r="M3342" s="134">
        <v>2300000</v>
      </c>
      <c r="N3342" s="134">
        <v>3910000</v>
      </c>
      <c r="O3342" t="s">
        <v>7473</v>
      </c>
      <c r="P3342" t="s">
        <v>7474</v>
      </c>
      <c r="Q3342" t="s">
        <v>1612</v>
      </c>
      <c r="R3342" t="s">
        <v>7500</v>
      </c>
      <c r="U3342" t="s">
        <v>491</v>
      </c>
      <c r="X3342">
        <v>0</v>
      </c>
    </row>
    <row r="3343" spans="1:24" x14ac:dyDescent="0.25">
      <c r="A3343" s="234">
        <v>42923</v>
      </c>
      <c r="B3343" t="s">
        <v>328</v>
      </c>
      <c r="C3343" t="s">
        <v>603</v>
      </c>
      <c r="D3343" t="s">
        <v>2397</v>
      </c>
      <c r="E3343" t="s">
        <v>588</v>
      </c>
      <c r="F3343" t="s">
        <v>7524</v>
      </c>
      <c r="H3343" t="s">
        <v>607</v>
      </c>
      <c r="I3343" t="s">
        <v>7525</v>
      </c>
      <c r="J3343" t="s">
        <v>899</v>
      </c>
      <c r="L3343">
        <v>3</v>
      </c>
      <c r="M3343" s="134">
        <v>2300000</v>
      </c>
      <c r="N3343" s="134">
        <v>3910000</v>
      </c>
      <c r="O3343" t="s">
        <v>560</v>
      </c>
      <c r="P3343" t="s">
        <v>7526</v>
      </c>
      <c r="Q3343" t="s">
        <v>1939</v>
      </c>
      <c r="R3343" t="s">
        <v>7418</v>
      </c>
      <c r="U3343" t="s">
        <v>491</v>
      </c>
      <c r="X3343">
        <v>0</v>
      </c>
    </row>
    <row r="3344" spans="1:24" x14ac:dyDescent="0.25">
      <c r="A3344" s="234">
        <v>42977</v>
      </c>
      <c r="B3344" t="s">
        <v>328</v>
      </c>
      <c r="C3344" t="s">
        <v>603</v>
      </c>
      <c r="D3344" t="s">
        <v>649</v>
      </c>
      <c r="E3344" t="s">
        <v>588</v>
      </c>
      <c r="F3344" t="s">
        <v>8354</v>
      </c>
      <c r="G3344" t="s">
        <v>8355</v>
      </c>
      <c r="H3344" t="s">
        <v>607</v>
      </c>
      <c r="I3344" t="s">
        <v>4674</v>
      </c>
      <c r="J3344" t="s">
        <v>899</v>
      </c>
      <c r="L3344">
        <v>4</v>
      </c>
      <c r="M3344" s="134">
        <v>2300000</v>
      </c>
      <c r="N3344" s="134">
        <v>4370000</v>
      </c>
      <c r="O3344" t="s">
        <v>560</v>
      </c>
      <c r="P3344" t="s">
        <v>8356</v>
      </c>
      <c r="Q3344" t="s">
        <v>1939</v>
      </c>
      <c r="R3344" t="s">
        <v>8357</v>
      </c>
      <c r="T3344">
        <v>18</v>
      </c>
      <c r="U3344" t="s">
        <v>491</v>
      </c>
      <c r="X3344">
        <v>0</v>
      </c>
    </row>
    <row r="3345" spans="1:24" x14ac:dyDescent="0.25">
      <c r="A3345" s="234">
        <v>43308</v>
      </c>
      <c r="B3345" t="s">
        <v>569</v>
      </c>
      <c r="C3345" t="s">
        <v>899</v>
      </c>
      <c r="D3345" t="s">
        <v>624</v>
      </c>
      <c r="E3345" t="s">
        <v>588</v>
      </c>
      <c r="F3345" t="s">
        <v>11942</v>
      </c>
      <c r="G3345" t="s">
        <v>11943</v>
      </c>
      <c r="H3345" t="s">
        <v>607</v>
      </c>
      <c r="J3345" t="s">
        <v>899</v>
      </c>
      <c r="L3345">
        <v>4</v>
      </c>
      <c r="M3345" s="134">
        <v>2300000</v>
      </c>
      <c r="N3345" s="134">
        <v>4600000</v>
      </c>
      <c r="O3345" t="s">
        <v>560</v>
      </c>
      <c r="P3345" t="s">
        <v>11944</v>
      </c>
      <c r="Q3345" t="s">
        <v>592</v>
      </c>
      <c r="U3345" t="s">
        <v>1327</v>
      </c>
      <c r="X3345">
        <v>0</v>
      </c>
    </row>
    <row r="3346" spans="1:24" x14ac:dyDescent="0.25">
      <c r="A3346" s="234">
        <v>42690</v>
      </c>
      <c r="B3346" t="s">
        <v>378</v>
      </c>
      <c r="C3346" t="s">
        <v>623</v>
      </c>
      <c r="D3346" t="s">
        <v>1783</v>
      </c>
      <c r="E3346" t="s">
        <v>588</v>
      </c>
      <c r="F3346" t="s">
        <v>4719</v>
      </c>
      <c r="H3346" t="s">
        <v>722</v>
      </c>
      <c r="I3346" t="s">
        <v>2054</v>
      </c>
      <c r="J3346" t="s">
        <v>899</v>
      </c>
      <c r="M3346" s="134">
        <v>2300300</v>
      </c>
      <c r="N3346" s="134">
        <v>3130300</v>
      </c>
      <c r="O3346" t="s">
        <v>560</v>
      </c>
      <c r="P3346" t="s">
        <v>4720</v>
      </c>
      <c r="Q3346" t="s">
        <v>1939</v>
      </c>
      <c r="R3346" t="s">
        <v>4721</v>
      </c>
      <c r="U3346" t="s">
        <v>491</v>
      </c>
      <c r="X3346">
        <v>0</v>
      </c>
    </row>
    <row r="3347" spans="1:24" x14ac:dyDescent="0.25">
      <c r="A3347" s="234">
        <v>43221</v>
      </c>
      <c r="B3347" t="s">
        <v>569</v>
      </c>
      <c r="C3347" t="s">
        <v>899</v>
      </c>
      <c r="D3347" t="s">
        <v>625</v>
      </c>
      <c r="E3347" t="s">
        <v>588</v>
      </c>
      <c r="F3347" t="s">
        <v>11164</v>
      </c>
      <c r="G3347" t="s">
        <v>11165</v>
      </c>
      <c r="H3347" t="s">
        <v>607</v>
      </c>
      <c r="I3347" t="s">
        <v>3649</v>
      </c>
      <c r="J3347" t="s">
        <v>899</v>
      </c>
      <c r="M3347" s="134">
        <v>2304000</v>
      </c>
      <c r="N3347" s="134">
        <v>3495200</v>
      </c>
      <c r="O3347" t="s">
        <v>560</v>
      </c>
      <c r="P3347" t="s">
        <v>11391</v>
      </c>
      <c r="Q3347" t="s">
        <v>592</v>
      </c>
      <c r="R3347" t="s">
        <v>11166</v>
      </c>
      <c r="U3347" t="s">
        <v>1327</v>
      </c>
      <c r="X3347">
        <v>0</v>
      </c>
    </row>
    <row r="3348" spans="1:24" x14ac:dyDescent="0.25">
      <c r="A3348" s="234">
        <v>42557</v>
      </c>
      <c r="B3348" t="s">
        <v>378</v>
      </c>
      <c r="C3348" t="s">
        <v>623</v>
      </c>
      <c r="D3348" t="s">
        <v>930</v>
      </c>
      <c r="E3348" t="s">
        <v>588</v>
      </c>
      <c r="F3348" t="s">
        <v>2761</v>
      </c>
      <c r="H3348" t="s">
        <v>607</v>
      </c>
      <c r="I3348" t="s">
        <v>2762</v>
      </c>
      <c r="M3348" s="134">
        <v>2304000</v>
      </c>
      <c r="N3348" s="134">
        <v>3674000</v>
      </c>
      <c r="O3348" t="s">
        <v>2763</v>
      </c>
      <c r="P3348" t="s">
        <v>2764</v>
      </c>
      <c r="Q3348" t="s">
        <v>620</v>
      </c>
      <c r="R3348" t="s">
        <v>2765</v>
      </c>
      <c r="S3348" t="s">
        <v>2771</v>
      </c>
      <c r="U3348" t="s">
        <v>491</v>
      </c>
      <c r="X3348">
        <v>0</v>
      </c>
    </row>
    <row r="3349" spans="1:24" x14ac:dyDescent="0.25">
      <c r="A3349" s="234">
        <v>43602</v>
      </c>
      <c r="B3349" t="s">
        <v>13559</v>
      </c>
      <c r="C3349" t="s">
        <v>4031</v>
      </c>
      <c r="D3349" t="s">
        <v>13560</v>
      </c>
      <c r="F3349" t="s">
        <v>15632</v>
      </c>
      <c r="G3349" t="s">
        <v>7814</v>
      </c>
      <c r="H3349" t="s">
        <v>607</v>
      </c>
      <c r="I3349" t="s">
        <v>15633</v>
      </c>
      <c r="J3349" t="s">
        <v>4031</v>
      </c>
      <c r="K3349" t="s">
        <v>15634</v>
      </c>
      <c r="L3349">
        <v>2</v>
      </c>
      <c r="M3349" s="134">
        <v>2319000</v>
      </c>
      <c r="N3349" s="134">
        <v>3282800</v>
      </c>
      <c r="O3349" t="s">
        <v>10765</v>
      </c>
      <c r="P3349" t="s">
        <v>15907</v>
      </c>
      <c r="Q3349" t="s">
        <v>1612</v>
      </c>
      <c r="R3349" t="s">
        <v>15635</v>
      </c>
      <c r="U3349" t="s">
        <v>12344</v>
      </c>
      <c r="X3349">
        <v>0</v>
      </c>
    </row>
    <row r="3350" spans="1:24" x14ac:dyDescent="0.25">
      <c r="A3350" s="234">
        <v>42857</v>
      </c>
      <c r="B3350" t="s">
        <v>328</v>
      </c>
      <c r="C3350" t="s">
        <v>899</v>
      </c>
      <c r="D3350" t="s">
        <v>1401</v>
      </c>
      <c r="E3350" t="s">
        <v>588</v>
      </c>
      <c r="F3350" t="s">
        <v>6631</v>
      </c>
      <c r="H3350" t="s">
        <v>6632</v>
      </c>
      <c r="I3350" t="s">
        <v>3929</v>
      </c>
      <c r="J3350" t="s">
        <v>899</v>
      </c>
      <c r="L3350">
        <v>2</v>
      </c>
      <c r="M3350" s="134">
        <v>2325000</v>
      </c>
      <c r="N3350" s="134">
        <v>3290000</v>
      </c>
      <c r="O3350" t="s">
        <v>6633</v>
      </c>
      <c r="P3350" t="s">
        <v>6674</v>
      </c>
      <c r="Q3350" t="s">
        <v>592</v>
      </c>
      <c r="R3350" t="s">
        <v>7043</v>
      </c>
      <c r="U3350" t="s">
        <v>1327</v>
      </c>
      <c r="X3350">
        <v>0</v>
      </c>
    </row>
    <row r="3351" spans="1:24" x14ac:dyDescent="0.25">
      <c r="A3351" s="234">
        <v>43122</v>
      </c>
      <c r="B3351" t="s">
        <v>569</v>
      </c>
      <c r="C3351" t="s">
        <v>899</v>
      </c>
      <c r="D3351" t="s">
        <v>625</v>
      </c>
      <c r="E3351" t="s">
        <v>588</v>
      </c>
      <c r="F3351" t="s">
        <v>10110</v>
      </c>
      <c r="G3351" t="s">
        <v>10111</v>
      </c>
      <c r="H3351" t="s">
        <v>607</v>
      </c>
      <c r="I3351" t="s">
        <v>10112</v>
      </c>
      <c r="J3351" t="s">
        <v>899</v>
      </c>
      <c r="M3351" s="134">
        <v>2329000</v>
      </c>
      <c r="N3351" s="134">
        <v>4192000</v>
      </c>
      <c r="O3351" t="s">
        <v>560</v>
      </c>
      <c r="P3351" t="s">
        <v>10113</v>
      </c>
      <c r="Q3351" t="s">
        <v>592</v>
      </c>
      <c r="R3351" t="s">
        <v>10114</v>
      </c>
      <c r="U3351" t="s">
        <v>1327</v>
      </c>
      <c r="X3351">
        <v>0</v>
      </c>
    </row>
    <row r="3352" spans="1:24" x14ac:dyDescent="0.25">
      <c r="A3352" s="234">
        <v>42892</v>
      </c>
      <c r="B3352" t="s">
        <v>569</v>
      </c>
      <c r="D3352" t="s">
        <v>930</v>
      </c>
      <c r="E3352" t="s">
        <v>588</v>
      </c>
      <c r="F3352" t="s">
        <v>7077</v>
      </c>
      <c r="H3352" t="s">
        <v>607</v>
      </c>
      <c r="I3352" t="s">
        <v>3918</v>
      </c>
      <c r="J3352" t="s">
        <v>899</v>
      </c>
      <c r="L3352">
        <v>1</v>
      </c>
      <c r="M3352" s="134">
        <v>2331000</v>
      </c>
      <c r="N3352" s="134">
        <v>4195800</v>
      </c>
      <c r="O3352" t="s">
        <v>35</v>
      </c>
      <c r="P3352" t="s">
        <v>7078</v>
      </c>
      <c r="Q3352" t="s">
        <v>592</v>
      </c>
      <c r="U3352" t="s">
        <v>491</v>
      </c>
      <c r="X3352">
        <v>0</v>
      </c>
    </row>
    <row r="3353" spans="1:24" x14ac:dyDescent="0.25">
      <c r="A3353" s="234">
        <v>42817</v>
      </c>
      <c r="B3353" t="s">
        <v>328</v>
      </c>
      <c r="C3353" t="s">
        <v>603</v>
      </c>
      <c r="D3353" t="s">
        <v>649</v>
      </c>
      <c r="E3353" t="s">
        <v>588</v>
      </c>
      <c r="F3353" t="s">
        <v>6082</v>
      </c>
      <c r="H3353" t="s">
        <v>607</v>
      </c>
      <c r="J3353" t="s">
        <v>899</v>
      </c>
      <c r="M3353" s="134">
        <v>2335000</v>
      </c>
      <c r="N3353" s="134">
        <v>4161000</v>
      </c>
      <c r="O3353" t="s">
        <v>560</v>
      </c>
      <c r="P3353" t="s">
        <v>6083</v>
      </c>
      <c r="Q3353" t="s">
        <v>1939</v>
      </c>
      <c r="R3353" t="s">
        <v>6084</v>
      </c>
      <c r="U3353" t="s">
        <v>491</v>
      </c>
      <c r="X3353">
        <v>0</v>
      </c>
    </row>
    <row r="3354" spans="1:24" x14ac:dyDescent="0.25">
      <c r="A3354" s="234">
        <v>42934</v>
      </c>
      <c r="B3354" t="s">
        <v>569</v>
      </c>
      <c r="D3354" t="s">
        <v>930</v>
      </c>
      <c r="E3354" t="s">
        <v>821</v>
      </c>
      <c r="F3354" t="s">
        <v>7644</v>
      </c>
      <c r="H3354" t="s">
        <v>607</v>
      </c>
      <c r="I3354" t="s">
        <v>3649</v>
      </c>
      <c r="J3354" t="s">
        <v>899</v>
      </c>
      <c r="M3354" s="134">
        <v>2336000</v>
      </c>
      <c r="N3354" s="134">
        <v>0</v>
      </c>
      <c r="O3354" t="s">
        <v>7645</v>
      </c>
      <c r="P3354" t="s">
        <v>7646</v>
      </c>
      <c r="Q3354" t="s">
        <v>1939</v>
      </c>
      <c r="R3354" t="s">
        <v>7647</v>
      </c>
      <c r="U3354" t="s">
        <v>491</v>
      </c>
      <c r="X3354">
        <v>0</v>
      </c>
    </row>
    <row r="3355" spans="1:24" x14ac:dyDescent="0.25">
      <c r="A3355" s="234">
        <v>42670</v>
      </c>
      <c r="B3355" t="s">
        <v>378</v>
      </c>
      <c r="C3355" t="s">
        <v>623</v>
      </c>
      <c r="D3355" t="s">
        <v>930</v>
      </c>
      <c r="E3355" t="s">
        <v>588</v>
      </c>
      <c r="F3355" t="s">
        <v>4518</v>
      </c>
      <c r="H3355" t="s">
        <v>607</v>
      </c>
      <c r="I3355" t="s">
        <v>4519</v>
      </c>
      <c r="J3355" t="s">
        <v>899</v>
      </c>
      <c r="L3355">
        <v>4</v>
      </c>
      <c r="M3355" s="134">
        <v>2345000</v>
      </c>
      <c r="N3355" s="134">
        <v>3986500</v>
      </c>
      <c r="O3355" t="s">
        <v>560</v>
      </c>
      <c r="P3355" t="s">
        <v>4520</v>
      </c>
      <c r="Q3355" t="s">
        <v>592</v>
      </c>
      <c r="R3355" t="s">
        <v>4521</v>
      </c>
      <c r="U3355" t="s">
        <v>491</v>
      </c>
      <c r="X3355">
        <v>0</v>
      </c>
    </row>
    <row r="3356" spans="1:24" x14ac:dyDescent="0.25">
      <c r="A3356" s="234">
        <v>43040</v>
      </c>
      <c r="B3356" t="s">
        <v>328</v>
      </c>
      <c r="C3356" t="s">
        <v>603</v>
      </c>
      <c r="D3356" t="s">
        <v>672</v>
      </c>
      <c r="E3356" t="s">
        <v>588</v>
      </c>
      <c r="F3356" t="s">
        <v>9308</v>
      </c>
      <c r="G3356" t="s">
        <v>8941</v>
      </c>
      <c r="H3356" t="s">
        <v>607</v>
      </c>
      <c r="J3356" t="s">
        <v>899</v>
      </c>
      <c r="L3356">
        <v>3</v>
      </c>
      <c r="M3356" s="134">
        <v>2349301</v>
      </c>
      <c r="N3356" s="134">
        <v>3440161</v>
      </c>
      <c r="O3356" t="s">
        <v>560</v>
      </c>
      <c r="P3356" t="s">
        <v>9607</v>
      </c>
      <c r="Q3356" t="s">
        <v>1939</v>
      </c>
      <c r="R3356" t="s">
        <v>9309</v>
      </c>
      <c r="U3356" t="s">
        <v>1327</v>
      </c>
      <c r="X3356">
        <v>0</v>
      </c>
    </row>
    <row r="3357" spans="1:24" x14ac:dyDescent="0.25">
      <c r="A3357" s="234">
        <v>42937</v>
      </c>
      <c r="B3357" t="s">
        <v>328</v>
      </c>
      <c r="C3357" t="s">
        <v>603</v>
      </c>
      <c r="D3357" t="s">
        <v>5701</v>
      </c>
      <c r="E3357" t="s">
        <v>588</v>
      </c>
      <c r="F3357" t="s">
        <v>7713</v>
      </c>
      <c r="G3357" t="s">
        <v>7714</v>
      </c>
      <c r="H3357" t="s">
        <v>905</v>
      </c>
      <c r="I3357" t="s">
        <v>2054</v>
      </c>
      <c r="J3357" t="s">
        <v>899</v>
      </c>
      <c r="L3357">
        <v>1</v>
      </c>
      <c r="M3357" s="134">
        <v>2350000</v>
      </c>
      <c r="N3357" s="134">
        <v>1800000</v>
      </c>
      <c r="O3357" t="s">
        <v>560</v>
      </c>
      <c r="P3357" t="s">
        <v>7715</v>
      </c>
      <c r="Q3357" t="s">
        <v>1939</v>
      </c>
      <c r="R3357" t="s">
        <v>7716</v>
      </c>
      <c r="U3357" t="s">
        <v>2227</v>
      </c>
      <c r="X3357">
        <v>0</v>
      </c>
    </row>
    <row r="3358" spans="1:24" x14ac:dyDescent="0.25">
      <c r="A3358" s="234">
        <v>43276</v>
      </c>
      <c r="B3358" t="s">
        <v>328</v>
      </c>
      <c r="C3358" t="s">
        <v>603</v>
      </c>
      <c r="D3358" t="s">
        <v>8941</v>
      </c>
      <c r="E3358" t="s">
        <v>588</v>
      </c>
      <c r="F3358" t="s">
        <v>11628</v>
      </c>
      <c r="G3358" t="s">
        <v>833</v>
      </c>
      <c r="H3358" t="s">
        <v>607</v>
      </c>
      <c r="I3358" t="s">
        <v>9530</v>
      </c>
      <c r="J3358" t="s">
        <v>899</v>
      </c>
      <c r="L3358">
        <v>3</v>
      </c>
      <c r="M3358" s="134">
        <v>2362320</v>
      </c>
      <c r="N3358" s="134">
        <v>3134904</v>
      </c>
      <c r="O3358" t="s">
        <v>560</v>
      </c>
      <c r="P3358" t="s">
        <v>11629</v>
      </c>
      <c r="Q3358" t="s">
        <v>1939</v>
      </c>
      <c r="R3358" t="s">
        <v>11630</v>
      </c>
      <c r="U3358" t="s">
        <v>1327</v>
      </c>
      <c r="X3358">
        <v>0</v>
      </c>
    </row>
    <row r="3359" spans="1:24" x14ac:dyDescent="0.25">
      <c r="A3359" s="234">
        <v>42829</v>
      </c>
      <c r="B3359" t="s">
        <v>569</v>
      </c>
      <c r="D3359" t="s">
        <v>625</v>
      </c>
      <c r="E3359" t="s">
        <v>588</v>
      </c>
      <c r="F3359" t="s">
        <v>6247</v>
      </c>
      <c r="H3359" t="s">
        <v>1391</v>
      </c>
      <c r="I3359" t="s">
        <v>3649</v>
      </c>
      <c r="J3359" t="s">
        <v>899</v>
      </c>
      <c r="L3359">
        <v>2</v>
      </c>
      <c r="M3359" s="134">
        <v>2368000</v>
      </c>
      <c r="N3359" s="134">
        <v>3500000</v>
      </c>
      <c r="O3359" t="s">
        <v>560</v>
      </c>
      <c r="P3359" t="s">
        <v>6248</v>
      </c>
      <c r="Q3359" t="s">
        <v>592</v>
      </c>
      <c r="R3359" t="s">
        <v>6249</v>
      </c>
      <c r="U3359" t="s">
        <v>491</v>
      </c>
      <c r="X3359">
        <v>0</v>
      </c>
    </row>
    <row r="3360" spans="1:24" x14ac:dyDescent="0.25">
      <c r="A3360" s="234">
        <v>42373</v>
      </c>
      <c r="B3360" t="s">
        <v>378</v>
      </c>
      <c r="C3360" t="s">
        <v>610</v>
      </c>
      <c r="D3360" t="s">
        <v>611</v>
      </c>
      <c r="E3360" t="s">
        <v>588</v>
      </c>
      <c r="F3360" t="s">
        <v>612</v>
      </c>
      <c r="H3360" t="s">
        <v>607</v>
      </c>
      <c r="I3360" t="s">
        <v>613</v>
      </c>
      <c r="M3360" s="134">
        <v>2368000</v>
      </c>
      <c r="N3360" s="134">
        <v>4799200</v>
      </c>
      <c r="O3360" t="s">
        <v>560</v>
      </c>
      <c r="P3360" t="s">
        <v>619</v>
      </c>
      <c r="Q3360" t="s">
        <v>620</v>
      </c>
      <c r="R3360" t="s">
        <v>621</v>
      </c>
      <c r="S3360" t="s">
        <v>622</v>
      </c>
      <c r="U3360" t="s">
        <v>491</v>
      </c>
      <c r="X3360">
        <v>0</v>
      </c>
    </row>
    <row r="3361" spans="1:24" x14ac:dyDescent="0.25">
      <c r="A3361" s="234">
        <v>43026</v>
      </c>
      <c r="B3361" t="s">
        <v>328</v>
      </c>
      <c r="C3361" t="s">
        <v>603</v>
      </c>
      <c r="D3361" t="s">
        <v>5701</v>
      </c>
      <c r="E3361" t="s">
        <v>588</v>
      </c>
      <c r="F3361" t="s">
        <v>9079</v>
      </c>
      <c r="G3361" t="s">
        <v>9078</v>
      </c>
      <c r="H3361" t="s">
        <v>607</v>
      </c>
      <c r="I3361" t="s">
        <v>5910</v>
      </c>
      <c r="J3361" t="s">
        <v>899</v>
      </c>
      <c r="L3361">
        <v>1</v>
      </c>
      <c r="M3361" s="134">
        <v>2372691</v>
      </c>
      <c r="N3361" s="134">
        <v>3205091</v>
      </c>
      <c r="O3361" t="s">
        <v>560</v>
      </c>
      <c r="P3361" t="s">
        <v>9080</v>
      </c>
      <c r="Q3361" t="s">
        <v>1939</v>
      </c>
      <c r="R3361" t="s">
        <v>9081</v>
      </c>
      <c r="U3361" t="s">
        <v>491</v>
      </c>
      <c r="X3361">
        <v>0</v>
      </c>
    </row>
    <row r="3362" spans="1:24" x14ac:dyDescent="0.25">
      <c r="A3362" s="234">
        <v>42697</v>
      </c>
      <c r="B3362" t="s">
        <v>328</v>
      </c>
      <c r="C3362" t="s">
        <v>603</v>
      </c>
      <c r="D3362" t="s">
        <v>1471</v>
      </c>
      <c r="E3362" t="s">
        <v>588</v>
      </c>
      <c r="F3362" t="s">
        <v>4813</v>
      </c>
      <c r="H3362" t="s">
        <v>1119</v>
      </c>
      <c r="I3362" t="s">
        <v>3540</v>
      </c>
      <c r="J3362" t="s">
        <v>899</v>
      </c>
      <c r="L3362">
        <v>1</v>
      </c>
      <c r="M3362" s="134">
        <v>2372691</v>
      </c>
      <c r="N3362" s="134">
        <v>3205091</v>
      </c>
      <c r="O3362" t="s">
        <v>560</v>
      </c>
      <c r="P3362" t="s">
        <v>4814</v>
      </c>
      <c r="Q3362" t="s">
        <v>1939</v>
      </c>
      <c r="R3362" t="s">
        <v>4874</v>
      </c>
      <c r="U3362" t="s">
        <v>1327</v>
      </c>
      <c r="X3362">
        <v>0</v>
      </c>
    </row>
    <row r="3363" spans="1:24" x14ac:dyDescent="0.25">
      <c r="A3363" s="234">
        <v>42481</v>
      </c>
      <c r="B3363" t="s">
        <v>643</v>
      </c>
      <c r="C3363" t="s">
        <v>644</v>
      </c>
      <c r="D3363" t="s">
        <v>645</v>
      </c>
      <c r="E3363" t="s">
        <v>588</v>
      </c>
      <c r="F3363" t="s">
        <v>1776</v>
      </c>
      <c r="H3363" t="s">
        <v>722</v>
      </c>
      <c r="I3363" t="s">
        <v>1764</v>
      </c>
      <c r="M3363" s="134">
        <v>2383940</v>
      </c>
      <c r="N3363" s="134">
        <v>4670940</v>
      </c>
      <c r="O3363" t="s">
        <v>891</v>
      </c>
      <c r="P3363" t="s">
        <v>1765</v>
      </c>
      <c r="Q3363" t="s">
        <v>1612</v>
      </c>
      <c r="R3363" t="s">
        <v>1770</v>
      </c>
      <c r="U3363" t="s">
        <v>491</v>
      </c>
      <c r="X3363">
        <v>0</v>
      </c>
    </row>
    <row r="3364" spans="1:24" x14ac:dyDescent="0.25">
      <c r="A3364" s="234">
        <v>42608</v>
      </c>
      <c r="B3364" t="s">
        <v>378</v>
      </c>
      <c r="C3364" t="s">
        <v>610</v>
      </c>
      <c r="D3364" t="s">
        <v>1027</v>
      </c>
      <c r="E3364" t="s">
        <v>588</v>
      </c>
      <c r="F3364" t="s">
        <v>3641</v>
      </c>
      <c r="H3364" t="s">
        <v>607</v>
      </c>
      <c r="I3364" t="s">
        <v>3642</v>
      </c>
      <c r="J3364" t="s">
        <v>899</v>
      </c>
      <c r="L3364">
        <v>9</v>
      </c>
      <c r="M3364" s="134">
        <v>2389596</v>
      </c>
      <c r="N3364" s="134">
        <v>3579596</v>
      </c>
      <c r="O3364" t="s">
        <v>560</v>
      </c>
      <c r="P3364" t="s">
        <v>3643</v>
      </c>
      <c r="Q3364" t="s">
        <v>1939</v>
      </c>
      <c r="R3364" t="s">
        <v>3644</v>
      </c>
      <c r="U3364" t="s">
        <v>491</v>
      </c>
      <c r="X3364">
        <v>0</v>
      </c>
    </row>
    <row r="3365" spans="1:24" x14ac:dyDescent="0.25">
      <c r="A3365" s="234">
        <v>42578</v>
      </c>
      <c r="B3365" t="s">
        <v>378</v>
      </c>
      <c r="C3365" t="s">
        <v>623</v>
      </c>
      <c r="D3365" t="s">
        <v>625</v>
      </c>
      <c r="E3365" t="s">
        <v>588</v>
      </c>
      <c r="F3365" t="s">
        <v>3100</v>
      </c>
      <c r="H3365" t="s">
        <v>607</v>
      </c>
      <c r="I3365" t="s">
        <v>3101</v>
      </c>
      <c r="M3365" s="134">
        <v>2393000</v>
      </c>
      <c r="N3365" s="134">
        <v>3443000</v>
      </c>
      <c r="O3365" t="s">
        <v>891</v>
      </c>
      <c r="P3365" t="s">
        <v>3102</v>
      </c>
      <c r="Q3365" t="s">
        <v>592</v>
      </c>
      <c r="U3365" t="s">
        <v>491</v>
      </c>
      <c r="X3365">
        <v>0</v>
      </c>
    </row>
    <row r="3366" spans="1:24" x14ac:dyDescent="0.25">
      <c r="A3366" s="234">
        <v>42622</v>
      </c>
      <c r="B3366" t="s">
        <v>1486</v>
      </c>
      <c r="C3366" t="s">
        <v>1883</v>
      </c>
      <c r="D3366" t="s">
        <v>727</v>
      </c>
      <c r="E3366" t="s">
        <v>588</v>
      </c>
      <c r="F3366" t="s">
        <v>3865</v>
      </c>
      <c r="H3366" t="s">
        <v>1391</v>
      </c>
      <c r="I3366" t="s">
        <v>1487</v>
      </c>
      <c r="J3366" t="s">
        <v>604</v>
      </c>
      <c r="L3366">
        <v>5</v>
      </c>
      <c r="M3366" s="134">
        <v>2397000</v>
      </c>
      <c r="N3366" s="134">
        <v>3955100</v>
      </c>
      <c r="O3366" t="s">
        <v>3866</v>
      </c>
      <c r="P3366" t="s">
        <v>3867</v>
      </c>
      <c r="Q3366" t="s">
        <v>1939</v>
      </c>
      <c r="R3366" t="s">
        <v>3868</v>
      </c>
      <c r="U3366" t="s">
        <v>491</v>
      </c>
      <c r="X3366">
        <v>0</v>
      </c>
    </row>
    <row r="3367" spans="1:24" x14ac:dyDescent="0.25">
      <c r="A3367" s="234">
        <v>42418</v>
      </c>
      <c r="B3367" t="s">
        <v>378</v>
      </c>
      <c r="C3367" t="s">
        <v>623</v>
      </c>
      <c r="D3367" t="s">
        <v>800</v>
      </c>
      <c r="E3367" t="s">
        <v>588</v>
      </c>
      <c r="F3367" t="s">
        <v>1043</v>
      </c>
      <c r="H3367" t="s">
        <v>1044</v>
      </c>
      <c r="I3367" t="s">
        <v>1045</v>
      </c>
      <c r="M3367" s="134">
        <v>2399000</v>
      </c>
      <c r="N3367" s="134">
        <v>2945040</v>
      </c>
      <c r="O3367" t="s">
        <v>1046</v>
      </c>
      <c r="P3367" t="s">
        <v>1047</v>
      </c>
      <c r="Q3367" t="s">
        <v>592</v>
      </c>
      <c r="R3367" t="s">
        <v>1048</v>
      </c>
      <c r="U3367" t="s">
        <v>491</v>
      </c>
      <c r="X3367">
        <v>0</v>
      </c>
    </row>
    <row r="3368" spans="1:24" x14ac:dyDescent="0.25">
      <c r="A3368" s="234">
        <v>42907</v>
      </c>
      <c r="B3368" t="s">
        <v>643</v>
      </c>
      <c r="C3368" t="s">
        <v>644</v>
      </c>
      <c r="D3368" t="s">
        <v>645</v>
      </c>
      <c r="E3368" t="s">
        <v>588</v>
      </c>
      <c r="F3368" t="s">
        <v>7308</v>
      </c>
      <c r="H3368" t="s">
        <v>1050</v>
      </c>
      <c r="I3368" t="s">
        <v>4399</v>
      </c>
      <c r="J3368" t="s">
        <v>644</v>
      </c>
      <c r="L3368">
        <v>2</v>
      </c>
      <c r="M3368" s="134">
        <v>2400000</v>
      </c>
      <c r="N3368" s="134">
        <v>2500000</v>
      </c>
      <c r="O3368" t="s">
        <v>639</v>
      </c>
      <c r="P3368" t="s">
        <v>7309</v>
      </c>
      <c r="Q3368" t="s">
        <v>1612</v>
      </c>
      <c r="R3368" t="s">
        <v>7334</v>
      </c>
      <c r="U3368" t="s">
        <v>491</v>
      </c>
      <c r="X3368">
        <v>0</v>
      </c>
    </row>
    <row r="3369" spans="1:24" x14ac:dyDescent="0.25">
      <c r="A3369" s="234">
        <v>43398</v>
      </c>
      <c r="B3369" t="s">
        <v>643</v>
      </c>
      <c r="C3369" t="s">
        <v>644</v>
      </c>
      <c r="D3369" t="s">
        <v>645</v>
      </c>
      <c r="F3369" t="s">
        <v>13045</v>
      </c>
      <c r="G3369" t="s">
        <v>8044</v>
      </c>
      <c r="H3369" t="s">
        <v>905</v>
      </c>
      <c r="I3369" t="s">
        <v>3388</v>
      </c>
      <c r="J3369" t="s">
        <v>899</v>
      </c>
      <c r="K3369">
        <v>90210</v>
      </c>
      <c r="L3369">
        <v>2</v>
      </c>
      <c r="M3369" s="134">
        <v>2400000</v>
      </c>
      <c r="N3369" s="134">
        <v>3145000</v>
      </c>
      <c r="O3369" t="s">
        <v>560</v>
      </c>
      <c r="P3369" t="s">
        <v>13044</v>
      </c>
      <c r="Q3369" t="s">
        <v>592</v>
      </c>
      <c r="R3369" t="s">
        <v>13046</v>
      </c>
      <c r="U3369" t="s">
        <v>12344</v>
      </c>
      <c r="X3369">
        <v>0</v>
      </c>
    </row>
    <row r="3370" spans="1:24" x14ac:dyDescent="0.25">
      <c r="A3370" s="234">
        <v>42803</v>
      </c>
      <c r="B3370" t="s">
        <v>328</v>
      </c>
      <c r="C3370" t="s">
        <v>603</v>
      </c>
      <c r="D3370" t="s">
        <v>2397</v>
      </c>
      <c r="E3370" t="s">
        <v>588</v>
      </c>
      <c r="F3370" t="s">
        <v>5915</v>
      </c>
      <c r="H3370" t="s">
        <v>5244</v>
      </c>
      <c r="I3370" t="s">
        <v>5916</v>
      </c>
      <c r="J3370" t="s">
        <v>3523</v>
      </c>
      <c r="L3370">
        <v>3</v>
      </c>
      <c r="M3370" s="134">
        <v>2400000</v>
      </c>
      <c r="N3370" s="134">
        <v>4050000</v>
      </c>
      <c r="O3370" t="s">
        <v>695</v>
      </c>
      <c r="P3370" t="s">
        <v>6303</v>
      </c>
      <c r="Q3370" t="s">
        <v>1939</v>
      </c>
      <c r="R3370" t="s">
        <v>5917</v>
      </c>
      <c r="U3370" t="s">
        <v>491</v>
      </c>
      <c r="X3370">
        <v>0</v>
      </c>
    </row>
    <row r="3371" spans="1:24" x14ac:dyDescent="0.25">
      <c r="A3371" s="234">
        <v>42788</v>
      </c>
      <c r="B3371" t="s">
        <v>328</v>
      </c>
      <c r="C3371" t="s">
        <v>603</v>
      </c>
      <c r="D3371" t="s">
        <v>5773</v>
      </c>
      <c r="E3371" t="s">
        <v>588</v>
      </c>
      <c r="F3371" t="s">
        <v>5774</v>
      </c>
      <c r="H3371" t="s">
        <v>607</v>
      </c>
      <c r="I3371" t="s">
        <v>5775</v>
      </c>
      <c r="J3371" t="s">
        <v>3369</v>
      </c>
      <c r="L3371">
        <v>4</v>
      </c>
      <c r="M3371" s="134">
        <v>2400000</v>
      </c>
      <c r="N3371" s="134">
        <v>4080000</v>
      </c>
      <c r="O3371" t="s">
        <v>560</v>
      </c>
      <c r="P3371" t="s">
        <v>5777</v>
      </c>
      <c r="Q3371" t="s">
        <v>1939</v>
      </c>
      <c r="R3371" t="s">
        <v>5776</v>
      </c>
      <c r="U3371" t="s">
        <v>491</v>
      </c>
      <c r="X3371">
        <v>0</v>
      </c>
    </row>
    <row r="3372" spans="1:24" x14ac:dyDescent="0.25">
      <c r="A3372" s="234">
        <v>42418</v>
      </c>
      <c r="B3372" t="s">
        <v>378</v>
      </c>
      <c r="C3372" t="s">
        <v>610</v>
      </c>
      <c r="D3372" t="s">
        <v>1027</v>
      </c>
      <c r="E3372" t="s">
        <v>588</v>
      </c>
      <c r="F3372" t="s">
        <v>1028</v>
      </c>
      <c r="H3372" t="s">
        <v>722</v>
      </c>
      <c r="I3372" t="s">
        <v>887</v>
      </c>
      <c r="M3372" s="134">
        <v>2400000</v>
      </c>
      <c r="N3372" s="134">
        <v>4320000</v>
      </c>
      <c r="O3372" t="s">
        <v>560</v>
      </c>
      <c r="P3372" t="s">
        <v>1029</v>
      </c>
      <c r="Q3372" t="s">
        <v>592</v>
      </c>
      <c r="R3372" t="s">
        <v>1030</v>
      </c>
      <c r="U3372" t="s">
        <v>491</v>
      </c>
      <c r="X3372">
        <v>0</v>
      </c>
    </row>
    <row r="3373" spans="1:24" x14ac:dyDescent="0.25">
      <c r="A3373" s="234">
        <v>42881</v>
      </c>
      <c r="B3373" t="s">
        <v>328</v>
      </c>
      <c r="D3373" t="s">
        <v>672</v>
      </c>
      <c r="E3373" t="s">
        <v>588</v>
      </c>
      <c r="F3373" t="s">
        <v>6929</v>
      </c>
      <c r="H3373" t="s">
        <v>905</v>
      </c>
      <c r="I3373" t="s">
        <v>6930</v>
      </c>
      <c r="J3373" t="s">
        <v>899</v>
      </c>
      <c r="L3373">
        <v>2</v>
      </c>
      <c r="M3373" s="134">
        <v>2400000</v>
      </c>
      <c r="N3373" s="134">
        <v>4480000</v>
      </c>
      <c r="O3373" t="s">
        <v>560</v>
      </c>
      <c r="P3373" t="s">
        <v>6931</v>
      </c>
      <c r="Q3373" t="s">
        <v>1939</v>
      </c>
      <c r="R3373" t="s">
        <v>6932</v>
      </c>
      <c r="U3373" t="s">
        <v>491</v>
      </c>
      <c r="X3373">
        <v>0</v>
      </c>
    </row>
    <row r="3374" spans="1:24" x14ac:dyDescent="0.25">
      <c r="A3374" s="234">
        <v>43077</v>
      </c>
      <c r="B3374" t="s">
        <v>328</v>
      </c>
      <c r="C3374" t="s">
        <v>603</v>
      </c>
      <c r="D3374" t="s">
        <v>649</v>
      </c>
      <c r="E3374" t="s">
        <v>588</v>
      </c>
      <c r="F3374" t="s">
        <v>9711</v>
      </c>
      <c r="G3374" t="s">
        <v>9711</v>
      </c>
      <c r="H3374" t="s">
        <v>1391</v>
      </c>
      <c r="I3374" t="s">
        <v>9713</v>
      </c>
      <c r="J3374" t="s">
        <v>644</v>
      </c>
      <c r="L3374">
        <v>2</v>
      </c>
      <c r="M3374" s="134">
        <v>2400000</v>
      </c>
      <c r="N3374" s="134">
        <v>4560000</v>
      </c>
      <c r="O3374" t="s">
        <v>560</v>
      </c>
      <c r="P3374" t="s">
        <v>9710</v>
      </c>
      <c r="Q3374" t="s">
        <v>592</v>
      </c>
      <c r="R3374" t="s">
        <v>9712</v>
      </c>
      <c r="U3374" t="s">
        <v>1327</v>
      </c>
      <c r="X3374">
        <v>0</v>
      </c>
    </row>
    <row r="3375" spans="1:24" x14ac:dyDescent="0.25">
      <c r="A3375" s="234">
        <v>42401</v>
      </c>
      <c r="B3375" t="s">
        <v>378</v>
      </c>
      <c r="C3375" t="s">
        <v>610</v>
      </c>
      <c r="D3375" t="s">
        <v>611</v>
      </c>
      <c r="E3375" t="s">
        <v>588</v>
      </c>
      <c r="F3375" t="s">
        <v>882</v>
      </c>
      <c r="H3375" t="s">
        <v>607</v>
      </c>
      <c r="I3375" t="s">
        <v>883</v>
      </c>
      <c r="M3375" s="134">
        <v>2400000</v>
      </c>
      <c r="N3375" s="134">
        <v>4800000</v>
      </c>
      <c r="O3375" t="s">
        <v>831</v>
      </c>
      <c r="P3375" t="s">
        <v>884</v>
      </c>
      <c r="Q3375" t="s">
        <v>592</v>
      </c>
      <c r="U3375" t="s">
        <v>491</v>
      </c>
      <c r="X3375">
        <v>0</v>
      </c>
    </row>
    <row r="3376" spans="1:24" x14ac:dyDescent="0.25">
      <c r="A3376" s="234">
        <v>43598</v>
      </c>
      <c r="B3376" t="s">
        <v>643</v>
      </c>
      <c r="C3376" t="s">
        <v>603</v>
      </c>
      <c r="D3376" t="s">
        <v>3132</v>
      </c>
      <c r="F3376" t="s">
        <v>15527</v>
      </c>
      <c r="G3376" t="s">
        <v>15528</v>
      </c>
      <c r="H3376" t="s">
        <v>607</v>
      </c>
      <c r="I3376" t="s">
        <v>5212</v>
      </c>
      <c r="J3376" t="s">
        <v>644</v>
      </c>
      <c r="K3376" t="s">
        <v>15529</v>
      </c>
      <c r="L3376">
        <v>2</v>
      </c>
      <c r="M3376" s="134">
        <v>2406080</v>
      </c>
      <c r="N3376" s="134">
        <v>4431060</v>
      </c>
      <c r="O3376" t="s">
        <v>560</v>
      </c>
      <c r="P3376" t="s">
        <v>15531</v>
      </c>
      <c r="Q3376" t="s">
        <v>1939</v>
      </c>
      <c r="R3376" t="s">
        <v>15532</v>
      </c>
      <c r="S3376" t="s">
        <v>15530</v>
      </c>
      <c r="U3376" t="s">
        <v>491</v>
      </c>
      <c r="X3376">
        <v>0</v>
      </c>
    </row>
    <row r="3377" spans="1:24" x14ac:dyDescent="0.25">
      <c r="A3377" s="234">
        <v>43364</v>
      </c>
      <c r="B3377" t="s">
        <v>569</v>
      </c>
      <c r="C3377" t="s">
        <v>899</v>
      </c>
      <c r="D3377" t="s">
        <v>11286</v>
      </c>
      <c r="E3377" t="s">
        <v>588</v>
      </c>
      <c r="F3377" t="s">
        <v>12685</v>
      </c>
      <c r="G3377" t="s">
        <v>7855</v>
      </c>
      <c r="H3377" t="s">
        <v>607</v>
      </c>
      <c r="I3377" t="s">
        <v>6166</v>
      </c>
      <c r="J3377" t="s">
        <v>899</v>
      </c>
      <c r="L3377">
        <v>3</v>
      </c>
      <c r="M3377" s="134">
        <v>2410000</v>
      </c>
      <c r="N3377" s="134">
        <v>3540000</v>
      </c>
      <c r="O3377" t="s">
        <v>560</v>
      </c>
      <c r="P3377" t="s">
        <v>12687</v>
      </c>
      <c r="Q3377" t="s">
        <v>1939</v>
      </c>
      <c r="R3377" t="s">
        <v>12686</v>
      </c>
      <c r="U3377" t="s">
        <v>12344</v>
      </c>
      <c r="X3377">
        <v>0</v>
      </c>
    </row>
    <row r="3378" spans="1:24" x14ac:dyDescent="0.25">
      <c r="A3378" s="234">
        <v>43580</v>
      </c>
      <c r="B3378" t="s">
        <v>569</v>
      </c>
      <c r="C3378" t="s">
        <v>899</v>
      </c>
      <c r="D3378" t="s">
        <v>11286</v>
      </c>
      <c r="F3378" t="s">
        <v>15262</v>
      </c>
      <c r="G3378" t="s">
        <v>15263</v>
      </c>
      <c r="H3378" t="s">
        <v>607</v>
      </c>
      <c r="I3378" t="s">
        <v>5444</v>
      </c>
      <c r="J3378" t="s">
        <v>899</v>
      </c>
      <c r="K3378" t="s">
        <v>13704</v>
      </c>
      <c r="L3378">
        <v>3</v>
      </c>
      <c r="M3378" s="134">
        <v>2411000</v>
      </c>
      <c r="N3378" s="134">
        <v>4339800</v>
      </c>
      <c r="O3378" t="s">
        <v>560</v>
      </c>
      <c r="P3378" t="s">
        <v>15264</v>
      </c>
      <c r="Q3378" t="s">
        <v>29</v>
      </c>
      <c r="R3378" t="s">
        <v>15265</v>
      </c>
      <c r="U3378" t="s">
        <v>12797</v>
      </c>
      <c r="X3378">
        <v>1</v>
      </c>
    </row>
    <row r="3379" spans="1:24" x14ac:dyDescent="0.25">
      <c r="A3379" s="234">
        <v>42538</v>
      </c>
      <c r="B3379" t="s">
        <v>328</v>
      </c>
      <c r="C3379" t="s">
        <v>603</v>
      </c>
      <c r="D3379" t="s">
        <v>1471</v>
      </c>
      <c r="E3379" t="s">
        <v>588</v>
      </c>
      <c r="F3379" t="s">
        <v>2583</v>
      </c>
      <c r="H3379" t="s">
        <v>2074</v>
      </c>
      <c r="M3379" s="134">
        <v>2416000</v>
      </c>
      <c r="N3379" s="134">
        <v>4348800</v>
      </c>
      <c r="O3379" t="s">
        <v>891</v>
      </c>
      <c r="P3379" t="s">
        <v>16003</v>
      </c>
      <c r="Q3379" t="s">
        <v>620</v>
      </c>
      <c r="R3379" t="s">
        <v>2585</v>
      </c>
      <c r="U3379" t="s">
        <v>491</v>
      </c>
      <c r="X3379">
        <v>0</v>
      </c>
    </row>
    <row r="3380" spans="1:24" x14ac:dyDescent="0.25">
      <c r="A3380" s="234">
        <v>43301</v>
      </c>
      <c r="B3380" t="s">
        <v>569</v>
      </c>
      <c r="C3380" t="s">
        <v>899</v>
      </c>
      <c r="D3380" t="s">
        <v>625</v>
      </c>
      <c r="E3380" t="s">
        <v>588</v>
      </c>
      <c r="F3380" t="s">
        <v>11879</v>
      </c>
      <c r="G3380" t="s">
        <v>11880</v>
      </c>
      <c r="H3380" t="s">
        <v>607</v>
      </c>
      <c r="I3380" t="s">
        <v>3557</v>
      </c>
      <c r="J3380" t="s">
        <v>899</v>
      </c>
      <c r="M3380" s="134">
        <v>2420000</v>
      </c>
      <c r="N3380" s="134">
        <v>4259000</v>
      </c>
      <c r="O3380" t="s">
        <v>7564</v>
      </c>
      <c r="P3380" t="s">
        <v>11881</v>
      </c>
      <c r="Q3380" t="s">
        <v>592</v>
      </c>
      <c r="R3380" t="s">
        <v>12010</v>
      </c>
      <c r="U3380" t="s">
        <v>1327</v>
      </c>
      <c r="X3380">
        <v>0</v>
      </c>
    </row>
    <row r="3381" spans="1:24" x14ac:dyDescent="0.25">
      <c r="A3381" s="234">
        <v>43395</v>
      </c>
      <c r="B3381" t="s">
        <v>569</v>
      </c>
      <c r="C3381" t="s">
        <v>899</v>
      </c>
      <c r="D3381" t="s">
        <v>611</v>
      </c>
      <c r="F3381" t="s">
        <v>12984</v>
      </c>
      <c r="G3381" t="s">
        <v>8383</v>
      </c>
      <c r="H3381" t="s">
        <v>607</v>
      </c>
      <c r="I3381" t="s">
        <v>9579</v>
      </c>
      <c r="J3381" t="s">
        <v>899</v>
      </c>
      <c r="K3381">
        <v>94010</v>
      </c>
      <c r="L3381">
        <v>4</v>
      </c>
      <c r="M3381" s="134">
        <v>2422262</v>
      </c>
      <c r="N3381" s="134">
        <v>2577000</v>
      </c>
      <c r="O3381" t="s">
        <v>560</v>
      </c>
      <c r="P3381" t="s">
        <v>13416</v>
      </c>
      <c r="Q3381" t="s">
        <v>1939</v>
      </c>
      <c r="R3381" t="s">
        <v>12985</v>
      </c>
      <c r="U3381" t="s">
        <v>12344</v>
      </c>
      <c r="X3381">
        <v>0</v>
      </c>
    </row>
    <row r="3382" spans="1:24" x14ac:dyDescent="0.25">
      <c r="A3382" s="234">
        <v>43235</v>
      </c>
      <c r="B3382" t="s">
        <v>569</v>
      </c>
      <c r="C3382" t="s">
        <v>899</v>
      </c>
      <c r="D3382" t="s">
        <v>625</v>
      </c>
      <c r="E3382" t="s">
        <v>588</v>
      </c>
      <c r="F3382" t="s">
        <v>11256</v>
      </c>
      <c r="G3382" t="s">
        <v>11257</v>
      </c>
      <c r="H3382" t="s">
        <v>886</v>
      </c>
      <c r="I3382" t="s">
        <v>3388</v>
      </c>
      <c r="J3382" t="s">
        <v>899</v>
      </c>
      <c r="M3382" s="134">
        <v>2427000</v>
      </c>
      <c r="N3382" s="134">
        <v>3897000</v>
      </c>
      <c r="O3382" t="s">
        <v>2295</v>
      </c>
      <c r="P3382" t="s">
        <v>11399</v>
      </c>
      <c r="Q3382" t="s">
        <v>592</v>
      </c>
      <c r="R3382" t="s">
        <v>10860</v>
      </c>
      <c r="U3382" t="s">
        <v>1327</v>
      </c>
      <c r="X3382">
        <v>0</v>
      </c>
    </row>
    <row r="3383" spans="1:24" x14ac:dyDescent="0.25">
      <c r="A3383" s="234">
        <v>42951</v>
      </c>
      <c r="B3383" t="s">
        <v>569</v>
      </c>
      <c r="D3383" t="s">
        <v>625</v>
      </c>
      <c r="E3383" t="s">
        <v>588</v>
      </c>
      <c r="F3383" t="s">
        <v>7990</v>
      </c>
      <c r="G3383" t="s">
        <v>7991</v>
      </c>
      <c r="H3383" t="s">
        <v>607</v>
      </c>
      <c r="I3383" t="s">
        <v>5972</v>
      </c>
      <c r="J3383" t="s">
        <v>899</v>
      </c>
      <c r="L3383">
        <v>10</v>
      </c>
      <c r="M3383" s="134">
        <v>2433000</v>
      </c>
      <c r="N3383" s="134">
        <v>5000000</v>
      </c>
      <c r="O3383" t="s">
        <v>560</v>
      </c>
      <c r="P3383" t="s">
        <v>7992</v>
      </c>
      <c r="Q3383" t="s">
        <v>620</v>
      </c>
      <c r="R3383" t="s">
        <v>7993</v>
      </c>
      <c r="T3383">
        <v>19</v>
      </c>
      <c r="U3383" t="s">
        <v>491</v>
      </c>
      <c r="X3383">
        <v>0</v>
      </c>
    </row>
    <row r="3384" spans="1:24" x14ac:dyDescent="0.25">
      <c r="A3384" s="234">
        <v>42781</v>
      </c>
      <c r="B3384" t="s">
        <v>5360</v>
      </c>
      <c r="D3384" t="s">
        <v>732</v>
      </c>
      <c r="E3384" t="s">
        <v>588</v>
      </c>
      <c r="F3384" t="s">
        <v>920</v>
      </c>
      <c r="H3384" t="s">
        <v>607</v>
      </c>
      <c r="I3384" t="s">
        <v>5683</v>
      </c>
      <c r="J3384" t="s">
        <v>899</v>
      </c>
      <c r="L3384">
        <v>10</v>
      </c>
      <c r="M3384" s="134">
        <v>2439983</v>
      </c>
      <c r="N3384" s="134">
        <v>3838783</v>
      </c>
      <c r="O3384" t="s">
        <v>560</v>
      </c>
      <c r="P3384" t="s">
        <v>5684</v>
      </c>
      <c r="Q3384" t="s">
        <v>592</v>
      </c>
      <c r="U3384" t="s">
        <v>491</v>
      </c>
      <c r="X3384">
        <v>0</v>
      </c>
    </row>
    <row r="3385" spans="1:24" x14ac:dyDescent="0.25">
      <c r="A3385" s="234">
        <v>43544</v>
      </c>
      <c r="B3385" t="s">
        <v>12367</v>
      </c>
      <c r="C3385" t="s">
        <v>5610</v>
      </c>
      <c r="D3385" t="s">
        <v>7814</v>
      </c>
      <c r="F3385" t="s">
        <v>8647</v>
      </c>
      <c r="G3385" t="s">
        <v>14770</v>
      </c>
      <c r="H3385" t="s">
        <v>607</v>
      </c>
      <c r="I3385" t="s">
        <v>6563</v>
      </c>
      <c r="J3385" t="s">
        <v>3523</v>
      </c>
      <c r="L3385">
        <v>10</v>
      </c>
      <c r="M3385" s="134">
        <v>2443390</v>
      </c>
      <c r="N3385" s="134">
        <v>2573390</v>
      </c>
      <c r="O3385" t="s">
        <v>7124</v>
      </c>
      <c r="P3385" t="s">
        <v>14771</v>
      </c>
      <c r="Q3385" t="s">
        <v>620</v>
      </c>
      <c r="R3385" t="s">
        <v>15972</v>
      </c>
      <c r="U3385" t="s">
        <v>491</v>
      </c>
      <c r="X3385">
        <v>0</v>
      </c>
    </row>
    <row r="3386" spans="1:24" x14ac:dyDescent="0.25">
      <c r="A3386" s="234">
        <v>42748</v>
      </c>
      <c r="B3386" t="s">
        <v>569</v>
      </c>
      <c r="D3386" t="s">
        <v>930</v>
      </c>
      <c r="E3386" t="s">
        <v>692</v>
      </c>
      <c r="F3386" t="s">
        <v>5320</v>
      </c>
      <c r="H3386" t="s">
        <v>5321</v>
      </c>
      <c r="I3386" t="s">
        <v>3388</v>
      </c>
      <c r="J3386" t="s">
        <v>899</v>
      </c>
      <c r="L3386" t="s">
        <v>5284</v>
      </c>
      <c r="M3386" s="134">
        <v>2447000</v>
      </c>
      <c r="N3386" s="134">
        <v>3377425</v>
      </c>
      <c r="O3386" t="s">
        <v>5323</v>
      </c>
      <c r="P3386" t="s">
        <v>5322</v>
      </c>
      <c r="Q3386" t="s">
        <v>1939</v>
      </c>
      <c r="R3386" t="s">
        <v>5324</v>
      </c>
      <c r="U3386" t="s">
        <v>491</v>
      </c>
      <c r="X3386">
        <v>0</v>
      </c>
    </row>
    <row r="3387" spans="1:24" x14ac:dyDescent="0.25">
      <c r="A3387" s="234">
        <v>43425</v>
      </c>
      <c r="B3387" t="s">
        <v>328</v>
      </c>
      <c r="C3387" t="s">
        <v>603</v>
      </c>
      <c r="D3387" t="s">
        <v>10705</v>
      </c>
      <c r="F3387" t="s">
        <v>13251</v>
      </c>
      <c r="G3387" t="s">
        <v>13252</v>
      </c>
      <c r="H3387" t="s">
        <v>607</v>
      </c>
      <c r="I3387" t="s">
        <v>13253</v>
      </c>
      <c r="J3387" t="s">
        <v>3533</v>
      </c>
      <c r="K3387" t="s">
        <v>13254</v>
      </c>
      <c r="L3387">
        <v>9</v>
      </c>
      <c r="M3387" s="134">
        <v>2454000</v>
      </c>
      <c r="N3387" s="134">
        <v>4171800</v>
      </c>
      <c r="O3387" t="s">
        <v>4533</v>
      </c>
      <c r="P3387" t="s">
        <v>13297</v>
      </c>
      <c r="Q3387" t="s">
        <v>29</v>
      </c>
      <c r="R3387" t="s">
        <v>13296</v>
      </c>
      <c r="U3387" t="s">
        <v>491</v>
      </c>
      <c r="X3387">
        <v>1</v>
      </c>
    </row>
    <row r="3388" spans="1:24" x14ac:dyDescent="0.25">
      <c r="A3388" s="234">
        <v>42956</v>
      </c>
      <c r="B3388" t="s">
        <v>569</v>
      </c>
      <c r="D3388" t="s">
        <v>611</v>
      </c>
      <c r="E3388" t="s">
        <v>588</v>
      </c>
      <c r="F3388" t="s">
        <v>8054</v>
      </c>
      <c r="G3388" t="s">
        <v>8055</v>
      </c>
      <c r="H3388" t="s">
        <v>607</v>
      </c>
      <c r="I3388" t="s">
        <v>7196</v>
      </c>
      <c r="J3388" t="s">
        <v>899</v>
      </c>
      <c r="M3388" s="134">
        <v>2454448</v>
      </c>
      <c r="N3388" s="134">
        <v>4500000</v>
      </c>
      <c r="O3388" t="s">
        <v>8059</v>
      </c>
      <c r="P3388" t="s">
        <v>8090</v>
      </c>
      <c r="Q3388" t="s">
        <v>1612</v>
      </c>
      <c r="R3388" t="s">
        <v>8091</v>
      </c>
      <c r="T3388">
        <v>28</v>
      </c>
      <c r="U3388" t="s">
        <v>491</v>
      </c>
      <c r="X3388">
        <v>0</v>
      </c>
    </row>
    <row r="3389" spans="1:24" x14ac:dyDescent="0.25">
      <c r="A3389" s="234">
        <v>43041</v>
      </c>
      <c r="B3389" t="s">
        <v>569</v>
      </c>
      <c r="C3389" t="s">
        <v>899</v>
      </c>
      <c r="D3389" t="s">
        <v>930</v>
      </c>
      <c r="E3389" t="s">
        <v>588</v>
      </c>
      <c r="F3389" t="s">
        <v>9325</v>
      </c>
      <c r="G3389" t="s">
        <v>9326</v>
      </c>
      <c r="H3389" t="s">
        <v>607</v>
      </c>
      <c r="I3389" t="s">
        <v>3462</v>
      </c>
      <c r="J3389" t="s">
        <v>899</v>
      </c>
      <c r="M3389" s="134">
        <v>2455000</v>
      </c>
      <c r="N3389" s="134">
        <v>4910000</v>
      </c>
      <c r="O3389" t="s">
        <v>9327</v>
      </c>
      <c r="P3389" t="s">
        <v>9328</v>
      </c>
      <c r="Q3389" t="s">
        <v>1939</v>
      </c>
      <c r="R3389" t="s">
        <v>9329</v>
      </c>
      <c r="U3389" t="s">
        <v>1327</v>
      </c>
      <c r="X3389">
        <v>0</v>
      </c>
    </row>
    <row r="3390" spans="1:24" x14ac:dyDescent="0.25">
      <c r="A3390" s="234">
        <v>43090</v>
      </c>
      <c r="B3390" t="s">
        <v>569</v>
      </c>
      <c r="C3390" t="s">
        <v>899</v>
      </c>
      <c r="D3390" t="s">
        <v>611</v>
      </c>
      <c r="E3390" t="s">
        <v>588</v>
      </c>
      <c r="F3390" t="s">
        <v>9819</v>
      </c>
      <c r="G3390" t="s">
        <v>8486</v>
      </c>
      <c r="H3390" t="s">
        <v>607</v>
      </c>
      <c r="I3390" t="s">
        <v>9820</v>
      </c>
      <c r="J3390" t="s">
        <v>899</v>
      </c>
      <c r="M3390" s="134">
        <v>2467000</v>
      </c>
      <c r="N3390" s="134">
        <v>3300000</v>
      </c>
      <c r="O3390" t="s">
        <v>560</v>
      </c>
      <c r="P3390" t="s">
        <v>9823</v>
      </c>
      <c r="Q3390" t="s">
        <v>592</v>
      </c>
      <c r="R3390" t="s">
        <v>9824</v>
      </c>
      <c r="U3390" t="s">
        <v>491</v>
      </c>
      <c r="X3390">
        <v>0</v>
      </c>
    </row>
    <row r="3391" spans="1:24" x14ac:dyDescent="0.25">
      <c r="A3391" s="234">
        <v>42628</v>
      </c>
      <c r="B3391" t="s">
        <v>378</v>
      </c>
      <c r="C3391" t="s">
        <v>623</v>
      </c>
      <c r="D3391" t="s">
        <v>930</v>
      </c>
      <c r="E3391" t="s">
        <v>588</v>
      </c>
      <c r="F3391" t="s">
        <v>3909</v>
      </c>
      <c r="H3391" t="s">
        <v>607</v>
      </c>
      <c r="I3391" t="s">
        <v>3388</v>
      </c>
      <c r="J3391" t="s">
        <v>899</v>
      </c>
      <c r="L3391">
        <v>4</v>
      </c>
      <c r="M3391" s="134">
        <v>2474000</v>
      </c>
      <c r="N3391" s="134">
        <v>4453200</v>
      </c>
      <c r="O3391" t="s">
        <v>3910</v>
      </c>
      <c r="P3391" t="s">
        <v>3911</v>
      </c>
      <c r="Q3391" t="s">
        <v>1612</v>
      </c>
      <c r="R3391" t="s">
        <v>4371</v>
      </c>
      <c r="U3391" t="s">
        <v>491</v>
      </c>
      <c r="X3391">
        <v>0</v>
      </c>
    </row>
    <row r="3392" spans="1:24" x14ac:dyDescent="0.25">
      <c r="A3392" s="234">
        <v>42646</v>
      </c>
      <c r="B3392" t="s">
        <v>378</v>
      </c>
      <c r="C3392" t="s">
        <v>610</v>
      </c>
      <c r="D3392" t="s">
        <v>1027</v>
      </c>
      <c r="E3392" t="s">
        <v>588</v>
      </c>
      <c r="F3392" t="s">
        <v>4146</v>
      </c>
      <c r="H3392" t="s">
        <v>607</v>
      </c>
      <c r="I3392" t="s">
        <v>3388</v>
      </c>
      <c r="J3392" t="s">
        <v>899</v>
      </c>
      <c r="L3392">
        <v>2</v>
      </c>
      <c r="M3392" s="134">
        <v>2478000</v>
      </c>
      <c r="N3392" s="134">
        <v>4460256</v>
      </c>
      <c r="O3392" t="s">
        <v>560</v>
      </c>
      <c r="P3392" t="s">
        <v>4148</v>
      </c>
      <c r="Q3392" t="s">
        <v>1939</v>
      </c>
      <c r="R3392" t="s">
        <v>4147</v>
      </c>
      <c r="U3392" t="s">
        <v>491</v>
      </c>
      <c r="X3392">
        <v>0</v>
      </c>
    </row>
    <row r="3393" spans="1:24" x14ac:dyDescent="0.25">
      <c r="A3393" s="234">
        <v>43046</v>
      </c>
      <c r="B3393" t="s">
        <v>328</v>
      </c>
      <c r="C3393" t="s">
        <v>603</v>
      </c>
      <c r="D3393" t="s">
        <v>649</v>
      </c>
      <c r="E3393" t="s">
        <v>588</v>
      </c>
      <c r="F3393" t="s">
        <v>9359</v>
      </c>
      <c r="G3393" t="s">
        <v>9360</v>
      </c>
      <c r="H3393" t="s">
        <v>607</v>
      </c>
      <c r="I3393" t="s">
        <v>9361</v>
      </c>
      <c r="J3393" t="s">
        <v>3751</v>
      </c>
      <c r="M3393" s="134">
        <v>2485000</v>
      </c>
      <c r="N3393" s="134">
        <v>3731000</v>
      </c>
      <c r="O3393" t="s">
        <v>560</v>
      </c>
      <c r="P3393" t="s">
        <v>9362</v>
      </c>
      <c r="Q3393" t="s">
        <v>1939</v>
      </c>
      <c r="R3393" t="s">
        <v>9363</v>
      </c>
      <c r="U3393" t="s">
        <v>491</v>
      </c>
      <c r="X3393">
        <v>0</v>
      </c>
    </row>
    <row r="3394" spans="1:24" x14ac:dyDescent="0.25">
      <c r="A3394" s="234">
        <v>42895</v>
      </c>
      <c r="B3394" t="s">
        <v>328</v>
      </c>
      <c r="C3394" t="s">
        <v>603</v>
      </c>
      <c r="D3394" t="s">
        <v>2397</v>
      </c>
      <c r="E3394" t="s">
        <v>588</v>
      </c>
      <c r="F3394" t="s">
        <v>7138</v>
      </c>
      <c r="H3394" t="s">
        <v>607</v>
      </c>
      <c r="I3394" t="s">
        <v>7139</v>
      </c>
      <c r="J3394" t="s">
        <v>899</v>
      </c>
      <c r="L3394">
        <v>3</v>
      </c>
      <c r="M3394" s="134">
        <v>2487000</v>
      </c>
      <c r="N3394" s="134">
        <v>4476600</v>
      </c>
      <c r="O3394" t="s">
        <v>560</v>
      </c>
      <c r="P3394" t="s">
        <v>7141</v>
      </c>
      <c r="Q3394" t="s">
        <v>1939</v>
      </c>
      <c r="R3394" t="s">
        <v>7140</v>
      </c>
      <c r="U3394" t="s">
        <v>491</v>
      </c>
      <c r="X3394">
        <v>0</v>
      </c>
    </row>
    <row r="3395" spans="1:24" x14ac:dyDescent="0.25">
      <c r="A3395" s="234">
        <v>42375</v>
      </c>
      <c r="B3395" t="s">
        <v>643</v>
      </c>
      <c r="C3395" t="s">
        <v>644</v>
      </c>
      <c r="D3395" t="s">
        <v>645</v>
      </c>
      <c r="E3395" t="s">
        <v>588</v>
      </c>
      <c r="F3395" t="s">
        <v>646</v>
      </c>
      <c r="H3395" t="s">
        <v>627</v>
      </c>
      <c r="I3395" t="s">
        <v>659</v>
      </c>
      <c r="M3395" s="134">
        <v>2488459</v>
      </c>
      <c r="N3395" s="134">
        <v>4035008</v>
      </c>
      <c r="O3395" t="s">
        <v>560</v>
      </c>
      <c r="P3395" t="s">
        <v>647</v>
      </c>
      <c r="Q3395" t="s">
        <v>592</v>
      </c>
      <c r="R3395" t="s">
        <v>648</v>
      </c>
      <c r="U3395" t="s">
        <v>491</v>
      </c>
      <c r="X3395">
        <v>0</v>
      </c>
    </row>
    <row r="3396" spans="1:24" x14ac:dyDescent="0.25">
      <c r="A3396" s="234">
        <v>42762</v>
      </c>
      <c r="B3396" t="s">
        <v>569</v>
      </c>
      <c r="D3396" t="s">
        <v>625</v>
      </c>
      <c r="E3396" t="s">
        <v>588</v>
      </c>
      <c r="F3396" t="s">
        <v>5493</v>
      </c>
      <c r="H3396" t="s">
        <v>905</v>
      </c>
      <c r="I3396" t="s">
        <v>5494</v>
      </c>
      <c r="J3396" t="s">
        <v>899</v>
      </c>
      <c r="M3396" s="134">
        <v>2500000</v>
      </c>
      <c r="N3396" s="134">
        <v>0</v>
      </c>
      <c r="O3396" t="s">
        <v>560</v>
      </c>
      <c r="P3396" t="s">
        <v>5495</v>
      </c>
      <c r="Q3396" t="s">
        <v>29</v>
      </c>
      <c r="R3396" t="s">
        <v>5496</v>
      </c>
      <c r="U3396" t="s">
        <v>491</v>
      </c>
      <c r="X3396">
        <v>1</v>
      </c>
    </row>
    <row r="3397" spans="1:24" x14ac:dyDescent="0.25">
      <c r="A3397" s="234">
        <v>42765</v>
      </c>
      <c r="B3397" t="s">
        <v>328</v>
      </c>
      <c r="C3397" t="s">
        <v>603</v>
      </c>
      <c r="D3397" t="s">
        <v>672</v>
      </c>
      <c r="E3397" t="s">
        <v>692</v>
      </c>
      <c r="F3397" t="s">
        <v>5517</v>
      </c>
      <c r="H3397" t="s">
        <v>722</v>
      </c>
      <c r="I3397" t="s">
        <v>5518</v>
      </c>
      <c r="J3397" t="s">
        <v>603</v>
      </c>
      <c r="M3397" s="134">
        <v>2500000</v>
      </c>
      <c r="N3397" s="134">
        <v>0</v>
      </c>
      <c r="O3397" t="s">
        <v>5519</v>
      </c>
      <c r="P3397" t="s">
        <v>5520</v>
      </c>
      <c r="Q3397" t="s">
        <v>592</v>
      </c>
      <c r="R3397" t="s">
        <v>5521</v>
      </c>
      <c r="U3397" t="s">
        <v>491</v>
      </c>
      <c r="X3397">
        <v>0</v>
      </c>
    </row>
    <row r="3398" spans="1:24" x14ac:dyDescent="0.25">
      <c r="A3398" s="234">
        <v>42704</v>
      </c>
      <c r="B3398" t="s">
        <v>328</v>
      </c>
      <c r="C3398" t="s">
        <v>603</v>
      </c>
      <c r="D3398" t="s">
        <v>2397</v>
      </c>
      <c r="E3398" t="s">
        <v>588</v>
      </c>
      <c r="F3398" t="s">
        <v>4860</v>
      </c>
      <c r="H3398" t="s">
        <v>2912</v>
      </c>
      <c r="I3398" t="s">
        <v>4861</v>
      </c>
      <c r="J3398" t="s">
        <v>644</v>
      </c>
      <c r="L3398">
        <v>5</v>
      </c>
      <c r="M3398" s="134">
        <v>2500000</v>
      </c>
      <c r="N3398" s="134">
        <v>2500000</v>
      </c>
      <c r="O3398" t="s">
        <v>560</v>
      </c>
      <c r="P3398" t="s">
        <v>4862</v>
      </c>
      <c r="Q3398" t="s">
        <v>1939</v>
      </c>
      <c r="R3398" t="s">
        <v>4872</v>
      </c>
      <c r="U3398" t="s">
        <v>491</v>
      </c>
      <c r="X3398">
        <v>0</v>
      </c>
    </row>
    <row r="3399" spans="1:24" x14ac:dyDescent="0.25">
      <c r="A3399" s="234">
        <v>43588</v>
      </c>
      <c r="B3399" t="s">
        <v>5956</v>
      </c>
      <c r="C3399" t="s">
        <v>3369</v>
      </c>
      <c r="D3399" t="s">
        <v>8126</v>
      </c>
      <c r="F3399" t="s">
        <v>15388</v>
      </c>
      <c r="H3399" t="s">
        <v>1050</v>
      </c>
      <c r="I3399" t="s">
        <v>14885</v>
      </c>
      <c r="J3399" t="s">
        <v>3369</v>
      </c>
      <c r="K3399" t="s">
        <v>14886</v>
      </c>
      <c r="L3399">
        <v>3</v>
      </c>
      <c r="M3399" s="134">
        <v>2500000</v>
      </c>
      <c r="N3399" s="134">
        <v>2600000</v>
      </c>
      <c r="O3399" t="s">
        <v>2295</v>
      </c>
      <c r="P3399" t="s">
        <v>15390</v>
      </c>
      <c r="Q3399" t="s">
        <v>620</v>
      </c>
      <c r="R3399" t="s">
        <v>15389</v>
      </c>
      <c r="S3399" t="s">
        <v>15391</v>
      </c>
      <c r="U3399" t="s">
        <v>491</v>
      </c>
      <c r="X3399">
        <v>0</v>
      </c>
    </row>
    <row r="3400" spans="1:24" x14ac:dyDescent="0.25">
      <c r="A3400" s="234">
        <v>43174</v>
      </c>
      <c r="B3400" t="s">
        <v>5360</v>
      </c>
      <c r="C3400" t="s">
        <v>899</v>
      </c>
      <c r="D3400" t="s">
        <v>732</v>
      </c>
      <c r="E3400" t="s">
        <v>588</v>
      </c>
      <c r="F3400" t="s">
        <v>10597</v>
      </c>
      <c r="G3400" t="s">
        <v>10598</v>
      </c>
      <c r="H3400" t="s">
        <v>886</v>
      </c>
      <c r="I3400" t="s">
        <v>10599</v>
      </c>
      <c r="J3400" t="s">
        <v>899</v>
      </c>
      <c r="L3400">
        <v>3</v>
      </c>
      <c r="M3400" s="134">
        <v>2500000</v>
      </c>
      <c r="N3400" s="134">
        <v>2600000</v>
      </c>
      <c r="O3400" t="s">
        <v>2295</v>
      </c>
      <c r="P3400" t="s">
        <v>10600</v>
      </c>
      <c r="Q3400" t="s">
        <v>29</v>
      </c>
      <c r="R3400" t="s">
        <v>10601</v>
      </c>
      <c r="U3400" t="s">
        <v>1327</v>
      </c>
      <c r="X3400">
        <v>1</v>
      </c>
    </row>
    <row r="3401" spans="1:24" x14ac:dyDescent="0.25">
      <c r="A3401" s="234">
        <v>42669</v>
      </c>
      <c r="B3401" t="s">
        <v>378</v>
      </c>
      <c r="C3401" t="s">
        <v>623</v>
      </c>
      <c r="D3401" t="s">
        <v>625</v>
      </c>
      <c r="E3401" t="s">
        <v>588</v>
      </c>
      <c r="F3401" t="s">
        <v>4474</v>
      </c>
      <c r="H3401" t="s">
        <v>886</v>
      </c>
      <c r="I3401" t="s">
        <v>3388</v>
      </c>
      <c r="J3401" t="s">
        <v>899</v>
      </c>
      <c r="L3401">
        <v>1</v>
      </c>
      <c r="M3401" s="134">
        <v>2500000</v>
      </c>
      <c r="N3401" s="134">
        <v>2600000</v>
      </c>
      <c r="O3401" t="s">
        <v>4475</v>
      </c>
      <c r="P3401" t="s">
        <v>4476</v>
      </c>
      <c r="Q3401" t="s">
        <v>592</v>
      </c>
      <c r="U3401" t="s">
        <v>491</v>
      </c>
      <c r="X3401">
        <v>0</v>
      </c>
    </row>
    <row r="3402" spans="1:24" x14ac:dyDescent="0.25">
      <c r="A3402" s="234">
        <v>42915</v>
      </c>
      <c r="B3402" t="s">
        <v>328</v>
      </c>
      <c r="C3402" t="s">
        <v>603</v>
      </c>
      <c r="D3402" t="s">
        <v>649</v>
      </c>
      <c r="E3402" t="s">
        <v>588</v>
      </c>
      <c r="F3402" t="s">
        <v>7465</v>
      </c>
      <c r="H3402" t="s">
        <v>905</v>
      </c>
      <c r="I3402" t="s">
        <v>6587</v>
      </c>
      <c r="J3402" t="s">
        <v>3373</v>
      </c>
      <c r="L3402">
        <v>5</v>
      </c>
      <c r="M3402" s="134">
        <v>2500000</v>
      </c>
      <c r="N3402" s="134">
        <v>2655000</v>
      </c>
      <c r="O3402" t="s">
        <v>560</v>
      </c>
      <c r="P3402" t="s">
        <v>7466</v>
      </c>
      <c r="Q3402" t="s">
        <v>1939</v>
      </c>
      <c r="R3402" t="s">
        <v>7467</v>
      </c>
      <c r="U3402" t="s">
        <v>491</v>
      </c>
      <c r="X3402">
        <v>0</v>
      </c>
    </row>
    <row r="3403" spans="1:24" x14ac:dyDescent="0.25">
      <c r="A3403" s="234">
        <v>43290</v>
      </c>
      <c r="B3403" t="s">
        <v>569</v>
      </c>
      <c r="C3403" t="s">
        <v>899</v>
      </c>
      <c r="D3403" t="s">
        <v>624</v>
      </c>
      <c r="E3403" t="s">
        <v>588</v>
      </c>
      <c r="F3403" t="s">
        <v>11763</v>
      </c>
      <c r="G3403" t="s">
        <v>11763</v>
      </c>
      <c r="H3403" t="s">
        <v>1050</v>
      </c>
      <c r="I3403" t="s">
        <v>4438</v>
      </c>
      <c r="J3403" t="s">
        <v>899</v>
      </c>
      <c r="M3403" s="134">
        <v>2500000</v>
      </c>
      <c r="N3403" s="134">
        <v>2750000</v>
      </c>
      <c r="O3403" t="s">
        <v>560</v>
      </c>
      <c r="P3403" t="s">
        <v>11764</v>
      </c>
      <c r="Q3403" t="s">
        <v>592</v>
      </c>
      <c r="R3403" t="s">
        <v>11765</v>
      </c>
      <c r="U3403" t="s">
        <v>1327</v>
      </c>
      <c r="X3403">
        <v>0</v>
      </c>
    </row>
    <row r="3404" spans="1:24" x14ac:dyDescent="0.25">
      <c r="A3404" s="234">
        <v>42664</v>
      </c>
      <c r="B3404" t="s">
        <v>378</v>
      </c>
      <c r="C3404" t="s">
        <v>623</v>
      </c>
      <c r="D3404" t="s">
        <v>624</v>
      </c>
      <c r="E3404" t="s">
        <v>588</v>
      </c>
      <c r="F3404" t="s">
        <v>4432</v>
      </c>
      <c r="H3404" t="s">
        <v>1050</v>
      </c>
      <c r="I3404" t="s">
        <v>3649</v>
      </c>
      <c r="J3404" t="s">
        <v>899</v>
      </c>
      <c r="L3404">
        <v>4</v>
      </c>
      <c r="M3404" s="134">
        <v>2500000</v>
      </c>
      <c r="N3404" s="134">
        <v>2750000</v>
      </c>
      <c r="O3404" t="s">
        <v>4433</v>
      </c>
      <c r="P3404" t="s">
        <v>4434</v>
      </c>
      <c r="Q3404" t="s">
        <v>620</v>
      </c>
      <c r="R3404" t="s">
        <v>4435</v>
      </c>
      <c r="U3404" t="s">
        <v>491</v>
      </c>
      <c r="X3404">
        <v>0</v>
      </c>
    </row>
    <row r="3405" spans="1:24" x14ac:dyDescent="0.25">
      <c r="A3405" s="234">
        <v>43551</v>
      </c>
      <c r="B3405" t="s">
        <v>13559</v>
      </c>
      <c r="C3405" t="s">
        <v>3369</v>
      </c>
      <c r="D3405" t="s">
        <v>14604</v>
      </c>
      <c r="F3405" t="s">
        <v>14884</v>
      </c>
      <c r="H3405" t="s">
        <v>905</v>
      </c>
      <c r="I3405" t="s">
        <v>14885</v>
      </c>
      <c r="J3405" t="s">
        <v>3369</v>
      </c>
      <c r="K3405" t="s">
        <v>14886</v>
      </c>
      <c r="L3405">
        <v>2</v>
      </c>
      <c r="M3405" s="134">
        <v>2500000</v>
      </c>
      <c r="N3405" s="134">
        <v>2751000</v>
      </c>
      <c r="O3405" t="s">
        <v>560</v>
      </c>
      <c r="P3405" t="s">
        <v>14887</v>
      </c>
      <c r="Q3405" t="s">
        <v>1939</v>
      </c>
      <c r="R3405" t="s">
        <v>14949</v>
      </c>
      <c r="U3405" t="s">
        <v>12797</v>
      </c>
      <c r="X3405">
        <v>0</v>
      </c>
    </row>
    <row r="3406" spans="1:24" x14ac:dyDescent="0.25">
      <c r="A3406" s="234">
        <v>42845</v>
      </c>
      <c r="B3406" t="s">
        <v>328</v>
      </c>
      <c r="C3406" t="s">
        <v>603</v>
      </c>
      <c r="D3406" t="s">
        <v>649</v>
      </c>
      <c r="E3406" t="s">
        <v>588</v>
      </c>
      <c r="F3406" t="s">
        <v>6499</v>
      </c>
      <c r="H3406" t="s">
        <v>809</v>
      </c>
      <c r="I3406" t="s">
        <v>3624</v>
      </c>
      <c r="J3406" t="s">
        <v>644</v>
      </c>
      <c r="L3406">
        <v>3</v>
      </c>
      <c r="M3406" s="134">
        <v>2500000</v>
      </c>
      <c r="N3406" s="134">
        <v>2770000</v>
      </c>
      <c r="O3406" t="s">
        <v>560</v>
      </c>
      <c r="P3406" t="s">
        <v>6500</v>
      </c>
      <c r="Q3406" t="s">
        <v>1939</v>
      </c>
      <c r="R3406" t="s">
        <v>6502</v>
      </c>
      <c r="U3406" t="s">
        <v>491</v>
      </c>
      <c r="X3406">
        <v>0</v>
      </c>
    </row>
    <row r="3407" spans="1:24" x14ac:dyDescent="0.25">
      <c r="A3407" s="234">
        <v>42845</v>
      </c>
      <c r="B3407" t="s">
        <v>328</v>
      </c>
      <c r="C3407" t="s">
        <v>603</v>
      </c>
      <c r="D3407" t="s">
        <v>649</v>
      </c>
      <c r="E3407" t="s">
        <v>588</v>
      </c>
      <c r="F3407" t="s">
        <v>6499</v>
      </c>
      <c r="H3407" t="s">
        <v>809</v>
      </c>
      <c r="I3407" t="s">
        <v>3624</v>
      </c>
      <c r="J3407" t="s">
        <v>644</v>
      </c>
      <c r="L3407">
        <v>3</v>
      </c>
      <c r="M3407" s="134">
        <v>2500000</v>
      </c>
      <c r="N3407" s="134">
        <v>2770000</v>
      </c>
      <c r="O3407" t="s">
        <v>560</v>
      </c>
      <c r="P3407" t="s">
        <v>6501</v>
      </c>
      <c r="Q3407" t="s">
        <v>1939</v>
      </c>
      <c r="R3407" t="s">
        <v>6503</v>
      </c>
      <c r="U3407" t="s">
        <v>491</v>
      </c>
      <c r="X3407">
        <v>0</v>
      </c>
    </row>
    <row r="3408" spans="1:24" x14ac:dyDescent="0.25">
      <c r="A3408" s="234">
        <v>43503</v>
      </c>
      <c r="B3408" t="s">
        <v>328</v>
      </c>
      <c r="C3408" t="s">
        <v>603</v>
      </c>
      <c r="D3408" t="s">
        <v>10705</v>
      </c>
      <c r="F3408" t="s">
        <v>8957</v>
      </c>
      <c r="G3408" t="s">
        <v>14307</v>
      </c>
      <c r="H3408" t="s">
        <v>607</v>
      </c>
      <c r="I3408" t="s">
        <v>14308</v>
      </c>
      <c r="J3408" t="s">
        <v>3501</v>
      </c>
      <c r="K3408" t="s">
        <v>14309</v>
      </c>
      <c r="L3408">
        <v>10</v>
      </c>
      <c r="M3408" s="134">
        <v>2500000</v>
      </c>
      <c r="N3408" s="134">
        <v>2800000</v>
      </c>
      <c r="O3408" t="s">
        <v>7124</v>
      </c>
      <c r="P3408" t="s">
        <v>14310</v>
      </c>
      <c r="Q3408" t="s">
        <v>1939</v>
      </c>
      <c r="R3408" t="s">
        <v>14315</v>
      </c>
      <c r="S3408" t="s">
        <v>14311</v>
      </c>
      <c r="U3408" t="s">
        <v>491</v>
      </c>
      <c r="X3408">
        <v>0</v>
      </c>
    </row>
    <row r="3409" spans="1:24" x14ac:dyDescent="0.25">
      <c r="A3409" s="234">
        <v>43382</v>
      </c>
      <c r="B3409" t="s">
        <v>5360</v>
      </c>
      <c r="C3409" t="s">
        <v>899</v>
      </c>
      <c r="D3409" t="s">
        <v>732</v>
      </c>
      <c r="E3409" t="s">
        <v>588</v>
      </c>
      <c r="F3409" t="s">
        <v>12871</v>
      </c>
      <c r="G3409" t="s">
        <v>12872</v>
      </c>
      <c r="H3409" t="s">
        <v>10831</v>
      </c>
      <c r="I3409" t="s">
        <v>11061</v>
      </c>
      <c r="J3409" t="s">
        <v>899</v>
      </c>
      <c r="L3409">
        <v>4</v>
      </c>
      <c r="M3409" s="134">
        <v>2500000</v>
      </c>
      <c r="N3409" s="134">
        <v>2850000</v>
      </c>
      <c r="O3409" t="s">
        <v>10765</v>
      </c>
      <c r="P3409" t="s">
        <v>12908</v>
      </c>
      <c r="Q3409" t="s">
        <v>1939</v>
      </c>
      <c r="R3409" t="s">
        <v>12907</v>
      </c>
      <c r="U3409" t="s">
        <v>12344</v>
      </c>
      <c r="X3409">
        <v>0</v>
      </c>
    </row>
    <row r="3410" spans="1:24" x14ac:dyDescent="0.25">
      <c r="A3410" s="234">
        <v>43500</v>
      </c>
      <c r="B3410" t="s">
        <v>13559</v>
      </c>
      <c r="C3410" t="s">
        <v>604</v>
      </c>
      <c r="D3410" t="s">
        <v>7814</v>
      </c>
      <c r="F3410" t="s">
        <v>14187</v>
      </c>
      <c r="G3410" t="s">
        <v>4118</v>
      </c>
      <c r="H3410" t="s">
        <v>886</v>
      </c>
      <c r="I3410" t="s">
        <v>11775</v>
      </c>
      <c r="J3410" t="s">
        <v>11776</v>
      </c>
      <c r="K3410" t="s">
        <v>14188</v>
      </c>
      <c r="M3410" s="134">
        <v>2500000</v>
      </c>
      <c r="N3410" s="134">
        <v>2910000</v>
      </c>
      <c r="O3410" t="s">
        <v>560</v>
      </c>
      <c r="P3410" t="s">
        <v>14189</v>
      </c>
      <c r="Q3410" t="s">
        <v>1939</v>
      </c>
      <c r="R3410" t="s">
        <v>14190</v>
      </c>
      <c r="U3410" t="s">
        <v>491</v>
      </c>
      <c r="X3410">
        <v>0</v>
      </c>
    </row>
    <row r="3411" spans="1:24" x14ac:dyDescent="0.25">
      <c r="A3411" s="234">
        <v>42591</v>
      </c>
      <c r="B3411" t="s">
        <v>378</v>
      </c>
      <c r="C3411" t="s">
        <v>610</v>
      </c>
      <c r="D3411" t="s">
        <v>732</v>
      </c>
      <c r="E3411" t="s">
        <v>588</v>
      </c>
      <c r="F3411" t="s">
        <v>3297</v>
      </c>
      <c r="H3411" t="s">
        <v>905</v>
      </c>
      <c r="I3411" t="s">
        <v>3298</v>
      </c>
      <c r="J3411" t="s">
        <v>899</v>
      </c>
      <c r="L3411">
        <v>4</v>
      </c>
      <c r="M3411" s="134">
        <v>2500000</v>
      </c>
      <c r="N3411" s="134">
        <v>3010000</v>
      </c>
      <c r="O3411" t="s">
        <v>891</v>
      </c>
      <c r="P3411" t="s">
        <v>3299</v>
      </c>
      <c r="Q3411" t="s">
        <v>1939</v>
      </c>
      <c r="R3411" t="s">
        <v>3300</v>
      </c>
      <c r="U3411" t="s">
        <v>491</v>
      </c>
      <c r="X3411">
        <v>0</v>
      </c>
    </row>
    <row r="3412" spans="1:24" x14ac:dyDescent="0.25">
      <c r="A3412" s="234">
        <v>43012</v>
      </c>
      <c r="B3412" t="s">
        <v>328</v>
      </c>
      <c r="C3412" t="s">
        <v>603</v>
      </c>
      <c r="D3412" t="s">
        <v>2397</v>
      </c>
      <c r="E3412" t="s">
        <v>588</v>
      </c>
      <c r="F3412" t="s">
        <v>7850</v>
      </c>
      <c r="G3412" t="s">
        <v>8041</v>
      </c>
      <c r="H3412" t="s">
        <v>1391</v>
      </c>
      <c r="I3412" t="s">
        <v>3649</v>
      </c>
      <c r="J3412" t="s">
        <v>899</v>
      </c>
      <c r="M3412" s="134">
        <v>2500000</v>
      </c>
      <c r="N3412" s="134">
        <v>3150000</v>
      </c>
      <c r="O3412" t="s">
        <v>695</v>
      </c>
      <c r="P3412" t="s">
        <v>8876</v>
      </c>
      <c r="Q3412" t="s">
        <v>1939</v>
      </c>
      <c r="R3412" t="s">
        <v>8877</v>
      </c>
      <c r="S3412" t="s">
        <v>8878</v>
      </c>
      <c r="T3412">
        <v>47</v>
      </c>
      <c r="U3412" t="s">
        <v>491</v>
      </c>
      <c r="X3412">
        <v>0</v>
      </c>
    </row>
    <row r="3413" spans="1:24" x14ac:dyDescent="0.25">
      <c r="A3413" s="234">
        <v>42839</v>
      </c>
      <c r="B3413" t="s">
        <v>643</v>
      </c>
      <c r="C3413" t="s">
        <v>644</v>
      </c>
      <c r="D3413" t="s">
        <v>645</v>
      </c>
      <c r="E3413" t="s">
        <v>588</v>
      </c>
      <c r="F3413" t="s">
        <v>6432</v>
      </c>
      <c r="H3413" t="s">
        <v>722</v>
      </c>
      <c r="I3413" t="s">
        <v>6433</v>
      </c>
      <c r="J3413" t="s">
        <v>644</v>
      </c>
      <c r="L3413">
        <v>10</v>
      </c>
      <c r="M3413" s="134">
        <v>2500000</v>
      </c>
      <c r="N3413" s="134">
        <v>3200000</v>
      </c>
      <c r="O3413" t="s">
        <v>560</v>
      </c>
      <c r="P3413" t="s">
        <v>6434</v>
      </c>
      <c r="Q3413" t="s">
        <v>1612</v>
      </c>
      <c r="R3413" t="s">
        <v>6485</v>
      </c>
      <c r="U3413" t="s">
        <v>491</v>
      </c>
      <c r="X3413">
        <v>0</v>
      </c>
    </row>
    <row r="3414" spans="1:24" x14ac:dyDescent="0.25">
      <c r="A3414" s="234">
        <v>42941</v>
      </c>
      <c r="B3414" t="s">
        <v>328</v>
      </c>
      <c r="C3414" t="s">
        <v>603</v>
      </c>
      <c r="D3414" t="s">
        <v>7595</v>
      </c>
      <c r="E3414" t="s">
        <v>588</v>
      </c>
      <c r="F3414" t="s">
        <v>7750</v>
      </c>
      <c r="G3414" t="s">
        <v>7751</v>
      </c>
      <c r="H3414" t="s">
        <v>905</v>
      </c>
      <c r="I3414" t="s">
        <v>7196</v>
      </c>
      <c r="J3414" t="s">
        <v>899</v>
      </c>
      <c r="L3414">
        <v>3</v>
      </c>
      <c r="M3414" s="134">
        <v>2500000</v>
      </c>
      <c r="N3414" s="134">
        <v>3250000</v>
      </c>
      <c r="O3414" t="s">
        <v>560</v>
      </c>
      <c r="P3414" t="s">
        <v>7752</v>
      </c>
      <c r="Q3414" t="s">
        <v>1939</v>
      </c>
      <c r="R3414" t="s">
        <v>7937</v>
      </c>
      <c r="U3414" t="s">
        <v>491</v>
      </c>
      <c r="X3414">
        <v>0</v>
      </c>
    </row>
    <row r="3415" spans="1:24" x14ac:dyDescent="0.25">
      <c r="A3415" s="234">
        <v>42842</v>
      </c>
      <c r="B3415" t="s">
        <v>569</v>
      </c>
      <c r="D3415" t="s">
        <v>625</v>
      </c>
      <c r="E3415" t="s">
        <v>588</v>
      </c>
      <c r="F3415" t="s">
        <v>6452</v>
      </c>
      <c r="H3415" t="s">
        <v>905</v>
      </c>
      <c r="I3415" t="s">
        <v>3388</v>
      </c>
      <c r="J3415" t="s">
        <v>899</v>
      </c>
      <c r="L3415">
        <v>2</v>
      </c>
      <c r="M3415" s="134">
        <v>2500000</v>
      </c>
      <c r="N3415" s="134">
        <v>3312000</v>
      </c>
      <c r="O3415" t="s">
        <v>560</v>
      </c>
      <c r="P3415" t="s">
        <v>6453</v>
      </c>
      <c r="Q3415" t="s">
        <v>1612</v>
      </c>
      <c r="R3415" t="s">
        <v>6454</v>
      </c>
      <c r="U3415" t="s">
        <v>491</v>
      </c>
      <c r="X3415">
        <v>0</v>
      </c>
    </row>
    <row r="3416" spans="1:24" x14ac:dyDescent="0.25">
      <c r="A3416" s="234">
        <v>43153</v>
      </c>
      <c r="B3416" t="s">
        <v>569</v>
      </c>
      <c r="C3416" t="s">
        <v>899</v>
      </c>
      <c r="D3416" t="s">
        <v>625</v>
      </c>
      <c r="E3416" t="s">
        <v>588</v>
      </c>
      <c r="F3416" t="s">
        <v>10364</v>
      </c>
      <c r="G3416" t="s">
        <v>625</v>
      </c>
      <c r="H3416" t="s">
        <v>905</v>
      </c>
      <c r="I3416" t="s">
        <v>2054</v>
      </c>
      <c r="J3416" t="s">
        <v>899</v>
      </c>
      <c r="M3416" s="134">
        <v>2500000</v>
      </c>
      <c r="N3416" s="134">
        <v>3350000</v>
      </c>
      <c r="O3416" t="s">
        <v>560</v>
      </c>
      <c r="P3416" t="s">
        <v>10365</v>
      </c>
      <c r="Q3416" t="s">
        <v>1939</v>
      </c>
      <c r="R3416" t="s">
        <v>10366</v>
      </c>
      <c r="U3416" t="s">
        <v>491</v>
      </c>
      <c r="X3416">
        <v>0</v>
      </c>
    </row>
    <row r="3417" spans="1:24" x14ac:dyDescent="0.25">
      <c r="A3417" s="234">
        <v>43315</v>
      </c>
      <c r="B3417" t="s">
        <v>569</v>
      </c>
      <c r="C3417" t="s">
        <v>899</v>
      </c>
      <c r="D3417" t="s">
        <v>11359</v>
      </c>
      <c r="E3417" t="s">
        <v>588</v>
      </c>
      <c r="F3417" t="s">
        <v>12030</v>
      </c>
      <c r="G3417" t="s">
        <v>9170</v>
      </c>
      <c r="H3417" t="s">
        <v>10831</v>
      </c>
      <c r="I3417" t="s">
        <v>3649</v>
      </c>
      <c r="J3417" t="s">
        <v>899</v>
      </c>
      <c r="L3417">
        <v>5</v>
      </c>
      <c r="M3417" s="134">
        <v>2500000</v>
      </c>
      <c r="N3417" s="134">
        <v>3350000</v>
      </c>
      <c r="O3417" t="s">
        <v>560</v>
      </c>
      <c r="P3417" t="s">
        <v>12032</v>
      </c>
      <c r="Q3417" t="s">
        <v>592</v>
      </c>
      <c r="R3417" t="s">
        <v>11809</v>
      </c>
      <c r="U3417" t="s">
        <v>491</v>
      </c>
      <c r="X3417">
        <v>0</v>
      </c>
    </row>
    <row r="3418" spans="1:24" x14ac:dyDescent="0.25">
      <c r="A3418" s="234">
        <v>43250</v>
      </c>
      <c r="B3418" t="s">
        <v>569</v>
      </c>
      <c r="C3418" t="s">
        <v>899</v>
      </c>
      <c r="D3418" t="s">
        <v>625</v>
      </c>
      <c r="E3418" t="s">
        <v>588</v>
      </c>
      <c r="F3418" t="s">
        <v>11369</v>
      </c>
      <c r="G3418" t="s">
        <v>8267</v>
      </c>
      <c r="H3418" t="s">
        <v>607</v>
      </c>
      <c r="I3418" t="s">
        <v>2054</v>
      </c>
      <c r="J3418" t="s">
        <v>899</v>
      </c>
      <c r="M3418" s="134">
        <v>2500000</v>
      </c>
      <c r="N3418" s="134">
        <v>3500000</v>
      </c>
      <c r="O3418" t="s">
        <v>560</v>
      </c>
      <c r="P3418" t="s">
        <v>11370</v>
      </c>
      <c r="Q3418" t="s">
        <v>592</v>
      </c>
      <c r="R3418" t="s">
        <v>11371</v>
      </c>
      <c r="U3418" t="s">
        <v>1327</v>
      </c>
      <c r="X3418">
        <v>0</v>
      </c>
    </row>
    <row r="3419" spans="1:24" x14ac:dyDescent="0.25">
      <c r="A3419" s="234">
        <v>42593</v>
      </c>
      <c r="B3419" t="s">
        <v>378</v>
      </c>
      <c r="C3419" t="s">
        <v>623</v>
      </c>
      <c r="D3419" t="s">
        <v>625</v>
      </c>
      <c r="E3419" t="s">
        <v>588</v>
      </c>
      <c r="F3419" t="s">
        <v>3387</v>
      </c>
      <c r="H3419" t="s">
        <v>905</v>
      </c>
      <c r="I3419" t="s">
        <v>3388</v>
      </c>
      <c r="J3419" t="s">
        <v>899</v>
      </c>
      <c r="L3419">
        <v>3</v>
      </c>
      <c r="M3419" s="134">
        <v>2500000</v>
      </c>
      <c r="N3419" s="134">
        <v>3500000</v>
      </c>
      <c r="O3419" t="s">
        <v>560</v>
      </c>
      <c r="P3419" t="s">
        <v>3389</v>
      </c>
      <c r="Q3419" t="s">
        <v>1939</v>
      </c>
      <c r="R3419" t="s">
        <v>3390</v>
      </c>
      <c r="U3419" t="s">
        <v>491</v>
      </c>
      <c r="X3419">
        <v>0</v>
      </c>
    </row>
    <row r="3420" spans="1:24" x14ac:dyDescent="0.25">
      <c r="A3420" s="234">
        <v>42922</v>
      </c>
      <c r="B3420" t="s">
        <v>5360</v>
      </c>
      <c r="D3420" t="s">
        <v>1027</v>
      </c>
      <c r="E3420" t="s">
        <v>588</v>
      </c>
      <c r="F3420" t="s">
        <v>7499</v>
      </c>
      <c r="H3420" t="s">
        <v>5991</v>
      </c>
      <c r="I3420" t="s">
        <v>7496</v>
      </c>
      <c r="J3420" t="s">
        <v>899</v>
      </c>
      <c r="L3420">
        <v>3</v>
      </c>
      <c r="M3420" s="134">
        <v>2500000</v>
      </c>
      <c r="N3420" s="134">
        <v>3560000</v>
      </c>
      <c r="O3420" t="s">
        <v>560</v>
      </c>
      <c r="P3420" t="s">
        <v>7497</v>
      </c>
      <c r="Q3420" t="s">
        <v>1939</v>
      </c>
      <c r="R3420" t="s">
        <v>7498</v>
      </c>
      <c r="U3420" t="s">
        <v>491</v>
      </c>
      <c r="X3420">
        <v>0</v>
      </c>
    </row>
    <row r="3421" spans="1:24" x14ac:dyDescent="0.25">
      <c r="A3421" s="234">
        <v>42537</v>
      </c>
      <c r="B3421" t="s">
        <v>378</v>
      </c>
      <c r="C3421" t="s">
        <v>610</v>
      </c>
      <c r="D3421" t="s">
        <v>1027</v>
      </c>
      <c r="E3421" t="s">
        <v>588</v>
      </c>
      <c r="F3421" t="s">
        <v>2555</v>
      </c>
      <c r="H3421" t="s">
        <v>607</v>
      </c>
      <c r="I3421" t="s">
        <v>628</v>
      </c>
      <c r="M3421" s="134">
        <v>2500000</v>
      </c>
      <c r="N3421" s="134">
        <v>3700000</v>
      </c>
      <c r="O3421" t="s">
        <v>891</v>
      </c>
      <c r="P3421" t="s">
        <v>2556</v>
      </c>
      <c r="Q3421" t="s">
        <v>620</v>
      </c>
      <c r="R3421" t="s">
        <v>2557</v>
      </c>
      <c r="U3421" t="s">
        <v>491</v>
      </c>
      <c r="X3421">
        <v>0</v>
      </c>
    </row>
    <row r="3422" spans="1:24" x14ac:dyDescent="0.25">
      <c r="A3422" s="234">
        <v>43012</v>
      </c>
      <c r="B3422" t="s">
        <v>328</v>
      </c>
      <c r="C3422" t="s">
        <v>603</v>
      </c>
      <c r="D3422" t="s">
        <v>2397</v>
      </c>
      <c r="E3422" t="s">
        <v>588</v>
      </c>
      <c r="F3422" t="s">
        <v>8858</v>
      </c>
      <c r="G3422" t="s">
        <v>7830</v>
      </c>
      <c r="H3422" t="s">
        <v>1391</v>
      </c>
      <c r="I3422" t="s">
        <v>4861</v>
      </c>
      <c r="J3422" t="s">
        <v>644</v>
      </c>
      <c r="L3422">
        <v>10</v>
      </c>
      <c r="M3422" s="134">
        <v>2500000</v>
      </c>
      <c r="N3422" s="134">
        <v>3750000</v>
      </c>
      <c r="O3422" t="s">
        <v>560</v>
      </c>
      <c r="P3422" t="s">
        <v>8859</v>
      </c>
      <c r="Q3422" t="s">
        <v>1939</v>
      </c>
      <c r="R3422" t="s">
        <v>8860</v>
      </c>
      <c r="T3422">
        <v>38</v>
      </c>
      <c r="U3422" t="s">
        <v>491</v>
      </c>
      <c r="X3422">
        <v>0</v>
      </c>
    </row>
    <row r="3423" spans="1:24" x14ac:dyDescent="0.25">
      <c r="A3423" s="234">
        <v>42621</v>
      </c>
      <c r="B3423" t="s">
        <v>378</v>
      </c>
      <c r="C3423" t="s">
        <v>623</v>
      </c>
      <c r="D3423" t="s">
        <v>930</v>
      </c>
      <c r="E3423" t="s">
        <v>692</v>
      </c>
      <c r="F3423" t="s">
        <v>3818</v>
      </c>
      <c r="H3423" t="s">
        <v>1890</v>
      </c>
      <c r="I3423" t="s">
        <v>3819</v>
      </c>
      <c r="J3423" t="s">
        <v>899</v>
      </c>
      <c r="L3423">
        <v>4</v>
      </c>
      <c r="M3423" s="134">
        <v>2500000</v>
      </c>
      <c r="N3423" s="134">
        <v>3800000</v>
      </c>
      <c r="O3423" t="s">
        <v>3820</v>
      </c>
      <c r="P3423" t="s">
        <v>3821</v>
      </c>
      <c r="Q3423" t="s">
        <v>29</v>
      </c>
      <c r="U3423" t="s">
        <v>491</v>
      </c>
      <c r="X3423">
        <v>1</v>
      </c>
    </row>
    <row r="3424" spans="1:24" x14ac:dyDescent="0.25">
      <c r="A3424" s="234">
        <v>43255</v>
      </c>
      <c r="B3424" t="s">
        <v>569</v>
      </c>
      <c r="C3424" t="s">
        <v>899</v>
      </c>
      <c r="D3424" t="s">
        <v>625</v>
      </c>
      <c r="E3424" t="s">
        <v>588</v>
      </c>
      <c r="F3424" t="s">
        <v>11449</v>
      </c>
      <c r="G3424" t="s">
        <v>2282</v>
      </c>
      <c r="H3424" t="s">
        <v>607</v>
      </c>
      <c r="I3424" t="s">
        <v>2054</v>
      </c>
      <c r="J3424" t="s">
        <v>899</v>
      </c>
      <c r="L3424">
        <v>2</v>
      </c>
      <c r="M3424" s="134">
        <v>2500000</v>
      </c>
      <c r="N3424" s="134">
        <v>4000000</v>
      </c>
      <c r="O3424" t="s">
        <v>10766</v>
      </c>
      <c r="P3424" t="s">
        <v>11450</v>
      </c>
      <c r="Q3424" t="s">
        <v>592</v>
      </c>
      <c r="R3424" t="s">
        <v>11328</v>
      </c>
      <c r="U3424" t="s">
        <v>1327</v>
      </c>
      <c r="X3424">
        <v>0</v>
      </c>
    </row>
    <row r="3425" spans="1:24" x14ac:dyDescent="0.25">
      <c r="A3425" s="234">
        <v>43312</v>
      </c>
      <c r="B3425" t="s">
        <v>569</v>
      </c>
      <c r="C3425" t="s">
        <v>899</v>
      </c>
      <c r="D3425" t="s">
        <v>624</v>
      </c>
      <c r="E3425" t="s">
        <v>588</v>
      </c>
      <c r="F3425" t="s">
        <v>11977</v>
      </c>
      <c r="G3425" t="s">
        <v>11976</v>
      </c>
      <c r="H3425" t="s">
        <v>607</v>
      </c>
      <c r="I3425" t="s">
        <v>5340</v>
      </c>
      <c r="J3425" t="s">
        <v>899</v>
      </c>
      <c r="L3425">
        <v>3</v>
      </c>
      <c r="M3425" s="134">
        <v>2500000</v>
      </c>
      <c r="N3425" s="134">
        <v>4000000</v>
      </c>
      <c r="O3425" t="s">
        <v>560</v>
      </c>
      <c r="P3425" t="s">
        <v>11944</v>
      </c>
      <c r="Q3425" t="s">
        <v>592</v>
      </c>
      <c r="R3425" t="s">
        <v>11975</v>
      </c>
      <c r="U3425" t="s">
        <v>1327</v>
      </c>
      <c r="X3425">
        <v>0</v>
      </c>
    </row>
    <row r="3426" spans="1:24" x14ac:dyDescent="0.25">
      <c r="A3426" s="234">
        <v>43319</v>
      </c>
      <c r="B3426" t="s">
        <v>569</v>
      </c>
      <c r="C3426" t="s">
        <v>899</v>
      </c>
      <c r="D3426" t="s">
        <v>3505</v>
      </c>
      <c r="E3426" t="s">
        <v>588</v>
      </c>
      <c r="F3426" t="s">
        <v>12102</v>
      </c>
      <c r="G3426" t="s">
        <v>4118</v>
      </c>
      <c r="H3426" t="s">
        <v>607</v>
      </c>
      <c r="I3426" t="s">
        <v>2054</v>
      </c>
      <c r="J3426" t="s">
        <v>899</v>
      </c>
      <c r="L3426">
        <v>1</v>
      </c>
      <c r="M3426" s="134">
        <v>2500000</v>
      </c>
      <c r="N3426" s="134">
        <v>4000000</v>
      </c>
      <c r="O3426" t="s">
        <v>560</v>
      </c>
      <c r="P3426" t="s">
        <v>12103</v>
      </c>
      <c r="Q3426" t="s">
        <v>592</v>
      </c>
      <c r="R3426" t="s">
        <v>12101</v>
      </c>
      <c r="U3426" t="s">
        <v>1327</v>
      </c>
      <c r="X3426">
        <v>0</v>
      </c>
    </row>
    <row r="3427" spans="1:24" x14ac:dyDescent="0.25">
      <c r="A3427" s="234">
        <v>42950</v>
      </c>
      <c r="B3427" t="s">
        <v>569</v>
      </c>
      <c r="D3427" t="s">
        <v>624</v>
      </c>
      <c r="E3427" t="s">
        <v>588</v>
      </c>
      <c r="F3427" t="s">
        <v>7965</v>
      </c>
      <c r="G3427" t="s">
        <v>7480</v>
      </c>
      <c r="H3427" t="s">
        <v>607</v>
      </c>
      <c r="I3427" t="s">
        <v>2054</v>
      </c>
      <c r="J3427" t="s">
        <v>899</v>
      </c>
      <c r="L3427">
        <v>4</v>
      </c>
      <c r="M3427" s="134">
        <v>2500000</v>
      </c>
      <c r="N3427" s="134">
        <v>4000000</v>
      </c>
      <c r="O3427" t="s">
        <v>560</v>
      </c>
      <c r="P3427" t="s">
        <v>7966</v>
      </c>
      <c r="Q3427" t="s">
        <v>592</v>
      </c>
      <c r="R3427" t="s">
        <v>7967</v>
      </c>
      <c r="T3427">
        <v>18</v>
      </c>
      <c r="U3427" t="s">
        <v>491</v>
      </c>
      <c r="X3427">
        <v>0</v>
      </c>
    </row>
    <row r="3428" spans="1:24" x14ac:dyDescent="0.25">
      <c r="A3428" s="234">
        <v>42496</v>
      </c>
      <c r="B3428" t="s">
        <v>378</v>
      </c>
      <c r="C3428" t="s">
        <v>623</v>
      </c>
      <c r="D3428" t="s">
        <v>625</v>
      </c>
      <c r="E3428" t="s">
        <v>588</v>
      </c>
      <c r="F3428" t="s">
        <v>1962</v>
      </c>
      <c r="H3428" t="s">
        <v>1963</v>
      </c>
      <c r="I3428" t="s">
        <v>1964</v>
      </c>
      <c r="M3428" s="134">
        <v>2500000</v>
      </c>
      <c r="N3428" s="134">
        <v>4000000</v>
      </c>
      <c r="O3428" t="s">
        <v>891</v>
      </c>
      <c r="P3428" t="s">
        <v>1965</v>
      </c>
      <c r="Q3428" t="s">
        <v>592</v>
      </c>
      <c r="U3428" t="s">
        <v>491</v>
      </c>
      <c r="X3428">
        <v>0</v>
      </c>
    </row>
    <row r="3429" spans="1:24" x14ac:dyDescent="0.25">
      <c r="A3429" s="234">
        <v>42614</v>
      </c>
      <c r="B3429" t="s">
        <v>328</v>
      </c>
      <c r="C3429" t="s">
        <v>603</v>
      </c>
      <c r="D3429" t="s">
        <v>1471</v>
      </c>
      <c r="E3429" t="s">
        <v>588</v>
      </c>
      <c r="F3429" t="s">
        <v>3741</v>
      </c>
      <c r="H3429" t="s">
        <v>3742</v>
      </c>
      <c r="I3429" t="s">
        <v>3743</v>
      </c>
      <c r="J3429" t="s">
        <v>899</v>
      </c>
      <c r="L3429">
        <v>2</v>
      </c>
      <c r="M3429" s="134">
        <v>2500000</v>
      </c>
      <c r="N3429" s="134">
        <v>4000000</v>
      </c>
      <c r="O3429" t="s">
        <v>560</v>
      </c>
      <c r="P3429" t="s">
        <v>3745</v>
      </c>
      <c r="Q3429" t="s">
        <v>29</v>
      </c>
      <c r="R3429" t="s">
        <v>3744</v>
      </c>
      <c r="U3429" t="s">
        <v>491</v>
      </c>
      <c r="X3429">
        <v>1</v>
      </c>
    </row>
    <row r="3430" spans="1:24" x14ac:dyDescent="0.25">
      <c r="A3430" s="234">
        <v>42632</v>
      </c>
      <c r="B3430" t="s">
        <v>378</v>
      </c>
      <c r="C3430" t="s">
        <v>623</v>
      </c>
      <c r="D3430" t="s">
        <v>625</v>
      </c>
      <c r="E3430" t="s">
        <v>588</v>
      </c>
      <c r="F3430" t="s">
        <v>3963</v>
      </c>
      <c r="H3430" t="s">
        <v>607</v>
      </c>
      <c r="I3430" t="s">
        <v>2054</v>
      </c>
      <c r="J3430" t="s">
        <v>899</v>
      </c>
      <c r="L3430">
        <v>3</v>
      </c>
      <c r="M3430" s="134">
        <v>2500000</v>
      </c>
      <c r="N3430" s="134">
        <v>4150000</v>
      </c>
      <c r="O3430" t="s">
        <v>3964</v>
      </c>
      <c r="P3430" t="s">
        <v>3965</v>
      </c>
      <c r="Q3430" t="s">
        <v>1939</v>
      </c>
      <c r="R3430" t="s">
        <v>3966</v>
      </c>
      <c r="U3430" t="s">
        <v>491</v>
      </c>
      <c r="X3430">
        <v>0</v>
      </c>
    </row>
    <row r="3431" spans="1:24" x14ac:dyDescent="0.25">
      <c r="A3431" s="234">
        <v>42856</v>
      </c>
      <c r="B3431" t="s">
        <v>328</v>
      </c>
      <c r="D3431" t="s">
        <v>649</v>
      </c>
      <c r="E3431" t="s">
        <v>588</v>
      </c>
      <c r="F3431" t="s">
        <v>6623</v>
      </c>
      <c r="H3431" t="s">
        <v>6002</v>
      </c>
      <c r="I3431" t="s">
        <v>2054</v>
      </c>
      <c r="J3431" t="s">
        <v>899</v>
      </c>
      <c r="L3431">
        <v>2</v>
      </c>
      <c r="M3431" s="134">
        <v>2500000</v>
      </c>
      <c r="N3431" s="134">
        <v>4250000</v>
      </c>
      <c r="O3431" t="s">
        <v>560</v>
      </c>
      <c r="P3431" t="s">
        <v>6624</v>
      </c>
      <c r="Q3431" t="s">
        <v>592</v>
      </c>
      <c r="R3431" t="s">
        <v>6625</v>
      </c>
      <c r="U3431" t="s">
        <v>1327</v>
      </c>
      <c r="X3431">
        <v>0</v>
      </c>
    </row>
    <row r="3432" spans="1:24" x14ac:dyDescent="0.25">
      <c r="A3432" s="234">
        <v>42899</v>
      </c>
      <c r="B3432" t="s">
        <v>569</v>
      </c>
      <c r="D3432" t="s">
        <v>930</v>
      </c>
      <c r="E3432" t="s">
        <v>588</v>
      </c>
      <c r="F3432" t="s">
        <v>7166</v>
      </c>
      <c r="H3432" t="s">
        <v>607</v>
      </c>
      <c r="I3432" t="s">
        <v>3462</v>
      </c>
      <c r="J3432" t="s">
        <v>899</v>
      </c>
      <c r="L3432">
        <v>2</v>
      </c>
      <c r="M3432" s="134">
        <v>2500000</v>
      </c>
      <c r="N3432" s="134">
        <v>4250000</v>
      </c>
      <c r="O3432" t="s">
        <v>695</v>
      </c>
      <c r="P3432" t="s">
        <v>7167</v>
      </c>
      <c r="Q3432" t="s">
        <v>1939</v>
      </c>
      <c r="R3432" t="s">
        <v>7168</v>
      </c>
      <c r="U3432" t="s">
        <v>491</v>
      </c>
      <c r="X3432">
        <v>0</v>
      </c>
    </row>
    <row r="3433" spans="1:24" x14ac:dyDescent="0.25">
      <c r="A3433" s="234">
        <v>42502</v>
      </c>
      <c r="B3433" t="s">
        <v>328</v>
      </c>
      <c r="C3433" t="s">
        <v>603</v>
      </c>
      <c r="D3433" t="s">
        <v>587</v>
      </c>
      <c r="E3433" t="s">
        <v>588</v>
      </c>
      <c r="F3433" t="s">
        <v>2058</v>
      </c>
      <c r="H3433" t="s">
        <v>607</v>
      </c>
      <c r="I3433" t="s">
        <v>2059</v>
      </c>
      <c r="M3433" s="134">
        <v>2500000</v>
      </c>
      <c r="N3433" s="134">
        <v>4250000</v>
      </c>
      <c r="O3433" t="s">
        <v>891</v>
      </c>
      <c r="P3433" t="s">
        <v>2060</v>
      </c>
      <c r="Q3433" t="s">
        <v>592</v>
      </c>
      <c r="U3433" t="s">
        <v>491</v>
      </c>
      <c r="X3433">
        <v>0</v>
      </c>
    </row>
    <row r="3434" spans="1:24" x14ac:dyDescent="0.25">
      <c r="A3434" s="234">
        <v>42466</v>
      </c>
      <c r="B3434" t="s">
        <v>378</v>
      </c>
      <c r="C3434" t="s">
        <v>623</v>
      </c>
      <c r="D3434" t="s">
        <v>930</v>
      </c>
      <c r="E3434" t="s">
        <v>692</v>
      </c>
      <c r="F3434" t="s">
        <v>1560</v>
      </c>
      <c r="H3434" t="s">
        <v>1561</v>
      </c>
      <c r="I3434" t="s">
        <v>1562</v>
      </c>
      <c r="M3434" s="134">
        <v>2500000</v>
      </c>
      <c r="N3434" s="134">
        <v>4275500</v>
      </c>
      <c r="O3434" t="s">
        <v>1516</v>
      </c>
      <c r="P3434" t="s">
        <v>15990</v>
      </c>
      <c r="Q3434" t="s">
        <v>592</v>
      </c>
      <c r="R3434" t="s">
        <v>1564</v>
      </c>
      <c r="U3434" t="s">
        <v>491</v>
      </c>
      <c r="X3434">
        <v>0</v>
      </c>
    </row>
    <row r="3435" spans="1:24" x14ac:dyDescent="0.25">
      <c r="A3435" s="234">
        <v>43362</v>
      </c>
      <c r="B3435" t="s">
        <v>569</v>
      </c>
      <c r="C3435" t="s">
        <v>899</v>
      </c>
      <c r="D3435" t="s">
        <v>11286</v>
      </c>
      <c r="E3435" t="s">
        <v>588</v>
      </c>
      <c r="F3435" t="s">
        <v>12656</v>
      </c>
      <c r="G3435" t="s">
        <v>9461</v>
      </c>
      <c r="H3435" t="s">
        <v>607</v>
      </c>
      <c r="I3435" t="s">
        <v>5340</v>
      </c>
      <c r="J3435" t="s">
        <v>899</v>
      </c>
      <c r="L3435">
        <v>1</v>
      </c>
      <c r="M3435" s="134">
        <v>2500000</v>
      </c>
      <c r="N3435" s="134">
        <v>4400000</v>
      </c>
      <c r="O3435" t="s">
        <v>10766</v>
      </c>
      <c r="P3435" t="s">
        <v>12657</v>
      </c>
      <c r="Q3435" t="s">
        <v>1939</v>
      </c>
      <c r="R3435" t="s">
        <v>12658</v>
      </c>
      <c r="U3435" t="s">
        <v>12344</v>
      </c>
      <c r="X3435">
        <v>0</v>
      </c>
    </row>
    <row r="3436" spans="1:24" x14ac:dyDescent="0.25">
      <c r="A3436" s="234">
        <v>43243</v>
      </c>
      <c r="B3436" t="s">
        <v>569</v>
      </c>
      <c r="C3436" t="s">
        <v>899</v>
      </c>
      <c r="D3436" t="s">
        <v>625</v>
      </c>
      <c r="E3436" t="s">
        <v>588</v>
      </c>
      <c r="F3436" t="s">
        <v>11269</v>
      </c>
      <c r="G3436" t="s">
        <v>11270</v>
      </c>
      <c r="H3436" t="s">
        <v>607</v>
      </c>
      <c r="I3436" t="s">
        <v>11271</v>
      </c>
      <c r="J3436" t="s">
        <v>899</v>
      </c>
      <c r="M3436" s="134">
        <v>2500000</v>
      </c>
      <c r="N3436" s="134">
        <v>4500000</v>
      </c>
      <c r="O3436" t="s">
        <v>560</v>
      </c>
      <c r="P3436" t="s">
        <v>11272</v>
      </c>
      <c r="Q3436" t="s">
        <v>29</v>
      </c>
      <c r="R3436" t="s">
        <v>11273</v>
      </c>
      <c r="U3436" t="s">
        <v>491</v>
      </c>
      <c r="X3436">
        <v>1</v>
      </c>
    </row>
    <row r="3437" spans="1:24" x14ac:dyDescent="0.25">
      <c r="A3437" s="234">
        <v>43318</v>
      </c>
      <c r="B3437" t="s">
        <v>569</v>
      </c>
      <c r="C3437" t="s">
        <v>899</v>
      </c>
      <c r="D3437" t="s">
        <v>3505</v>
      </c>
      <c r="E3437" t="s">
        <v>588</v>
      </c>
      <c r="F3437" t="s">
        <v>11487</v>
      </c>
      <c r="G3437" t="s">
        <v>7457</v>
      </c>
      <c r="H3437" t="s">
        <v>607</v>
      </c>
      <c r="I3437" t="s">
        <v>12080</v>
      </c>
      <c r="J3437" t="s">
        <v>899</v>
      </c>
      <c r="L3437">
        <v>1</v>
      </c>
      <c r="M3437" s="134">
        <v>2500000</v>
      </c>
      <c r="N3437" s="134">
        <v>4500000</v>
      </c>
      <c r="O3437" t="s">
        <v>7564</v>
      </c>
      <c r="P3437" t="s">
        <v>12081</v>
      </c>
      <c r="Q3437" t="s">
        <v>592</v>
      </c>
      <c r="R3437" t="s">
        <v>12082</v>
      </c>
      <c r="U3437" t="s">
        <v>1327</v>
      </c>
      <c r="X3437">
        <v>0</v>
      </c>
    </row>
    <row r="3438" spans="1:24" x14ac:dyDescent="0.25">
      <c r="A3438" s="234">
        <v>42377</v>
      </c>
      <c r="B3438" t="s">
        <v>378</v>
      </c>
      <c r="C3438" t="s">
        <v>610</v>
      </c>
      <c r="D3438" t="s">
        <v>611</v>
      </c>
      <c r="E3438" t="s">
        <v>588</v>
      </c>
      <c r="F3438" t="s">
        <v>678</v>
      </c>
      <c r="H3438" t="s">
        <v>607</v>
      </c>
      <c r="I3438" t="s">
        <v>679</v>
      </c>
      <c r="M3438" s="134">
        <v>2500000</v>
      </c>
      <c r="N3438" s="134">
        <v>4500000</v>
      </c>
      <c r="O3438" t="s">
        <v>680</v>
      </c>
      <c r="P3438" t="s">
        <v>682</v>
      </c>
      <c r="Q3438" t="s">
        <v>592</v>
      </c>
      <c r="R3438" t="s">
        <v>683</v>
      </c>
      <c r="U3438" t="s">
        <v>491</v>
      </c>
      <c r="X3438">
        <v>0</v>
      </c>
    </row>
    <row r="3439" spans="1:24" x14ac:dyDescent="0.25">
      <c r="A3439" s="234">
        <v>42608</v>
      </c>
      <c r="B3439" t="s">
        <v>378</v>
      </c>
      <c r="C3439" t="s">
        <v>623</v>
      </c>
      <c r="D3439" t="s">
        <v>625</v>
      </c>
      <c r="E3439" t="s">
        <v>588</v>
      </c>
      <c r="F3439" t="s">
        <v>3656</v>
      </c>
      <c r="H3439" t="s">
        <v>607</v>
      </c>
      <c r="I3439" t="s">
        <v>2054</v>
      </c>
      <c r="J3439" t="s">
        <v>899</v>
      </c>
      <c r="L3439">
        <v>2</v>
      </c>
      <c r="M3439" s="134">
        <v>2500000</v>
      </c>
      <c r="N3439" s="134">
        <v>4500000</v>
      </c>
      <c r="O3439" t="s">
        <v>560</v>
      </c>
      <c r="P3439" t="s">
        <v>3657</v>
      </c>
      <c r="Q3439" t="s">
        <v>1939</v>
      </c>
      <c r="R3439" t="s">
        <v>3658</v>
      </c>
      <c r="U3439" t="s">
        <v>491</v>
      </c>
      <c r="X3439">
        <v>0</v>
      </c>
    </row>
    <row r="3440" spans="1:24" x14ac:dyDescent="0.25">
      <c r="A3440" s="234">
        <v>42711</v>
      </c>
      <c r="B3440" t="s">
        <v>328</v>
      </c>
      <c r="C3440" t="s">
        <v>603</v>
      </c>
      <c r="D3440" t="s">
        <v>1471</v>
      </c>
      <c r="E3440" t="s">
        <v>588</v>
      </c>
      <c r="F3440" t="s">
        <v>4946</v>
      </c>
      <c r="H3440" t="s">
        <v>607</v>
      </c>
      <c r="I3440" t="s">
        <v>3941</v>
      </c>
      <c r="J3440" t="s">
        <v>899</v>
      </c>
      <c r="L3440">
        <v>4</v>
      </c>
      <c r="M3440" s="134">
        <v>2500000</v>
      </c>
      <c r="N3440" s="134">
        <v>4500000</v>
      </c>
      <c r="O3440" t="s">
        <v>560</v>
      </c>
      <c r="P3440" t="s">
        <v>4947</v>
      </c>
      <c r="Q3440" t="s">
        <v>1939</v>
      </c>
      <c r="R3440" t="s">
        <v>4948</v>
      </c>
      <c r="S3440" t="s">
        <v>4950</v>
      </c>
      <c r="U3440" t="s">
        <v>491</v>
      </c>
      <c r="X3440">
        <v>0</v>
      </c>
    </row>
    <row r="3441" spans="1:24" x14ac:dyDescent="0.25">
      <c r="A3441" s="234">
        <v>42711</v>
      </c>
      <c r="B3441" t="s">
        <v>378</v>
      </c>
      <c r="C3441" t="s">
        <v>623</v>
      </c>
      <c r="D3441" t="s">
        <v>611</v>
      </c>
      <c r="E3441" t="s">
        <v>588</v>
      </c>
      <c r="F3441" t="s">
        <v>4946</v>
      </c>
      <c r="H3441" t="s">
        <v>607</v>
      </c>
      <c r="I3441" t="s">
        <v>3941</v>
      </c>
      <c r="J3441" t="s">
        <v>899</v>
      </c>
      <c r="L3441">
        <v>4</v>
      </c>
      <c r="M3441" s="134">
        <v>2500000</v>
      </c>
      <c r="N3441" s="134">
        <v>4500000</v>
      </c>
      <c r="O3441" t="s">
        <v>560</v>
      </c>
      <c r="P3441" t="s">
        <v>4949</v>
      </c>
      <c r="Q3441" t="s">
        <v>1939</v>
      </c>
      <c r="R3441" t="s">
        <v>4948</v>
      </c>
      <c r="S3441" t="s">
        <v>4956</v>
      </c>
      <c r="U3441" t="s">
        <v>491</v>
      </c>
      <c r="X3441">
        <v>0</v>
      </c>
    </row>
    <row r="3442" spans="1:24" x14ac:dyDescent="0.25">
      <c r="A3442" s="234">
        <v>42780</v>
      </c>
      <c r="B3442" t="s">
        <v>569</v>
      </c>
      <c r="D3442" t="s">
        <v>611</v>
      </c>
      <c r="E3442" t="s">
        <v>588</v>
      </c>
      <c r="F3442" t="s">
        <v>5682</v>
      </c>
      <c r="H3442" t="s">
        <v>1391</v>
      </c>
      <c r="I3442" t="s">
        <v>5680</v>
      </c>
      <c r="J3442" t="s">
        <v>899</v>
      </c>
      <c r="L3442">
        <v>4</v>
      </c>
      <c r="M3442" s="134">
        <v>2500000</v>
      </c>
      <c r="N3442" s="134">
        <v>4550000</v>
      </c>
      <c r="O3442" t="s">
        <v>831</v>
      </c>
      <c r="P3442" t="s">
        <v>5681</v>
      </c>
      <c r="Q3442" t="s">
        <v>592</v>
      </c>
      <c r="R3442" t="s">
        <v>5679</v>
      </c>
      <c r="U3442" t="s">
        <v>1327</v>
      </c>
      <c r="X3442">
        <v>0</v>
      </c>
    </row>
    <row r="3443" spans="1:24" x14ac:dyDescent="0.25">
      <c r="A3443" s="234">
        <v>42594</v>
      </c>
      <c r="B3443" t="s">
        <v>328</v>
      </c>
      <c r="C3443" t="s">
        <v>603</v>
      </c>
      <c r="D3443" t="s">
        <v>3455</v>
      </c>
      <c r="E3443" t="s">
        <v>588</v>
      </c>
      <c r="F3443" t="s">
        <v>3412</v>
      </c>
      <c r="H3443" t="s">
        <v>722</v>
      </c>
      <c r="I3443" t="s">
        <v>3413</v>
      </c>
      <c r="J3443" t="s">
        <v>899</v>
      </c>
      <c r="L3443">
        <v>4</v>
      </c>
      <c r="M3443" s="134">
        <v>2500000</v>
      </c>
      <c r="N3443" s="134">
        <v>4875000</v>
      </c>
      <c r="O3443" t="s">
        <v>560</v>
      </c>
      <c r="P3443" t="s">
        <v>3414</v>
      </c>
      <c r="Q3443" t="s">
        <v>29</v>
      </c>
      <c r="R3443" t="s">
        <v>3456</v>
      </c>
      <c r="U3443" t="s">
        <v>491</v>
      </c>
      <c r="X3443">
        <v>1</v>
      </c>
    </row>
    <row r="3444" spans="1:24" x14ac:dyDescent="0.25">
      <c r="A3444" s="234">
        <v>42388</v>
      </c>
      <c r="B3444" t="s">
        <v>378</v>
      </c>
      <c r="C3444" t="s">
        <v>610</v>
      </c>
      <c r="D3444" t="s">
        <v>611</v>
      </c>
      <c r="E3444" t="s">
        <v>588</v>
      </c>
      <c r="F3444" t="s">
        <v>772</v>
      </c>
      <c r="H3444" t="s">
        <v>607</v>
      </c>
      <c r="I3444" t="s">
        <v>773</v>
      </c>
      <c r="M3444" s="134">
        <v>2500000</v>
      </c>
      <c r="N3444" s="134">
        <v>5000000</v>
      </c>
      <c r="O3444" t="s">
        <v>804</v>
      </c>
      <c r="P3444" t="s">
        <v>775</v>
      </c>
      <c r="Q3444" t="s">
        <v>592</v>
      </c>
      <c r="R3444" t="s">
        <v>774</v>
      </c>
      <c r="U3444" t="s">
        <v>491</v>
      </c>
      <c r="X3444">
        <v>0</v>
      </c>
    </row>
    <row r="3445" spans="1:24" x14ac:dyDescent="0.25">
      <c r="A3445" s="234">
        <v>42650</v>
      </c>
      <c r="B3445" t="s">
        <v>328</v>
      </c>
      <c r="C3445" t="s">
        <v>603</v>
      </c>
      <c r="D3445" t="s">
        <v>1401</v>
      </c>
      <c r="E3445" t="s">
        <v>588</v>
      </c>
      <c r="F3445" t="s">
        <v>4217</v>
      </c>
      <c r="H3445" t="s">
        <v>1119</v>
      </c>
      <c r="I3445" t="s">
        <v>4218</v>
      </c>
      <c r="J3445" t="s">
        <v>899</v>
      </c>
      <c r="L3445">
        <v>10</v>
      </c>
      <c r="M3445" s="134">
        <v>2500000</v>
      </c>
      <c r="N3445" s="134">
        <v>5000000</v>
      </c>
      <c r="O3445" t="s">
        <v>560</v>
      </c>
      <c r="P3445" t="s">
        <v>4219</v>
      </c>
      <c r="Q3445" t="s">
        <v>29</v>
      </c>
      <c r="R3445" t="s">
        <v>4220</v>
      </c>
      <c r="U3445" t="s">
        <v>1327</v>
      </c>
      <c r="X3445">
        <v>1</v>
      </c>
    </row>
    <row r="3446" spans="1:24" x14ac:dyDescent="0.25">
      <c r="A3446" s="234">
        <v>43397</v>
      </c>
      <c r="B3446" t="s">
        <v>569</v>
      </c>
      <c r="C3446" t="s">
        <v>899</v>
      </c>
      <c r="D3446" t="s">
        <v>625</v>
      </c>
      <c r="F3446" t="s">
        <v>13018</v>
      </c>
      <c r="G3446" t="s">
        <v>7855</v>
      </c>
      <c r="H3446" t="s">
        <v>607</v>
      </c>
      <c r="I3446" t="s">
        <v>12347</v>
      </c>
      <c r="J3446" t="s">
        <v>899</v>
      </c>
      <c r="K3446">
        <v>92679</v>
      </c>
      <c r="L3446">
        <v>3</v>
      </c>
      <c r="M3446" s="134">
        <v>2511000</v>
      </c>
      <c r="N3446" s="134">
        <v>3767000</v>
      </c>
      <c r="O3446" t="s">
        <v>560</v>
      </c>
      <c r="P3446" t="s">
        <v>13020</v>
      </c>
      <c r="Q3446" t="s">
        <v>592</v>
      </c>
      <c r="R3446" t="s">
        <v>13021</v>
      </c>
      <c r="U3446" t="s">
        <v>12344</v>
      </c>
      <c r="X3446">
        <v>0</v>
      </c>
    </row>
    <row r="3447" spans="1:24" x14ac:dyDescent="0.25">
      <c r="A3447" s="234">
        <v>42998</v>
      </c>
      <c r="B3447" t="s">
        <v>328</v>
      </c>
      <c r="C3447" t="s">
        <v>899</v>
      </c>
      <c r="D3447" t="s">
        <v>649</v>
      </c>
      <c r="E3447" t="s">
        <v>588</v>
      </c>
      <c r="F3447" t="s">
        <v>8618</v>
      </c>
      <c r="G3447" t="s">
        <v>8619</v>
      </c>
      <c r="H3447" t="s">
        <v>607</v>
      </c>
      <c r="I3447" t="s">
        <v>5508</v>
      </c>
      <c r="J3447" t="s">
        <v>5509</v>
      </c>
      <c r="L3447">
        <v>2</v>
      </c>
      <c r="M3447" s="134">
        <v>2518000</v>
      </c>
      <c r="N3447" s="134">
        <v>4784200</v>
      </c>
      <c r="O3447" t="s">
        <v>1171</v>
      </c>
      <c r="P3447" t="s">
        <v>8620</v>
      </c>
      <c r="Q3447" t="s">
        <v>592</v>
      </c>
      <c r="R3447" t="s">
        <v>8621</v>
      </c>
      <c r="T3447">
        <v>24</v>
      </c>
      <c r="U3447" t="s">
        <v>491</v>
      </c>
      <c r="X3447">
        <v>0</v>
      </c>
    </row>
    <row r="3448" spans="1:24" x14ac:dyDescent="0.25">
      <c r="A3448" s="234">
        <v>43601</v>
      </c>
      <c r="B3448" t="s">
        <v>328</v>
      </c>
      <c r="C3448" t="s">
        <v>603</v>
      </c>
      <c r="D3448" t="s">
        <v>649</v>
      </c>
      <c r="F3448" t="s">
        <v>7831</v>
      </c>
      <c r="G3448" t="s">
        <v>15597</v>
      </c>
      <c r="H3448" t="s">
        <v>809</v>
      </c>
      <c r="I3448" t="s">
        <v>15598</v>
      </c>
      <c r="J3448" t="s">
        <v>604</v>
      </c>
      <c r="K3448" t="s">
        <v>15599</v>
      </c>
      <c r="L3448">
        <v>6</v>
      </c>
      <c r="M3448" s="134">
        <v>2520000</v>
      </c>
      <c r="N3448" s="134">
        <v>2772000</v>
      </c>
      <c r="O3448" t="s">
        <v>7564</v>
      </c>
      <c r="P3448" t="s">
        <v>15600</v>
      </c>
      <c r="Q3448" t="s">
        <v>1939</v>
      </c>
      <c r="R3448" t="s">
        <v>15605</v>
      </c>
      <c r="S3448" t="s">
        <v>15601</v>
      </c>
      <c r="U3448" t="s">
        <v>491</v>
      </c>
      <c r="X3448">
        <v>0</v>
      </c>
    </row>
    <row r="3449" spans="1:24" x14ac:dyDescent="0.25">
      <c r="A3449" s="234">
        <v>42774</v>
      </c>
      <c r="B3449" t="s">
        <v>569</v>
      </c>
      <c r="D3449" t="s">
        <v>624</v>
      </c>
      <c r="E3449" t="s">
        <v>588</v>
      </c>
      <c r="F3449" t="s">
        <v>5644</v>
      </c>
      <c r="H3449" t="s">
        <v>905</v>
      </c>
      <c r="I3449" t="s">
        <v>3649</v>
      </c>
      <c r="J3449" t="s">
        <v>899</v>
      </c>
      <c r="L3449">
        <v>2</v>
      </c>
      <c r="M3449" s="134">
        <v>2526000</v>
      </c>
      <c r="N3449" s="134">
        <v>4041600</v>
      </c>
      <c r="O3449" t="s">
        <v>560</v>
      </c>
      <c r="P3449" t="s">
        <v>6298</v>
      </c>
      <c r="Q3449" t="s">
        <v>1939</v>
      </c>
      <c r="R3449" t="s">
        <v>5645</v>
      </c>
      <c r="U3449" t="s">
        <v>491</v>
      </c>
      <c r="X3449">
        <v>0</v>
      </c>
    </row>
    <row r="3450" spans="1:24" x14ac:dyDescent="0.25">
      <c r="A3450" s="234">
        <v>43322</v>
      </c>
      <c r="B3450" t="s">
        <v>569</v>
      </c>
      <c r="C3450" t="s">
        <v>899</v>
      </c>
      <c r="D3450" t="s">
        <v>11031</v>
      </c>
      <c r="E3450" t="s">
        <v>588</v>
      </c>
      <c r="F3450" t="s">
        <v>12139</v>
      </c>
      <c r="G3450" t="s">
        <v>12139</v>
      </c>
      <c r="H3450" t="s">
        <v>10831</v>
      </c>
      <c r="I3450" t="s">
        <v>3649</v>
      </c>
      <c r="J3450" t="s">
        <v>899</v>
      </c>
      <c r="L3450">
        <v>8</v>
      </c>
      <c r="M3450" s="134">
        <v>2526400</v>
      </c>
      <c r="N3450" s="134">
        <v>4006400</v>
      </c>
      <c r="O3450" t="s">
        <v>560</v>
      </c>
      <c r="P3450" t="s">
        <v>12138</v>
      </c>
      <c r="Q3450" t="s">
        <v>29</v>
      </c>
      <c r="R3450" t="s">
        <v>12137</v>
      </c>
      <c r="U3450" t="s">
        <v>1327</v>
      </c>
      <c r="X3450">
        <v>1</v>
      </c>
    </row>
    <row r="3451" spans="1:24" x14ac:dyDescent="0.25">
      <c r="A3451" s="234">
        <v>43525</v>
      </c>
      <c r="B3451" t="s">
        <v>12367</v>
      </c>
      <c r="C3451" t="s">
        <v>5610</v>
      </c>
      <c r="D3451" t="s">
        <v>7814</v>
      </c>
      <c r="F3451" t="s">
        <v>14584</v>
      </c>
      <c r="G3451" t="s">
        <v>14585</v>
      </c>
      <c r="H3451" t="s">
        <v>607</v>
      </c>
      <c r="I3451" t="s">
        <v>14586</v>
      </c>
      <c r="J3451" t="s">
        <v>6329</v>
      </c>
      <c r="K3451" t="s">
        <v>14587</v>
      </c>
      <c r="L3451">
        <v>5</v>
      </c>
      <c r="M3451" s="134">
        <v>2527200</v>
      </c>
      <c r="N3451" s="134">
        <v>3967200</v>
      </c>
      <c r="O3451" t="s">
        <v>10766</v>
      </c>
      <c r="P3451" t="s">
        <v>14813</v>
      </c>
      <c r="Q3451" t="s">
        <v>1612</v>
      </c>
      <c r="R3451" t="s">
        <v>14814</v>
      </c>
      <c r="U3451" t="s">
        <v>12797</v>
      </c>
      <c r="X3451">
        <v>0</v>
      </c>
    </row>
    <row r="3452" spans="1:24" x14ac:dyDescent="0.25">
      <c r="A3452" s="234">
        <v>42661</v>
      </c>
      <c r="B3452" t="s">
        <v>328</v>
      </c>
      <c r="C3452" t="s">
        <v>603</v>
      </c>
      <c r="D3452" t="s">
        <v>2397</v>
      </c>
      <c r="E3452" t="s">
        <v>588</v>
      </c>
      <c r="F3452" t="s">
        <v>4360</v>
      </c>
      <c r="H3452" t="s">
        <v>722</v>
      </c>
      <c r="I3452" t="s">
        <v>4361</v>
      </c>
      <c r="J3452" t="s">
        <v>899</v>
      </c>
      <c r="L3452">
        <v>1</v>
      </c>
      <c r="M3452" s="134">
        <v>2550000</v>
      </c>
      <c r="N3452" s="134">
        <v>4843000</v>
      </c>
      <c r="O3452" t="s">
        <v>560</v>
      </c>
      <c r="P3452" t="s">
        <v>4362</v>
      </c>
      <c r="Q3452" t="s">
        <v>1939</v>
      </c>
      <c r="R3452" t="s">
        <v>4363</v>
      </c>
      <c r="U3452" t="s">
        <v>491</v>
      </c>
      <c r="X3452">
        <v>0</v>
      </c>
    </row>
    <row r="3453" spans="1:24" x14ac:dyDescent="0.25">
      <c r="A3453" s="234">
        <v>42573</v>
      </c>
      <c r="B3453" t="s">
        <v>378</v>
      </c>
      <c r="C3453" t="s">
        <v>623</v>
      </c>
      <c r="D3453" t="s">
        <v>625</v>
      </c>
      <c r="E3453" t="s">
        <v>588</v>
      </c>
      <c r="F3453" t="s">
        <v>2981</v>
      </c>
      <c r="H3453" t="s">
        <v>607</v>
      </c>
      <c r="I3453" t="s">
        <v>2982</v>
      </c>
      <c r="M3453" s="134">
        <v>2553000</v>
      </c>
      <c r="N3453" s="134">
        <v>3583000</v>
      </c>
      <c r="O3453" t="s">
        <v>891</v>
      </c>
      <c r="P3453" t="s">
        <v>2984</v>
      </c>
      <c r="Q3453" t="s">
        <v>1939</v>
      </c>
      <c r="R3453" t="s">
        <v>2983</v>
      </c>
      <c r="U3453" t="s">
        <v>491</v>
      </c>
      <c r="X3453">
        <v>0</v>
      </c>
    </row>
    <row r="3454" spans="1:24" x14ac:dyDescent="0.25">
      <c r="A3454" s="234">
        <v>42696</v>
      </c>
      <c r="B3454" t="s">
        <v>328</v>
      </c>
      <c r="C3454" t="s">
        <v>603</v>
      </c>
      <c r="D3454" t="s">
        <v>1471</v>
      </c>
      <c r="E3454" t="s">
        <v>588</v>
      </c>
      <c r="F3454" t="s">
        <v>4803</v>
      </c>
      <c r="H3454" t="s">
        <v>809</v>
      </c>
      <c r="I3454" t="s">
        <v>4800</v>
      </c>
      <c r="J3454" t="s">
        <v>603</v>
      </c>
      <c r="L3454">
        <v>5</v>
      </c>
      <c r="M3454" s="134">
        <v>2563000</v>
      </c>
      <c r="N3454" s="134">
        <v>4741550</v>
      </c>
      <c r="O3454" t="s">
        <v>560</v>
      </c>
      <c r="P3454" t="s">
        <v>4802</v>
      </c>
      <c r="Q3454" t="s">
        <v>592</v>
      </c>
      <c r="R3454" t="s">
        <v>4801</v>
      </c>
      <c r="U3454" t="s">
        <v>1327</v>
      </c>
      <c r="X3454">
        <v>0</v>
      </c>
    </row>
    <row r="3455" spans="1:24" x14ac:dyDescent="0.25">
      <c r="A3455" s="234">
        <v>43476</v>
      </c>
      <c r="B3455" t="s">
        <v>5956</v>
      </c>
      <c r="C3455" t="s">
        <v>3369</v>
      </c>
      <c r="D3455" t="s">
        <v>9234</v>
      </c>
      <c r="F3455" t="s">
        <v>13969</v>
      </c>
      <c r="G3455" t="s">
        <v>13970</v>
      </c>
      <c r="H3455" t="s">
        <v>607</v>
      </c>
      <c r="I3455" t="s">
        <v>13971</v>
      </c>
      <c r="J3455" t="s">
        <v>6575</v>
      </c>
      <c r="K3455" t="s">
        <v>13972</v>
      </c>
      <c r="L3455">
        <v>9</v>
      </c>
      <c r="M3455" s="134">
        <v>2565000</v>
      </c>
      <c r="N3455" s="134">
        <v>5130000</v>
      </c>
      <c r="O3455" t="s">
        <v>560</v>
      </c>
      <c r="P3455" t="s">
        <v>13973</v>
      </c>
      <c r="Q3455" t="s">
        <v>29</v>
      </c>
      <c r="R3455" t="s">
        <v>13974</v>
      </c>
      <c r="U3455" t="s">
        <v>12797</v>
      </c>
      <c r="X3455">
        <v>1</v>
      </c>
    </row>
    <row r="3456" spans="1:24" x14ac:dyDescent="0.25">
      <c r="A3456" s="234">
        <v>42867</v>
      </c>
      <c r="B3456" t="s">
        <v>328</v>
      </c>
      <c r="C3456" t="s">
        <v>603</v>
      </c>
      <c r="D3456" t="s">
        <v>1401</v>
      </c>
      <c r="E3456" t="s">
        <v>588</v>
      </c>
      <c r="F3456" t="s">
        <v>6753</v>
      </c>
      <c r="H3456" t="s">
        <v>607</v>
      </c>
      <c r="I3456" t="s">
        <v>5683</v>
      </c>
      <c r="J3456" t="s">
        <v>899</v>
      </c>
      <c r="L3456">
        <v>2</v>
      </c>
      <c r="M3456" s="134">
        <v>2580500</v>
      </c>
      <c r="N3456" s="134">
        <v>4890500</v>
      </c>
      <c r="O3456" t="s">
        <v>6754</v>
      </c>
      <c r="P3456" t="s">
        <v>6755</v>
      </c>
      <c r="Q3456" t="s">
        <v>1939</v>
      </c>
      <c r="R3456" t="s">
        <v>6756</v>
      </c>
      <c r="U3456" t="s">
        <v>491</v>
      </c>
      <c r="X3456">
        <v>0</v>
      </c>
    </row>
    <row r="3457" spans="1:24" x14ac:dyDescent="0.25">
      <c r="A3457" s="234">
        <v>42923</v>
      </c>
      <c r="B3457" t="s">
        <v>328</v>
      </c>
      <c r="C3457" t="s">
        <v>603</v>
      </c>
      <c r="D3457" t="s">
        <v>672</v>
      </c>
      <c r="E3457" t="s">
        <v>588</v>
      </c>
      <c r="F3457" t="s">
        <v>7529</v>
      </c>
      <c r="H3457" t="s">
        <v>607</v>
      </c>
      <c r="I3457" t="s">
        <v>3649</v>
      </c>
      <c r="J3457" t="s">
        <v>899</v>
      </c>
      <c r="L3457">
        <v>4</v>
      </c>
      <c r="M3457" s="134">
        <v>2582235</v>
      </c>
      <c r="N3457" s="134">
        <v>4490493</v>
      </c>
      <c r="O3457" t="s">
        <v>560</v>
      </c>
      <c r="P3457" t="s">
        <v>7931</v>
      </c>
      <c r="Q3457" t="s">
        <v>592</v>
      </c>
      <c r="U3457" t="s">
        <v>491</v>
      </c>
      <c r="X3457">
        <v>0</v>
      </c>
    </row>
    <row r="3458" spans="1:24" x14ac:dyDescent="0.25">
      <c r="A3458" s="234">
        <v>43479</v>
      </c>
      <c r="B3458" t="s">
        <v>12367</v>
      </c>
      <c r="C3458" t="s">
        <v>5610</v>
      </c>
      <c r="D3458" t="s">
        <v>7814</v>
      </c>
      <c r="F3458" t="s">
        <v>13985</v>
      </c>
      <c r="G3458" t="s">
        <v>11122</v>
      </c>
      <c r="H3458" t="s">
        <v>10831</v>
      </c>
      <c r="I3458" t="s">
        <v>13986</v>
      </c>
      <c r="J3458" t="s">
        <v>3733</v>
      </c>
      <c r="K3458" t="s">
        <v>13987</v>
      </c>
      <c r="L3458" t="s">
        <v>7579</v>
      </c>
      <c r="M3458" s="134">
        <v>2589936</v>
      </c>
      <c r="N3458" s="134">
        <v>3109990</v>
      </c>
      <c r="O3458" t="s">
        <v>560</v>
      </c>
      <c r="P3458" t="s">
        <v>13988</v>
      </c>
      <c r="Q3458" t="s">
        <v>1939</v>
      </c>
      <c r="R3458" t="s">
        <v>14151</v>
      </c>
      <c r="U3458" t="s">
        <v>12797</v>
      </c>
      <c r="X3458">
        <v>0</v>
      </c>
    </row>
    <row r="3459" spans="1:24" x14ac:dyDescent="0.25">
      <c r="A3459" s="234">
        <v>42816</v>
      </c>
      <c r="B3459" t="s">
        <v>569</v>
      </c>
      <c r="D3459" t="s">
        <v>625</v>
      </c>
      <c r="E3459" t="s">
        <v>588</v>
      </c>
      <c r="F3459" t="s">
        <v>6052</v>
      </c>
      <c r="H3459" t="s">
        <v>905</v>
      </c>
      <c r="I3459" t="s">
        <v>2054</v>
      </c>
      <c r="J3459" t="s">
        <v>899</v>
      </c>
      <c r="L3459">
        <v>3</v>
      </c>
      <c r="M3459" s="134">
        <v>2600000</v>
      </c>
      <c r="N3459" s="134">
        <v>3200000</v>
      </c>
      <c r="O3459" t="s">
        <v>560</v>
      </c>
      <c r="P3459" t="s">
        <v>6053</v>
      </c>
      <c r="Q3459" t="s">
        <v>1939</v>
      </c>
      <c r="R3459" t="s">
        <v>6054</v>
      </c>
      <c r="U3459" t="s">
        <v>491</v>
      </c>
      <c r="X3459">
        <v>0</v>
      </c>
    </row>
    <row r="3460" spans="1:24" x14ac:dyDescent="0.25">
      <c r="A3460" s="234">
        <v>42445</v>
      </c>
      <c r="B3460" t="s">
        <v>378</v>
      </c>
      <c r="C3460" t="s">
        <v>610</v>
      </c>
      <c r="D3460" t="s">
        <v>611</v>
      </c>
      <c r="E3460" t="s">
        <v>588</v>
      </c>
      <c r="F3460" t="s">
        <v>1354</v>
      </c>
      <c r="H3460" t="s">
        <v>607</v>
      </c>
      <c r="I3460" t="s">
        <v>1355</v>
      </c>
      <c r="M3460" s="134">
        <v>2600000</v>
      </c>
      <c r="N3460" s="134">
        <v>3950000</v>
      </c>
      <c r="O3460" t="s">
        <v>891</v>
      </c>
      <c r="P3460" t="s">
        <v>1356</v>
      </c>
      <c r="Q3460" t="s">
        <v>592</v>
      </c>
      <c r="R3460" t="s">
        <v>1357</v>
      </c>
      <c r="U3460" t="s">
        <v>491</v>
      </c>
      <c r="X3460">
        <v>0</v>
      </c>
    </row>
    <row r="3461" spans="1:24" x14ac:dyDescent="0.25">
      <c r="A3461" s="234">
        <v>43321</v>
      </c>
      <c r="B3461" t="s">
        <v>569</v>
      </c>
      <c r="C3461" t="s">
        <v>899</v>
      </c>
      <c r="D3461" t="s">
        <v>12126</v>
      </c>
      <c r="E3461" t="s">
        <v>588</v>
      </c>
      <c r="F3461" t="s">
        <v>10173</v>
      </c>
      <c r="G3461" t="s">
        <v>12128</v>
      </c>
      <c r="H3461" t="s">
        <v>607</v>
      </c>
      <c r="I3461" t="s">
        <v>12127</v>
      </c>
      <c r="J3461" t="s">
        <v>899</v>
      </c>
      <c r="L3461">
        <v>2</v>
      </c>
      <c r="M3461" s="134">
        <v>2600000</v>
      </c>
      <c r="N3461" s="134">
        <v>4420000</v>
      </c>
      <c r="O3461" t="s">
        <v>560</v>
      </c>
      <c r="P3461" t="s">
        <v>12129</v>
      </c>
      <c r="Q3461" t="s">
        <v>592</v>
      </c>
      <c r="R3461" t="s">
        <v>12130</v>
      </c>
      <c r="U3461" t="s">
        <v>1327</v>
      </c>
      <c r="X3461">
        <v>0</v>
      </c>
    </row>
    <row r="3462" spans="1:24" x14ac:dyDescent="0.25">
      <c r="A3462" s="234">
        <v>43325</v>
      </c>
      <c r="B3462" t="s">
        <v>569</v>
      </c>
      <c r="C3462" t="s">
        <v>899</v>
      </c>
      <c r="D3462" t="s">
        <v>11031</v>
      </c>
      <c r="E3462" t="s">
        <v>588</v>
      </c>
      <c r="F3462" t="s">
        <v>10173</v>
      </c>
      <c r="G3462" t="s">
        <v>12128</v>
      </c>
      <c r="H3462" t="s">
        <v>607</v>
      </c>
      <c r="I3462" t="s">
        <v>12127</v>
      </c>
      <c r="J3462" t="s">
        <v>899</v>
      </c>
      <c r="L3462">
        <v>2</v>
      </c>
      <c r="M3462" s="134">
        <v>2600000</v>
      </c>
      <c r="N3462" s="134">
        <v>4420000</v>
      </c>
      <c r="O3462" t="s">
        <v>10762</v>
      </c>
      <c r="P3462" t="s">
        <v>12183</v>
      </c>
      <c r="Q3462" t="s">
        <v>592</v>
      </c>
      <c r="R3462" t="s">
        <v>12182</v>
      </c>
      <c r="U3462" t="s">
        <v>1327</v>
      </c>
      <c r="X3462">
        <v>0</v>
      </c>
    </row>
    <row r="3463" spans="1:24" x14ac:dyDescent="0.25">
      <c r="A3463" s="234">
        <v>42592</v>
      </c>
      <c r="B3463" t="s">
        <v>328</v>
      </c>
      <c r="C3463" t="s">
        <v>603</v>
      </c>
      <c r="D3463" t="s">
        <v>1401</v>
      </c>
      <c r="E3463" t="s">
        <v>588</v>
      </c>
      <c r="F3463" t="s">
        <v>3326</v>
      </c>
      <c r="H3463" t="s">
        <v>607</v>
      </c>
      <c r="I3463" t="s">
        <v>3327</v>
      </c>
      <c r="J3463" t="s">
        <v>3370</v>
      </c>
      <c r="L3463">
        <v>2</v>
      </c>
      <c r="M3463" s="134">
        <v>2600000</v>
      </c>
      <c r="N3463" s="134">
        <v>4420000</v>
      </c>
      <c r="O3463" t="s">
        <v>891</v>
      </c>
      <c r="P3463" t="s">
        <v>3359</v>
      </c>
      <c r="Q3463" t="s">
        <v>620</v>
      </c>
      <c r="R3463" t="s">
        <v>3358</v>
      </c>
      <c r="S3463" t="s">
        <v>3357</v>
      </c>
      <c r="U3463" t="s">
        <v>491</v>
      </c>
      <c r="X3463">
        <v>0</v>
      </c>
    </row>
    <row r="3464" spans="1:24" x14ac:dyDescent="0.25">
      <c r="A3464" s="234">
        <v>42832</v>
      </c>
      <c r="B3464" t="s">
        <v>569</v>
      </c>
      <c r="C3464" t="s">
        <v>899</v>
      </c>
      <c r="D3464" t="s">
        <v>625</v>
      </c>
      <c r="E3464" t="s">
        <v>588</v>
      </c>
      <c r="F3464" t="s">
        <v>6335</v>
      </c>
      <c r="H3464" t="s">
        <v>607</v>
      </c>
      <c r="I3464" t="s">
        <v>3388</v>
      </c>
      <c r="J3464" t="s">
        <v>899</v>
      </c>
      <c r="L3464">
        <v>2</v>
      </c>
      <c r="M3464" s="134">
        <v>2600000</v>
      </c>
      <c r="N3464" s="134">
        <v>4590000</v>
      </c>
      <c r="O3464" t="s">
        <v>5678</v>
      </c>
      <c r="P3464" t="s">
        <v>6336</v>
      </c>
      <c r="Q3464" t="s">
        <v>620</v>
      </c>
      <c r="R3464" t="s">
        <v>6348</v>
      </c>
      <c r="U3464" t="s">
        <v>491</v>
      </c>
      <c r="X3464">
        <v>0</v>
      </c>
    </row>
    <row r="3465" spans="1:24" x14ac:dyDescent="0.25">
      <c r="A3465" s="234">
        <v>43287</v>
      </c>
      <c r="B3465" t="s">
        <v>5360</v>
      </c>
      <c r="C3465" t="s">
        <v>899</v>
      </c>
      <c r="D3465" t="s">
        <v>611</v>
      </c>
      <c r="E3465" t="s">
        <v>588</v>
      </c>
      <c r="F3465" t="s">
        <v>11756</v>
      </c>
      <c r="G3465" t="s">
        <v>11755</v>
      </c>
      <c r="H3465" t="s">
        <v>607</v>
      </c>
      <c r="I3465" t="s">
        <v>8990</v>
      </c>
      <c r="J3465" t="s">
        <v>899</v>
      </c>
      <c r="L3465">
        <v>3</v>
      </c>
      <c r="M3465" s="134">
        <v>2600000</v>
      </c>
      <c r="N3465" s="134">
        <v>4680000</v>
      </c>
      <c r="O3465" t="s">
        <v>560</v>
      </c>
      <c r="P3465" t="s">
        <v>11754</v>
      </c>
      <c r="Q3465" t="s">
        <v>592</v>
      </c>
      <c r="R3465" t="s">
        <v>11753</v>
      </c>
      <c r="U3465" t="s">
        <v>1327</v>
      </c>
      <c r="X3465">
        <v>0</v>
      </c>
    </row>
    <row r="3466" spans="1:24" x14ac:dyDescent="0.25">
      <c r="A3466" s="234">
        <v>43430</v>
      </c>
      <c r="B3466" t="s">
        <v>569</v>
      </c>
      <c r="C3466" t="s">
        <v>899</v>
      </c>
      <c r="D3466" t="s">
        <v>625</v>
      </c>
      <c r="F3466" t="s">
        <v>13286</v>
      </c>
      <c r="G3466" t="s">
        <v>13287</v>
      </c>
      <c r="H3466" t="s">
        <v>607</v>
      </c>
      <c r="I3466" t="s">
        <v>10574</v>
      </c>
      <c r="J3466" t="s">
        <v>899</v>
      </c>
      <c r="K3466" t="s">
        <v>13288</v>
      </c>
      <c r="L3466">
        <v>5</v>
      </c>
      <c r="M3466" s="134">
        <v>2600000</v>
      </c>
      <c r="N3466" s="134">
        <v>4680000</v>
      </c>
      <c r="O3466" t="s">
        <v>560</v>
      </c>
      <c r="P3466" t="s">
        <v>13289</v>
      </c>
      <c r="Q3466" t="s">
        <v>29</v>
      </c>
      <c r="R3466" t="s">
        <v>13290</v>
      </c>
      <c r="U3466" t="s">
        <v>491</v>
      </c>
      <c r="X3466">
        <v>1</v>
      </c>
    </row>
    <row r="3467" spans="1:24" x14ac:dyDescent="0.25">
      <c r="A3467" s="234">
        <v>42703</v>
      </c>
      <c r="B3467" t="s">
        <v>378</v>
      </c>
      <c r="C3467" t="s">
        <v>623</v>
      </c>
      <c r="D3467" t="s">
        <v>624</v>
      </c>
      <c r="E3467" t="s">
        <v>588</v>
      </c>
      <c r="F3467" t="s">
        <v>4850</v>
      </c>
      <c r="H3467" t="s">
        <v>607</v>
      </c>
      <c r="I3467" t="s">
        <v>2054</v>
      </c>
      <c r="J3467" t="s">
        <v>899</v>
      </c>
      <c r="L3467">
        <v>2</v>
      </c>
      <c r="M3467" s="134">
        <v>2601000</v>
      </c>
      <c r="N3467" s="134">
        <v>3801000</v>
      </c>
      <c r="O3467" t="s">
        <v>560</v>
      </c>
      <c r="P3467" t="s">
        <v>4851</v>
      </c>
      <c r="Q3467" t="s">
        <v>592</v>
      </c>
      <c r="U3467" t="s">
        <v>491</v>
      </c>
      <c r="X3467">
        <v>0</v>
      </c>
    </row>
    <row r="3468" spans="1:24" x14ac:dyDescent="0.25">
      <c r="A3468" s="234">
        <v>43336</v>
      </c>
      <c r="B3468" t="s">
        <v>569</v>
      </c>
      <c r="C3468" t="s">
        <v>603</v>
      </c>
      <c r="D3468" t="s">
        <v>11286</v>
      </c>
      <c r="E3468" t="s">
        <v>588</v>
      </c>
      <c r="F3468" t="s">
        <v>12308</v>
      </c>
      <c r="H3468" t="s">
        <v>886</v>
      </c>
      <c r="I3468" t="s">
        <v>2054</v>
      </c>
      <c r="J3468" t="s">
        <v>899</v>
      </c>
      <c r="M3468" s="134">
        <v>2608164</v>
      </c>
      <c r="N3468" s="134">
        <v>3308164</v>
      </c>
      <c r="O3468" t="s">
        <v>2295</v>
      </c>
      <c r="P3468" t="s">
        <v>12309</v>
      </c>
      <c r="Q3468" t="s">
        <v>620</v>
      </c>
      <c r="R3468" t="s">
        <v>12310</v>
      </c>
      <c r="U3468" t="s">
        <v>491</v>
      </c>
      <c r="X3468">
        <v>0</v>
      </c>
    </row>
    <row r="3469" spans="1:24" x14ac:dyDescent="0.25">
      <c r="A3469" s="234">
        <v>42562</v>
      </c>
      <c r="B3469" t="s">
        <v>643</v>
      </c>
      <c r="C3469" t="s">
        <v>644</v>
      </c>
      <c r="D3469" t="s">
        <v>645</v>
      </c>
      <c r="E3469" t="s">
        <v>588</v>
      </c>
      <c r="F3469" t="s">
        <v>2841</v>
      </c>
      <c r="H3469" t="s">
        <v>2842</v>
      </c>
      <c r="I3469" t="s">
        <v>2843</v>
      </c>
      <c r="M3469" s="134">
        <v>2641400</v>
      </c>
      <c r="N3469" s="134">
        <v>3626400</v>
      </c>
      <c r="O3469" t="s">
        <v>1474</v>
      </c>
      <c r="P3469" t="s">
        <v>2852</v>
      </c>
      <c r="Q3469" t="s">
        <v>29</v>
      </c>
      <c r="R3469" t="s">
        <v>16004</v>
      </c>
      <c r="S3469" t="s">
        <v>2853</v>
      </c>
      <c r="U3469" t="s">
        <v>491</v>
      </c>
      <c r="X3469">
        <v>1</v>
      </c>
    </row>
    <row r="3470" spans="1:24" x14ac:dyDescent="0.25">
      <c r="A3470" s="234">
        <v>43297</v>
      </c>
      <c r="B3470" t="s">
        <v>328</v>
      </c>
      <c r="C3470" t="s">
        <v>899</v>
      </c>
      <c r="D3470" t="s">
        <v>7595</v>
      </c>
      <c r="E3470" t="s">
        <v>588</v>
      </c>
      <c r="F3470" t="s">
        <v>11813</v>
      </c>
      <c r="G3470" t="s">
        <v>7803</v>
      </c>
      <c r="H3470" t="s">
        <v>607</v>
      </c>
      <c r="I3470" t="s">
        <v>6843</v>
      </c>
      <c r="J3470" t="s">
        <v>899</v>
      </c>
      <c r="L3470">
        <v>3</v>
      </c>
      <c r="M3470" s="134">
        <v>2645000</v>
      </c>
      <c r="N3470" s="134">
        <v>4207500</v>
      </c>
      <c r="O3470" t="s">
        <v>560</v>
      </c>
      <c r="P3470" t="s">
        <v>11814</v>
      </c>
      <c r="Q3470" t="s">
        <v>592</v>
      </c>
      <c r="R3470" t="s">
        <v>11815</v>
      </c>
      <c r="U3470" t="s">
        <v>1327</v>
      </c>
      <c r="X3470">
        <v>0</v>
      </c>
    </row>
    <row r="3471" spans="1:24" x14ac:dyDescent="0.25">
      <c r="A3471" s="234">
        <v>43077</v>
      </c>
      <c r="B3471" t="s">
        <v>569</v>
      </c>
      <c r="C3471" t="s">
        <v>899</v>
      </c>
      <c r="D3471" t="s">
        <v>625</v>
      </c>
      <c r="E3471" t="s">
        <v>588</v>
      </c>
      <c r="F3471" t="s">
        <v>9699</v>
      </c>
      <c r="G3471" t="s">
        <v>9700</v>
      </c>
      <c r="H3471" t="s">
        <v>607</v>
      </c>
      <c r="I3471" t="s">
        <v>3649</v>
      </c>
      <c r="J3471" t="s">
        <v>899</v>
      </c>
      <c r="M3471" s="134">
        <v>2647200</v>
      </c>
      <c r="N3471" s="134">
        <v>3726640</v>
      </c>
      <c r="O3471" t="s">
        <v>560</v>
      </c>
      <c r="P3471" t="s">
        <v>9701</v>
      </c>
      <c r="Q3471" t="s">
        <v>29</v>
      </c>
      <c r="R3471" t="s">
        <v>9702</v>
      </c>
      <c r="U3471" t="s">
        <v>1327</v>
      </c>
      <c r="X3471">
        <v>1</v>
      </c>
    </row>
    <row r="3472" spans="1:24" x14ac:dyDescent="0.25">
      <c r="A3472" s="234">
        <v>42930</v>
      </c>
      <c r="B3472" t="s">
        <v>328</v>
      </c>
      <c r="C3472" t="s">
        <v>603</v>
      </c>
      <c r="D3472" t="s">
        <v>2397</v>
      </c>
      <c r="E3472" t="s">
        <v>588</v>
      </c>
      <c r="F3472" t="s">
        <v>7614</v>
      </c>
      <c r="H3472" t="s">
        <v>7603</v>
      </c>
      <c r="I3472" t="s">
        <v>3649</v>
      </c>
      <c r="J3472" t="s">
        <v>899</v>
      </c>
      <c r="L3472">
        <v>4</v>
      </c>
      <c r="M3472" s="134">
        <v>2650000</v>
      </c>
      <c r="N3472" s="134">
        <v>3241000</v>
      </c>
      <c r="O3472" t="s">
        <v>560</v>
      </c>
      <c r="P3472" t="s">
        <v>7613</v>
      </c>
      <c r="Q3472" t="s">
        <v>1612</v>
      </c>
      <c r="R3472" t="s">
        <v>7915</v>
      </c>
      <c r="U3472" t="s">
        <v>2227</v>
      </c>
      <c r="X3472">
        <v>0</v>
      </c>
    </row>
    <row r="3473" spans="1:24" x14ac:dyDescent="0.25">
      <c r="A3473" s="234">
        <v>42762</v>
      </c>
      <c r="B3473" t="s">
        <v>569</v>
      </c>
      <c r="D3473" t="s">
        <v>930</v>
      </c>
      <c r="E3473" t="s">
        <v>692</v>
      </c>
      <c r="F3473" t="s">
        <v>5482</v>
      </c>
      <c r="H3473" t="s">
        <v>607</v>
      </c>
      <c r="I3473" t="s">
        <v>5483</v>
      </c>
      <c r="J3473" t="s">
        <v>899</v>
      </c>
      <c r="L3473" t="s">
        <v>5484</v>
      </c>
      <c r="M3473" s="134">
        <v>2651000</v>
      </c>
      <c r="N3473" s="134">
        <v>4506300</v>
      </c>
      <c r="O3473" t="s">
        <v>1171</v>
      </c>
      <c r="P3473" t="s">
        <v>5485</v>
      </c>
      <c r="Q3473" t="s">
        <v>29</v>
      </c>
      <c r="R3473" t="s">
        <v>5486</v>
      </c>
      <c r="U3473" t="s">
        <v>491</v>
      </c>
      <c r="X3473">
        <v>1</v>
      </c>
    </row>
    <row r="3474" spans="1:24" x14ac:dyDescent="0.25">
      <c r="A3474" s="234">
        <v>43185</v>
      </c>
      <c r="B3474" t="s">
        <v>328</v>
      </c>
      <c r="C3474" t="s">
        <v>603</v>
      </c>
      <c r="D3474" t="s">
        <v>8941</v>
      </c>
      <c r="E3474" t="s">
        <v>588</v>
      </c>
      <c r="F3474" t="s">
        <v>10694</v>
      </c>
      <c r="G3474" t="s">
        <v>10694</v>
      </c>
      <c r="H3474" t="s">
        <v>809</v>
      </c>
      <c r="I3474" t="s">
        <v>6974</v>
      </c>
      <c r="J3474" t="s">
        <v>603</v>
      </c>
      <c r="L3474">
        <v>4</v>
      </c>
      <c r="M3474" s="134">
        <v>2655000</v>
      </c>
      <c r="N3474" s="134">
        <v>3686000</v>
      </c>
      <c r="O3474" t="s">
        <v>10762</v>
      </c>
      <c r="P3474" t="s">
        <v>10695</v>
      </c>
      <c r="Q3474" t="s">
        <v>592</v>
      </c>
      <c r="R3474" t="s">
        <v>10696</v>
      </c>
      <c r="U3474" t="s">
        <v>1327</v>
      </c>
      <c r="X3474">
        <v>0</v>
      </c>
    </row>
    <row r="3475" spans="1:24" x14ac:dyDescent="0.25">
      <c r="A3475" s="234">
        <v>42943</v>
      </c>
      <c r="B3475" t="s">
        <v>328</v>
      </c>
      <c r="C3475" t="s">
        <v>603</v>
      </c>
      <c r="D3475" t="s">
        <v>1401</v>
      </c>
      <c r="E3475" t="s">
        <v>588</v>
      </c>
      <c r="F3475" t="s">
        <v>7831</v>
      </c>
      <c r="G3475" t="s">
        <v>7830</v>
      </c>
      <c r="H3475" t="s">
        <v>1391</v>
      </c>
      <c r="J3475" t="s">
        <v>644</v>
      </c>
      <c r="L3475">
        <v>4</v>
      </c>
      <c r="M3475" s="134">
        <v>2658000</v>
      </c>
      <c r="N3475" s="134">
        <v>3971000</v>
      </c>
      <c r="O3475" t="s">
        <v>560</v>
      </c>
      <c r="P3475" t="s">
        <v>7838</v>
      </c>
      <c r="Q3475" t="s">
        <v>592</v>
      </c>
      <c r="R3475" t="s">
        <v>7829</v>
      </c>
      <c r="U3475" t="s">
        <v>2227</v>
      </c>
      <c r="X3475">
        <v>0</v>
      </c>
    </row>
    <row r="3476" spans="1:24" x14ac:dyDescent="0.25">
      <c r="A3476" s="234">
        <v>42501</v>
      </c>
      <c r="B3476" t="s">
        <v>378</v>
      </c>
      <c r="C3476" t="s">
        <v>623</v>
      </c>
      <c r="D3476" t="s">
        <v>625</v>
      </c>
      <c r="E3476" t="s">
        <v>588</v>
      </c>
      <c r="F3476" t="s">
        <v>2017</v>
      </c>
      <c r="H3476" t="s">
        <v>905</v>
      </c>
      <c r="I3476" t="s">
        <v>2018</v>
      </c>
      <c r="M3476" s="134">
        <v>2661999</v>
      </c>
      <c r="N3476" s="134">
        <v>32932000</v>
      </c>
      <c r="O3476" t="s">
        <v>1474</v>
      </c>
      <c r="P3476" t="s">
        <v>2019</v>
      </c>
      <c r="Q3476" t="s">
        <v>592</v>
      </c>
      <c r="U3476" t="s">
        <v>491</v>
      </c>
      <c r="X3476">
        <v>0</v>
      </c>
    </row>
    <row r="3477" spans="1:24" x14ac:dyDescent="0.25">
      <c r="A3477" s="234">
        <v>42801</v>
      </c>
      <c r="B3477" t="s">
        <v>328</v>
      </c>
      <c r="C3477" t="s">
        <v>603</v>
      </c>
      <c r="D3477" t="s">
        <v>672</v>
      </c>
      <c r="E3477" t="s">
        <v>588</v>
      </c>
      <c r="F3477" t="s">
        <v>5879</v>
      </c>
      <c r="H3477" t="s">
        <v>722</v>
      </c>
      <c r="I3477" t="s">
        <v>5880</v>
      </c>
      <c r="J3477" t="s">
        <v>5610</v>
      </c>
      <c r="M3477" s="134">
        <v>2664600</v>
      </c>
      <c r="N3477" s="134">
        <v>3830440</v>
      </c>
      <c r="O3477" t="s">
        <v>560</v>
      </c>
      <c r="P3477" t="s">
        <v>5881</v>
      </c>
      <c r="Q3477" t="s">
        <v>1612</v>
      </c>
      <c r="R3477" t="s">
        <v>5884</v>
      </c>
      <c r="U3477" t="s">
        <v>491</v>
      </c>
      <c r="X3477">
        <v>0</v>
      </c>
    </row>
    <row r="3478" spans="1:24" x14ac:dyDescent="0.25">
      <c r="A3478" s="234">
        <v>43096</v>
      </c>
      <c r="B3478" t="s">
        <v>328</v>
      </c>
      <c r="C3478" t="s">
        <v>603</v>
      </c>
      <c r="D3478" t="s">
        <v>649</v>
      </c>
      <c r="E3478" t="s">
        <v>588</v>
      </c>
      <c r="F3478" t="s">
        <v>9846</v>
      </c>
      <c r="G3478" t="s">
        <v>7714</v>
      </c>
      <c r="H3478" t="s">
        <v>607</v>
      </c>
      <c r="I3478" t="s">
        <v>9847</v>
      </c>
      <c r="J3478" t="s">
        <v>899</v>
      </c>
      <c r="L3478">
        <v>2</v>
      </c>
      <c r="M3478" s="134">
        <v>2682000</v>
      </c>
      <c r="N3478" s="134">
        <v>4559400</v>
      </c>
      <c r="O3478" t="s">
        <v>3866</v>
      </c>
      <c r="P3478" t="s">
        <v>9848</v>
      </c>
      <c r="Q3478" t="s">
        <v>1612</v>
      </c>
      <c r="R3478" t="s">
        <v>9902</v>
      </c>
      <c r="U3478" t="s">
        <v>491</v>
      </c>
      <c r="X3478">
        <v>0</v>
      </c>
    </row>
    <row r="3479" spans="1:24" x14ac:dyDescent="0.25">
      <c r="A3479" s="234">
        <v>43579</v>
      </c>
      <c r="B3479" t="s">
        <v>328</v>
      </c>
      <c r="C3479" t="s">
        <v>603</v>
      </c>
      <c r="D3479" t="s">
        <v>7595</v>
      </c>
      <c r="F3479" t="s">
        <v>15209</v>
      </c>
      <c r="G3479" t="s">
        <v>9849</v>
      </c>
      <c r="H3479" t="s">
        <v>10832</v>
      </c>
      <c r="I3479" t="s">
        <v>12116</v>
      </c>
      <c r="J3479" t="s">
        <v>603</v>
      </c>
      <c r="K3479" t="s">
        <v>15210</v>
      </c>
      <c r="L3479">
        <v>10</v>
      </c>
      <c r="M3479" s="134">
        <v>2690000</v>
      </c>
      <c r="N3479" s="134">
        <v>3253000</v>
      </c>
      <c r="O3479" t="s">
        <v>560</v>
      </c>
      <c r="P3479" t="s">
        <v>15211</v>
      </c>
      <c r="Q3479" t="s">
        <v>1939</v>
      </c>
      <c r="R3479" t="s">
        <v>15343</v>
      </c>
      <c r="S3479" t="s">
        <v>15212</v>
      </c>
      <c r="U3479" t="s">
        <v>491</v>
      </c>
      <c r="X3479">
        <v>0</v>
      </c>
    </row>
    <row r="3480" spans="1:24" x14ac:dyDescent="0.25">
      <c r="A3480" s="234">
        <v>42517</v>
      </c>
      <c r="B3480" t="s">
        <v>328</v>
      </c>
      <c r="D3480" t="s">
        <v>1401</v>
      </c>
      <c r="E3480" t="s">
        <v>588</v>
      </c>
      <c r="F3480" t="s">
        <v>2267</v>
      </c>
      <c r="I3480" t="s">
        <v>2268</v>
      </c>
      <c r="M3480" s="134">
        <v>2700000</v>
      </c>
      <c r="N3480" s="134">
        <v>0</v>
      </c>
      <c r="O3480" t="s">
        <v>2269</v>
      </c>
      <c r="P3480" t="s">
        <v>2270</v>
      </c>
      <c r="Q3480" t="s">
        <v>592</v>
      </c>
      <c r="U3480" t="s">
        <v>633</v>
      </c>
      <c r="X3480">
        <v>0</v>
      </c>
    </row>
    <row r="3481" spans="1:24" x14ac:dyDescent="0.25">
      <c r="A3481" s="234">
        <v>43397</v>
      </c>
      <c r="B3481" t="s">
        <v>569</v>
      </c>
      <c r="C3481" t="s">
        <v>899</v>
      </c>
      <c r="D3481" t="s">
        <v>11286</v>
      </c>
      <c r="F3481" t="s">
        <v>13015</v>
      </c>
      <c r="G3481" t="s">
        <v>13016</v>
      </c>
      <c r="H3481" t="s">
        <v>1050</v>
      </c>
      <c r="I3481" t="s">
        <v>6894</v>
      </c>
      <c r="J3481" t="s">
        <v>899</v>
      </c>
      <c r="K3481">
        <v>92024</v>
      </c>
      <c r="L3481">
        <v>5</v>
      </c>
      <c r="M3481" s="134">
        <v>2700000</v>
      </c>
      <c r="N3481" s="134">
        <v>2700000</v>
      </c>
      <c r="O3481" t="s">
        <v>2295</v>
      </c>
      <c r="P3481" t="s">
        <v>13419</v>
      </c>
      <c r="Q3481" t="s">
        <v>1939</v>
      </c>
      <c r="R3481" t="s">
        <v>13019</v>
      </c>
      <c r="U3481" t="s">
        <v>12344</v>
      </c>
      <c r="X3481">
        <v>0</v>
      </c>
    </row>
    <row r="3482" spans="1:24" x14ac:dyDescent="0.25">
      <c r="A3482" s="234">
        <v>42765</v>
      </c>
      <c r="B3482" t="s">
        <v>569</v>
      </c>
      <c r="D3482" t="s">
        <v>625</v>
      </c>
      <c r="E3482" t="s">
        <v>588</v>
      </c>
      <c r="F3482" t="s">
        <v>4188</v>
      </c>
      <c r="H3482" t="s">
        <v>809</v>
      </c>
      <c r="I3482" t="s">
        <v>3388</v>
      </c>
      <c r="J3482" t="s">
        <v>899</v>
      </c>
      <c r="L3482">
        <v>1</v>
      </c>
      <c r="M3482" s="134">
        <v>2700000</v>
      </c>
      <c r="N3482" s="134">
        <v>2730000</v>
      </c>
      <c r="O3482" t="s">
        <v>695</v>
      </c>
      <c r="P3482" t="s">
        <v>5539</v>
      </c>
      <c r="Q3482" t="s">
        <v>592</v>
      </c>
      <c r="U3482" t="s">
        <v>491</v>
      </c>
      <c r="X3482">
        <v>0</v>
      </c>
    </row>
    <row r="3483" spans="1:24" x14ac:dyDescent="0.25">
      <c r="A3483" s="234">
        <v>43538</v>
      </c>
      <c r="B3483" t="s">
        <v>328</v>
      </c>
      <c r="C3483" t="s">
        <v>603</v>
      </c>
      <c r="D3483" t="s">
        <v>10705</v>
      </c>
      <c r="F3483" t="s">
        <v>14706</v>
      </c>
      <c r="G3483" t="s">
        <v>13089</v>
      </c>
      <c r="H3483" t="s">
        <v>809</v>
      </c>
      <c r="I3483" t="s">
        <v>8789</v>
      </c>
      <c r="J3483" t="s">
        <v>4785</v>
      </c>
      <c r="K3483" t="s">
        <v>14707</v>
      </c>
      <c r="L3483">
        <v>5</v>
      </c>
      <c r="M3483" s="134">
        <v>2700000</v>
      </c>
      <c r="N3483" s="134">
        <v>2970000</v>
      </c>
      <c r="O3483" t="s">
        <v>10763</v>
      </c>
      <c r="P3483" t="s">
        <v>14830</v>
      </c>
      <c r="Q3483" t="s">
        <v>29</v>
      </c>
      <c r="R3483" t="s">
        <v>14831</v>
      </c>
      <c r="U3483" t="s">
        <v>12797</v>
      </c>
      <c r="X3483">
        <v>1</v>
      </c>
    </row>
    <row r="3484" spans="1:24" x14ac:dyDescent="0.25">
      <c r="A3484" s="234">
        <v>43020</v>
      </c>
      <c r="B3484" t="s">
        <v>328</v>
      </c>
      <c r="C3484" t="s">
        <v>603</v>
      </c>
      <c r="D3484" t="s">
        <v>2397</v>
      </c>
      <c r="E3484" t="s">
        <v>588</v>
      </c>
      <c r="F3484" t="s">
        <v>9001</v>
      </c>
      <c r="G3484" t="s">
        <v>9000</v>
      </c>
      <c r="H3484" t="s">
        <v>809</v>
      </c>
      <c r="I3484" t="s">
        <v>6360</v>
      </c>
      <c r="J3484" t="s">
        <v>3733</v>
      </c>
      <c r="L3484">
        <v>2</v>
      </c>
      <c r="M3484" s="134">
        <v>2700000</v>
      </c>
      <c r="N3484" s="134">
        <v>3020000</v>
      </c>
      <c r="O3484" t="s">
        <v>560</v>
      </c>
      <c r="P3484" t="s">
        <v>8998</v>
      </c>
      <c r="Q3484" t="s">
        <v>592</v>
      </c>
      <c r="R3484" t="s">
        <v>8999</v>
      </c>
      <c r="U3484" t="s">
        <v>1327</v>
      </c>
      <c r="X3484">
        <v>0</v>
      </c>
    </row>
    <row r="3485" spans="1:24" x14ac:dyDescent="0.25">
      <c r="A3485" s="234">
        <v>42765</v>
      </c>
      <c r="B3485" t="s">
        <v>569</v>
      </c>
      <c r="D3485" t="s">
        <v>930</v>
      </c>
      <c r="E3485" t="s">
        <v>692</v>
      </c>
      <c r="F3485" t="s">
        <v>5500</v>
      </c>
      <c r="H3485" t="s">
        <v>809</v>
      </c>
      <c r="I3485" t="s">
        <v>5501</v>
      </c>
      <c r="J3485" t="s">
        <v>899</v>
      </c>
      <c r="M3485" s="134">
        <v>2700000</v>
      </c>
      <c r="N3485" s="134">
        <v>3080000</v>
      </c>
      <c r="O3485" t="s">
        <v>5502</v>
      </c>
      <c r="P3485" t="s">
        <v>5503</v>
      </c>
      <c r="Q3485" t="s">
        <v>1939</v>
      </c>
      <c r="R3485" t="s">
        <v>5538</v>
      </c>
      <c r="U3485" t="s">
        <v>491</v>
      </c>
      <c r="X3485">
        <v>0</v>
      </c>
    </row>
    <row r="3486" spans="1:24" x14ac:dyDescent="0.25">
      <c r="A3486" s="234">
        <v>42886</v>
      </c>
      <c r="B3486" t="s">
        <v>569</v>
      </c>
      <c r="D3486" t="s">
        <v>625</v>
      </c>
      <c r="E3486" t="s">
        <v>588</v>
      </c>
      <c r="F3486" t="s">
        <v>6970</v>
      </c>
      <c r="H3486" t="s">
        <v>905</v>
      </c>
      <c r="I3486" t="s">
        <v>3721</v>
      </c>
      <c r="J3486" t="s">
        <v>899</v>
      </c>
      <c r="L3486">
        <v>5</v>
      </c>
      <c r="M3486" s="134">
        <v>2700000</v>
      </c>
      <c r="N3486" s="134">
        <v>3560000</v>
      </c>
      <c r="O3486" t="s">
        <v>560</v>
      </c>
      <c r="P3486" t="s">
        <v>6971</v>
      </c>
      <c r="Q3486" t="s">
        <v>1939</v>
      </c>
      <c r="R3486" t="s">
        <v>6972</v>
      </c>
      <c r="U3486" t="s">
        <v>491</v>
      </c>
      <c r="X3486">
        <v>0</v>
      </c>
    </row>
    <row r="3487" spans="1:24" x14ac:dyDescent="0.25">
      <c r="A3487" s="234">
        <v>43396</v>
      </c>
      <c r="B3487" t="s">
        <v>5360</v>
      </c>
      <c r="C3487" t="s">
        <v>899</v>
      </c>
      <c r="D3487" t="s">
        <v>732</v>
      </c>
      <c r="F3487" t="s">
        <v>12989</v>
      </c>
      <c r="G3487" t="s">
        <v>12990</v>
      </c>
      <c r="H3487" t="s">
        <v>607</v>
      </c>
      <c r="I3487" t="s">
        <v>6654</v>
      </c>
      <c r="J3487" t="s">
        <v>899</v>
      </c>
      <c r="K3487">
        <v>94028</v>
      </c>
      <c r="L3487">
        <v>2</v>
      </c>
      <c r="M3487" s="134">
        <v>2700000</v>
      </c>
      <c r="N3487" s="134">
        <v>4320000</v>
      </c>
      <c r="O3487" t="s">
        <v>560</v>
      </c>
      <c r="P3487" t="s">
        <v>12991</v>
      </c>
      <c r="Q3487" t="s">
        <v>1939</v>
      </c>
      <c r="R3487" t="s">
        <v>12992</v>
      </c>
      <c r="U3487" t="s">
        <v>12344</v>
      </c>
      <c r="X3487">
        <v>0</v>
      </c>
    </row>
    <row r="3488" spans="1:24" x14ac:dyDescent="0.25">
      <c r="A3488" s="234">
        <v>42877</v>
      </c>
      <c r="B3488" t="s">
        <v>328</v>
      </c>
      <c r="C3488" t="s">
        <v>603</v>
      </c>
      <c r="D3488" t="s">
        <v>2397</v>
      </c>
      <c r="E3488" t="s">
        <v>588</v>
      </c>
      <c r="F3488" t="s">
        <v>6859</v>
      </c>
      <c r="H3488" t="s">
        <v>1391</v>
      </c>
      <c r="I3488" t="s">
        <v>3620</v>
      </c>
      <c r="J3488" t="s">
        <v>899</v>
      </c>
      <c r="L3488">
        <v>10</v>
      </c>
      <c r="M3488" s="134">
        <v>2700000</v>
      </c>
      <c r="N3488" s="134">
        <v>4320000</v>
      </c>
      <c r="O3488" t="s">
        <v>6860</v>
      </c>
      <c r="P3488" t="s">
        <v>7052</v>
      </c>
      <c r="Q3488" t="s">
        <v>592</v>
      </c>
      <c r="R3488" t="s">
        <v>6861</v>
      </c>
      <c r="U3488" t="s">
        <v>1327</v>
      </c>
      <c r="X3488">
        <v>0</v>
      </c>
    </row>
    <row r="3489" spans="1:24" x14ac:dyDescent="0.25">
      <c r="A3489" s="234">
        <v>43210</v>
      </c>
      <c r="B3489" t="s">
        <v>328</v>
      </c>
      <c r="C3489" t="s">
        <v>603</v>
      </c>
      <c r="D3489" t="s">
        <v>757</v>
      </c>
      <c r="E3489" t="s">
        <v>588</v>
      </c>
      <c r="F3489" t="s">
        <v>11019</v>
      </c>
      <c r="G3489" t="s">
        <v>11020</v>
      </c>
      <c r="H3489" t="s">
        <v>607</v>
      </c>
      <c r="I3489" t="s">
        <v>4563</v>
      </c>
      <c r="J3489" t="s">
        <v>899</v>
      </c>
      <c r="L3489">
        <v>3</v>
      </c>
      <c r="M3489" s="134">
        <v>2700000</v>
      </c>
      <c r="N3489" s="134">
        <v>4860000</v>
      </c>
      <c r="O3489" t="s">
        <v>560</v>
      </c>
      <c r="P3489" t="s">
        <v>11021</v>
      </c>
      <c r="Q3489" t="s">
        <v>29</v>
      </c>
      <c r="R3489" t="s">
        <v>11022</v>
      </c>
      <c r="U3489" t="s">
        <v>1327</v>
      </c>
      <c r="X3489">
        <v>1</v>
      </c>
    </row>
    <row r="3490" spans="1:24" x14ac:dyDescent="0.25">
      <c r="A3490" s="234">
        <v>42937</v>
      </c>
      <c r="B3490" t="s">
        <v>328</v>
      </c>
      <c r="C3490" t="s">
        <v>603</v>
      </c>
      <c r="D3490" t="s">
        <v>5701</v>
      </c>
      <c r="E3490" t="s">
        <v>588</v>
      </c>
      <c r="F3490" t="s">
        <v>7711</v>
      </c>
      <c r="H3490" t="s">
        <v>607</v>
      </c>
      <c r="I3490" t="s">
        <v>2054</v>
      </c>
      <c r="J3490" t="s">
        <v>899</v>
      </c>
      <c r="L3490">
        <v>1</v>
      </c>
      <c r="M3490" s="134">
        <v>2700000</v>
      </c>
      <c r="N3490" s="134">
        <v>4860000</v>
      </c>
      <c r="O3490" t="s">
        <v>560</v>
      </c>
      <c r="P3490" t="s">
        <v>7712</v>
      </c>
      <c r="Q3490" t="s">
        <v>1939</v>
      </c>
      <c r="R3490" t="s">
        <v>7935</v>
      </c>
      <c r="U3490" t="s">
        <v>2227</v>
      </c>
      <c r="X3490">
        <v>0</v>
      </c>
    </row>
    <row r="3491" spans="1:24" x14ac:dyDescent="0.25">
      <c r="A3491" s="234">
        <v>43475</v>
      </c>
      <c r="B3491" t="s">
        <v>643</v>
      </c>
      <c r="C3491" t="s">
        <v>644</v>
      </c>
      <c r="D3491" t="s">
        <v>3132</v>
      </c>
      <c r="F3491" t="s">
        <v>13908</v>
      </c>
      <c r="G3491" t="s">
        <v>13909</v>
      </c>
      <c r="H3491" t="s">
        <v>886</v>
      </c>
      <c r="I3491" t="s">
        <v>4390</v>
      </c>
      <c r="J3491" t="s">
        <v>990</v>
      </c>
      <c r="K3491" t="s">
        <v>13910</v>
      </c>
      <c r="L3491">
        <v>9</v>
      </c>
      <c r="M3491" s="134">
        <v>2703585</v>
      </c>
      <c r="N3491" s="134">
        <v>2703585</v>
      </c>
      <c r="O3491" t="s">
        <v>560</v>
      </c>
      <c r="P3491" t="s">
        <v>13911</v>
      </c>
      <c r="Q3491" t="s">
        <v>1939</v>
      </c>
      <c r="R3491" t="s">
        <v>13912</v>
      </c>
      <c r="U3491" t="s">
        <v>491</v>
      </c>
      <c r="X3491">
        <v>0</v>
      </c>
    </row>
    <row r="3492" spans="1:24" x14ac:dyDescent="0.25">
      <c r="A3492" s="234">
        <v>42968</v>
      </c>
      <c r="B3492" t="s">
        <v>569</v>
      </c>
      <c r="D3492" t="s">
        <v>625</v>
      </c>
      <c r="E3492" t="s">
        <v>588</v>
      </c>
      <c r="F3492" t="s">
        <v>8213</v>
      </c>
      <c r="G3492" t="s">
        <v>2204</v>
      </c>
      <c r="H3492" t="s">
        <v>607</v>
      </c>
      <c r="I3492" t="s">
        <v>3536</v>
      </c>
      <c r="J3492" t="s">
        <v>899</v>
      </c>
      <c r="L3492">
        <v>2</v>
      </c>
      <c r="M3492" s="134">
        <v>2706000</v>
      </c>
      <c r="N3492" s="134">
        <v>4517800</v>
      </c>
      <c r="O3492" t="s">
        <v>560</v>
      </c>
      <c r="P3492" t="s">
        <v>8214</v>
      </c>
      <c r="Q3492" t="s">
        <v>1939</v>
      </c>
      <c r="R3492" t="s">
        <v>8215</v>
      </c>
      <c r="T3492">
        <v>16</v>
      </c>
      <c r="U3492" t="s">
        <v>491</v>
      </c>
      <c r="X3492">
        <v>0</v>
      </c>
    </row>
    <row r="3493" spans="1:24" x14ac:dyDescent="0.25">
      <c r="A3493" s="234">
        <v>42580</v>
      </c>
      <c r="B3493" t="s">
        <v>328</v>
      </c>
      <c r="C3493" t="s">
        <v>603</v>
      </c>
      <c r="D3493" t="s">
        <v>1471</v>
      </c>
      <c r="E3493" t="s">
        <v>588</v>
      </c>
      <c r="F3493" t="s">
        <v>3119</v>
      </c>
      <c r="H3493" t="s">
        <v>3120</v>
      </c>
      <c r="I3493" t="s">
        <v>3121</v>
      </c>
      <c r="M3493" s="134">
        <v>2707000</v>
      </c>
      <c r="N3493" s="134">
        <v>4722000</v>
      </c>
      <c r="O3493" t="s">
        <v>891</v>
      </c>
      <c r="P3493" t="s">
        <v>3122</v>
      </c>
      <c r="Q3493" t="s">
        <v>1939</v>
      </c>
      <c r="R3493" t="s">
        <v>3123</v>
      </c>
      <c r="U3493" t="s">
        <v>491</v>
      </c>
      <c r="X3493">
        <v>0</v>
      </c>
    </row>
    <row r="3494" spans="1:24" x14ac:dyDescent="0.25">
      <c r="A3494" s="234">
        <v>43074</v>
      </c>
      <c r="B3494" t="s">
        <v>328</v>
      </c>
      <c r="C3494" t="s">
        <v>603</v>
      </c>
      <c r="D3494" t="s">
        <v>9659</v>
      </c>
      <c r="E3494" t="s">
        <v>588</v>
      </c>
      <c r="F3494" t="s">
        <v>9660</v>
      </c>
      <c r="G3494" t="s">
        <v>9660</v>
      </c>
      <c r="H3494" t="s">
        <v>809</v>
      </c>
      <c r="I3494" t="s">
        <v>4016</v>
      </c>
      <c r="J3494" t="s">
        <v>3370</v>
      </c>
      <c r="L3494">
        <v>2</v>
      </c>
      <c r="M3494" s="134">
        <v>2707800</v>
      </c>
      <c r="N3494" s="134">
        <v>3519800</v>
      </c>
      <c r="O3494" t="s">
        <v>9661</v>
      </c>
      <c r="P3494" t="s">
        <v>9662</v>
      </c>
      <c r="Q3494" t="s">
        <v>1939</v>
      </c>
      <c r="R3494" t="s">
        <v>9695</v>
      </c>
      <c r="U3494" t="s">
        <v>1327</v>
      </c>
      <c r="X3494">
        <v>0</v>
      </c>
    </row>
    <row r="3495" spans="1:24" x14ac:dyDescent="0.25">
      <c r="A3495" s="234">
        <v>42703</v>
      </c>
      <c r="B3495" t="s">
        <v>378</v>
      </c>
      <c r="C3495" t="s">
        <v>623</v>
      </c>
      <c r="D3495" t="s">
        <v>624</v>
      </c>
      <c r="E3495" t="s">
        <v>588</v>
      </c>
      <c r="F3495" t="s">
        <v>4848</v>
      </c>
      <c r="H3495" t="s">
        <v>905</v>
      </c>
      <c r="I3495" t="s">
        <v>3388</v>
      </c>
      <c r="J3495" t="s">
        <v>899</v>
      </c>
      <c r="L3495">
        <v>2</v>
      </c>
      <c r="M3495" s="134">
        <v>2709000</v>
      </c>
      <c r="N3495" s="134">
        <v>3222000</v>
      </c>
      <c r="O3495" t="s">
        <v>560</v>
      </c>
      <c r="P3495" t="s">
        <v>4849</v>
      </c>
      <c r="Q3495" t="s">
        <v>592</v>
      </c>
      <c r="U3495" t="s">
        <v>491</v>
      </c>
      <c r="X3495">
        <v>0</v>
      </c>
    </row>
    <row r="3496" spans="1:24" x14ac:dyDescent="0.25">
      <c r="A3496" s="234">
        <v>43077</v>
      </c>
      <c r="B3496" t="s">
        <v>328</v>
      </c>
      <c r="C3496" t="s">
        <v>603</v>
      </c>
      <c r="D3496" t="s">
        <v>649</v>
      </c>
      <c r="E3496" t="s">
        <v>588</v>
      </c>
      <c r="F3496" t="s">
        <v>9002</v>
      </c>
      <c r="G3496" t="s">
        <v>9703</v>
      </c>
      <c r="H3496" t="s">
        <v>607</v>
      </c>
      <c r="J3496" t="s">
        <v>899</v>
      </c>
      <c r="L3496">
        <v>2</v>
      </c>
      <c r="M3496" s="134">
        <v>2710000</v>
      </c>
      <c r="N3496" s="134">
        <v>4910000</v>
      </c>
      <c r="O3496" t="s">
        <v>560</v>
      </c>
      <c r="P3496" t="s">
        <v>9704</v>
      </c>
      <c r="Q3496" t="s">
        <v>592</v>
      </c>
      <c r="R3496" t="s">
        <v>9705</v>
      </c>
      <c r="U3496" t="s">
        <v>1327</v>
      </c>
      <c r="X3496">
        <v>0</v>
      </c>
    </row>
    <row r="3497" spans="1:24" x14ac:dyDescent="0.25">
      <c r="A3497" s="234">
        <v>42585</v>
      </c>
      <c r="B3497" t="s">
        <v>378</v>
      </c>
      <c r="C3497" t="s">
        <v>610</v>
      </c>
      <c r="D3497" t="s">
        <v>1027</v>
      </c>
      <c r="E3497" t="s">
        <v>588</v>
      </c>
      <c r="F3497" t="s">
        <v>3195</v>
      </c>
      <c r="H3497" t="s">
        <v>722</v>
      </c>
      <c r="I3497" t="s">
        <v>3196</v>
      </c>
      <c r="J3497" t="s">
        <v>899</v>
      </c>
      <c r="L3497">
        <v>10</v>
      </c>
      <c r="M3497" s="134">
        <v>2722000</v>
      </c>
      <c r="N3497" s="134">
        <v>4566707</v>
      </c>
      <c r="O3497" t="s">
        <v>891</v>
      </c>
      <c r="P3497" t="s">
        <v>3206</v>
      </c>
      <c r="Q3497" t="s">
        <v>1612</v>
      </c>
      <c r="R3497" t="s">
        <v>3197</v>
      </c>
      <c r="S3497" t="s">
        <v>3207</v>
      </c>
      <c r="U3497" t="s">
        <v>491</v>
      </c>
      <c r="X3497">
        <v>0</v>
      </c>
    </row>
    <row r="3498" spans="1:24" x14ac:dyDescent="0.25">
      <c r="A3498" s="234">
        <v>43299</v>
      </c>
      <c r="B3498" t="s">
        <v>569</v>
      </c>
      <c r="C3498" t="s">
        <v>625</v>
      </c>
      <c r="D3498" t="s">
        <v>625</v>
      </c>
      <c r="E3498" t="s">
        <v>588</v>
      </c>
      <c r="F3498" t="s">
        <v>11843</v>
      </c>
      <c r="G3498" t="s">
        <v>7978</v>
      </c>
      <c r="H3498" t="s">
        <v>607</v>
      </c>
      <c r="I3498" t="s">
        <v>11734</v>
      </c>
      <c r="J3498" t="s">
        <v>899</v>
      </c>
      <c r="L3498">
        <v>5</v>
      </c>
      <c r="M3498" s="134">
        <v>2750000</v>
      </c>
      <c r="N3498" s="134">
        <v>3475000</v>
      </c>
      <c r="O3498" t="s">
        <v>560</v>
      </c>
      <c r="P3498" t="s">
        <v>11844</v>
      </c>
      <c r="Q3498" t="s">
        <v>1939</v>
      </c>
      <c r="R3498" t="s">
        <v>12006</v>
      </c>
      <c r="U3498" t="s">
        <v>491</v>
      </c>
      <c r="X3498">
        <v>0</v>
      </c>
    </row>
    <row r="3499" spans="1:24" x14ac:dyDescent="0.25">
      <c r="A3499" s="234">
        <v>43223</v>
      </c>
      <c r="B3499" t="s">
        <v>328</v>
      </c>
      <c r="C3499" t="s">
        <v>603</v>
      </c>
      <c r="D3499" t="s">
        <v>757</v>
      </c>
      <c r="E3499" t="s">
        <v>588</v>
      </c>
      <c r="F3499" t="s">
        <v>11121</v>
      </c>
      <c r="G3499" t="s">
        <v>11122</v>
      </c>
      <c r="H3499" t="s">
        <v>905</v>
      </c>
      <c r="I3499" t="s">
        <v>2054</v>
      </c>
      <c r="J3499" t="s">
        <v>899</v>
      </c>
      <c r="L3499">
        <v>1</v>
      </c>
      <c r="M3499" s="134">
        <v>2750000</v>
      </c>
      <c r="N3499" s="134">
        <v>3987500</v>
      </c>
      <c r="O3499" t="s">
        <v>560</v>
      </c>
      <c r="P3499" t="s">
        <v>11123</v>
      </c>
      <c r="Q3499" t="s">
        <v>592</v>
      </c>
      <c r="R3499" t="s">
        <v>11137</v>
      </c>
      <c r="S3499" t="s">
        <v>11140</v>
      </c>
      <c r="U3499" t="s">
        <v>491</v>
      </c>
      <c r="X3499">
        <v>0</v>
      </c>
    </row>
    <row r="3500" spans="1:24" x14ac:dyDescent="0.25">
      <c r="A3500" s="234">
        <v>43131</v>
      </c>
      <c r="B3500" t="s">
        <v>328</v>
      </c>
      <c r="C3500" t="s">
        <v>603</v>
      </c>
      <c r="D3500" t="s">
        <v>8941</v>
      </c>
      <c r="E3500" t="s">
        <v>588</v>
      </c>
      <c r="F3500" t="s">
        <v>10169</v>
      </c>
      <c r="G3500" t="s">
        <v>10169</v>
      </c>
      <c r="H3500" t="s">
        <v>10832</v>
      </c>
      <c r="I3500" t="s">
        <v>10170</v>
      </c>
      <c r="J3500" t="s">
        <v>4557</v>
      </c>
      <c r="L3500">
        <v>5</v>
      </c>
      <c r="M3500" s="134">
        <v>2750000</v>
      </c>
      <c r="N3500" s="134">
        <v>4125000</v>
      </c>
      <c r="O3500" t="s">
        <v>560</v>
      </c>
      <c r="P3500" t="s">
        <v>10171</v>
      </c>
      <c r="Q3500" t="s">
        <v>1939</v>
      </c>
      <c r="R3500" t="s">
        <v>10172</v>
      </c>
      <c r="U3500" t="s">
        <v>1327</v>
      </c>
      <c r="X3500">
        <v>0</v>
      </c>
    </row>
    <row r="3501" spans="1:24" x14ac:dyDescent="0.25">
      <c r="A3501" s="234">
        <v>42661</v>
      </c>
      <c r="B3501" t="s">
        <v>378</v>
      </c>
      <c r="C3501" t="s">
        <v>623</v>
      </c>
      <c r="D3501" t="s">
        <v>930</v>
      </c>
      <c r="E3501" t="s">
        <v>588</v>
      </c>
      <c r="F3501" t="s">
        <v>4372</v>
      </c>
      <c r="H3501" t="s">
        <v>4369</v>
      </c>
      <c r="I3501" t="s">
        <v>4373</v>
      </c>
      <c r="J3501" t="s">
        <v>899</v>
      </c>
      <c r="L3501">
        <v>4</v>
      </c>
      <c r="M3501" s="134">
        <v>2750000</v>
      </c>
      <c r="N3501" s="134">
        <v>4280000</v>
      </c>
      <c r="O3501" t="s">
        <v>560</v>
      </c>
      <c r="P3501" t="s">
        <v>4374</v>
      </c>
      <c r="Q3501" t="s">
        <v>1939</v>
      </c>
      <c r="R3501" t="s">
        <v>4375</v>
      </c>
      <c r="U3501" t="s">
        <v>491</v>
      </c>
      <c r="X3501">
        <v>0</v>
      </c>
    </row>
    <row r="3502" spans="1:24" x14ac:dyDescent="0.25">
      <c r="A3502" s="234">
        <v>43202</v>
      </c>
      <c r="B3502" t="s">
        <v>569</v>
      </c>
      <c r="C3502" t="s">
        <v>899</v>
      </c>
      <c r="D3502" t="s">
        <v>624</v>
      </c>
      <c r="E3502" t="s">
        <v>588</v>
      </c>
      <c r="F3502" t="s">
        <v>10907</v>
      </c>
      <c r="G3502" t="s">
        <v>7714</v>
      </c>
      <c r="H3502" t="s">
        <v>607</v>
      </c>
      <c r="I3502" t="s">
        <v>2054</v>
      </c>
      <c r="J3502" t="s">
        <v>899</v>
      </c>
      <c r="M3502" s="134">
        <v>2750000</v>
      </c>
      <c r="N3502" s="134">
        <v>4650000</v>
      </c>
      <c r="O3502" t="s">
        <v>560</v>
      </c>
      <c r="P3502" t="s">
        <v>10908</v>
      </c>
      <c r="Q3502" t="s">
        <v>29</v>
      </c>
      <c r="R3502" t="s">
        <v>10909</v>
      </c>
      <c r="U3502" t="s">
        <v>491</v>
      </c>
      <c r="X3502">
        <v>1</v>
      </c>
    </row>
    <row r="3503" spans="1:24" x14ac:dyDescent="0.25">
      <c r="A3503" s="234">
        <v>42669</v>
      </c>
      <c r="B3503" t="s">
        <v>328</v>
      </c>
      <c r="C3503" t="s">
        <v>603</v>
      </c>
      <c r="D3503" t="s">
        <v>2397</v>
      </c>
      <c r="E3503" t="s">
        <v>588</v>
      </c>
      <c r="F3503" t="s">
        <v>4477</v>
      </c>
      <c r="H3503" t="s">
        <v>607</v>
      </c>
      <c r="I3503" t="s">
        <v>4478</v>
      </c>
      <c r="J3503" t="s">
        <v>899</v>
      </c>
      <c r="L3503">
        <v>2</v>
      </c>
      <c r="M3503" s="134">
        <v>2750000</v>
      </c>
      <c r="N3503" s="134">
        <v>4675000</v>
      </c>
      <c r="O3503" t="s">
        <v>560</v>
      </c>
      <c r="P3503" t="s">
        <v>4479</v>
      </c>
      <c r="Q3503" t="s">
        <v>592</v>
      </c>
      <c r="R3503" t="s">
        <v>4480</v>
      </c>
      <c r="U3503" t="s">
        <v>491</v>
      </c>
      <c r="X3503">
        <v>0</v>
      </c>
    </row>
    <row r="3504" spans="1:24" x14ac:dyDescent="0.25">
      <c r="A3504" s="234">
        <v>43322</v>
      </c>
      <c r="B3504" t="s">
        <v>569</v>
      </c>
      <c r="C3504" t="s">
        <v>899</v>
      </c>
      <c r="D3504" t="s">
        <v>3505</v>
      </c>
      <c r="E3504" t="s">
        <v>588</v>
      </c>
      <c r="F3504" t="s">
        <v>12157</v>
      </c>
      <c r="G3504" t="s">
        <v>12156</v>
      </c>
      <c r="H3504" t="s">
        <v>607</v>
      </c>
      <c r="I3504" t="s">
        <v>4438</v>
      </c>
      <c r="J3504" t="s">
        <v>899</v>
      </c>
      <c r="M3504" s="134">
        <v>2750000</v>
      </c>
      <c r="N3504" s="134">
        <v>4850000</v>
      </c>
      <c r="O3504" t="s">
        <v>560</v>
      </c>
      <c r="P3504" t="s">
        <v>12155</v>
      </c>
      <c r="Q3504" t="s">
        <v>29</v>
      </c>
      <c r="R3504" t="s">
        <v>12154</v>
      </c>
      <c r="U3504" t="s">
        <v>1327</v>
      </c>
      <c r="X3504">
        <v>1</v>
      </c>
    </row>
    <row r="3505" spans="1:24" x14ac:dyDescent="0.25">
      <c r="A3505" s="234">
        <v>42943</v>
      </c>
      <c r="B3505" t="s">
        <v>5360</v>
      </c>
      <c r="C3505" t="s">
        <v>899</v>
      </c>
      <c r="D3505" t="s">
        <v>1027</v>
      </c>
      <c r="E3505" t="s">
        <v>588</v>
      </c>
      <c r="F3505" t="s">
        <v>7835</v>
      </c>
      <c r="G3505" t="s">
        <v>7836</v>
      </c>
      <c r="H3505" t="s">
        <v>7837</v>
      </c>
      <c r="J3505" t="s">
        <v>899</v>
      </c>
      <c r="M3505" s="134">
        <v>2753700</v>
      </c>
      <c r="N3505" s="134">
        <v>3029070</v>
      </c>
      <c r="O3505" t="s">
        <v>560</v>
      </c>
      <c r="P3505" t="s">
        <v>7839</v>
      </c>
      <c r="Q3505" t="s">
        <v>592</v>
      </c>
      <c r="R3505" t="s">
        <v>7840</v>
      </c>
      <c r="U3505" t="s">
        <v>2227</v>
      </c>
      <c r="X3505">
        <v>0</v>
      </c>
    </row>
    <row r="3506" spans="1:24" x14ac:dyDescent="0.25">
      <c r="A3506" s="234">
        <v>43539</v>
      </c>
      <c r="B3506" t="s">
        <v>569</v>
      </c>
      <c r="C3506" t="s">
        <v>899</v>
      </c>
      <c r="D3506" t="s">
        <v>9981</v>
      </c>
      <c r="F3506" t="s">
        <v>14739</v>
      </c>
      <c r="G3506" t="s">
        <v>14740</v>
      </c>
      <c r="H3506" t="s">
        <v>607</v>
      </c>
      <c r="I3506" t="s">
        <v>14741</v>
      </c>
      <c r="J3506" t="s">
        <v>899</v>
      </c>
      <c r="K3506" t="s">
        <v>14742</v>
      </c>
      <c r="M3506" s="134">
        <v>2754726</v>
      </c>
      <c r="N3506" s="134">
        <v>4958508</v>
      </c>
      <c r="O3506" t="s">
        <v>560</v>
      </c>
      <c r="P3506" t="s">
        <v>14743</v>
      </c>
      <c r="Q3506" t="s">
        <v>29</v>
      </c>
      <c r="R3506" t="s">
        <v>14744</v>
      </c>
      <c r="U3506" t="s">
        <v>12797</v>
      </c>
      <c r="X3506">
        <v>1</v>
      </c>
    </row>
    <row r="3507" spans="1:24" x14ac:dyDescent="0.25">
      <c r="A3507" s="234">
        <v>43454</v>
      </c>
      <c r="B3507" t="s">
        <v>569</v>
      </c>
      <c r="C3507" t="s">
        <v>899</v>
      </c>
      <c r="D3507" t="s">
        <v>1070</v>
      </c>
      <c r="F3507" t="s">
        <v>13689</v>
      </c>
      <c r="G3507" t="s">
        <v>13690</v>
      </c>
      <c r="H3507" t="s">
        <v>607</v>
      </c>
      <c r="I3507" t="s">
        <v>13691</v>
      </c>
      <c r="J3507" t="s">
        <v>899</v>
      </c>
      <c r="K3507" t="s">
        <v>13692</v>
      </c>
      <c r="L3507">
        <v>3</v>
      </c>
      <c r="M3507" s="134">
        <v>2760120</v>
      </c>
      <c r="N3507" s="134">
        <v>4360120</v>
      </c>
      <c r="O3507" t="s">
        <v>560</v>
      </c>
      <c r="P3507" t="s">
        <v>13693</v>
      </c>
      <c r="Q3507" t="s">
        <v>29</v>
      </c>
      <c r="R3507" t="s">
        <v>13694</v>
      </c>
      <c r="U3507" t="s">
        <v>491</v>
      </c>
      <c r="X3507">
        <v>1</v>
      </c>
    </row>
    <row r="3508" spans="1:24" x14ac:dyDescent="0.25">
      <c r="A3508" s="234">
        <v>43250</v>
      </c>
      <c r="B3508" t="s">
        <v>643</v>
      </c>
      <c r="C3508" t="s">
        <v>644</v>
      </c>
      <c r="D3508" t="s">
        <v>645</v>
      </c>
      <c r="E3508" t="s">
        <v>588</v>
      </c>
      <c r="F3508" t="s">
        <v>11386</v>
      </c>
      <c r="G3508" t="s">
        <v>11386</v>
      </c>
      <c r="H3508" t="s">
        <v>905</v>
      </c>
      <c r="J3508" t="s">
        <v>3374</v>
      </c>
      <c r="L3508">
        <v>9</v>
      </c>
      <c r="M3508" s="134">
        <v>2763902</v>
      </c>
      <c r="N3508" s="134">
        <v>3300682</v>
      </c>
      <c r="O3508" t="s">
        <v>560</v>
      </c>
      <c r="P3508" t="s">
        <v>11387</v>
      </c>
      <c r="Q3508" t="s">
        <v>620</v>
      </c>
      <c r="R3508" t="s">
        <v>11388</v>
      </c>
      <c r="U3508" t="s">
        <v>1327</v>
      </c>
      <c r="X3508">
        <v>0</v>
      </c>
    </row>
    <row r="3509" spans="1:24" x14ac:dyDescent="0.25">
      <c r="A3509" s="234">
        <v>42404</v>
      </c>
      <c r="B3509" t="s">
        <v>378</v>
      </c>
      <c r="C3509" t="s">
        <v>623</v>
      </c>
      <c r="D3509" t="s">
        <v>625</v>
      </c>
      <c r="E3509" t="s">
        <v>588</v>
      </c>
      <c r="F3509" t="s">
        <v>926</v>
      </c>
      <c r="H3509" t="s">
        <v>886</v>
      </c>
      <c r="I3509" t="s">
        <v>927</v>
      </c>
      <c r="M3509" s="134">
        <v>2764000</v>
      </c>
      <c r="N3509" s="134">
        <v>3040400</v>
      </c>
      <c r="O3509" t="s">
        <v>560</v>
      </c>
      <c r="P3509" t="s">
        <v>928</v>
      </c>
      <c r="Q3509" t="s">
        <v>592</v>
      </c>
      <c r="R3509" t="s">
        <v>929</v>
      </c>
      <c r="U3509" t="s">
        <v>491</v>
      </c>
      <c r="X3509">
        <v>0</v>
      </c>
    </row>
    <row r="3510" spans="1:24" x14ac:dyDescent="0.25">
      <c r="A3510" s="234">
        <v>42782</v>
      </c>
      <c r="B3510" t="s">
        <v>328</v>
      </c>
      <c r="C3510" t="s">
        <v>603</v>
      </c>
      <c r="D3510" t="s">
        <v>5701</v>
      </c>
      <c r="E3510" t="s">
        <v>588</v>
      </c>
      <c r="F3510" t="s">
        <v>5702</v>
      </c>
      <c r="H3510" t="s">
        <v>905</v>
      </c>
      <c r="I3510" t="s">
        <v>5703</v>
      </c>
      <c r="J3510" t="s">
        <v>5610</v>
      </c>
      <c r="L3510">
        <v>4</v>
      </c>
      <c r="M3510" s="134">
        <v>2784000</v>
      </c>
      <c r="N3510" s="134">
        <v>2789000</v>
      </c>
      <c r="O3510" t="s">
        <v>560</v>
      </c>
      <c r="P3510" t="s">
        <v>5704</v>
      </c>
      <c r="Q3510" t="s">
        <v>1939</v>
      </c>
      <c r="R3510" t="s">
        <v>5705</v>
      </c>
      <c r="U3510" t="s">
        <v>491</v>
      </c>
      <c r="X3510">
        <v>0</v>
      </c>
    </row>
    <row r="3511" spans="1:24" x14ac:dyDescent="0.25">
      <c r="A3511" s="234">
        <v>42653</v>
      </c>
      <c r="B3511" t="s">
        <v>378</v>
      </c>
      <c r="C3511" t="s">
        <v>623</v>
      </c>
      <c r="D3511" t="s">
        <v>930</v>
      </c>
      <c r="E3511" t="s">
        <v>588</v>
      </c>
      <c r="F3511" t="s">
        <v>4221</v>
      </c>
      <c r="H3511" t="s">
        <v>2206</v>
      </c>
      <c r="I3511" t="s">
        <v>4222</v>
      </c>
      <c r="J3511" t="s">
        <v>899</v>
      </c>
      <c r="L3511">
        <v>3</v>
      </c>
      <c r="M3511" s="134">
        <v>2799000</v>
      </c>
      <c r="N3511" s="134">
        <v>3500000</v>
      </c>
      <c r="O3511" t="s">
        <v>560</v>
      </c>
      <c r="P3511" t="s">
        <v>4223</v>
      </c>
      <c r="Q3511" t="s">
        <v>592</v>
      </c>
      <c r="R3511" t="s">
        <v>4224</v>
      </c>
      <c r="U3511" t="s">
        <v>1327</v>
      </c>
      <c r="X3511">
        <v>0</v>
      </c>
    </row>
    <row r="3512" spans="1:24" x14ac:dyDescent="0.25">
      <c r="A3512" s="234">
        <v>43483</v>
      </c>
      <c r="B3512" t="s">
        <v>569</v>
      </c>
      <c r="C3512" t="s">
        <v>899</v>
      </c>
      <c r="D3512" t="s">
        <v>11286</v>
      </c>
      <c r="F3512" t="s">
        <v>7831</v>
      </c>
      <c r="G3512" t="s">
        <v>14049</v>
      </c>
      <c r="H3512" t="s">
        <v>886</v>
      </c>
      <c r="I3512" t="s">
        <v>5230</v>
      </c>
      <c r="J3512" t="s">
        <v>899</v>
      </c>
      <c r="K3512" t="s">
        <v>13704</v>
      </c>
      <c r="L3512">
        <v>4</v>
      </c>
      <c r="M3512" s="134">
        <v>2800000</v>
      </c>
      <c r="N3512" s="134">
        <v>0</v>
      </c>
      <c r="O3512" t="s">
        <v>2295</v>
      </c>
      <c r="P3512" t="s">
        <v>14050</v>
      </c>
      <c r="Q3512" t="s">
        <v>29</v>
      </c>
      <c r="R3512" t="s">
        <v>14051</v>
      </c>
      <c r="U3512" t="s">
        <v>491</v>
      </c>
      <c r="X3512">
        <v>1</v>
      </c>
    </row>
    <row r="3513" spans="1:24" x14ac:dyDescent="0.25">
      <c r="A3513" s="234">
        <v>42636</v>
      </c>
      <c r="B3513" t="s">
        <v>1486</v>
      </c>
      <c r="C3513" t="s">
        <v>899</v>
      </c>
      <c r="D3513" t="s">
        <v>624</v>
      </c>
      <c r="E3513" t="s">
        <v>588</v>
      </c>
      <c r="F3513" t="s">
        <v>4055</v>
      </c>
      <c r="H3513" t="s">
        <v>4056</v>
      </c>
      <c r="I3513" t="s">
        <v>4057</v>
      </c>
      <c r="J3513" t="s">
        <v>899</v>
      </c>
      <c r="L3513">
        <v>2</v>
      </c>
      <c r="M3513" s="134">
        <v>2800000</v>
      </c>
      <c r="N3513" s="134">
        <v>0</v>
      </c>
      <c r="O3513" t="s">
        <v>4058</v>
      </c>
      <c r="P3513" t="s">
        <v>4074</v>
      </c>
      <c r="Q3513" t="s">
        <v>1939</v>
      </c>
      <c r="R3513" t="s">
        <v>4075</v>
      </c>
      <c r="S3513" t="s">
        <v>4076</v>
      </c>
      <c r="U3513" t="s">
        <v>1327</v>
      </c>
      <c r="V3513" t="s">
        <v>3985</v>
      </c>
      <c r="X3513">
        <v>0</v>
      </c>
    </row>
    <row r="3514" spans="1:24" x14ac:dyDescent="0.25">
      <c r="A3514" s="234">
        <v>42542</v>
      </c>
      <c r="B3514" t="s">
        <v>378</v>
      </c>
      <c r="C3514" t="s">
        <v>623</v>
      </c>
      <c r="D3514" t="s">
        <v>625</v>
      </c>
      <c r="E3514" t="s">
        <v>1707</v>
      </c>
      <c r="F3514" t="s">
        <v>264</v>
      </c>
      <c r="H3514" t="s">
        <v>809</v>
      </c>
      <c r="I3514" t="s">
        <v>2623</v>
      </c>
      <c r="M3514" s="134">
        <v>2800000</v>
      </c>
      <c r="N3514" s="134">
        <v>3070320</v>
      </c>
      <c r="O3514" t="s">
        <v>891</v>
      </c>
      <c r="P3514" t="s">
        <v>2624</v>
      </c>
      <c r="Q3514" t="s">
        <v>592</v>
      </c>
      <c r="U3514" t="s">
        <v>491</v>
      </c>
      <c r="X3514">
        <v>0</v>
      </c>
    </row>
    <row r="3515" spans="1:24" x14ac:dyDescent="0.25">
      <c r="A3515" s="234">
        <v>42996</v>
      </c>
      <c r="B3515" t="s">
        <v>569</v>
      </c>
      <c r="C3515" t="s">
        <v>899</v>
      </c>
      <c r="D3515" t="s">
        <v>930</v>
      </c>
      <c r="E3515" t="s">
        <v>1707</v>
      </c>
      <c r="F3515" t="s">
        <v>8600</v>
      </c>
      <c r="G3515" t="s">
        <v>8601</v>
      </c>
      <c r="H3515" t="s">
        <v>607</v>
      </c>
      <c r="I3515" t="s">
        <v>8602</v>
      </c>
      <c r="J3515" t="s">
        <v>899</v>
      </c>
      <c r="L3515">
        <v>4</v>
      </c>
      <c r="M3515" s="134">
        <v>2800000</v>
      </c>
      <c r="N3515" s="134">
        <v>3080000</v>
      </c>
      <c r="O3515" t="s">
        <v>8603</v>
      </c>
      <c r="P3515" t="s">
        <v>8605</v>
      </c>
      <c r="Q3515" t="s">
        <v>1939</v>
      </c>
      <c r="T3515">
        <v>23</v>
      </c>
      <c r="U3515" t="s">
        <v>491</v>
      </c>
      <c r="V3515" t="s">
        <v>833</v>
      </c>
      <c r="W3515" t="s">
        <v>833</v>
      </c>
      <c r="X3515">
        <v>0</v>
      </c>
    </row>
    <row r="3516" spans="1:24" x14ac:dyDescent="0.25">
      <c r="A3516" s="234">
        <v>43014</v>
      </c>
      <c r="B3516" t="s">
        <v>569</v>
      </c>
      <c r="C3516" t="s">
        <v>899</v>
      </c>
      <c r="D3516" t="s">
        <v>625</v>
      </c>
      <c r="E3516" t="s">
        <v>588</v>
      </c>
      <c r="F3516" t="s">
        <v>370</v>
      </c>
      <c r="G3516" t="s">
        <v>8929</v>
      </c>
      <c r="H3516" t="s">
        <v>886</v>
      </c>
      <c r="I3516" t="s">
        <v>3840</v>
      </c>
      <c r="J3516" t="s">
        <v>899</v>
      </c>
      <c r="M3516" s="134">
        <v>2800000</v>
      </c>
      <c r="N3516" s="134">
        <v>3080000</v>
      </c>
      <c r="O3516" t="s">
        <v>560</v>
      </c>
      <c r="P3516" t="s">
        <v>8930</v>
      </c>
      <c r="Q3516" t="s">
        <v>592</v>
      </c>
      <c r="T3516">
        <v>17</v>
      </c>
      <c r="U3516" t="s">
        <v>491</v>
      </c>
      <c r="X3516">
        <v>0</v>
      </c>
    </row>
    <row r="3517" spans="1:24" x14ac:dyDescent="0.25">
      <c r="A3517" s="234">
        <v>43586</v>
      </c>
      <c r="B3517" t="s">
        <v>328</v>
      </c>
      <c r="C3517" t="s">
        <v>603</v>
      </c>
      <c r="D3517" t="s">
        <v>10338</v>
      </c>
      <c r="F3517" t="s">
        <v>10006</v>
      </c>
      <c r="G3517" t="s">
        <v>15309</v>
      </c>
      <c r="H3517" t="s">
        <v>607</v>
      </c>
      <c r="I3517" t="s">
        <v>15310</v>
      </c>
      <c r="J3517" t="s">
        <v>14074</v>
      </c>
      <c r="K3517" t="s">
        <v>15311</v>
      </c>
      <c r="L3517">
        <v>10</v>
      </c>
      <c r="M3517" s="134">
        <v>2800000</v>
      </c>
      <c r="N3517" s="134">
        <v>3120747</v>
      </c>
      <c r="O3517" t="s">
        <v>7124</v>
      </c>
      <c r="P3517" t="s">
        <v>15313</v>
      </c>
      <c r="Q3517" t="s">
        <v>29</v>
      </c>
      <c r="R3517" t="s">
        <v>15307</v>
      </c>
      <c r="S3517" t="s">
        <v>15344</v>
      </c>
      <c r="U3517" t="s">
        <v>491</v>
      </c>
      <c r="X3517">
        <v>1</v>
      </c>
    </row>
    <row r="3518" spans="1:24" x14ac:dyDescent="0.25">
      <c r="A3518" s="234">
        <v>43124</v>
      </c>
      <c r="B3518" t="s">
        <v>328</v>
      </c>
      <c r="C3518" t="s">
        <v>603</v>
      </c>
      <c r="D3518" t="s">
        <v>5701</v>
      </c>
      <c r="E3518" t="s">
        <v>588</v>
      </c>
      <c r="F3518" t="s">
        <v>10095</v>
      </c>
      <c r="G3518" t="s">
        <v>7814</v>
      </c>
      <c r="H3518" t="s">
        <v>10831</v>
      </c>
      <c r="J3518" t="s">
        <v>5509</v>
      </c>
      <c r="L3518">
        <v>2</v>
      </c>
      <c r="M3518" s="134">
        <v>2800000</v>
      </c>
      <c r="N3518" s="134">
        <v>3240000</v>
      </c>
      <c r="O3518" t="s">
        <v>560</v>
      </c>
      <c r="P3518" t="s">
        <v>10096</v>
      </c>
      <c r="Q3518" t="s">
        <v>1939</v>
      </c>
      <c r="R3518" t="s">
        <v>10097</v>
      </c>
      <c r="U3518" t="s">
        <v>1327</v>
      </c>
      <c r="X3518">
        <v>0</v>
      </c>
    </row>
    <row r="3519" spans="1:24" x14ac:dyDescent="0.25">
      <c r="A3519" s="234">
        <v>43199</v>
      </c>
      <c r="B3519" t="s">
        <v>569</v>
      </c>
      <c r="C3519" t="s">
        <v>899</v>
      </c>
      <c r="D3519" t="s">
        <v>625</v>
      </c>
      <c r="E3519" t="s">
        <v>588</v>
      </c>
      <c r="F3519" t="s">
        <v>10850</v>
      </c>
      <c r="G3519" t="s">
        <v>10851</v>
      </c>
      <c r="H3519" t="s">
        <v>905</v>
      </c>
      <c r="I3519" t="s">
        <v>5501</v>
      </c>
      <c r="J3519" t="s">
        <v>899</v>
      </c>
      <c r="M3519" s="134">
        <v>2800000</v>
      </c>
      <c r="N3519" s="134">
        <v>3300000</v>
      </c>
      <c r="O3519" t="s">
        <v>560</v>
      </c>
      <c r="P3519" t="s">
        <v>10852</v>
      </c>
      <c r="Q3519" t="s">
        <v>1939</v>
      </c>
      <c r="R3519" t="s">
        <v>10853</v>
      </c>
      <c r="U3519" t="s">
        <v>1327</v>
      </c>
      <c r="X3519">
        <v>0</v>
      </c>
    </row>
    <row r="3520" spans="1:24" x14ac:dyDescent="0.25">
      <c r="A3520" s="234">
        <v>43157</v>
      </c>
      <c r="B3520" t="s">
        <v>569</v>
      </c>
      <c r="C3520" t="s">
        <v>899</v>
      </c>
      <c r="D3520" t="s">
        <v>625</v>
      </c>
      <c r="E3520" t="s">
        <v>588</v>
      </c>
      <c r="F3520" t="s">
        <v>10413</v>
      </c>
      <c r="G3520" t="s">
        <v>8331</v>
      </c>
      <c r="H3520" t="s">
        <v>905</v>
      </c>
      <c r="I3520" t="s">
        <v>10414</v>
      </c>
      <c r="J3520" t="s">
        <v>899</v>
      </c>
      <c r="M3520" s="134">
        <v>2800000</v>
      </c>
      <c r="N3520" s="134">
        <v>3380000</v>
      </c>
      <c r="O3520" t="s">
        <v>560</v>
      </c>
      <c r="P3520" t="s">
        <v>10415</v>
      </c>
      <c r="Q3520" t="s">
        <v>592</v>
      </c>
      <c r="R3520" t="s">
        <v>10416</v>
      </c>
      <c r="U3520" t="s">
        <v>1327</v>
      </c>
      <c r="X3520">
        <v>0</v>
      </c>
    </row>
    <row r="3521" spans="1:24" x14ac:dyDescent="0.25">
      <c r="A3521" s="234">
        <v>42914</v>
      </c>
      <c r="B3521" t="s">
        <v>5360</v>
      </c>
      <c r="D3521" t="s">
        <v>732</v>
      </c>
      <c r="E3521" t="s">
        <v>588</v>
      </c>
      <c r="F3521" t="s">
        <v>7413</v>
      </c>
      <c r="H3521" t="s">
        <v>1391</v>
      </c>
      <c r="I3521" t="s">
        <v>7414</v>
      </c>
      <c r="J3521" t="s">
        <v>899</v>
      </c>
      <c r="L3521">
        <v>4</v>
      </c>
      <c r="M3521" s="134">
        <v>2800000</v>
      </c>
      <c r="N3521" s="134">
        <v>3410000</v>
      </c>
      <c r="O3521" t="s">
        <v>560</v>
      </c>
      <c r="P3521" t="s">
        <v>7415</v>
      </c>
      <c r="Q3521" t="s">
        <v>592</v>
      </c>
      <c r="U3521" t="s">
        <v>491</v>
      </c>
      <c r="X3521">
        <v>0</v>
      </c>
    </row>
    <row r="3522" spans="1:24" x14ac:dyDescent="0.25">
      <c r="A3522" s="234">
        <v>42592</v>
      </c>
      <c r="B3522" t="s">
        <v>378</v>
      </c>
      <c r="C3522" t="s">
        <v>623</v>
      </c>
      <c r="D3522" t="s">
        <v>625</v>
      </c>
      <c r="E3522" t="s">
        <v>588</v>
      </c>
      <c r="F3522" t="s">
        <v>3330</v>
      </c>
      <c r="H3522" t="s">
        <v>905</v>
      </c>
      <c r="I3522" t="s">
        <v>1891</v>
      </c>
      <c r="J3522" t="s">
        <v>899</v>
      </c>
      <c r="L3522">
        <v>2</v>
      </c>
      <c r="M3522" s="134">
        <v>2800000</v>
      </c>
      <c r="N3522" s="134">
        <v>3420000</v>
      </c>
      <c r="O3522" t="s">
        <v>560</v>
      </c>
      <c r="P3522" t="s">
        <v>3331</v>
      </c>
      <c r="Q3522" t="s">
        <v>592</v>
      </c>
      <c r="U3522" t="s">
        <v>491</v>
      </c>
      <c r="X3522">
        <v>0</v>
      </c>
    </row>
    <row r="3523" spans="1:24" x14ac:dyDescent="0.25">
      <c r="A3523" s="234">
        <v>43369</v>
      </c>
      <c r="B3523" t="s">
        <v>569</v>
      </c>
      <c r="C3523" t="s">
        <v>899</v>
      </c>
      <c r="D3523" t="s">
        <v>3505</v>
      </c>
      <c r="E3523" t="s">
        <v>588</v>
      </c>
      <c r="F3523" t="s">
        <v>10851</v>
      </c>
      <c r="G3523" t="s">
        <v>12725</v>
      </c>
      <c r="H3523" t="s">
        <v>905</v>
      </c>
      <c r="I3523" t="s">
        <v>5505</v>
      </c>
      <c r="J3523" t="s">
        <v>899</v>
      </c>
      <c r="M3523" s="134">
        <v>2810500</v>
      </c>
      <c r="N3523" s="134">
        <v>3472600</v>
      </c>
      <c r="O3523" t="s">
        <v>560</v>
      </c>
      <c r="P3523" t="s">
        <v>12727</v>
      </c>
      <c r="Q3523" t="s">
        <v>1939</v>
      </c>
      <c r="R3523" t="s">
        <v>12728</v>
      </c>
      <c r="U3523" t="s">
        <v>12344</v>
      </c>
      <c r="X3523">
        <v>0</v>
      </c>
    </row>
    <row r="3524" spans="1:24" x14ac:dyDescent="0.25">
      <c r="A3524" s="234">
        <v>42909</v>
      </c>
      <c r="B3524" t="s">
        <v>569</v>
      </c>
      <c r="D3524" t="s">
        <v>625</v>
      </c>
      <c r="E3524" t="s">
        <v>1707</v>
      </c>
      <c r="F3524" t="s">
        <v>7390</v>
      </c>
      <c r="H3524" t="s">
        <v>607</v>
      </c>
      <c r="I3524" t="s">
        <v>3649</v>
      </c>
      <c r="J3524" t="s">
        <v>899</v>
      </c>
      <c r="L3524">
        <v>4</v>
      </c>
      <c r="M3524" s="134">
        <v>2815000</v>
      </c>
      <c r="N3524" s="134">
        <v>3478000</v>
      </c>
      <c r="O3524" t="s">
        <v>639</v>
      </c>
      <c r="P3524" t="s">
        <v>7364</v>
      </c>
      <c r="Q3524" t="s">
        <v>1939</v>
      </c>
      <c r="R3524" t="s">
        <v>7365</v>
      </c>
      <c r="U3524" t="s">
        <v>491</v>
      </c>
      <c r="X3524">
        <v>0</v>
      </c>
    </row>
    <row r="3525" spans="1:24" x14ac:dyDescent="0.25">
      <c r="A3525" s="234">
        <v>43215</v>
      </c>
      <c r="B3525" t="s">
        <v>328</v>
      </c>
      <c r="C3525" t="s">
        <v>603</v>
      </c>
      <c r="D3525" t="s">
        <v>10338</v>
      </c>
      <c r="E3525" t="s">
        <v>588</v>
      </c>
      <c r="F3525" t="s">
        <v>11054</v>
      </c>
      <c r="G3525" t="s">
        <v>11053</v>
      </c>
      <c r="H3525" t="s">
        <v>607</v>
      </c>
      <c r="I3525" t="s">
        <v>3388</v>
      </c>
      <c r="J3525" t="s">
        <v>899</v>
      </c>
      <c r="L3525">
        <v>1</v>
      </c>
      <c r="M3525" s="134">
        <v>2831000</v>
      </c>
      <c r="N3525" s="134">
        <v>4812300</v>
      </c>
      <c r="O3525" t="s">
        <v>560</v>
      </c>
      <c r="P3525" t="s">
        <v>11052</v>
      </c>
      <c r="Q3525" t="s">
        <v>1939</v>
      </c>
      <c r="R3525" t="s">
        <v>11051</v>
      </c>
      <c r="U3525" t="s">
        <v>1327</v>
      </c>
      <c r="X3525">
        <v>0</v>
      </c>
    </row>
    <row r="3526" spans="1:24" x14ac:dyDescent="0.25">
      <c r="A3526" s="234">
        <v>42464</v>
      </c>
      <c r="B3526" t="s">
        <v>378</v>
      </c>
      <c r="C3526" t="s">
        <v>623</v>
      </c>
      <c r="D3526" t="s">
        <v>930</v>
      </c>
      <c r="E3526" t="s">
        <v>588</v>
      </c>
      <c r="F3526" t="s">
        <v>1520</v>
      </c>
      <c r="H3526" t="s">
        <v>607</v>
      </c>
      <c r="I3526" t="s">
        <v>1521</v>
      </c>
      <c r="M3526" s="134">
        <v>2890000</v>
      </c>
      <c r="N3526" s="134">
        <v>3705000</v>
      </c>
      <c r="O3526" t="s">
        <v>891</v>
      </c>
      <c r="P3526" t="s">
        <v>1522</v>
      </c>
      <c r="Q3526" t="s">
        <v>592</v>
      </c>
      <c r="R3526" t="s">
        <v>1523</v>
      </c>
      <c r="U3526" t="s">
        <v>491</v>
      </c>
      <c r="X3526">
        <v>0</v>
      </c>
    </row>
    <row r="3527" spans="1:24" x14ac:dyDescent="0.25">
      <c r="A3527" s="234">
        <v>42898</v>
      </c>
      <c r="B3527" t="s">
        <v>5360</v>
      </c>
      <c r="D3527" t="s">
        <v>732</v>
      </c>
      <c r="E3527" t="s">
        <v>1707</v>
      </c>
      <c r="F3527" t="s">
        <v>7163</v>
      </c>
      <c r="H3527" t="s">
        <v>886</v>
      </c>
      <c r="I3527" t="s">
        <v>7164</v>
      </c>
      <c r="J3527" t="s">
        <v>899</v>
      </c>
      <c r="L3527">
        <v>1</v>
      </c>
      <c r="M3527" s="134">
        <v>2900000</v>
      </c>
      <c r="N3527" s="134">
        <v>2900000</v>
      </c>
      <c r="O3527" t="s">
        <v>2121</v>
      </c>
      <c r="P3527" t="s">
        <v>7165</v>
      </c>
      <c r="Q3527" t="s">
        <v>1612</v>
      </c>
      <c r="R3527" t="s">
        <v>7209</v>
      </c>
      <c r="S3527" t="s">
        <v>9560</v>
      </c>
      <c r="U3527" t="s">
        <v>491</v>
      </c>
      <c r="X3527">
        <v>0</v>
      </c>
    </row>
    <row r="3528" spans="1:24" x14ac:dyDescent="0.25">
      <c r="A3528" s="234">
        <v>43012</v>
      </c>
      <c r="B3528" t="s">
        <v>328</v>
      </c>
      <c r="C3528" t="s">
        <v>603</v>
      </c>
      <c r="D3528" t="s">
        <v>2397</v>
      </c>
      <c r="E3528" t="s">
        <v>588</v>
      </c>
      <c r="F3528" t="s">
        <v>8867</v>
      </c>
      <c r="G3528" t="s">
        <v>757</v>
      </c>
      <c r="H3528" t="s">
        <v>1391</v>
      </c>
      <c r="I3528" t="s">
        <v>8868</v>
      </c>
      <c r="J3528" t="s">
        <v>644</v>
      </c>
      <c r="L3528">
        <v>10</v>
      </c>
      <c r="M3528" s="134">
        <v>2900000</v>
      </c>
      <c r="N3528" s="134">
        <v>3130000</v>
      </c>
      <c r="O3528" t="s">
        <v>560</v>
      </c>
      <c r="P3528" t="s">
        <v>8869</v>
      </c>
      <c r="Q3528" t="s">
        <v>1612</v>
      </c>
      <c r="R3528" t="s">
        <v>9271</v>
      </c>
      <c r="S3528" t="s">
        <v>8905</v>
      </c>
      <c r="T3528">
        <v>62</v>
      </c>
      <c r="U3528" t="s">
        <v>491</v>
      </c>
      <c r="X3528">
        <v>0</v>
      </c>
    </row>
    <row r="3529" spans="1:24" x14ac:dyDescent="0.25">
      <c r="A3529" s="234">
        <v>43122</v>
      </c>
      <c r="B3529" t="s">
        <v>328</v>
      </c>
      <c r="C3529" t="s">
        <v>603</v>
      </c>
      <c r="D3529" t="s">
        <v>2204</v>
      </c>
      <c r="E3529" t="s">
        <v>588</v>
      </c>
      <c r="F3529" t="s">
        <v>10115</v>
      </c>
      <c r="G3529" t="s">
        <v>10115</v>
      </c>
      <c r="H3529" t="s">
        <v>905</v>
      </c>
      <c r="J3529" t="s">
        <v>899</v>
      </c>
      <c r="L3529">
        <v>2</v>
      </c>
      <c r="M3529" s="134">
        <v>2900000</v>
      </c>
      <c r="N3529" s="134">
        <v>3320800</v>
      </c>
      <c r="O3529" t="s">
        <v>560</v>
      </c>
      <c r="P3529" t="s">
        <v>10116</v>
      </c>
      <c r="Q3529" t="s">
        <v>592</v>
      </c>
      <c r="R3529" t="s">
        <v>10117</v>
      </c>
      <c r="U3529" t="s">
        <v>1327</v>
      </c>
      <c r="X3529">
        <v>0</v>
      </c>
    </row>
    <row r="3530" spans="1:24" x14ac:dyDescent="0.25">
      <c r="A3530" s="234">
        <v>42657</v>
      </c>
      <c r="B3530" t="s">
        <v>378</v>
      </c>
      <c r="C3530" t="s">
        <v>623</v>
      </c>
      <c r="D3530" t="s">
        <v>930</v>
      </c>
      <c r="E3530" t="s">
        <v>588</v>
      </c>
      <c r="F3530" t="s">
        <v>4320</v>
      </c>
      <c r="H3530" t="s">
        <v>607</v>
      </c>
      <c r="I3530" t="s">
        <v>4321</v>
      </c>
      <c r="J3530" t="s">
        <v>899</v>
      </c>
      <c r="M3530" s="134">
        <v>2900000</v>
      </c>
      <c r="N3530" s="134">
        <v>3450000</v>
      </c>
      <c r="O3530" t="s">
        <v>560</v>
      </c>
      <c r="P3530" t="s">
        <v>4322</v>
      </c>
      <c r="Q3530" t="s">
        <v>29</v>
      </c>
      <c r="R3530" t="s">
        <v>4323</v>
      </c>
      <c r="U3530" t="s">
        <v>491</v>
      </c>
      <c r="X3530">
        <v>1</v>
      </c>
    </row>
    <row r="3531" spans="1:24" x14ac:dyDescent="0.25">
      <c r="A3531" s="234">
        <v>42684</v>
      </c>
      <c r="B3531" t="s">
        <v>378</v>
      </c>
      <c r="C3531" t="s">
        <v>610</v>
      </c>
      <c r="D3531" t="s">
        <v>732</v>
      </c>
      <c r="E3531" t="s">
        <v>588</v>
      </c>
      <c r="F3531" t="s">
        <v>4320</v>
      </c>
      <c r="H3531" t="s">
        <v>607</v>
      </c>
      <c r="I3531" t="s">
        <v>4321</v>
      </c>
      <c r="J3531" t="s">
        <v>899</v>
      </c>
      <c r="M3531" s="134">
        <v>2900000</v>
      </c>
      <c r="N3531" s="134">
        <v>3450000</v>
      </c>
      <c r="O3531" t="s">
        <v>560</v>
      </c>
      <c r="P3531" t="s">
        <v>4322</v>
      </c>
      <c r="Q3531" t="s">
        <v>29</v>
      </c>
      <c r="R3531" t="s">
        <v>4662</v>
      </c>
      <c r="U3531" t="s">
        <v>491</v>
      </c>
      <c r="X3531">
        <v>1</v>
      </c>
    </row>
    <row r="3532" spans="1:24" x14ac:dyDescent="0.25">
      <c r="A3532" s="234">
        <v>42913</v>
      </c>
      <c r="B3532" t="s">
        <v>569</v>
      </c>
      <c r="C3532" t="s">
        <v>833</v>
      </c>
      <c r="D3532" t="s">
        <v>625</v>
      </c>
      <c r="E3532" t="s">
        <v>588</v>
      </c>
      <c r="F3532" t="s">
        <v>7397</v>
      </c>
      <c r="H3532" t="s">
        <v>905</v>
      </c>
      <c r="I3532" t="s">
        <v>3388</v>
      </c>
      <c r="J3532" t="s">
        <v>899</v>
      </c>
      <c r="L3532">
        <v>1</v>
      </c>
      <c r="M3532" s="134">
        <v>2900000</v>
      </c>
      <c r="N3532" s="134">
        <v>3505000</v>
      </c>
      <c r="O3532" t="s">
        <v>560</v>
      </c>
      <c r="P3532" t="s">
        <v>7398</v>
      </c>
      <c r="Q3532" t="s">
        <v>1939</v>
      </c>
      <c r="R3532" t="s">
        <v>7399</v>
      </c>
      <c r="U3532" t="s">
        <v>491</v>
      </c>
      <c r="X3532">
        <v>0</v>
      </c>
    </row>
    <row r="3533" spans="1:24" x14ac:dyDescent="0.25">
      <c r="A3533" s="234">
        <v>42465</v>
      </c>
      <c r="B3533" t="s">
        <v>643</v>
      </c>
      <c r="C3533" t="s">
        <v>644</v>
      </c>
      <c r="D3533" t="s">
        <v>645</v>
      </c>
      <c r="E3533" t="s">
        <v>588</v>
      </c>
      <c r="F3533" t="s">
        <v>1535</v>
      </c>
      <c r="H3533" t="s">
        <v>607</v>
      </c>
      <c r="I3533" t="s">
        <v>1536</v>
      </c>
      <c r="M3533" s="134">
        <v>2900000</v>
      </c>
      <c r="N3533" s="134">
        <v>4448000</v>
      </c>
      <c r="O3533" t="s">
        <v>891</v>
      </c>
      <c r="P3533" t="s">
        <v>15987</v>
      </c>
      <c r="Q3533" t="s">
        <v>592</v>
      </c>
      <c r="R3533" t="s">
        <v>1537</v>
      </c>
      <c r="U3533" t="s">
        <v>491</v>
      </c>
      <c r="X3533">
        <v>0</v>
      </c>
    </row>
    <row r="3534" spans="1:24" x14ac:dyDescent="0.25">
      <c r="A3534" s="234">
        <v>43006</v>
      </c>
      <c r="B3534" t="s">
        <v>569</v>
      </c>
      <c r="C3534" t="s">
        <v>899</v>
      </c>
      <c r="D3534" t="s">
        <v>732</v>
      </c>
      <c r="E3534" t="s">
        <v>588</v>
      </c>
      <c r="F3534" t="s">
        <v>8792</v>
      </c>
      <c r="G3534" t="s">
        <v>2500</v>
      </c>
      <c r="H3534" t="s">
        <v>1391</v>
      </c>
      <c r="I3534" t="s">
        <v>5412</v>
      </c>
      <c r="J3534" t="s">
        <v>899</v>
      </c>
      <c r="L3534">
        <v>3</v>
      </c>
      <c r="M3534" s="134">
        <v>2900000</v>
      </c>
      <c r="N3534" s="134">
        <v>4450000</v>
      </c>
      <c r="O3534" t="s">
        <v>560</v>
      </c>
      <c r="P3534" t="s">
        <v>8793</v>
      </c>
      <c r="Q3534" t="s">
        <v>29</v>
      </c>
      <c r="R3534" t="s">
        <v>8794</v>
      </c>
      <c r="T3534">
        <v>46</v>
      </c>
      <c r="U3534" t="s">
        <v>491</v>
      </c>
      <c r="X3534">
        <v>1</v>
      </c>
    </row>
    <row r="3535" spans="1:24" x14ac:dyDescent="0.25">
      <c r="A3535" s="234">
        <v>43483</v>
      </c>
      <c r="B3535" t="s">
        <v>328</v>
      </c>
      <c r="C3535" t="s">
        <v>603</v>
      </c>
      <c r="D3535" t="s">
        <v>649</v>
      </c>
      <c r="F3535" t="s">
        <v>12895</v>
      </c>
      <c r="G3535" t="s">
        <v>15</v>
      </c>
      <c r="H3535" t="s">
        <v>886</v>
      </c>
      <c r="I3535" t="s">
        <v>7926</v>
      </c>
      <c r="J3535" t="s">
        <v>899</v>
      </c>
      <c r="K3535" t="s">
        <v>14071</v>
      </c>
      <c r="L3535">
        <v>1</v>
      </c>
      <c r="M3535" s="134">
        <v>2900000</v>
      </c>
      <c r="N3535" s="134">
        <v>4780000</v>
      </c>
      <c r="O3535" t="s">
        <v>2295</v>
      </c>
      <c r="P3535" t="s">
        <v>14243</v>
      </c>
      <c r="Q3535" t="s">
        <v>29</v>
      </c>
      <c r="R3535" t="s">
        <v>14244</v>
      </c>
      <c r="U3535" t="s">
        <v>12797</v>
      </c>
      <c r="X3535">
        <v>1</v>
      </c>
    </row>
    <row r="3536" spans="1:24" x14ac:dyDescent="0.25">
      <c r="A3536" s="234">
        <v>42865</v>
      </c>
      <c r="B3536" t="s">
        <v>569</v>
      </c>
      <c r="D3536" t="s">
        <v>930</v>
      </c>
      <c r="E3536" t="s">
        <v>1707</v>
      </c>
      <c r="F3536" t="s">
        <v>6809</v>
      </c>
      <c r="H3536" t="s">
        <v>607</v>
      </c>
      <c r="I3536" t="s">
        <v>3388</v>
      </c>
      <c r="J3536" t="s">
        <v>899</v>
      </c>
      <c r="M3536" s="134">
        <v>2900000</v>
      </c>
      <c r="N3536" s="134">
        <v>5000000</v>
      </c>
      <c r="O3536" t="s">
        <v>6727</v>
      </c>
      <c r="P3536" t="s">
        <v>6728</v>
      </c>
      <c r="Q3536" t="s">
        <v>620</v>
      </c>
      <c r="R3536" t="s">
        <v>7049</v>
      </c>
      <c r="U3536" t="s">
        <v>491</v>
      </c>
      <c r="X3536">
        <v>0</v>
      </c>
    </row>
    <row r="3537" spans="1:24" x14ac:dyDescent="0.25">
      <c r="A3537" s="234">
        <v>43531</v>
      </c>
      <c r="B3537" t="s">
        <v>328</v>
      </c>
      <c r="C3537" t="s">
        <v>603</v>
      </c>
      <c r="D3537" t="s">
        <v>5701</v>
      </c>
      <c r="F3537" t="s">
        <v>14643</v>
      </c>
      <c r="G3537" t="s">
        <v>7814</v>
      </c>
      <c r="H3537" t="s">
        <v>607</v>
      </c>
      <c r="I3537" t="s">
        <v>9550</v>
      </c>
      <c r="J3537" t="s">
        <v>3733</v>
      </c>
      <c r="K3537" t="s">
        <v>14644</v>
      </c>
      <c r="L3537">
        <v>1</v>
      </c>
      <c r="M3537" s="134">
        <v>2924000</v>
      </c>
      <c r="N3537" s="134">
        <v>4769044</v>
      </c>
      <c r="O3537" t="s">
        <v>10763</v>
      </c>
      <c r="P3537" t="s">
        <v>14645</v>
      </c>
      <c r="Q3537" t="s">
        <v>1939</v>
      </c>
      <c r="R3537" t="s">
        <v>14823</v>
      </c>
      <c r="U3537" t="s">
        <v>12797</v>
      </c>
      <c r="X3537">
        <v>0</v>
      </c>
    </row>
    <row r="3538" spans="1:24" x14ac:dyDescent="0.25">
      <c r="A3538" s="234">
        <v>43105</v>
      </c>
      <c r="B3538" t="s">
        <v>1788</v>
      </c>
      <c r="C3538" t="s">
        <v>3369</v>
      </c>
      <c r="D3538" t="s">
        <v>6360</v>
      </c>
      <c r="E3538" t="s">
        <v>588</v>
      </c>
      <c r="F3538" t="s">
        <v>9942</v>
      </c>
      <c r="G3538" t="s">
        <v>9943</v>
      </c>
      <c r="H3538" t="s">
        <v>607</v>
      </c>
      <c r="I3538" t="s">
        <v>9946</v>
      </c>
      <c r="J3538" t="s">
        <v>3369</v>
      </c>
      <c r="M3538" s="134">
        <v>2925000</v>
      </c>
      <c r="N3538" s="134">
        <v>4005000</v>
      </c>
      <c r="O3538" t="s">
        <v>10765</v>
      </c>
      <c r="P3538" t="s">
        <v>9947</v>
      </c>
      <c r="Q3538" t="s">
        <v>1939</v>
      </c>
      <c r="R3538" t="s">
        <v>9949</v>
      </c>
      <c r="S3538" t="s">
        <v>9948</v>
      </c>
      <c r="U3538" t="s">
        <v>491</v>
      </c>
      <c r="X3538">
        <v>0</v>
      </c>
    </row>
    <row r="3539" spans="1:24" x14ac:dyDescent="0.25">
      <c r="A3539" s="234">
        <v>42745</v>
      </c>
      <c r="B3539" t="s">
        <v>328</v>
      </c>
      <c r="C3539" t="s">
        <v>603</v>
      </c>
      <c r="D3539" t="s">
        <v>2397</v>
      </c>
      <c r="E3539" t="s">
        <v>588</v>
      </c>
      <c r="F3539" t="s">
        <v>5258</v>
      </c>
      <c r="H3539" t="s">
        <v>607</v>
      </c>
      <c r="I3539" t="s">
        <v>4845</v>
      </c>
      <c r="J3539" t="s">
        <v>899</v>
      </c>
      <c r="L3539">
        <v>3</v>
      </c>
      <c r="M3539" s="134">
        <v>2940000</v>
      </c>
      <c r="N3539" s="134">
        <v>4410000</v>
      </c>
      <c r="O3539" t="s">
        <v>560</v>
      </c>
      <c r="P3539" t="s">
        <v>5259</v>
      </c>
      <c r="Q3539" t="s">
        <v>29</v>
      </c>
      <c r="R3539" t="s">
        <v>5260</v>
      </c>
      <c r="U3539" t="s">
        <v>491</v>
      </c>
      <c r="X3539">
        <v>1</v>
      </c>
    </row>
    <row r="3540" spans="1:24" x14ac:dyDescent="0.25">
      <c r="A3540" s="234">
        <v>42803</v>
      </c>
      <c r="B3540" t="s">
        <v>328</v>
      </c>
      <c r="C3540" t="s">
        <v>603</v>
      </c>
      <c r="D3540" t="s">
        <v>2397</v>
      </c>
      <c r="E3540" t="s">
        <v>588</v>
      </c>
      <c r="F3540" t="s">
        <v>5928</v>
      </c>
      <c r="H3540" t="s">
        <v>607</v>
      </c>
      <c r="J3540" t="s">
        <v>899</v>
      </c>
      <c r="L3540">
        <v>3</v>
      </c>
      <c r="M3540" s="134">
        <v>2950000</v>
      </c>
      <c r="N3540" s="134">
        <v>4995000</v>
      </c>
      <c r="O3540" t="s">
        <v>560</v>
      </c>
      <c r="P3540" t="s">
        <v>5929</v>
      </c>
      <c r="Q3540" t="s">
        <v>1939</v>
      </c>
      <c r="R3540" t="s">
        <v>5930</v>
      </c>
      <c r="U3540" t="s">
        <v>491</v>
      </c>
      <c r="X3540">
        <v>0</v>
      </c>
    </row>
    <row r="3541" spans="1:24" x14ac:dyDescent="0.25">
      <c r="A3541" s="234">
        <v>43608</v>
      </c>
      <c r="B3541" t="s">
        <v>13559</v>
      </c>
      <c r="C3541" t="s">
        <v>6575</v>
      </c>
      <c r="D3541" t="s">
        <v>9183</v>
      </c>
      <c r="F3541" t="s">
        <v>15716</v>
      </c>
      <c r="G3541" t="s">
        <v>8941</v>
      </c>
      <c r="H3541" t="s">
        <v>607</v>
      </c>
      <c r="I3541" t="s">
        <v>15717</v>
      </c>
      <c r="J3541" t="s">
        <v>6575</v>
      </c>
      <c r="K3541" t="s">
        <v>15718</v>
      </c>
      <c r="L3541">
        <v>9</v>
      </c>
      <c r="M3541" s="134">
        <v>2960000</v>
      </c>
      <c r="N3541" s="134">
        <v>4590000</v>
      </c>
      <c r="O3541" t="s">
        <v>10765</v>
      </c>
      <c r="P3541" t="s">
        <v>15719</v>
      </c>
      <c r="Q3541" t="s">
        <v>620</v>
      </c>
      <c r="R3541" t="s">
        <v>15737</v>
      </c>
      <c r="S3541" t="s">
        <v>15736</v>
      </c>
      <c r="U3541" t="s">
        <v>491</v>
      </c>
      <c r="X3541">
        <v>0</v>
      </c>
    </row>
    <row r="3542" spans="1:24" x14ac:dyDescent="0.25">
      <c r="A3542" s="234">
        <v>42765</v>
      </c>
      <c r="B3542" t="s">
        <v>569</v>
      </c>
      <c r="D3542" t="s">
        <v>625</v>
      </c>
      <c r="E3542" t="s">
        <v>588</v>
      </c>
      <c r="F3542" t="s">
        <v>5526</v>
      </c>
      <c r="H3542" t="s">
        <v>905</v>
      </c>
      <c r="I3542" t="s">
        <v>3388</v>
      </c>
      <c r="J3542" t="s">
        <v>899</v>
      </c>
      <c r="L3542" t="s">
        <v>5341</v>
      </c>
      <c r="M3542" s="134">
        <v>2994000</v>
      </c>
      <c r="N3542" s="134">
        <v>4004000</v>
      </c>
      <c r="O3542" t="s">
        <v>560</v>
      </c>
      <c r="P3542" t="s">
        <v>5527</v>
      </c>
      <c r="Q3542" t="s">
        <v>1939</v>
      </c>
      <c r="R3542" t="s">
        <v>5528</v>
      </c>
      <c r="U3542" t="s">
        <v>491</v>
      </c>
      <c r="X3542">
        <v>0</v>
      </c>
    </row>
    <row r="3543" spans="1:24" x14ac:dyDescent="0.25">
      <c r="A3543" s="234">
        <v>43004</v>
      </c>
      <c r="B3543" t="s">
        <v>328</v>
      </c>
      <c r="C3543" t="s">
        <v>603</v>
      </c>
      <c r="D3543" t="s">
        <v>649</v>
      </c>
      <c r="E3543" t="s">
        <v>588</v>
      </c>
      <c r="F3543" t="s">
        <v>8719</v>
      </c>
      <c r="G3543" t="s">
        <v>8720</v>
      </c>
      <c r="H3543" t="s">
        <v>905</v>
      </c>
      <c r="I3543" t="s">
        <v>8721</v>
      </c>
      <c r="J3543" t="s">
        <v>4031</v>
      </c>
      <c r="L3543">
        <v>3</v>
      </c>
      <c r="M3543" s="134">
        <v>2997000</v>
      </c>
      <c r="N3543" s="134">
        <v>3946250</v>
      </c>
      <c r="O3543" t="s">
        <v>560</v>
      </c>
      <c r="P3543" t="s">
        <v>8722</v>
      </c>
      <c r="Q3543" t="s">
        <v>592</v>
      </c>
      <c r="S3543" t="s">
        <v>833</v>
      </c>
      <c r="T3543">
        <v>18</v>
      </c>
      <c r="U3543" t="s">
        <v>491</v>
      </c>
      <c r="X3543">
        <v>0</v>
      </c>
    </row>
    <row r="3544" spans="1:24" x14ac:dyDescent="0.25">
      <c r="A3544" s="234">
        <v>43600</v>
      </c>
      <c r="B3544" t="s">
        <v>643</v>
      </c>
      <c r="C3544" t="s">
        <v>644</v>
      </c>
      <c r="D3544" t="s">
        <v>645</v>
      </c>
      <c r="F3544" t="s">
        <v>15569</v>
      </c>
      <c r="G3544" t="s">
        <v>7855</v>
      </c>
      <c r="H3544" t="s">
        <v>10832</v>
      </c>
      <c r="I3544" t="s">
        <v>5345</v>
      </c>
      <c r="J3544" t="s">
        <v>644</v>
      </c>
      <c r="L3544">
        <v>9</v>
      </c>
      <c r="M3544" s="134">
        <v>3000000</v>
      </c>
      <c r="N3544" s="134">
        <v>0</v>
      </c>
      <c r="O3544" t="s">
        <v>10762</v>
      </c>
      <c r="P3544" t="s">
        <v>15570</v>
      </c>
      <c r="Q3544" t="s">
        <v>29</v>
      </c>
      <c r="R3544" t="s">
        <v>15571</v>
      </c>
      <c r="U3544" t="s">
        <v>491</v>
      </c>
      <c r="X3544">
        <v>1</v>
      </c>
    </row>
    <row r="3545" spans="1:24" x14ac:dyDescent="0.25">
      <c r="A3545" s="234">
        <v>42898</v>
      </c>
      <c r="B3545" t="s">
        <v>569</v>
      </c>
      <c r="D3545" t="s">
        <v>930</v>
      </c>
      <c r="E3545" t="s">
        <v>821</v>
      </c>
      <c r="F3545" t="s">
        <v>7160</v>
      </c>
      <c r="H3545" t="s">
        <v>886</v>
      </c>
      <c r="M3545" s="134">
        <v>3000000</v>
      </c>
      <c r="N3545" s="134">
        <v>0</v>
      </c>
      <c r="O3545" t="s">
        <v>7161</v>
      </c>
      <c r="P3545" t="s">
        <v>7162</v>
      </c>
      <c r="Q3545" t="s">
        <v>592</v>
      </c>
      <c r="U3545" t="s">
        <v>491</v>
      </c>
      <c r="X3545">
        <v>0</v>
      </c>
    </row>
    <row r="3546" spans="1:24" x14ac:dyDescent="0.25">
      <c r="A3546" s="234">
        <v>42905</v>
      </c>
      <c r="B3546" t="s">
        <v>5176</v>
      </c>
      <c r="D3546" t="s">
        <v>732</v>
      </c>
      <c r="E3546" t="s">
        <v>588</v>
      </c>
      <c r="F3546" t="s">
        <v>7234</v>
      </c>
      <c r="H3546" t="s">
        <v>886</v>
      </c>
      <c r="I3546" t="s">
        <v>7235</v>
      </c>
      <c r="J3546" t="s">
        <v>959</v>
      </c>
      <c r="L3546">
        <v>9</v>
      </c>
      <c r="M3546" s="134">
        <v>3000000</v>
      </c>
      <c r="N3546" s="134">
        <v>0</v>
      </c>
      <c r="O3546" t="s">
        <v>560</v>
      </c>
      <c r="P3546" t="s">
        <v>7236</v>
      </c>
      <c r="Q3546" t="s">
        <v>592</v>
      </c>
      <c r="U3546" t="s">
        <v>491</v>
      </c>
      <c r="X3546">
        <v>0</v>
      </c>
    </row>
    <row r="3547" spans="1:24" x14ac:dyDescent="0.25">
      <c r="A3547" s="234">
        <v>42984</v>
      </c>
      <c r="B3547" t="s">
        <v>1788</v>
      </c>
      <c r="C3547" t="s">
        <v>3369</v>
      </c>
      <c r="D3547" t="s">
        <v>6360</v>
      </c>
      <c r="E3547" t="s">
        <v>588</v>
      </c>
      <c r="F3547" t="s">
        <v>8432</v>
      </c>
      <c r="G3547" t="s">
        <v>8433</v>
      </c>
      <c r="H3547" t="s">
        <v>1391</v>
      </c>
      <c r="I3547" t="s">
        <v>4515</v>
      </c>
      <c r="J3547" t="s">
        <v>3369</v>
      </c>
      <c r="M3547" s="134">
        <v>3000000</v>
      </c>
      <c r="N3547" s="134">
        <v>0</v>
      </c>
      <c r="O3547" t="s">
        <v>8434</v>
      </c>
      <c r="P3547" t="s">
        <v>8435</v>
      </c>
      <c r="Q3547" t="s">
        <v>1939</v>
      </c>
      <c r="R3547" t="s">
        <v>8436</v>
      </c>
      <c r="T3547">
        <v>15</v>
      </c>
      <c r="U3547" t="s">
        <v>491</v>
      </c>
      <c r="X3547">
        <v>0</v>
      </c>
    </row>
    <row r="3548" spans="1:24" x14ac:dyDescent="0.25">
      <c r="A3548" s="234">
        <v>42528</v>
      </c>
      <c r="B3548" t="s">
        <v>378</v>
      </c>
      <c r="C3548" t="s">
        <v>623</v>
      </c>
      <c r="D3548" t="s">
        <v>1783</v>
      </c>
      <c r="E3548" t="s">
        <v>588</v>
      </c>
      <c r="F3548" t="s">
        <v>2375</v>
      </c>
      <c r="M3548" s="134">
        <v>3000000</v>
      </c>
      <c r="N3548" s="134">
        <v>0</v>
      </c>
      <c r="O3548" t="s">
        <v>2376</v>
      </c>
      <c r="P3548" t="s">
        <v>2377</v>
      </c>
      <c r="Q3548" t="s">
        <v>1939</v>
      </c>
      <c r="R3548" t="s">
        <v>2409</v>
      </c>
      <c r="S3548" t="s">
        <v>2414</v>
      </c>
      <c r="U3548" t="s">
        <v>491</v>
      </c>
      <c r="X3548">
        <v>0</v>
      </c>
    </row>
    <row r="3549" spans="1:24" x14ac:dyDescent="0.25">
      <c r="A3549" s="234">
        <v>42726</v>
      </c>
      <c r="B3549" t="s">
        <v>378</v>
      </c>
      <c r="C3549" t="s">
        <v>623</v>
      </c>
      <c r="D3549" t="s">
        <v>625</v>
      </c>
      <c r="E3549" t="s">
        <v>821</v>
      </c>
      <c r="M3549" s="134">
        <v>3000000</v>
      </c>
      <c r="N3549" s="134">
        <v>0</v>
      </c>
      <c r="O3549" t="s">
        <v>5111</v>
      </c>
      <c r="P3549" t="s">
        <v>5112</v>
      </c>
      <c r="Q3549" t="s">
        <v>29</v>
      </c>
      <c r="R3549" t="s">
        <v>5113</v>
      </c>
      <c r="U3549" t="s">
        <v>491</v>
      </c>
      <c r="X3549">
        <v>1</v>
      </c>
    </row>
    <row r="3550" spans="1:24" x14ac:dyDescent="0.25">
      <c r="A3550" s="234">
        <v>42955</v>
      </c>
      <c r="B3550" t="s">
        <v>328</v>
      </c>
      <c r="C3550" t="s">
        <v>603</v>
      </c>
      <c r="D3550" t="s">
        <v>2397</v>
      </c>
      <c r="E3550" t="s">
        <v>588</v>
      </c>
      <c r="F3550" t="s">
        <v>8021</v>
      </c>
      <c r="H3550" t="s">
        <v>809</v>
      </c>
      <c r="I3550" t="s">
        <v>8020</v>
      </c>
      <c r="J3550" t="s">
        <v>644</v>
      </c>
      <c r="L3550">
        <v>5</v>
      </c>
      <c r="M3550" s="134">
        <v>3000000</v>
      </c>
      <c r="N3550" s="134">
        <v>3000000</v>
      </c>
      <c r="O3550" t="s">
        <v>560</v>
      </c>
      <c r="P3550" t="s">
        <v>8022</v>
      </c>
      <c r="Q3550" t="s">
        <v>592</v>
      </c>
      <c r="S3550" t="s">
        <v>8025</v>
      </c>
      <c r="T3550">
        <v>9</v>
      </c>
      <c r="U3550" t="s">
        <v>491</v>
      </c>
      <c r="X3550">
        <v>0</v>
      </c>
    </row>
    <row r="3551" spans="1:24" x14ac:dyDescent="0.25">
      <c r="A3551" s="234">
        <v>42541</v>
      </c>
      <c r="B3551" t="s">
        <v>328</v>
      </c>
      <c r="C3551" t="s">
        <v>603</v>
      </c>
      <c r="D3551" t="s">
        <v>1401</v>
      </c>
      <c r="E3551" t="s">
        <v>588</v>
      </c>
      <c r="F3551" t="s">
        <v>2591</v>
      </c>
      <c r="H3551" t="s">
        <v>2592</v>
      </c>
      <c r="I3551" t="s">
        <v>2593</v>
      </c>
      <c r="M3551" s="134">
        <v>3000000</v>
      </c>
      <c r="N3551" s="134">
        <v>3000000</v>
      </c>
      <c r="O3551" t="s">
        <v>891</v>
      </c>
      <c r="P3551" t="s">
        <v>2654</v>
      </c>
      <c r="Q3551" t="s">
        <v>1612</v>
      </c>
      <c r="R3551" t="s">
        <v>2655</v>
      </c>
      <c r="U3551" t="s">
        <v>491</v>
      </c>
      <c r="X3551">
        <v>0</v>
      </c>
    </row>
    <row r="3552" spans="1:24" x14ac:dyDescent="0.25">
      <c r="A3552" s="234">
        <v>43320</v>
      </c>
      <c r="B3552" t="s">
        <v>569</v>
      </c>
      <c r="C3552" t="s">
        <v>899</v>
      </c>
      <c r="D3552" t="s">
        <v>11286</v>
      </c>
      <c r="E3552" t="s">
        <v>588</v>
      </c>
      <c r="F3552" t="s">
        <v>12056</v>
      </c>
      <c r="G3552" t="s">
        <v>12057</v>
      </c>
      <c r="H3552" t="s">
        <v>809</v>
      </c>
      <c r="I3552" t="s">
        <v>9725</v>
      </c>
      <c r="J3552" t="s">
        <v>899</v>
      </c>
      <c r="M3552" s="134">
        <v>3000000</v>
      </c>
      <c r="N3552" s="134">
        <v>3050000</v>
      </c>
      <c r="O3552" t="s">
        <v>560</v>
      </c>
      <c r="P3552" t="s">
        <v>12058</v>
      </c>
      <c r="Q3552" t="s">
        <v>1939</v>
      </c>
      <c r="R3552" t="s">
        <v>12494</v>
      </c>
      <c r="S3552" t="s">
        <v>12059</v>
      </c>
      <c r="U3552" t="s">
        <v>491</v>
      </c>
      <c r="X3552">
        <v>0</v>
      </c>
    </row>
    <row r="3553" spans="1:24" x14ac:dyDescent="0.25">
      <c r="A3553" s="234">
        <v>42886</v>
      </c>
      <c r="B3553" t="s">
        <v>328</v>
      </c>
      <c r="C3553" t="s">
        <v>603</v>
      </c>
      <c r="D3553" t="s">
        <v>5701</v>
      </c>
      <c r="E3553" t="s">
        <v>588</v>
      </c>
      <c r="F3553" t="s">
        <v>6973</v>
      </c>
      <c r="H3553" t="s">
        <v>809</v>
      </c>
      <c r="I3553" t="s">
        <v>6974</v>
      </c>
      <c r="J3553" t="s">
        <v>603</v>
      </c>
      <c r="L3553">
        <v>6</v>
      </c>
      <c r="M3553" s="134">
        <v>3000000</v>
      </c>
      <c r="N3553" s="134">
        <v>3050000</v>
      </c>
      <c r="O3553" t="s">
        <v>560</v>
      </c>
      <c r="P3553" t="s">
        <v>6975</v>
      </c>
      <c r="Q3553" t="s">
        <v>1939</v>
      </c>
      <c r="R3553" t="s">
        <v>6976</v>
      </c>
      <c r="U3553" t="s">
        <v>491</v>
      </c>
      <c r="X3553">
        <v>0</v>
      </c>
    </row>
    <row r="3554" spans="1:24" x14ac:dyDescent="0.25">
      <c r="A3554" s="234">
        <v>42586</v>
      </c>
      <c r="B3554" t="s">
        <v>1486</v>
      </c>
      <c r="C3554" t="s">
        <v>1883</v>
      </c>
      <c r="D3554" t="s">
        <v>727</v>
      </c>
      <c r="E3554" t="s">
        <v>588</v>
      </c>
      <c r="F3554" t="s">
        <v>3230</v>
      </c>
      <c r="H3554" t="s">
        <v>886</v>
      </c>
      <c r="I3554" t="s">
        <v>3231</v>
      </c>
      <c r="J3554" t="s">
        <v>3369</v>
      </c>
      <c r="L3554">
        <v>5</v>
      </c>
      <c r="M3554" s="134">
        <v>3000000</v>
      </c>
      <c r="N3554" s="134">
        <v>3050000</v>
      </c>
      <c r="O3554" t="s">
        <v>3232</v>
      </c>
      <c r="P3554" t="s">
        <v>3233</v>
      </c>
      <c r="Q3554" t="s">
        <v>1939</v>
      </c>
      <c r="R3554" t="s">
        <v>3234</v>
      </c>
      <c r="U3554" t="s">
        <v>491</v>
      </c>
      <c r="X3554">
        <v>0</v>
      </c>
    </row>
    <row r="3555" spans="1:24" x14ac:dyDescent="0.25">
      <c r="A3555" s="234">
        <v>43097</v>
      </c>
      <c r="B3555" t="s">
        <v>569</v>
      </c>
      <c r="C3555" t="s">
        <v>899</v>
      </c>
      <c r="D3555" t="s">
        <v>625</v>
      </c>
      <c r="E3555" t="s">
        <v>588</v>
      </c>
      <c r="F3555" t="s">
        <v>9885</v>
      </c>
      <c r="G3555" t="s">
        <v>9843</v>
      </c>
      <c r="H3555" t="s">
        <v>2912</v>
      </c>
      <c r="I3555" t="s">
        <v>3388</v>
      </c>
      <c r="J3555" t="s">
        <v>899</v>
      </c>
      <c r="L3555">
        <v>2</v>
      </c>
      <c r="M3555" s="134">
        <v>3000000</v>
      </c>
      <c r="N3555" s="134">
        <v>3100000</v>
      </c>
      <c r="O3555" t="s">
        <v>560</v>
      </c>
      <c r="P3555" t="s">
        <v>9886</v>
      </c>
      <c r="Q3555" t="s">
        <v>29</v>
      </c>
      <c r="R3555" t="s">
        <v>9887</v>
      </c>
      <c r="S3555" t="s">
        <v>9888</v>
      </c>
      <c r="U3555" t="s">
        <v>491</v>
      </c>
      <c r="X3555">
        <v>1</v>
      </c>
    </row>
    <row r="3556" spans="1:24" x14ac:dyDescent="0.25">
      <c r="A3556" s="234">
        <v>42867</v>
      </c>
      <c r="B3556" t="s">
        <v>569</v>
      </c>
      <c r="D3556" t="s">
        <v>611</v>
      </c>
      <c r="E3556" t="s">
        <v>588</v>
      </c>
      <c r="F3556" t="s">
        <v>6760</v>
      </c>
      <c r="H3556" t="s">
        <v>607</v>
      </c>
      <c r="I3556" t="s">
        <v>3536</v>
      </c>
      <c r="J3556" t="s">
        <v>899</v>
      </c>
      <c r="L3556">
        <v>1</v>
      </c>
      <c r="M3556" s="134">
        <v>3000000</v>
      </c>
      <c r="N3556" s="134">
        <v>3150000</v>
      </c>
      <c r="O3556" t="s">
        <v>6761</v>
      </c>
      <c r="P3556" t="s">
        <v>6762</v>
      </c>
      <c r="Q3556" t="s">
        <v>1612</v>
      </c>
      <c r="R3556" t="s">
        <v>6800</v>
      </c>
      <c r="U3556" t="s">
        <v>491</v>
      </c>
      <c r="X3556">
        <v>0</v>
      </c>
    </row>
    <row r="3557" spans="1:24" x14ac:dyDescent="0.25">
      <c r="A3557" s="234">
        <v>43067</v>
      </c>
      <c r="B3557" t="s">
        <v>328</v>
      </c>
      <c r="C3557" t="s">
        <v>603</v>
      </c>
      <c r="D3557" t="s">
        <v>2204</v>
      </c>
      <c r="E3557" t="s">
        <v>588</v>
      </c>
      <c r="F3557" t="s">
        <v>9549</v>
      </c>
      <c r="G3557" t="s">
        <v>9551</v>
      </c>
      <c r="H3557" t="s">
        <v>809</v>
      </c>
      <c r="I3557" t="s">
        <v>9550</v>
      </c>
      <c r="J3557" t="s">
        <v>3733</v>
      </c>
      <c r="L3557">
        <v>1</v>
      </c>
      <c r="M3557" s="134">
        <v>3000000</v>
      </c>
      <c r="N3557" s="134">
        <v>3260000</v>
      </c>
      <c r="O3557" t="s">
        <v>560</v>
      </c>
      <c r="P3557" t="s">
        <v>9552</v>
      </c>
      <c r="Q3557" t="s">
        <v>592</v>
      </c>
      <c r="R3557" t="s">
        <v>9553</v>
      </c>
      <c r="U3557" t="s">
        <v>9554</v>
      </c>
      <c r="X3557">
        <v>0</v>
      </c>
    </row>
    <row r="3558" spans="1:24" x14ac:dyDescent="0.25">
      <c r="A3558" s="234">
        <v>43175</v>
      </c>
      <c r="B3558" t="s">
        <v>569</v>
      </c>
      <c r="C3558" t="s">
        <v>899</v>
      </c>
      <c r="D3558" t="s">
        <v>625</v>
      </c>
      <c r="E3558" t="s">
        <v>1707</v>
      </c>
      <c r="F3558" t="s">
        <v>10631</v>
      </c>
      <c r="H3558" t="s">
        <v>809</v>
      </c>
      <c r="I3558" t="s">
        <v>10632</v>
      </c>
      <c r="J3558" t="s">
        <v>899</v>
      </c>
      <c r="M3558" s="134">
        <v>3000000</v>
      </c>
      <c r="N3558" s="134">
        <v>3300000</v>
      </c>
      <c r="O3558" t="s">
        <v>560</v>
      </c>
      <c r="P3558" t="s">
        <v>10633</v>
      </c>
      <c r="Q3558" t="s">
        <v>592</v>
      </c>
      <c r="R3558" t="s">
        <v>10634</v>
      </c>
      <c r="U3558" t="s">
        <v>491</v>
      </c>
      <c r="X3558">
        <v>0</v>
      </c>
    </row>
    <row r="3559" spans="1:24" x14ac:dyDescent="0.25">
      <c r="A3559" s="234">
        <v>42912</v>
      </c>
      <c r="B3559" t="s">
        <v>569</v>
      </c>
      <c r="D3559" t="s">
        <v>625</v>
      </c>
      <c r="E3559" t="s">
        <v>588</v>
      </c>
      <c r="F3559" t="s">
        <v>4010</v>
      </c>
      <c r="H3559" t="s">
        <v>809</v>
      </c>
      <c r="I3559" t="s">
        <v>3918</v>
      </c>
      <c r="J3559" t="s">
        <v>899</v>
      </c>
      <c r="M3559" s="134">
        <v>3000000</v>
      </c>
      <c r="N3559" s="134">
        <v>3300000</v>
      </c>
      <c r="O3559" t="s">
        <v>7388</v>
      </c>
      <c r="P3559" t="s">
        <v>7389</v>
      </c>
      <c r="Q3559" t="s">
        <v>592</v>
      </c>
      <c r="U3559" t="s">
        <v>491</v>
      </c>
      <c r="X3559">
        <v>0</v>
      </c>
    </row>
    <row r="3560" spans="1:24" x14ac:dyDescent="0.25">
      <c r="A3560" s="234">
        <v>42998</v>
      </c>
      <c r="B3560" t="s">
        <v>569</v>
      </c>
      <c r="C3560" t="s">
        <v>899</v>
      </c>
      <c r="D3560" t="s">
        <v>625</v>
      </c>
      <c r="E3560" t="s">
        <v>588</v>
      </c>
      <c r="F3560" t="s">
        <v>8622</v>
      </c>
      <c r="G3560" t="s">
        <v>8623</v>
      </c>
      <c r="H3560" t="s">
        <v>886</v>
      </c>
      <c r="I3560" t="s">
        <v>3388</v>
      </c>
      <c r="J3560" t="s">
        <v>899</v>
      </c>
      <c r="L3560">
        <v>1</v>
      </c>
      <c r="M3560" s="134">
        <v>3000000</v>
      </c>
      <c r="N3560" s="134">
        <v>3300000</v>
      </c>
      <c r="O3560" t="s">
        <v>560</v>
      </c>
      <c r="P3560" t="s">
        <v>8624</v>
      </c>
      <c r="Q3560" t="s">
        <v>1939</v>
      </c>
      <c r="R3560" t="s">
        <v>8625</v>
      </c>
      <c r="T3560">
        <v>22</v>
      </c>
      <c r="U3560" t="s">
        <v>491</v>
      </c>
      <c r="X3560">
        <v>0</v>
      </c>
    </row>
    <row r="3561" spans="1:24" x14ac:dyDescent="0.25">
      <c r="A3561" s="234">
        <v>42401</v>
      </c>
      <c r="B3561" t="s">
        <v>378</v>
      </c>
      <c r="C3561" t="s">
        <v>610</v>
      </c>
      <c r="D3561" t="s">
        <v>611</v>
      </c>
      <c r="E3561" t="s">
        <v>588</v>
      </c>
      <c r="F3561" t="s">
        <v>885</v>
      </c>
      <c r="H3561" t="s">
        <v>886</v>
      </c>
      <c r="I3561" t="s">
        <v>887</v>
      </c>
      <c r="M3561" s="134">
        <v>3000000</v>
      </c>
      <c r="N3561" s="134">
        <v>3300000</v>
      </c>
      <c r="O3561" t="s">
        <v>831</v>
      </c>
      <c r="P3561" t="s">
        <v>888</v>
      </c>
      <c r="Q3561" t="s">
        <v>620</v>
      </c>
      <c r="R3561" t="s">
        <v>889</v>
      </c>
      <c r="U3561" t="s">
        <v>491</v>
      </c>
      <c r="X3561">
        <v>0</v>
      </c>
    </row>
    <row r="3562" spans="1:24" x14ac:dyDescent="0.25">
      <c r="A3562" s="234">
        <v>42656</v>
      </c>
      <c r="B3562" t="s">
        <v>328</v>
      </c>
      <c r="C3562" t="s">
        <v>603</v>
      </c>
      <c r="D3562" t="s">
        <v>2397</v>
      </c>
      <c r="E3562" t="s">
        <v>588</v>
      </c>
      <c r="F3562" t="s">
        <v>4305</v>
      </c>
      <c r="H3562" t="s">
        <v>809</v>
      </c>
      <c r="I3562" t="s">
        <v>3918</v>
      </c>
      <c r="J3562" t="s">
        <v>899</v>
      </c>
      <c r="L3562">
        <v>2</v>
      </c>
      <c r="M3562" s="134">
        <v>3000000</v>
      </c>
      <c r="N3562" s="134">
        <v>3300000</v>
      </c>
      <c r="O3562" t="s">
        <v>560</v>
      </c>
      <c r="P3562" t="s">
        <v>4306</v>
      </c>
      <c r="Q3562" t="s">
        <v>1939</v>
      </c>
      <c r="R3562" t="s">
        <v>4307</v>
      </c>
      <c r="U3562" t="s">
        <v>491</v>
      </c>
      <c r="X3562">
        <v>0</v>
      </c>
    </row>
    <row r="3563" spans="1:24" x14ac:dyDescent="0.25">
      <c r="A3563" s="234">
        <v>43454</v>
      </c>
      <c r="B3563" t="s">
        <v>328</v>
      </c>
      <c r="C3563" t="s">
        <v>603</v>
      </c>
      <c r="D3563" t="s">
        <v>5701</v>
      </c>
      <c r="F3563" t="s">
        <v>13679</v>
      </c>
      <c r="G3563" t="s">
        <v>7855</v>
      </c>
      <c r="H3563" t="s">
        <v>886</v>
      </c>
      <c r="I3563" t="s">
        <v>13680</v>
      </c>
      <c r="J3563" t="s">
        <v>3373</v>
      </c>
      <c r="K3563" t="s">
        <v>13681</v>
      </c>
      <c r="L3563">
        <v>9</v>
      </c>
      <c r="M3563" s="134">
        <v>3000000</v>
      </c>
      <c r="N3563" s="134">
        <v>3305000</v>
      </c>
      <c r="O3563" t="s">
        <v>2295</v>
      </c>
      <c r="P3563" t="s">
        <v>13682</v>
      </c>
      <c r="Q3563" t="s">
        <v>29</v>
      </c>
      <c r="R3563" t="s">
        <v>13683</v>
      </c>
      <c r="U3563" t="s">
        <v>12797</v>
      </c>
      <c r="X3563">
        <v>1</v>
      </c>
    </row>
    <row r="3564" spans="1:24" x14ac:dyDescent="0.25">
      <c r="A3564" s="234">
        <v>42880</v>
      </c>
      <c r="B3564" t="s">
        <v>328</v>
      </c>
      <c r="C3564" t="s">
        <v>603</v>
      </c>
      <c r="D3564" t="s">
        <v>649</v>
      </c>
      <c r="E3564" t="s">
        <v>588</v>
      </c>
      <c r="F3564" t="s">
        <v>6911</v>
      </c>
      <c r="H3564" t="s">
        <v>905</v>
      </c>
      <c r="I3564" t="s">
        <v>6607</v>
      </c>
      <c r="J3564" t="s">
        <v>899</v>
      </c>
      <c r="L3564">
        <v>1</v>
      </c>
      <c r="M3564" s="134">
        <v>3000000</v>
      </c>
      <c r="N3564" s="134">
        <v>3305000</v>
      </c>
      <c r="O3564" t="s">
        <v>560</v>
      </c>
      <c r="P3564" t="s">
        <v>6912</v>
      </c>
      <c r="Q3564" t="s">
        <v>1939</v>
      </c>
      <c r="R3564" t="s">
        <v>6913</v>
      </c>
      <c r="S3564" t="s">
        <v>7769</v>
      </c>
      <c r="U3564" t="s">
        <v>491</v>
      </c>
      <c r="X3564">
        <v>0</v>
      </c>
    </row>
    <row r="3565" spans="1:24" x14ac:dyDescent="0.25">
      <c r="A3565" s="234">
        <v>42825</v>
      </c>
      <c r="B3565" t="s">
        <v>328</v>
      </c>
      <c r="C3565" t="s">
        <v>603</v>
      </c>
      <c r="D3565" t="s">
        <v>5701</v>
      </c>
      <c r="E3565" t="s">
        <v>588</v>
      </c>
      <c r="F3565" t="s">
        <v>6204</v>
      </c>
      <c r="H3565" t="s">
        <v>1050</v>
      </c>
      <c r="I3565" t="s">
        <v>6205</v>
      </c>
      <c r="J3565" t="s">
        <v>644</v>
      </c>
      <c r="L3565">
        <v>3</v>
      </c>
      <c r="M3565" s="134">
        <v>3000000</v>
      </c>
      <c r="N3565" s="134">
        <v>3310000</v>
      </c>
      <c r="O3565" t="s">
        <v>560</v>
      </c>
      <c r="P3565" t="s">
        <v>6206</v>
      </c>
      <c r="Q3565" t="s">
        <v>1939</v>
      </c>
      <c r="R3565" t="s">
        <v>6207</v>
      </c>
      <c r="U3565" t="s">
        <v>491</v>
      </c>
      <c r="X3565">
        <v>0</v>
      </c>
    </row>
    <row r="3566" spans="1:24" x14ac:dyDescent="0.25">
      <c r="A3566" s="234">
        <v>43348</v>
      </c>
      <c r="B3566" t="s">
        <v>569</v>
      </c>
      <c r="C3566" t="s">
        <v>899</v>
      </c>
      <c r="D3566" t="s">
        <v>624</v>
      </c>
      <c r="E3566" t="s">
        <v>588</v>
      </c>
      <c r="F3566" t="s">
        <v>8354</v>
      </c>
      <c r="G3566" t="s">
        <v>12533</v>
      </c>
      <c r="H3566" t="s">
        <v>607</v>
      </c>
      <c r="I3566" t="s">
        <v>11963</v>
      </c>
      <c r="J3566" t="s">
        <v>899</v>
      </c>
      <c r="L3566">
        <v>2</v>
      </c>
      <c r="M3566" s="134">
        <v>3000000</v>
      </c>
      <c r="N3566" s="134">
        <v>3382200</v>
      </c>
      <c r="O3566" t="s">
        <v>560</v>
      </c>
      <c r="P3566" t="s">
        <v>12534</v>
      </c>
      <c r="Q3566" t="s">
        <v>1939</v>
      </c>
      <c r="R3566" t="s">
        <v>12535</v>
      </c>
      <c r="U3566" t="s">
        <v>491</v>
      </c>
      <c r="X3566">
        <v>0</v>
      </c>
    </row>
    <row r="3567" spans="1:24" x14ac:dyDescent="0.25">
      <c r="A3567" s="234">
        <v>42647</v>
      </c>
      <c r="B3567" t="s">
        <v>378</v>
      </c>
      <c r="C3567" t="s">
        <v>623</v>
      </c>
      <c r="D3567" t="s">
        <v>625</v>
      </c>
      <c r="E3567" t="s">
        <v>588</v>
      </c>
      <c r="F3567" t="s">
        <v>4168</v>
      </c>
      <c r="H3567" t="s">
        <v>905</v>
      </c>
      <c r="I3567" t="s">
        <v>4169</v>
      </c>
      <c r="J3567" t="s">
        <v>899</v>
      </c>
      <c r="L3567">
        <v>4</v>
      </c>
      <c r="M3567" s="134">
        <v>3000000</v>
      </c>
      <c r="N3567" s="134">
        <v>3450000</v>
      </c>
      <c r="O3567" t="s">
        <v>560</v>
      </c>
      <c r="P3567" t="s">
        <v>4170</v>
      </c>
      <c r="Q3567" t="s">
        <v>592</v>
      </c>
      <c r="U3567" t="s">
        <v>491</v>
      </c>
      <c r="X3567">
        <v>0</v>
      </c>
    </row>
    <row r="3568" spans="1:24" x14ac:dyDescent="0.25">
      <c r="A3568" s="234">
        <v>43011</v>
      </c>
      <c r="B3568" t="s">
        <v>328</v>
      </c>
      <c r="C3568" t="s">
        <v>603</v>
      </c>
      <c r="D3568" t="s">
        <v>2397</v>
      </c>
      <c r="E3568" t="s">
        <v>588</v>
      </c>
      <c r="F3568" t="s">
        <v>8824</v>
      </c>
      <c r="G3568" t="s">
        <v>256</v>
      </c>
      <c r="H3568" t="s">
        <v>607</v>
      </c>
      <c r="I3568" t="s">
        <v>8825</v>
      </c>
      <c r="J3568" t="s">
        <v>3398</v>
      </c>
      <c r="M3568" s="134">
        <v>3000000</v>
      </c>
      <c r="N3568" s="134">
        <v>3500000</v>
      </c>
      <c r="O3568" t="s">
        <v>5926</v>
      </c>
      <c r="P3568" t="s">
        <v>8823</v>
      </c>
      <c r="Q3568" t="s">
        <v>1612</v>
      </c>
      <c r="R3568" t="s">
        <v>8906</v>
      </c>
      <c r="S3568" t="s">
        <v>8907</v>
      </c>
      <c r="T3568">
        <v>34</v>
      </c>
      <c r="U3568" t="s">
        <v>491</v>
      </c>
      <c r="X3568">
        <v>0</v>
      </c>
    </row>
    <row r="3569" spans="1:24" x14ac:dyDescent="0.25">
      <c r="A3569" s="234">
        <v>43237</v>
      </c>
      <c r="B3569" t="s">
        <v>569</v>
      </c>
      <c r="C3569" t="s">
        <v>899</v>
      </c>
      <c r="D3569" t="s">
        <v>625</v>
      </c>
      <c r="E3569" t="s">
        <v>588</v>
      </c>
      <c r="F3569" t="s">
        <v>11321</v>
      </c>
      <c r="G3569" t="s">
        <v>9000</v>
      </c>
      <c r="H3569" t="s">
        <v>905</v>
      </c>
      <c r="I3569" t="s">
        <v>3557</v>
      </c>
      <c r="J3569" t="s">
        <v>899</v>
      </c>
      <c r="M3569" s="134">
        <v>3000000</v>
      </c>
      <c r="N3569" s="134">
        <v>3600000</v>
      </c>
      <c r="O3569" t="s">
        <v>560</v>
      </c>
      <c r="P3569" t="s">
        <v>10852</v>
      </c>
      <c r="Q3569" t="s">
        <v>592</v>
      </c>
      <c r="R3569" t="s">
        <v>11407</v>
      </c>
      <c r="U3569" t="s">
        <v>1327</v>
      </c>
      <c r="X3569">
        <v>0</v>
      </c>
    </row>
    <row r="3570" spans="1:24" x14ac:dyDescent="0.25">
      <c r="A3570" s="234">
        <v>42626</v>
      </c>
      <c r="B3570" t="s">
        <v>378</v>
      </c>
      <c r="C3570" t="s">
        <v>623</v>
      </c>
      <c r="D3570" t="s">
        <v>625</v>
      </c>
      <c r="E3570" t="s">
        <v>588</v>
      </c>
      <c r="F3570" t="s">
        <v>3900</v>
      </c>
      <c r="H3570" t="s">
        <v>3901</v>
      </c>
      <c r="I3570" t="s">
        <v>3557</v>
      </c>
      <c r="J3570" t="s">
        <v>899</v>
      </c>
      <c r="L3570">
        <v>1</v>
      </c>
      <c r="M3570" s="134">
        <v>3000000</v>
      </c>
      <c r="N3570" s="134">
        <v>3620000</v>
      </c>
      <c r="O3570" t="s">
        <v>3902</v>
      </c>
      <c r="P3570" t="s">
        <v>3903</v>
      </c>
      <c r="Q3570" t="s">
        <v>1612</v>
      </c>
      <c r="R3570" t="s">
        <v>4009</v>
      </c>
      <c r="U3570" t="s">
        <v>491</v>
      </c>
      <c r="X3570">
        <v>0</v>
      </c>
    </row>
    <row r="3571" spans="1:24" x14ac:dyDescent="0.25">
      <c r="A3571" s="234">
        <v>43005</v>
      </c>
      <c r="B3571" t="s">
        <v>643</v>
      </c>
      <c r="C3571" t="s">
        <v>644</v>
      </c>
      <c r="D3571" t="s">
        <v>645</v>
      </c>
      <c r="E3571" t="s">
        <v>588</v>
      </c>
      <c r="F3571" t="s">
        <v>8765</v>
      </c>
      <c r="G3571" t="s">
        <v>8766</v>
      </c>
      <c r="H3571" t="s">
        <v>5991</v>
      </c>
      <c r="I3571" t="s">
        <v>8767</v>
      </c>
      <c r="J3571" t="s">
        <v>644</v>
      </c>
      <c r="L3571">
        <v>5</v>
      </c>
      <c r="M3571" s="134">
        <v>3000000</v>
      </c>
      <c r="N3571" s="134">
        <v>3625000</v>
      </c>
      <c r="O3571" t="s">
        <v>560</v>
      </c>
      <c r="P3571" t="s">
        <v>8768</v>
      </c>
      <c r="Q3571" t="s">
        <v>592</v>
      </c>
      <c r="T3571">
        <v>24</v>
      </c>
      <c r="U3571" t="s">
        <v>491</v>
      </c>
      <c r="X3571">
        <v>0</v>
      </c>
    </row>
    <row r="3572" spans="1:24" x14ac:dyDescent="0.25">
      <c r="A3572" s="234">
        <v>42374</v>
      </c>
      <c r="B3572" t="s">
        <v>378</v>
      </c>
      <c r="C3572" t="s">
        <v>623</v>
      </c>
      <c r="D3572" t="s">
        <v>625</v>
      </c>
      <c r="E3572" t="s">
        <v>588</v>
      </c>
      <c r="F3572" t="s">
        <v>9693</v>
      </c>
      <c r="H3572" t="s">
        <v>627</v>
      </c>
      <c r="I3572" t="s">
        <v>630</v>
      </c>
      <c r="M3572" s="134">
        <v>3000000</v>
      </c>
      <c r="N3572" s="134">
        <v>3650000</v>
      </c>
      <c r="O3572" t="s">
        <v>560</v>
      </c>
      <c r="P3572" t="s">
        <v>631</v>
      </c>
      <c r="Q3572" t="s">
        <v>592</v>
      </c>
      <c r="R3572" t="s">
        <v>632</v>
      </c>
      <c r="S3572" t="s">
        <v>681</v>
      </c>
      <c r="U3572" t="s">
        <v>491</v>
      </c>
      <c r="X3572">
        <v>0</v>
      </c>
    </row>
    <row r="3573" spans="1:24" x14ac:dyDescent="0.25">
      <c r="A3573" s="234">
        <v>42527</v>
      </c>
      <c r="B3573" t="s">
        <v>378</v>
      </c>
      <c r="C3573" t="s">
        <v>623</v>
      </c>
      <c r="D3573" t="s">
        <v>625</v>
      </c>
      <c r="E3573" t="s">
        <v>588</v>
      </c>
      <c r="F3573" t="s">
        <v>2351</v>
      </c>
      <c r="H3573" t="s">
        <v>2353</v>
      </c>
      <c r="M3573" s="134">
        <v>3000000</v>
      </c>
      <c r="N3573" s="134">
        <v>3730000</v>
      </c>
      <c r="O3573" t="s">
        <v>2352</v>
      </c>
      <c r="P3573" t="s">
        <v>2354</v>
      </c>
      <c r="Q3573" t="s">
        <v>1939</v>
      </c>
      <c r="R3573" t="s">
        <v>2355</v>
      </c>
      <c r="U3573" t="s">
        <v>491</v>
      </c>
      <c r="X3573">
        <v>0</v>
      </c>
    </row>
    <row r="3574" spans="1:24" x14ac:dyDescent="0.25">
      <c r="A3574" s="234">
        <v>43301</v>
      </c>
      <c r="B3574" t="s">
        <v>328</v>
      </c>
      <c r="C3574" t="s">
        <v>603</v>
      </c>
      <c r="D3574" t="s">
        <v>1401</v>
      </c>
      <c r="E3574" t="s">
        <v>588</v>
      </c>
      <c r="F3574" t="s">
        <v>11882</v>
      </c>
      <c r="G3574" t="s">
        <v>7757</v>
      </c>
      <c r="H3574" t="s">
        <v>886</v>
      </c>
      <c r="J3574" t="s">
        <v>3533</v>
      </c>
      <c r="L3574">
        <v>9</v>
      </c>
      <c r="M3574" s="134">
        <v>3000000</v>
      </c>
      <c r="N3574" s="134">
        <v>3750000</v>
      </c>
      <c r="O3574" t="s">
        <v>560</v>
      </c>
      <c r="P3574" t="s">
        <v>12011</v>
      </c>
      <c r="Q3574" t="s">
        <v>592</v>
      </c>
      <c r="R3574" t="s">
        <v>10497</v>
      </c>
      <c r="U3574" t="s">
        <v>1327</v>
      </c>
      <c r="X3574">
        <v>0</v>
      </c>
    </row>
    <row r="3575" spans="1:24" x14ac:dyDescent="0.25">
      <c r="A3575" s="234">
        <v>42607</v>
      </c>
      <c r="B3575" t="s">
        <v>378</v>
      </c>
      <c r="C3575" t="s">
        <v>610</v>
      </c>
      <c r="D3575" t="s">
        <v>1027</v>
      </c>
      <c r="E3575" t="s">
        <v>588</v>
      </c>
      <c r="F3575" t="s">
        <v>3634</v>
      </c>
      <c r="H3575" t="s">
        <v>722</v>
      </c>
      <c r="I3575" t="s">
        <v>3635</v>
      </c>
      <c r="J3575" t="s">
        <v>899</v>
      </c>
      <c r="L3575">
        <v>5</v>
      </c>
      <c r="M3575" s="134">
        <v>3000000</v>
      </c>
      <c r="N3575" s="134">
        <v>3800000</v>
      </c>
      <c r="O3575" t="s">
        <v>560</v>
      </c>
      <c r="P3575" t="s">
        <v>3747</v>
      </c>
      <c r="Q3575" t="s">
        <v>1939</v>
      </c>
      <c r="R3575" t="s">
        <v>3636</v>
      </c>
      <c r="U3575" t="s">
        <v>491</v>
      </c>
      <c r="X3575">
        <v>0</v>
      </c>
    </row>
    <row r="3576" spans="1:24" x14ac:dyDescent="0.25">
      <c r="A3576" s="234">
        <v>42712</v>
      </c>
      <c r="B3576" t="s">
        <v>378</v>
      </c>
      <c r="C3576" t="s">
        <v>623</v>
      </c>
      <c r="D3576" t="s">
        <v>930</v>
      </c>
      <c r="E3576" t="s">
        <v>588</v>
      </c>
      <c r="F3576" t="s">
        <v>4970</v>
      </c>
      <c r="H3576" t="s">
        <v>886</v>
      </c>
      <c r="I3576" t="s">
        <v>2054</v>
      </c>
      <c r="J3576" t="s">
        <v>899</v>
      </c>
      <c r="L3576">
        <v>4</v>
      </c>
      <c r="M3576" s="134">
        <v>3000000</v>
      </c>
      <c r="N3576" s="134">
        <v>3850000</v>
      </c>
      <c r="O3576" t="s">
        <v>560</v>
      </c>
      <c r="P3576" t="s">
        <v>4971</v>
      </c>
      <c r="Q3576" t="s">
        <v>592</v>
      </c>
      <c r="U3576" t="s">
        <v>491</v>
      </c>
      <c r="X3576">
        <v>0</v>
      </c>
    </row>
    <row r="3577" spans="1:24" x14ac:dyDescent="0.25">
      <c r="A3577" s="234">
        <v>42590</v>
      </c>
      <c r="B3577" t="s">
        <v>378</v>
      </c>
      <c r="C3577" t="s">
        <v>610</v>
      </c>
      <c r="D3577" t="s">
        <v>1027</v>
      </c>
      <c r="E3577" t="s">
        <v>588</v>
      </c>
      <c r="F3577" t="s">
        <v>3292</v>
      </c>
      <c r="H3577" t="s">
        <v>886</v>
      </c>
      <c r="I3577" t="s">
        <v>3305</v>
      </c>
      <c r="J3577" t="s">
        <v>899</v>
      </c>
      <c r="L3577">
        <v>6</v>
      </c>
      <c r="M3577" s="134">
        <v>3000000</v>
      </c>
      <c r="N3577" s="134">
        <v>3900000</v>
      </c>
      <c r="O3577" t="s">
        <v>891</v>
      </c>
      <c r="P3577" t="s">
        <v>3294</v>
      </c>
      <c r="Q3577" t="s">
        <v>29</v>
      </c>
      <c r="R3577" t="s">
        <v>3293</v>
      </c>
      <c r="S3577" t="s">
        <v>3306</v>
      </c>
      <c r="U3577" t="s">
        <v>491</v>
      </c>
      <c r="X3577">
        <v>1</v>
      </c>
    </row>
    <row r="3578" spans="1:24" x14ac:dyDescent="0.25">
      <c r="A3578" s="234">
        <v>43013</v>
      </c>
      <c r="B3578" t="s">
        <v>328</v>
      </c>
      <c r="C3578" t="s">
        <v>603</v>
      </c>
      <c r="D3578" t="s">
        <v>649</v>
      </c>
      <c r="E3578" t="s">
        <v>588</v>
      </c>
      <c r="F3578" t="s">
        <v>8916</v>
      </c>
      <c r="H3578" t="s">
        <v>905</v>
      </c>
      <c r="I3578" t="s">
        <v>8919</v>
      </c>
      <c r="J3578" t="s">
        <v>5509</v>
      </c>
      <c r="L3578">
        <v>2</v>
      </c>
      <c r="M3578" s="134">
        <v>3000000</v>
      </c>
      <c r="N3578" s="134">
        <v>4100000</v>
      </c>
      <c r="O3578" t="s">
        <v>560</v>
      </c>
      <c r="P3578" t="s">
        <v>8920</v>
      </c>
      <c r="Q3578" t="s">
        <v>592</v>
      </c>
      <c r="R3578" t="s">
        <v>8918</v>
      </c>
      <c r="S3578" t="s">
        <v>8917</v>
      </c>
      <c r="T3578">
        <v>34</v>
      </c>
      <c r="U3578" t="s">
        <v>491</v>
      </c>
      <c r="X3578">
        <v>0</v>
      </c>
    </row>
    <row r="3579" spans="1:24" x14ac:dyDescent="0.25">
      <c r="A3579" s="234">
        <v>43201</v>
      </c>
      <c r="B3579" t="s">
        <v>569</v>
      </c>
      <c r="C3579" t="s">
        <v>899</v>
      </c>
      <c r="D3579" t="s">
        <v>625</v>
      </c>
      <c r="E3579" t="s">
        <v>588</v>
      </c>
      <c r="F3579" t="s">
        <v>10932</v>
      </c>
      <c r="G3579" t="s">
        <v>10080</v>
      </c>
      <c r="H3579" t="s">
        <v>607</v>
      </c>
      <c r="I3579" t="s">
        <v>2054</v>
      </c>
      <c r="J3579" t="s">
        <v>899</v>
      </c>
      <c r="L3579">
        <v>2</v>
      </c>
      <c r="M3579" s="134">
        <v>3000000</v>
      </c>
      <c r="N3579" s="134">
        <v>4250000</v>
      </c>
      <c r="O3579" t="s">
        <v>560</v>
      </c>
      <c r="P3579" t="s">
        <v>10933</v>
      </c>
      <c r="Q3579" t="s">
        <v>29</v>
      </c>
      <c r="R3579" t="s">
        <v>10934</v>
      </c>
      <c r="U3579" t="s">
        <v>1327</v>
      </c>
      <c r="X3579">
        <v>1</v>
      </c>
    </row>
    <row r="3580" spans="1:24" x14ac:dyDescent="0.25">
      <c r="A3580" s="234">
        <v>43504</v>
      </c>
      <c r="B3580" t="s">
        <v>569</v>
      </c>
      <c r="C3580" t="s">
        <v>899</v>
      </c>
      <c r="D3580" t="s">
        <v>1070</v>
      </c>
      <c r="F3580" t="s">
        <v>14340</v>
      </c>
      <c r="G3580" t="s">
        <v>14053</v>
      </c>
      <c r="H3580" t="s">
        <v>607</v>
      </c>
      <c r="I3580" t="s">
        <v>3941</v>
      </c>
      <c r="J3580" t="s">
        <v>899</v>
      </c>
      <c r="K3580" t="s">
        <v>14341</v>
      </c>
      <c r="M3580" s="134">
        <v>3000000</v>
      </c>
      <c r="N3580" s="134">
        <v>4300000</v>
      </c>
      <c r="O3580" t="s">
        <v>2295</v>
      </c>
      <c r="P3580" t="s">
        <v>14342</v>
      </c>
      <c r="Q3580" t="s">
        <v>1939</v>
      </c>
      <c r="R3580" t="s">
        <v>14343</v>
      </c>
      <c r="S3580" t="s">
        <v>14378</v>
      </c>
      <c r="U3580" t="s">
        <v>12797</v>
      </c>
      <c r="X3580">
        <v>0</v>
      </c>
    </row>
    <row r="3581" spans="1:24" x14ac:dyDescent="0.25">
      <c r="A3581" s="234">
        <v>42403</v>
      </c>
      <c r="B3581" t="s">
        <v>378</v>
      </c>
      <c r="C3581" t="s">
        <v>610</v>
      </c>
      <c r="D3581" t="s">
        <v>611</v>
      </c>
      <c r="E3581" t="s">
        <v>588</v>
      </c>
      <c r="F3581" t="s">
        <v>920</v>
      </c>
      <c r="H3581" t="s">
        <v>607</v>
      </c>
      <c r="I3581" t="s">
        <v>921</v>
      </c>
      <c r="M3581" s="134">
        <v>3000000</v>
      </c>
      <c r="N3581" s="134">
        <v>4350000</v>
      </c>
      <c r="O3581" t="s">
        <v>764</v>
      </c>
      <c r="P3581" t="s">
        <v>922</v>
      </c>
      <c r="Q3581" t="s">
        <v>592</v>
      </c>
      <c r="R3581" t="s">
        <v>925</v>
      </c>
      <c r="U3581" t="s">
        <v>491</v>
      </c>
      <c r="X3581">
        <v>0</v>
      </c>
    </row>
    <row r="3582" spans="1:24" x14ac:dyDescent="0.25">
      <c r="A3582" s="234">
        <v>42576</v>
      </c>
      <c r="B3582" t="s">
        <v>378</v>
      </c>
      <c r="C3582" t="s">
        <v>623</v>
      </c>
      <c r="D3582" t="s">
        <v>625</v>
      </c>
      <c r="E3582" t="s">
        <v>588</v>
      </c>
      <c r="F3582" t="s">
        <v>3002</v>
      </c>
      <c r="H3582" t="s">
        <v>607</v>
      </c>
      <c r="I3582" t="s">
        <v>789</v>
      </c>
      <c r="M3582" s="134">
        <v>3000000</v>
      </c>
      <c r="N3582" s="134">
        <v>4400000</v>
      </c>
      <c r="O3582" t="s">
        <v>891</v>
      </c>
      <c r="P3582" t="s">
        <v>3003</v>
      </c>
      <c r="Q3582" t="s">
        <v>1939</v>
      </c>
      <c r="R3582" t="s">
        <v>3004</v>
      </c>
      <c r="S3582" t="s">
        <v>3024</v>
      </c>
      <c r="U3582" t="s">
        <v>491</v>
      </c>
      <c r="X3582">
        <v>0</v>
      </c>
    </row>
    <row r="3583" spans="1:24" x14ac:dyDescent="0.25">
      <c r="A3583" s="234">
        <v>42605</v>
      </c>
      <c r="B3583" t="s">
        <v>378</v>
      </c>
      <c r="C3583" t="s">
        <v>610</v>
      </c>
      <c r="D3583" t="s">
        <v>1027</v>
      </c>
      <c r="E3583" t="s">
        <v>588</v>
      </c>
      <c r="F3583" t="s">
        <v>3585</v>
      </c>
      <c r="H3583" t="s">
        <v>607</v>
      </c>
      <c r="I3583" t="s">
        <v>3586</v>
      </c>
      <c r="J3583" t="s">
        <v>899</v>
      </c>
      <c r="L3583">
        <v>10</v>
      </c>
      <c r="M3583" s="134">
        <v>3000000</v>
      </c>
      <c r="N3583" s="134">
        <v>4400000</v>
      </c>
      <c r="O3583" t="s">
        <v>764</v>
      </c>
      <c r="P3583" t="s">
        <v>3587</v>
      </c>
      <c r="Q3583" t="s">
        <v>1612</v>
      </c>
      <c r="R3583" t="s">
        <v>3588</v>
      </c>
      <c r="S3583" t="s">
        <v>3604</v>
      </c>
      <c r="U3583" t="s">
        <v>491</v>
      </c>
      <c r="X3583">
        <v>0</v>
      </c>
    </row>
    <row r="3584" spans="1:24" x14ac:dyDescent="0.25">
      <c r="A3584" s="234">
        <v>42873</v>
      </c>
      <c r="B3584" t="s">
        <v>328</v>
      </c>
      <c r="C3584" t="s">
        <v>603</v>
      </c>
      <c r="D3584" t="s">
        <v>672</v>
      </c>
      <c r="E3584" t="s">
        <v>588</v>
      </c>
      <c r="F3584" t="s">
        <v>6839</v>
      </c>
      <c r="H3584" t="s">
        <v>722</v>
      </c>
      <c r="I3584" t="s">
        <v>5888</v>
      </c>
      <c r="J3584" t="s">
        <v>899</v>
      </c>
      <c r="L3584">
        <v>3</v>
      </c>
      <c r="M3584" s="134">
        <v>3000000</v>
      </c>
      <c r="N3584" s="134">
        <v>4800000</v>
      </c>
      <c r="O3584" t="s">
        <v>560</v>
      </c>
      <c r="P3584" t="s">
        <v>6841</v>
      </c>
      <c r="Q3584" t="s">
        <v>592</v>
      </c>
      <c r="S3584" t="s">
        <v>6840</v>
      </c>
      <c r="U3584" t="s">
        <v>491</v>
      </c>
      <c r="X3584">
        <v>0</v>
      </c>
    </row>
    <row r="3585" spans="1:24" x14ac:dyDescent="0.25">
      <c r="A3585" s="234">
        <v>43075</v>
      </c>
      <c r="B3585" t="s">
        <v>328</v>
      </c>
      <c r="C3585" t="s">
        <v>603</v>
      </c>
      <c r="D3585" t="s">
        <v>7595</v>
      </c>
      <c r="E3585" t="s">
        <v>588</v>
      </c>
      <c r="F3585" t="s">
        <v>9683</v>
      </c>
      <c r="G3585" t="s">
        <v>9682</v>
      </c>
      <c r="H3585" t="s">
        <v>1391</v>
      </c>
      <c r="I3585" t="s">
        <v>9681</v>
      </c>
      <c r="J3585" t="s">
        <v>899</v>
      </c>
      <c r="L3585">
        <v>10</v>
      </c>
      <c r="M3585" s="134">
        <v>3000000</v>
      </c>
      <c r="N3585" s="134">
        <v>4850000</v>
      </c>
      <c r="O3585" t="s">
        <v>9189</v>
      </c>
      <c r="P3585" t="s">
        <v>9680</v>
      </c>
      <c r="Q3585" t="s">
        <v>1939</v>
      </c>
      <c r="R3585" t="s">
        <v>9679</v>
      </c>
      <c r="U3585" t="s">
        <v>1327</v>
      </c>
      <c r="X3585">
        <v>0</v>
      </c>
    </row>
    <row r="3586" spans="1:24" x14ac:dyDescent="0.25">
      <c r="A3586" s="234">
        <v>42635</v>
      </c>
      <c r="B3586" t="s">
        <v>328</v>
      </c>
      <c r="C3586" t="s">
        <v>603</v>
      </c>
      <c r="D3586" t="s">
        <v>1471</v>
      </c>
      <c r="E3586" t="s">
        <v>588</v>
      </c>
      <c r="F3586" t="s">
        <v>4024</v>
      </c>
      <c r="H3586" t="s">
        <v>607</v>
      </c>
      <c r="I3586" t="s">
        <v>2054</v>
      </c>
      <c r="J3586" t="s">
        <v>899</v>
      </c>
      <c r="L3586">
        <v>2</v>
      </c>
      <c r="M3586" s="134">
        <v>3000000</v>
      </c>
      <c r="N3586" s="134">
        <v>4950000</v>
      </c>
      <c r="O3586" t="s">
        <v>560</v>
      </c>
      <c r="P3586" t="s">
        <v>4025</v>
      </c>
      <c r="Q3586" t="s">
        <v>592</v>
      </c>
      <c r="U3586" t="s">
        <v>491</v>
      </c>
      <c r="X3586">
        <v>0</v>
      </c>
    </row>
    <row r="3587" spans="1:24" x14ac:dyDescent="0.25">
      <c r="A3587" s="234">
        <v>42802</v>
      </c>
      <c r="B3587" t="s">
        <v>328</v>
      </c>
      <c r="C3587" t="s">
        <v>5892</v>
      </c>
      <c r="D3587" t="s">
        <v>2397</v>
      </c>
      <c r="E3587" t="s">
        <v>588</v>
      </c>
      <c r="F3587" t="s">
        <v>5893</v>
      </c>
      <c r="H3587" t="s">
        <v>607</v>
      </c>
      <c r="I3587" t="s">
        <v>3649</v>
      </c>
      <c r="J3587" t="s">
        <v>899</v>
      </c>
      <c r="L3587">
        <v>4</v>
      </c>
      <c r="M3587" s="134">
        <v>3000000</v>
      </c>
      <c r="N3587" s="134">
        <v>4999999</v>
      </c>
      <c r="O3587" t="s">
        <v>560</v>
      </c>
      <c r="P3587" t="s">
        <v>5894</v>
      </c>
      <c r="Q3587" t="s">
        <v>592</v>
      </c>
      <c r="R3587" t="s">
        <v>5895</v>
      </c>
      <c r="U3587" t="s">
        <v>491</v>
      </c>
      <c r="X3587">
        <v>0</v>
      </c>
    </row>
    <row r="3588" spans="1:24" x14ac:dyDescent="0.25">
      <c r="A3588" s="234">
        <v>43508</v>
      </c>
      <c r="B3588" t="s">
        <v>328</v>
      </c>
      <c r="C3588" t="s">
        <v>603</v>
      </c>
      <c r="D3588" t="s">
        <v>7595</v>
      </c>
      <c r="F3588" t="s">
        <v>208</v>
      </c>
      <c r="G3588" t="s">
        <v>14366</v>
      </c>
      <c r="H3588" t="s">
        <v>607</v>
      </c>
      <c r="I3588" t="s">
        <v>14367</v>
      </c>
      <c r="J3588" t="s">
        <v>3733</v>
      </c>
      <c r="K3588" t="s">
        <v>14368</v>
      </c>
      <c r="L3588">
        <v>4</v>
      </c>
      <c r="M3588" s="134">
        <v>3000000</v>
      </c>
      <c r="N3588" s="134">
        <v>5000000</v>
      </c>
      <c r="O3588" t="s">
        <v>560</v>
      </c>
      <c r="P3588" t="s">
        <v>14370</v>
      </c>
      <c r="Q3588" t="s">
        <v>620</v>
      </c>
      <c r="R3588" t="s">
        <v>14369</v>
      </c>
      <c r="S3588" t="s">
        <v>14378</v>
      </c>
      <c r="U3588" t="s">
        <v>491</v>
      </c>
      <c r="X3588">
        <v>0</v>
      </c>
    </row>
    <row r="3589" spans="1:24" x14ac:dyDescent="0.25">
      <c r="A3589" s="234">
        <v>43399</v>
      </c>
      <c r="B3589" t="s">
        <v>328</v>
      </c>
      <c r="C3589" t="s">
        <v>603</v>
      </c>
      <c r="D3589" t="s">
        <v>8941</v>
      </c>
      <c r="F3589" t="s">
        <v>13069</v>
      </c>
      <c r="G3589" t="s">
        <v>11535</v>
      </c>
      <c r="H3589" t="s">
        <v>607</v>
      </c>
      <c r="I3589" t="s">
        <v>7484</v>
      </c>
      <c r="J3589" t="s">
        <v>899</v>
      </c>
      <c r="K3589">
        <v>96146</v>
      </c>
      <c r="L3589">
        <v>3</v>
      </c>
      <c r="M3589" s="134">
        <v>3000000</v>
      </c>
      <c r="N3589" s="134">
        <v>5000000</v>
      </c>
      <c r="O3589" t="s">
        <v>560</v>
      </c>
      <c r="P3589" t="s">
        <v>13071</v>
      </c>
      <c r="Q3589" t="s">
        <v>29</v>
      </c>
      <c r="R3589" t="s">
        <v>13070</v>
      </c>
      <c r="U3589" t="s">
        <v>12344</v>
      </c>
      <c r="X3589">
        <v>1</v>
      </c>
    </row>
    <row r="3590" spans="1:24" x14ac:dyDescent="0.25">
      <c r="A3590" s="234">
        <v>42993</v>
      </c>
      <c r="B3590" t="s">
        <v>328</v>
      </c>
      <c r="C3590" t="s">
        <v>603</v>
      </c>
      <c r="D3590" t="s">
        <v>649</v>
      </c>
      <c r="E3590" t="s">
        <v>588</v>
      </c>
      <c r="F3590" t="s">
        <v>8570</v>
      </c>
      <c r="G3590" t="s">
        <v>7814</v>
      </c>
      <c r="H3590" t="s">
        <v>607</v>
      </c>
      <c r="I3590" t="s">
        <v>3672</v>
      </c>
      <c r="J3590" t="s">
        <v>899</v>
      </c>
      <c r="L3590">
        <v>2</v>
      </c>
      <c r="M3590" s="134">
        <v>3000000</v>
      </c>
      <c r="N3590" s="134">
        <v>5000000</v>
      </c>
      <c r="O3590" t="s">
        <v>560</v>
      </c>
      <c r="P3590" t="s">
        <v>8571</v>
      </c>
      <c r="Q3590" t="s">
        <v>1939</v>
      </c>
      <c r="R3590" t="s">
        <v>8572</v>
      </c>
      <c r="T3590">
        <v>19</v>
      </c>
      <c r="U3590" t="s">
        <v>491</v>
      </c>
      <c r="X3590">
        <v>0</v>
      </c>
    </row>
    <row r="3591" spans="1:24" x14ac:dyDescent="0.25">
      <c r="A3591" s="234">
        <v>43088</v>
      </c>
      <c r="B3591" t="s">
        <v>328</v>
      </c>
      <c r="C3591" t="s">
        <v>603</v>
      </c>
      <c r="D3591" t="s">
        <v>649</v>
      </c>
      <c r="E3591" t="s">
        <v>588</v>
      </c>
      <c r="F3591" t="s">
        <v>9829</v>
      </c>
      <c r="G3591" t="s">
        <v>8126</v>
      </c>
      <c r="H3591" t="s">
        <v>607</v>
      </c>
      <c r="I3591" t="s">
        <v>9831</v>
      </c>
      <c r="J3591" t="s">
        <v>899</v>
      </c>
      <c r="L3591">
        <v>3</v>
      </c>
      <c r="M3591" s="134">
        <v>3000000</v>
      </c>
      <c r="N3591" s="134">
        <v>5000000</v>
      </c>
      <c r="O3591" t="s">
        <v>560</v>
      </c>
      <c r="P3591" t="s">
        <v>9830</v>
      </c>
      <c r="Q3591" t="s">
        <v>592</v>
      </c>
      <c r="R3591" t="s">
        <v>9922</v>
      </c>
      <c r="U3591" t="s">
        <v>1327</v>
      </c>
      <c r="X3591">
        <v>0</v>
      </c>
    </row>
    <row r="3592" spans="1:24" x14ac:dyDescent="0.25">
      <c r="A3592" s="234">
        <v>42612</v>
      </c>
      <c r="B3592" t="s">
        <v>378</v>
      </c>
      <c r="C3592" t="s">
        <v>623</v>
      </c>
      <c r="D3592" t="s">
        <v>625</v>
      </c>
      <c r="E3592" t="s">
        <v>588</v>
      </c>
      <c r="F3592" t="s">
        <v>3694</v>
      </c>
      <c r="H3592" t="s">
        <v>607</v>
      </c>
      <c r="I3592" t="s">
        <v>3388</v>
      </c>
      <c r="J3592" t="s">
        <v>899</v>
      </c>
      <c r="L3592">
        <v>3</v>
      </c>
      <c r="M3592" s="134">
        <v>3011000</v>
      </c>
      <c r="N3592" s="134">
        <v>4611000</v>
      </c>
      <c r="O3592" t="s">
        <v>3695</v>
      </c>
      <c r="P3592" t="s">
        <v>3696</v>
      </c>
      <c r="Q3592" t="s">
        <v>620</v>
      </c>
      <c r="R3592" t="s">
        <v>3697</v>
      </c>
      <c r="U3592" t="s">
        <v>491</v>
      </c>
      <c r="X3592">
        <v>0</v>
      </c>
    </row>
    <row r="3593" spans="1:24" x14ac:dyDescent="0.25">
      <c r="A3593" s="234">
        <v>43207</v>
      </c>
      <c r="B3593" t="s">
        <v>569</v>
      </c>
      <c r="C3593" t="s">
        <v>899</v>
      </c>
      <c r="D3593" t="s">
        <v>10458</v>
      </c>
      <c r="E3593" t="s">
        <v>588</v>
      </c>
      <c r="F3593" t="s">
        <v>10965</v>
      </c>
      <c r="G3593" t="s">
        <v>10458</v>
      </c>
      <c r="H3593" t="s">
        <v>607</v>
      </c>
      <c r="I3593" t="s">
        <v>2054</v>
      </c>
      <c r="J3593" t="s">
        <v>899</v>
      </c>
      <c r="L3593">
        <v>2</v>
      </c>
      <c r="M3593" s="134">
        <v>3018432</v>
      </c>
      <c r="N3593" s="134">
        <v>4539900</v>
      </c>
      <c r="O3593" t="s">
        <v>560</v>
      </c>
      <c r="P3593" t="s">
        <v>11145</v>
      </c>
      <c r="Q3593" t="s">
        <v>29</v>
      </c>
      <c r="R3593" t="s">
        <v>10964</v>
      </c>
      <c r="U3593" t="s">
        <v>1327</v>
      </c>
      <c r="X3593">
        <v>1</v>
      </c>
    </row>
    <row r="3594" spans="1:24" x14ac:dyDescent="0.25">
      <c r="A3594" s="234">
        <v>42653</v>
      </c>
      <c r="B3594" t="s">
        <v>378</v>
      </c>
      <c r="C3594" t="s">
        <v>623</v>
      </c>
      <c r="D3594" t="s">
        <v>930</v>
      </c>
      <c r="E3594" t="s">
        <v>588</v>
      </c>
      <c r="F3594" t="s">
        <v>4225</v>
      </c>
      <c r="H3594" t="s">
        <v>1119</v>
      </c>
      <c r="I3594" t="s">
        <v>2054</v>
      </c>
      <c r="J3594" t="s">
        <v>899</v>
      </c>
      <c r="L3594">
        <v>2</v>
      </c>
      <c r="M3594" s="134">
        <v>3044210</v>
      </c>
      <c r="N3594" s="134">
        <v>0</v>
      </c>
      <c r="O3594" t="s">
        <v>3717</v>
      </c>
      <c r="P3594" t="s">
        <v>4226</v>
      </c>
      <c r="Q3594" t="s">
        <v>592</v>
      </c>
      <c r="R3594" t="s">
        <v>4227</v>
      </c>
      <c r="U3594" t="s">
        <v>1327</v>
      </c>
      <c r="X3594">
        <v>0</v>
      </c>
    </row>
    <row r="3595" spans="1:24" x14ac:dyDescent="0.25">
      <c r="A3595" s="234">
        <v>42831</v>
      </c>
      <c r="B3595" t="s">
        <v>328</v>
      </c>
      <c r="C3595" t="s">
        <v>603</v>
      </c>
      <c r="D3595" t="s">
        <v>672</v>
      </c>
      <c r="E3595" t="s">
        <v>588</v>
      </c>
      <c r="F3595" t="s">
        <v>6284</v>
      </c>
      <c r="H3595" t="s">
        <v>5244</v>
      </c>
      <c r="I3595" t="s">
        <v>6285</v>
      </c>
      <c r="J3595" t="s">
        <v>899</v>
      </c>
      <c r="L3595">
        <v>4</v>
      </c>
      <c r="M3595" s="134">
        <v>3072364</v>
      </c>
      <c r="N3595" s="134">
        <v>4506134</v>
      </c>
      <c r="O3595" t="s">
        <v>560</v>
      </c>
      <c r="P3595" t="s">
        <v>6314</v>
      </c>
      <c r="Q3595" t="s">
        <v>592</v>
      </c>
      <c r="R3595" t="s">
        <v>6286</v>
      </c>
      <c r="U3595" t="s">
        <v>491</v>
      </c>
      <c r="X3595">
        <v>0</v>
      </c>
    </row>
    <row r="3596" spans="1:24" x14ac:dyDescent="0.25">
      <c r="A3596" s="234">
        <v>42538</v>
      </c>
      <c r="B3596" t="s">
        <v>378</v>
      </c>
      <c r="C3596" t="s">
        <v>623</v>
      </c>
      <c r="D3596" t="s">
        <v>625</v>
      </c>
      <c r="E3596" t="s">
        <v>588</v>
      </c>
      <c r="F3596" t="s">
        <v>2574</v>
      </c>
      <c r="H3596" t="s">
        <v>809</v>
      </c>
      <c r="I3596" t="s">
        <v>679</v>
      </c>
      <c r="M3596" s="134">
        <v>3078000</v>
      </c>
      <c r="N3596" s="134">
        <v>3466345</v>
      </c>
      <c r="O3596" t="s">
        <v>2579</v>
      </c>
      <c r="P3596" t="s">
        <v>2576</v>
      </c>
      <c r="Q3596" t="s">
        <v>29</v>
      </c>
      <c r="R3596" t="s">
        <v>2575</v>
      </c>
      <c r="U3596" t="s">
        <v>491</v>
      </c>
      <c r="X3596">
        <v>1</v>
      </c>
    </row>
    <row r="3597" spans="1:24" x14ac:dyDescent="0.25">
      <c r="A3597" s="234">
        <v>42758</v>
      </c>
      <c r="B3597" t="s">
        <v>569</v>
      </c>
      <c r="D3597" t="s">
        <v>624</v>
      </c>
      <c r="E3597" t="s">
        <v>588</v>
      </c>
      <c r="F3597" t="s">
        <v>829</v>
      </c>
      <c r="H3597" t="s">
        <v>722</v>
      </c>
      <c r="I3597" t="s">
        <v>5412</v>
      </c>
      <c r="J3597" t="s">
        <v>899</v>
      </c>
      <c r="L3597" t="s">
        <v>5284</v>
      </c>
      <c r="M3597" s="134">
        <v>3078360</v>
      </c>
      <c r="N3597" s="134">
        <v>3879660</v>
      </c>
      <c r="O3597" t="s">
        <v>831</v>
      </c>
      <c r="P3597" t="s">
        <v>832</v>
      </c>
      <c r="Q3597" t="s">
        <v>592</v>
      </c>
      <c r="R3597" t="s">
        <v>5413</v>
      </c>
      <c r="U3597" t="s">
        <v>491</v>
      </c>
      <c r="X3597">
        <v>0</v>
      </c>
    </row>
    <row r="3598" spans="1:24" x14ac:dyDescent="0.25">
      <c r="A3598" s="234">
        <v>42396</v>
      </c>
      <c r="B3598" t="s">
        <v>378</v>
      </c>
      <c r="C3598" t="s">
        <v>623</v>
      </c>
      <c r="D3598" t="s">
        <v>624</v>
      </c>
      <c r="E3598" t="s">
        <v>588</v>
      </c>
      <c r="F3598" t="s">
        <v>829</v>
      </c>
      <c r="H3598" t="s">
        <v>722</v>
      </c>
      <c r="I3598" t="s">
        <v>830</v>
      </c>
      <c r="M3598" s="134">
        <v>3078360</v>
      </c>
      <c r="N3598" s="134">
        <v>3879660</v>
      </c>
      <c r="O3598" t="s">
        <v>831</v>
      </c>
      <c r="P3598" t="s">
        <v>832</v>
      </c>
      <c r="Q3598" t="s">
        <v>592</v>
      </c>
      <c r="R3598" t="s">
        <v>898</v>
      </c>
      <c r="U3598" t="s">
        <v>491</v>
      </c>
      <c r="X3598">
        <v>0</v>
      </c>
    </row>
    <row r="3599" spans="1:24" x14ac:dyDescent="0.25">
      <c r="A3599" s="234">
        <v>43090</v>
      </c>
      <c r="B3599" t="s">
        <v>569</v>
      </c>
      <c r="C3599" t="s">
        <v>899</v>
      </c>
      <c r="D3599" t="s">
        <v>624</v>
      </c>
      <c r="E3599" t="s">
        <v>588</v>
      </c>
      <c r="F3599" t="s">
        <v>9840</v>
      </c>
      <c r="G3599" t="s">
        <v>9841</v>
      </c>
      <c r="H3599" t="s">
        <v>886</v>
      </c>
      <c r="I3599" t="s">
        <v>2054</v>
      </c>
      <c r="J3599" t="s">
        <v>899</v>
      </c>
      <c r="M3599" s="134">
        <v>3091000</v>
      </c>
      <c r="N3599" s="134">
        <v>4155000</v>
      </c>
      <c r="O3599" t="s">
        <v>9834</v>
      </c>
      <c r="P3599" t="s">
        <v>9833</v>
      </c>
      <c r="Q3599" t="s">
        <v>1939</v>
      </c>
      <c r="R3599" t="s">
        <v>9832</v>
      </c>
      <c r="U3599" t="s">
        <v>1327</v>
      </c>
      <c r="X3599">
        <v>0</v>
      </c>
    </row>
    <row r="3600" spans="1:24" x14ac:dyDescent="0.25">
      <c r="A3600" s="234">
        <v>42902</v>
      </c>
      <c r="B3600" t="s">
        <v>5360</v>
      </c>
      <c r="D3600" t="s">
        <v>1027</v>
      </c>
      <c r="E3600" t="s">
        <v>588</v>
      </c>
      <c r="F3600" t="s">
        <v>7224</v>
      </c>
      <c r="H3600" t="s">
        <v>607</v>
      </c>
      <c r="I3600" t="s">
        <v>3462</v>
      </c>
      <c r="J3600" t="s">
        <v>899</v>
      </c>
      <c r="L3600">
        <v>4</v>
      </c>
      <c r="M3600" s="134">
        <v>3095400</v>
      </c>
      <c r="N3600" s="134">
        <v>4869240</v>
      </c>
      <c r="O3600" t="s">
        <v>560</v>
      </c>
      <c r="P3600" t="s">
        <v>7225</v>
      </c>
      <c r="Q3600" t="s">
        <v>620</v>
      </c>
      <c r="R3600" t="s">
        <v>7226</v>
      </c>
      <c r="S3600" t="s">
        <v>7230</v>
      </c>
      <c r="U3600" t="s">
        <v>491</v>
      </c>
      <c r="X3600">
        <v>0</v>
      </c>
    </row>
    <row r="3601" spans="1:24" x14ac:dyDescent="0.25">
      <c r="A3601" s="234">
        <v>42654</v>
      </c>
      <c r="B3601" t="s">
        <v>328</v>
      </c>
      <c r="C3601" t="s">
        <v>603</v>
      </c>
      <c r="D3601" t="s">
        <v>2397</v>
      </c>
      <c r="E3601" t="s">
        <v>588</v>
      </c>
      <c r="F3601" t="s">
        <v>4236</v>
      </c>
      <c r="H3601" t="s">
        <v>1050</v>
      </c>
      <c r="I3601" t="s">
        <v>4237</v>
      </c>
      <c r="J3601" t="s">
        <v>899</v>
      </c>
      <c r="L3601">
        <v>2</v>
      </c>
      <c r="M3601" s="134">
        <v>3100000</v>
      </c>
      <c r="N3601" s="134">
        <v>3125000</v>
      </c>
      <c r="O3601" t="s">
        <v>560</v>
      </c>
      <c r="P3601" t="s">
        <v>4238</v>
      </c>
      <c r="Q3601" t="s">
        <v>1612</v>
      </c>
      <c r="R3601" t="s">
        <v>4254</v>
      </c>
      <c r="U3601" t="s">
        <v>491</v>
      </c>
      <c r="X3601">
        <v>0</v>
      </c>
    </row>
    <row r="3602" spans="1:24" x14ac:dyDescent="0.25">
      <c r="A3602" s="234">
        <v>43588</v>
      </c>
      <c r="B3602" t="s">
        <v>643</v>
      </c>
      <c r="C3602" t="s">
        <v>644</v>
      </c>
      <c r="D3602" t="s">
        <v>645</v>
      </c>
      <c r="F3602" t="s">
        <v>15385</v>
      </c>
      <c r="G3602" t="s">
        <v>15386</v>
      </c>
      <c r="H3602" t="s">
        <v>10832</v>
      </c>
      <c r="I3602" t="s">
        <v>15383</v>
      </c>
      <c r="J3602" t="s">
        <v>644</v>
      </c>
      <c r="K3602" t="s">
        <v>13169</v>
      </c>
      <c r="L3602">
        <v>2</v>
      </c>
      <c r="M3602" s="134">
        <v>3101330</v>
      </c>
      <c r="N3602" s="134">
        <v>4756903</v>
      </c>
      <c r="O3602" t="s">
        <v>560</v>
      </c>
      <c r="P3602" t="s">
        <v>15384</v>
      </c>
      <c r="Q3602" t="s">
        <v>592</v>
      </c>
      <c r="R3602" t="s">
        <v>15387</v>
      </c>
      <c r="U3602" t="s">
        <v>491</v>
      </c>
      <c r="X3602">
        <v>0</v>
      </c>
    </row>
    <row r="3603" spans="1:24" x14ac:dyDescent="0.25">
      <c r="A3603" s="234">
        <v>43076</v>
      </c>
      <c r="B3603" t="s">
        <v>328</v>
      </c>
      <c r="C3603" t="s">
        <v>603</v>
      </c>
      <c r="D3603" t="s">
        <v>672</v>
      </c>
      <c r="E3603" t="s">
        <v>588</v>
      </c>
      <c r="F3603" t="s">
        <v>9688</v>
      </c>
      <c r="G3603" t="s">
        <v>9689</v>
      </c>
      <c r="H3603" t="s">
        <v>607</v>
      </c>
      <c r="I3603" t="s">
        <v>9690</v>
      </c>
      <c r="J3603" t="s">
        <v>899</v>
      </c>
      <c r="L3603">
        <v>4</v>
      </c>
      <c r="M3603" s="134">
        <v>3105000</v>
      </c>
      <c r="N3603" s="134">
        <v>5000000</v>
      </c>
      <c r="O3603" t="s">
        <v>560</v>
      </c>
      <c r="P3603" t="s">
        <v>9691</v>
      </c>
      <c r="Q3603" t="s">
        <v>592</v>
      </c>
      <c r="R3603" t="s">
        <v>9692</v>
      </c>
      <c r="U3603" t="s">
        <v>1327</v>
      </c>
      <c r="X3603">
        <v>0</v>
      </c>
    </row>
    <row r="3604" spans="1:24" x14ac:dyDescent="0.25">
      <c r="A3604" s="234">
        <v>42601</v>
      </c>
      <c r="B3604" t="s">
        <v>328</v>
      </c>
      <c r="C3604" t="s">
        <v>603</v>
      </c>
      <c r="D3604" t="s">
        <v>1471</v>
      </c>
      <c r="E3604" t="s">
        <v>588</v>
      </c>
      <c r="F3604" t="s">
        <v>3534</v>
      </c>
      <c r="H3604" t="s">
        <v>809</v>
      </c>
      <c r="I3604" t="s">
        <v>3532</v>
      </c>
      <c r="J3604" t="s">
        <v>3533</v>
      </c>
      <c r="L3604">
        <v>8</v>
      </c>
      <c r="M3604" s="134">
        <v>3113000</v>
      </c>
      <c r="N3604" s="134">
        <v>3735600</v>
      </c>
      <c r="O3604" t="s">
        <v>560</v>
      </c>
      <c r="P3604" t="s">
        <v>3572</v>
      </c>
      <c r="Q3604" t="s">
        <v>1612</v>
      </c>
      <c r="R3604" t="s">
        <v>3571</v>
      </c>
      <c r="U3604" t="s">
        <v>491</v>
      </c>
      <c r="X3604">
        <v>0</v>
      </c>
    </row>
    <row r="3605" spans="1:24" x14ac:dyDescent="0.25">
      <c r="A3605" s="234">
        <v>43511</v>
      </c>
      <c r="B3605" t="s">
        <v>13559</v>
      </c>
      <c r="C3605" t="s">
        <v>602</v>
      </c>
      <c r="D3605" t="s">
        <v>757</v>
      </c>
      <c r="F3605" t="s">
        <v>14410</v>
      </c>
      <c r="G3605" t="s">
        <v>14411</v>
      </c>
      <c r="H3605" t="s">
        <v>607</v>
      </c>
      <c r="I3605" t="s">
        <v>11798</v>
      </c>
      <c r="J3605" t="s">
        <v>602</v>
      </c>
      <c r="K3605" t="s">
        <v>14412</v>
      </c>
      <c r="M3605" s="134">
        <v>3136000</v>
      </c>
      <c r="N3605" s="134">
        <v>3936000</v>
      </c>
      <c r="O3605" t="s">
        <v>560</v>
      </c>
      <c r="P3605" t="s">
        <v>14414</v>
      </c>
      <c r="Q3605" t="s">
        <v>1612</v>
      </c>
      <c r="R3605" t="s">
        <v>14413</v>
      </c>
      <c r="U3605" t="s">
        <v>491</v>
      </c>
      <c r="X3605">
        <v>0</v>
      </c>
    </row>
    <row r="3606" spans="1:24" x14ac:dyDescent="0.25">
      <c r="A3606" s="234">
        <v>42718</v>
      </c>
      <c r="B3606" t="s">
        <v>378</v>
      </c>
      <c r="C3606" t="s">
        <v>623</v>
      </c>
      <c r="D3606" t="s">
        <v>624</v>
      </c>
      <c r="E3606" t="s">
        <v>588</v>
      </c>
      <c r="F3606" t="s">
        <v>5019</v>
      </c>
      <c r="H3606" t="s">
        <v>905</v>
      </c>
      <c r="I3606" t="s">
        <v>2054</v>
      </c>
      <c r="J3606" t="s">
        <v>899</v>
      </c>
      <c r="L3606">
        <v>2</v>
      </c>
      <c r="M3606" s="134">
        <v>3138540</v>
      </c>
      <c r="N3606" s="134">
        <v>3828540</v>
      </c>
      <c r="O3606" t="s">
        <v>560</v>
      </c>
      <c r="P3606" t="s">
        <v>5020</v>
      </c>
      <c r="Q3606" t="s">
        <v>592</v>
      </c>
      <c r="R3606" t="s">
        <v>5021</v>
      </c>
      <c r="U3606" t="s">
        <v>2227</v>
      </c>
      <c r="X3606">
        <v>0</v>
      </c>
    </row>
    <row r="3607" spans="1:24" x14ac:dyDescent="0.25">
      <c r="A3607" s="234">
        <v>43196</v>
      </c>
      <c r="B3607" t="s">
        <v>328</v>
      </c>
      <c r="C3607" t="s">
        <v>603</v>
      </c>
      <c r="D3607" t="s">
        <v>7595</v>
      </c>
      <c r="E3607" t="s">
        <v>588</v>
      </c>
      <c r="F3607" t="s">
        <v>10844</v>
      </c>
      <c r="G3607" t="s">
        <v>3360</v>
      </c>
      <c r="H3607" t="s">
        <v>886</v>
      </c>
      <c r="I3607" t="s">
        <v>2054</v>
      </c>
      <c r="J3607" t="s">
        <v>899</v>
      </c>
      <c r="L3607">
        <v>1</v>
      </c>
      <c r="M3607" s="134">
        <v>3150000</v>
      </c>
      <c r="N3607" s="134">
        <v>3780000</v>
      </c>
      <c r="O3607" t="s">
        <v>7564</v>
      </c>
      <c r="P3607" t="s">
        <v>10845</v>
      </c>
      <c r="Q3607" t="s">
        <v>592</v>
      </c>
      <c r="R3607" t="s">
        <v>10846</v>
      </c>
      <c r="U3607" t="s">
        <v>491</v>
      </c>
      <c r="X3607">
        <v>0</v>
      </c>
    </row>
    <row r="3608" spans="1:24" x14ac:dyDescent="0.25">
      <c r="A3608" s="234">
        <v>43349</v>
      </c>
      <c r="B3608" t="s">
        <v>569</v>
      </c>
      <c r="C3608" t="s">
        <v>899</v>
      </c>
      <c r="D3608" t="s">
        <v>3505</v>
      </c>
      <c r="E3608" t="s">
        <v>588</v>
      </c>
      <c r="F3608" t="s">
        <v>12539</v>
      </c>
      <c r="H3608" t="s">
        <v>607</v>
      </c>
      <c r="I3608" t="s">
        <v>3649</v>
      </c>
      <c r="J3608" t="s">
        <v>899</v>
      </c>
      <c r="L3608">
        <v>2</v>
      </c>
      <c r="M3608" s="134">
        <v>3159469</v>
      </c>
      <c r="N3608" s="134">
        <v>4157415</v>
      </c>
      <c r="O3608" t="s">
        <v>560</v>
      </c>
      <c r="P3608" t="s">
        <v>12541</v>
      </c>
      <c r="Q3608" t="s">
        <v>620</v>
      </c>
      <c r="R3608" t="s">
        <v>12540</v>
      </c>
      <c r="U3608" t="s">
        <v>12344</v>
      </c>
      <c r="X3608">
        <v>0</v>
      </c>
    </row>
    <row r="3609" spans="1:24" x14ac:dyDescent="0.25">
      <c r="A3609" s="234">
        <v>43502</v>
      </c>
      <c r="B3609" t="s">
        <v>5956</v>
      </c>
      <c r="C3609" t="s">
        <v>3369</v>
      </c>
      <c r="D3609" t="s">
        <v>14284</v>
      </c>
      <c r="F3609" t="s">
        <v>14286</v>
      </c>
      <c r="G3609" t="s">
        <v>14285</v>
      </c>
      <c r="H3609" t="s">
        <v>607</v>
      </c>
      <c r="I3609" t="s">
        <v>8312</v>
      </c>
      <c r="J3609" t="s">
        <v>3369</v>
      </c>
      <c r="K3609" t="s">
        <v>14287</v>
      </c>
      <c r="L3609">
        <v>5</v>
      </c>
      <c r="M3609" s="134">
        <v>3176000</v>
      </c>
      <c r="N3609" s="134">
        <v>5716800</v>
      </c>
      <c r="O3609" t="s">
        <v>10766</v>
      </c>
      <c r="P3609" t="s">
        <v>14288</v>
      </c>
      <c r="Q3609" t="s">
        <v>29</v>
      </c>
      <c r="R3609" t="s">
        <v>14290</v>
      </c>
      <c r="S3609" t="s">
        <v>14289</v>
      </c>
      <c r="U3609" t="s">
        <v>491</v>
      </c>
      <c r="X3609">
        <v>1</v>
      </c>
    </row>
    <row r="3610" spans="1:24" x14ac:dyDescent="0.25">
      <c r="A3610" s="234">
        <v>42908</v>
      </c>
      <c r="B3610" t="s">
        <v>643</v>
      </c>
      <c r="C3610" t="s">
        <v>644</v>
      </c>
      <c r="D3610" t="s">
        <v>645</v>
      </c>
      <c r="E3610" t="s">
        <v>588</v>
      </c>
      <c r="F3610" t="s">
        <v>7327</v>
      </c>
      <c r="H3610" t="s">
        <v>886</v>
      </c>
      <c r="I3610" t="s">
        <v>4861</v>
      </c>
      <c r="J3610" t="s">
        <v>644</v>
      </c>
      <c r="L3610">
        <v>5</v>
      </c>
      <c r="M3610" s="134">
        <v>3200000</v>
      </c>
      <c r="N3610" s="134">
        <v>3200000</v>
      </c>
      <c r="O3610" t="s">
        <v>560</v>
      </c>
      <c r="P3610" t="s">
        <v>7328</v>
      </c>
      <c r="Q3610" t="s">
        <v>1939</v>
      </c>
      <c r="R3610" t="s">
        <v>7332</v>
      </c>
      <c r="U3610" t="s">
        <v>491</v>
      </c>
      <c r="X3610">
        <v>0</v>
      </c>
    </row>
    <row r="3611" spans="1:24" x14ac:dyDescent="0.25">
      <c r="A3611" s="234">
        <v>43531</v>
      </c>
      <c r="B3611" t="s">
        <v>9240</v>
      </c>
      <c r="C3611" t="s">
        <v>603</v>
      </c>
      <c r="D3611" t="s">
        <v>9241</v>
      </c>
      <c r="F3611" t="s">
        <v>14652</v>
      </c>
      <c r="G3611" t="s">
        <v>14653</v>
      </c>
      <c r="H3611" t="s">
        <v>809</v>
      </c>
      <c r="I3611" t="s">
        <v>14824</v>
      </c>
      <c r="J3611" t="s">
        <v>603</v>
      </c>
      <c r="K3611" t="s">
        <v>14654</v>
      </c>
      <c r="L3611">
        <v>4</v>
      </c>
      <c r="M3611" s="134">
        <v>3200000</v>
      </c>
      <c r="N3611" s="134">
        <v>3250000</v>
      </c>
      <c r="O3611" t="s">
        <v>10766</v>
      </c>
      <c r="P3611" t="s">
        <v>14655</v>
      </c>
      <c r="Q3611" t="s">
        <v>1612</v>
      </c>
      <c r="R3611" t="s">
        <v>15417</v>
      </c>
      <c r="U3611" t="s">
        <v>12797</v>
      </c>
      <c r="X3611">
        <v>0</v>
      </c>
    </row>
    <row r="3612" spans="1:24" x14ac:dyDescent="0.25">
      <c r="A3612" s="234">
        <v>42958</v>
      </c>
      <c r="B3612" t="s">
        <v>328</v>
      </c>
      <c r="C3612" t="s">
        <v>603</v>
      </c>
      <c r="D3612" t="s">
        <v>672</v>
      </c>
      <c r="E3612" t="s">
        <v>588</v>
      </c>
      <c r="F3612" t="s">
        <v>8130</v>
      </c>
      <c r="G3612" t="s">
        <v>8131</v>
      </c>
      <c r="H3612" t="s">
        <v>1050</v>
      </c>
      <c r="I3612" t="s">
        <v>3536</v>
      </c>
      <c r="J3612" t="s">
        <v>899</v>
      </c>
      <c r="L3612">
        <v>1</v>
      </c>
      <c r="M3612" s="134">
        <v>3200000</v>
      </c>
      <c r="N3612" s="134">
        <v>3520000</v>
      </c>
      <c r="O3612" t="s">
        <v>2691</v>
      </c>
      <c r="P3612" t="s">
        <v>8132</v>
      </c>
      <c r="Q3612" t="s">
        <v>1939</v>
      </c>
      <c r="R3612" t="s">
        <v>8134</v>
      </c>
      <c r="S3612" t="s">
        <v>8133</v>
      </c>
      <c r="T3612">
        <v>18</v>
      </c>
      <c r="U3612" t="s">
        <v>491</v>
      </c>
      <c r="X3612">
        <v>0</v>
      </c>
    </row>
    <row r="3613" spans="1:24" x14ac:dyDescent="0.25">
      <c r="A3613" s="234">
        <v>43188</v>
      </c>
      <c r="B3613" t="s">
        <v>569</v>
      </c>
      <c r="C3613" t="s">
        <v>899</v>
      </c>
      <c r="D3613" t="s">
        <v>625</v>
      </c>
      <c r="E3613" t="s">
        <v>588</v>
      </c>
      <c r="F3613" t="s">
        <v>10738</v>
      </c>
      <c r="G3613" t="s">
        <v>10739</v>
      </c>
      <c r="H3613" t="s">
        <v>905</v>
      </c>
      <c r="I3613" t="s">
        <v>3388</v>
      </c>
      <c r="J3613" t="s">
        <v>899</v>
      </c>
      <c r="L3613">
        <v>2</v>
      </c>
      <c r="M3613" s="134">
        <v>3200000</v>
      </c>
      <c r="N3613" s="134">
        <v>4220000</v>
      </c>
      <c r="O3613" t="s">
        <v>560</v>
      </c>
      <c r="P3613" t="s">
        <v>10740</v>
      </c>
      <c r="Q3613" t="s">
        <v>592</v>
      </c>
      <c r="R3613" t="s">
        <v>10741</v>
      </c>
      <c r="U3613" t="s">
        <v>1327</v>
      </c>
      <c r="X3613">
        <v>0</v>
      </c>
    </row>
    <row r="3614" spans="1:24" x14ac:dyDescent="0.25">
      <c r="A3614" s="234">
        <v>42492</v>
      </c>
      <c r="B3614" t="s">
        <v>378</v>
      </c>
      <c r="C3614" t="s">
        <v>623</v>
      </c>
      <c r="D3614" t="s">
        <v>930</v>
      </c>
      <c r="E3614" t="s">
        <v>588</v>
      </c>
      <c r="F3614" t="s">
        <v>1909</v>
      </c>
      <c r="H3614" t="s">
        <v>722</v>
      </c>
      <c r="I3614" t="s">
        <v>1910</v>
      </c>
      <c r="M3614" s="134">
        <v>3200000</v>
      </c>
      <c r="N3614" s="134">
        <v>4400000</v>
      </c>
      <c r="O3614" t="s">
        <v>891</v>
      </c>
      <c r="P3614" t="s">
        <v>1911</v>
      </c>
      <c r="Q3614" t="s">
        <v>592</v>
      </c>
      <c r="U3614" t="s">
        <v>491</v>
      </c>
      <c r="X3614">
        <v>0</v>
      </c>
    </row>
    <row r="3615" spans="1:24" x14ac:dyDescent="0.25">
      <c r="A3615" s="234">
        <v>43249</v>
      </c>
      <c r="B3615" t="s">
        <v>328</v>
      </c>
      <c r="C3615" t="s">
        <v>603</v>
      </c>
      <c r="D3615" t="s">
        <v>649</v>
      </c>
      <c r="E3615" t="s">
        <v>588</v>
      </c>
      <c r="F3615" t="s">
        <v>11355</v>
      </c>
      <c r="G3615" t="s">
        <v>9002</v>
      </c>
      <c r="H3615" t="s">
        <v>607</v>
      </c>
      <c r="I3615" t="s">
        <v>5888</v>
      </c>
      <c r="J3615" t="s">
        <v>899</v>
      </c>
      <c r="L3615">
        <v>2</v>
      </c>
      <c r="M3615" s="134">
        <v>3200000</v>
      </c>
      <c r="N3615" s="134">
        <v>4720000</v>
      </c>
      <c r="O3615" t="s">
        <v>560</v>
      </c>
      <c r="P3615" t="s">
        <v>11354</v>
      </c>
      <c r="Q3615" t="s">
        <v>29</v>
      </c>
      <c r="R3615" t="s">
        <v>11353</v>
      </c>
      <c r="U3615" t="s">
        <v>1327</v>
      </c>
      <c r="X3615">
        <v>1</v>
      </c>
    </row>
    <row r="3616" spans="1:24" x14ac:dyDescent="0.25">
      <c r="A3616" s="234">
        <v>42837</v>
      </c>
      <c r="B3616" t="s">
        <v>328</v>
      </c>
      <c r="C3616" t="s">
        <v>899</v>
      </c>
      <c r="D3616" t="s">
        <v>1401</v>
      </c>
      <c r="E3616" t="s">
        <v>588</v>
      </c>
      <c r="F3616" t="s">
        <v>6397</v>
      </c>
      <c r="H3616" t="s">
        <v>607</v>
      </c>
      <c r="I3616" t="s">
        <v>3721</v>
      </c>
      <c r="J3616" t="s">
        <v>899</v>
      </c>
      <c r="L3616">
        <v>1</v>
      </c>
      <c r="M3616" s="134">
        <v>3200000</v>
      </c>
      <c r="N3616" s="134">
        <v>4800000</v>
      </c>
      <c r="O3616" t="s">
        <v>560</v>
      </c>
      <c r="P3616" t="s">
        <v>6398</v>
      </c>
      <c r="Q3616" t="s">
        <v>1939</v>
      </c>
      <c r="R3616" t="s">
        <v>6399</v>
      </c>
      <c r="U3616" t="s">
        <v>491</v>
      </c>
      <c r="X3616">
        <v>0</v>
      </c>
    </row>
    <row r="3617" spans="1:24" x14ac:dyDescent="0.25">
      <c r="A3617" s="234">
        <v>42394</v>
      </c>
      <c r="B3617" t="s">
        <v>378</v>
      </c>
      <c r="C3617" t="s">
        <v>623</v>
      </c>
      <c r="D3617" t="s">
        <v>800</v>
      </c>
      <c r="E3617" t="s">
        <v>588</v>
      </c>
      <c r="F3617" t="s">
        <v>801</v>
      </c>
      <c r="H3617" t="s">
        <v>607</v>
      </c>
      <c r="I3617" t="s">
        <v>802</v>
      </c>
      <c r="M3617" s="134">
        <v>3237480</v>
      </c>
      <c r="N3617" s="134">
        <v>3847480</v>
      </c>
      <c r="O3617" t="s">
        <v>803</v>
      </c>
      <c r="P3617" t="s">
        <v>805</v>
      </c>
      <c r="Q3617" t="s">
        <v>592</v>
      </c>
      <c r="R3617" t="s">
        <v>806</v>
      </c>
      <c r="S3617" t="s">
        <v>915</v>
      </c>
      <c r="U3617" t="s">
        <v>491</v>
      </c>
      <c r="X3617">
        <v>0</v>
      </c>
    </row>
    <row r="3618" spans="1:24" x14ac:dyDescent="0.25">
      <c r="A3618" s="234">
        <v>42823</v>
      </c>
      <c r="B3618" t="s">
        <v>5360</v>
      </c>
      <c r="C3618" t="s">
        <v>899</v>
      </c>
      <c r="D3618" t="s">
        <v>1027</v>
      </c>
      <c r="E3618" t="s">
        <v>588</v>
      </c>
      <c r="F3618" t="s">
        <v>6188</v>
      </c>
      <c r="H3618" t="s">
        <v>607</v>
      </c>
      <c r="J3618" t="s">
        <v>899</v>
      </c>
      <c r="L3618">
        <v>4</v>
      </c>
      <c r="M3618" s="134">
        <v>3240000</v>
      </c>
      <c r="N3618" s="134">
        <v>3864000</v>
      </c>
      <c r="O3618" t="s">
        <v>560</v>
      </c>
      <c r="P3618" t="s">
        <v>6186</v>
      </c>
      <c r="Q3618" t="s">
        <v>592</v>
      </c>
      <c r="R3618" t="s">
        <v>6187</v>
      </c>
      <c r="U3618" t="s">
        <v>1327</v>
      </c>
      <c r="X3618">
        <v>0</v>
      </c>
    </row>
    <row r="3619" spans="1:24" x14ac:dyDescent="0.25">
      <c r="A3619" s="234">
        <v>42998</v>
      </c>
      <c r="B3619" t="s">
        <v>643</v>
      </c>
      <c r="C3619" t="s">
        <v>644</v>
      </c>
      <c r="D3619" t="s">
        <v>645</v>
      </c>
      <c r="E3619" t="s">
        <v>588</v>
      </c>
      <c r="F3619" t="s">
        <v>8634</v>
      </c>
      <c r="G3619" t="s">
        <v>8635</v>
      </c>
      <c r="H3619" t="s">
        <v>5991</v>
      </c>
      <c r="I3619" t="s">
        <v>8636</v>
      </c>
      <c r="J3619" t="s">
        <v>644</v>
      </c>
      <c r="L3619">
        <v>10</v>
      </c>
      <c r="M3619" s="134">
        <v>3243600</v>
      </c>
      <c r="N3619" s="134">
        <v>4742440</v>
      </c>
      <c r="O3619" t="s">
        <v>560</v>
      </c>
      <c r="P3619" t="s">
        <v>8633</v>
      </c>
      <c r="Q3619" t="s">
        <v>1939</v>
      </c>
      <c r="R3619" t="s">
        <v>8678</v>
      </c>
      <c r="S3619" t="s">
        <v>8679</v>
      </c>
      <c r="T3619">
        <v>44</v>
      </c>
      <c r="U3619" t="s">
        <v>491</v>
      </c>
      <c r="X3619">
        <v>0</v>
      </c>
    </row>
    <row r="3620" spans="1:24" x14ac:dyDescent="0.25">
      <c r="A3620" s="234">
        <v>43040</v>
      </c>
      <c r="B3620" t="s">
        <v>328</v>
      </c>
      <c r="C3620" t="s">
        <v>899</v>
      </c>
      <c r="D3620" t="s">
        <v>1401</v>
      </c>
      <c r="E3620" t="s">
        <v>588</v>
      </c>
      <c r="F3620" t="s">
        <v>9313</v>
      </c>
      <c r="G3620" t="s">
        <v>9314</v>
      </c>
      <c r="H3620" t="s">
        <v>1391</v>
      </c>
      <c r="J3620" t="s">
        <v>899</v>
      </c>
      <c r="L3620">
        <v>10</v>
      </c>
      <c r="M3620" s="134">
        <v>3250000</v>
      </c>
      <c r="N3620" s="134">
        <v>4975000</v>
      </c>
      <c r="O3620" t="s">
        <v>560</v>
      </c>
      <c r="P3620" t="s">
        <v>9608</v>
      </c>
      <c r="Q3620" t="s">
        <v>592</v>
      </c>
      <c r="R3620" t="s">
        <v>9315</v>
      </c>
      <c r="U3620" t="s">
        <v>1327</v>
      </c>
      <c r="X3620">
        <v>0</v>
      </c>
    </row>
    <row r="3621" spans="1:24" x14ac:dyDescent="0.25">
      <c r="A3621" s="234">
        <v>42744</v>
      </c>
      <c r="B3621" t="s">
        <v>569</v>
      </c>
      <c r="D3621" t="s">
        <v>625</v>
      </c>
      <c r="E3621" t="s">
        <v>588</v>
      </c>
      <c r="F3621" t="s">
        <v>5229</v>
      </c>
      <c r="H3621" t="s">
        <v>905</v>
      </c>
      <c r="I3621" t="s">
        <v>5230</v>
      </c>
      <c r="J3621" t="s">
        <v>899</v>
      </c>
      <c r="L3621">
        <v>3</v>
      </c>
      <c r="M3621" s="134">
        <v>3267000</v>
      </c>
      <c r="N3621" s="134">
        <v>4247100</v>
      </c>
      <c r="O3621" t="s">
        <v>5231</v>
      </c>
      <c r="P3621" t="s">
        <v>5232</v>
      </c>
      <c r="Q3621" t="s">
        <v>1939</v>
      </c>
      <c r="R3621" t="s">
        <v>5233</v>
      </c>
      <c r="U3621" t="s">
        <v>491</v>
      </c>
      <c r="X3621">
        <v>0</v>
      </c>
    </row>
    <row r="3622" spans="1:24" x14ac:dyDescent="0.25">
      <c r="A3622" s="234">
        <v>43054</v>
      </c>
      <c r="B3622" t="s">
        <v>328</v>
      </c>
      <c r="C3622" t="s">
        <v>603</v>
      </c>
      <c r="D3622" t="s">
        <v>2500</v>
      </c>
      <c r="E3622" t="s">
        <v>588</v>
      </c>
      <c r="F3622" t="s">
        <v>4655</v>
      </c>
      <c r="G3622" t="s">
        <v>9489</v>
      </c>
      <c r="H3622" t="s">
        <v>607</v>
      </c>
      <c r="I3622" t="s">
        <v>8721</v>
      </c>
      <c r="J3622" t="s">
        <v>4031</v>
      </c>
      <c r="L3622">
        <v>4</v>
      </c>
      <c r="M3622" s="134">
        <v>3286000</v>
      </c>
      <c r="N3622" s="134">
        <v>3749450</v>
      </c>
      <c r="O3622" t="s">
        <v>9490</v>
      </c>
      <c r="P3622" t="s">
        <v>9491</v>
      </c>
      <c r="Q3622" t="s">
        <v>1939</v>
      </c>
      <c r="R3622" t="s">
        <v>9492</v>
      </c>
      <c r="U3622" t="s">
        <v>1327</v>
      </c>
      <c r="X3622">
        <v>0</v>
      </c>
    </row>
    <row r="3623" spans="1:24" x14ac:dyDescent="0.25">
      <c r="A3623" s="234">
        <v>42908</v>
      </c>
      <c r="B3623" t="s">
        <v>328</v>
      </c>
      <c r="C3623" t="s">
        <v>603</v>
      </c>
      <c r="D3623" t="s">
        <v>2397</v>
      </c>
      <c r="E3623" t="s">
        <v>588</v>
      </c>
      <c r="F3623" t="s">
        <v>7329</v>
      </c>
      <c r="H3623" t="s">
        <v>809</v>
      </c>
      <c r="I3623" t="s">
        <v>5925</v>
      </c>
      <c r="J3623" t="s">
        <v>959</v>
      </c>
      <c r="L3623">
        <v>4</v>
      </c>
      <c r="M3623" s="134">
        <v>3300000</v>
      </c>
      <c r="N3623" s="134">
        <v>3300000</v>
      </c>
      <c r="O3623" t="s">
        <v>560</v>
      </c>
      <c r="P3623" t="s">
        <v>7331</v>
      </c>
      <c r="Q3623" t="s">
        <v>1939</v>
      </c>
      <c r="R3623" t="s">
        <v>7330</v>
      </c>
      <c r="U3623" t="s">
        <v>491</v>
      </c>
      <c r="X3623">
        <v>0</v>
      </c>
    </row>
    <row r="3624" spans="1:24" x14ac:dyDescent="0.25">
      <c r="A3624" s="234">
        <v>42649</v>
      </c>
      <c r="B3624" t="s">
        <v>328</v>
      </c>
      <c r="C3624" t="s">
        <v>603</v>
      </c>
      <c r="D3624" t="s">
        <v>1471</v>
      </c>
      <c r="E3624" t="s">
        <v>588</v>
      </c>
      <c r="F3624" t="s">
        <v>4195</v>
      </c>
      <c r="H3624" t="s">
        <v>607</v>
      </c>
      <c r="I3624" t="s">
        <v>3639</v>
      </c>
      <c r="J3624" t="s">
        <v>3373</v>
      </c>
      <c r="L3624">
        <v>6</v>
      </c>
      <c r="M3624" s="134">
        <v>3300000</v>
      </c>
      <c r="N3624" s="134">
        <v>3300000</v>
      </c>
      <c r="O3624" t="s">
        <v>4196</v>
      </c>
      <c r="P3624" t="s">
        <v>4197</v>
      </c>
      <c r="Q3624" t="s">
        <v>1939</v>
      </c>
      <c r="R3624" t="s">
        <v>4198</v>
      </c>
      <c r="U3624" t="s">
        <v>491</v>
      </c>
      <c r="X3624">
        <v>0</v>
      </c>
    </row>
    <row r="3625" spans="1:24" x14ac:dyDescent="0.25">
      <c r="A3625" s="234">
        <v>43376</v>
      </c>
      <c r="B3625" t="s">
        <v>569</v>
      </c>
      <c r="C3625" t="s">
        <v>899</v>
      </c>
      <c r="D3625" t="s">
        <v>624</v>
      </c>
      <c r="E3625" t="s">
        <v>588</v>
      </c>
      <c r="F3625" t="s">
        <v>12827</v>
      </c>
      <c r="G3625" t="s">
        <v>8490</v>
      </c>
      <c r="H3625" t="s">
        <v>905</v>
      </c>
      <c r="I3625" t="s">
        <v>3462</v>
      </c>
      <c r="J3625" t="s">
        <v>899</v>
      </c>
      <c r="L3625">
        <v>2</v>
      </c>
      <c r="M3625" s="134">
        <v>3300000</v>
      </c>
      <c r="N3625" s="134">
        <v>3750000</v>
      </c>
      <c r="O3625" t="s">
        <v>560</v>
      </c>
      <c r="P3625" t="s">
        <v>12828</v>
      </c>
      <c r="Q3625" t="s">
        <v>1939</v>
      </c>
      <c r="R3625" t="s">
        <v>12829</v>
      </c>
      <c r="U3625" t="s">
        <v>12344</v>
      </c>
      <c r="X3625">
        <v>0</v>
      </c>
    </row>
    <row r="3626" spans="1:24" x14ac:dyDescent="0.25">
      <c r="A3626" s="234">
        <v>42590</v>
      </c>
      <c r="B3626" t="s">
        <v>378</v>
      </c>
      <c r="C3626" t="s">
        <v>623</v>
      </c>
      <c r="D3626" t="s">
        <v>625</v>
      </c>
      <c r="E3626" t="s">
        <v>588</v>
      </c>
      <c r="F3626" t="s">
        <v>3284</v>
      </c>
      <c r="H3626" t="s">
        <v>3285</v>
      </c>
      <c r="I3626" t="s">
        <v>1077</v>
      </c>
      <c r="J3626" t="s">
        <v>899</v>
      </c>
      <c r="L3626">
        <v>2</v>
      </c>
      <c r="M3626" s="134">
        <v>3300000</v>
      </c>
      <c r="N3626" s="134">
        <v>3960000</v>
      </c>
      <c r="O3626" t="s">
        <v>891</v>
      </c>
      <c r="P3626" t="s">
        <v>3286</v>
      </c>
      <c r="Q3626" t="s">
        <v>1939</v>
      </c>
      <c r="R3626" t="s">
        <v>3287</v>
      </c>
      <c r="S3626" t="s">
        <v>7582</v>
      </c>
      <c r="U3626" t="s">
        <v>491</v>
      </c>
      <c r="X3626">
        <v>0</v>
      </c>
    </row>
    <row r="3627" spans="1:24" x14ac:dyDescent="0.25">
      <c r="A3627" s="234">
        <v>43026</v>
      </c>
      <c r="B3627" t="s">
        <v>328</v>
      </c>
      <c r="C3627" t="s">
        <v>603</v>
      </c>
      <c r="D3627" t="s">
        <v>672</v>
      </c>
      <c r="E3627" t="s">
        <v>588</v>
      </c>
      <c r="F3627" t="s">
        <v>9075</v>
      </c>
      <c r="G3627" t="s">
        <v>9076</v>
      </c>
      <c r="H3627" t="s">
        <v>1391</v>
      </c>
      <c r="I3627" t="s">
        <v>4754</v>
      </c>
      <c r="J3627" t="s">
        <v>899</v>
      </c>
      <c r="L3627">
        <v>4</v>
      </c>
      <c r="M3627" s="134">
        <v>3300000</v>
      </c>
      <c r="N3627" s="134">
        <v>4880000</v>
      </c>
      <c r="O3627" t="s">
        <v>560</v>
      </c>
      <c r="P3627" t="s">
        <v>9077</v>
      </c>
      <c r="Q3627" t="s">
        <v>592</v>
      </c>
      <c r="S3627" t="s">
        <v>9074</v>
      </c>
      <c r="U3627" t="s">
        <v>491</v>
      </c>
      <c r="X3627">
        <v>0</v>
      </c>
    </row>
    <row r="3628" spans="1:24" x14ac:dyDescent="0.25">
      <c r="A3628" s="234">
        <v>43117</v>
      </c>
      <c r="B3628" t="s">
        <v>328</v>
      </c>
      <c r="C3628" t="s">
        <v>603</v>
      </c>
      <c r="D3628" t="s">
        <v>1401</v>
      </c>
      <c r="E3628" t="s">
        <v>588</v>
      </c>
      <c r="F3628" t="s">
        <v>8226</v>
      </c>
      <c r="G3628" t="s">
        <v>10053</v>
      </c>
      <c r="H3628" t="s">
        <v>809</v>
      </c>
      <c r="I3628" t="s">
        <v>10052</v>
      </c>
      <c r="J3628" t="s">
        <v>959</v>
      </c>
      <c r="L3628">
        <v>3</v>
      </c>
      <c r="M3628" s="134">
        <v>3333900</v>
      </c>
      <c r="N3628" s="134">
        <v>3667800</v>
      </c>
      <c r="O3628" t="s">
        <v>560</v>
      </c>
      <c r="P3628" t="s">
        <v>10050</v>
      </c>
      <c r="Q3628" t="s">
        <v>592</v>
      </c>
      <c r="R3628" t="s">
        <v>10051</v>
      </c>
      <c r="U3628" t="s">
        <v>1327</v>
      </c>
      <c r="X3628">
        <v>0</v>
      </c>
    </row>
    <row r="3629" spans="1:24" x14ac:dyDescent="0.25">
      <c r="A3629" s="234">
        <v>42374</v>
      </c>
      <c r="B3629" t="s">
        <v>378</v>
      </c>
      <c r="C3629" t="s">
        <v>623</v>
      </c>
      <c r="D3629" t="s">
        <v>624</v>
      </c>
      <c r="E3629" t="s">
        <v>588</v>
      </c>
      <c r="F3629" t="s">
        <v>626</v>
      </c>
      <c r="H3629" t="s">
        <v>607</v>
      </c>
      <c r="I3629" t="s">
        <v>628</v>
      </c>
      <c r="M3629" s="134">
        <v>3359452</v>
      </c>
      <c r="N3629" s="134">
        <v>3750000</v>
      </c>
      <c r="O3629" t="s">
        <v>560</v>
      </c>
      <c r="P3629" t="s">
        <v>636</v>
      </c>
      <c r="Q3629" t="s">
        <v>620</v>
      </c>
      <c r="R3629" t="s">
        <v>629</v>
      </c>
      <c r="S3629" t="s">
        <v>9694</v>
      </c>
      <c r="U3629" t="s">
        <v>491</v>
      </c>
      <c r="X3629">
        <v>0</v>
      </c>
    </row>
    <row r="3630" spans="1:24" x14ac:dyDescent="0.25">
      <c r="A3630" s="234">
        <v>42676</v>
      </c>
      <c r="B3630" t="s">
        <v>378</v>
      </c>
      <c r="C3630" t="s">
        <v>623</v>
      </c>
      <c r="D3630" t="s">
        <v>625</v>
      </c>
      <c r="E3630" t="s">
        <v>588</v>
      </c>
      <c r="F3630" t="s">
        <v>4570</v>
      </c>
      <c r="H3630" t="s">
        <v>722</v>
      </c>
      <c r="I3630" t="s">
        <v>4571</v>
      </c>
      <c r="J3630" t="s">
        <v>899</v>
      </c>
      <c r="L3630">
        <v>1</v>
      </c>
      <c r="M3630" s="134">
        <v>3365000</v>
      </c>
      <c r="N3630" s="134">
        <v>4975000</v>
      </c>
      <c r="O3630" t="s">
        <v>560</v>
      </c>
      <c r="P3630" t="s">
        <v>4572</v>
      </c>
      <c r="Q3630" t="s">
        <v>592</v>
      </c>
      <c r="U3630" t="s">
        <v>491</v>
      </c>
      <c r="X3630">
        <v>0</v>
      </c>
    </row>
    <row r="3631" spans="1:24" x14ac:dyDescent="0.25">
      <c r="A3631" s="234">
        <v>43125</v>
      </c>
      <c r="B3631" t="s">
        <v>569</v>
      </c>
      <c r="C3631" t="s">
        <v>899</v>
      </c>
      <c r="D3631" t="s">
        <v>624</v>
      </c>
      <c r="E3631" t="s">
        <v>588</v>
      </c>
      <c r="F3631" t="s">
        <v>10197</v>
      </c>
      <c r="G3631" t="s">
        <v>10198</v>
      </c>
      <c r="H3631" t="s">
        <v>905</v>
      </c>
      <c r="I3631" t="s">
        <v>2054</v>
      </c>
      <c r="J3631" t="s">
        <v>899</v>
      </c>
      <c r="L3631">
        <v>2</v>
      </c>
      <c r="M3631" s="134">
        <v>3400000</v>
      </c>
      <c r="N3631" s="134">
        <v>3500000</v>
      </c>
      <c r="O3631" t="s">
        <v>560</v>
      </c>
      <c r="P3631" t="s">
        <v>10199</v>
      </c>
      <c r="Q3631" t="s">
        <v>592</v>
      </c>
      <c r="U3631" t="s">
        <v>1327</v>
      </c>
      <c r="X3631">
        <v>0</v>
      </c>
    </row>
    <row r="3632" spans="1:24" x14ac:dyDescent="0.25">
      <c r="A3632" s="234">
        <v>43368</v>
      </c>
      <c r="B3632" t="s">
        <v>569</v>
      </c>
      <c r="C3632" t="s">
        <v>899</v>
      </c>
      <c r="D3632" t="s">
        <v>3505</v>
      </c>
      <c r="E3632" t="s">
        <v>588</v>
      </c>
      <c r="F3632" t="s">
        <v>12722</v>
      </c>
      <c r="G3632" t="s">
        <v>7761</v>
      </c>
      <c r="H3632" t="s">
        <v>607</v>
      </c>
      <c r="I3632" t="s">
        <v>2054</v>
      </c>
      <c r="J3632" t="s">
        <v>899</v>
      </c>
      <c r="L3632">
        <v>4</v>
      </c>
      <c r="M3632" s="134">
        <v>3400000</v>
      </c>
      <c r="N3632" s="134">
        <v>4550000</v>
      </c>
      <c r="O3632" t="s">
        <v>560</v>
      </c>
      <c r="P3632" t="s">
        <v>12723</v>
      </c>
      <c r="Q3632" t="s">
        <v>29</v>
      </c>
      <c r="R3632" t="s">
        <v>12724</v>
      </c>
      <c r="S3632" t="s">
        <v>12726</v>
      </c>
      <c r="U3632" t="s">
        <v>12344</v>
      </c>
      <c r="V3632" t="s">
        <v>3985</v>
      </c>
      <c r="X3632">
        <v>1</v>
      </c>
    </row>
    <row r="3633" spans="1:24" x14ac:dyDescent="0.25">
      <c r="A3633" s="234">
        <v>43502</v>
      </c>
      <c r="B3633" t="s">
        <v>643</v>
      </c>
      <c r="C3633" t="s">
        <v>644</v>
      </c>
      <c r="D3633" t="s">
        <v>3132</v>
      </c>
      <c r="F3633" t="s">
        <v>14291</v>
      </c>
      <c r="G3633" t="s">
        <v>9060</v>
      </c>
      <c r="H3633" t="s">
        <v>809</v>
      </c>
      <c r="I3633" t="s">
        <v>4390</v>
      </c>
      <c r="J3633" t="s">
        <v>644</v>
      </c>
      <c r="K3633" t="s">
        <v>13083</v>
      </c>
      <c r="L3633">
        <v>4</v>
      </c>
      <c r="M3633" s="134">
        <v>3400000</v>
      </c>
      <c r="N3633" s="134">
        <v>4658000</v>
      </c>
      <c r="O3633" t="s">
        <v>560</v>
      </c>
      <c r="P3633" t="s">
        <v>14292</v>
      </c>
      <c r="Q3633" t="s">
        <v>1939</v>
      </c>
      <c r="R3633" t="s">
        <v>14293</v>
      </c>
      <c r="U3633" t="s">
        <v>491</v>
      </c>
      <c r="X3633">
        <v>0</v>
      </c>
    </row>
    <row r="3634" spans="1:24" x14ac:dyDescent="0.25">
      <c r="A3634" s="234">
        <v>42396</v>
      </c>
      <c r="B3634" t="s">
        <v>378</v>
      </c>
      <c r="C3634" t="s">
        <v>623</v>
      </c>
      <c r="D3634" t="s">
        <v>625</v>
      </c>
      <c r="E3634" t="s">
        <v>588</v>
      </c>
      <c r="F3634" t="s">
        <v>842</v>
      </c>
      <c r="H3634" t="s">
        <v>843</v>
      </c>
      <c r="I3634" t="s">
        <v>844</v>
      </c>
      <c r="M3634" s="134">
        <v>3440000</v>
      </c>
      <c r="N3634" s="134">
        <v>4220000</v>
      </c>
      <c r="O3634" t="s">
        <v>845</v>
      </c>
      <c r="P3634" t="s">
        <v>846</v>
      </c>
      <c r="Q3634" t="s">
        <v>620</v>
      </c>
      <c r="R3634" t="s">
        <v>847</v>
      </c>
      <c r="U3634" t="s">
        <v>491</v>
      </c>
      <c r="X3634">
        <v>0</v>
      </c>
    </row>
    <row r="3635" spans="1:24" x14ac:dyDescent="0.25">
      <c r="A3635" s="234">
        <v>42590</v>
      </c>
      <c r="B3635" t="s">
        <v>378</v>
      </c>
      <c r="C3635" t="s">
        <v>610</v>
      </c>
      <c r="D3635" t="s">
        <v>1027</v>
      </c>
      <c r="E3635" t="s">
        <v>3748</v>
      </c>
      <c r="F3635" t="s">
        <v>3295</v>
      </c>
      <c r="H3635" t="s">
        <v>607</v>
      </c>
      <c r="I3635" t="s">
        <v>789</v>
      </c>
      <c r="J3635" t="s">
        <v>899</v>
      </c>
      <c r="L3635">
        <v>2</v>
      </c>
      <c r="M3635" s="134">
        <v>3466000</v>
      </c>
      <c r="N3635" s="134">
        <v>4237600</v>
      </c>
      <c r="O3635" t="s">
        <v>831</v>
      </c>
      <c r="P3635" t="s">
        <v>3296</v>
      </c>
      <c r="Q3635" t="s">
        <v>592</v>
      </c>
      <c r="U3635" t="s">
        <v>491</v>
      </c>
      <c r="X3635">
        <v>0</v>
      </c>
    </row>
    <row r="3636" spans="1:24" x14ac:dyDescent="0.25">
      <c r="A3636" s="234">
        <v>43052</v>
      </c>
      <c r="B3636" t="s">
        <v>328</v>
      </c>
      <c r="C3636" t="s">
        <v>603</v>
      </c>
      <c r="D3636" t="s">
        <v>672</v>
      </c>
      <c r="E3636" t="s">
        <v>588</v>
      </c>
      <c r="F3636" t="s">
        <v>9437</v>
      </c>
      <c r="G3636" t="s">
        <v>9438</v>
      </c>
      <c r="H3636" t="s">
        <v>607</v>
      </c>
      <c r="J3636" t="s">
        <v>899</v>
      </c>
      <c r="L3636">
        <v>9</v>
      </c>
      <c r="M3636" s="134">
        <v>3500000</v>
      </c>
      <c r="N3636" s="134">
        <v>630000</v>
      </c>
      <c r="O3636" t="s">
        <v>7124</v>
      </c>
      <c r="P3636" t="s">
        <v>9439</v>
      </c>
      <c r="Q3636" t="s">
        <v>1939</v>
      </c>
      <c r="R3636" t="s">
        <v>9440</v>
      </c>
      <c r="U3636" t="s">
        <v>1327</v>
      </c>
      <c r="X3636">
        <v>0</v>
      </c>
    </row>
    <row r="3637" spans="1:24" x14ac:dyDescent="0.25">
      <c r="A3637" s="234">
        <v>43538</v>
      </c>
      <c r="B3637" t="s">
        <v>643</v>
      </c>
      <c r="C3637" t="s">
        <v>644</v>
      </c>
      <c r="D3637" t="s">
        <v>645</v>
      </c>
      <c r="F3637" t="s">
        <v>14279</v>
      </c>
      <c r="G3637" t="s">
        <v>7830</v>
      </c>
      <c r="H3637" t="s">
        <v>809</v>
      </c>
      <c r="I3637" t="s">
        <v>6620</v>
      </c>
      <c r="J3637" t="s">
        <v>3501</v>
      </c>
      <c r="K3637" t="s">
        <v>14716</v>
      </c>
      <c r="L3637">
        <v>3</v>
      </c>
      <c r="M3637" s="134">
        <v>3500000</v>
      </c>
      <c r="N3637" s="134">
        <v>750000</v>
      </c>
      <c r="O3637" t="s">
        <v>560</v>
      </c>
      <c r="P3637" t="s">
        <v>14717</v>
      </c>
      <c r="Q3637" t="s">
        <v>592</v>
      </c>
      <c r="R3637" t="s">
        <v>14718</v>
      </c>
      <c r="U3637" t="s">
        <v>12797</v>
      </c>
      <c r="X3637">
        <v>0</v>
      </c>
    </row>
    <row r="3638" spans="1:24" x14ac:dyDescent="0.25">
      <c r="A3638" s="234">
        <v>43579</v>
      </c>
      <c r="B3638" t="s">
        <v>13559</v>
      </c>
      <c r="C3638" t="s">
        <v>3733</v>
      </c>
      <c r="D3638" t="s">
        <v>15202</v>
      </c>
      <c r="F3638" t="s">
        <v>15203</v>
      </c>
      <c r="H3638" t="s">
        <v>809</v>
      </c>
      <c r="I3638" t="s">
        <v>15204</v>
      </c>
      <c r="J3638" t="s">
        <v>3733</v>
      </c>
      <c r="K3638" t="s">
        <v>15205</v>
      </c>
      <c r="L3638">
        <v>1</v>
      </c>
      <c r="M3638" s="134">
        <v>3500000</v>
      </c>
      <c r="N3638" s="134">
        <v>3500000</v>
      </c>
      <c r="O3638" t="s">
        <v>560</v>
      </c>
      <c r="P3638" t="s">
        <v>15206</v>
      </c>
      <c r="Q3638" t="s">
        <v>1939</v>
      </c>
      <c r="R3638" t="s">
        <v>15207</v>
      </c>
      <c r="S3638" t="s">
        <v>15208</v>
      </c>
      <c r="U3638" t="s">
        <v>491</v>
      </c>
      <c r="X3638">
        <v>0</v>
      </c>
    </row>
    <row r="3639" spans="1:24" x14ac:dyDescent="0.25">
      <c r="A3639" s="234">
        <v>43188</v>
      </c>
      <c r="B3639" t="s">
        <v>643</v>
      </c>
      <c r="C3639" t="s">
        <v>644</v>
      </c>
      <c r="D3639" t="s">
        <v>645</v>
      </c>
      <c r="E3639" t="s">
        <v>588</v>
      </c>
      <c r="F3639" t="s">
        <v>9002</v>
      </c>
      <c r="G3639" t="s">
        <v>10744</v>
      </c>
      <c r="H3639" t="s">
        <v>886</v>
      </c>
      <c r="I3639" t="s">
        <v>6620</v>
      </c>
      <c r="J3639" t="s">
        <v>3501</v>
      </c>
      <c r="L3639">
        <v>3</v>
      </c>
      <c r="M3639" s="134">
        <v>3500000</v>
      </c>
      <c r="N3639" s="134">
        <v>3500000</v>
      </c>
      <c r="O3639" t="s">
        <v>2295</v>
      </c>
      <c r="P3639" t="s">
        <v>10743</v>
      </c>
      <c r="Q3639" t="s">
        <v>1939</v>
      </c>
      <c r="R3639" t="s">
        <v>10742</v>
      </c>
      <c r="U3639" t="s">
        <v>1327</v>
      </c>
      <c r="X3639">
        <v>0</v>
      </c>
    </row>
    <row r="3640" spans="1:24" x14ac:dyDescent="0.25">
      <c r="A3640" s="234">
        <v>43201</v>
      </c>
      <c r="B3640" t="s">
        <v>569</v>
      </c>
      <c r="C3640" t="s">
        <v>899</v>
      </c>
      <c r="D3640" t="s">
        <v>625</v>
      </c>
      <c r="E3640" t="s">
        <v>588</v>
      </c>
      <c r="F3640" t="s">
        <v>10931</v>
      </c>
      <c r="G3640" t="s">
        <v>10931</v>
      </c>
      <c r="H3640" t="s">
        <v>809</v>
      </c>
      <c r="I3640" t="s">
        <v>10930</v>
      </c>
      <c r="J3640" t="s">
        <v>899</v>
      </c>
      <c r="L3640">
        <v>2</v>
      </c>
      <c r="M3640" s="134">
        <v>3500000</v>
      </c>
      <c r="N3640" s="134">
        <v>3500000</v>
      </c>
      <c r="O3640" t="s">
        <v>560</v>
      </c>
      <c r="P3640" t="s">
        <v>10929</v>
      </c>
      <c r="Q3640" t="s">
        <v>1939</v>
      </c>
      <c r="R3640" t="s">
        <v>10928</v>
      </c>
      <c r="U3640" t="s">
        <v>1327</v>
      </c>
      <c r="X3640">
        <v>0</v>
      </c>
    </row>
    <row r="3641" spans="1:24" x14ac:dyDescent="0.25">
      <c r="A3641" s="234">
        <v>42438</v>
      </c>
      <c r="B3641" t="s">
        <v>328</v>
      </c>
      <c r="C3641" t="s">
        <v>603</v>
      </c>
      <c r="D3641" t="s">
        <v>757</v>
      </c>
      <c r="E3641" t="s">
        <v>588</v>
      </c>
      <c r="F3641" t="s">
        <v>1275</v>
      </c>
      <c r="H3641" t="s">
        <v>1050</v>
      </c>
      <c r="M3641" s="134">
        <v>3500000</v>
      </c>
      <c r="N3641" s="134">
        <v>3500000</v>
      </c>
      <c r="O3641" t="s">
        <v>891</v>
      </c>
      <c r="P3641" t="s">
        <v>1279</v>
      </c>
      <c r="Q3641" t="s">
        <v>592</v>
      </c>
      <c r="U3641" t="s">
        <v>491</v>
      </c>
      <c r="X3641">
        <v>0</v>
      </c>
    </row>
    <row r="3642" spans="1:24" x14ac:dyDescent="0.25">
      <c r="A3642" s="234">
        <v>42492</v>
      </c>
      <c r="B3642" t="s">
        <v>378</v>
      </c>
      <c r="C3642" t="s">
        <v>623</v>
      </c>
      <c r="D3642" t="s">
        <v>930</v>
      </c>
      <c r="E3642" t="s">
        <v>588</v>
      </c>
      <c r="F3642" t="s">
        <v>1906</v>
      </c>
      <c r="H3642" t="s">
        <v>886</v>
      </c>
      <c r="I3642" t="s">
        <v>1907</v>
      </c>
      <c r="M3642" s="134">
        <v>3500000</v>
      </c>
      <c r="N3642" s="134">
        <v>3500000</v>
      </c>
      <c r="O3642" t="s">
        <v>891</v>
      </c>
      <c r="P3642" t="s">
        <v>1908</v>
      </c>
      <c r="Q3642" t="s">
        <v>592</v>
      </c>
      <c r="U3642" t="s">
        <v>491</v>
      </c>
      <c r="X3642">
        <v>0</v>
      </c>
    </row>
    <row r="3643" spans="1:24" x14ac:dyDescent="0.25">
      <c r="A3643" s="234">
        <v>43410</v>
      </c>
      <c r="B3643" t="s">
        <v>643</v>
      </c>
      <c r="C3643" t="s">
        <v>644</v>
      </c>
      <c r="D3643" t="s">
        <v>645</v>
      </c>
      <c r="F3643" t="s">
        <v>126</v>
      </c>
      <c r="G3643" t="s">
        <v>10272</v>
      </c>
      <c r="H3643" t="s">
        <v>809</v>
      </c>
      <c r="I3643" t="s">
        <v>5212</v>
      </c>
      <c r="J3643" t="s">
        <v>644</v>
      </c>
      <c r="K3643" t="s">
        <v>13136</v>
      </c>
      <c r="L3643">
        <v>2</v>
      </c>
      <c r="M3643" s="134">
        <v>3500000</v>
      </c>
      <c r="N3643" s="134">
        <v>3650000</v>
      </c>
      <c r="O3643" t="s">
        <v>560</v>
      </c>
      <c r="P3643" t="s">
        <v>13137</v>
      </c>
      <c r="Q3643" t="s">
        <v>1939</v>
      </c>
      <c r="R3643" t="s">
        <v>13138</v>
      </c>
      <c r="U3643" t="s">
        <v>12344</v>
      </c>
      <c r="X3643">
        <v>0</v>
      </c>
    </row>
    <row r="3644" spans="1:24" x14ac:dyDescent="0.25">
      <c r="A3644" s="234">
        <v>42914</v>
      </c>
      <c r="B3644" t="s">
        <v>328</v>
      </c>
      <c r="C3644" t="s">
        <v>603</v>
      </c>
      <c r="D3644" t="s">
        <v>2397</v>
      </c>
      <c r="E3644" t="s">
        <v>588</v>
      </c>
      <c r="F3644" t="s">
        <v>7416</v>
      </c>
      <c r="H3644" t="s">
        <v>7247</v>
      </c>
      <c r="I3644" t="s">
        <v>6607</v>
      </c>
      <c r="J3644" t="s">
        <v>899</v>
      </c>
      <c r="L3644">
        <v>2</v>
      </c>
      <c r="M3644" s="134">
        <v>3500000</v>
      </c>
      <c r="N3644" s="134">
        <v>3700000</v>
      </c>
      <c r="O3644" t="s">
        <v>560</v>
      </c>
      <c r="P3644" t="s">
        <v>7417</v>
      </c>
      <c r="Q3644" t="s">
        <v>1939</v>
      </c>
      <c r="R3644" t="s">
        <v>7418</v>
      </c>
      <c r="U3644" t="s">
        <v>491</v>
      </c>
      <c r="X3644">
        <v>0</v>
      </c>
    </row>
    <row r="3645" spans="1:24" x14ac:dyDescent="0.25">
      <c r="A3645" s="234">
        <v>43223</v>
      </c>
      <c r="B3645" t="s">
        <v>569</v>
      </c>
      <c r="C3645" t="s">
        <v>899</v>
      </c>
      <c r="D3645" t="s">
        <v>625</v>
      </c>
      <c r="E3645" t="s">
        <v>821</v>
      </c>
      <c r="F3645" t="s">
        <v>8966</v>
      </c>
      <c r="H3645" t="s">
        <v>886</v>
      </c>
      <c r="I3645" t="s">
        <v>3388</v>
      </c>
      <c r="J3645" t="s">
        <v>899</v>
      </c>
      <c r="M3645" s="134">
        <v>3500000</v>
      </c>
      <c r="N3645" s="134">
        <v>3750000</v>
      </c>
      <c r="O3645" t="s">
        <v>560</v>
      </c>
      <c r="P3645" t="s">
        <v>11124</v>
      </c>
      <c r="Q3645" t="s">
        <v>592</v>
      </c>
      <c r="R3645" t="s">
        <v>11131</v>
      </c>
      <c r="U3645" t="s">
        <v>491</v>
      </c>
      <c r="X3645">
        <v>0</v>
      </c>
    </row>
    <row r="3646" spans="1:24" x14ac:dyDescent="0.25">
      <c r="A3646" s="234">
        <v>43133</v>
      </c>
      <c r="B3646" t="s">
        <v>328</v>
      </c>
      <c r="C3646" t="s">
        <v>603</v>
      </c>
      <c r="D3646" t="s">
        <v>5701</v>
      </c>
      <c r="E3646" t="s">
        <v>588</v>
      </c>
      <c r="F3646" t="s">
        <v>10264</v>
      </c>
      <c r="G3646" t="s">
        <v>10264</v>
      </c>
      <c r="H3646" t="s">
        <v>905</v>
      </c>
      <c r="I3646" t="s">
        <v>3929</v>
      </c>
      <c r="J3646" t="s">
        <v>899</v>
      </c>
      <c r="L3646">
        <v>1</v>
      </c>
      <c r="M3646" s="134">
        <v>3500000</v>
      </c>
      <c r="N3646" s="134">
        <v>3850000</v>
      </c>
      <c r="O3646" t="s">
        <v>560</v>
      </c>
      <c r="P3646" t="s">
        <v>10265</v>
      </c>
      <c r="Q3646" t="s">
        <v>592</v>
      </c>
      <c r="R3646" t="s">
        <v>10266</v>
      </c>
      <c r="U3646" t="s">
        <v>1327</v>
      </c>
      <c r="X3646">
        <v>0</v>
      </c>
    </row>
    <row r="3647" spans="1:24" x14ac:dyDescent="0.25">
      <c r="A3647" s="234">
        <v>43180</v>
      </c>
      <c r="B3647" t="s">
        <v>569</v>
      </c>
      <c r="C3647" t="s">
        <v>899</v>
      </c>
      <c r="D3647" t="s">
        <v>625</v>
      </c>
      <c r="E3647" t="s">
        <v>588</v>
      </c>
      <c r="F3647" t="s">
        <v>8622</v>
      </c>
      <c r="G3647" t="s">
        <v>10458</v>
      </c>
      <c r="H3647" t="s">
        <v>1050</v>
      </c>
      <c r="I3647" t="s">
        <v>3388</v>
      </c>
      <c r="J3647" t="s">
        <v>899</v>
      </c>
      <c r="L3647">
        <v>2</v>
      </c>
      <c r="M3647" s="134">
        <v>3500000</v>
      </c>
      <c r="N3647" s="134">
        <v>3850000</v>
      </c>
      <c r="O3647" t="s">
        <v>560</v>
      </c>
      <c r="P3647" t="s">
        <v>10677</v>
      </c>
      <c r="Q3647" t="s">
        <v>1939</v>
      </c>
      <c r="R3647" t="s">
        <v>10684</v>
      </c>
      <c r="U3647" t="s">
        <v>1327</v>
      </c>
      <c r="X3647">
        <v>0</v>
      </c>
    </row>
    <row r="3648" spans="1:24" x14ac:dyDescent="0.25">
      <c r="A3648" s="234">
        <v>43025</v>
      </c>
      <c r="B3648" t="s">
        <v>328</v>
      </c>
      <c r="C3648" t="s">
        <v>603</v>
      </c>
      <c r="D3648" t="s">
        <v>672</v>
      </c>
      <c r="E3648" t="s">
        <v>588</v>
      </c>
      <c r="F3648" t="s">
        <v>9055</v>
      </c>
      <c r="G3648" t="s">
        <v>7880</v>
      </c>
      <c r="H3648" t="s">
        <v>809</v>
      </c>
      <c r="I3648" t="s">
        <v>9056</v>
      </c>
      <c r="J3648" t="s">
        <v>5610</v>
      </c>
      <c r="L3648">
        <v>10</v>
      </c>
      <c r="M3648" s="134">
        <v>3500000</v>
      </c>
      <c r="N3648" s="134">
        <v>3850000</v>
      </c>
      <c r="O3648" t="s">
        <v>560</v>
      </c>
      <c r="P3648" t="s">
        <v>9057</v>
      </c>
      <c r="Q3648" t="s">
        <v>592</v>
      </c>
      <c r="R3648" t="s">
        <v>9058</v>
      </c>
      <c r="U3648" t="s">
        <v>491</v>
      </c>
      <c r="X3648">
        <v>0</v>
      </c>
    </row>
    <row r="3649" spans="1:24" x14ac:dyDescent="0.25">
      <c r="A3649" s="234">
        <v>42634</v>
      </c>
      <c r="B3649" t="s">
        <v>378</v>
      </c>
      <c r="C3649" t="s">
        <v>623</v>
      </c>
      <c r="D3649" t="s">
        <v>625</v>
      </c>
      <c r="E3649" t="s">
        <v>692</v>
      </c>
      <c r="F3649" t="s">
        <v>4010</v>
      </c>
      <c r="H3649" t="s">
        <v>809</v>
      </c>
      <c r="I3649" t="s">
        <v>3536</v>
      </c>
      <c r="J3649" t="s">
        <v>899</v>
      </c>
      <c r="L3649">
        <v>3</v>
      </c>
      <c r="M3649" s="134">
        <v>3500000</v>
      </c>
      <c r="N3649" s="134">
        <v>3850000</v>
      </c>
      <c r="O3649" t="s">
        <v>4011</v>
      </c>
      <c r="P3649" t="s">
        <v>4012</v>
      </c>
      <c r="Q3649" t="s">
        <v>592</v>
      </c>
      <c r="R3649" t="s">
        <v>4013</v>
      </c>
      <c r="U3649" t="s">
        <v>491</v>
      </c>
      <c r="X3649">
        <v>0</v>
      </c>
    </row>
    <row r="3650" spans="1:24" x14ac:dyDescent="0.25">
      <c r="A3650" s="234">
        <v>42660</v>
      </c>
      <c r="B3650" t="s">
        <v>378</v>
      </c>
      <c r="C3650" t="s">
        <v>623</v>
      </c>
      <c r="D3650" t="s">
        <v>930</v>
      </c>
      <c r="E3650" t="s">
        <v>588</v>
      </c>
      <c r="F3650" t="s">
        <v>4341</v>
      </c>
      <c r="H3650" t="s">
        <v>1050</v>
      </c>
      <c r="I3650" t="s">
        <v>4342</v>
      </c>
      <c r="J3650" t="s">
        <v>899</v>
      </c>
      <c r="L3650">
        <v>4</v>
      </c>
      <c r="M3650" s="134">
        <v>3500000</v>
      </c>
      <c r="N3650" s="134">
        <v>3850000</v>
      </c>
      <c r="Q3650" t="s">
        <v>1939</v>
      </c>
      <c r="U3650" t="s">
        <v>491</v>
      </c>
      <c r="X3650">
        <v>0</v>
      </c>
    </row>
    <row r="3651" spans="1:24" x14ac:dyDescent="0.25">
      <c r="A3651" s="234">
        <v>43475</v>
      </c>
      <c r="B3651" t="s">
        <v>328</v>
      </c>
      <c r="C3651" t="s">
        <v>603</v>
      </c>
      <c r="D3651" t="s">
        <v>649</v>
      </c>
      <c r="F3651" t="s">
        <v>13538</v>
      </c>
      <c r="H3651" t="s">
        <v>905</v>
      </c>
      <c r="I3651" t="s">
        <v>3929</v>
      </c>
      <c r="J3651" t="s">
        <v>899</v>
      </c>
      <c r="K3651" t="s">
        <v>13539</v>
      </c>
      <c r="L3651">
        <v>1</v>
      </c>
      <c r="M3651" s="134">
        <v>3500000</v>
      </c>
      <c r="N3651" s="134">
        <v>3870000</v>
      </c>
      <c r="O3651" t="s">
        <v>560</v>
      </c>
      <c r="P3651" t="s">
        <v>13920</v>
      </c>
      <c r="Q3651" t="s">
        <v>29</v>
      </c>
      <c r="R3651" t="s">
        <v>13921</v>
      </c>
      <c r="U3651" t="s">
        <v>491</v>
      </c>
      <c r="X3651">
        <v>1</v>
      </c>
    </row>
    <row r="3652" spans="1:24" x14ac:dyDescent="0.25">
      <c r="A3652" s="234">
        <v>43440</v>
      </c>
      <c r="B3652" t="s">
        <v>328</v>
      </c>
      <c r="C3652" t="s">
        <v>603</v>
      </c>
      <c r="D3652" t="s">
        <v>7595</v>
      </c>
      <c r="F3652" t="s">
        <v>13538</v>
      </c>
      <c r="H3652" t="s">
        <v>905</v>
      </c>
      <c r="I3652" t="s">
        <v>3929</v>
      </c>
      <c r="J3652" t="s">
        <v>899</v>
      </c>
      <c r="K3652" t="s">
        <v>13539</v>
      </c>
      <c r="L3652">
        <v>1</v>
      </c>
      <c r="M3652" s="134">
        <v>3500000</v>
      </c>
      <c r="N3652" s="134">
        <v>3870000</v>
      </c>
      <c r="O3652" t="s">
        <v>560</v>
      </c>
      <c r="P3652" t="s">
        <v>13540</v>
      </c>
      <c r="Q3652" t="s">
        <v>592</v>
      </c>
      <c r="R3652" t="s">
        <v>13541</v>
      </c>
      <c r="U3652" t="s">
        <v>491</v>
      </c>
      <c r="X3652">
        <v>0</v>
      </c>
    </row>
    <row r="3653" spans="1:24" x14ac:dyDescent="0.25">
      <c r="A3653" s="234">
        <v>43178</v>
      </c>
      <c r="B3653" t="s">
        <v>9240</v>
      </c>
      <c r="C3653" t="s">
        <v>603</v>
      </c>
      <c r="D3653" t="s">
        <v>9241</v>
      </c>
      <c r="E3653" t="s">
        <v>821</v>
      </c>
      <c r="F3653" t="s">
        <v>10640</v>
      </c>
      <c r="G3653" t="s">
        <v>10641</v>
      </c>
      <c r="H3653" t="s">
        <v>10831</v>
      </c>
      <c r="I3653" t="s">
        <v>10642</v>
      </c>
      <c r="J3653" t="s">
        <v>603</v>
      </c>
      <c r="L3653">
        <v>10</v>
      </c>
      <c r="M3653" s="134">
        <v>3500000</v>
      </c>
      <c r="N3653" s="134">
        <v>4000000</v>
      </c>
      <c r="O3653" t="s">
        <v>560</v>
      </c>
      <c r="P3653" t="s">
        <v>10643</v>
      </c>
      <c r="Q3653" t="s">
        <v>620</v>
      </c>
      <c r="R3653" t="s">
        <v>10644</v>
      </c>
      <c r="U3653" t="s">
        <v>491</v>
      </c>
      <c r="X3653">
        <v>0</v>
      </c>
    </row>
    <row r="3654" spans="1:24" x14ac:dyDescent="0.25">
      <c r="A3654" s="234">
        <v>42880</v>
      </c>
      <c r="B3654" t="s">
        <v>569</v>
      </c>
      <c r="D3654" t="s">
        <v>625</v>
      </c>
      <c r="E3654" t="s">
        <v>588</v>
      </c>
      <c r="F3654" t="s">
        <v>6901</v>
      </c>
      <c r="H3654" t="s">
        <v>1050</v>
      </c>
      <c r="I3654" t="s">
        <v>3388</v>
      </c>
      <c r="J3654" t="s">
        <v>899</v>
      </c>
      <c r="M3654" s="134">
        <v>3500000</v>
      </c>
      <c r="N3654" s="134">
        <v>4100000</v>
      </c>
      <c r="O3654" t="s">
        <v>639</v>
      </c>
      <c r="P3654" t="s">
        <v>6902</v>
      </c>
      <c r="Q3654" t="s">
        <v>592</v>
      </c>
      <c r="U3654" t="s">
        <v>491</v>
      </c>
      <c r="X3654">
        <v>0</v>
      </c>
    </row>
    <row r="3655" spans="1:24" x14ac:dyDescent="0.25">
      <c r="A3655" s="234">
        <v>43270</v>
      </c>
      <c r="B3655" t="s">
        <v>328</v>
      </c>
      <c r="C3655" t="s">
        <v>603</v>
      </c>
      <c r="D3655" t="s">
        <v>11573</v>
      </c>
      <c r="E3655" t="s">
        <v>588</v>
      </c>
      <c r="F3655" t="s">
        <v>11574</v>
      </c>
      <c r="G3655" t="s">
        <v>11575</v>
      </c>
      <c r="H3655" t="s">
        <v>886</v>
      </c>
      <c r="J3655" t="s">
        <v>3398</v>
      </c>
      <c r="L3655">
        <v>10</v>
      </c>
      <c r="M3655" s="134">
        <v>3500000</v>
      </c>
      <c r="N3655" s="134">
        <v>4140000</v>
      </c>
      <c r="O3655" t="s">
        <v>7124</v>
      </c>
      <c r="P3655" t="s">
        <v>11576</v>
      </c>
      <c r="Q3655" t="s">
        <v>1939</v>
      </c>
      <c r="R3655" t="s">
        <v>11577</v>
      </c>
      <c r="U3655" t="s">
        <v>1327</v>
      </c>
      <c r="X3655">
        <v>0</v>
      </c>
    </row>
    <row r="3656" spans="1:24" x14ac:dyDescent="0.25">
      <c r="A3656" s="234">
        <v>42926</v>
      </c>
      <c r="B3656" t="s">
        <v>569</v>
      </c>
      <c r="D3656" t="s">
        <v>625</v>
      </c>
      <c r="E3656" t="s">
        <v>588</v>
      </c>
      <c r="F3656" t="s">
        <v>7550</v>
      </c>
      <c r="H3656" t="s">
        <v>607</v>
      </c>
      <c r="I3656" t="s">
        <v>3536</v>
      </c>
      <c r="J3656" t="s">
        <v>899</v>
      </c>
      <c r="M3656" s="134">
        <v>3500000</v>
      </c>
      <c r="N3656" s="134">
        <v>4350000</v>
      </c>
      <c r="O3656" t="s">
        <v>560</v>
      </c>
      <c r="P3656" t="s">
        <v>7551</v>
      </c>
      <c r="Q3656" t="s">
        <v>592</v>
      </c>
      <c r="R3656" t="s">
        <v>7552</v>
      </c>
      <c r="U3656" t="s">
        <v>491</v>
      </c>
      <c r="X3656">
        <v>0</v>
      </c>
    </row>
    <row r="3657" spans="1:24" x14ac:dyDescent="0.25">
      <c r="A3657" s="234">
        <v>42445</v>
      </c>
      <c r="B3657" t="s">
        <v>643</v>
      </c>
      <c r="D3657" t="s">
        <v>645</v>
      </c>
      <c r="E3657" t="s">
        <v>588</v>
      </c>
      <c r="F3657" t="s">
        <v>1333</v>
      </c>
      <c r="H3657" t="s">
        <v>905</v>
      </c>
      <c r="I3657" t="s">
        <v>1334</v>
      </c>
      <c r="M3657" s="134">
        <v>3500000</v>
      </c>
      <c r="N3657" s="134">
        <v>4500000</v>
      </c>
      <c r="O3657" t="s">
        <v>891</v>
      </c>
      <c r="P3657" t="s">
        <v>1335</v>
      </c>
      <c r="Q3657" t="s">
        <v>29</v>
      </c>
      <c r="R3657" t="s">
        <v>1336</v>
      </c>
      <c r="U3657" t="s">
        <v>491</v>
      </c>
      <c r="X3657">
        <v>1</v>
      </c>
    </row>
    <row r="3658" spans="1:24" x14ac:dyDescent="0.25">
      <c r="A3658" s="234">
        <v>42738</v>
      </c>
      <c r="B3658" t="s">
        <v>569</v>
      </c>
      <c r="C3658" t="s">
        <v>833</v>
      </c>
      <c r="D3658" t="s">
        <v>625</v>
      </c>
      <c r="E3658" t="s">
        <v>588</v>
      </c>
      <c r="F3658" t="s">
        <v>5159</v>
      </c>
      <c r="H3658" t="s">
        <v>905</v>
      </c>
      <c r="I3658" t="s">
        <v>2054</v>
      </c>
      <c r="J3658" t="s">
        <v>899</v>
      </c>
      <c r="L3658">
        <v>2</v>
      </c>
      <c r="M3658" s="134">
        <v>3500000</v>
      </c>
      <c r="N3658" s="134">
        <v>4550000</v>
      </c>
      <c r="O3658" t="s">
        <v>695</v>
      </c>
      <c r="P3658" t="s">
        <v>5160</v>
      </c>
      <c r="Q3658" t="s">
        <v>1612</v>
      </c>
      <c r="R3658" t="s">
        <v>5157</v>
      </c>
      <c r="S3658" t="s">
        <v>5175</v>
      </c>
      <c r="U3658" t="s">
        <v>491</v>
      </c>
      <c r="X3658">
        <v>0</v>
      </c>
    </row>
    <row r="3659" spans="1:24" x14ac:dyDescent="0.25">
      <c r="A3659" s="234">
        <v>42633</v>
      </c>
      <c r="B3659" t="s">
        <v>378</v>
      </c>
      <c r="C3659" t="s">
        <v>610</v>
      </c>
      <c r="D3659" t="s">
        <v>732</v>
      </c>
      <c r="E3659" t="s">
        <v>692</v>
      </c>
      <c r="F3659" t="s">
        <v>3990</v>
      </c>
      <c r="H3659" t="s">
        <v>905</v>
      </c>
      <c r="I3659" t="s">
        <v>3649</v>
      </c>
      <c r="J3659" t="s">
        <v>899</v>
      </c>
      <c r="L3659">
        <v>4</v>
      </c>
      <c r="M3659" s="134">
        <v>3500000</v>
      </c>
      <c r="N3659" s="134">
        <v>4700000</v>
      </c>
      <c r="O3659" t="s">
        <v>560</v>
      </c>
      <c r="P3659" t="s">
        <v>3991</v>
      </c>
      <c r="Q3659" t="s">
        <v>592</v>
      </c>
      <c r="U3659" t="s">
        <v>491</v>
      </c>
      <c r="X3659">
        <v>0</v>
      </c>
    </row>
    <row r="3660" spans="1:24" x14ac:dyDescent="0.25">
      <c r="A3660" s="234">
        <v>42926</v>
      </c>
      <c r="B3660" t="s">
        <v>569</v>
      </c>
      <c r="D3660" t="s">
        <v>625</v>
      </c>
      <c r="E3660" t="s">
        <v>588</v>
      </c>
      <c r="F3660" t="s">
        <v>6901</v>
      </c>
      <c r="H3660" t="s">
        <v>809</v>
      </c>
      <c r="J3660" t="s">
        <v>899</v>
      </c>
      <c r="L3660" t="s">
        <v>833</v>
      </c>
      <c r="M3660" s="134">
        <v>3500000</v>
      </c>
      <c r="N3660" s="134">
        <v>4800000</v>
      </c>
      <c r="O3660" t="s">
        <v>7543</v>
      </c>
      <c r="P3660" t="s">
        <v>7544</v>
      </c>
      <c r="Q3660" t="s">
        <v>1939</v>
      </c>
      <c r="R3660" t="s">
        <v>7545</v>
      </c>
      <c r="U3660" t="s">
        <v>491</v>
      </c>
      <c r="X3660">
        <v>0</v>
      </c>
    </row>
    <row r="3661" spans="1:24" x14ac:dyDescent="0.25">
      <c r="A3661" s="234">
        <v>42940</v>
      </c>
      <c r="B3661" t="s">
        <v>328</v>
      </c>
      <c r="C3661" t="s">
        <v>603</v>
      </c>
      <c r="D3661" t="s">
        <v>672</v>
      </c>
      <c r="E3661" t="s">
        <v>588</v>
      </c>
      <c r="F3661" t="s">
        <v>7734</v>
      </c>
      <c r="G3661" t="s">
        <v>7724</v>
      </c>
      <c r="H3661" t="s">
        <v>905</v>
      </c>
      <c r="I3661" t="s">
        <v>5230</v>
      </c>
      <c r="J3661" t="s">
        <v>899</v>
      </c>
      <c r="L3661">
        <v>3</v>
      </c>
      <c r="M3661" s="134">
        <v>3500000</v>
      </c>
      <c r="N3661" s="134">
        <v>4910000</v>
      </c>
      <c r="O3661" t="s">
        <v>560</v>
      </c>
      <c r="P3661" t="s">
        <v>7725</v>
      </c>
      <c r="Q3661" t="s">
        <v>592</v>
      </c>
      <c r="U3661" t="s">
        <v>491</v>
      </c>
      <c r="X3661">
        <v>0</v>
      </c>
    </row>
    <row r="3662" spans="1:24" x14ac:dyDescent="0.25">
      <c r="A3662" s="234">
        <v>43027</v>
      </c>
      <c r="B3662" t="s">
        <v>328</v>
      </c>
      <c r="C3662" t="s">
        <v>603</v>
      </c>
      <c r="D3662" t="s">
        <v>649</v>
      </c>
      <c r="E3662" t="s">
        <v>588</v>
      </c>
      <c r="F3662" t="s">
        <v>9117</v>
      </c>
      <c r="G3662" t="s">
        <v>9118</v>
      </c>
      <c r="H3662" t="s">
        <v>1391</v>
      </c>
      <c r="I3662" t="s">
        <v>9119</v>
      </c>
      <c r="J3662" t="s">
        <v>899</v>
      </c>
      <c r="L3662">
        <v>4</v>
      </c>
      <c r="M3662" s="134">
        <v>3500000</v>
      </c>
      <c r="N3662" s="134">
        <v>5000000</v>
      </c>
      <c r="O3662" t="s">
        <v>560</v>
      </c>
      <c r="P3662" t="s">
        <v>9120</v>
      </c>
      <c r="Q3662" t="s">
        <v>592</v>
      </c>
      <c r="R3662" t="s">
        <v>9121</v>
      </c>
      <c r="S3662" t="s">
        <v>9122</v>
      </c>
      <c r="U3662" t="s">
        <v>1327</v>
      </c>
      <c r="X3662">
        <v>0</v>
      </c>
    </row>
    <row r="3663" spans="1:24" x14ac:dyDescent="0.25">
      <c r="A3663" s="234">
        <v>42496</v>
      </c>
      <c r="B3663" t="s">
        <v>378</v>
      </c>
      <c r="C3663" t="s">
        <v>623</v>
      </c>
      <c r="D3663" t="s">
        <v>625</v>
      </c>
      <c r="E3663" t="s">
        <v>588</v>
      </c>
      <c r="F3663" t="s">
        <v>1966</v>
      </c>
      <c r="H3663" t="s">
        <v>722</v>
      </c>
      <c r="I3663" t="s">
        <v>1577</v>
      </c>
      <c r="M3663" s="134">
        <v>3515000</v>
      </c>
      <c r="N3663" s="134">
        <v>4772100</v>
      </c>
      <c r="O3663" t="s">
        <v>891</v>
      </c>
      <c r="P3663" t="s">
        <v>2360</v>
      </c>
      <c r="Q3663" t="s">
        <v>1612</v>
      </c>
      <c r="R3663" t="s">
        <v>1967</v>
      </c>
      <c r="S3663" t="s">
        <v>3118</v>
      </c>
      <c r="U3663" t="s">
        <v>491</v>
      </c>
      <c r="X3663">
        <v>0</v>
      </c>
    </row>
    <row r="3664" spans="1:24" x14ac:dyDescent="0.25">
      <c r="A3664" s="234">
        <v>43069</v>
      </c>
      <c r="B3664" t="s">
        <v>328</v>
      </c>
      <c r="C3664" t="s">
        <v>603</v>
      </c>
      <c r="D3664" t="s">
        <v>649</v>
      </c>
      <c r="E3664" t="s">
        <v>588</v>
      </c>
      <c r="F3664" t="s">
        <v>384</v>
      </c>
      <c r="G3664" t="s">
        <v>9578</v>
      </c>
      <c r="H3664" t="s">
        <v>886</v>
      </c>
      <c r="I3664" t="s">
        <v>9579</v>
      </c>
      <c r="J3664" t="s">
        <v>899</v>
      </c>
      <c r="L3664">
        <v>2</v>
      </c>
      <c r="M3664" s="134">
        <v>3570000</v>
      </c>
      <c r="N3664" s="134">
        <v>5000000</v>
      </c>
      <c r="O3664" t="s">
        <v>560</v>
      </c>
      <c r="P3664" t="s">
        <v>9580</v>
      </c>
      <c r="Q3664" t="s">
        <v>592</v>
      </c>
      <c r="R3664" t="s">
        <v>9581</v>
      </c>
      <c r="S3664" t="s">
        <v>9766</v>
      </c>
      <c r="U3664" t="s">
        <v>1327</v>
      </c>
      <c r="X3664">
        <v>0</v>
      </c>
    </row>
    <row r="3665" spans="1:24" x14ac:dyDescent="0.25">
      <c r="A3665" s="234">
        <v>43236</v>
      </c>
      <c r="B3665" t="s">
        <v>328</v>
      </c>
      <c r="C3665" t="s">
        <v>603</v>
      </c>
      <c r="D3665" t="s">
        <v>649</v>
      </c>
      <c r="E3665" t="s">
        <v>588</v>
      </c>
      <c r="F3665" t="s">
        <v>11260</v>
      </c>
      <c r="G3665" t="s">
        <v>11260</v>
      </c>
      <c r="H3665" t="s">
        <v>10832</v>
      </c>
      <c r="I3665" t="s">
        <v>8636</v>
      </c>
      <c r="J3665" t="s">
        <v>644</v>
      </c>
      <c r="L3665">
        <v>6</v>
      </c>
      <c r="M3665" s="134">
        <v>3572025</v>
      </c>
      <c r="N3665" s="134">
        <v>4682025</v>
      </c>
      <c r="O3665" t="s">
        <v>560</v>
      </c>
      <c r="P3665" t="s">
        <v>11261</v>
      </c>
      <c r="Q3665" t="s">
        <v>1939</v>
      </c>
      <c r="R3665" t="s">
        <v>11400</v>
      </c>
      <c r="U3665" t="s">
        <v>1327</v>
      </c>
      <c r="X3665">
        <v>0</v>
      </c>
    </row>
    <row r="3666" spans="1:24" x14ac:dyDescent="0.25">
      <c r="A3666" s="234">
        <v>43518</v>
      </c>
      <c r="B3666" t="s">
        <v>13559</v>
      </c>
      <c r="C3666" t="s">
        <v>602</v>
      </c>
      <c r="D3666" t="s">
        <v>14496</v>
      </c>
      <c r="F3666" t="s">
        <v>14497</v>
      </c>
      <c r="G3666" t="s">
        <v>7792</v>
      </c>
      <c r="H3666" t="s">
        <v>10831</v>
      </c>
      <c r="I3666" t="s">
        <v>11798</v>
      </c>
      <c r="J3666" t="s">
        <v>602</v>
      </c>
      <c r="K3666" t="s">
        <v>14412</v>
      </c>
      <c r="L3666">
        <v>3</v>
      </c>
      <c r="M3666" s="134">
        <v>3580538</v>
      </c>
      <c r="N3666" s="134">
        <v>3980538</v>
      </c>
      <c r="O3666" t="s">
        <v>560</v>
      </c>
      <c r="P3666" t="s">
        <v>14498</v>
      </c>
      <c r="Q3666" t="s">
        <v>592</v>
      </c>
      <c r="R3666" t="s">
        <v>14499</v>
      </c>
      <c r="U3666" t="s">
        <v>12797</v>
      </c>
      <c r="X3666">
        <v>0</v>
      </c>
    </row>
    <row r="3667" spans="1:24" x14ac:dyDescent="0.25">
      <c r="A3667" s="234">
        <v>43098</v>
      </c>
      <c r="B3667" t="s">
        <v>569</v>
      </c>
      <c r="C3667" t="s">
        <v>899</v>
      </c>
      <c r="D3667" t="s">
        <v>930</v>
      </c>
      <c r="E3667" t="s">
        <v>588</v>
      </c>
      <c r="F3667" t="s">
        <v>9907</v>
      </c>
      <c r="G3667" t="s">
        <v>9305</v>
      </c>
      <c r="H3667" t="s">
        <v>809</v>
      </c>
      <c r="I3667" t="s">
        <v>3929</v>
      </c>
      <c r="J3667" t="s">
        <v>899</v>
      </c>
      <c r="L3667">
        <v>2</v>
      </c>
      <c r="M3667" s="134">
        <v>3600000</v>
      </c>
      <c r="N3667" s="134">
        <v>3600000</v>
      </c>
      <c r="O3667" t="s">
        <v>560</v>
      </c>
      <c r="P3667" t="s">
        <v>9908</v>
      </c>
      <c r="Q3667" t="s">
        <v>1939</v>
      </c>
      <c r="R3667" t="s">
        <v>9909</v>
      </c>
      <c r="U3667" t="s">
        <v>491</v>
      </c>
      <c r="X3667">
        <v>0</v>
      </c>
    </row>
    <row r="3668" spans="1:24" x14ac:dyDescent="0.25">
      <c r="A3668" s="234">
        <v>43580</v>
      </c>
      <c r="B3668" t="s">
        <v>643</v>
      </c>
      <c r="C3668" t="s">
        <v>644</v>
      </c>
      <c r="D3668" t="s">
        <v>645</v>
      </c>
      <c r="F3668" t="s">
        <v>12198</v>
      </c>
      <c r="G3668" t="s">
        <v>15270</v>
      </c>
      <c r="H3668" t="s">
        <v>809</v>
      </c>
      <c r="I3668" t="s">
        <v>5212</v>
      </c>
      <c r="J3668" t="s">
        <v>644</v>
      </c>
      <c r="K3668" t="s">
        <v>13136</v>
      </c>
      <c r="L3668">
        <v>1</v>
      </c>
      <c r="M3668" s="134">
        <v>3600000</v>
      </c>
      <c r="N3668" s="134">
        <v>4410000</v>
      </c>
      <c r="O3668" t="s">
        <v>560</v>
      </c>
      <c r="P3668" t="s">
        <v>15271</v>
      </c>
      <c r="Q3668" t="s">
        <v>1939</v>
      </c>
      <c r="R3668" t="s">
        <v>15447</v>
      </c>
      <c r="U3668" t="s">
        <v>12797</v>
      </c>
      <c r="X3668">
        <v>0</v>
      </c>
    </row>
    <row r="3669" spans="1:24" x14ac:dyDescent="0.25">
      <c r="A3669" s="234">
        <v>43158</v>
      </c>
      <c r="B3669" t="s">
        <v>328</v>
      </c>
      <c r="C3669" t="s">
        <v>603</v>
      </c>
      <c r="D3669" t="s">
        <v>2397</v>
      </c>
      <c r="E3669" t="s">
        <v>588</v>
      </c>
      <c r="F3669" t="s">
        <v>10425</v>
      </c>
      <c r="G3669" t="s">
        <v>7911</v>
      </c>
      <c r="H3669" t="s">
        <v>905</v>
      </c>
      <c r="J3669" t="s">
        <v>899</v>
      </c>
      <c r="L3669">
        <v>2</v>
      </c>
      <c r="M3669" s="134">
        <v>3601000</v>
      </c>
      <c r="N3669" s="134">
        <v>4706100</v>
      </c>
      <c r="O3669" t="s">
        <v>560</v>
      </c>
      <c r="P3669" t="s">
        <v>10426</v>
      </c>
      <c r="Q3669" t="s">
        <v>1939</v>
      </c>
      <c r="R3669" t="s">
        <v>10427</v>
      </c>
      <c r="U3669" t="s">
        <v>1327</v>
      </c>
      <c r="X3669">
        <v>0</v>
      </c>
    </row>
    <row r="3670" spans="1:24" x14ac:dyDescent="0.25">
      <c r="A3670" s="234">
        <v>42902</v>
      </c>
      <c r="B3670" t="s">
        <v>328</v>
      </c>
      <c r="C3670" t="s">
        <v>603</v>
      </c>
      <c r="D3670" t="s">
        <v>649</v>
      </c>
      <c r="E3670" t="s">
        <v>588</v>
      </c>
      <c r="F3670" t="s">
        <v>7207</v>
      </c>
      <c r="H3670" t="s">
        <v>1391</v>
      </c>
      <c r="I3670" t="s">
        <v>3388</v>
      </c>
      <c r="J3670" t="s">
        <v>899</v>
      </c>
      <c r="L3670">
        <v>1</v>
      </c>
      <c r="M3670" s="134">
        <v>3640000</v>
      </c>
      <c r="N3670" s="134">
        <v>4640000</v>
      </c>
      <c r="O3670" t="s">
        <v>560</v>
      </c>
      <c r="P3670" t="s">
        <v>7208</v>
      </c>
      <c r="Q3670" t="s">
        <v>1612</v>
      </c>
      <c r="R3670" t="s">
        <v>7668</v>
      </c>
      <c r="U3670" t="s">
        <v>491</v>
      </c>
      <c r="X3670">
        <v>0</v>
      </c>
    </row>
    <row r="3671" spans="1:24" x14ac:dyDescent="0.25">
      <c r="A3671" s="234">
        <v>43524</v>
      </c>
      <c r="B3671" t="s">
        <v>643</v>
      </c>
      <c r="C3671" t="s">
        <v>644</v>
      </c>
      <c r="D3671" t="s">
        <v>3132</v>
      </c>
      <c r="F3671" t="s">
        <v>13187</v>
      </c>
      <c r="G3671" t="s">
        <v>14548</v>
      </c>
      <c r="H3671" t="s">
        <v>607</v>
      </c>
      <c r="I3671" t="s">
        <v>5925</v>
      </c>
      <c r="J3671" t="s">
        <v>644</v>
      </c>
      <c r="K3671" t="s">
        <v>14549</v>
      </c>
      <c r="L3671">
        <v>1</v>
      </c>
      <c r="M3671" s="134">
        <v>3641000</v>
      </c>
      <c r="N3671" s="134">
        <v>4958939</v>
      </c>
      <c r="O3671" t="s">
        <v>10766</v>
      </c>
      <c r="P3671" t="s">
        <v>14550</v>
      </c>
      <c r="Q3671" t="s">
        <v>1939</v>
      </c>
      <c r="R3671" t="s">
        <v>14551</v>
      </c>
      <c r="U3671" t="s">
        <v>12797</v>
      </c>
      <c r="X3671">
        <v>0</v>
      </c>
    </row>
    <row r="3672" spans="1:24" x14ac:dyDescent="0.25">
      <c r="A3672" s="234">
        <v>43573</v>
      </c>
      <c r="B3672" t="s">
        <v>328</v>
      </c>
      <c r="C3672" t="s">
        <v>603</v>
      </c>
      <c r="D3672" t="s">
        <v>5701</v>
      </c>
      <c r="F3672" t="s">
        <v>9840</v>
      </c>
      <c r="G3672" t="s">
        <v>15119</v>
      </c>
      <c r="H3672" t="s">
        <v>1050</v>
      </c>
      <c r="I3672" t="s">
        <v>13239</v>
      </c>
      <c r="J3672" t="s">
        <v>3501</v>
      </c>
      <c r="K3672" t="s">
        <v>13240</v>
      </c>
      <c r="L3672">
        <v>10</v>
      </c>
      <c r="M3672" s="134">
        <v>3650000</v>
      </c>
      <c r="N3672" s="134">
        <v>3650000</v>
      </c>
      <c r="O3672" t="s">
        <v>7124</v>
      </c>
      <c r="P3672" t="s">
        <v>15335</v>
      </c>
      <c r="Q3672" t="s">
        <v>592</v>
      </c>
      <c r="R3672" t="s">
        <v>15120</v>
      </c>
      <c r="U3672" t="s">
        <v>491</v>
      </c>
      <c r="X3672">
        <v>0</v>
      </c>
    </row>
    <row r="3673" spans="1:24" x14ac:dyDescent="0.25">
      <c r="A3673" s="234">
        <v>42930</v>
      </c>
      <c r="B3673" t="s">
        <v>328</v>
      </c>
      <c r="C3673" t="s">
        <v>899</v>
      </c>
      <c r="D3673" t="s">
        <v>5701</v>
      </c>
      <c r="E3673" t="s">
        <v>588</v>
      </c>
      <c r="F3673" t="s">
        <v>7606</v>
      </c>
      <c r="H3673" t="s">
        <v>6002</v>
      </c>
      <c r="I3673" t="s">
        <v>5412</v>
      </c>
      <c r="J3673" t="s">
        <v>899</v>
      </c>
      <c r="L3673">
        <v>3</v>
      </c>
      <c r="M3673" s="134">
        <v>3650000</v>
      </c>
      <c r="N3673" s="134">
        <v>3900000</v>
      </c>
      <c r="O3673" t="s">
        <v>560</v>
      </c>
      <c r="P3673" t="s">
        <v>7607</v>
      </c>
      <c r="Q3673" t="s">
        <v>620</v>
      </c>
      <c r="R3673" t="s">
        <v>7608</v>
      </c>
      <c r="U3673" t="s">
        <v>2227</v>
      </c>
      <c r="X3673">
        <v>0</v>
      </c>
    </row>
    <row r="3674" spans="1:24" x14ac:dyDescent="0.25">
      <c r="A3674" s="234">
        <v>42964</v>
      </c>
      <c r="B3674" t="s">
        <v>569</v>
      </c>
      <c r="C3674" t="s">
        <v>899</v>
      </c>
      <c r="D3674" t="s">
        <v>611</v>
      </c>
      <c r="E3674" t="s">
        <v>588</v>
      </c>
      <c r="F3674" t="s">
        <v>8178</v>
      </c>
      <c r="G3674" t="s">
        <v>8178</v>
      </c>
      <c r="H3674" t="s">
        <v>6002</v>
      </c>
      <c r="I3674" t="s">
        <v>3941</v>
      </c>
      <c r="J3674" t="s">
        <v>899</v>
      </c>
      <c r="L3674">
        <v>4</v>
      </c>
      <c r="M3674" s="134">
        <v>3676000</v>
      </c>
      <c r="N3674" s="134">
        <v>4616000</v>
      </c>
      <c r="O3674" t="s">
        <v>560</v>
      </c>
      <c r="P3674" t="s">
        <v>8179</v>
      </c>
      <c r="Q3674" t="s">
        <v>1939</v>
      </c>
      <c r="R3674" t="s">
        <v>8180</v>
      </c>
      <c r="U3674" t="s">
        <v>2227</v>
      </c>
      <c r="X3674">
        <v>0</v>
      </c>
    </row>
    <row r="3675" spans="1:24" x14ac:dyDescent="0.25">
      <c r="A3675" s="234">
        <v>43328</v>
      </c>
      <c r="B3675" t="s">
        <v>5360</v>
      </c>
      <c r="C3675" t="s">
        <v>899</v>
      </c>
      <c r="D3675" t="s">
        <v>611</v>
      </c>
      <c r="E3675" t="s">
        <v>588</v>
      </c>
      <c r="F3675" t="s">
        <v>12231</v>
      </c>
      <c r="G3675" t="s">
        <v>12232</v>
      </c>
      <c r="H3675" t="s">
        <v>886</v>
      </c>
      <c r="J3675" t="s">
        <v>899</v>
      </c>
      <c r="L3675">
        <v>1</v>
      </c>
      <c r="M3675" s="134">
        <v>3700000</v>
      </c>
      <c r="N3675" s="134">
        <v>3700000</v>
      </c>
      <c r="O3675" t="s">
        <v>2295</v>
      </c>
      <c r="P3675" t="s">
        <v>12233</v>
      </c>
      <c r="Q3675" t="s">
        <v>592</v>
      </c>
      <c r="R3675" t="s">
        <v>12234</v>
      </c>
      <c r="U3675" t="s">
        <v>1327</v>
      </c>
      <c r="X3675">
        <v>0</v>
      </c>
    </row>
    <row r="3676" spans="1:24" x14ac:dyDescent="0.25">
      <c r="A3676" s="234">
        <v>43049</v>
      </c>
      <c r="B3676" t="s">
        <v>328</v>
      </c>
      <c r="C3676" t="s">
        <v>603</v>
      </c>
      <c r="D3676" t="s">
        <v>649</v>
      </c>
      <c r="E3676" t="s">
        <v>588</v>
      </c>
      <c r="F3676" t="s">
        <v>9404</v>
      </c>
      <c r="G3676" t="s">
        <v>8515</v>
      </c>
      <c r="H3676" t="s">
        <v>1050</v>
      </c>
      <c r="I3676" t="s">
        <v>4060</v>
      </c>
      <c r="J3676" t="s">
        <v>899</v>
      </c>
      <c r="L3676">
        <v>2</v>
      </c>
      <c r="M3676" s="134">
        <v>3700000</v>
      </c>
      <c r="N3676" s="134">
        <v>3710000</v>
      </c>
      <c r="O3676" t="s">
        <v>560</v>
      </c>
      <c r="P3676" t="s">
        <v>9405</v>
      </c>
      <c r="Q3676" t="s">
        <v>592</v>
      </c>
      <c r="R3676" t="s">
        <v>9406</v>
      </c>
      <c r="S3676" t="s">
        <v>833</v>
      </c>
      <c r="U3676" t="s">
        <v>491</v>
      </c>
      <c r="X3676">
        <v>0</v>
      </c>
    </row>
    <row r="3677" spans="1:24" x14ac:dyDescent="0.25">
      <c r="A3677" s="234">
        <v>42710</v>
      </c>
      <c r="B3677" t="s">
        <v>328</v>
      </c>
      <c r="C3677" t="s">
        <v>603</v>
      </c>
      <c r="D3677" t="s">
        <v>1401</v>
      </c>
      <c r="E3677" t="s">
        <v>588</v>
      </c>
      <c r="F3677" t="s">
        <v>4931</v>
      </c>
      <c r="H3677" t="s">
        <v>1050</v>
      </c>
      <c r="I3677" t="s">
        <v>4060</v>
      </c>
      <c r="J3677" t="s">
        <v>899</v>
      </c>
      <c r="L3677">
        <v>2</v>
      </c>
      <c r="M3677" s="134">
        <v>3700000</v>
      </c>
      <c r="N3677" s="134">
        <v>3710000</v>
      </c>
      <c r="O3677" t="s">
        <v>560</v>
      </c>
      <c r="P3677" t="s">
        <v>4932</v>
      </c>
      <c r="Q3677" t="s">
        <v>592</v>
      </c>
      <c r="U3677" t="s">
        <v>491</v>
      </c>
      <c r="X3677">
        <v>0</v>
      </c>
    </row>
    <row r="3678" spans="1:24" x14ac:dyDescent="0.25">
      <c r="A3678" s="234">
        <v>42499</v>
      </c>
      <c r="B3678" t="s">
        <v>378</v>
      </c>
      <c r="C3678" t="s">
        <v>610</v>
      </c>
      <c r="D3678" t="s">
        <v>732</v>
      </c>
      <c r="E3678" t="s">
        <v>588</v>
      </c>
      <c r="F3678" t="s">
        <v>1981</v>
      </c>
      <c r="H3678" t="s">
        <v>905</v>
      </c>
      <c r="I3678" t="s">
        <v>628</v>
      </c>
      <c r="M3678" s="134">
        <v>3700000</v>
      </c>
      <c r="N3678" s="134">
        <v>4810000</v>
      </c>
      <c r="O3678" t="s">
        <v>1474</v>
      </c>
      <c r="P3678" t="s">
        <v>1982</v>
      </c>
      <c r="Q3678" t="s">
        <v>620</v>
      </c>
      <c r="R3678" t="s">
        <v>1983</v>
      </c>
      <c r="U3678" t="s">
        <v>491</v>
      </c>
      <c r="X3678">
        <v>0</v>
      </c>
    </row>
    <row r="3679" spans="1:24" x14ac:dyDescent="0.25">
      <c r="A3679" s="234">
        <v>43193</v>
      </c>
      <c r="B3679" t="s">
        <v>643</v>
      </c>
      <c r="C3679" t="s">
        <v>899</v>
      </c>
      <c r="D3679" t="s">
        <v>625</v>
      </c>
      <c r="E3679" t="s">
        <v>588</v>
      </c>
      <c r="F3679" t="s">
        <v>5685</v>
      </c>
      <c r="G3679" t="s">
        <v>10768</v>
      </c>
      <c r="H3679" t="s">
        <v>10832</v>
      </c>
      <c r="I3679" t="s">
        <v>8144</v>
      </c>
      <c r="J3679" t="s">
        <v>899</v>
      </c>
      <c r="L3679">
        <v>4</v>
      </c>
      <c r="M3679" s="134">
        <v>3724000</v>
      </c>
      <c r="N3679" s="134">
        <v>4968800</v>
      </c>
      <c r="O3679" t="s">
        <v>560</v>
      </c>
      <c r="P3679" t="s">
        <v>10769</v>
      </c>
      <c r="Q3679" t="s">
        <v>592</v>
      </c>
      <c r="R3679" t="s">
        <v>10770</v>
      </c>
      <c r="U3679" t="s">
        <v>1327</v>
      </c>
      <c r="X3679">
        <v>0</v>
      </c>
    </row>
    <row r="3680" spans="1:24" x14ac:dyDescent="0.25">
      <c r="A3680" s="234">
        <v>43027</v>
      </c>
      <c r="B3680" t="s">
        <v>328</v>
      </c>
      <c r="C3680" t="s">
        <v>603</v>
      </c>
      <c r="D3680" t="s">
        <v>649</v>
      </c>
      <c r="E3680" t="s">
        <v>588</v>
      </c>
      <c r="F3680" t="s">
        <v>9104</v>
      </c>
      <c r="G3680" t="s">
        <v>9105</v>
      </c>
      <c r="H3680" t="s">
        <v>905</v>
      </c>
      <c r="I3680" t="s">
        <v>3388</v>
      </c>
      <c r="J3680" t="s">
        <v>899</v>
      </c>
      <c r="L3680">
        <v>1</v>
      </c>
      <c r="M3680" s="134">
        <v>3750000</v>
      </c>
      <c r="N3680" s="134">
        <v>4600000</v>
      </c>
      <c r="O3680" t="s">
        <v>560</v>
      </c>
      <c r="P3680" t="s">
        <v>9106</v>
      </c>
      <c r="Q3680" t="s">
        <v>1939</v>
      </c>
      <c r="R3680" t="s">
        <v>9277</v>
      </c>
      <c r="U3680" t="s">
        <v>491</v>
      </c>
      <c r="X3680">
        <v>0</v>
      </c>
    </row>
    <row r="3681" spans="1:24" x14ac:dyDescent="0.25">
      <c r="A3681" s="234">
        <v>42912</v>
      </c>
      <c r="B3681" t="s">
        <v>643</v>
      </c>
      <c r="C3681" t="s">
        <v>644</v>
      </c>
      <c r="D3681" t="s">
        <v>645</v>
      </c>
      <c r="E3681" t="s">
        <v>588</v>
      </c>
      <c r="F3681" t="s">
        <v>7370</v>
      </c>
      <c r="H3681" t="s">
        <v>7371</v>
      </c>
      <c r="I3681" t="s">
        <v>3929</v>
      </c>
      <c r="J3681" t="s">
        <v>899</v>
      </c>
      <c r="M3681" s="134">
        <v>3780000</v>
      </c>
      <c r="N3681" s="134">
        <v>3780000</v>
      </c>
      <c r="O3681" t="s">
        <v>6745</v>
      </c>
      <c r="P3681" t="s">
        <v>7372</v>
      </c>
      <c r="Q3681" t="s">
        <v>29</v>
      </c>
      <c r="R3681" t="s">
        <v>7373</v>
      </c>
      <c r="U3681" t="s">
        <v>491</v>
      </c>
      <c r="X3681">
        <v>1</v>
      </c>
    </row>
    <row r="3682" spans="1:24" x14ac:dyDescent="0.25">
      <c r="A3682" s="234">
        <v>43130</v>
      </c>
      <c r="B3682" t="s">
        <v>569</v>
      </c>
      <c r="C3682" t="s">
        <v>899</v>
      </c>
      <c r="D3682" t="s">
        <v>930</v>
      </c>
      <c r="E3682" t="s">
        <v>588</v>
      </c>
      <c r="F3682" t="s">
        <v>10151</v>
      </c>
      <c r="G3682" t="s">
        <v>10151</v>
      </c>
      <c r="H3682" t="s">
        <v>809</v>
      </c>
      <c r="I3682" t="s">
        <v>10152</v>
      </c>
      <c r="J3682" t="s">
        <v>899</v>
      </c>
      <c r="L3682">
        <v>4</v>
      </c>
      <c r="M3682" s="134">
        <v>3800000</v>
      </c>
      <c r="N3682" s="134">
        <v>3800000</v>
      </c>
      <c r="O3682" t="s">
        <v>560</v>
      </c>
      <c r="P3682" t="s">
        <v>10153</v>
      </c>
      <c r="Q3682" t="s">
        <v>592</v>
      </c>
      <c r="R3682" t="s">
        <v>10154</v>
      </c>
      <c r="U3682" t="s">
        <v>1327</v>
      </c>
      <c r="X3682">
        <v>0</v>
      </c>
    </row>
    <row r="3683" spans="1:24" x14ac:dyDescent="0.25">
      <c r="A3683" s="234">
        <v>42907</v>
      </c>
      <c r="B3683" t="s">
        <v>5360</v>
      </c>
      <c r="D3683" t="s">
        <v>732</v>
      </c>
      <c r="E3683" t="s">
        <v>588</v>
      </c>
      <c r="F3683" t="s">
        <v>7321</v>
      </c>
      <c r="H3683" t="s">
        <v>1050</v>
      </c>
      <c r="I3683" t="s">
        <v>3929</v>
      </c>
      <c r="J3683" t="s">
        <v>899</v>
      </c>
      <c r="L3683">
        <v>2</v>
      </c>
      <c r="M3683" s="134">
        <v>3800000</v>
      </c>
      <c r="N3683" s="134">
        <v>3800000</v>
      </c>
      <c r="O3683" t="s">
        <v>2121</v>
      </c>
      <c r="P3683" t="s">
        <v>7322</v>
      </c>
      <c r="Q3683" t="s">
        <v>1939</v>
      </c>
      <c r="R3683" t="s">
        <v>7326</v>
      </c>
      <c r="U3683" t="s">
        <v>491</v>
      </c>
      <c r="X3683">
        <v>0</v>
      </c>
    </row>
    <row r="3684" spans="1:24" x14ac:dyDescent="0.25">
      <c r="A3684" s="234">
        <v>42493</v>
      </c>
      <c r="B3684" t="s">
        <v>378</v>
      </c>
      <c r="C3684" t="s">
        <v>623</v>
      </c>
      <c r="D3684" t="s">
        <v>930</v>
      </c>
      <c r="E3684" t="s">
        <v>588</v>
      </c>
      <c r="H3684" t="s">
        <v>809</v>
      </c>
      <c r="M3684" s="134">
        <v>3800000</v>
      </c>
      <c r="N3684" s="134">
        <v>4180000</v>
      </c>
      <c r="O3684" t="s">
        <v>891</v>
      </c>
      <c r="P3684" t="s">
        <v>1938</v>
      </c>
      <c r="Q3684" t="s">
        <v>1939</v>
      </c>
      <c r="R3684" t="s">
        <v>1940</v>
      </c>
      <c r="U3684" t="s">
        <v>491</v>
      </c>
      <c r="X3684">
        <v>0</v>
      </c>
    </row>
    <row r="3685" spans="1:24" x14ac:dyDescent="0.25">
      <c r="A3685" s="234">
        <v>43269</v>
      </c>
      <c r="B3685" t="s">
        <v>5360</v>
      </c>
      <c r="C3685" t="s">
        <v>899</v>
      </c>
      <c r="D3685" t="s">
        <v>1027</v>
      </c>
      <c r="E3685" t="s">
        <v>588</v>
      </c>
      <c r="F3685" t="s">
        <v>11545</v>
      </c>
      <c r="G3685" t="s">
        <v>8490</v>
      </c>
      <c r="H3685" t="s">
        <v>809</v>
      </c>
      <c r="I3685" t="s">
        <v>11546</v>
      </c>
      <c r="J3685" t="s">
        <v>899</v>
      </c>
      <c r="L3685">
        <v>3</v>
      </c>
      <c r="M3685" s="134">
        <v>3800000</v>
      </c>
      <c r="N3685" s="134">
        <v>4480000</v>
      </c>
      <c r="O3685" t="s">
        <v>560</v>
      </c>
      <c r="P3685" t="s">
        <v>11547</v>
      </c>
      <c r="Q3685" t="s">
        <v>592</v>
      </c>
      <c r="R3685" t="s">
        <v>11548</v>
      </c>
      <c r="U3685" t="s">
        <v>1327</v>
      </c>
      <c r="X3685">
        <v>0</v>
      </c>
    </row>
    <row r="3686" spans="1:24" x14ac:dyDescent="0.25">
      <c r="A3686" s="234">
        <v>42989</v>
      </c>
      <c r="B3686" t="s">
        <v>569</v>
      </c>
      <c r="C3686" t="s">
        <v>899</v>
      </c>
      <c r="D3686" t="s">
        <v>930</v>
      </c>
      <c r="E3686" t="s">
        <v>588</v>
      </c>
      <c r="F3686" t="s">
        <v>8482</v>
      </c>
      <c r="H3686" t="s">
        <v>607</v>
      </c>
      <c r="I3686" t="s">
        <v>2054</v>
      </c>
      <c r="J3686" t="s">
        <v>899</v>
      </c>
      <c r="L3686">
        <v>4</v>
      </c>
      <c r="M3686" s="134">
        <v>3825000</v>
      </c>
      <c r="N3686" s="134">
        <v>3825000</v>
      </c>
      <c r="O3686" t="s">
        <v>560</v>
      </c>
      <c r="P3686" t="s">
        <v>8484</v>
      </c>
      <c r="Q3686" t="s">
        <v>1939</v>
      </c>
      <c r="R3686" t="s">
        <v>8483</v>
      </c>
      <c r="T3686">
        <v>18</v>
      </c>
      <c r="U3686" t="s">
        <v>491</v>
      </c>
      <c r="X3686">
        <v>0</v>
      </c>
    </row>
    <row r="3687" spans="1:24" x14ac:dyDescent="0.25">
      <c r="A3687" s="234">
        <v>42536</v>
      </c>
      <c r="B3687" t="s">
        <v>378</v>
      </c>
      <c r="C3687" t="s">
        <v>623</v>
      </c>
      <c r="D3687" t="s">
        <v>625</v>
      </c>
      <c r="E3687" t="s">
        <v>588</v>
      </c>
      <c r="F3687" t="s">
        <v>2509</v>
      </c>
      <c r="H3687" t="s">
        <v>1044</v>
      </c>
      <c r="I3687" t="s">
        <v>628</v>
      </c>
      <c r="M3687" s="134">
        <v>3829622</v>
      </c>
      <c r="N3687" s="134">
        <v>4829622</v>
      </c>
      <c r="O3687" t="s">
        <v>891</v>
      </c>
      <c r="P3687" t="s">
        <v>2511</v>
      </c>
      <c r="Q3687" t="s">
        <v>1939</v>
      </c>
      <c r="R3687" t="s">
        <v>2515</v>
      </c>
      <c r="U3687" t="s">
        <v>491</v>
      </c>
      <c r="X3687">
        <v>0</v>
      </c>
    </row>
    <row r="3688" spans="1:24" x14ac:dyDescent="0.25">
      <c r="A3688" s="234">
        <v>42941</v>
      </c>
      <c r="B3688" t="s">
        <v>569</v>
      </c>
      <c r="D3688" t="s">
        <v>625</v>
      </c>
      <c r="E3688" t="s">
        <v>588</v>
      </c>
      <c r="F3688" t="s">
        <v>7743</v>
      </c>
      <c r="G3688" t="s">
        <v>7744</v>
      </c>
      <c r="H3688" t="s">
        <v>905</v>
      </c>
      <c r="I3688" t="s">
        <v>3649</v>
      </c>
      <c r="J3688" t="s">
        <v>899</v>
      </c>
      <c r="L3688">
        <v>3</v>
      </c>
      <c r="M3688" s="134">
        <v>3848000</v>
      </c>
      <c r="N3688" s="134">
        <v>4466000</v>
      </c>
      <c r="O3688" t="s">
        <v>560</v>
      </c>
      <c r="P3688" t="s">
        <v>7745</v>
      </c>
      <c r="Q3688" t="s">
        <v>592</v>
      </c>
      <c r="U3688" t="s">
        <v>491</v>
      </c>
      <c r="X3688">
        <v>0</v>
      </c>
    </row>
    <row r="3689" spans="1:24" x14ac:dyDescent="0.25">
      <c r="A3689" s="234">
        <v>42580</v>
      </c>
      <c r="B3689" t="s">
        <v>378</v>
      </c>
      <c r="C3689" t="s">
        <v>623</v>
      </c>
      <c r="D3689" t="s">
        <v>930</v>
      </c>
      <c r="E3689" t="s">
        <v>588</v>
      </c>
      <c r="F3689" t="s">
        <v>3140</v>
      </c>
      <c r="H3689" t="s">
        <v>886</v>
      </c>
      <c r="I3689" t="s">
        <v>3141</v>
      </c>
      <c r="M3689" s="134">
        <v>3850000</v>
      </c>
      <c r="N3689" s="134">
        <v>3950000</v>
      </c>
      <c r="O3689" t="s">
        <v>3142</v>
      </c>
      <c r="P3689" t="s">
        <v>3144</v>
      </c>
      <c r="Q3689" t="s">
        <v>1939</v>
      </c>
      <c r="R3689" t="s">
        <v>3143</v>
      </c>
      <c r="U3689" t="s">
        <v>491</v>
      </c>
      <c r="X3689">
        <v>0</v>
      </c>
    </row>
    <row r="3690" spans="1:24" x14ac:dyDescent="0.25">
      <c r="A3690" s="234">
        <v>42976</v>
      </c>
      <c r="B3690" t="s">
        <v>569</v>
      </c>
      <c r="C3690" t="s">
        <v>899</v>
      </c>
      <c r="D3690" t="s">
        <v>625</v>
      </c>
      <c r="E3690" t="s">
        <v>588</v>
      </c>
      <c r="F3690" t="s">
        <v>8334</v>
      </c>
      <c r="H3690" t="s">
        <v>8335</v>
      </c>
      <c r="I3690" t="s">
        <v>4237</v>
      </c>
      <c r="J3690" t="s">
        <v>899</v>
      </c>
      <c r="M3690" s="134">
        <v>3900000</v>
      </c>
      <c r="N3690" s="134">
        <v>3900000</v>
      </c>
      <c r="O3690" t="s">
        <v>560</v>
      </c>
      <c r="P3690" t="s">
        <v>8336</v>
      </c>
      <c r="Q3690" t="s">
        <v>1939</v>
      </c>
      <c r="R3690" t="s">
        <v>8337</v>
      </c>
      <c r="T3690">
        <v>16</v>
      </c>
      <c r="U3690" t="s">
        <v>491</v>
      </c>
      <c r="X3690">
        <v>0</v>
      </c>
    </row>
    <row r="3691" spans="1:24" x14ac:dyDescent="0.25">
      <c r="A3691" s="234">
        <v>43293</v>
      </c>
      <c r="B3691" t="s">
        <v>5473</v>
      </c>
      <c r="C3691" t="s">
        <v>608</v>
      </c>
      <c r="D3691" t="s">
        <v>11800</v>
      </c>
      <c r="E3691" t="s">
        <v>588</v>
      </c>
      <c r="F3691" t="s">
        <v>8735</v>
      </c>
      <c r="G3691" t="s">
        <v>11799</v>
      </c>
      <c r="H3691" t="s">
        <v>10831</v>
      </c>
      <c r="I3691" t="s">
        <v>11798</v>
      </c>
      <c r="J3691" t="s">
        <v>602</v>
      </c>
      <c r="M3691" s="134">
        <v>3900000</v>
      </c>
      <c r="N3691" s="134">
        <v>5000000</v>
      </c>
      <c r="O3691" t="s">
        <v>560</v>
      </c>
      <c r="P3691" t="s">
        <v>11801</v>
      </c>
      <c r="Q3691" t="s">
        <v>29</v>
      </c>
      <c r="R3691" t="s">
        <v>11802</v>
      </c>
      <c r="U3691" t="s">
        <v>1327</v>
      </c>
      <c r="X3691">
        <v>1</v>
      </c>
    </row>
    <row r="3692" spans="1:24" x14ac:dyDescent="0.25">
      <c r="A3692" s="234">
        <v>43130</v>
      </c>
      <c r="B3692" t="s">
        <v>643</v>
      </c>
      <c r="C3692" t="s">
        <v>644</v>
      </c>
      <c r="D3692" t="s">
        <v>645</v>
      </c>
      <c r="E3692" t="s">
        <v>588</v>
      </c>
      <c r="F3692" t="s">
        <v>10166</v>
      </c>
      <c r="G3692" t="s">
        <v>10165</v>
      </c>
      <c r="H3692" t="s">
        <v>886</v>
      </c>
      <c r="I3692" t="s">
        <v>10164</v>
      </c>
      <c r="J3692" t="s">
        <v>899</v>
      </c>
      <c r="L3692">
        <v>3</v>
      </c>
      <c r="M3692" s="134">
        <v>3911000</v>
      </c>
      <c r="N3692" s="134">
        <v>4302100</v>
      </c>
      <c r="O3692" t="s">
        <v>560</v>
      </c>
      <c r="P3692" t="s">
        <v>10163</v>
      </c>
      <c r="Q3692" t="s">
        <v>592</v>
      </c>
      <c r="R3692" t="s">
        <v>10162</v>
      </c>
      <c r="U3692" t="s">
        <v>1327</v>
      </c>
      <c r="X3692">
        <v>0</v>
      </c>
    </row>
    <row r="3693" spans="1:24" x14ac:dyDescent="0.25">
      <c r="A3693" s="234">
        <v>43620</v>
      </c>
      <c r="B3693" t="s">
        <v>13559</v>
      </c>
      <c r="C3693" t="s">
        <v>1228</v>
      </c>
      <c r="D3693" t="s">
        <v>15894</v>
      </c>
      <c r="F3693" t="s">
        <v>15895</v>
      </c>
      <c r="H3693" t="s">
        <v>607</v>
      </c>
      <c r="I3693" t="s">
        <v>15896</v>
      </c>
      <c r="J3693" t="s">
        <v>3856</v>
      </c>
      <c r="K3693" t="s">
        <v>15897</v>
      </c>
      <c r="L3693">
        <v>7</v>
      </c>
      <c r="M3693" s="134">
        <v>3984930</v>
      </c>
      <c r="N3693" s="134">
        <v>0</v>
      </c>
      <c r="O3693" t="s">
        <v>560</v>
      </c>
      <c r="P3693" t="s">
        <v>15898</v>
      </c>
      <c r="Q3693" t="s">
        <v>620</v>
      </c>
      <c r="R3693" t="s">
        <v>15899</v>
      </c>
      <c r="S3693" t="s">
        <v>15900</v>
      </c>
      <c r="U3693" t="s">
        <v>491</v>
      </c>
      <c r="X3693">
        <v>0</v>
      </c>
    </row>
    <row r="3694" spans="1:24" x14ac:dyDescent="0.25">
      <c r="A3694" s="234">
        <v>43514</v>
      </c>
      <c r="B3694" t="s">
        <v>328</v>
      </c>
      <c r="C3694" t="s">
        <v>603</v>
      </c>
      <c r="D3694" t="s">
        <v>1401</v>
      </c>
      <c r="F3694" t="s">
        <v>14429</v>
      </c>
      <c r="G3694" t="s">
        <v>14430</v>
      </c>
      <c r="H3694" t="s">
        <v>886</v>
      </c>
      <c r="I3694" t="s">
        <v>12764</v>
      </c>
      <c r="J3694" t="s">
        <v>899</v>
      </c>
      <c r="K3694" t="s">
        <v>14431</v>
      </c>
      <c r="L3694">
        <v>2</v>
      </c>
      <c r="M3694" s="134">
        <v>4000000</v>
      </c>
      <c r="N3694" s="134">
        <v>4000000</v>
      </c>
      <c r="O3694" t="s">
        <v>560</v>
      </c>
      <c r="P3694" t="s">
        <v>14432</v>
      </c>
      <c r="Q3694" t="s">
        <v>592</v>
      </c>
      <c r="R3694" t="s">
        <v>14433</v>
      </c>
      <c r="U3694" t="s">
        <v>491</v>
      </c>
      <c r="X3694">
        <v>0</v>
      </c>
    </row>
    <row r="3695" spans="1:24" x14ac:dyDescent="0.25">
      <c r="A3695" s="234">
        <v>43007</v>
      </c>
      <c r="B3695" t="s">
        <v>569</v>
      </c>
      <c r="C3695" t="s">
        <v>899</v>
      </c>
      <c r="D3695" t="s">
        <v>625</v>
      </c>
      <c r="E3695" t="s">
        <v>588</v>
      </c>
      <c r="F3695" t="s">
        <v>4740</v>
      </c>
      <c r="G3695" t="s">
        <v>208</v>
      </c>
      <c r="H3695" t="s">
        <v>886</v>
      </c>
      <c r="I3695" t="s">
        <v>3721</v>
      </c>
      <c r="J3695" t="s">
        <v>899</v>
      </c>
      <c r="L3695">
        <v>2</v>
      </c>
      <c r="M3695" s="134">
        <v>4000000</v>
      </c>
      <c r="N3695" s="134">
        <v>4000000</v>
      </c>
      <c r="O3695" t="s">
        <v>560</v>
      </c>
      <c r="P3695" t="s">
        <v>8802</v>
      </c>
      <c r="Q3695" t="s">
        <v>592</v>
      </c>
      <c r="T3695">
        <v>11</v>
      </c>
      <c r="U3695" t="s">
        <v>491</v>
      </c>
      <c r="X3695">
        <v>0</v>
      </c>
    </row>
    <row r="3696" spans="1:24" x14ac:dyDescent="0.25">
      <c r="A3696" s="234">
        <v>43035</v>
      </c>
      <c r="B3696" t="s">
        <v>328</v>
      </c>
      <c r="C3696" t="s">
        <v>899</v>
      </c>
      <c r="D3696" t="s">
        <v>1401</v>
      </c>
      <c r="E3696" t="s">
        <v>588</v>
      </c>
      <c r="F3696" t="s">
        <v>8312</v>
      </c>
      <c r="G3696" t="s">
        <v>9170</v>
      </c>
      <c r="H3696" t="s">
        <v>1050</v>
      </c>
      <c r="I3696" t="s">
        <v>3536</v>
      </c>
      <c r="J3696" t="s">
        <v>899</v>
      </c>
      <c r="L3696">
        <v>1</v>
      </c>
      <c r="M3696" s="134">
        <v>4000000</v>
      </c>
      <c r="N3696" s="134">
        <v>4000000</v>
      </c>
      <c r="O3696" t="s">
        <v>560</v>
      </c>
      <c r="P3696" t="s">
        <v>9171</v>
      </c>
      <c r="Q3696" t="s">
        <v>592</v>
      </c>
      <c r="R3696" t="s">
        <v>9174</v>
      </c>
      <c r="U3696" t="s">
        <v>491</v>
      </c>
      <c r="X3696">
        <v>0</v>
      </c>
    </row>
    <row r="3697" spans="1:24" x14ac:dyDescent="0.25">
      <c r="A3697" s="234">
        <v>42956</v>
      </c>
      <c r="B3697" t="s">
        <v>328</v>
      </c>
      <c r="C3697" t="s">
        <v>603</v>
      </c>
      <c r="D3697" t="s">
        <v>672</v>
      </c>
      <c r="E3697" t="s">
        <v>588</v>
      </c>
      <c r="F3697" t="s">
        <v>8072</v>
      </c>
      <c r="H3697" t="s">
        <v>809</v>
      </c>
      <c r="I3697" t="s">
        <v>3635</v>
      </c>
      <c r="J3697" t="s">
        <v>899</v>
      </c>
      <c r="L3697">
        <v>5</v>
      </c>
      <c r="M3697" s="134">
        <v>4000000</v>
      </c>
      <c r="N3697" s="134">
        <v>4030000</v>
      </c>
      <c r="O3697" t="s">
        <v>560</v>
      </c>
      <c r="P3697" t="s">
        <v>8073</v>
      </c>
      <c r="Q3697" t="s">
        <v>1612</v>
      </c>
      <c r="R3697" t="s">
        <v>8112</v>
      </c>
      <c r="S3697" t="s">
        <v>8074</v>
      </c>
      <c r="T3697">
        <v>24</v>
      </c>
      <c r="U3697" t="s">
        <v>491</v>
      </c>
      <c r="X3697">
        <v>0</v>
      </c>
    </row>
    <row r="3698" spans="1:24" x14ac:dyDescent="0.25">
      <c r="A3698" s="234">
        <v>40300</v>
      </c>
      <c r="B3698" t="s">
        <v>13559</v>
      </c>
      <c r="C3698" t="s">
        <v>6575</v>
      </c>
      <c r="D3698" t="s">
        <v>9183</v>
      </c>
      <c r="F3698" t="s">
        <v>15346</v>
      </c>
      <c r="G3698" t="s">
        <v>7714</v>
      </c>
      <c r="H3698" t="s">
        <v>886</v>
      </c>
      <c r="I3698" t="s">
        <v>15347</v>
      </c>
      <c r="J3698" t="s">
        <v>6575</v>
      </c>
      <c r="K3698" t="s">
        <v>15348</v>
      </c>
      <c r="L3698" t="s">
        <v>14395</v>
      </c>
      <c r="M3698" s="134">
        <v>4000000</v>
      </c>
      <c r="N3698" s="134">
        <v>4100000</v>
      </c>
      <c r="O3698" t="s">
        <v>560</v>
      </c>
      <c r="P3698" t="s">
        <v>15349</v>
      </c>
      <c r="Q3698" t="s">
        <v>620</v>
      </c>
      <c r="R3698" t="s">
        <v>15350</v>
      </c>
      <c r="S3698" t="s">
        <v>15351</v>
      </c>
      <c r="U3698" t="s">
        <v>491</v>
      </c>
      <c r="X3698">
        <v>0</v>
      </c>
    </row>
    <row r="3699" spans="1:24" x14ac:dyDescent="0.25">
      <c r="A3699" s="234">
        <v>42870</v>
      </c>
      <c r="B3699" t="s">
        <v>328</v>
      </c>
      <c r="C3699" t="s">
        <v>603</v>
      </c>
      <c r="D3699" t="s">
        <v>1401</v>
      </c>
      <c r="E3699" t="s">
        <v>588</v>
      </c>
      <c r="F3699" t="s">
        <v>6795</v>
      </c>
      <c r="H3699" t="s">
        <v>607</v>
      </c>
      <c r="I3699" t="s">
        <v>6796</v>
      </c>
      <c r="J3699" t="s">
        <v>3370</v>
      </c>
      <c r="L3699">
        <v>2</v>
      </c>
      <c r="M3699" s="134">
        <v>4000000</v>
      </c>
      <c r="N3699" s="134">
        <v>4250000</v>
      </c>
      <c r="O3699" t="s">
        <v>6797</v>
      </c>
      <c r="P3699" t="s">
        <v>6798</v>
      </c>
      <c r="Q3699" t="s">
        <v>1939</v>
      </c>
      <c r="R3699" t="s">
        <v>6799</v>
      </c>
      <c r="U3699" t="s">
        <v>491</v>
      </c>
      <c r="X3699">
        <v>0</v>
      </c>
    </row>
    <row r="3700" spans="1:24" x14ac:dyDescent="0.25">
      <c r="A3700" s="234">
        <v>43584</v>
      </c>
      <c r="B3700" t="s">
        <v>13559</v>
      </c>
      <c r="C3700" t="s">
        <v>604</v>
      </c>
      <c r="D3700" t="s">
        <v>7814</v>
      </c>
      <c r="F3700" t="s">
        <v>15273</v>
      </c>
      <c r="G3700" t="s">
        <v>9461</v>
      </c>
      <c r="H3700" t="s">
        <v>886</v>
      </c>
      <c r="I3700" t="s">
        <v>15274</v>
      </c>
      <c r="J3700" t="s">
        <v>4825</v>
      </c>
      <c r="K3700" t="s">
        <v>15275</v>
      </c>
      <c r="L3700">
        <v>3</v>
      </c>
      <c r="M3700" s="134">
        <v>4000000</v>
      </c>
      <c r="N3700" s="134">
        <v>4400000</v>
      </c>
      <c r="O3700" t="s">
        <v>560</v>
      </c>
      <c r="P3700" t="s">
        <v>15276</v>
      </c>
      <c r="Q3700" t="s">
        <v>1939</v>
      </c>
      <c r="R3700" t="s">
        <v>15277</v>
      </c>
      <c r="U3700" t="s">
        <v>491</v>
      </c>
      <c r="X3700">
        <v>0</v>
      </c>
    </row>
    <row r="3701" spans="1:24" x14ac:dyDescent="0.25">
      <c r="A3701" s="234">
        <v>43109</v>
      </c>
      <c r="B3701" t="s">
        <v>5176</v>
      </c>
      <c r="C3701" t="s">
        <v>959</v>
      </c>
      <c r="D3701" t="s">
        <v>732</v>
      </c>
      <c r="E3701" t="s">
        <v>588</v>
      </c>
      <c r="F3701" t="s">
        <v>9993</v>
      </c>
      <c r="G3701" t="s">
        <v>9992</v>
      </c>
      <c r="H3701" t="s">
        <v>905</v>
      </c>
      <c r="I3701" t="s">
        <v>6329</v>
      </c>
      <c r="J3701" t="s">
        <v>6329</v>
      </c>
      <c r="L3701">
        <v>3</v>
      </c>
      <c r="M3701" s="134">
        <v>4000000</v>
      </c>
      <c r="N3701" s="134">
        <v>4400000</v>
      </c>
      <c r="O3701" t="s">
        <v>560</v>
      </c>
      <c r="P3701" t="s">
        <v>9991</v>
      </c>
      <c r="Q3701" t="s">
        <v>592</v>
      </c>
      <c r="R3701" t="s">
        <v>9990</v>
      </c>
      <c r="U3701" t="s">
        <v>1327</v>
      </c>
      <c r="X3701">
        <v>0</v>
      </c>
    </row>
    <row r="3702" spans="1:24" x14ac:dyDescent="0.25">
      <c r="A3702" s="234">
        <v>42845</v>
      </c>
      <c r="B3702" t="s">
        <v>328</v>
      </c>
      <c r="C3702" t="s">
        <v>603</v>
      </c>
      <c r="D3702" t="s">
        <v>649</v>
      </c>
      <c r="E3702" t="s">
        <v>588</v>
      </c>
      <c r="F3702" t="s">
        <v>6491</v>
      </c>
      <c r="H3702" t="s">
        <v>607</v>
      </c>
      <c r="I3702" t="s">
        <v>6492</v>
      </c>
      <c r="J3702" t="s">
        <v>644</v>
      </c>
      <c r="L3702" t="s">
        <v>833</v>
      </c>
      <c r="M3702" s="134">
        <v>4000000</v>
      </c>
      <c r="N3702" s="134">
        <v>4400000</v>
      </c>
      <c r="O3702" t="s">
        <v>1033</v>
      </c>
      <c r="P3702" t="s">
        <v>6668</v>
      </c>
      <c r="Q3702" t="s">
        <v>29</v>
      </c>
      <c r="R3702" t="s">
        <v>6496</v>
      </c>
      <c r="U3702" t="s">
        <v>491</v>
      </c>
      <c r="X3702">
        <v>1</v>
      </c>
    </row>
    <row r="3703" spans="1:24" x14ac:dyDescent="0.25">
      <c r="A3703" s="234">
        <v>42955</v>
      </c>
      <c r="B3703" t="s">
        <v>328</v>
      </c>
      <c r="C3703" t="s">
        <v>603</v>
      </c>
      <c r="D3703" t="s">
        <v>5701</v>
      </c>
      <c r="E3703" t="s">
        <v>588</v>
      </c>
      <c r="F3703" t="s">
        <v>8030</v>
      </c>
      <c r="H3703" t="s">
        <v>809</v>
      </c>
      <c r="I3703" t="s">
        <v>4399</v>
      </c>
      <c r="J3703" t="s">
        <v>644</v>
      </c>
      <c r="L3703">
        <v>2</v>
      </c>
      <c r="M3703" s="134">
        <v>4000000</v>
      </c>
      <c r="N3703" s="134">
        <v>4400000</v>
      </c>
      <c r="O3703" t="s">
        <v>560</v>
      </c>
      <c r="P3703" t="s">
        <v>8031</v>
      </c>
      <c r="Q3703" t="s">
        <v>592</v>
      </c>
      <c r="T3703">
        <v>14</v>
      </c>
      <c r="U3703" t="s">
        <v>491</v>
      </c>
      <c r="X3703">
        <v>0</v>
      </c>
    </row>
    <row r="3704" spans="1:24" x14ac:dyDescent="0.25">
      <c r="A3704" s="234">
        <v>42445</v>
      </c>
      <c r="B3704" t="s">
        <v>378</v>
      </c>
      <c r="C3704" t="s">
        <v>623</v>
      </c>
      <c r="D3704" t="s">
        <v>625</v>
      </c>
      <c r="E3704" t="s">
        <v>588</v>
      </c>
      <c r="F3704" t="s">
        <v>1351</v>
      </c>
      <c r="H3704" t="s">
        <v>1050</v>
      </c>
      <c r="I3704" t="s">
        <v>1352</v>
      </c>
      <c r="M3704" s="134">
        <v>4000000</v>
      </c>
      <c r="N3704" s="134">
        <v>4400000</v>
      </c>
      <c r="O3704" t="s">
        <v>891</v>
      </c>
      <c r="P3704" t="s">
        <v>1353</v>
      </c>
      <c r="Q3704" t="s">
        <v>592</v>
      </c>
      <c r="U3704" t="s">
        <v>491</v>
      </c>
      <c r="X3704">
        <v>0</v>
      </c>
    </row>
    <row r="3705" spans="1:24" x14ac:dyDescent="0.25">
      <c r="A3705" s="234">
        <v>42583</v>
      </c>
      <c r="B3705" t="s">
        <v>378</v>
      </c>
      <c r="C3705" t="s">
        <v>623</v>
      </c>
      <c r="D3705" t="s">
        <v>625</v>
      </c>
      <c r="E3705" t="s">
        <v>588</v>
      </c>
      <c r="F3705" t="s">
        <v>3162</v>
      </c>
      <c r="H3705" t="s">
        <v>886</v>
      </c>
      <c r="I3705" t="s">
        <v>1973</v>
      </c>
      <c r="J3705" t="s">
        <v>899</v>
      </c>
      <c r="L3705">
        <v>1</v>
      </c>
      <c r="M3705" s="134">
        <v>4000000</v>
      </c>
      <c r="N3705" s="134">
        <v>4400000</v>
      </c>
      <c r="O3705" t="s">
        <v>891</v>
      </c>
      <c r="P3705" t="s">
        <v>3163</v>
      </c>
      <c r="Q3705" t="s">
        <v>592</v>
      </c>
      <c r="U3705" t="s">
        <v>491</v>
      </c>
      <c r="X3705">
        <v>0</v>
      </c>
    </row>
    <row r="3706" spans="1:24" x14ac:dyDescent="0.25">
      <c r="A3706" s="234">
        <v>42788</v>
      </c>
      <c r="B3706" t="s">
        <v>569</v>
      </c>
      <c r="D3706" t="s">
        <v>625</v>
      </c>
      <c r="E3706" t="s">
        <v>588</v>
      </c>
      <c r="F3706" t="s">
        <v>5778</v>
      </c>
      <c r="H3706" t="s">
        <v>809</v>
      </c>
      <c r="I3706" t="s">
        <v>5779</v>
      </c>
      <c r="J3706" t="s">
        <v>899</v>
      </c>
      <c r="L3706">
        <v>2</v>
      </c>
      <c r="M3706" s="134">
        <v>4000000</v>
      </c>
      <c r="N3706" s="134">
        <v>4800000</v>
      </c>
      <c r="O3706" t="s">
        <v>560</v>
      </c>
      <c r="P3706" t="s">
        <v>5780</v>
      </c>
      <c r="Q3706" t="s">
        <v>1939</v>
      </c>
      <c r="R3706" t="s">
        <v>5781</v>
      </c>
      <c r="U3706" t="s">
        <v>491</v>
      </c>
      <c r="X3706">
        <v>0</v>
      </c>
    </row>
    <row r="3707" spans="1:24" x14ac:dyDescent="0.25">
      <c r="A3707" s="234">
        <v>42825</v>
      </c>
      <c r="B3707" t="s">
        <v>569</v>
      </c>
      <c r="D3707" t="s">
        <v>625</v>
      </c>
      <c r="E3707" t="s">
        <v>588</v>
      </c>
      <c r="F3707" t="s">
        <v>6174</v>
      </c>
      <c r="H3707" t="s">
        <v>905</v>
      </c>
      <c r="I3707" t="s">
        <v>2054</v>
      </c>
      <c r="J3707" t="s">
        <v>899</v>
      </c>
      <c r="L3707">
        <v>2</v>
      </c>
      <c r="M3707" s="134">
        <v>4000000</v>
      </c>
      <c r="N3707" s="134">
        <v>4800000</v>
      </c>
      <c r="O3707" t="s">
        <v>560</v>
      </c>
      <c r="P3707" t="s">
        <v>6175</v>
      </c>
      <c r="Q3707" t="s">
        <v>1612</v>
      </c>
      <c r="R3707" t="s">
        <v>6742</v>
      </c>
      <c r="U3707" t="s">
        <v>491</v>
      </c>
      <c r="X3707">
        <v>0</v>
      </c>
    </row>
    <row r="3708" spans="1:24" x14ac:dyDescent="0.25">
      <c r="A3708" s="234">
        <v>42839</v>
      </c>
      <c r="B3708" t="s">
        <v>569</v>
      </c>
      <c r="D3708" t="s">
        <v>625</v>
      </c>
      <c r="E3708" t="s">
        <v>588</v>
      </c>
      <c r="F3708" t="s">
        <v>6441</v>
      </c>
      <c r="H3708" t="s">
        <v>607</v>
      </c>
      <c r="I3708" t="s">
        <v>3941</v>
      </c>
      <c r="J3708" t="s">
        <v>899</v>
      </c>
      <c r="L3708">
        <v>4</v>
      </c>
      <c r="M3708" s="134">
        <v>4000000</v>
      </c>
      <c r="N3708" s="134">
        <v>4800000</v>
      </c>
      <c r="O3708" t="s">
        <v>560</v>
      </c>
      <c r="P3708" t="s">
        <v>6442</v>
      </c>
      <c r="Q3708" t="s">
        <v>1939</v>
      </c>
      <c r="U3708" t="s">
        <v>491</v>
      </c>
      <c r="X3708">
        <v>0</v>
      </c>
    </row>
    <row r="3709" spans="1:24" x14ac:dyDescent="0.25">
      <c r="A3709" s="234">
        <v>42604</v>
      </c>
      <c r="B3709" t="s">
        <v>378</v>
      </c>
      <c r="C3709" t="s">
        <v>623</v>
      </c>
      <c r="D3709" t="s">
        <v>625</v>
      </c>
      <c r="E3709" t="s">
        <v>588</v>
      </c>
      <c r="F3709" t="s">
        <v>3535</v>
      </c>
      <c r="H3709" t="s">
        <v>607</v>
      </c>
      <c r="I3709" t="s">
        <v>3536</v>
      </c>
      <c r="J3709" t="s">
        <v>899</v>
      </c>
      <c r="L3709">
        <v>3</v>
      </c>
      <c r="M3709" s="134">
        <v>4000000</v>
      </c>
      <c r="N3709" s="134">
        <v>4910000</v>
      </c>
      <c r="O3709" t="s">
        <v>560</v>
      </c>
      <c r="P3709" t="s">
        <v>3537</v>
      </c>
      <c r="Q3709" t="s">
        <v>29</v>
      </c>
      <c r="R3709" t="s">
        <v>3538</v>
      </c>
      <c r="U3709" t="s">
        <v>491</v>
      </c>
      <c r="X3709">
        <v>1</v>
      </c>
    </row>
    <row r="3710" spans="1:24" x14ac:dyDescent="0.25">
      <c r="A3710" s="234">
        <v>42765</v>
      </c>
      <c r="B3710" t="s">
        <v>328</v>
      </c>
      <c r="C3710" t="s">
        <v>603</v>
      </c>
      <c r="D3710" t="s">
        <v>2397</v>
      </c>
      <c r="E3710" t="s">
        <v>588</v>
      </c>
      <c r="F3710" t="s">
        <v>5504</v>
      </c>
      <c r="H3710" t="s">
        <v>722</v>
      </c>
      <c r="I3710" t="s">
        <v>5505</v>
      </c>
      <c r="J3710" t="s">
        <v>899</v>
      </c>
      <c r="L3710" t="s">
        <v>5284</v>
      </c>
      <c r="M3710" s="134">
        <v>4000000</v>
      </c>
      <c r="N3710" s="134">
        <v>5000000</v>
      </c>
      <c r="O3710" t="s">
        <v>560</v>
      </c>
      <c r="P3710" t="s">
        <v>5569</v>
      </c>
      <c r="Q3710" t="s">
        <v>1939</v>
      </c>
      <c r="R3710" t="s">
        <v>5570</v>
      </c>
      <c r="U3710" t="s">
        <v>491</v>
      </c>
      <c r="X3710">
        <v>0</v>
      </c>
    </row>
    <row r="3711" spans="1:24" x14ac:dyDescent="0.25">
      <c r="A3711" s="234">
        <v>42464</v>
      </c>
      <c r="B3711" t="s">
        <v>1486</v>
      </c>
      <c r="C3711" t="s">
        <v>602</v>
      </c>
      <c r="D3711" t="s">
        <v>1495</v>
      </c>
      <c r="E3711" t="s">
        <v>588</v>
      </c>
      <c r="F3711" t="s">
        <v>1496</v>
      </c>
      <c r="H3711" t="s">
        <v>886</v>
      </c>
      <c r="I3711" t="s">
        <v>1514</v>
      </c>
      <c r="M3711" s="134">
        <v>4000000</v>
      </c>
      <c r="N3711" s="134">
        <v>5000000</v>
      </c>
      <c r="O3711" t="s">
        <v>1498</v>
      </c>
      <c r="P3711" t="s">
        <v>1515</v>
      </c>
      <c r="Q3711" t="s">
        <v>592</v>
      </c>
      <c r="R3711" t="s">
        <v>1513</v>
      </c>
      <c r="U3711" t="s">
        <v>491</v>
      </c>
      <c r="X3711">
        <v>0</v>
      </c>
    </row>
    <row r="3712" spans="1:24" x14ac:dyDescent="0.25">
      <c r="A3712" s="234">
        <v>42383</v>
      </c>
      <c r="B3712" t="s">
        <v>594</v>
      </c>
      <c r="C3712" t="s">
        <v>604</v>
      </c>
      <c r="D3712" t="s">
        <v>727</v>
      </c>
      <c r="E3712" t="s">
        <v>588</v>
      </c>
      <c r="F3712" t="s">
        <v>728</v>
      </c>
      <c r="H3712" t="s">
        <v>722</v>
      </c>
      <c r="I3712" t="s">
        <v>729</v>
      </c>
      <c r="M3712" s="134">
        <v>4000000</v>
      </c>
      <c r="N3712" s="134">
        <v>5000000</v>
      </c>
      <c r="O3712" t="s">
        <v>730</v>
      </c>
      <c r="P3712" t="s">
        <v>731</v>
      </c>
      <c r="Q3712" t="s">
        <v>592</v>
      </c>
      <c r="R3712" t="s">
        <v>1329</v>
      </c>
      <c r="U3712" t="s">
        <v>491</v>
      </c>
      <c r="X3712">
        <v>0</v>
      </c>
    </row>
    <row r="3713" spans="1:24" x14ac:dyDescent="0.25">
      <c r="A3713" s="234">
        <v>42464</v>
      </c>
      <c r="B3713" t="s">
        <v>1486</v>
      </c>
      <c r="C3713" t="s">
        <v>602</v>
      </c>
      <c r="D3713" t="s">
        <v>1495</v>
      </c>
      <c r="E3713" t="s">
        <v>588</v>
      </c>
      <c r="F3713" t="s">
        <v>1496</v>
      </c>
      <c r="H3713" t="s">
        <v>886</v>
      </c>
      <c r="I3713" t="s">
        <v>1497</v>
      </c>
      <c r="M3713" s="134">
        <v>4000000</v>
      </c>
      <c r="N3713" s="134">
        <v>5000000</v>
      </c>
      <c r="O3713" t="s">
        <v>1498</v>
      </c>
      <c r="P3713" t="s">
        <v>1499</v>
      </c>
      <c r="Q3713" t="s">
        <v>620</v>
      </c>
      <c r="U3713" t="s">
        <v>491</v>
      </c>
      <c r="X3713">
        <v>0</v>
      </c>
    </row>
    <row r="3714" spans="1:24" x14ac:dyDescent="0.25">
      <c r="A3714" s="234">
        <v>42629</v>
      </c>
      <c r="B3714" t="s">
        <v>378</v>
      </c>
      <c r="C3714" t="s">
        <v>610</v>
      </c>
      <c r="D3714" t="s">
        <v>732</v>
      </c>
      <c r="E3714" t="s">
        <v>692</v>
      </c>
      <c r="F3714" t="s">
        <v>3928</v>
      </c>
      <c r="H3714" t="s">
        <v>886</v>
      </c>
      <c r="I3714" t="s">
        <v>3929</v>
      </c>
      <c r="J3714" t="s">
        <v>899</v>
      </c>
      <c r="L3714">
        <v>1</v>
      </c>
      <c r="M3714" s="134">
        <v>4050000</v>
      </c>
      <c r="N3714" s="134">
        <v>4050000</v>
      </c>
      <c r="O3714" t="s">
        <v>560</v>
      </c>
      <c r="P3714" t="s">
        <v>3930</v>
      </c>
      <c r="Q3714" t="s">
        <v>592</v>
      </c>
      <c r="U3714" t="s">
        <v>491</v>
      </c>
      <c r="X3714">
        <v>0</v>
      </c>
    </row>
    <row r="3715" spans="1:24" x14ac:dyDescent="0.25">
      <c r="A3715" s="234">
        <v>42550</v>
      </c>
      <c r="B3715" t="s">
        <v>378</v>
      </c>
      <c r="C3715" t="s">
        <v>623</v>
      </c>
      <c r="D3715" t="s">
        <v>624</v>
      </c>
      <c r="E3715" t="s">
        <v>588</v>
      </c>
      <c r="F3715" t="s">
        <v>2715</v>
      </c>
      <c r="H3715" t="s">
        <v>886</v>
      </c>
      <c r="I3715" t="s">
        <v>2543</v>
      </c>
      <c r="M3715" s="134">
        <v>4080000</v>
      </c>
      <c r="N3715" s="134">
        <v>4080000</v>
      </c>
      <c r="O3715" t="s">
        <v>2716</v>
      </c>
      <c r="P3715" t="s">
        <v>2717</v>
      </c>
      <c r="Q3715" t="s">
        <v>1612</v>
      </c>
      <c r="R3715" t="s">
        <v>2718</v>
      </c>
      <c r="S3715" t="s">
        <v>2847</v>
      </c>
      <c r="U3715" t="s">
        <v>491</v>
      </c>
      <c r="X3715">
        <v>0</v>
      </c>
    </row>
    <row r="3716" spans="1:24" x14ac:dyDescent="0.25">
      <c r="A3716" s="234">
        <v>42657</v>
      </c>
      <c r="B3716" t="s">
        <v>378</v>
      </c>
      <c r="C3716" t="s">
        <v>623</v>
      </c>
      <c r="D3716" t="s">
        <v>625</v>
      </c>
      <c r="E3716" t="s">
        <v>588</v>
      </c>
      <c r="F3716" t="s">
        <v>4324</v>
      </c>
      <c r="H3716" t="s">
        <v>905</v>
      </c>
      <c r="I3716" t="s">
        <v>4169</v>
      </c>
      <c r="J3716" t="s">
        <v>899</v>
      </c>
      <c r="L3716">
        <v>1</v>
      </c>
      <c r="M3716" s="134">
        <v>4100000</v>
      </c>
      <c r="N3716" s="134">
        <v>4710000</v>
      </c>
      <c r="O3716" t="s">
        <v>560</v>
      </c>
      <c r="P3716" t="s">
        <v>4325</v>
      </c>
      <c r="Q3716" t="s">
        <v>29</v>
      </c>
      <c r="R3716" t="s">
        <v>4573</v>
      </c>
      <c r="U3716" t="s">
        <v>491</v>
      </c>
      <c r="X3716">
        <v>1</v>
      </c>
    </row>
    <row r="3717" spans="1:24" x14ac:dyDescent="0.25">
      <c r="A3717" s="234">
        <v>43073</v>
      </c>
      <c r="B3717" t="s">
        <v>643</v>
      </c>
      <c r="C3717" t="s">
        <v>644</v>
      </c>
      <c r="D3717" t="s">
        <v>645</v>
      </c>
      <c r="E3717" t="s">
        <v>588</v>
      </c>
      <c r="F3717" t="s">
        <v>9651</v>
      </c>
      <c r="G3717" t="s">
        <v>9652</v>
      </c>
      <c r="H3717" t="s">
        <v>809</v>
      </c>
      <c r="I3717" t="s">
        <v>9653</v>
      </c>
      <c r="J3717" t="s">
        <v>644</v>
      </c>
      <c r="L3717">
        <v>2</v>
      </c>
      <c r="M3717" s="134">
        <v>4133000</v>
      </c>
      <c r="N3717" s="134">
        <v>4566300</v>
      </c>
      <c r="O3717" t="s">
        <v>560</v>
      </c>
      <c r="P3717" t="s">
        <v>9654</v>
      </c>
      <c r="Q3717" t="s">
        <v>1939</v>
      </c>
      <c r="R3717" t="s">
        <v>9655</v>
      </c>
      <c r="U3717" t="s">
        <v>1327</v>
      </c>
      <c r="X3717">
        <v>0</v>
      </c>
    </row>
    <row r="3718" spans="1:24" x14ac:dyDescent="0.25">
      <c r="A3718" s="234">
        <v>43089</v>
      </c>
      <c r="B3718" t="s">
        <v>328</v>
      </c>
      <c r="C3718" t="s">
        <v>603</v>
      </c>
      <c r="D3718" t="s">
        <v>672</v>
      </c>
      <c r="E3718" t="s">
        <v>588</v>
      </c>
      <c r="F3718" t="s">
        <v>9794</v>
      </c>
      <c r="G3718" t="s">
        <v>9652</v>
      </c>
      <c r="H3718" t="s">
        <v>809</v>
      </c>
      <c r="I3718" t="s">
        <v>9653</v>
      </c>
      <c r="J3718" t="s">
        <v>644</v>
      </c>
      <c r="L3718">
        <v>2</v>
      </c>
      <c r="M3718" s="134">
        <v>4133000</v>
      </c>
      <c r="N3718" s="134">
        <v>4566300</v>
      </c>
      <c r="O3718" t="s">
        <v>560</v>
      </c>
      <c r="P3718" t="s">
        <v>9795</v>
      </c>
      <c r="Q3718" t="s">
        <v>1939</v>
      </c>
      <c r="R3718" t="s">
        <v>9796</v>
      </c>
      <c r="U3718" t="s">
        <v>491</v>
      </c>
      <c r="X3718">
        <v>0</v>
      </c>
    </row>
    <row r="3719" spans="1:24" x14ac:dyDescent="0.25">
      <c r="A3719" s="234">
        <v>42922</v>
      </c>
      <c r="B3719" t="s">
        <v>569</v>
      </c>
      <c r="D3719" t="s">
        <v>7501</v>
      </c>
      <c r="E3719" t="s">
        <v>692</v>
      </c>
      <c r="F3719" t="s">
        <v>7511</v>
      </c>
      <c r="H3719" t="s">
        <v>809</v>
      </c>
      <c r="I3719" t="s">
        <v>3672</v>
      </c>
      <c r="J3719" t="s">
        <v>899</v>
      </c>
      <c r="M3719" s="134">
        <v>4269600</v>
      </c>
      <c r="N3719" s="134">
        <v>5000000</v>
      </c>
      <c r="O3719" t="s">
        <v>560</v>
      </c>
      <c r="P3719" t="s">
        <v>7512</v>
      </c>
      <c r="Q3719" t="s">
        <v>592</v>
      </c>
      <c r="R3719" t="s">
        <v>7502</v>
      </c>
      <c r="U3719" t="s">
        <v>491</v>
      </c>
      <c r="X3719">
        <v>0</v>
      </c>
    </row>
    <row r="3720" spans="1:24" x14ac:dyDescent="0.25">
      <c r="A3720" s="234">
        <v>42529</v>
      </c>
      <c r="B3720" t="s">
        <v>378</v>
      </c>
      <c r="C3720" t="s">
        <v>610</v>
      </c>
      <c r="D3720" t="s">
        <v>611</v>
      </c>
      <c r="E3720" t="s">
        <v>588</v>
      </c>
      <c r="F3720" t="s">
        <v>2404</v>
      </c>
      <c r="H3720" t="s">
        <v>886</v>
      </c>
      <c r="I3720" t="s">
        <v>2405</v>
      </c>
      <c r="M3720" s="134">
        <v>4299171</v>
      </c>
      <c r="N3720" s="134">
        <v>4599171</v>
      </c>
      <c r="O3720" t="s">
        <v>891</v>
      </c>
      <c r="P3720" t="s">
        <v>2406</v>
      </c>
      <c r="Q3720" t="s">
        <v>1612</v>
      </c>
      <c r="R3720" t="s">
        <v>2407</v>
      </c>
      <c r="S3720" t="s">
        <v>2413</v>
      </c>
      <c r="U3720" t="s">
        <v>491</v>
      </c>
      <c r="X3720">
        <v>0</v>
      </c>
    </row>
    <row r="3721" spans="1:24" x14ac:dyDescent="0.25">
      <c r="A3721" s="234">
        <v>43019</v>
      </c>
      <c r="B3721" t="s">
        <v>5360</v>
      </c>
      <c r="C3721" t="s">
        <v>899</v>
      </c>
      <c r="D3721" t="s">
        <v>732</v>
      </c>
      <c r="E3721" t="s">
        <v>588</v>
      </c>
      <c r="F3721" t="s">
        <v>8969</v>
      </c>
      <c r="G3721" t="s">
        <v>8853</v>
      </c>
      <c r="H3721" t="s">
        <v>886</v>
      </c>
      <c r="I3721" t="s">
        <v>8970</v>
      </c>
      <c r="J3721" t="s">
        <v>899</v>
      </c>
      <c r="L3721">
        <v>3</v>
      </c>
      <c r="M3721" s="134">
        <v>4300000</v>
      </c>
      <c r="N3721" s="134">
        <v>4300000</v>
      </c>
      <c r="O3721" t="s">
        <v>560</v>
      </c>
      <c r="P3721" t="s">
        <v>8971</v>
      </c>
      <c r="Q3721" t="s">
        <v>1939</v>
      </c>
      <c r="R3721" t="s">
        <v>8972</v>
      </c>
      <c r="U3721" t="s">
        <v>491</v>
      </c>
      <c r="X3721">
        <v>0</v>
      </c>
    </row>
    <row r="3722" spans="1:24" x14ac:dyDescent="0.25">
      <c r="A3722" s="234">
        <v>42549</v>
      </c>
      <c r="B3722" t="s">
        <v>378</v>
      </c>
      <c r="C3722" t="s">
        <v>610</v>
      </c>
      <c r="D3722" t="s">
        <v>1027</v>
      </c>
      <c r="E3722" t="s">
        <v>588</v>
      </c>
      <c r="F3722" t="s">
        <v>2686</v>
      </c>
      <c r="H3722" t="s">
        <v>607</v>
      </c>
      <c r="I3722" t="s">
        <v>2687</v>
      </c>
      <c r="M3722" s="134">
        <v>4397092</v>
      </c>
      <c r="N3722" s="134">
        <v>4897092</v>
      </c>
      <c r="O3722" t="s">
        <v>891</v>
      </c>
      <c r="P3722" t="s">
        <v>2689</v>
      </c>
      <c r="Q3722" t="s">
        <v>620</v>
      </c>
      <c r="R3722" t="s">
        <v>2688</v>
      </c>
      <c r="U3722" t="s">
        <v>491</v>
      </c>
      <c r="X3722">
        <v>0</v>
      </c>
    </row>
    <row r="3723" spans="1:24" x14ac:dyDescent="0.25">
      <c r="A3723" s="234">
        <v>43384</v>
      </c>
      <c r="B3723" t="s">
        <v>569</v>
      </c>
      <c r="C3723" t="s">
        <v>899</v>
      </c>
      <c r="D3723" t="s">
        <v>625</v>
      </c>
      <c r="E3723" t="s">
        <v>588</v>
      </c>
      <c r="F3723" t="s">
        <v>12895</v>
      </c>
      <c r="H3723" t="s">
        <v>1050</v>
      </c>
      <c r="I3723" t="s">
        <v>3536</v>
      </c>
      <c r="J3723" t="s">
        <v>899</v>
      </c>
      <c r="M3723" s="134">
        <v>4400000</v>
      </c>
      <c r="N3723" s="134">
        <v>500000</v>
      </c>
      <c r="O3723" t="s">
        <v>560</v>
      </c>
      <c r="P3723" t="s">
        <v>12896</v>
      </c>
      <c r="Q3723" t="s">
        <v>592</v>
      </c>
      <c r="R3723" t="s">
        <v>12897</v>
      </c>
      <c r="U3723" t="s">
        <v>289</v>
      </c>
      <c r="X3723">
        <v>0</v>
      </c>
    </row>
    <row r="3724" spans="1:24" x14ac:dyDescent="0.25">
      <c r="A3724" s="234">
        <v>42537</v>
      </c>
      <c r="B3724" t="s">
        <v>594</v>
      </c>
      <c r="C3724" t="s">
        <v>1363</v>
      </c>
      <c r="D3724" t="s">
        <v>1495</v>
      </c>
      <c r="E3724" t="s">
        <v>588</v>
      </c>
      <c r="F3724" t="s">
        <v>2539</v>
      </c>
      <c r="H3724" t="s">
        <v>886</v>
      </c>
      <c r="I3724" t="s">
        <v>2348</v>
      </c>
      <c r="M3724" s="134">
        <v>4500000</v>
      </c>
      <c r="N3724" s="134">
        <v>4500000</v>
      </c>
      <c r="O3724" t="s">
        <v>1498</v>
      </c>
      <c r="P3724" t="s">
        <v>2540</v>
      </c>
      <c r="Q3724" t="s">
        <v>620</v>
      </c>
      <c r="R3724" t="s">
        <v>2541</v>
      </c>
      <c r="U3724" t="s">
        <v>491</v>
      </c>
      <c r="X3724">
        <v>0</v>
      </c>
    </row>
    <row r="3725" spans="1:24" x14ac:dyDescent="0.25">
      <c r="A3725" s="234">
        <v>42545</v>
      </c>
      <c r="B3725" t="s">
        <v>378</v>
      </c>
      <c r="C3725" t="s">
        <v>610</v>
      </c>
      <c r="D3725" t="s">
        <v>1027</v>
      </c>
      <c r="E3725" t="s">
        <v>588</v>
      </c>
      <c r="F3725" t="s">
        <v>2674</v>
      </c>
      <c r="H3725" t="s">
        <v>886</v>
      </c>
      <c r="I3725" t="s">
        <v>2675</v>
      </c>
      <c r="M3725" s="134">
        <v>4500000</v>
      </c>
      <c r="N3725" s="134">
        <v>4500000</v>
      </c>
      <c r="O3725" t="s">
        <v>1498</v>
      </c>
      <c r="P3725" t="s">
        <v>2676</v>
      </c>
      <c r="Q3725" t="s">
        <v>1939</v>
      </c>
      <c r="R3725" t="s">
        <v>2677</v>
      </c>
      <c r="U3725" t="s">
        <v>491</v>
      </c>
      <c r="X3725">
        <v>0</v>
      </c>
    </row>
    <row r="3726" spans="1:24" x14ac:dyDescent="0.25">
      <c r="A3726" s="234">
        <v>43203</v>
      </c>
      <c r="B3726" t="s">
        <v>328</v>
      </c>
      <c r="C3726" t="s">
        <v>603</v>
      </c>
      <c r="D3726" t="s">
        <v>649</v>
      </c>
      <c r="E3726" t="s">
        <v>588</v>
      </c>
      <c r="F3726" t="s">
        <v>10940</v>
      </c>
      <c r="G3726" t="s">
        <v>10348</v>
      </c>
      <c r="H3726" t="s">
        <v>809</v>
      </c>
      <c r="I3726" t="s">
        <v>9184</v>
      </c>
      <c r="J3726" t="s">
        <v>3370</v>
      </c>
      <c r="L3726">
        <v>2</v>
      </c>
      <c r="M3726" s="134">
        <v>4500000</v>
      </c>
      <c r="N3726" s="134">
        <v>4800000</v>
      </c>
      <c r="O3726" t="s">
        <v>560</v>
      </c>
      <c r="P3726" t="s">
        <v>10941</v>
      </c>
      <c r="Q3726" t="s">
        <v>1939</v>
      </c>
      <c r="R3726" t="s">
        <v>10942</v>
      </c>
      <c r="U3726" t="s">
        <v>1327</v>
      </c>
      <c r="X3726">
        <v>0</v>
      </c>
    </row>
    <row r="3727" spans="1:24" x14ac:dyDescent="0.25">
      <c r="A3727" s="234">
        <v>42657</v>
      </c>
      <c r="B3727" t="s">
        <v>378</v>
      </c>
      <c r="C3727" t="s">
        <v>623</v>
      </c>
      <c r="D3727" t="s">
        <v>930</v>
      </c>
      <c r="E3727" t="s">
        <v>588</v>
      </c>
      <c r="F3727" t="s">
        <v>4315</v>
      </c>
      <c r="H3727" t="s">
        <v>886</v>
      </c>
      <c r="I3727" t="s">
        <v>3462</v>
      </c>
      <c r="J3727" t="s">
        <v>899</v>
      </c>
      <c r="M3727" s="134">
        <v>4500000</v>
      </c>
      <c r="N3727" s="134">
        <v>4800000</v>
      </c>
      <c r="O3727" t="s">
        <v>560</v>
      </c>
      <c r="P3727" t="s">
        <v>4316</v>
      </c>
      <c r="Q3727" t="s">
        <v>1939</v>
      </c>
      <c r="R3727" t="s">
        <v>4317</v>
      </c>
      <c r="U3727" t="s">
        <v>491</v>
      </c>
      <c r="X3727">
        <v>0</v>
      </c>
    </row>
    <row r="3728" spans="1:24" x14ac:dyDescent="0.25">
      <c r="A3728" s="234">
        <v>43161</v>
      </c>
      <c r="B3728" t="s">
        <v>9240</v>
      </c>
      <c r="C3728" t="s">
        <v>603</v>
      </c>
      <c r="D3728" t="s">
        <v>9241</v>
      </c>
      <c r="E3728" t="s">
        <v>588</v>
      </c>
      <c r="F3728" t="s">
        <v>10490</v>
      </c>
      <c r="G3728" t="s">
        <v>10490</v>
      </c>
      <c r="H3728" t="s">
        <v>809</v>
      </c>
      <c r="I3728" t="s">
        <v>10491</v>
      </c>
      <c r="J3728" t="s">
        <v>5402</v>
      </c>
      <c r="L3728">
        <v>9</v>
      </c>
      <c r="M3728" s="134">
        <v>4500000</v>
      </c>
      <c r="N3728" s="134">
        <v>4950000</v>
      </c>
      <c r="O3728" t="s">
        <v>10766</v>
      </c>
      <c r="P3728" t="s">
        <v>10753</v>
      </c>
      <c r="Q3728" t="s">
        <v>620</v>
      </c>
      <c r="R3728" t="s">
        <v>10493</v>
      </c>
      <c r="U3728" t="s">
        <v>1327</v>
      </c>
      <c r="X3728">
        <v>0</v>
      </c>
    </row>
    <row r="3729" spans="1:24" x14ac:dyDescent="0.25">
      <c r="A3729" s="234">
        <v>43222</v>
      </c>
      <c r="B3729" t="s">
        <v>569</v>
      </c>
      <c r="C3729" t="s">
        <v>899</v>
      </c>
      <c r="D3729" t="s">
        <v>624</v>
      </c>
      <c r="E3729" t="s">
        <v>588</v>
      </c>
      <c r="F3729" t="s">
        <v>6174</v>
      </c>
      <c r="G3729" t="s">
        <v>6174</v>
      </c>
      <c r="H3729" t="s">
        <v>1050</v>
      </c>
      <c r="I3729" t="s">
        <v>2054</v>
      </c>
      <c r="J3729" t="s">
        <v>899</v>
      </c>
      <c r="L3729">
        <v>2</v>
      </c>
      <c r="M3729" s="134">
        <v>4527000</v>
      </c>
      <c r="N3729" s="134">
        <v>4597000</v>
      </c>
      <c r="O3729" t="s">
        <v>560</v>
      </c>
      <c r="P3729" t="s">
        <v>11172</v>
      </c>
      <c r="Q3729" t="s">
        <v>592</v>
      </c>
      <c r="R3729" t="s">
        <v>11173</v>
      </c>
      <c r="U3729" t="s">
        <v>1327</v>
      </c>
      <c r="X3729">
        <v>0</v>
      </c>
    </row>
    <row r="3730" spans="1:24" x14ac:dyDescent="0.25">
      <c r="A3730" s="234">
        <v>43137</v>
      </c>
      <c r="B3730" t="s">
        <v>328</v>
      </c>
      <c r="C3730" t="s">
        <v>603</v>
      </c>
      <c r="D3730" t="s">
        <v>2397</v>
      </c>
      <c r="E3730" t="s">
        <v>588</v>
      </c>
      <c r="F3730" t="s">
        <v>10296</v>
      </c>
      <c r="G3730" t="s">
        <v>9173</v>
      </c>
      <c r="H3730" t="s">
        <v>809</v>
      </c>
      <c r="J3730" t="s">
        <v>3612</v>
      </c>
      <c r="L3730">
        <v>2</v>
      </c>
      <c r="M3730" s="134">
        <v>4541000</v>
      </c>
      <c r="N3730" s="134">
        <v>4811000</v>
      </c>
      <c r="O3730" t="s">
        <v>560</v>
      </c>
      <c r="P3730" t="s">
        <v>10297</v>
      </c>
      <c r="Q3730" t="s">
        <v>592</v>
      </c>
      <c r="R3730" t="s">
        <v>10154</v>
      </c>
      <c r="U3730" t="s">
        <v>1327</v>
      </c>
      <c r="X3730">
        <v>0</v>
      </c>
    </row>
    <row r="3731" spans="1:24" x14ac:dyDescent="0.25">
      <c r="A3731" s="234">
        <v>42629</v>
      </c>
      <c r="B3731" t="s">
        <v>378</v>
      </c>
      <c r="C3731" t="s">
        <v>623</v>
      </c>
      <c r="D3731" t="s">
        <v>625</v>
      </c>
      <c r="E3731" t="s">
        <v>588</v>
      </c>
      <c r="F3731" t="s">
        <v>3955</v>
      </c>
      <c r="H3731" t="s">
        <v>886</v>
      </c>
      <c r="I3731" t="s">
        <v>3956</v>
      </c>
      <c r="J3731" t="s">
        <v>899</v>
      </c>
      <c r="L3731">
        <v>3</v>
      </c>
      <c r="M3731" s="134">
        <v>4600000</v>
      </c>
      <c r="N3731" s="134">
        <v>4600000</v>
      </c>
      <c r="O3731" t="s">
        <v>2527</v>
      </c>
      <c r="P3731" t="s">
        <v>3957</v>
      </c>
      <c r="Q3731" t="s">
        <v>592</v>
      </c>
      <c r="U3731" t="s">
        <v>491</v>
      </c>
      <c r="X3731">
        <v>0</v>
      </c>
    </row>
    <row r="3732" spans="1:24" x14ac:dyDescent="0.25">
      <c r="A3732" s="234">
        <v>42895</v>
      </c>
      <c r="B3732" t="s">
        <v>328</v>
      </c>
      <c r="C3732" t="s">
        <v>603</v>
      </c>
      <c r="D3732" t="s">
        <v>672</v>
      </c>
      <c r="E3732" t="s">
        <v>588</v>
      </c>
      <c r="F3732" t="s">
        <v>7150</v>
      </c>
      <c r="H3732" t="s">
        <v>1050</v>
      </c>
      <c r="I3732" t="s">
        <v>7151</v>
      </c>
      <c r="J3732" t="s">
        <v>644</v>
      </c>
      <c r="M3732" s="134">
        <v>4600000</v>
      </c>
      <c r="N3732" s="134">
        <v>4650000</v>
      </c>
      <c r="O3732" t="s">
        <v>560</v>
      </c>
      <c r="P3732" t="s">
        <v>7152</v>
      </c>
      <c r="Q3732" t="s">
        <v>1939</v>
      </c>
      <c r="R3732" t="s">
        <v>7153</v>
      </c>
      <c r="U3732" t="s">
        <v>491</v>
      </c>
      <c r="X3732">
        <v>0</v>
      </c>
    </row>
    <row r="3733" spans="1:24" x14ac:dyDescent="0.25">
      <c r="A3733" s="234">
        <v>43039</v>
      </c>
      <c r="B3733" t="s">
        <v>569</v>
      </c>
      <c r="C3733" t="s">
        <v>899</v>
      </c>
      <c r="D3733" t="s">
        <v>930</v>
      </c>
      <c r="E3733" t="s">
        <v>821</v>
      </c>
      <c r="F3733" t="s">
        <v>9291</v>
      </c>
      <c r="G3733" t="s">
        <v>757</v>
      </c>
      <c r="H3733" t="s">
        <v>1050</v>
      </c>
      <c r="I3733" t="s">
        <v>6099</v>
      </c>
      <c r="J3733" t="s">
        <v>899</v>
      </c>
      <c r="L3733">
        <v>2</v>
      </c>
      <c r="M3733" s="134">
        <v>4750000</v>
      </c>
      <c r="N3733" s="134">
        <v>0</v>
      </c>
      <c r="O3733" t="s">
        <v>639</v>
      </c>
      <c r="P3733" t="s">
        <v>9259</v>
      </c>
      <c r="Q3733" t="s">
        <v>1939</v>
      </c>
      <c r="R3733" t="s">
        <v>9298</v>
      </c>
      <c r="U3733" t="s">
        <v>491</v>
      </c>
      <c r="X3733">
        <v>0</v>
      </c>
    </row>
    <row r="3734" spans="1:24" x14ac:dyDescent="0.25">
      <c r="A3734" s="234">
        <v>43537</v>
      </c>
      <c r="B3734" t="s">
        <v>569</v>
      </c>
      <c r="C3734" t="s">
        <v>899</v>
      </c>
      <c r="D3734" t="s">
        <v>11286</v>
      </c>
      <c r="F3734" t="s">
        <v>9800</v>
      </c>
      <c r="G3734" t="s">
        <v>9801</v>
      </c>
      <c r="H3734" t="s">
        <v>1050</v>
      </c>
      <c r="M3734" s="134">
        <v>4800000</v>
      </c>
      <c r="N3734" s="134">
        <v>5200000</v>
      </c>
      <c r="O3734" t="s">
        <v>560</v>
      </c>
      <c r="P3734" t="s">
        <v>14834</v>
      </c>
      <c r="Q3734" t="s">
        <v>29</v>
      </c>
      <c r="R3734" t="s">
        <v>14733</v>
      </c>
      <c r="S3734" t="s">
        <v>833</v>
      </c>
      <c r="U3734" t="s">
        <v>12344</v>
      </c>
      <c r="X3734">
        <v>1</v>
      </c>
    </row>
    <row r="3735" spans="1:24" x14ac:dyDescent="0.25">
      <c r="A3735" s="234">
        <v>42604</v>
      </c>
      <c r="B3735" t="s">
        <v>378</v>
      </c>
      <c r="C3735" t="s">
        <v>623</v>
      </c>
      <c r="D3735" t="s">
        <v>625</v>
      </c>
      <c r="E3735" t="s">
        <v>588</v>
      </c>
      <c r="F3735" t="s">
        <v>3545</v>
      </c>
      <c r="H3735" t="s">
        <v>886</v>
      </c>
      <c r="I3735" t="s">
        <v>3388</v>
      </c>
      <c r="J3735" t="s">
        <v>3546</v>
      </c>
      <c r="L3735">
        <v>1</v>
      </c>
      <c r="M3735" s="134">
        <v>4900000</v>
      </c>
      <c r="N3735" s="134">
        <v>5390000</v>
      </c>
      <c r="O3735" t="s">
        <v>560</v>
      </c>
      <c r="P3735" t="s">
        <v>3547</v>
      </c>
      <c r="Q3735" t="s">
        <v>29</v>
      </c>
      <c r="R3735" t="s">
        <v>3548</v>
      </c>
      <c r="U3735" t="s">
        <v>491</v>
      </c>
      <c r="X3735">
        <v>1</v>
      </c>
    </row>
    <row r="3736" spans="1:24" x14ac:dyDescent="0.25">
      <c r="A3736" s="234">
        <v>43117</v>
      </c>
      <c r="B3736" t="s">
        <v>328</v>
      </c>
      <c r="C3736" t="s">
        <v>603</v>
      </c>
      <c r="D3736" t="s">
        <v>649</v>
      </c>
      <c r="E3736" t="s">
        <v>588</v>
      </c>
      <c r="F3736" t="s">
        <v>8193</v>
      </c>
      <c r="G3736" t="s">
        <v>10046</v>
      </c>
      <c r="H3736" t="s">
        <v>607</v>
      </c>
      <c r="I3736" t="s">
        <v>10047</v>
      </c>
      <c r="J3736" t="s">
        <v>899</v>
      </c>
      <c r="L3736">
        <v>2</v>
      </c>
      <c r="M3736" s="134">
        <v>5000000</v>
      </c>
      <c r="N3736" s="134">
        <v>3100000</v>
      </c>
      <c r="O3736" t="s">
        <v>560</v>
      </c>
      <c r="P3736" t="s">
        <v>10048</v>
      </c>
      <c r="Q3736" t="s">
        <v>1939</v>
      </c>
      <c r="R3736" t="s">
        <v>10049</v>
      </c>
      <c r="U3736" t="s">
        <v>1327</v>
      </c>
      <c r="X3736">
        <v>0</v>
      </c>
    </row>
    <row r="3737" spans="1:24" x14ac:dyDescent="0.25">
      <c r="A3737" s="234">
        <v>43110</v>
      </c>
      <c r="B3737" t="s">
        <v>569</v>
      </c>
      <c r="C3737" t="s">
        <v>899</v>
      </c>
      <c r="D3737" t="s">
        <v>930</v>
      </c>
      <c r="E3737" t="s">
        <v>588</v>
      </c>
      <c r="F3737" t="s">
        <v>9970</v>
      </c>
      <c r="H3737" t="s">
        <v>809</v>
      </c>
      <c r="I3737" t="s">
        <v>2054</v>
      </c>
      <c r="J3737" t="s">
        <v>899</v>
      </c>
      <c r="L3737">
        <v>2</v>
      </c>
      <c r="M3737" s="134">
        <v>5000000</v>
      </c>
      <c r="N3737" s="134">
        <v>5000000</v>
      </c>
      <c r="O3737" t="s">
        <v>560</v>
      </c>
      <c r="P3737" t="s">
        <v>9971</v>
      </c>
      <c r="Q3737" t="s">
        <v>1939</v>
      </c>
      <c r="R3737" t="s">
        <v>9972</v>
      </c>
      <c r="U3737" t="s">
        <v>491</v>
      </c>
      <c r="X3737">
        <v>0</v>
      </c>
    </row>
    <row r="3738" spans="1:24" x14ac:dyDescent="0.25">
      <c r="A3738" s="234">
        <v>42888</v>
      </c>
      <c r="B3738" t="s">
        <v>328</v>
      </c>
      <c r="C3738" t="s">
        <v>603</v>
      </c>
      <c r="D3738" t="s">
        <v>672</v>
      </c>
      <c r="E3738" t="s">
        <v>588</v>
      </c>
      <c r="F3738" t="s">
        <v>7028</v>
      </c>
      <c r="H3738" t="s">
        <v>2295</v>
      </c>
      <c r="J3738" t="s">
        <v>3733</v>
      </c>
      <c r="M3738" s="134">
        <v>5000000</v>
      </c>
      <c r="N3738" s="134">
        <v>5000000</v>
      </c>
      <c r="O3738" t="s">
        <v>560</v>
      </c>
      <c r="P3738" t="s">
        <v>7029</v>
      </c>
      <c r="Q3738" t="s">
        <v>29</v>
      </c>
      <c r="R3738" t="s">
        <v>7030</v>
      </c>
      <c r="U3738" t="s">
        <v>1327</v>
      </c>
      <c r="X3738">
        <v>1</v>
      </c>
    </row>
    <row r="3739" spans="1:24" x14ac:dyDescent="0.25">
      <c r="A3739" s="234">
        <v>42955</v>
      </c>
      <c r="B3739" t="s">
        <v>328</v>
      </c>
      <c r="C3739" t="s">
        <v>603</v>
      </c>
      <c r="D3739" t="s">
        <v>2397</v>
      </c>
      <c r="E3739" t="s">
        <v>588</v>
      </c>
      <c r="F3739" t="s">
        <v>8023</v>
      </c>
      <c r="H3739" t="s">
        <v>809</v>
      </c>
      <c r="I3739" t="s">
        <v>8020</v>
      </c>
      <c r="J3739" t="s">
        <v>644</v>
      </c>
      <c r="L3739">
        <v>5</v>
      </c>
      <c r="M3739" s="134">
        <v>5000000</v>
      </c>
      <c r="N3739" s="134">
        <v>5000000</v>
      </c>
      <c r="O3739" t="s">
        <v>560</v>
      </c>
      <c r="P3739" t="s">
        <v>8024</v>
      </c>
      <c r="Q3739" t="s">
        <v>592</v>
      </c>
      <c r="T3739">
        <v>8</v>
      </c>
      <c r="U3739" t="s">
        <v>491</v>
      </c>
      <c r="X3739">
        <v>0</v>
      </c>
    </row>
    <row r="3740" spans="1:24" x14ac:dyDescent="0.25">
      <c r="A3740" s="234">
        <v>42977</v>
      </c>
      <c r="B3740" t="s">
        <v>5956</v>
      </c>
      <c r="C3740" t="s">
        <v>3369</v>
      </c>
      <c r="D3740" t="s">
        <v>8126</v>
      </c>
      <c r="E3740" t="s">
        <v>588</v>
      </c>
      <c r="F3740" t="s">
        <v>8371</v>
      </c>
      <c r="G3740" t="s">
        <v>8372</v>
      </c>
      <c r="H3740" t="s">
        <v>886</v>
      </c>
      <c r="I3740" t="s">
        <v>8373</v>
      </c>
      <c r="J3740" t="s">
        <v>6575</v>
      </c>
      <c r="L3740">
        <v>10</v>
      </c>
      <c r="M3740" s="134">
        <v>5000000</v>
      </c>
      <c r="N3740" s="134">
        <v>9000000</v>
      </c>
      <c r="O3740" t="s">
        <v>560</v>
      </c>
      <c r="P3740" t="s">
        <v>8374</v>
      </c>
      <c r="Q3740" t="s">
        <v>29</v>
      </c>
      <c r="R3740" t="s">
        <v>8375</v>
      </c>
      <c r="T3740">
        <v>12</v>
      </c>
      <c r="U3740" t="s">
        <v>491</v>
      </c>
      <c r="X3740">
        <v>1</v>
      </c>
    </row>
    <row r="3741" spans="1:24" x14ac:dyDescent="0.25">
      <c r="A3741" s="234">
        <v>43619</v>
      </c>
      <c r="B3741" t="s">
        <v>5473</v>
      </c>
      <c r="C3741" t="s">
        <v>608</v>
      </c>
      <c r="D3741" t="s">
        <v>7091</v>
      </c>
      <c r="F3741" t="s">
        <v>15848</v>
      </c>
      <c r="G3741" t="s">
        <v>15849</v>
      </c>
      <c r="H3741" t="s">
        <v>607</v>
      </c>
      <c r="I3741" t="s">
        <v>3809</v>
      </c>
      <c r="J3741" t="s">
        <v>602</v>
      </c>
      <c r="K3741" t="s">
        <v>14304</v>
      </c>
      <c r="L3741">
        <v>1</v>
      </c>
      <c r="M3741" s="134">
        <v>5134550</v>
      </c>
      <c r="N3741" s="134">
        <v>5800000</v>
      </c>
      <c r="O3741" t="s">
        <v>560</v>
      </c>
      <c r="P3741" t="s">
        <v>15850</v>
      </c>
      <c r="Q3741" t="s">
        <v>29</v>
      </c>
      <c r="R3741" t="s">
        <v>15851</v>
      </c>
      <c r="U3741" t="s">
        <v>491</v>
      </c>
      <c r="X3741">
        <v>1</v>
      </c>
    </row>
    <row r="3742" spans="1:24" x14ac:dyDescent="0.25">
      <c r="A3742" s="234">
        <v>43074</v>
      </c>
      <c r="B3742" t="s">
        <v>9240</v>
      </c>
      <c r="C3742" t="s">
        <v>603</v>
      </c>
      <c r="D3742" t="s">
        <v>9241</v>
      </c>
      <c r="E3742" t="s">
        <v>588</v>
      </c>
      <c r="F3742" t="s">
        <v>9476</v>
      </c>
      <c r="G3742" t="s">
        <v>9635</v>
      </c>
      <c r="H3742" t="s">
        <v>607</v>
      </c>
      <c r="I3742" t="s">
        <v>6992</v>
      </c>
      <c r="J3742" t="s">
        <v>603</v>
      </c>
      <c r="L3742">
        <v>2</v>
      </c>
      <c r="M3742" s="134">
        <v>5362000</v>
      </c>
      <c r="N3742" s="134">
        <v>9000000</v>
      </c>
      <c r="O3742" t="s">
        <v>6745</v>
      </c>
      <c r="P3742" t="s">
        <v>9636</v>
      </c>
      <c r="Q3742" t="s">
        <v>29</v>
      </c>
      <c r="R3742" t="s">
        <v>9637</v>
      </c>
      <c r="U3742" t="s">
        <v>491</v>
      </c>
      <c r="X3742">
        <v>1</v>
      </c>
    </row>
    <row r="3743" spans="1:24" x14ac:dyDescent="0.25">
      <c r="A3743" s="234">
        <v>43501</v>
      </c>
      <c r="B3743" t="s">
        <v>1788</v>
      </c>
      <c r="C3743" t="s">
        <v>3369</v>
      </c>
      <c r="D3743" t="s">
        <v>6360</v>
      </c>
      <c r="F3743" t="s">
        <v>9840</v>
      </c>
      <c r="G3743" t="s">
        <v>11795</v>
      </c>
      <c r="H3743" t="s">
        <v>809</v>
      </c>
      <c r="I3743" t="s">
        <v>8410</v>
      </c>
      <c r="J3743" t="s">
        <v>14268</v>
      </c>
      <c r="K3743" t="s">
        <v>14269</v>
      </c>
      <c r="M3743" s="134">
        <v>5420000</v>
      </c>
      <c r="N3743" s="134">
        <v>6390000</v>
      </c>
      <c r="O3743" t="s">
        <v>560</v>
      </c>
      <c r="P3743" t="s">
        <v>14266</v>
      </c>
      <c r="Q3743" t="s">
        <v>29</v>
      </c>
      <c r="R3743" t="s">
        <v>14270</v>
      </c>
      <c r="U3743" t="s">
        <v>491</v>
      </c>
      <c r="X3743">
        <v>1</v>
      </c>
    </row>
    <row r="3744" spans="1:24" x14ac:dyDescent="0.25">
      <c r="A3744" s="234">
        <v>43501</v>
      </c>
      <c r="B3744" t="s">
        <v>13559</v>
      </c>
      <c r="C3744" t="s">
        <v>608</v>
      </c>
      <c r="D3744" t="s">
        <v>8912</v>
      </c>
      <c r="F3744" t="s">
        <v>14263</v>
      </c>
      <c r="G3744" t="s">
        <v>14264</v>
      </c>
      <c r="H3744" t="s">
        <v>607</v>
      </c>
      <c r="I3744" t="s">
        <v>10970</v>
      </c>
      <c r="J3744" t="s">
        <v>4031</v>
      </c>
      <c r="K3744" t="s">
        <v>14265</v>
      </c>
      <c r="M3744" s="134">
        <v>5500500</v>
      </c>
      <c r="N3744" s="134">
        <v>6250500</v>
      </c>
      <c r="O3744" t="s">
        <v>560</v>
      </c>
      <c r="P3744" t="s">
        <v>14266</v>
      </c>
      <c r="Q3744" t="s">
        <v>29</v>
      </c>
      <c r="R3744" t="s">
        <v>14267</v>
      </c>
      <c r="U3744" t="s">
        <v>491</v>
      </c>
      <c r="X3744">
        <v>1</v>
      </c>
    </row>
    <row r="3745" spans="1:24" x14ac:dyDescent="0.25">
      <c r="A3745" s="234">
        <v>43006</v>
      </c>
      <c r="B3745" t="s">
        <v>5176</v>
      </c>
      <c r="C3745" t="s">
        <v>604</v>
      </c>
      <c r="D3745" t="s">
        <v>595</v>
      </c>
      <c r="E3745" t="s">
        <v>821</v>
      </c>
      <c r="F3745" t="s">
        <v>8783</v>
      </c>
      <c r="H3745" t="s">
        <v>1391</v>
      </c>
      <c r="I3745" t="s">
        <v>8784</v>
      </c>
      <c r="J3745" t="s">
        <v>959</v>
      </c>
      <c r="L3745">
        <v>4</v>
      </c>
      <c r="M3745" s="134">
        <v>6000000</v>
      </c>
      <c r="N3745" s="134">
        <v>0</v>
      </c>
      <c r="O3745" t="s">
        <v>2295</v>
      </c>
      <c r="P3745" t="s">
        <v>8785</v>
      </c>
      <c r="Q3745" t="s">
        <v>592</v>
      </c>
      <c r="R3745" t="s">
        <v>8787</v>
      </c>
      <c r="T3745">
        <v>23</v>
      </c>
      <c r="U3745" t="s">
        <v>491</v>
      </c>
      <c r="X3745">
        <v>0</v>
      </c>
    </row>
    <row r="3746" spans="1:24" x14ac:dyDescent="0.25">
      <c r="A3746" s="234">
        <v>43262</v>
      </c>
      <c r="B3746" t="s">
        <v>5176</v>
      </c>
      <c r="C3746" t="s">
        <v>604</v>
      </c>
      <c r="D3746" t="s">
        <v>595</v>
      </c>
      <c r="E3746" t="s">
        <v>588</v>
      </c>
      <c r="F3746" t="s">
        <v>232</v>
      </c>
      <c r="G3746" t="s">
        <v>11522</v>
      </c>
      <c r="H3746" t="s">
        <v>607</v>
      </c>
      <c r="J3746" t="s">
        <v>4684</v>
      </c>
      <c r="L3746">
        <v>10</v>
      </c>
      <c r="M3746" s="134">
        <v>6066960</v>
      </c>
      <c r="N3746" s="134">
        <v>9566960</v>
      </c>
      <c r="O3746" t="s">
        <v>560</v>
      </c>
      <c r="P3746" t="s">
        <v>11693</v>
      </c>
      <c r="Q3746" t="s">
        <v>29</v>
      </c>
      <c r="R3746" t="s">
        <v>11523</v>
      </c>
      <c r="U3746" t="s">
        <v>1327</v>
      </c>
      <c r="X3746">
        <v>1</v>
      </c>
    </row>
    <row r="3747" spans="1:24" x14ac:dyDescent="0.25">
      <c r="A3747" s="234">
        <v>42704</v>
      </c>
      <c r="B3747" t="s">
        <v>643</v>
      </c>
      <c r="C3747" t="s">
        <v>644</v>
      </c>
      <c r="D3747" t="s">
        <v>645</v>
      </c>
      <c r="E3747" t="s">
        <v>588</v>
      </c>
      <c r="F3747" t="s">
        <v>4869</v>
      </c>
      <c r="H3747" t="s">
        <v>4870</v>
      </c>
      <c r="I3747" t="s">
        <v>3814</v>
      </c>
      <c r="J3747" t="s">
        <v>644</v>
      </c>
      <c r="L3747">
        <v>6</v>
      </c>
      <c r="M3747" s="134">
        <v>13368000</v>
      </c>
      <c r="N3747" s="134">
        <v>17530000</v>
      </c>
      <c r="O3747" t="s">
        <v>4871</v>
      </c>
      <c r="P3747" t="s">
        <v>4873</v>
      </c>
      <c r="Q3747" t="s">
        <v>1939</v>
      </c>
      <c r="U3747" t="s">
        <v>491</v>
      </c>
      <c r="X3747">
        <v>0</v>
      </c>
    </row>
    <row r="3748" spans="1:24" x14ac:dyDescent="0.25">
      <c r="A3748" s="234">
        <v>43308</v>
      </c>
      <c r="B3748" t="s">
        <v>9240</v>
      </c>
      <c r="C3748" t="s">
        <v>603</v>
      </c>
      <c r="D3748" t="s">
        <v>9241</v>
      </c>
      <c r="E3748" t="s">
        <v>588</v>
      </c>
      <c r="F3748" t="s">
        <v>9389</v>
      </c>
      <c r="G3748" t="s">
        <v>11947</v>
      </c>
      <c r="H3748" t="s">
        <v>607</v>
      </c>
      <c r="I3748" t="s">
        <v>7813</v>
      </c>
      <c r="J3748" t="s">
        <v>3612</v>
      </c>
      <c r="M3748" s="134">
        <v>16040000</v>
      </c>
      <c r="N3748" s="134">
        <v>3609000</v>
      </c>
      <c r="O3748" t="s">
        <v>10762</v>
      </c>
      <c r="P3748" t="s">
        <v>11946</v>
      </c>
      <c r="Q3748" t="s">
        <v>592</v>
      </c>
      <c r="R3748" t="s">
        <v>11945</v>
      </c>
      <c r="U3748" t="s">
        <v>1327</v>
      </c>
      <c r="X3748">
        <v>0</v>
      </c>
    </row>
    <row r="3749" spans="1:24" x14ac:dyDescent="0.25">
      <c r="A3749" s="234">
        <v>42835</v>
      </c>
      <c r="B3749" t="s">
        <v>320</v>
      </c>
      <c r="C3749" t="s">
        <v>603</v>
      </c>
      <c r="D3749" t="s">
        <v>1016</v>
      </c>
      <c r="E3749" t="s">
        <v>588</v>
      </c>
      <c r="F3749" t="s">
        <v>6355</v>
      </c>
      <c r="H3749" t="s">
        <v>607</v>
      </c>
      <c r="I3749" t="s">
        <v>6356</v>
      </c>
      <c r="J3749" t="s">
        <v>3856</v>
      </c>
      <c r="L3749">
        <v>6</v>
      </c>
      <c r="M3749" s="134">
        <v>20000000</v>
      </c>
      <c r="N3749" s="134">
        <v>2430000</v>
      </c>
      <c r="O3749" t="s">
        <v>6357</v>
      </c>
      <c r="P3749" t="s">
        <v>6358</v>
      </c>
      <c r="Q3749" t="s">
        <v>1939</v>
      </c>
      <c r="R3749" t="s">
        <v>6359</v>
      </c>
      <c r="U3749" t="s">
        <v>491</v>
      </c>
      <c r="X3749">
        <v>0</v>
      </c>
    </row>
    <row r="3750" spans="1:24" x14ac:dyDescent="0.25">
      <c r="A3750" s="234">
        <v>43356</v>
      </c>
      <c r="B3750" t="s">
        <v>328</v>
      </c>
      <c r="C3750" t="s">
        <v>603</v>
      </c>
      <c r="D3750" t="s">
        <v>5701</v>
      </c>
      <c r="E3750" t="s">
        <v>588</v>
      </c>
      <c r="F3750" t="s">
        <v>12592</v>
      </c>
      <c r="G3750" t="s">
        <v>12593</v>
      </c>
      <c r="H3750" t="s">
        <v>607</v>
      </c>
      <c r="I3750" t="s">
        <v>12594</v>
      </c>
      <c r="J3750" t="s">
        <v>4031</v>
      </c>
      <c r="M3750" s="134">
        <v>141478410</v>
      </c>
      <c r="N3750" s="134">
        <v>1774092</v>
      </c>
      <c r="O3750" t="s">
        <v>10766</v>
      </c>
      <c r="P3750" t="s">
        <v>12595</v>
      </c>
      <c r="Q3750" t="s">
        <v>1939</v>
      </c>
      <c r="R3750" t="s">
        <v>12596</v>
      </c>
      <c r="U3750" t="s">
        <v>12344</v>
      </c>
      <c r="X3750">
        <v>0</v>
      </c>
    </row>
    <row r="3751" spans="1:24" x14ac:dyDescent="0.25">
      <c r="A3751" s="234">
        <v>43231</v>
      </c>
      <c r="B3751" t="s">
        <v>6076</v>
      </c>
      <c r="C3751" t="s">
        <v>3370</v>
      </c>
      <c r="D3751" t="s">
        <v>10524</v>
      </c>
      <c r="E3751" t="s">
        <v>588</v>
      </c>
      <c r="F3751" t="s">
        <v>11241</v>
      </c>
      <c r="G3751" t="s">
        <v>11241</v>
      </c>
      <c r="H3751" t="s">
        <v>607</v>
      </c>
      <c r="I3751" t="s">
        <v>4016</v>
      </c>
      <c r="J3751" t="s">
        <v>3370</v>
      </c>
      <c r="L3751">
        <v>2</v>
      </c>
      <c r="M3751" s="134">
        <v>1250000</v>
      </c>
      <c r="N3751" s="134">
        <v>0</v>
      </c>
      <c r="O3751" t="s">
        <v>10879</v>
      </c>
      <c r="P3751" t="s">
        <v>11235</v>
      </c>
      <c r="Q3751" t="s">
        <v>29</v>
      </c>
      <c r="R3751" t="s">
        <v>11236</v>
      </c>
      <c r="U3751" t="s">
        <v>1327</v>
      </c>
      <c r="X3751">
        <v>1</v>
      </c>
    </row>
    <row r="3752" spans="1:24" x14ac:dyDescent="0.25">
      <c r="A3752" s="234">
        <v>42545</v>
      </c>
      <c r="B3752" t="s">
        <v>328</v>
      </c>
      <c r="C3752" t="s">
        <v>603</v>
      </c>
      <c r="D3752" t="s">
        <v>672</v>
      </c>
      <c r="E3752" t="s">
        <v>821</v>
      </c>
      <c r="F3752" t="s">
        <v>2670</v>
      </c>
      <c r="H3752" t="s">
        <v>2661</v>
      </c>
      <c r="I3752" t="s">
        <v>603</v>
      </c>
      <c r="M3752" s="134">
        <v>275000</v>
      </c>
      <c r="N3752" s="134">
        <v>0</v>
      </c>
      <c r="O3752" t="s">
        <v>2662</v>
      </c>
      <c r="P3752" t="s">
        <v>2663</v>
      </c>
      <c r="Q3752" t="s">
        <v>620</v>
      </c>
      <c r="R3752" t="s">
        <v>2671</v>
      </c>
      <c r="U3752" t="s">
        <v>491</v>
      </c>
      <c r="X3752">
        <v>0</v>
      </c>
    </row>
    <row r="3753" spans="1:24" x14ac:dyDescent="0.25">
      <c r="A3753" s="234">
        <v>43123</v>
      </c>
      <c r="B3753" t="s">
        <v>110</v>
      </c>
      <c r="C3753" t="s">
        <v>761</v>
      </c>
      <c r="D3753" t="s">
        <v>715</v>
      </c>
      <c r="E3753" t="s">
        <v>588</v>
      </c>
      <c r="F3753" t="s">
        <v>10122</v>
      </c>
      <c r="G3753" t="s">
        <v>10123</v>
      </c>
      <c r="H3753" t="s">
        <v>607</v>
      </c>
      <c r="I3753" t="s">
        <v>3059</v>
      </c>
      <c r="J3753" t="s">
        <v>761</v>
      </c>
      <c r="L3753">
        <v>5</v>
      </c>
      <c r="M3753" s="134">
        <v>465000</v>
      </c>
      <c r="N3753" s="134">
        <v>790500</v>
      </c>
      <c r="O3753" t="s">
        <v>10764</v>
      </c>
      <c r="P3753" t="s">
        <v>10182</v>
      </c>
      <c r="Q3753" t="s">
        <v>1939</v>
      </c>
      <c r="R3753" t="s">
        <v>10125</v>
      </c>
      <c r="U3753" t="s">
        <v>1327</v>
      </c>
      <c r="X3753">
        <v>0</v>
      </c>
    </row>
    <row r="3754" spans="1:24" x14ac:dyDescent="0.25">
      <c r="A3754" s="234">
        <v>43276</v>
      </c>
      <c r="B3754" t="s">
        <v>569</v>
      </c>
      <c r="C3754" t="s">
        <v>899</v>
      </c>
      <c r="D3754" t="s">
        <v>624</v>
      </c>
      <c r="E3754" t="s">
        <v>588</v>
      </c>
      <c r="F3754" t="s">
        <v>11620</v>
      </c>
      <c r="H3754" t="s">
        <v>607</v>
      </c>
      <c r="I3754" t="s">
        <v>4794</v>
      </c>
      <c r="J3754" t="s">
        <v>899</v>
      </c>
      <c r="L3754">
        <v>1</v>
      </c>
      <c r="M3754" s="134">
        <v>2473000</v>
      </c>
      <c r="N3754" s="134">
        <v>3235300</v>
      </c>
      <c r="O3754" t="s">
        <v>560</v>
      </c>
      <c r="P3754" t="s">
        <v>11618</v>
      </c>
      <c r="Q3754" t="s">
        <v>1939</v>
      </c>
      <c r="R3754" t="s">
        <v>11617</v>
      </c>
      <c r="U3754" t="s">
        <v>1327</v>
      </c>
      <c r="X3754">
        <v>0</v>
      </c>
    </row>
    <row r="3755" spans="1:24" x14ac:dyDescent="0.25">
      <c r="A3755" s="234">
        <v>43438</v>
      </c>
      <c r="B3755" t="s">
        <v>569</v>
      </c>
      <c r="C3755" t="s">
        <v>899</v>
      </c>
      <c r="D3755" t="s">
        <v>3505</v>
      </c>
      <c r="F3755" t="s">
        <v>13463</v>
      </c>
      <c r="G3755" t="s">
        <v>13464</v>
      </c>
      <c r="H3755" t="s">
        <v>607</v>
      </c>
      <c r="I3755" t="s">
        <v>4256</v>
      </c>
      <c r="J3755" t="s">
        <v>899</v>
      </c>
      <c r="K3755" t="s">
        <v>13465</v>
      </c>
      <c r="M3755" s="134">
        <v>0</v>
      </c>
      <c r="N3755" s="134">
        <v>4250000</v>
      </c>
      <c r="O3755" t="s">
        <v>560</v>
      </c>
      <c r="P3755" t="s">
        <v>13466</v>
      </c>
      <c r="Q3755" t="s">
        <v>29</v>
      </c>
      <c r="R3755" t="s">
        <v>13467</v>
      </c>
      <c r="U3755" t="s">
        <v>491</v>
      </c>
      <c r="X3755">
        <v>1</v>
      </c>
    </row>
    <row r="3756" spans="1:24" x14ac:dyDescent="0.25">
      <c r="A3756" s="234">
        <v>43306</v>
      </c>
      <c r="B3756" t="s">
        <v>5956</v>
      </c>
      <c r="C3756" t="s">
        <v>3369</v>
      </c>
      <c r="D3756" t="s">
        <v>8126</v>
      </c>
      <c r="E3756" t="s">
        <v>588</v>
      </c>
      <c r="F3756" t="s">
        <v>11909</v>
      </c>
      <c r="G3756" t="s">
        <v>10944</v>
      </c>
      <c r="H3756" t="s">
        <v>809</v>
      </c>
      <c r="I3756" t="s">
        <v>11908</v>
      </c>
      <c r="J3756" t="s">
        <v>4825</v>
      </c>
      <c r="L3756">
        <v>9</v>
      </c>
      <c r="M3756" s="134">
        <v>1109500</v>
      </c>
      <c r="N3756" s="134">
        <v>1109500</v>
      </c>
      <c r="O3756" t="s">
        <v>7124</v>
      </c>
      <c r="P3756" t="s">
        <v>11906</v>
      </c>
      <c r="Q3756" t="s">
        <v>620</v>
      </c>
      <c r="R3756" t="s">
        <v>11905</v>
      </c>
      <c r="U3756" t="s">
        <v>1327</v>
      </c>
      <c r="X3756">
        <v>0</v>
      </c>
    </row>
  </sheetData>
  <dataValidations count="2">
    <dataValidation type="list" allowBlank="1" showInputMessage="1" showErrorMessage="1" sqref="Q2">
      <formula1>"Approve, Approve/Subj, Converted, Pend, Decline"</formula1>
    </dataValidation>
    <dataValidation type="list" allowBlank="1" showInputMessage="1" showErrorMessage="1" sqref="B2">
      <formula1>"ASL, All Risks, Bolton, Burns, Burns NC, Hull Horsham, Hull Charlotte, Hull Irvine, Hull Stockton, JM Wilson, J &amp; J, Jimcor, Quaker, RPS Covington, RPS Scottsdale, SCU, TPI, XS Brokers"</formula1>
    </dataValidation>
  </dataValidations>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I1249"/>
  <sheetViews>
    <sheetView zoomScale="80" zoomScaleNormal="80" zoomScaleSheetLayoutView="80" workbookViewId="0">
      <pane ySplit="1" topLeftCell="A2" activePane="bottomLeft" state="frozen"/>
      <selection pane="bottomLeft"/>
    </sheetView>
  </sheetViews>
  <sheetFormatPr defaultRowHeight="15" x14ac:dyDescent="0.25"/>
  <cols>
    <col min="1" max="1" width="16.42578125" style="61" customWidth="1"/>
    <col min="2" max="2" width="15.28515625" style="46" customWidth="1"/>
    <col min="3" max="3" width="16.42578125" style="46" customWidth="1"/>
    <col min="4" max="4" width="15.5703125" style="46" customWidth="1"/>
    <col min="5" max="5" width="20" style="46" hidden="1" customWidth="1"/>
    <col min="6" max="6" width="34.5703125" style="46" bestFit="1" customWidth="1"/>
    <col min="7" max="7" width="34.5703125" style="46" customWidth="1"/>
    <col min="8" max="8" width="25.42578125" style="46" customWidth="1"/>
    <col min="9" max="9" width="19.5703125" style="46" customWidth="1"/>
    <col min="10" max="10" width="9.140625" style="46" customWidth="1"/>
    <col min="11" max="11" width="9.140625" style="218" customWidth="1"/>
    <col min="12" max="12" width="11.5703125" style="185" customWidth="1"/>
    <col min="13" max="13" width="18.7109375" style="91" customWidth="1"/>
    <col min="14" max="14" width="15.85546875" style="91" customWidth="1"/>
    <col min="15" max="15" width="34.28515625" style="228" customWidth="1"/>
    <col min="16" max="16" width="53.140625" style="47" customWidth="1"/>
    <col min="17" max="17" width="22.7109375" style="46" customWidth="1"/>
    <col min="18" max="18" width="46.140625" style="47" customWidth="1"/>
    <col min="19" max="19" width="54.85546875" style="47" customWidth="1"/>
    <col min="20" max="20" width="15.42578125" style="46" hidden="1" customWidth="1"/>
    <col min="21" max="21" width="18.85546875" style="46" bestFit="1" customWidth="1"/>
    <col min="22" max="22" width="9.140625" style="46"/>
    <col min="23" max="23" width="36.42578125" style="47" customWidth="1"/>
    <col min="24" max="29" width="9.140625" style="46" customWidth="1"/>
    <col min="30" max="34" width="9.140625" style="46"/>
    <col min="35" max="35" width="42" style="46" hidden="1" customWidth="1"/>
    <col min="36" max="16384" width="9.140625" style="46"/>
  </cols>
  <sheetData>
    <row r="1" spans="1:35" s="108" customFormat="1" ht="47.25" x14ac:dyDescent="0.25">
      <c r="A1" s="176" t="s">
        <v>555</v>
      </c>
      <c r="B1" s="103" t="s">
        <v>556</v>
      </c>
      <c r="C1" s="104" t="s">
        <v>586</v>
      </c>
      <c r="D1" s="105" t="s">
        <v>557</v>
      </c>
      <c r="E1" s="103" t="s">
        <v>558</v>
      </c>
      <c r="F1" s="103" t="s">
        <v>7695</v>
      </c>
      <c r="G1" s="103" t="s">
        <v>7696</v>
      </c>
      <c r="H1" s="103" t="s">
        <v>4140</v>
      </c>
      <c r="I1" s="103" t="s">
        <v>3366</v>
      </c>
      <c r="J1" s="103" t="s">
        <v>3364</v>
      </c>
      <c r="K1" s="215" t="s">
        <v>12954</v>
      </c>
      <c r="L1" s="106" t="s">
        <v>3365</v>
      </c>
      <c r="M1" s="188" t="s">
        <v>559</v>
      </c>
      <c r="N1" s="188" t="s">
        <v>560</v>
      </c>
      <c r="O1" s="107" t="s">
        <v>614</v>
      </c>
      <c r="P1" s="107" t="s">
        <v>615</v>
      </c>
      <c r="Q1" s="103" t="s">
        <v>1939</v>
      </c>
      <c r="R1" s="103" t="s">
        <v>561</v>
      </c>
      <c r="S1" s="103" t="s">
        <v>6321</v>
      </c>
      <c r="T1" s="103" t="s">
        <v>7785</v>
      </c>
      <c r="U1" s="105" t="s">
        <v>64</v>
      </c>
      <c r="V1" s="103" t="s">
        <v>3984</v>
      </c>
      <c r="W1" s="103" t="s">
        <v>4303</v>
      </c>
      <c r="AI1" s="108" t="s">
        <v>14847</v>
      </c>
    </row>
    <row r="2" spans="1:35" ht="60" x14ac:dyDescent="0.25">
      <c r="A2" s="61">
        <v>43468</v>
      </c>
      <c r="B2" s="47" t="s">
        <v>328</v>
      </c>
      <c r="C2" s="46" t="s">
        <v>603</v>
      </c>
      <c r="D2" s="46" t="s">
        <v>10705</v>
      </c>
      <c r="F2" s="46" t="s">
        <v>13769</v>
      </c>
      <c r="G2" s="46" t="s">
        <v>4615</v>
      </c>
      <c r="H2" s="46" t="s">
        <v>607</v>
      </c>
      <c r="I2" s="46" t="s">
        <v>13215</v>
      </c>
      <c r="J2" s="46" t="s">
        <v>8194</v>
      </c>
      <c r="K2" s="218" t="s">
        <v>13770</v>
      </c>
      <c r="L2" s="185">
        <v>1</v>
      </c>
      <c r="M2" s="91">
        <v>771200</v>
      </c>
      <c r="N2" s="91">
        <v>1388160</v>
      </c>
      <c r="O2" s="189" t="s">
        <v>10762</v>
      </c>
      <c r="P2" s="47" t="s">
        <v>13771</v>
      </c>
      <c r="Q2" s="47" t="s">
        <v>592</v>
      </c>
      <c r="R2" s="47" t="s">
        <v>13772</v>
      </c>
      <c r="S2" s="47" t="s">
        <v>13779</v>
      </c>
      <c r="U2" s="46" t="s">
        <v>491</v>
      </c>
    </row>
    <row r="3" spans="1:35" ht="45" x14ac:dyDescent="0.25">
      <c r="A3" s="61">
        <v>43468</v>
      </c>
      <c r="B3" s="47" t="s">
        <v>328</v>
      </c>
      <c r="C3" s="46" t="s">
        <v>603</v>
      </c>
      <c r="D3" s="46" t="s">
        <v>672</v>
      </c>
      <c r="F3" s="46" t="s">
        <v>13773</v>
      </c>
      <c r="G3" s="46" t="s">
        <v>13774</v>
      </c>
      <c r="H3" s="46" t="s">
        <v>607</v>
      </c>
      <c r="I3" s="46" t="s">
        <v>13775</v>
      </c>
      <c r="J3" s="46" t="s">
        <v>3733</v>
      </c>
      <c r="K3" s="218" t="s">
        <v>13776</v>
      </c>
      <c r="L3" s="185">
        <v>10</v>
      </c>
      <c r="M3" s="91">
        <v>2300000</v>
      </c>
      <c r="N3" s="91">
        <v>3600000</v>
      </c>
      <c r="O3" s="189" t="s">
        <v>10765</v>
      </c>
      <c r="P3" s="47" t="s">
        <v>13777</v>
      </c>
      <c r="Q3" s="47" t="s">
        <v>1939</v>
      </c>
      <c r="R3" s="47" t="s">
        <v>13778</v>
      </c>
      <c r="S3" s="47" t="s">
        <v>13779</v>
      </c>
      <c r="U3" s="46" t="s">
        <v>491</v>
      </c>
    </row>
    <row r="4" spans="1:35" ht="90" x14ac:dyDescent="0.25">
      <c r="A4" s="61">
        <v>43467</v>
      </c>
      <c r="B4" s="47" t="s">
        <v>5176</v>
      </c>
      <c r="C4" s="46" t="s">
        <v>604</v>
      </c>
      <c r="D4" s="46" t="s">
        <v>595</v>
      </c>
      <c r="F4" s="46" t="s">
        <v>13780</v>
      </c>
      <c r="G4" s="46" t="s">
        <v>13781</v>
      </c>
      <c r="H4" s="46" t="s">
        <v>1050</v>
      </c>
      <c r="I4" s="46" t="s">
        <v>6460</v>
      </c>
      <c r="J4" s="46" t="s">
        <v>959</v>
      </c>
      <c r="K4" s="218" t="s">
        <v>13782</v>
      </c>
      <c r="L4" s="185">
        <v>4</v>
      </c>
      <c r="M4" s="91">
        <v>352000</v>
      </c>
      <c r="N4" s="91">
        <f>M4+35200</f>
        <v>387200</v>
      </c>
      <c r="O4" s="189" t="s">
        <v>10766</v>
      </c>
      <c r="P4" s="47" t="s">
        <v>13783</v>
      </c>
      <c r="Q4" s="47" t="s">
        <v>29</v>
      </c>
      <c r="R4" s="47" t="s">
        <v>14216</v>
      </c>
      <c r="U4" s="46" t="s">
        <v>12797</v>
      </c>
    </row>
    <row r="5" spans="1:35" ht="90" x14ac:dyDescent="0.25">
      <c r="A5" s="61">
        <v>43467</v>
      </c>
      <c r="B5" s="47" t="s">
        <v>5956</v>
      </c>
      <c r="C5" s="46" t="s">
        <v>603</v>
      </c>
      <c r="D5" s="46" t="s">
        <v>8126</v>
      </c>
      <c r="F5" s="46" t="s">
        <v>13784</v>
      </c>
      <c r="H5" s="46" t="s">
        <v>905</v>
      </c>
      <c r="I5" s="46" t="s">
        <v>13785</v>
      </c>
      <c r="J5" s="46" t="s">
        <v>4825</v>
      </c>
      <c r="K5" s="218" t="s">
        <v>13786</v>
      </c>
      <c r="L5" s="185" t="s">
        <v>13787</v>
      </c>
      <c r="M5" s="91">
        <v>382768</v>
      </c>
      <c r="N5" s="91">
        <f>M5+15000</f>
        <v>397768</v>
      </c>
      <c r="O5" s="189" t="s">
        <v>6745</v>
      </c>
      <c r="P5" s="47" t="s">
        <v>13788</v>
      </c>
      <c r="Q5" s="47" t="s">
        <v>1939</v>
      </c>
      <c r="R5" s="47" t="s">
        <v>13789</v>
      </c>
      <c r="U5" s="46" t="s">
        <v>12797</v>
      </c>
    </row>
    <row r="6" spans="1:35" ht="105" x14ac:dyDescent="0.25">
      <c r="A6" s="61">
        <v>43467</v>
      </c>
      <c r="B6" s="47" t="s">
        <v>5956</v>
      </c>
      <c r="C6" s="46" t="s">
        <v>603</v>
      </c>
      <c r="D6" s="46" t="s">
        <v>8126</v>
      </c>
      <c r="F6" s="46" t="s">
        <v>245</v>
      </c>
      <c r="G6" s="46" t="s">
        <v>7880</v>
      </c>
      <c r="H6" s="46" t="s">
        <v>607</v>
      </c>
      <c r="I6" s="46" t="s">
        <v>13790</v>
      </c>
      <c r="J6" s="46" t="s">
        <v>4825</v>
      </c>
      <c r="K6" s="218" t="s">
        <v>13791</v>
      </c>
      <c r="L6" s="185">
        <v>3</v>
      </c>
      <c r="M6" s="91">
        <v>550000</v>
      </c>
      <c r="N6" s="91">
        <f>M6+55000+300000</f>
        <v>905000</v>
      </c>
      <c r="O6" s="189" t="s">
        <v>4533</v>
      </c>
      <c r="P6" s="47" t="s">
        <v>13792</v>
      </c>
      <c r="Q6" s="47" t="s">
        <v>1939</v>
      </c>
      <c r="R6" s="47" t="s">
        <v>13797</v>
      </c>
      <c r="U6" s="46" t="s">
        <v>12797</v>
      </c>
    </row>
    <row r="7" spans="1:35" ht="75" x14ac:dyDescent="0.25">
      <c r="A7" s="61">
        <v>43467</v>
      </c>
      <c r="B7" s="47" t="s">
        <v>13559</v>
      </c>
      <c r="C7" s="46" t="s">
        <v>4031</v>
      </c>
      <c r="D7" s="46" t="s">
        <v>13560</v>
      </c>
      <c r="F7" s="46" t="s">
        <v>13793</v>
      </c>
      <c r="G7" s="46" t="s">
        <v>13794</v>
      </c>
      <c r="H7" s="46" t="s">
        <v>607</v>
      </c>
      <c r="I7" s="46" t="s">
        <v>11959</v>
      </c>
      <c r="J7" s="46" t="s">
        <v>3751</v>
      </c>
      <c r="K7" s="218" t="s">
        <v>13795</v>
      </c>
      <c r="L7" s="185">
        <v>10</v>
      </c>
      <c r="M7" s="91">
        <v>435000</v>
      </c>
      <c r="N7" s="91">
        <f>M7+43500+304500+87000</f>
        <v>870000</v>
      </c>
      <c r="O7" s="189" t="s">
        <v>7124</v>
      </c>
      <c r="P7" s="47" t="s">
        <v>14217</v>
      </c>
      <c r="Q7" s="47" t="s">
        <v>1939</v>
      </c>
      <c r="R7" s="47" t="s">
        <v>13796</v>
      </c>
      <c r="U7" s="46" t="s">
        <v>12797</v>
      </c>
    </row>
    <row r="8" spans="1:35" ht="75" x14ac:dyDescent="0.25">
      <c r="A8" s="61">
        <v>43468</v>
      </c>
      <c r="B8" s="47" t="s">
        <v>328</v>
      </c>
      <c r="C8" s="46" t="s">
        <v>603</v>
      </c>
      <c r="D8" s="46" t="s">
        <v>7595</v>
      </c>
      <c r="F8" s="46" t="s">
        <v>12440</v>
      </c>
      <c r="G8" s="46" t="s">
        <v>8294</v>
      </c>
      <c r="H8" s="46" t="s">
        <v>607</v>
      </c>
      <c r="I8" s="46" t="s">
        <v>13798</v>
      </c>
      <c r="J8" s="46" t="s">
        <v>3733</v>
      </c>
      <c r="K8" s="218" t="s">
        <v>13799</v>
      </c>
      <c r="L8" s="185">
        <v>2</v>
      </c>
      <c r="M8" s="91">
        <v>400000</v>
      </c>
      <c r="N8" s="91">
        <f>M8+40000+240000+80000</f>
        <v>760000</v>
      </c>
      <c r="O8" s="189" t="s">
        <v>4533</v>
      </c>
      <c r="P8" s="47" t="s">
        <v>14218</v>
      </c>
      <c r="Q8" s="47" t="s">
        <v>592</v>
      </c>
      <c r="R8" s="47" t="s">
        <v>13800</v>
      </c>
      <c r="U8" s="46" t="s">
        <v>12797</v>
      </c>
    </row>
    <row r="9" spans="1:35" ht="165" x14ac:dyDescent="0.25">
      <c r="A9" s="61">
        <v>43468</v>
      </c>
      <c r="B9" s="47" t="s">
        <v>328</v>
      </c>
      <c r="C9" s="46" t="s">
        <v>603</v>
      </c>
      <c r="D9" s="46" t="s">
        <v>8941</v>
      </c>
      <c r="F9" s="46" t="s">
        <v>13801</v>
      </c>
      <c r="G9" s="46" t="s">
        <v>256</v>
      </c>
      <c r="H9" s="46" t="s">
        <v>607</v>
      </c>
      <c r="I9" s="46" t="s">
        <v>13802</v>
      </c>
      <c r="J9" s="46" t="s">
        <v>3733</v>
      </c>
      <c r="K9" s="218" t="s">
        <v>13803</v>
      </c>
      <c r="L9" s="185">
        <v>1</v>
      </c>
      <c r="M9" s="91">
        <v>700000</v>
      </c>
      <c r="N9" s="91">
        <f>M9+70000+350000+70000</f>
        <v>1190000</v>
      </c>
      <c r="O9" s="189" t="s">
        <v>10766</v>
      </c>
      <c r="P9" s="47" t="s">
        <v>13804</v>
      </c>
      <c r="Q9" s="47" t="s">
        <v>592</v>
      </c>
      <c r="R9" s="47" t="s">
        <v>13805</v>
      </c>
      <c r="U9" s="46" t="s">
        <v>12797</v>
      </c>
    </row>
    <row r="10" spans="1:35" ht="60" x14ac:dyDescent="0.25">
      <c r="A10" s="61">
        <v>43468</v>
      </c>
      <c r="B10" s="47" t="s">
        <v>569</v>
      </c>
      <c r="C10" s="46" t="s">
        <v>899</v>
      </c>
      <c r="D10" s="46" t="s">
        <v>625</v>
      </c>
      <c r="F10" s="46" t="s">
        <v>13806</v>
      </c>
      <c r="G10" s="46" t="s">
        <v>7911</v>
      </c>
      <c r="H10" s="46" t="s">
        <v>607</v>
      </c>
      <c r="I10" s="46" t="s">
        <v>4237</v>
      </c>
      <c r="J10" s="46" t="s">
        <v>899</v>
      </c>
      <c r="K10" s="218" t="s">
        <v>13807</v>
      </c>
      <c r="L10" s="185">
        <v>3</v>
      </c>
      <c r="M10" s="91">
        <v>1800000</v>
      </c>
      <c r="N10" s="91">
        <f>M10+180000+500000+100000</f>
        <v>2580000</v>
      </c>
      <c r="O10" s="189" t="s">
        <v>10766</v>
      </c>
      <c r="P10" s="47" t="s">
        <v>14219</v>
      </c>
      <c r="Q10" s="47" t="s">
        <v>1939</v>
      </c>
      <c r="R10" s="47" t="s">
        <v>13808</v>
      </c>
      <c r="U10" s="46" t="s">
        <v>12797</v>
      </c>
    </row>
    <row r="11" spans="1:35" ht="75" x14ac:dyDescent="0.25">
      <c r="A11" s="61">
        <v>43468</v>
      </c>
      <c r="B11" s="47" t="s">
        <v>5956</v>
      </c>
      <c r="C11" s="46" t="s">
        <v>603</v>
      </c>
      <c r="D11" s="46" t="s">
        <v>8126</v>
      </c>
      <c r="F11" s="46" t="s">
        <v>13809</v>
      </c>
      <c r="G11" s="46" t="s">
        <v>4118</v>
      </c>
      <c r="H11" s="46" t="s">
        <v>10831</v>
      </c>
      <c r="I11" s="46" t="s">
        <v>9579</v>
      </c>
      <c r="J11" s="46" t="s">
        <v>6575</v>
      </c>
      <c r="K11" s="218" t="s">
        <v>13810</v>
      </c>
      <c r="L11" s="185" t="s">
        <v>13811</v>
      </c>
      <c r="M11" s="91">
        <v>1012500</v>
      </c>
      <c r="N11" s="91">
        <f>M11+101250+708750+202500</f>
        <v>2025000</v>
      </c>
      <c r="O11" s="189" t="s">
        <v>7124</v>
      </c>
      <c r="P11" s="47" t="s">
        <v>14220</v>
      </c>
      <c r="Q11" s="47" t="s">
        <v>29</v>
      </c>
      <c r="R11" s="47" t="s">
        <v>14221</v>
      </c>
      <c r="U11" s="46" t="s">
        <v>12797</v>
      </c>
    </row>
    <row r="12" spans="1:35" ht="135" x14ac:dyDescent="0.25">
      <c r="A12" s="61">
        <v>43468</v>
      </c>
      <c r="B12" s="47" t="s">
        <v>5360</v>
      </c>
      <c r="C12" s="46" t="s">
        <v>899</v>
      </c>
      <c r="D12" s="46" t="s">
        <v>1027</v>
      </c>
      <c r="F12" s="46" t="s">
        <v>13812</v>
      </c>
      <c r="G12" s="46" t="s">
        <v>9525</v>
      </c>
      <c r="H12" s="46" t="s">
        <v>607</v>
      </c>
      <c r="I12" s="46" t="s">
        <v>13607</v>
      </c>
      <c r="J12" s="46" t="s">
        <v>899</v>
      </c>
      <c r="K12" s="218" t="s">
        <v>13813</v>
      </c>
      <c r="L12" s="185">
        <v>3</v>
      </c>
      <c r="M12" s="91">
        <v>612000</v>
      </c>
      <c r="N12" s="91">
        <f>M12+61200+428400+122400</f>
        <v>1224000</v>
      </c>
      <c r="O12" s="189" t="s">
        <v>10766</v>
      </c>
      <c r="P12" s="47" t="s">
        <v>14222</v>
      </c>
      <c r="Q12" s="47" t="s">
        <v>29</v>
      </c>
      <c r="R12" s="47" t="s">
        <v>14223</v>
      </c>
      <c r="U12" s="46" t="s">
        <v>12797</v>
      </c>
    </row>
    <row r="13" spans="1:35" s="47" customFormat="1" ht="90" x14ac:dyDescent="0.25">
      <c r="A13" s="61">
        <v>43468</v>
      </c>
      <c r="B13" s="47" t="s">
        <v>328</v>
      </c>
      <c r="C13" s="46" t="s">
        <v>603</v>
      </c>
      <c r="D13" s="46" t="s">
        <v>649</v>
      </c>
      <c r="E13" s="46"/>
      <c r="F13" s="46" t="s">
        <v>7990</v>
      </c>
      <c r="G13" s="46" t="s">
        <v>10967</v>
      </c>
      <c r="H13" s="46" t="s">
        <v>607</v>
      </c>
      <c r="I13" s="46" t="s">
        <v>13814</v>
      </c>
      <c r="J13" s="46" t="s">
        <v>5610</v>
      </c>
      <c r="K13" s="218" t="s">
        <v>13815</v>
      </c>
      <c r="L13" s="185">
        <v>10</v>
      </c>
      <c r="M13" s="91">
        <v>2200000</v>
      </c>
      <c r="N13" s="91">
        <f>M13+1064220+1100000+440000</f>
        <v>4804220</v>
      </c>
      <c r="O13" s="189" t="s">
        <v>560</v>
      </c>
      <c r="P13" s="47" t="s">
        <v>13816</v>
      </c>
      <c r="Q13" s="47" t="s">
        <v>29</v>
      </c>
      <c r="R13" s="47" t="s">
        <v>13817</v>
      </c>
      <c r="T13" s="46"/>
      <c r="U13" s="46" t="s">
        <v>12797</v>
      </c>
      <c r="V13" s="46"/>
    </row>
    <row r="14" spans="1:35" s="47" customFormat="1" ht="150" x14ac:dyDescent="0.25">
      <c r="A14" s="61">
        <v>43468</v>
      </c>
      <c r="B14" s="47" t="s">
        <v>328</v>
      </c>
      <c r="C14" s="46" t="s">
        <v>603</v>
      </c>
      <c r="D14" s="46" t="s">
        <v>10338</v>
      </c>
      <c r="E14" s="46"/>
      <c r="F14" s="46" t="s">
        <v>13818</v>
      </c>
      <c r="G14" s="46"/>
      <c r="H14" s="46" t="s">
        <v>809</v>
      </c>
      <c r="I14" s="46" t="s">
        <v>8</v>
      </c>
      <c r="J14" s="46" t="s">
        <v>3612</v>
      </c>
      <c r="K14" s="218" t="s">
        <v>13819</v>
      </c>
      <c r="L14" s="185">
        <v>2</v>
      </c>
      <c r="M14" s="91">
        <v>2007000</v>
      </c>
      <c r="N14" s="91">
        <f>M14+200700+1003500+200700</f>
        <v>3411900</v>
      </c>
      <c r="O14" s="189" t="s">
        <v>4533</v>
      </c>
      <c r="P14" s="47" t="s">
        <v>14224</v>
      </c>
      <c r="Q14" s="47" t="s">
        <v>1939</v>
      </c>
      <c r="R14" s="47" t="s">
        <v>14225</v>
      </c>
      <c r="T14" s="46"/>
      <c r="U14" s="46" t="s">
        <v>12797</v>
      </c>
      <c r="V14" s="46"/>
    </row>
    <row r="15" spans="1:35" s="47" customFormat="1" ht="120" x14ac:dyDescent="0.25">
      <c r="A15" s="61">
        <v>43469</v>
      </c>
      <c r="B15" s="47" t="s">
        <v>328</v>
      </c>
      <c r="C15" s="46" t="s">
        <v>603</v>
      </c>
      <c r="D15" s="46" t="s">
        <v>10338</v>
      </c>
      <c r="E15" s="46"/>
      <c r="F15" s="46" t="s">
        <v>13820</v>
      </c>
      <c r="G15" s="46" t="s">
        <v>13821</v>
      </c>
      <c r="H15" s="46" t="s">
        <v>607</v>
      </c>
      <c r="I15" s="46" t="s">
        <v>4864</v>
      </c>
      <c r="J15" s="46" t="s">
        <v>899</v>
      </c>
      <c r="K15" s="218" t="s">
        <v>13822</v>
      </c>
      <c r="L15" s="185">
        <v>3</v>
      </c>
      <c r="M15" s="91">
        <v>624000</v>
      </c>
      <c r="N15" s="91">
        <f>M15+62400+436800+124800</f>
        <v>1248000</v>
      </c>
      <c r="O15" s="189" t="s">
        <v>10766</v>
      </c>
      <c r="P15" s="47" t="s">
        <v>14226</v>
      </c>
      <c r="Q15" s="47" t="s">
        <v>620</v>
      </c>
      <c r="R15" s="47" t="s">
        <v>14227</v>
      </c>
      <c r="T15" s="46"/>
      <c r="U15" s="46" t="s">
        <v>12797</v>
      </c>
      <c r="V15" s="46"/>
    </row>
    <row r="16" spans="1:35" s="47" customFormat="1" ht="120" x14ac:dyDescent="0.25">
      <c r="A16" s="61">
        <v>43472</v>
      </c>
      <c r="B16" s="47" t="s">
        <v>5956</v>
      </c>
      <c r="C16" s="46" t="s">
        <v>3369</v>
      </c>
      <c r="D16" s="46" t="s">
        <v>8126</v>
      </c>
      <c r="E16" s="46"/>
      <c r="F16" s="46" t="s">
        <v>13823</v>
      </c>
      <c r="G16" s="46" t="s">
        <v>13824</v>
      </c>
      <c r="H16" s="46" t="s">
        <v>809</v>
      </c>
      <c r="I16" s="46" t="s">
        <v>8784</v>
      </c>
      <c r="J16" s="46" t="s">
        <v>959</v>
      </c>
      <c r="K16" s="218" t="s">
        <v>13825</v>
      </c>
      <c r="L16" s="185">
        <v>5</v>
      </c>
      <c r="M16" s="91">
        <v>258000</v>
      </c>
      <c r="N16" s="91">
        <v>258000</v>
      </c>
      <c r="O16" s="189" t="s">
        <v>2295</v>
      </c>
      <c r="P16" s="47" t="s">
        <v>13826</v>
      </c>
      <c r="Q16" s="47" t="s">
        <v>29</v>
      </c>
      <c r="R16" s="47" t="s">
        <v>14003</v>
      </c>
      <c r="T16" s="46"/>
      <c r="U16" s="46" t="s">
        <v>491</v>
      </c>
      <c r="V16" s="46"/>
    </row>
    <row r="17" spans="1:22" s="47" customFormat="1" ht="75" x14ac:dyDescent="0.25">
      <c r="A17" s="61">
        <v>43472</v>
      </c>
      <c r="B17" s="47" t="s">
        <v>5956</v>
      </c>
      <c r="C17" s="46" t="s">
        <v>3369</v>
      </c>
      <c r="D17" s="46" t="s">
        <v>8126</v>
      </c>
      <c r="E17" s="46"/>
      <c r="F17" s="46" t="s">
        <v>13827</v>
      </c>
      <c r="G17" s="46" t="s">
        <v>13828</v>
      </c>
      <c r="H17" s="46" t="s">
        <v>607</v>
      </c>
      <c r="I17" s="46" t="s">
        <v>13829</v>
      </c>
      <c r="J17" s="46" t="s">
        <v>4825</v>
      </c>
      <c r="K17" s="218" t="s">
        <v>13830</v>
      </c>
      <c r="L17" s="185">
        <v>2</v>
      </c>
      <c r="M17" s="91">
        <v>300000</v>
      </c>
      <c r="N17" s="91">
        <v>510000</v>
      </c>
      <c r="O17" s="189" t="s">
        <v>10766</v>
      </c>
      <c r="P17" s="47" t="s">
        <v>13831</v>
      </c>
      <c r="Q17" s="47" t="s">
        <v>620</v>
      </c>
      <c r="R17" s="47" t="s">
        <v>13832</v>
      </c>
      <c r="T17" s="46"/>
      <c r="U17" s="46" t="s">
        <v>491</v>
      </c>
      <c r="V17" s="46"/>
    </row>
    <row r="18" spans="1:22" s="47" customFormat="1" ht="45" x14ac:dyDescent="0.25">
      <c r="A18" s="61">
        <v>43472</v>
      </c>
      <c r="B18" s="47" t="s">
        <v>9240</v>
      </c>
      <c r="C18" s="46" t="s">
        <v>603</v>
      </c>
      <c r="D18" s="46" t="s">
        <v>9241</v>
      </c>
      <c r="E18" s="46"/>
      <c r="F18" s="46" t="s">
        <v>13833</v>
      </c>
      <c r="G18" s="46" t="s">
        <v>13834</v>
      </c>
      <c r="H18" s="46" t="s">
        <v>607</v>
      </c>
      <c r="I18" s="46" t="s">
        <v>13835</v>
      </c>
      <c r="J18" s="46" t="s">
        <v>5309</v>
      </c>
      <c r="K18" s="218" t="s">
        <v>13836</v>
      </c>
      <c r="L18" s="185">
        <v>8</v>
      </c>
      <c r="M18" s="91">
        <v>228000</v>
      </c>
      <c r="N18" s="91">
        <v>390000</v>
      </c>
      <c r="O18" s="189" t="s">
        <v>4533</v>
      </c>
      <c r="P18" s="47" t="s">
        <v>13837</v>
      </c>
      <c r="Q18" s="47" t="s">
        <v>1939</v>
      </c>
      <c r="R18" s="47" t="s">
        <v>13838</v>
      </c>
      <c r="T18" s="46"/>
      <c r="U18" s="46" t="s">
        <v>491</v>
      </c>
      <c r="V18" s="46"/>
    </row>
    <row r="19" spans="1:22" s="47" customFormat="1" ht="60" x14ac:dyDescent="0.25">
      <c r="A19" s="61">
        <v>43472</v>
      </c>
      <c r="B19" s="47" t="s">
        <v>5956</v>
      </c>
      <c r="C19" s="46" t="s">
        <v>3369</v>
      </c>
      <c r="D19" s="46" t="s">
        <v>8126</v>
      </c>
      <c r="E19" s="46"/>
      <c r="F19" s="46" t="s">
        <v>13839</v>
      </c>
      <c r="G19" s="46" t="s">
        <v>4818</v>
      </c>
      <c r="H19" s="46" t="s">
        <v>607</v>
      </c>
      <c r="I19" s="46" t="s">
        <v>7522</v>
      </c>
      <c r="J19" s="46" t="s">
        <v>3369</v>
      </c>
      <c r="K19" s="218" t="s">
        <v>13840</v>
      </c>
      <c r="L19" s="185"/>
      <c r="M19" s="91">
        <v>728000</v>
      </c>
      <c r="N19" s="91">
        <v>1460000</v>
      </c>
      <c r="O19" s="189" t="s">
        <v>10766</v>
      </c>
      <c r="P19" s="47" t="s">
        <v>13841</v>
      </c>
      <c r="Q19" s="47" t="s">
        <v>620</v>
      </c>
      <c r="R19" s="47" t="s">
        <v>13842</v>
      </c>
      <c r="T19" s="46"/>
      <c r="U19" s="46" t="s">
        <v>491</v>
      </c>
      <c r="V19" s="46"/>
    </row>
    <row r="20" spans="1:22" s="47" customFormat="1" ht="75" x14ac:dyDescent="0.25">
      <c r="A20" s="61">
        <v>43473</v>
      </c>
      <c r="B20" s="47" t="s">
        <v>6076</v>
      </c>
      <c r="C20" s="46" t="s">
        <v>3370</v>
      </c>
      <c r="D20" s="46" t="s">
        <v>10524</v>
      </c>
      <c r="E20" s="46"/>
      <c r="F20" s="46" t="s">
        <v>8966</v>
      </c>
      <c r="G20" s="46"/>
      <c r="H20" s="46" t="s">
        <v>607</v>
      </c>
      <c r="I20" s="46" t="s">
        <v>13845</v>
      </c>
      <c r="J20" s="46" t="s">
        <v>3370</v>
      </c>
      <c r="K20" s="218"/>
      <c r="L20" s="185"/>
      <c r="M20" s="91"/>
      <c r="N20" s="91"/>
      <c r="O20" s="189" t="s">
        <v>4533</v>
      </c>
      <c r="P20" s="47" t="s">
        <v>13846</v>
      </c>
      <c r="Q20" s="47" t="s">
        <v>1612</v>
      </c>
      <c r="R20" s="47" t="s">
        <v>13851</v>
      </c>
      <c r="T20" s="46"/>
      <c r="U20" s="46" t="s">
        <v>491</v>
      </c>
      <c r="V20" s="46"/>
    </row>
    <row r="21" spans="1:22" s="47" customFormat="1" ht="45" x14ac:dyDescent="0.25">
      <c r="A21" s="61">
        <v>43473</v>
      </c>
      <c r="B21" s="47" t="s">
        <v>569</v>
      </c>
      <c r="C21" s="46" t="s">
        <v>899</v>
      </c>
      <c r="D21" s="46" t="s">
        <v>1070</v>
      </c>
      <c r="E21" s="46"/>
      <c r="F21" s="46" t="s">
        <v>13847</v>
      </c>
      <c r="G21" s="46" t="s">
        <v>13848</v>
      </c>
      <c r="H21" s="46" t="s">
        <v>607</v>
      </c>
      <c r="I21" s="46" t="s">
        <v>4256</v>
      </c>
      <c r="J21" s="46" t="s">
        <v>899</v>
      </c>
      <c r="K21" s="218" t="s">
        <v>13465</v>
      </c>
      <c r="L21" s="185">
        <v>2</v>
      </c>
      <c r="M21" s="91">
        <v>1113840</v>
      </c>
      <c r="N21" s="91">
        <v>1700000</v>
      </c>
      <c r="O21" s="189" t="s">
        <v>10766</v>
      </c>
      <c r="P21" s="47" t="s">
        <v>13849</v>
      </c>
      <c r="Q21" s="47" t="s">
        <v>1939</v>
      </c>
      <c r="R21" s="47" t="s">
        <v>13850</v>
      </c>
      <c r="T21" s="46"/>
      <c r="U21" s="46" t="s">
        <v>491</v>
      </c>
      <c r="V21" s="46"/>
    </row>
    <row r="22" spans="1:22" s="47" customFormat="1" ht="77.25" customHeight="1" x14ac:dyDescent="0.25">
      <c r="A22" s="61">
        <v>43473</v>
      </c>
      <c r="B22" s="47" t="s">
        <v>9240</v>
      </c>
      <c r="C22" s="46" t="s">
        <v>603</v>
      </c>
      <c r="D22" s="46" t="s">
        <v>7814</v>
      </c>
      <c r="E22" s="46"/>
      <c r="F22" s="46" t="s">
        <v>13852</v>
      </c>
      <c r="G22" s="46" t="s">
        <v>13853</v>
      </c>
      <c r="H22" s="46" t="s">
        <v>809</v>
      </c>
      <c r="I22" s="46"/>
      <c r="J22" s="46"/>
      <c r="K22" s="218"/>
      <c r="L22" s="185"/>
      <c r="M22" s="91">
        <v>188000</v>
      </c>
      <c r="N22" s="91">
        <v>247000</v>
      </c>
      <c r="O22" s="189" t="s">
        <v>4533</v>
      </c>
      <c r="P22" s="47" t="s">
        <v>13854</v>
      </c>
      <c r="Q22" s="47" t="s">
        <v>1939</v>
      </c>
      <c r="R22" s="47" t="s">
        <v>13855</v>
      </c>
      <c r="T22" s="46"/>
      <c r="U22" s="46" t="s">
        <v>491</v>
      </c>
      <c r="V22" s="46"/>
    </row>
    <row r="23" spans="1:22" s="47" customFormat="1" ht="45" x14ac:dyDescent="0.25">
      <c r="A23" s="61">
        <v>43473</v>
      </c>
      <c r="B23" s="47" t="s">
        <v>643</v>
      </c>
      <c r="C23" s="46" t="s">
        <v>644</v>
      </c>
      <c r="D23" s="46" t="s">
        <v>625</v>
      </c>
      <c r="E23" s="46"/>
      <c r="F23" s="46" t="s">
        <v>13725</v>
      </c>
      <c r="G23" s="46" t="s">
        <v>13857</v>
      </c>
      <c r="H23" s="46" t="s">
        <v>2510</v>
      </c>
      <c r="I23" s="46" t="s">
        <v>4399</v>
      </c>
      <c r="J23" s="46" t="s">
        <v>644</v>
      </c>
      <c r="K23" s="218" t="s">
        <v>13858</v>
      </c>
      <c r="L23" s="185">
        <v>2</v>
      </c>
      <c r="M23" s="91">
        <v>1900000</v>
      </c>
      <c r="N23" s="91">
        <v>2300000</v>
      </c>
      <c r="O23" s="189" t="s">
        <v>560</v>
      </c>
      <c r="P23" s="47" t="s">
        <v>13859</v>
      </c>
      <c r="Q23" s="47" t="s">
        <v>592</v>
      </c>
      <c r="R23" s="47" t="s">
        <v>13860</v>
      </c>
      <c r="T23" s="46"/>
      <c r="U23" s="46" t="s">
        <v>491</v>
      </c>
      <c r="V23" s="46"/>
    </row>
    <row r="24" spans="1:22" s="47" customFormat="1" ht="75" x14ac:dyDescent="0.25">
      <c r="A24" s="61">
        <v>43473</v>
      </c>
      <c r="B24" s="47" t="s">
        <v>328</v>
      </c>
      <c r="C24" s="46" t="s">
        <v>603</v>
      </c>
      <c r="D24" s="46" t="s">
        <v>649</v>
      </c>
      <c r="E24" s="46"/>
      <c r="F24" s="46" t="s">
        <v>13695</v>
      </c>
      <c r="G24" s="46" t="s">
        <v>13696</v>
      </c>
      <c r="H24" s="46" t="s">
        <v>607</v>
      </c>
      <c r="I24" s="46"/>
      <c r="J24" s="46" t="s">
        <v>4031</v>
      </c>
      <c r="K24" s="218"/>
      <c r="L24" s="185">
        <v>3</v>
      </c>
      <c r="M24" s="91">
        <v>630990</v>
      </c>
      <c r="N24" s="91">
        <v>1250438</v>
      </c>
      <c r="O24" s="189" t="s">
        <v>10766</v>
      </c>
      <c r="P24" s="47" t="s">
        <v>13900</v>
      </c>
      <c r="Q24" s="47" t="s">
        <v>1612</v>
      </c>
      <c r="R24" s="47" t="s">
        <v>14228</v>
      </c>
      <c r="T24" s="46"/>
      <c r="U24" s="46" t="s">
        <v>491</v>
      </c>
      <c r="V24" s="46"/>
    </row>
    <row r="25" spans="1:22" s="47" customFormat="1" ht="45" x14ac:dyDescent="0.25">
      <c r="A25" s="61">
        <v>43474</v>
      </c>
      <c r="B25" s="47" t="s">
        <v>13559</v>
      </c>
      <c r="C25" s="46" t="s">
        <v>608</v>
      </c>
      <c r="D25" s="46" t="s">
        <v>13861</v>
      </c>
      <c r="E25" s="46"/>
      <c r="F25" s="46" t="s">
        <v>13862</v>
      </c>
      <c r="G25" s="46" t="s">
        <v>13863</v>
      </c>
      <c r="H25" s="46" t="s">
        <v>607</v>
      </c>
      <c r="I25" s="46" t="s">
        <v>13864</v>
      </c>
      <c r="J25" s="46" t="s">
        <v>3368</v>
      </c>
      <c r="K25" s="218" t="s">
        <v>13865</v>
      </c>
      <c r="L25" s="185">
        <v>9</v>
      </c>
      <c r="M25" s="91">
        <v>128000</v>
      </c>
      <c r="N25" s="91">
        <v>230000</v>
      </c>
      <c r="O25" s="189" t="s">
        <v>10762</v>
      </c>
      <c r="P25" s="47" t="s">
        <v>13866</v>
      </c>
      <c r="Q25" s="47" t="s">
        <v>1939</v>
      </c>
      <c r="R25" s="47" t="s">
        <v>13867</v>
      </c>
      <c r="T25" s="46"/>
      <c r="U25" s="46" t="s">
        <v>491</v>
      </c>
      <c r="V25" s="46"/>
    </row>
    <row r="26" spans="1:22" s="47" customFormat="1" ht="105" x14ac:dyDescent="0.25">
      <c r="A26" s="61">
        <v>43474</v>
      </c>
      <c r="B26" s="47" t="s">
        <v>12367</v>
      </c>
      <c r="C26" s="46" t="s">
        <v>5610</v>
      </c>
      <c r="D26" s="46" t="s">
        <v>7814</v>
      </c>
      <c r="E26" s="46"/>
      <c r="F26" s="46" t="s">
        <v>13868</v>
      </c>
      <c r="G26" s="46" t="s">
        <v>13869</v>
      </c>
      <c r="H26" s="46" t="s">
        <v>607</v>
      </c>
      <c r="I26" s="46" t="s">
        <v>13870</v>
      </c>
      <c r="J26" s="46" t="s">
        <v>761</v>
      </c>
      <c r="K26" s="218" t="s">
        <v>13871</v>
      </c>
      <c r="L26" s="185">
        <v>5</v>
      </c>
      <c r="M26" s="91">
        <v>983301</v>
      </c>
      <c r="N26" s="91">
        <v>1383301</v>
      </c>
      <c r="O26" s="189" t="s">
        <v>10766</v>
      </c>
      <c r="P26" s="47" t="s">
        <v>13872</v>
      </c>
      <c r="Q26" s="47" t="s">
        <v>620</v>
      </c>
      <c r="R26" s="47" t="s">
        <v>13873</v>
      </c>
      <c r="S26" s="47" t="s">
        <v>13874</v>
      </c>
      <c r="T26" s="46"/>
      <c r="U26" s="46" t="s">
        <v>491</v>
      </c>
      <c r="V26" s="46"/>
    </row>
    <row r="27" spans="1:22" s="47" customFormat="1" ht="60" x14ac:dyDescent="0.25">
      <c r="A27" s="61">
        <v>43474</v>
      </c>
      <c r="B27" s="47" t="s">
        <v>569</v>
      </c>
      <c r="C27" s="46" t="s">
        <v>899</v>
      </c>
      <c r="D27" s="46" t="s">
        <v>11286</v>
      </c>
      <c r="E27" s="46"/>
      <c r="F27" s="46" t="s">
        <v>13875</v>
      </c>
      <c r="G27" s="46" t="s">
        <v>13876</v>
      </c>
      <c r="H27" s="46" t="s">
        <v>607</v>
      </c>
      <c r="I27" s="46" t="s">
        <v>9831</v>
      </c>
      <c r="J27" s="46" t="s">
        <v>899</v>
      </c>
      <c r="K27" s="218" t="s">
        <v>13877</v>
      </c>
      <c r="L27" s="185">
        <v>2</v>
      </c>
      <c r="M27" s="91">
        <v>1477000</v>
      </c>
      <c r="N27" s="91">
        <v>2658600</v>
      </c>
      <c r="O27" s="189" t="s">
        <v>10766</v>
      </c>
      <c r="P27" s="47" t="s">
        <v>13878</v>
      </c>
      <c r="Q27" s="47" t="s">
        <v>29</v>
      </c>
      <c r="R27" s="47" t="s">
        <v>13879</v>
      </c>
      <c r="T27" s="46"/>
      <c r="U27" s="46" t="s">
        <v>491</v>
      </c>
      <c r="V27" s="46"/>
    </row>
    <row r="28" spans="1:22" s="47" customFormat="1" ht="60" x14ac:dyDescent="0.25">
      <c r="A28" s="61">
        <v>43474</v>
      </c>
      <c r="B28" s="47" t="s">
        <v>569</v>
      </c>
      <c r="C28" s="46" t="s">
        <v>899</v>
      </c>
      <c r="D28" s="46" t="s">
        <v>625</v>
      </c>
      <c r="E28" s="46"/>
      <c r="F28" s="46" t="s">
        <v>13880</v>
      </c>
      <c r="G28" s="46" t="s">
        <v>13881</v>
      </c>
      <c r="H28" s="46" t="s">
        <v>607</v>
      </c>
      <c r="I28" s="46" t="s">
        <v>4237</v>
      </c>
      <c r="J28" s="46" t="s">
        <v>899</v>
      </c>
      <c r="K28" s="218" t="s">
        <v>13807</v>
      </c>
      <c r="L28" s="185"/>
      <c r="M28" s="91">
        <v>1400000</v>
      </c>
      <c r="N28" s="91">
        <v>2040000</v>
      </c>
      <c r="O28" s="189" t="s">
        <v>10766</v>
      </c>
      <c r="P28" s="47" t="s">
        <v>13882</v>
      </c>
      <c r="Q28" s="47" t="s">
        <v>1939</v>
      </c>
      <c r="R28" s="47" t="s">
        <v>13883</v>
      </c>
      <c r="S28" s="47" t="s">
        <v>13884</v>
      </c>
      <c r="T28" s="46"/>
      <c r="U28" s="46" t="s">
        <v>491</v>
      </c>
      <c r="V28" s="46"/>
    </row>
    <row r="29" spans="1:22" s="47" customFormat="1" ht="75" x14ac:dyDescent="0.25">
      <c r="A29" s="61">
        <v>43474</v>
      </c>
      <c r="B29" s="47" t="s">
        <v>9240</v>
      </c>
      <c r="C29" s="46" t="s">
        <v>603</v>
      </c>
      <c r="D29" s="46" t="s">
        <v>9849</v>
      </c>
      <c r="E29" s="46"/>
      <c r="F29" s="46" t="s">
        <v>13885</v>
      </c>
      <c r="G29" s="46" t="s">
        <v>13886</v>
      </c>
      <c r="H29" s="46" t="s">
        <v>607</v>
      </c>
      <c r="I29" s="46" t="s">
        <v>13887</v>
      </c>
      <c r="J29" s="46" t="s">
        <v>5402</v>
      </c>
      <c r="K29" s="218" t="s">
        <v>13888</v>
      </c>
      <c r="L29" s="185">
        <v>3</v>
      </c>
      <c r="M29" s="91">
        <v>261000</v>
      </c>
      <c r="N29" s="91">
        <f>M29+182000+64600</f>
        <v>507600</v>
      </c>
      <c r="O29" s="189" t="s">
        <v>10766</v>
      </c>
      <c r="P29" s="47" t="s">
        <v>13889</v>
      </c>
      <c r="Q29" s="47" t="s">
        <v>1939</v>
      </c>
      <c r="R29" s="47" t="s">
        <v>13890</v>
      </c>
      <c r="S29" s="47" t="s">
        <v>13891</v>
      </c>
      <c r="T29" s="46"/>
      <c r="U29" s="46" t="s">
        <v>12797</v>
      </c>
      <c r="V29" s="46"/>
    </row>
    <row r="30" spans="1:22" s="47" customFormat="1" ht="75" x14ac:dyDescent="0.25">
      <c r="A30" s="61">
        <v>43474</v>
      </c>
      <c r="B30" s="47" t="s">
        <v>328</v>
      </c>
      <c r="C30" s="46" t="s">
        <v>603</v>
      </c>
      <c r="D30" s="46" t="s">
        <v>10338</v>
      </c>
      <c r="E30" s="46"/>
      <c r="F30" s="46" t="s">
        <v>272</v>
      </c>
      <c r="G30" s="46" t="s">
        <v>11155</v>
      </c>
      <c r="H30" s="46" t="s">
        <v>10831</v>
      </c>
      <c r="I30" s="46" t="s">
        <v>9429</v>
      </c>
      <c r="J30" s="46" t="s">
        <v>3501</v>
      </c>
      <c r="K30" s="218" t="s">
        <v>13892</v>
      </c>
      <c r="L30" s="185">
        <v>10</v>
      </c>
      <c r="M30" s="91">
        <v>1407000</v>
      </c>
      <c r="N30" s="91">
        <f>M30+100000+750000+140700</f>
        <v>2397700</v>
      </c>
      <c r="O30" s="189" t="s">
        <v>7124</v>
      </c>
      <c r="P30" s="47" t="s">
        <v>13893</v>
      </c>
      <c r="Q30" s="47" t="s">
        <v>29</v>
      </c>
      <c r="R30" s="47" t="s">
        <v>13894</v>
      </c>
      <c r="T30" s="46"/>
      <c r="U30" s="46" t="s">
        <v>12797</v>
      </c>
      <c r="V30" s="46"/>
    </row>
    <row r="31" spans="1:22" s="47" customFormat="1" ht="75" x14ac:dyDescent="0.25">
      <c r="A31" s="61">
        <v>43474</v>
      </c>
      <c r="B31" s="47" t="s">
        <v>328</v>
      </c>
      <c r="C31" s="46" t="s">
        <v>603</v>
      </c>
      <c r="D31" s="46" t="s">
        <v>10338</v>
      </c>
      <c r="E31" s="46"/>
      <c r="F31" s="46" t="s">
        <v>13895</v>
      </c>
      <c r="G31" s="46" t="s">
        <v>13896</v>
      </c>
      <c r="H31" s="46" t="s">
        <v>607</v>
      </c>
      <c r="I31" s="46" t="s">
        <v>8662</v>
      </c>
      <c r="J31" s="46" t="s">
        <v>6015</v>
      </c>
      <c r="K31" s="218" t="s">
        <v>13897</v>
      </c>
      <c r="L31" s="185">
        <v>2</v>
      </c>
      <c r="M31" s="91">
        <v>221000</v>
      </c>
      <c r="N31" s="91">
        <f>M31+22100+154700+22100</f>
        <v>419900</v>
      </c>
      <c r="O31" s="189" t="s">
        <v>4533</v>
      </c>
      <c r="P31" s="47" t="s">
        <v>13898</v>
      </c>
      <c r="Q31" s="47" t="s">
        <v>1939</v>
      </c>
      <c r="R31" s="47" t="s">
        <v>13899</v>
      </c>
      <c r="T31" s="46"/>
      <c r="U31" s="46" t="s">
        <v>12797</v>
      </c>
      <c r="V31" s="46"/>
    </row>
    <row r="32" spans="1:22" s="47" customFormat="1" ht="105" x14ac:dyDescent="0.25">
      <c r="A32" s="61">
        <v>43474</v>
      </c>
      <c r="B32" s="47" t="s">
        <v>5956</v>
      </c>
      <c r="C32" s="46" t="s">
        <v>3369</v>
      </c>
      <c r="D32" s="46" t="s">
        <v>8126</v>
      </c>
      <c r="E32" s="46"/>
      <c r="F32" s="46" t="s">
        <v>13901</v>
      </c>
      <c r="G32" s="46" t="s">
        <v>13902</v>
      </c>
      <c r="H32" s="46" t="s">
        <v>10831</v>
      </c>
      <c r="I32" s="46" t="s">
        <v>13903</v>
      </c>
      <c r="J32" s="46" t="s">
        <v>4825</v>
      </c>
      <c r="K32" s="218" t="s">
        <v>13904</v>
      </c>
      <c r="L32" s="185">
        <v>4</v>
      </c>
      <c r="M32" s="91">
        <v>412000</v>
      </c>
      <c r="N32" s="91">
        <f>M32+61800+309000</f>
        <v>782800</v>
      </c>
      <c r="O32" s="189" t="s">
        <v>10879</v>
      </c>
      <c r="P32" s="47" t="s">
        <v>13905</v>
      </c>
      <c r="Q32" s="47" t="s">
        <v>1939</v>
      </c>
      <c r="R32" s="47" t="s">
        <v>14229</v>
      </c>
      <c r="T32" s="46"/>
      <c r="U32" s="46" t="s">
        <v>12797</v>
      </c>
      <c r="V32" s="46"/>
    </row>
    <row r="33" spans="1:22" s="47" customFormat="1" ht="75" x14ac:dyDescent="0.25">
      <c r="A33" s="61">
        <v>43475</v>
      </c>
      <c r="B33" s="47" t="s">
        <v>328</v>
      </c>
      <c r="C33" s="46" t="s">
        <v>603</v>
      </c>
      <c r="D33" s="46" t="s">
        <v>10338</v>
      </c>
      <c r="E33" s="46"/>
      <c r="F33" s="46" t="s">
        <v>13820</v>
      </c>
      <c r="G33" s="46" t="s">
        <v>13821</v>
      </c>
      <c r="H33" s="46" t="s">
        <v>607</v>
      </c>
      <c r="I33" s="46" t="s">
        <v>4864</v>
      </c>
      <c r="J33" s="46" t="s">
        <v>899</v>
      </c>
      <c r="K33" s="218" t="s">
        <v>13822</v>
      </c>
      <c r="L33" s="185">
        <v>3</v>
      </c>
      <c r="M33" s="91">
        <v>624000</v>
      </c>
      <c r="N33" s="91">
        <f>M33+62400+436800+124800</f>
        <v>1248000</v>
      </c>
      <c r="O33" s="189" t="s">
        <v>10766</v>
      </c>
      <c r="P33" s="47" t="s">
        <v>14230</v>
      </c>
      <c r="Q33" s="47" t="s">
        <v>1939</v>
      </c>
      <c r="R33" s="47" t="s">
        <v>13906</v>
      </c>
      <c r="S33" s="47" t="s">
        <v>13907</v>
      </c>
      <c r="T33" s="46"/>
      <c r="U33" s="46" t="s">
        <v>12797</v>
      </c>
      <c r="V33" s="46"/>
    </row>
    <row r="34" spans="1:22" s="47" customFormat="1" ht="60" x14ac:dyDescent="0.25">
      <c r="A34" s="61">
        <v>43475</v>
      </c>
      <c r="B34" s="47" t="s">
        <v>643</v>
      </c>
      <c r="C34" s="46" t="s">
        <v>644</v>
      </c>
      <c r="D34" s="46" t="s">
        <v>3132</v>
      </c>
      <c r="E34" s="46"/>
      <c r="F34" s="46" t="s">
        <v>13908</v>
      </c>
      <c r="G34" s="46" t="s">
        <v>13909</v>
      </c>
      <c r="H34" s="46" t="s">
        <v>886</v>
      </c>
      <c r="I34" s="46" t="s">
        <v>4390</v>
      </c>
      <c r="J34" s="46" t="s">
        <v>990</v>
      </c>
      <c r="K34" s="218" t="s">
        <v>13910</v>
      </c>
      <c r="L34" s="185">
        <v>9</v>
      </c>
      <c r="M34" s="91">
        <v>2703585</v>
      </c>
      <c r="N34" s="91">
        <v>2703585</v>
      </c>
      <c r="O34" s="189" t="s">
        <v>560</v>
      </c>
      <c r="P34" s="47" t="s">
        <v>13911</v>
      </c>
      <c r="Q34" s="47" t="s">
        <v>1939</v>
      </c>
      <c r="R34" s="47" t="s">
        <v>13912</v>
      </c>
      <c r="T34" s="46"/>
      <c r="U34" s="46" t="s">
        <v>491</v>
      </c>
      <c r="V34" s="46"/>
    </row>
    <row r="35" spans="1:22" s="47" customFormat="1" ht="90" x14ac:dyDescent="0.25">
      <c r="A35" s="61">
        <v>43110</v>
      </c>
      <c r="B35" s="47" t="s">
        <v>5176</v>
      </c>
      <c r="C35" s="46" t="s">
        <v>604</v>
      </c>
      <c r="D35" s="46" t="s">
        <v>595</v>
      </c>
      <c r="E35" s="46"/>
      <c r="F35" s="46" t="s">
        <v>10173</v>
      </c>
      <c r="G35" s="46" t="s">
        <v>15</v>
      </c>
      <c r="H35" s="46" t="s">
        <v>905</v>
      </c>
      <c r="I35" s="46" t="s">
        <v>1487</v>
      </c>
      <c r="J35" s="46" t="s">
        <v>604</v>
      </c>
      <c r="K35" s="218" t="s">
        <v>13913</v>
      </c>
      <c r="L35" s="185"/>
      <c r="M35" s="91">
        <v>463740</v>
      </c>
      <c r="N35" s="91">
        <v>500000</v>
      </c>
      <c r="O35" s="189" t="s">
        <v>10766</v>
      </c>
      <c r="P35" s="47" t="s">
        <v>13915</v>
      </c>
      <c r="Q35" s="47" t="s">
        <v>29</v>
      </c>
      <c r="R35" s="47" t="s">
        <v>13914</v>
      </c>
      <c r="T35" s="46"/>
      <c r="U35" s="46" t="s">
        <v>491</v>
      </c>
      <c r="V35" s="46"/>
    </row>
    <row r="36" spans="1:22" s="47" customFormat="1" ht="60" x14ac:dyDescent="0.25">
      <c r="A36" s="61">
        <v>43475</v>
      </c>
      <c r="B36" s="47" t="s">
        <v>5360</v>
      </c>
      <c r="C36" s="46" t="s">
        <v>899</v>
      </c>
      <c r="D36" s="46" t="s">
        <v>732</v>
      </c>
      <c r="E36" s="46"/>
      <c r="F36" s="46" t="s">
        <v>13916</v>
      </c>
      <c r="G36" s="46"/>
      <c r="H36" s="46" t="s">
        <v>886</v>
      </c>
      <c r="I36" s="46" t="s">
        <v>3929</v>
      </c>
      <c r="J36" s="46" t="s">
        <v>899</v>
      </c>
      <c r="K36" s="218" t="s">
        <v>13917</v>
      </c>
      <c r="L36" s="185">
        <v>1</v>
      </c>
      <c r="M36" s="91">
        <v>1446000</v>
      </c>
      <c r="N36" s="91">
        <v>1446000</v>
      </c>
      <c r="O36" s="189" t="s">
        <v>2295</v>
      </c>
      <c r="P36" s="47" t="s">
        <v>13918</v>
      </c>
      <c r="Q36" s="47" t="s">
        <v>1939</v>
      </c>
      <c r="R36" s="47" t="s">
        <v>13919</v>
      </c>
      <c r="T36" s="46"/>
      <c r="U36" s="46" t="s">
        <v>491</v>
      </c>
      <c r="V36" s="46"/>
    </row>
    <row r="37" spans="1:22" ht="90" x14ac:dyDescent="0.25">
      <c r="A37" s="61">
        <v>43475</v>
      </c>
      <c r="B37" s="47" t="s">
        <v>328</v>
      </c>
      <c r="C37" s="46" t="s">
        <v>603</v>
      </c>
      <c r="D37" s="46" t="s">
        <v>649</v>
      </c>
      <c r="F37" s="46" t="s">
        <v>13538</v>
      </c>
      <c r="H37" s="46" t="s">
        <v>905</v>
      </c>
      <c r="I37" s="46" t="s">
        <v>3929</v>
      </c>
      <c r="J37" s="46" t="s">
        <v>899</v>
      </c>
      <c r="K37" s="218" t="s">
        <v>13539</v>
      </c>
      <c r="L37" s="185">
        <v>1</v>
      </c>
      <c r="M37" s="91">
        <v>3500000</v>
      </c>
      <c r="N37" s="91">
        <v>3870000</v>
      </c>
      <c r="O37" s="189" t="s">
        <v>560</v>
      </c>
      <c r="P37" s="47" t="s">
        <v>13920</v>
      </c>
      <c r="Q37" s="47" t="s">
        <v>29</v>
      </c>
      <c r="R37" s="47" t="s">
        <v>13921</v>
      </c>
      <c r="U37" s="46" t="s">
        <v>491</v>
      </c>
    </row>
    <row r="38" spans="1:22" s="47" customFormat="1" ht="30" x14ac:dyDescent="0.25">
      <c r="A38" s="61">
        <v>43476</v>
      </c>
      <c r="B38" s="47" t="s">
        <v>569</v>
      </c>
      <c r="C38" s="46" t="s">
        <v>899</v>
      </c>
      <c r="D38" s="46" t="s">
        <v>625</v>
      </c>
      <c r="E38" s="46"/>
      <c r="F38" s="46" t="s">
        <v>13922</v>
      </c>
      <c r="G38" s="46"/>
      <c r="H38" s="46" t="s">
        <v>10832</v>
      </c>
      <c r="I38" s="46" t="s">
        <v>13923</v>
      </c>
      <c r="J38" s="46" t="s">
        <v>899</v>
      </c>
      <c r="K38" s="218" t="s">
        <v>13924</v>
      </c>
      <c r="L38" s="185">
        <v>2</v>
      </c>
      <c r="M38" s="91">
        <v>1675000</v>
      </c>
      <c r="N38" s="91">
        <v>1965000</v>
      </c>
      <c r="O38" s="189" t="s">
        <v>6745</v>
      </c>
      <c r="P38" s="47" t="s">
        <v>13925</v>
      </c>
      <c r="Q38" s="47" t="s">
        <v>29</v>
      </c>
      <c r="R38" s="47" t="s">
        <v>13926</v>
      </c>
      <c r="T38" s="46"/>
      <c r="U38" s="46" t="s">
        <v>491</v>
      </c>
      <c r="V38" s="46"/>
    </row>
    <row r="39" spans="1:22" s="47" customFormat="1" ht="90" x14ac:dyDescent="0.25">
      <c r="A39" s="61">
        <v>43476</v>
      </c>
      <c r="B39" s="47" t="s">
        <v>569</v>
      </c>
      <c r="C39" s="46" t="s">
        <v>899</v>
      </c>
      <c r="D39" s="46" t="s">
        <v>625</v>
      </c>
      <c r="E39" s="46"/>
      <c r="F39" s="46" t="s">
        <v>13927</v>
      </c>
      <c r="G39" s="46" t="s">
        <v>15</v>
      </c>
      <c r="H39" s="46" t="s">
        <v>607</v>
      </c>
      <c r="I39" s="46" t="s">
        <v>6894</v>
      </c>
      <c r="J39" s="46" t="s">
        <v>899</v>
      </c>
      <c r="K39" s="218" t="s">
        <v>13928</v>
      </c>
      <c r="L39" s="185">
        <v>3</v>
      </c>
      <c r="M39" s="91">
        <v>550000</v>
      </c>
      <c r="N39" s="91">
        <v>880000</v>
      </c>
      <c r="O39" s="189" t="s">
        <v>7564</v>
      </c>
      <c r="P39" s="47" t="s">
        <v>13929</v>
      </c>
      <c r="Q39" s="47" t="s">
        <v>592</v>
      </c>
      <c r="R39" s="47" t="s">
        <v>13930</v>
      </c>
      <c r="T39" s="46"/>
      <c r="U39" s="46" t="s">
        <v>491</v>
      </c>
      <c r="V39" s="46"/>
    </row>
    <row r="40" spans="1:22" s="47" customFormat="1" ht="60" x14ac:dyDescent="0.25">
      <c r="A40" s="61">
        <v>43476</v>
      </c>
      <c r="B40" s="47" t="s">
        <v>5360</v>
      </c>
      <c r="C40" s="46" t="s">
        <v>899</v>
      </c>
      <c r="D40" s="46" t="s">
        <v>611</v>
      </c>
      <c r="E40" s="46"/>
      <c r="F40" s="46" t="s">
        <v>13931</v>
      </c>
      <c r="G40" s="46" t="s">
        <v>12555</v>
      </c>
      <c r="H40" s="46" t="s">
        <v>607</v>
      </c>
      <c r="I40" s="46" t="s">
        <v>13504</v>
      </c>
      <c r="J40" s="46" t="s">
        <v>899</v>
      </c>
      <c r="K40" s="218" t="s">
        <v>13505</v>
      </c>
      <c r="L40" s="185">
        <v>4</v>
      </c>
      <c r="M40" s="91">
        <v>516000</v>
      </c>
      <c r="N40" s="91">
        <v>800000</v>
      </c>
      <c r="O40" s="189" t="s">
        <v>10766</v>
      </c>
      <c r="P40" s="47" t="s">
        <v>13932</v>
      </c>
      <c r="Q40" s="47" t="s">
        <v>620</v>
      </c>
      <c r="R40" s="47" t="s">
        <v>13933</v>
      </c>
      <c r="T40" s="46"/>
      <c r="U40" s="46" t="s">
        <v>491</v>
      </c>
      <c r="V40" s="46"/>
    </row>
    <row r="41" spans="1:22" s="47" customFormat="1" ht="45" x14ac:dyDescent="0.25">
      <c r="A41" s="61">
        <v>43476</v>
      </c>
      <c r="B41" s="47" t="s">
        <v>328</v>
      </c>
      <c r="C41" s="46" t="s">
        <v>603</v>
      </c>
      <c r="D41" s="46" t="s">
        <v>8941</v>
      </c>
      <c r="E41" s="46"/>
      <c r="F41" s="46" t="s">
        <v>13934</v>
      </c>
      <c r="G41" s="46" t="s">
        <v>8515</v>
      </c>
      <c r="H41" s="46" t="s">
        <v>886</v>
      </c>
      <c r="I41" s="46" t="s">
        <v>13939</v>
      </c>
      <c r="J41" s="46" t="s">
        <v>603</v>
      </c>
      <c r="K41" s="218" t="s">
        <v>13935</v>
      </c>
      <c r="L41" s="185">
        <v>5</v>
      </c>
      <c r="M41" s="91">
        <v>403291</v>
      </c>
      <c r="N41" s="91">
        <v>700000</v>
      </c>
      <c r="O41" s="189" t="s">
        <v>2295</v>
      </c>
      <c r="P41" s="47" t="s">
        <v>13936</v>
      </c>
      <c r="Q41" s="47" t="s">
        <v>1939</v>
      </c>
      <c r="R41" s="47" t="s">
        <v>14231</v>
      </c>
      <c r="T41" s="46"/>
      <c r="U41" s="46" t="s">
        <v>491</v>
      </c>
      <c r="V41" s="46"/>
    </row>
    <row r="42" spans="1:22" s="47" customFormat="1" ht="60" x14ac:dyDescent="0.25">
      <c r="A42" s="61">
        <v>43476</v>
      </c>
      <c r="B42" s="47" t="s">
        <v>643</v>
      </c>
      <c r="C42" s="46" t="s">
        <v>644</v>
      </c>
      <c r="D42" s="46" t="s">
        <v>645</v>
      </c>
      <c r="E42" s="46"/>
      <c r="F42" s="46" t="s">
        <v>13937</v>
      </c>
      <c r="G42" s="46" t="s">
        <v>13938</v>
      </c>
      <c r="H42" s="46" t="s">
        <v>10832</v>
      </c>
      <c r="I42" s="46" t="s">
        <v>11008</v>
      </c>
      <c r="J42" s="46" t="s">
        <v>13940</v>
      </c>
      <c r="K42" s="218"/>
      <c r="L42" s="185">
        <v>2</v>
      </c>
      <c r="M42" s="91">
        <v>1052000</v>
      </c>
      <c r="N42" s="91">
        <v>1683200</v>
      </c>
      <c r="O42" s="189" t="s">
        <v>49</v>
      </c>
      <c r="P42" s="47" t="s">
        <v>13941</v>
      </c>
      <c r="Q42" s="47" t="s">
        <v>592</v>
      </c>
      <c r="R42" s="47" t="s">
        <v>13942</v>
      </c>
      <c r="T42" s="46"/>
      <c r="U42" s="46" t="s">
        <v>491</v>
      </c>
      <c r="V42" s="46"/>
    </row>
    <row r="43" spans="1:22" s="47" customFormat="1" ht="45" x14ac:dyDescent="0.25">
      <c r="A43" s="61">
        <v>43476</v>
      </c>
      <c r="B43" s="47" t="s">
        <v>328</v>
      </c>
      <c r="C43" s="46" t="s">
        <v>603</v>
      </c>
      <c r="D43" s="46" t="s">
        <v>2500</v>
      </c>
      <c r="E43" s="46"/>
      <c r="F43" s="46" t="s">
        <v>9852</v>
      </c>
      <c r="G43" s="46" t="s">
        <v>7714</v>
      </c>
      <c r="H43" s="46" t="s">
        <v>607</v>
      </c>
      <c r="I43" s="46" t="s">
        <v>11705</v>
      </c>
      <c r="J43" s="46" t="s">
        <v>3368</v>
      </c>
      <c r="K43" s="218" t="s">
        <v>13943</v>
      </c>
      <c r="L43" s="185">
        <v>1</v>
      </c>
      <c r="M43" s="91">
        <v>150000</v>
      </c>
      <c r="N43" s="91">
        <v>300000</v>
      </c>
      <c r="O43" s="189" t="s">
        <v>4533</v>
      </c>
      <c r="P43" s="47" t="s">
        <v>13944</v>
      </c>
      <c r="Q43" s="47" t="s">
        <v>29</v>
      </c>
      <c r="R43" s="47" t="s">
        <v>13945</v>
      </c>
      <c r="T43" s="46"/>
      <c r="U43" s="46" t="s">
        <v>491</v>
      </c>
      <c r="V43" s="46"/>
    </row>
    <row r="44" spans="1:22" s="47" customFormat="1" ht="45" x14ac:dyDescent="0.25">
      <c r="A44" s="61">
        <v>43476</v>
      </c>
      <c r="B44" s="47" t="s">
        <v>569</v>
      </c>
      <c r="C44" s="46" t="s">
        <v>899</v>
      </c>
      <c r="D44" s="46" t="s">
        <v>1070</v>
      </c>
      <c r="E44" s="46"/>
      <c r="F44" s="46" t="s">
        <v>6360</v>
      </c>
      <c r="G44" s="46" t="s">
        <v>13963</v>
      </c>
      <c r="H44" s="46" t="s">
        <v>607</v>
      </c>
      <c r="I44" s="46" t="s">
        <v>6587</v>
      </c>
      <c r="J44" s="46" t="s">
        <v>899</v>
      </c>
      <c r="K44" s="218" t="s">
        <v>13964</v>
      </c>
      <c r="L44" s="185">
        <v>5</v>
      </c>
      <c r="M44" s="91">
        <v>511877</v>
      </c>
      <c r="N44" s="91">
        <f>M44+35000+246000+147600</f>
        <v>940477</v>
      </c>
      <c r="O44" s="189" t="s">
        <v>10765</v>
      </c>
      <c r="P44" s="47" t="s">
        <v>14232</v>
      </c>
      <c r="Q44" s="47" t="s">
        <v>29</v>
      </c>
      <c r="R44" s="47" t="s">
        <v>13965</v>
      </c>
      <c r="T44" s="46"/>
      <c r="U44" s="46" t="s">
        <v>12797</v>
      </c>
      <c r="V44" s="46"/>
    </row>
    <row r="45" spans="1:22" s="47" customFormat="1" ht="15.75" x14ac:dyDescent="0.25">
      <c r="A45" s="61">
        <v>43476</v>
      </c>
      <c r="B45" s="47" t="s">
        <v>569</v>
      </c>
      <c r="C45" s="46" t="s">
        <v>899</v>
      </c>
      <c r="D45" s="46" t="s">
        <v>1070</v>
      </c>
      <c r="E45" s="46"/>
      <c r="F45" s="46" t="s">
        <v>13966</v>
      </c>
      <c r="G45" s="46"/>
      <c r="H45" s="46" t="s">
        <v>10831</v>
      </c>
      <c r="I45" s="46" t="s">
        <v>8970</v>
      </c>
      <c r="J45" s="46" t="s">
        <v>899</v>
      </c>
      <c r="K45" s="218" t="s">
        <v>13967</v>
      </c>
      <c r="L45" s="185"/>
      <c r="M45" s="91">
        <v>1875000</v>
      </c>
      <c r="N45" s="91">
        <f>M45+20000+150000</f>
        <v>2045000</v>
      </c>
      <c r="O45" s="189" t="s">
        <v>10765</v>
      </c>
      <c r="P45" s="47" t="s">
        <v>13968</v>
      </c>
      <c r="Q45" s="47" t="s">
        <v>29</v>
      </c>
      <c r="R45" s="47" t="s">
        <v>13965</v>
      </c>
      <c r="T45" s="46"/>
      <c r="U45" s="46" t="s">
        <v>12797</v>
      </c>
      <c r="V45" s="46"/>
    </row>
    <row r="46" spans="1:22" s="47" customFormat="1" ht="30" x14ac:dyDescent="0.25">
      <c r="A46" s="61">
        <v>43476</v>
      </c>
      <c r="B46" s="47" t="s">
        <v>5956</v>
      </c>
      <c r="C46" s="46" t="s">
        <v>3369</v>
      </c>
      <c r="D46" s="46" t="s">
        <v>9234</v>
      </c>
      <c r="E46" s="46"/>
      <c r="F46" s="46" t="s">
        <v>13969</v>
      </c>
      <c r="G46" s="46" t="s">
        <v>13970</v>
      </c>
      <c r="H46" s="46" t="s">
        <v>607</v>
      </c>
      <c r="I46" s="46" t="s">
        <v>13971</v>
      </c>
      <c r="J46" s="46" t="s">
        <v>6575</v>
      </c>
      <c r="K46" s="218" t="s">
        <v>13972</v>
      </c>
      <c r="L46" s="185">
        <v>9</v>
      </c>
      <c r="M46" s="91">
        <v>2565000</v>
      </c>
      <c r="N46" s="91">
        <f>M46+256500+1795500+513000</f>
        <v>5130000</v>
      </c>
      <c r="O46" s="189" t="s">
        <v>560</v>
      </c>
      <c r="P46" s="47" t="s">
        <v>13973</v>
      </c>
      <c r="Q46" s="47" t="s">
        <v>29</v>
      </c>
      <c r="R46" s="47" t="s">
        <v>13974</v>
      </c>
      <c r="T46" s="46"/>
      <c r="U46" s="46" t="s">
        <v>12797</v>
      </c>
      <c r="V46" s="46"/>
    </row>
    <row r="47" spans="1:22" s="47" customFormat="1" ht="120" x14ac:dyDescent="0.25">
      <c r="A47" s="61">
        <v>43476</v>
      </c>
      <c r="B47" s="47" t="s">
        <v>328</v>
      </c>
      <c r="C47" s="46" t="s">
        <v>603</v>
      </c>
      <c r="D47" s="46" t="s">
        <v>649</v>
      </c>
      <c r="E47" s="46"/>
      <c r="F47" s="46" t="s">
        <v>13975</v>
      </c>
      <c r="G47" s="46" t="s">
        <v>13863</v>
      </c>
      <c r="H47" s="46" t="s">
        <v>607</v>
      </c>
      <c r="I47" s="46" t="s">
        <v>13976</v>
      </c>
      <c r="J47" s="46" t="s">
        <v>3398</v>
      </c>
      <c r="K47" s="218" t="s">
        <v>13977</v>
      </c>
      <c r="L47" s="185">
        <v>6</v>
      </c>
      <c r="M47" s="91">
        <v>284000</v>
      </c>
      <c r="N47" s="91">
        <f>M47+50000+198800+56800</f>
        <v>589600</v>
      </c>
      <c r="O47" s="189" t="s">
        <v>4533</v>
      </c>
      <c r="P47" s="47" t="s">
        <v>14233</v>
      </c>
      <c r="Q47" s="47" t="s">
        <v>1939</v>
      </c>
      <c r="R47" s="47" t="s">
        <v>14234</v>
      </c>
      <c r="T47" s="46"/>
      <c r="U47" s="46" t="s">
        <v>12797</v>
      </c>
      <c r="V47" s="46"/>
    </row>
    <row r="48" spans="1:22" s="47" customFormat="1" ht="120" x14ac:dyDescent="0.25">
      <c r="A48" s="61">
        <v>43476</v>
      </c>
      <c r="B48" s="47" t="s">
        <v>569</v>
      </c>
      <c r="C48" s="46" t="s">
        <v>899</v>
      </c>
      <c r="D48" s="46" t="s">
        <v>625</v>
      </c>
      <c r="E48" s="46"/>
      <c r="F48" s="46" t="s">
        <v>13978</v>
      </c>
      <c r="G48" s="46" t="s">
        <v>13979</v>
      </c>
      <c r="H48" s="46" t="s">
        <v>607</v>
      </c>
      <c r="I48" s="46" t="s">
        <v>3837</v>
      </c>
      <c r="J48" s="46" t="s">
        <v>899</v>
      </c>
      <c r="K48" s="218" t="s">
        <v>13383</v>
      </c>
      <c r="L48" s="185"/>
      <c r="M48" s="91">
        <v>1890000</v>
      </c>
      <c r="N48" s="91">
        <f>M48+131000+654000+262000</f>
        <v>2937000</v>
      </c>
      <c r="O48" s="189" t="s">
        <v>7564</v>
      </c>
      <c r="P48" s="47" t="s">
        <v>13980</v>
      </c>
      <c r="Q48" s="47" t="s">
        <v>29</v>
      </c>
      <c r="R48" s="47" t="s">
        <v>13989</v>
      </c>
      <c r="T48" s="46"/>
      <c r="U48" s="46" t="s">
        <v>12797</v>
      </c>
      <c r="V48" s="46"/>
    </row>
    <row r="49" spans="1:22" s="47" customFormat="1" ht="75" x14ac:dyDescent="0.25">
      <c r="A49" s="61">
        <v>43476</v>
      </c>
      <c r="B49" s="47" t="s">
        <v>328</v>
      </c>
      <c r="C49" s="46" t="s">
        <v>603</v>
      </c>
      <c r="D49" s="46" t="s">
        <v>2500</v>
      </c>
      <c r="E49" s="46"/>
      <c r="F49" s="46" t="s">
        <v>5096</v>
      </c>
      <c r="G49" s="46" t="s">
        <v>13946</v>
      </c>
      <c r="H49" s="46" t="s">
        <v>607</v>
      </c>
      <c r="I49" s="46" t="s">
        <v>13947</v>
      </c>
      <c r="J49" s="46" t="s">
        <v>6015</v>
      </c>
      <c r="K49" s="218" t="s">
        <v>13948</v>
      </c>
      <c r="L49" s="185"/>
      <c r="M49" s="91">
        <v>350000</v>
      </c>
      <c r="N49" s="91">
        <v>580000</v>
      </c>
      <c r="O49" s="189" t="s">
        <v>4533</v>
      </c>
      <c r="P49" s="47" t="s">
        <v>14235</v>
      </c>
      <c r="Q49" s="47" t="s">
        <v>1612</v>
      </c>
      <c r="R49" s="47" t="s">
        <v>14236</v>
      </c>
      <c r="T49" s="46"/>
      <c r="U49" s="46" t="s">
        <v>491</v>
      </c>
      <c r="V49" s="46" t="s">
        <v>833</v>
      </c>
    </row>
    <row r="50" spans="1:22" s="47" customFormat="1" ht="30" x14ac:dyDescent="0.25">
      <c r="A50" s="61">
        <v>43479</v>
      </c>
      <c r="B50" s="47" t="s">
        <v>569</v>
      </c>
      <c r="C50" s="46" t="s">
        <v>899</v>
      </c>
      <c r="D50" s="46" t="s">
        <v>3505</v>
      </c>
      <c r="E50" s="46"/>
      <c r="F50" s="46" t="s">
        <v>13949</v>
      </c>
      <c r="G50" s="46" t="s">
        <v>13950</v>
      </c>
      <c r="H50" s="46" t="s">
        <v>607</v>
      </c>
      <c r="I50" s="46" t="s">
        <v>13951</v>
      </c>
      <c r="J50" s="46" t="s">
        <v>899</v>
      </c>
      <c r="K50" s="218" t="s">
        <v>13952</v>
      </c>
      <c r="L50" s="185">
        <v>5</v>
      </c>
      <c r="M50" s="91">
        <v>1200000</v>
      </c>
      <c r="N50" s="91">
        <v>2000000</v>
      </c>
      <c r="O50" s="189" t="s">
        <v>10766</v>
      </c>
      <c r="P50" s="47" t="s">
        <v>13953</v>
      </c>
      <c r="Q50" s="47" t="s">
        <v>29</v>
      </c>
      <c r="R50" s="47" t="s">
        <v>13954</v>
      </c>
      <c r="T50" s="46"/>
      <c r="U50" s="46" t="s">
        <v>491</v>
      </c>
      <c r="V50" s="46"/>
    </row>
    <row r="51" spans="1:22" s="47" customFormat="1" ht="30" x14ac:dyDescent="0.25">
      <c r="A51" s="61">
        <v>43479</v>
      </c>
      <c r="B51" s="47" t="s">
        <v>569</v>
      </c>
      <c r="C51" s="46" t="s">
        <v>899</v>
      </c>
      <c r="D51" s="46" t="s">
        <v>625</v>
      </c>
      <c r="E51" s="46"/>
      <c r="F51" s="46" t="s">
        <v>13955</v>
      </c>
      <c r="G51" s="46"/>
      <c r="H51" s="46" t="s">
        <v>607</v>
      </c>
      <c r="I51" s="46" t="s">
        <v>5557</v>
      </c>
      <c r="J51" s="46" t="s">
        <v>899</v>
      </c>
      <c r="K51" s="218" t="s">
        <v>13956</v>
      </c>
      <c r="L51" s="185">
        <v>5</v>
      </c>
      <c r="M51" s="91">
        <v>100000</v>
      </c>
      <c r="N51" s="91">
        <v>1950000</v>
      </c>
      <c r="O51" s="189" t="s">
        <v>7564</v>
      </c>
      <c r="P51" s="47" t="s">
        <v>13957</v>
      </c>
      <c r="Q51" s="47" t="s">
        <v>29</v>
      </c>
      <c r="R51" s="47" t="s">
        <v>13958</v>
      </c>
      <c r="T51" s="46"/>
      <c r="U51" s="46" t="s">
        <v>491</v>
      </c>
      <c r="V51" s="46"/>
    </row>
    <row r="52" spans="1:22" s="47" customFormat="1" ht="60" x14ac:dyDescent="0.25">
      <c r="A52" s="61">
        <v>43479</v>
      </c>
      <c r="B52" s="47" t="s">
        <v>643</v>
      </c>
      <c r="C52" s="46" t="s">
        <v>644</v>
      </c>
      <c r="D52" s="46" t="s">
        <v>645</v>
      </c>
      <c r="E52" s="46"/>
      <c r="F52" s="46" t="s">
        <v>13959</v>
      </c>
      <c r="G52" s="46" t="s">
        <v>13960</v>
      </c>
      <c r="H52" s="46" t="s">
        <v>607</v>
      </c>
      <c r="I52" s="46" t="s">
        <v>8881</v>
      </c>
      <c r="J52" s="46" t="s">
        <v>899</v>
      </c>
      <c r="K52" s="218" t="s">
        <v>13128</v>
      </c>
      <c r="L52" s="185">
        <v>2</v>
      </c>
      <c r="M52" s="91">
        <v>1179105</v>
      </c>
      <c r="N52" s="91">
        <v>1689926</v>
      </c>
      <c r="O52" s="189" t="s">
        <v>6745</v>
      </c>
      <c r="P52" s="47" t="s">
        <v>13961</v>
      </c>
      <c r="Q52" s="47" t="s">
        <v>620</v>
      </c>
      <c r="R52" s="47" t="s">
        <v>13962</v>
      </c>
      <c r="T52" s="46"/>
      <c r="U52" s="46" t="s">
        <v>491</v>
      </c>
      <c r="V52" s="46"/>
    </row>
    <row r="53" spans="1:22" s="47" customFormat="1" ht="105" x14ac:dyDescent="0.25">
      <c r="A53" s="61">
        <v>43479</v>
      </c>
      <c r="B53" s="47" t="s">
        <v>328</v>
      </c>
      <c r="C53" s="46" t="s">
        <v>603</v>
      </c>
      <c r="D53" s="46" t="s">
        <v>5701</v>
      </c>
      <c r="E53" s="46"/>
      <c r="F53" s="46" t="s">
        <v>13981</v>
      </c>
      <c r="G53" s="46" t="s">
        <v>4615</v>
      </c>
      <c r="H53" s="46" t="s">
        <v>10831</v>
      </c>
      <c r="I53" s="46" t="s">
        <v>13982</v>
      </c>
      <c r="J53" s="46" t="s">
        <v>959</v>
      </c>
      <c r="K53" s="218" t="s">
        <v>13825</v>
      </c>
      <c r="L53" s="185">
        <v>3</v>
      </c>
      <c r="M53" s="91">
        <v>120000</v>
      </c>
      <c r="N53" s="91">
        <f>M53+5000+24000</f>
        <v>149000</v>
      </c>
      <c r="O53" s="189" t="s">
        <v>10763</v>
      </c>
      <c r="P53" s="47" t="s">
        <v>13983</v>
      </c>
      <c r="Q53" s="47" t="s">
        <v>620</v>
      </c>
      <c r="R53" s="47" t="s">
        <v>13984</v>
      </c>
      <c r="T53" s="46"/>
      <c r="U53" s="46" t="s">
        <v>12797</v>
      </c>
      <c r="V53" s="46"/>
    </row>
    <row r="54" spans="1:22" s="47" customFormat="1" ht="90" x14ac:dyDescent="0.25">
      <c r="A54" s="61">
        <v>43479</v>
      </c>
      <c r="B54" s="47" t="s">
        <v>12367</v>
      </c>
      <c r="C54" s="46" t="s">
        <v>5610</v>
      </c>
      <c r="D54" s="46" t="s">
        <v>7814</v>
      </c>
      <c r="E54" s="46"/>
      <c r="F54" s="46" t="s">
        <v>13985</v>
      </c>
      <c r="G54" s="46" t="s">
        <v>11122</v>
      </c>
      <c r="H54" s="46" t="s">
        <v>10831</v>
      </c>
      <c r="I54" s="46" t="s">
        <v>13986</v>
      </c>
      <c r="J54" s="46" t="s">
        <v>3733</v>
      </c>
      <c r="K54" s="218" t="s">
        <v>13987</v>
      </c>
      <c r="L54" s="185" t="s">
        <v>7579</v>
      </c>
      <c r="M54" s="91">
        <v>2589936</v>
      </c>
      <c r="N54" s="91">
        <f>M54+245027+30000+245027</f>
        <v>3109990</v>
      </c>
      <c r="O54" s="189" t="s">
        <v>560</v>
      </c>
      <c r="P54" s="47" t="s">
        <v>13988</v>
      </c>
      <c r="Q54" s="47" t="s">
        <v>1939</v>
      </c>
      <c r="R54" s="47" t="s">
        <v>14151</v>
      </c>
      <c r="T54" s="46"/>
      <c r="U54" s="46" t="s">
        <v>12797</v>
      </c>
      <c r="V54" s="46"/>
    </row>
    <row r="55" spans="1:22" s="47" customFormat="1" ht="75" x14ac:dyDescent="0.25">
      <c r="A55" s="61">
        <v>43480</v>
      </c>
      <c r="B55" s="47" t="s">
        <v>1788</v>
      </c>
      <c r="C55" s="46" t="s">
        <v>3369</v>
      </c>
      <c r="D55" s="46" t="s">
        <v>9849</v>
      </c>
      <c r="E55" s="46"/>
      <c r="F55" s="46" t="s">
        <v>13990</v>
      </c>
      <c r="G55" s="46" t="s">
        <v>13991</v>
      </c>
      <c r="H55" s="46" t="s">
        <v>10831</v>
      </c>
      <c r="I55" s="46" t="s">
        <v>9788</v>
      </c>
      <c r="J55" s="46" t="s">
        <v>602</v>
      </c>
      <c r="K55" s="218" t="s">
        <v>13992</v>
      </c>
      <c r="L55" s="185"/>
      <c r="M55" s="91">
        <v>151000</v>
      </c>
      <c r="N55" s="91">
        <f>M55+15100+75500+15100</f>
        <v>256700</v>
      </c>
      <c r="O55" s="189" t="s">
        <v>10763</v>
      </c>
      <c r="P55" s="47" t="s">
        <v>13993</v>
      </c>
      <c r="Q55" s="47" t="s">
        <v>29</v>
      </c>
      <c r="R55" s="47" t="s">
        <v>14237</v>
      </c>
      <c r="T55" s="46"/>
      <c r="U55" s="46" t="s">
        <v>12797</v>
      </c>
      <c r="V55" s="46"/>
    </row>
    <row r="56" spans="1:22" s="47" customFormat="1" ht="165" x14ac:dyDescent="0.25">
      <c r="A56" s="61">
        <v>43480</v>
      </c>
      <c r="B56" s="47" t="s">
        <v>5956</v>
      </c>
      <c r="C56" s="46" t="s">
        <v>3369</v>
      </c>
      <c r="D56" s="46" t="s">
        <v>8126</v>
      </c>
      <c r="E56" s="46"/>
      <c r="F56" s="46" t="s">
        <v>13994</v>
      </c>
      <c r="G56" s="46" t="s">
        <v>11359</v>
      </c>
      <c r="H56" s="46" t="s">
        <v>607</v>
      </c>
      <c r="I56" s="46" t="s">
        <v>13995</v>
      </c>
      <c r="J56" s="46" t="s">
        <v>6575</v>
      </c>
      <c r="K56" s="218" t="s">
        <v>13996</v>
      </c>
      <c r="L56" s="185">
        <v>5</v>
      </c>
      <c r="M56" s="91">
        <v>284660</v>
      </c>
      <c r="N56" s="91">
        <f>M56+28466+142330+56932</f>
        <v>512388</v>
      </c>
      <c r="O56" s="189" t="s">
        <v>2295</v>
      </c>
      <c r="P56" s="47" t="s">
        <v>13997</v>
      </c>
      <c r="Q56" s="47" t="s">
        <v>620</v>
      </c>
      <c r="R56" s="47" t="s">
        <v>13998</v>
      </c>
      <c r="T56" s="46"/>
      <c r="U56" s="46" t="s">
        <v>12797</v>
      </c>
      <c r="V56" s="46"/>
    </row>
    <row r="57" spans="1:22" s="47" customFormat="1" ht="105" x14ac:dyDescent="0.25">
      <c r="A57" s="61">
        <v>43480</v>
      </c>
      <c r="B57" s="47" t="s">
        <v>328</v>
      </c>
      <c r="C57" s="46" t="s">
        <v>603</v>
      </c>
      <c r="D57" s="46" t="s">
        <v>10338</v>
      </c>
      <c r="E57" s="46"/>
      <c r="F57" s="46" t="s">
        <v>13999</v>
      </c>
      <c r="G57" s="46"/>
      <c r="H57" s="46" t="s">
        <v>10831</v>
      </c>
      <c r="I57" s="46" t="s">
        <v>14000</v>
      </c>
      <c r="J57" s="46" t="s">
        <v>3523</v>
      </c>
      <c r="K57" s="218" t="s">
        <v>14001</v>
      </c>
      <c r="L57" s="185">
        <v>3</v>
      </c>
      <c r="M57" s="91">
        <v>451000</v>
      </c>
      <c r="N57" s="91">
        <f>M57+90000+175000+35000</f>
        <v>751000</v>
      </c>
      <c r="O57" s="189" t="s">
        <v>4533</v>
      </c>
      <c r="P57" s="47" t="s">
        <v>14238</v>
      </c>
      <c r="Q57" s="47" t="s">
        <v>1939</v>
      </c>
      <c r="R57" s="47" t="s">
        <v>14002</v>
      </c>
      <c r="T57" s="46"/>
      <c r="U57" s="46" t="s">
        <v>12797</v>
      </c>
      <c r="V57" s="46"/>
    </row>
    <row r="58" spans="1:22" s="47" customFormat="1" ht="45" x14ac:dyDescent="0.25">
      <c r="A58" s="61">
        <v>43480</v>
      </c>
      <c r="B58" s="47" t="s">
        <v>569</v>
      </c>
      <c r="C58" s="46" t="s">
        <v>899</v>
      </c>
      <c r="D58" s="46" t="s">
        <v>9981</v>
      </c>
      <c r="E58" s="46"/>
      <c r="F58" s="46" t="s">
        <v>14015</v>
      </c>
      <c r="G58" s="46" t="s">
        <v>14016</v>
      </c>
      <c r="H58" s="46" t="s">
        <v>607</v>
      </c>
      <c r="I58" s="46" t="s">
        <v>5653</v>
      </c>
      <c r="J58" s="46" t="s">
        <v>899</v>
      </c>
      <c r="K58" s="218" t="s">
        <v>14017</v>
      </c>
      <c r="L58" s="185" t="s">
        <v>14018</v>
      </c>
      <c r="M58" s="91"/>
      <c r="N58" s="91"/>
      <c r="O58" s="189" t="s">
        <v>10765</v>
      </c>
      <c r="P58" s="47" t="s">
        <v>14019</v>
      </c>
      <c r="Q58" s="47" t="s">
        <v>29</v>
      </c>
      <c r="R58" s="47" t="s">
        <v>14020</v>
      </c>
      <c r="T58" s="46"/>
      <c r="U58" s="46" t="s">
        <v>12797</v>
      </c>
      <c r="V58" s="46"/>
    </row>
    <row r="59" spans="1:22" s="47" customFormat="1" ht="120" x14ac:dyDescent="0.25">
      <c r="A59" s="61">
        <v>43480</v>
      </c>
      <c r="B59" s="47" t="s">
        <v>328</v>
      </c>
      <c r="C59" s="46" t="s">
        <v>603</v>
      </c>
      <c r="D59" s="46" t="s">
        <v>8941</v>
      </c>
      <c r="E59" s="46"/>
      <c r="F59" s="46" t="s">
        <v>14010</v>
      </c>
      <c r="G59" s="46" t="s">
        <v>14011</v>
      </c>
      <c r="H59" s="46" t="s">
        <v>607</v>
      </c>
      <c r="I59" s="46" t="s">
        <v>2054</v>
      </c>
      <c r="J59" s="46" t="s">
        <v>899</v>
      </c>
      <c r="K59" s="218" t="s">
        <v>14012</v>
      </c>
      <c r="L59" s="185">
        <v>1</v>
      </c>
      <c r="M59" s="91">
        <v>1055000</v>
      </c>
      <c r="N59" s="91">
        <f>M59+105500+738000+211000</f>
        <v>2109500</v>
      </c>
      <c r="O59" s="189" t="s">
        <v>7564</v>
      </c>
      <c r="P59" s="47" t="s">
        <v>14013</v>
      </c>
      <c r="Q59" s="47" t="s">
        <v>1939</v>
      </c>
      <c r="R59" s="47" t="s">
        <v>14014</v>
      </c>
      <c r="T59" s="46"/>
      <c r="U59" s="46" t="s">
        <v>12797</v>
      </c>
      <c r="V59" s="46"/>
    </row>
    <row r="60" spans="1:22" s="47" customFormat="1" ht="105" x14ac:dyDescent="0.25">
      <c r="A60" s="61">
        <v>43481</v>
      </c>
      <c r="B60" s="47" t="s">
        <v>328</v>
      </c>
      <c r="C60" s="46" t="s">
        <v>603</v>
      </c>
      <c r="D60" s="46" t="s">
        <v>1401</v>
      </c>
      <c r="E60" s="46"/>
      <c r="F60" s="46" t="s">
        <v>14021</v>
      </c>
      <c r="G60" s="46" t="s">
        <v>11704</v>
      </c>
      <c r="H60" s="46" t="s">
        <v>607</v>
      </c>
      <c r="I60" s="46" t="s">
        <v>14022</v>
      </c>
      <c r="J60" s="46" t="s">
        <v>899</v>
      </c>
      <c r="K60" s="218" t="s">
        <v>14023</v>
      </c>
      <c r="L60" s="185">
        <v>9</v>
      </c>
      <c r="M60" s="91">
        <v>550000</v>
      </c>
      <c r="N60" s="91">
        <f>M60+55000+275000+55000</f>
        <v>935000</v>
      </c>
      <c r="O60" s="189" t="s">
        <v>7124</v>
      </c>
      <c r="P60" s="47" t="s">
        <v>14024</v>
      </c>
      <c r="Q60" s="47" t="s">
        <v>29</v>
      </c>
      <c r="R60" s="47" t="s">
        <v>14025</v>
      </c>
      <c r="T60" s="46"/>
      <c r="U60" s="46" t="s">
        <v>12797</v>
      </c>
      <c r="V60" s="46"/>
    </row>
    <row r="61" spans="1:22" s="47" customFormat="1" ht="120" x14ac:dyDescent="0.25">
      <c r="A61" s="61">
        <v>43481</v>
      </c>
      <c r="B61" s="47" t="s">
        <v>328</v>
      </c>
      <c r="C61" s="46" t="s">
        <v>603</v>
      </c>
      <c r="D61" s="46" t="s">
        <v>10705</v>
      </c>
      <c r="E61" s="46"/>
      <c r="F61" s="46" t="s">
        <v>14026</v>
      </c>
      <c r="G61" s="46" t="s">
        <v>9473</v>
      </c>
      <c r="H61" s="46" t="s">
        <v>607</v>
      </c>
      <c r="I61" s="46" t="s">
        <v>12459</v>
      </c>
      <c r="J61" s="46" t="s">
        <v>899</v>
      </c>
      <c r="K61" s="218" t="s">
        <v>14027</v>
      </c>
      <c r="L61" s="185">
        <v>6</v>
      </c>
      <c r="M61" s="91">
        <v>459000</v>
      </c>
      <c r="N61" s="91">
        <f>M61+110000+229500+45900</f>
        <v>844400</v>
      </c>
      <c r="O61" s="189" t="s">
        <v>4533</v>
      </c>
      <c r="P61" s="47" t="s">
        <v>14239</v>
      </c>
      <c r="Q61" s="47" t="s">
        <v>1939</v>
      </c>
      <c r="R61" s="47" t="s">
        <v>14028</v>
      </c>
      <c r="S61" s="47" t="s">
        <v>14029</v>
      </c>
      <c r="T61" s="46"/>
      <c r="U61" s="46" t="s">
        <v>12797</v>
      </c>
      <c r="V61" s="46"/>
    </row>
    <row r="62" spans="1:22" s="47" customFormat="1" ht="45" x14ac:dyDescent="0.25">
      <c r="A62" s="61">
        <v>43482</v>
      </c>
      <c r="B62" s="47" t="s">
        <v>13559</v>
      </c>
      <c r="C62" s="46" t="s">
        <v>4031</v>
      </c>
      <c r="D62" s="46" t="s">
        <v>13560</v>
      </c>
      <c r="E62" s="46"/>
      <c r="F62" s="46" t="s">
        <v>14004</v>
      </c>
      <c r="G62" s="46" t="s">
        <v>14005</v>
      </c>
      <c r="H62" s="46" t="s">
        <v>10831</v>
      </c>
      <c r="I62" s="46" t="s">
        <v>14006</v>
      </c>
      <c r="J62" s="46" t="s">
        <v>3804</v>
      </c>
      <c r="K62" s="218" t="s">
        <v>14007</v>
      </c>
      <c r="L62" s="185">
        <v>10</v>
      </c>
      <c r="M62" s="91">
        <v>875000</v>
      </c>
      <c r="N62" s="91">
        <v>1722000</v>
      </c>
      <c r="O62" s="189" t="s">
        <v>560</v>
      </c>
      <c r="P62" s="47" t="s">
        <v>14008</v>
      </c>
      <c r="Q62" s="47" t="s">
        <v>1939</v>
      </c>
      <c r="R62" s="47" t="s">
        <v>14009</v>
      </c>
      <c r="T62" s="46"/>
      <c r="U62" s="46" t="s">
        <v>491</v>
      </c>
      <c r="V62" s="46"/>
    </row>
    <row r="63" spans="1:22" s="47" customFormat="1" ht="90" x14ac:dyDescent="0.25">
      <c r="A63" s="61">
        <v>43482</v>
      </c>
      <c r="B63" s="47" t="s">
        <v>328</v>
      </c>
      <c r="C63" s="46" t="s">
        <v>603</v>
      </c>
      <c r="D63" s="46" t="s">
        <v>649</v>
      </c>
      <c r="E63" s="46"/>
      <c r="F63" s="46" t="s">
        <v>14030</v>
      </c>
      <c r="G63" s="46" t="s">
        <v>9332</v>
      </c>
      <c r="H63" s="46" t="s">
        <v>10829</v>
      </c>
      <c r="I63" s="46" t="s">
        <v>14031</v>
      </c>
      <c r="J63" s="46" t="s">
        <v>8194</v>
      </c>
      <c r="K63" s="218" t="s">
        <v>14032</v>
      </c>
      <c r="L63" s="185">
        <v>2</v>
      </c>
      <c r="M63" s="91">
        <v>250000</v>
      </c>
      <c r="N63" s="91">
        <f>M63+25000+20000+50000</f>
        <v>345000</v>
      </c>
      <c r="O63" s="189" t="s">
        <v>6745</v>
      </c>
      <c r="P63" s="47" t="s">
        <v>14240</v>
      </c>
      <c r="Q63" s="47" t="s">
        <v>1939</v>
      </c>
      <c r="R63" s="47" t="s">
        <v>14241</v>
      </c>
      <c r="T63" s="46"/>
      <c r="U63" s="46" t="s">
        <v>12797</v>
      </c>
      <c r="V63" s="46"/>
    </row>
    <row r="64" spans="1:22" s="47" customFormat="1" ht="105" x14ac:dyDescent="0.25">
      <c r="A64" s="61">
        <v>43482</v>
      </c>
      <c r="B64" s="47" t="s">
        <v>5956</v>
      </c>
      <c r="C64" s="46" t="s">
        <v>3369</v>
      </c>
      <c r="D64" s="46" t="s">
        <v>8126</v>
      </c>
      <c r="E64" s="46"/>
      <c r="F64" s="46" t="s">
        <v>14033</v>
      </c>
      <c r="G64" s="46" t="s">
        <v>14034</v>
      </c>
      <c r="H64" s="46" t="s">
        <v>607</v>
      </c>
      <c r="I64" s="46" t="s">
        <v>3951</v>
      </c>
      <c r="J64" s="46" t="s">
        <v>3369</v>
      </c>
      <c r="K64" s="218" t="s">
        <v>14035</v>
      </c>
      <c r="L64" s="185">
        <v>4</v>
      </c>
      <c r="M64" s="91">
        <v>1500000</v>
      </c>
      <c r="N64" s="91">
        <f>M64+15000+750000+30000</f>
        <v>2295000</v>
      </c>
      <c r="O64" s="189" t="s">
        <v>10763</v>
      </c>
      <c r="P64" s="47" t="s">
        <v>14036</v>
      </c>
      <c r="Q64" s="47" t="s">
        <v>592</v>
      </c>
      <c r="R64" s="47" t="s">
        <v>14037</v>
      </c>
      <c r="T64" s="46"/>
      <c r="U64" s="46" t="s">
        <v>12797</v>
      </c>
      <c r="V64" s="46"/>
    </row>
    <row r="65" spans="1:22" s="47" customFormat="1" ht="75" x14ac:dyDescent="0.25">
      <c r="A65" s="61">
        <v>43482</v>
      </c>
      <c r="B65" s="47" t="s">
        <v>328</v>
      </c>
      <c r="C65" s="46" t="s">
        <v>603</v>
      </c>
      <c r="D65" s="46" t="s">
        <v>649</v>
      </c>
      <c r="E65" s="46"/>
      <c r="F65" s="46" t="s">
        <v>14038</v>
      </c>
      <c r="G65" s="46" t="s">
        <v>14039</v>
      </c>
      <c r="H65" s="46" t="s">
        <v>10831</v>
      </c>
      <c r="I65" s="46" t="s">
        <v>14040</v>
      </c>
      <c r="J65" s="46" t="s">
        <v>604</v>
      </c>
      <c r="K65" s="218" t="s">
        <v>14041</v>
      </c>
      <c r="L65" s="185">
        <v>9</v>
      </c>
      <c r="M65" s="91">
        <v>1700000</v>
      </c>
      <c r="N65" s="91">
        <f>M65+170000+850000</f>
        <v>2720000</v>
      </c>
      <c r="O65" s="189" t="s">
        <v>7124</v>
      </c>
      <c r="P65" s="47" t="s">
        <v>14242</v>
      </c>
      <c r="Q65" s="47" t="s">
        <v>592</v>
      </c>
      <c r="R65" s="47" t="s">
        <v>14042</v>
      </c>
      <c r="T65" s="46"/>
      <c r="U65" s="46" t="s">
        <v>12797</v>
      </c>
      <c r="V65" s="46"/>
    </row>
    <row r="66" spans="1:22" s="47" customFormat="1" ht="60" x14ac:dyDescent="0.25">
      <c r="A66" s="61">
        <v>43483</v>
      </c>
      <c r="B66" s="47" t="s">
        <v>13559</v>
      </c>
      <c r="C66" s="46" t="s">
        <v>608</v>
      </c>
      <c r="D66" s="46" t="s">
        <v>7337</v>
      </c>
      <c r="E66" s="46"/>
      <c r="F66" s="46" t="s">
        <v>14043</v>
      </c>
      <c r="G66" s="46" t="s">
        <v>14044</v>
      </c>
      <c r="H66" s="46" t="s">
        <v>607</v>
      </c>
      <c r="I66" s="46" t="s">
        <v>14045</v>
      </c>
      <c r="J66" s="46" t="s">
        <v>5402</v>
      </c>
      <c r="K66" s="218" t="s">
        <v>14046</v>
      </c>
      <c r="L66" s="185">
        <v>4</v>
      </c>
      <c r="M66" s="91">
        <v>240000</v>
      </c>
      <c r="N66" s="91">
        <v>480000</v>
      </c>
      <c r="O66" s="189" t="s">
        <v>10766</v>
      </c>
      <c r="P66" s="47" t="s">
        <v>14047</v>
      </c>
      <c r="Q66" s="47" t="s">
        <v>620</v>
      </c>
      <c r="R66" s="47" t="s">
        <v>14048</v>
      </c>
      <c r="S66" s="47" t="s">
        <v>13884</v>
      </c>
      <c r="T66" s="46"/>
      <c r="U66" s="46" t="s">
        <v>491</v>
      </c>
      <c r="V66" s="46"/>
    </row>
    <row r="67" spans="1:22" s="47" customFormat="1" ht="60" x14ac:dyDescent="0.25">
      <c r="A67" s="61">
        <v>43483</v>
      </c>
      <c r="B67" s="47" t="s">
        <v>569</v>
      </c>
      <c r="C67" s="46" t="s">
        <v>899</v>
      </c>
      <c r="D67" s="46" t="s">
        <v>11286</v>
      </c>
      <c r="E67" s="46"/>
      <c r="F67" s="46" t="s">
        <v>7831</v>
      </c>
      <c r="G67" s="46" t="s">
        <v>14049</v>
      </c>
      <c r="H67" s="46" t="s">
        <v>886</v>
      </c>
      <c r="I67" s="46" t="s">
        <v>5230</v>
      </c>
      <c r="J67" s="46" t="s">
        <v>899</v>
      </c>
      <c r="K67" s="218" t="s">
        <v>13704</v>
      </c>
      <c r="L67" s="185">
        <v>4</v>
      </c>
      <c r="M67" s="91">
        <v>2800000</v>
      </c>
      <c r="N67" s="91"/>
      <c r="O67" s="189" t="s">
        <v>2295</v>
      </c>
      <c r="P67" s="47" t="s">
        <v>14050</v>
      </c>
      <c r="Q67" s="47" t="s">
        <v>29</v>
      </c>
      <c r="R67" s="47" t="s">
        <v>14051</v>
      </c>
      <c r="T67" s="46"/>
      <c r="U67" s="46" t="s">
        <v>491</v>
      </c>
      <c r="V67" s="46"/>
    </row>
    <row r="68" spans="1:22" s="47" customFormat="1" ht="45" x14ac:dyDescent="0.25">
      <c r="A68" s="61">
        <v>43483</v>
      </c>
      <c r="B68" s="47" t="s">
        <v>328</v>
      </c>
      <c r="C68" s="46" t="s">
        <v>603</v>
      </c>
      <c r="D68" s="46" t="s">
        <v>748</v>
      </c>
      <c r="E68" s="46"/>
      <c r="F68" s="46" t="s">
        <v>14057</v>
      </c>
      <c r="G68" s="46" t="s">
        <v>2346</v>
      </c>
      <c r="H68" s="46" t="s">
        <v>607</v>
      </c>
      <c r="I68" s="46" t="s">
        <v>3918</v>
      </c>
      <c r="J68" s="46" t="s">
        <v>899</v>
      </c>
      <c r="K68" s="218" t="s">
        <v>14058</v>
      </c>
      <c r="L68" s="185">
        <v>1</v>
      </c>
      <c r="M68" s="91">
        <v>1500000</v>
      </c>
      <c r="N68" s="91">
        <f>M68+500000+500000+300000</f>
        <v>2800000</v>
      </c>
      <c r="O68" s="189" t="s">
        <v>7564</v>
      </c>
      <c r="P68" s="47" t="s">
        <v>14060</v>
      </c>
      <c r="Q68" s="47" t="s">
        <v>592</v>
      </c>
      <c r="R68" s="47" t="s">
        <v>14059</v>
      </c>
      <c r="T68" s="46"/>
      <c r="U68" s="46" t="s">
        <v>12797</v>
      </c>
      <c r="V68" s="46"/>
    </row>
    <row r="69" spans="1:22" s="47" customFormat="1" ht="135" x14ac:dyDescent="0.25">
      <c r="A69" s="61">
        <v>43483</v>
      </c>
      <c r="B69" s="47" t="s">
        <v>328</v>
      </c>
      <c r="C69" s="46" t="s">
        <v>603</v>
      </c>
      <c r="D69" s="46" t="s">
        <v>8941</v>
      </c>
      <c r="E69" s="46"/>
      <c r="F69" s="46" t="s">
        <v>14061</v>
      </c>
      <c r="G69" s="46" t="s">
        <v>465</v>
      </c>
      <c r="H69" s="46" t="s">
        <v>10831</v>
      </c>
      <c r="I69" s="46" t="s">
        <v>14062</v>
      </c>
      <c r="J69" s="46" t="s">
        <v>3368</v>
      </c>
      <c r="K69" s="218" t="s">
        <v>14063</v>
      </c>
      <c r="L69" s="185">
        <v>10</v>
      </c>
      <c r="M69" s="91">
        <v>130000</v>
      </c>
      <c r="N69" s="91">
        <f>M69+13000+65000</f>
        <v>208000</v>
      </c>
      <c r="O69" s="189" t="s">
        <v>10764</v>
      </c>
      <c r="P69" s="47" t="s">
        <v>14064</v>
      </c>
      <c r="Q69" s="47" t="s">
        <v>1939</v>
      </c>
      <c r="R69" s="47" t="s">
        <v>14065</v>
      </c>
      <c r="T69" s="46"/>
      <c r="U69" s="46" t="s">
        <v>12797</v>
      </c>
      <c r="V69" s="46"/>
    </row>
    <row r="70" spans="1:22" s="47" customFormat="1" ht="45" x14ac:dyDescent="0.25">
      <c r="A70" s="61">
        <v>43483</v>
      </c>
      <c r="B70" s="47" t="s">
        <v>5360</v>
      </c>
      <c r="C70" s="46" t="s">
        <v>899</v>
      </c>
      <c r="D70" s="46" t="s">
        <v>732</v>
      </c>
      <c r="E70" s="46"/>
      <c r="F70" s="46" t="s">
        <v>8053</v>
      </c>
      <c r="G70" s="46" t="s">
        <v>14066</v>
      </c>
      <c r="H70" s="46" t="s">
        <v>607</v>
      </c>
      <c r="I70" s="46" t="s">
        <v>14067</v>
      </c>
      <c r="J70" s="46" t="s">
        <v>899</v>
      </c>
      <c r="K70" s="218" t="s">
        <v>14068</v>
      </c>
      <c r="L70" s="185">
        <v>4</v>
      </c>
      <c r="M70" s="91">
        <v>550000</v>
      </c>
      <c r="N70" s="91">
        <f>M70+55000+275000+110000</f>
        <v>990000</v>
      </c>
      <c r="O70" s="189" t="s">
        <v>10766</v>
      </c>
      <c r="P70" s="47" t="s">
        <v>14069</v>
      </c>
      <c r="Q70" s="47" t="s">
        <v>592</v>
      </c>
      <c r="R70" s="47" t="s">
        <v>14070</v>
      </c>
      <c r="T70" s="46"/>
      <c r="U70" s="46" t="s">
        <v>12797</v>
      </c>
      <c r="V70" s="46"/>
    </row>
    <row r="71" spans="1:22" s="47" customFormat="1" ht="120" x14ac:dyDescent="0.25">
      <c r="A71" s="61">
        <v>43483</v>
      </c>
      <c r="B71" s="47" t="s">
        <v>328</v>
      </c>
      <c r="C71" s="46" t="s">
        <v>603</v>
      </c>
      <c r="D71" s="46" t="s">
        <v>649</v>
      </c>
      <c r="E71" s="46"/>
      <c r="F71" s="46" t="s">
        <v>12895</v>
      </c>
      <c r="G71" s="46" t="s">
        <v>15</v>
      </c>
      <c r="H71" s="46" t="s">
        <v>886</v>
      </c>
      <c r="I71" s="46" t="s">
        <v>7926</v>
      </c>
      <c r="J71" s="46" t="s">
        <v>899</v>
      </c>
      <c r="K71" s="218" t="s">
        <v>14071</v>
      </c>
      <c r="L71" s="185">
        <v>1</v>
      </c>
      <c r="M71" s="91">
        <v>2900000</v>
      </c>
      <c r="N71" s="91">
        <f>M71+290000+1300000+290000</f>
        <v>4780000</v>
      </c>
      <c r="O71" s="189" t="s">
        <v>2295</v>
      </c>
      <c r="P71" s="47" t="s">
        <v>14243</v>
      </c>
      <c r="Q71" s="47" t="s">
        <v>29</v>
      </c>
      <c r="R71" s="47" t="s">
        <v>14244</v>
      </c>
      <c r="T71" s="46"/>
      <c r="U71" s="46" t="s">
        <v>12797</v>
      </c>
      <c r="V71" s="46"/>
    </row>
    <row r="72" spans="1:22" s="47" customFormat="1" ht="90" x14ac:dyDescent="0.25">
      <c r="A72" s="61">
        <v>43483</v>
      </c>
      <c r="B72" s="47" t="s">
        <v>328</v>
      </c>
      <c r="C72" s="46" t="s">
        <v>603</v>
      </c>
      <c r="D72" s="46" t="s">
        <v>649</v>
      </c>
      <c r="E72" s="46"/>
      <c r="F72" s="46" t="s">
        <v>14072</v>
      </c>
      <c r="G72" s="46" t="s">
        <v>14073</v>
      </c>
      <c r="H72" s="46" t="s">
        <v>607</v>
      </c>
      <c r="I72" s="46" t="s">
        <v>12926</v>
      </c>
      <c r="J72" s="46" t="s">
        <v>14074</v>
      </c>
      <c r="K72" s="218" t="s">
        <v>14075</v>
      </c>
      <c r="L72" s="185">
        <v>10</v>
      </c>
      <c r="M72" s="91">
        <v>2226500</v>
      </c>
      <c r="N72" s="91">
        <f>M72+222650+1558550+445300</f>
        <v>4453000</v>
      </c>
      <c r="O72" s="189" t="s">
        <v>4533</v>
      </c>
      <c r="P72" s="47" t="s">
        <v>14245</v>
      </c>
      <c r="Q72" s="47" t="s">
        <v>1939</v>
      </c>
      <c r="R72" s="47" t="s">
        <v>14076</v>
      </c>
      <c r="T72" s="46"/>
      <c r="U72" s="46" t="s">
        <v>12797</v>
      </c>
      <c r="V72" s="46"/>
    </row>
    <row r="73" spans="1:22" s="47" customFormat="1" ht="45" x14ac:dyDescent="0.25">
      <c r="A73" s="61">
        <v>43486</v>
      </c>
      <c r="B73" s="47" t="s">
        <v>328</v>
      </c>
      <c r="C73" s="46" t="s">
        <v>603</v>
      </c>
      <c r="D73" s="46" t="s">
        <v>10705</v>
      </c>
      <c r="E73" s="46"/>
      <c r="F73" s="46" t="s">
        <v>14052</v>
      </c>
      <c r="G73" s="46" t="s">
        <v>14053</v>
      </c>
      <c r="H73" s="46" t="s">
        <v>607</v>
      </c>
      <c r="I73" s="46" t="s">
        <v>14054</v>
      </c>
      <c r="J73" s="46" t="s">
        <v>899</v>
      </c>
      <c r="K73" s="218" t="s">
        <v>14055</v>
      </c>
      <c r="L73" s="185">
        <v>10</v>
      </c>
      <c r="M73" s="91">
        <v>250000</v>
      </c>
      <c r="N73" s="91">
        <v>475000</v>
      </c>
      <c r="O73" s="189" t="s">
        <v>7124</v>
      </c>
      <c r="P73" s="47" t="s">
        <v>14246</v>
      </c>
      <c r="Q73" s="47" t="s">
        <v>592</v>
      </c>
      <c r="R73" s="47" t="s">
        <v>14056</v>
      </c>
      <c r="T73" s="46"/>
      <c r="U73" s="46" t="s">
        <v>491</v>
      </c>
      <c r="V73" s="46"/>
    </row>
    <row r="74" spans="1:22" s="47" customFormat="1" ht="90" x14ac:dyDescent="0.25">
      <c r="A74" s="61">
        <v>43486</v>
      </c>
      <c r="B74" s="47" t="s">
        <v>569</v>
      </c>
      <c r="C74" s="46" t="s">
        <v>899</v>
      </c>
      <c r="D74" s="46" t="s">
        <v>625</v>
      </c>
      <c r="E74" s="46"/>
      <c r="F74" s="46" t="s">
        <v>14077</v>
      </c>
      <c r="G74" s="46"/>
      <c r="H74" s="46" t="s">
        <v>809</v>
      </c>
      <c r="I74" s="46" t="s">
        <v>4064</v>
      </c>
      <c r="J74" s="46" t="s">
        <v>899</v>
      </c>
      <c r="K74" s="218" t="s">
        <v>14078</v>
      </c>
      <c r="L74" s="185"/>
      <c r="M74" s="91">
        <v>258000</v>
      </c>
      <c r="N74" s="91"/>
      <c r="O74" s="189" t="s">
        <v>10762</v>
      </c>
      <c r="P74" s="47" t="s">
        <v>14119</v>
      </c>
      <c r="Q74" s="47" t="s">
        <v>1612</v>
      </c>
      <c r="R74" s="47" t="s">
        <v>14120</v>
      </c>
      <c r="T74" s="46"/>
      <c r="U74" s="46" t="s">
        <v>491</v>
      </c>
      <c r="V74" s="46"/>
    </row>
    <row r="75" spans="1:22" s="47" customFormat="1" ht="90" x14ac:dyDescent="0.25">
      <c r="A75" s="61">
        <v>43487</v>
      </c>
      <c r="B75" s="47" t="s">
        <v>9240</v>
      </c>
      <c r="C75" s="46" t="s">
        <v>603</v>
      </c>
      <c r="D75" s="46" t="s">
        <v>7814</v>
      </c>
      <c r="E75" s="46"/>
      <c r="F75" s="46" t="s">
        <v>9051</v>
      </c>
      <c r="G75" s="46" t="s">
        <v>7911</v>
      </c>
      <c r="H75" s="46" t="s">
        <v>607</v>
      </c>
      <c r="I75" s="46" t="s">
        <v>14079</v>
      </c>
      <c r="J75" s="46" t="s">
        <v>3368</v>
      </c>
      <c r="K75" s="218" t="s">
        <v>14080</v>
      </c>
      <c r="L75" s="185">
        <v>6</v>
      </c>
      <c r="M75" s="91">
        <v>77000</v>
      </c>
      <c r="N75" s="91">
        <f>M75+7000+35000</f>
        <v>119000</v>
      </c>
      <c r="O75" s="189" t="s">
        <v>2295</v>
      </c>
      <c r="P75" s="47" t="s">
        <v>14247</v>
      </c>
      <c r="Q75" s="47" t="s">
        <v>29</v>
      </c>
      <c r="R75" s="47" t="s">
        <v>14248</v>
      </c>
      <c r="T75" s="46"/>
      <c r="U75" s="46" t="s">
        <v>12797</v>
      </c>
      <c r="V75" s="46"/>
    </row>
    <row r="76" spans="1:22" s="47" customFormat="1" ht="120" x14ac:dyDescent="0.25">
      <c r="A76" s="61">
        <v>43487</v>
      </c>
      <c r="B76" s="47" t="s">
        <v>328</v>
      </c>
      <c r="C76" s="46" t="s">
        <v>603</v>
      </c>
      <c r="D76" s="46" t="s">
        <v>10705</v>
      </c>
      <c r="E76" s="46"/>
      <c r="F76" s="46" t="s">
        <v>14081</v>
      </c>
      <c r="G76" s="46" t="s">
        <v>9461</v>
      </c>
      <c r="H76" s="46" t="s">
        <v>607</v>
      </c>
      <c r="I76" s="46" t="s">
        <v>4192</v>
      </c>
      <c r="J76" s="46" t="s">
        <v>3398</v>
      </c>
      <c r="K76" s="218" t="s">
        <v>14082</v>
      </c>
      <c r="L76" s="185">
        <v>1</v>
      </c>
      <c r="M76" s="91">
        <v>225000</v>
      </c>
      <c r="N76" s="91">
        <f>M76+22500+179000+45000</f>
        <v>471500</v>
      </c>
      <c r="O76" s="189" t="s">
        <v>4533</v>
      </c>
      <c r="P76" s="47" t="s">
        <v>14249</v>
      </c>
      <c r="Q76" s="47" t="s">
        <v>1939</v>
      </c>
      <c r="R76" s="47" t="s">
        <v>14083</v>
      </c>
      <c r="T76" s="46"/>
      <c r="U76" s="46" t="s">
        <v>12797</v>
      </c>
      <c r="V76" s="46"/>
    </row>
    <row r="77" spans="1:22" s="47" customFormat="1" ht="105" x14ac:dyDescent="0.25">
      <c r="A77" s="61">
        <v>43487</v>
      </c>
      <c r="B77" s="47" t="s">
        <v>250</v>
      </c>
      <c r="C77" s="46" t="s">
        <v>3856</v>
      </c>
      <c r="D77" s="46" t="s">
        <v>1006</v>
      </c>
      <c r="E77" s="46"/>
      <c r="F77" s="46" t="s">
        <v>14084</v>
      </c>
      <c r="G77" s="46" t="s">
        <v>8383</v>
      </c>
      <c r="H77" s="46" t="s">
        <v>607</v>
      </c>
      <c r="I77" s="46" t="s">
        <v>7593</v>
      </c>
      <c r="J77" s="46" t="s">
        <v>3426</v>
      </c>
      <c r="K77" s="218" t="s">
        <v>14085</v>
      </c>
      <c r="L77" s="185">
        <v>2</v>
      </c>
      <c r="M77" s="91">
        <v>743000</v>
      </c>
      <c r="N77" s="91">
        <f>M77+222900</f>
        <v>965900</v>
      </c>
      <c r="O77" s="189" t="s">
        <v>10766</v>
      </c>
      <c r="P77" s="47" t="s">
        <v>14250</v>
      </c>
      <c r="Q77" s="47" t="s">
        <v>592</v>
      </c>
      <c r="R77" s="47" t="s">
        <v>14086</v>
      </c>
      <c r="T77" s="46"/>
      <c r="U77" s="46" t="s">
        <v>12797</v>
      </c>
      <c r="V77" s="46"/>
    </row>
    <row r="78" spans="1:22" s="47" customFormat="1" ht="90" x14ac:dyDescent="0.25">
      <c r="A78" s="61">
        <v>43487</v>
      </c>
      <c r="B78" s="47" t="s">
        <v>250</v>
      </c>
      <c r="C78" s="46" t="s">
        <v>3856</v>
      </c>
      <c r="D78" s="46" t="s">
        <v>8730</v>
      </c>
      <c r="E78" s="46"/>
      <c r="F78" s="46" t="s">
        <v>14084</v>
      </c>
      <c r="G78" s="46" t="s">
        <v>8383</v>
      </c>
      <c r="H78" s="46" t="s">
        <v>10831</v>
      </c>
      <c r="I78" s="46" t="s">
        <v>14087</v>
      </c>
      <c r="J78" s="46" t="s">
        <v>3426</v>
      </c>
      <c r="K78" s="218" t="s">
        <v>14088</v>
      </c>
      <c r="L78" s="185">
        <v>6</v>
      </c>
      <c r="M78" s="91">
        <v>370000</v>
      </c>
      <c r="N78" s="91">
        <f>M78+111000</f>
        <v>481000</v>
      </c>
      <c r="O78" s="189" t="s">
        <v>10766</v>
      </c>
      <c r="P78" s="47" t="s">
        <v>14089</v>
      </c>
      <c r="Q78" s="47" t="s">
        <v>592</v>
      </c>
      <c r="R78" s="47" t="s">
        <v>14090</v>
      </c>
      <c r="T78" s="46"/>
      <c r="U78" s="46" t="s">
        <v>12797</v>
      </c>
      <c r="V78" s="46"/>
    </row>
    <row r="79" spans="1:22" s="47" customFormat="1" ht="30" x14ac:dyDescent="0.25">
      <c r="A79" s="61">
        <v>43488</v>
      </c>
      <c r="B79" s="47" t="s">
        <v>328</v>
      </c>
      <c r="C79" s="46" t="s">
        <v>603</v>
      </c>
      <c r="D79" s="46" t="s">
        <v>10705</v>
      </c>
      <c r="E79" s="46"/>
      <c r="F79" s="46" t="s">
        <v>14091</v>
      </c>
      <c r="G79" s="46" t="s">
        <v>14092</v>
      </c>
      <c r="H79" s="46" t="s">
        <v>607</v>
      </c>
      <c r="I79" s="46" t="s">
        <v>6787</v>
      </c>
      <c r="J79" s="46" t="s">
        <v>1555</v>
      </c>
      <c r="K79" s="218" t="s">
        <v>14093</v>
      </c>
      <c r="L79" s="185">
        <v>9</v>
      </c>
      <c r="M79" s="91">
        <v>950000</v>
      </c>
      <c r="N79" s="91">
        <v>1615000</v>
      </c>
      <c r="O79" s="189" t="s">
        <v>7124</v>
      </c>
      <c r="P79" s="47" t="s">
        <v>14094</v>
      </c>
      <c r="Q79" s="47" t="s">
        <v>1939</v>
      </c>
      <c r="R79" s="47" t="s">
        <v>14095</v>
      </c>
      <c r="T79" s="46"/>
      <c r="U79" s="46" t="s">
        <v>491</v>
      </c>
      <c r="V79" s="46"/>
    </row>
    <row r="80" spans="1:22" s="47" customFormat="1" ht="60" x14ac:dyDescent="0.25">
      <c r="A80" s="61">
        <v>43488</v>
      </c>
      <c r="B80" s="47" t="s">
        <v>9240</v>
      </c>
      <c r="C80" s="46" t="s">
        <v>603</v>
      </c>
      <c r="D80" s="46" t="s">
        <v>9241</v>
      </c>
      <c r="E80" s="46"/>
      <c r="F80" s="46" t="s">
        <v>14096</v>
      </c>
      <c r="G80" s="46" t="s">
        <v>14097</v>
      </c>
      <c r="H80" s="46" t="s">
        <v>607</v>
      </c>
      <c r="I80" s="46" t="s">
        <v>6730</v>
      </c>
      <c r="J80" s="46" t="s">
        <v>4031</v>
      </c>
      <c r="K80" s="218" t="s">
        <v>14098</v>
      </c>
      <c r="L80" s="185">
        <v>1</v>
      </c>
      <c r="M80" s="91">
        <v>607000</v>
      </c>
      <c r="N80" s="91">
        <v>1050000</v>
      </c>
      <c r="O80" s="189" t="s">
        <v>10766</v>
      </c>
      <c r="P80" s="47" t="s">
        <v>14099</v>
      </c>
      <c r="Q80" s="47" t="s">
        <v>1939</v>
      </c>
      <c r="R80" s="47" t="s">
        <v>14100</v>
      </c>
      <c r="T80" s="46"/>
      <c r="U80" s="46" t="s">
        <v>491</v>
      </c>
      <c r="V80" s="46"/>
    </row>
    <row r="81" spans="1:22" s="47" customFormat="1" ht="90" x14ac:dyDescent="0.25">
      <c r="A81" s="61">
        <v>43488</v>
      </c>
      <c r="B81" s="47" t="s">
        <v>643</v>
      </c>
      <c r="C81" s="46" t="s">
        <v>644</v>
      </c>
      <c r="D81" s="46" t="s">
        <v>645</v>
      </c>
      <c r="E81" s="46"/>
      <c r="F81" s="46" t="s">
        <v>11667</v>
      </c>
      <c r="G81" s="46" t="s">
        <v>14105</v>
      </c>
      <c r="H81" s="46" t="s">
        <v>10831</v>
      </c>
      <c r="I81" s="46" t="s">
        <v>11899</v>
      </c>
      <c r="J81" s="46" t="s">
        <v>644</v>
      </c>
      <c r="K81" s="218" t="s">
        <v>13207</v>
      </c>
      <c r="L81" s="185">
        <v>9</v>
      </c>
      <c r="M81" s="91">
        <v>286000</v>
      </c>
      <c r="N81" s="91">
        <f>M81+28600+143000+28600</f>
        <v>486200</v>
      </c>
      <c r="O81" s="189" t="s">
        <v>7124</v>
      </c>
      <c r="P81" s="47" t="s">
        <v>14106</v>
      </c>
      <c r="Q81" s="47" t="s">
        <v>1939</v>
      </c>
      <c r="R81" s="47" t="s">
        <v>14107</v>
      </c>
      <c r="T81" s="46"/>
      <c r="U81" s="46" t="s">
        <v>12797</v>
      </c>
      <c r="V81" s="46"/>
    </row>
    <row r="82" spans="1:22" s="47" customFormat="1" ht="45" x14ac:dyDescent="0.25">
      <c r="A82" s="61">
        <v>43488</v>
      </c>
      <c r="B82" s="47" t="s">
        <v>569</v>
      </c>
      <c r="C82" s="46" t="s">
        <v>899</v>
      </c>
      <c r="D82" s="46" t="s">
        <v>3505</v>
      </c>
      <c r="E82" s="46"/>
      <c r="F82" s="46" t="s">
        <v>14108</v>
      </c>
      <c r="G82" s="46" t="s">
        <v>14109</v>
      </c>
      <c r="H82" s="46" t="s">
        <v>607</v>
      </c>
      <c r="I82" s="46" t="s">
        <v>3918</v>
      </c>
      <c r="J82" s="46" t="s">
        <v>899</v>
      </c>
      <c r="K82" s="218" t="s">
        <v>14058</v>
      </c>
      <c r="L82" s="185">
        <v>4</v>
      </c>
      <c r="M82" s="91">
        <v>1850000</v>
      </c>
      <c r="N82" s="91">
        <f>M82+185000+647500+300000</f>
        <v>2982500</v>
      </c>
      <c r="O82" s="189" t="s">
        <v>7564</v>
      </c>
      <c r="P82" s="47" t="s">
        <v>14110</v>
      </c>
      <c r="Q82" s="47" t="s">
        <v>592</v>
      </c>
      <c r="R82" s="47" t="s">
        <v>11010</v>
      </c>
      <c r="T82" s="46"/>
      <c r="U82" s="46" t="s">
        <v>12797</v>
      </c>
      <c r="V82" s="46"/>
    </row>
    <row r="83" spans="1:22" s="47" customFormat="1" ht="60" x14ac:dyDescent="0.25">
      <c r="A83" s="61">
        <v>43488</v>
      </c>
      <c r="B83" s="47" t="s">
        <v>5956</v>
      </c>
      <c r="C83" s="46" t="s">
        <v>3369</v>
      </c>
      <c r="D83" s="46" t="s">
        <v>8040</v>
      </c>
      <c r="E83" s="46"/>
      <c r="F83" s="46" t="s">
        <v>14111</v>
      </c>
      <c r="G83" s="46" t="s">
        <v>14112</v>
      </c>
      <c r="H83" s="46" t="s">
        <v>905</v>
      </c>
      <c r="I83" s="46" t="s">
        <v>14113</v>
      </c>
      <c r="J83" s="46" t="s">
        <v>14114</v>
      </c>
      <c r="K83" s="218" t="s">
        <v>14115</v>
      </c>
      <c r="L83" s="185">
        <v>5</v>
      </c>
      <c r="M83" s="91">
        <v>185000</v>
      </c>
      <c r="N83" s="91">
        <f>M83+18500+9250</f>
        <v>212750</v>
      </c>
      <c r="O83" s="189" t="s">
        <v>10766</v>
      </c>
      <c r="P83" s="47" t="s">
        <v>14116</v>
      </c>
      <c r="Q83" s="47" t="s">
        <v>29</v>
      </c>
      <c r="R83" s="47" t="s">
        <v>14117</v>
      </c>
      <c r="S83" s="47" t="s">
        <v>14118</v>
      </c>
      <c r="T83" s="46"/>
      <c r="U83" s="46" t="s">
        <v>12797</v>
      </c>
      <c r="V83" s="46"/>
    </row>
    <row r="84" spans="1:22" s="47" customFormat="1" ht="60" x14ac:dyDescent="0.25">
      <c r="A84" s="61">
        <v>43489</v>
      </c>
      <c r="B84" s="47" t="s">
        <v>643</v>
      </c>
      <c r="C84" s="46" t="s">
        <v>644</v>
      </c>
      <c r="D84" s="46" t="s">
        <v>3132</v>
      </c>
      <c r="E84" s="46"/>
      <c r="F84" s="46" t="s">
        <v>14101</v>
      </c>
      <c r="G84" s="46" t="s">
        <v>14102</v>
      </c>
      <c r="H84" s="46" t="s">
        <v>10832</v>
      </c>
      <c r="I84" s="46" t="s">
        <v>8636</v>
      </c>
      <c r="J84" s="46" t="s">
        <v>644</v>
      </c>
      <c r="K84" s="218" t="s">
        <v>13585</v>
      </c>
      <c r="L84" s="185">
        <v>4</v>
      </c>
      <c r="M84" s="91">
        <v>2121000</v>
      </c>
      <c r="N84" s="91">
        <v>3713640</v>
      </c>
      <c r="O84" s="189" t="s">
        <v>560</v>
      </c>
      <c r="P84" s="47" t="s">
        <v>14103</v>
      </c>
      <c r="Q84" s="47" t="s">
        <v>1939</v>
      </c>
      <c r="R84" s="47" t="s">
        <v>14104</v>
      </c>
      <c r="T84" s="46"/>
      <c r="U84" s="46" t="s">
        <v>491</v>
      </c>
      <c r="V84" s="46"/>
    </row>
    <row r="85" spans="1:22" s="47" customFormat="1" ht="210" x14ac:dyDescent="0.25">
      <c r="A85" s="61">
        <v>43489</v>
      </c>
      <c r="B85" s="47" t="s">
        <v>9240</v>
      </c>
      <c r="C85" s="46" t="s">
        <v>603</v>
      </c>
      <c r="D85" s="46" t="s">
        <v>9241</v>
      </c>
      <c r="E85" s="46"/>
      <c r="F85" s="46" t="s">
        <v>14169</v>
      </c>
      <c r="G85" s="46" t="s">
        <v>14170</v>
      </c>
      <c r="H85" s="46" t="s">
        <v>905</v>
      </c>
      <c r="I85" s="46" t="s">
        <v>14171</v>
      </c>
      <c r="J85" s="46" t="s">
        <v>603</v>
      </c>
      <c r="K85" s="218" t="s">
        <v>14172</v>
      </c>
      <c r="L85" s="185">
        <v>6</v>
      </c>
      <c r="M85" s="91">
        <v>187000</v>
      </c>
      <c r="N85" s="91">
        <f>M85+18700+12000+18700</f>
        <v>236400</v>
      </c>
      <c r="O85" s="189" t="s">
        <v>10766</v>
      </c>
      <c r="P85" s="47" t="s">
        <v>14251</v>
      </c>
      <c r="Q85" s="47" t="s">
        <v>1612</v>
      </c>
      <c r="R85" s="47" t="s">
        <v>14442</v>
      </c>
      <c r="T85" s="46"/>
      <c r="U85" s="46" t="s">
        <v>491</v>
      </c>
      <c r="V85" s="46"/>
    </row>
    <row r="86" spans="1:22" s="47" customFormat="1" ht="60" x14ac:dyDescent="0.25">
      <c r="A86" s="61">
        <v>43490</v>
      </c>
      <c r="B86" s="47" t="s">
        <v>9240</v>
      </c>
      <c r="C86" s="46" t="s">
        <v>603</v>
      </c>
      <c r="D86" s="46" t="s">
        <v>7814</v>
      </c>
      <c r="E86" s="46"/>
      <c r="F86" s="46" t="s">
        <v>240</v>
      </c>
      <c r="G86" s="46" t="s">
        <v>14121</v>
      </c>
      <c r="H86" s="46" t="s">
        <v>607</v>
      </c>
      <c r="I86" s="46" t="s">
        <v>13262</v>
      </c>
      <c r="J86" s="46" t="s">
        <v>1555</v>
      </c>
      <c r="K86" s="218" t="s">
        <v>13263</v>
      </c>
      <c r="L86" s="185" t="s">
        <v>14122</v>
      </c>
      <c r="M86" s="91">
        <v>195500</v>
      </c>
      <c r="N86" s="91">
        <v>400000</v>
      </c>
      <c r="O86" s="189" t="s">
        <v>10762</v>
      </c>
      <c r="P86" s="47" t="s">
        <v>14123</v>
      </c>
      <c r="Q86" s="47" t="s">
        <v>29</v>
      </c>
      <c r="R86" s="47" t="s">
        <v>14124</v>
      </c>
      <c r="T86" s="46"/>
      <c r="U86" s="46" t="s">
        <v>491</v>
      </c>
      <c r="V86" s="46"/>
    </row>
    <row r="87" spans="1:22" s="47" customFormat="1" ht="135" x14ac:dyDescent="0.25">
      <c r="A87" s="61">
        <v>43490</v>
      </c>
      <c r="B87" s="47" t="s">
        <v>9240</v>
      </c>
      <c r="C87" s="46" t="s">
        <v>603</v>
      </c>
      <c r="D87" s="46" t="s">
        <v>9241</v>
      </c>
      <c r="E87" s="46"/>
      <c r="F87" s="46" t="s">
        <v>14173</v>
      </c>
      <c r="G87" s="46" t="s">
        <v>9461</v>
      </c>
      <c r="H87" s="46" t="s">
        <v>10829</v>
      </c>
      <c r="I87" s="46" t="s">
        <v>11599</v>
      </c>
      <c r="J87" s="46" t="s">
        <v>603</v>
      </c>
      <c r="K87" s="218" t="s">
        <v>14175</v>
      </c>
      <c r="L87" s="185">
        <v>9</v>
      </c>
      <c r="M87" s="91">
        <v>83000</v>
      </c>
      <c r="N87" s="91">
        <f>M87+8300</f>
        <v>91300</v>
      </c>
      <c r="O87" s="189" t="s">
        <v>10763</v>
      </c>
      <c r="P87" s="47" t="s">
        <v>14174</v>
      </c>
      <c r="Q87" s="47" t="s">
        <v>620</v>
      </c>
      <c r="R87" s="47" t="s">
        <v>14252</v>
      </c>
      <c r="S87" s="47" t="s">
        <v>14253</v>
      </c>
      <c r="T87" s="46"/>
      <c r="U87" s="46" t="s">
        <v>12797</v>
      </c>
      <c r="V87" s="46"/>
    </row>
    <row r="88" spans="1:22" s="47" customFormat="1" ht="45" x14ac:dyDescent="0.25">
      <c r="A88" s="61">
        <v>43490</v>
      </c>
      <c r="B88" s="47" t="s">
        <v>328</v>
      </c>
      <c r="C88" s="46" t="s">
        <v>603</v>
      </c>
      <c r="D88" s="46" t="s">
        <v>649</v>
      </c>
      <c r="E88" s="46"/>
      <c r="F88" s="46" t="s">
        <v>453</v>
      </c>
      <c r="G88" s="46" t="s">
        <v>14176</v>
      </c>
      <c r="H88" s="46" t="s">
        <v>607</v>
      </c>
      <c r="I88" s="46" t="s">
        <v>2054</v>
      </c>
      <c r="J88" s="46" t="s">
        <v>899</v>
      </c>
      <c r="K88" s="218" t="s">
        <v>14012</v>
      </c>
      <c r="L88" s="185">
        <v>1</v>
      </c>
      <c r="M88" s="91">
        <v>912000</v>
      </c>
      <c r="N88" s="91">
        <f>M88+91200+456000+182400</f>
        <v>1641600</v>
      </c>
      <c r="O88" s="189" t="s">
        <v>7564</v>
      </c>
      <c r="P88" s="47" t="s">
        <v>14254</v>
      </c>
      <c r="Q88" s="47" t="s">
        <v>592</v>
      </c>
      <c r="R88" s="47" t="s">
        <v>14255</v>
      </c>
      <c r="T88" s="46"/>
      <c r="U88" s="46" t="s">
        <v>12797</v>
      </c>
      <c r="V88" s="46"/>
    </row>
    <row r="89" spans="1:22" s="47" customFormat="1" ht="150" x14ac:dyDescent="0.25">
      <c r="A89" s="61">
        <v>43490</v>
      </c>
      <c r="B89" s="47" t="s">
        <v>643</v>
      </c>
      <c r="C89" s="46" t="s">
        <v>644</v>
      </c>
      <c r="D89" s="46" t="s">
        <v>645</v>
      </c>
      <c r="E89" s="46"/>
      <c r="F89" s="46" t="s">
        <v>14125</v>
      </c>
      <c r="G89" s="46" t="s">
        <v>12361</v>
      </c>
      <c r="H89" s="46" t="s">
        <v>607</v>
      </c>
      <c r="I89" s="46" t="s">
        <v>14126</v>
      </c>
      <c r="J89" s="46" t="s">
        <v>644</v>
      </c>
      <c r="K89" s="218" t="s">
        <v>14127</v>
      </c>
      <c r="L89" s="185">
        <v>10</v>
      </c>
      <c r="M89" s="91">
        <v>2300000</v>
      </c>
      <c r="N89" s="91">
        <v>3400000</v>
      </c>
      <c r="O89" s="189" t="s">
        <v>560</v>
      </c>
      <c r="P89" s="47" t="s">
        <v>14128</v>
      </c>
      <c r="Q89" s="47" t="s">
        <v>1612</v>
      </c>
      <c r="R89" s="47" t="s">
        <v>14129</v>
      </c>
      <c r="T89" s="46"/>
      <c r="U89" s="46" t="s">
        <v>491</v>
      </c>
      <c r="V89" s="46"/>
    </row>
    <row r="90" spans="1:22" s="47" customFormat="1" ht="210" x14ac:dyDescent="0.25">
      <c r="A90" s="61">
        <v>43493</v>
      </c>
      <c r="B90" s="47" t="s">
        <v>328</v>
      </c>
      <c r="C90" s="46" t="s">
        <v>603</v>
      </c>
      <c r="D90" s="46" t="s">
        <v>10705</v>
      </c>
      <c r="E90" s="46"/>
      <c r="F90" s="46" t="s">
        <v>14177</v>
      </c>
      <c r="G90" s="46" t="s">
        <v>10007</v>
      </c>
      <c r="H90" s="46" t="s">
        <v>886</v>
      </c>
      <c r="I90" s="46" t="s">
        <v>10777</v>
      </c>
      <c r="J90" s="46" t="s">
        <v>603</v>
      </c>
      <c r="K90" s="218" t="s">
        <v>14178</v>
      </c>
      <c r="L90" s="185">
        <v>6</v>
      </c>
      <c r="M90" s="91">
        <v>1000000</v>
      </c>
      <c r="N90" s="91">
        <v>1000000</v>
      </c>
      <c r="O90" s="189" t="s">
        <v>2295</v>
      </c>
      <c r="P90" s="47" t="s">
        <v>14256</v>
      </c>
      <c r="Q90" s="47" t="s">
        <v>1939</v>
      </c>
      <c r="R90" s="47" t="s">
        <v>14683</v>
      </c>
      <c r="T90" s="46"/>
      <c r="U90" s="46" t="s">
        <v>12797</v>
      </c>
      <c r="V90" s="46"/>
    </row>
    <row r="91" spans="1:22" s="47" customFormat="1" ht="75" x14ac:dyDescent="0.25">
      <c r="A91" s="61">
        <v>43128</v>
      </c>
      <c r="B91" s="47" t="s">
        <v>328</v>
      </c>
      <c r="C91" s="46" t="s">
        <v>603</v>
      </c>
      <c r="D91" s="46" t="s">
        <v>10705</v>
      </c>
      <c r="E91" s="46"/>
      <c r="F91" s="46" t="s">
        <v>14179</v>
      </c>
      <c r="G91" s="46" t="s">
        <v>14180</v>
      </c>
      <c r="H91" s="46" t="s">
        <v>5321</v>
      </c>
      <c r="I91" s="46" t="s">
        <v>14181</v>
      </c>
      <c r="J91" s="46" t="s">
        <v>3523</v>
      </c>
      <c r="K91" s="218" t="s">
        <v>14182</v>
      </c>
      <c r="L91" s="185">
        <v>5</v>
      </c>
      <c r="M91" s="91">
        <v>735000</v>
      </c>
      <c r="N91" s="91">
        <f>M91+73500+183750+73500</f>
        <v>1065750</v>
      </c>
      <c r="O91" s="189" t="s">
        <v>10763</v>
      </c>
      <c r="P91" s="47" t="s">
        <v>14183</v>
      </c>
      <c r="Q91" s="47" t="s">
        <v>592</v>
      </c>
      <c r="R91" s="47" t="s">
        <v>14257</v>
      </c>
      <c r="T91" s="46"/>
      <c r="U91" s="46" t="s">
        <v>12797</v>
      </c>
      <c r="V91" s="46"/>
    </row>
    <row r="92" spans="1:22" s="47" customFormat="1" ht="75" x14ac:dyDescent="0.25">
      <c r="A92" s="61">
        <v>43494</v>
      </c>
      <c r="B92" s="47" t="s">
        <v>5176</v>
      </c>
      <c r="C92" s="46" t="s">
        <v>959</v>
      </c>
      <c r="D92" s="46" t="s">
        <v>732</v>
      </c>
      <c r="E92" s="46"/>
      <c r="F92" s="46" t="s">
        <v>6688</v>
      </c>
      <c r="G92" s="46" t="s">
        <v>10967</v>
      </c>
      <c r="H92" s="46" t="s">
        <v>809</v>
      </c>
      <c r="I92" s="46" t="s">
        <v>14130</v>
      </c>
      <c r="J92" s="46" t="s">
        <v>4684</v>
      </c>
      <c r="K92" s="218" t="s">
        <v>14131</v>
      </c>
      <c r="L92" s="185"/>
      <c r="M92" s="91">
        <v>505000</v>
      </c>
      <c r="N92" s="91">
        <v>555000</v>
      </c>
      <c r="O92" s="189" t="s">
        <v>10762</v>
      </c>
      <c r="P92" s="47" t="s">
        <v>14132</v>
      </c>
      <c r="Q92" s="47" t="s">
        <v>29</v>
      </c>
      <c r="R92" s="47" t="s">
        <v>14133</v>
      </c>
      <c r="T92" s="46"/>
      <c r="U92" s="46" t="s">
        <v>491</v>
      </c>
      <c r="V92" s="46"/>
    </row>
    <row r="93" spans="1:22" s="47" customFormat="1" ht="45" x14ac:dyDescent="0.25">
      <c r="A93" s="61">
        <v>43494</v>
      </c>
      <c r="B93" s="47" t="s">
        <v>328</v>
      </c>
      <c r="C93" s="46" t="s">
        <v>603</v>
      </c>
      <c r="D93" s="46" t="s">
        <v>10338</v>
      </c>
      <c r="E93" s="46"/>
      <c r="F93" s="46" t="s">
        <v>14134</v>
      </c>
      <c r="G93" s="46"/>
      <c r="H93" s="46" t="s">
        <v>10831</v>
      </c>
      <c r="I93" s="46" t="s">
        <v>7088</v>
      </c>
      <c r="J93" s="46" t="s">
        <v>899</v>
      </c>
      <c r="K93" s="218" t="s">
        <v>14135</v>
      </c>
      <c r="L93" s="185">
        <v>4</v>
      </c>
      <c r="M93" s="91">
        <v>1750000</v>
      </c>
      <c r="N93" s="91">
        <v>3700000</v>
      </c>
      <c r="O93" s="189" t="s">
        <v>7564</v>
      </c>
      <c r="P93" s="47" t="s">
        <v>14136</v>
      </c>
      <c r="Q93" s="47" t="s">
        <v>1939</v>
      </c>
      <c r="R93" s="47" t="s">
        <v>14137</v>
      </c>
      <c r="T93" s="46"/>
      <c r="U93" s="46" t="s">
        <v>491</v>
      </c>
      <c r="V93" s="46"/>
    </row>
    <row r="94" spans="1:22" s="47" customFormat="1" ht="166.5" customHeight="1" x14ac:dyDescent="0.25">
      <c r="A94" s="61">
        <v>43495</v>
      </c>
      <c r="B94" s="47" t="s">
        <v>5176</v>
      </c>
      <c r="C94" s="46" t="s">
        <v>604</v>
      </c>
      <c r="D94" s="46" t="s">
        <v>595</v>
      </c>
      <c r="E94" s="46"/>
      <c r="F94" s="46" t="s">
        <v>14138</v>
      </c>
      <c r="G94" s="46"/>
      <c r="H94" s="46" t="s">
        <v>607</v>
      </c>
      <c r="I94" s="46" t="s">
        <v>1487</v>
      </c>
      <c r="J94" s="46" t="s">
        <v>604</v>
      </c>
      <c r="K94" s="218"/>
      <c r="L94" s="185"/>
      <c r="M94" s="91"/>
      <c r="N94" s="91"/>
      <c r="O94" s="189" t="s">
        <v>10763</v>
      </c>
      <c r="P94" s="47" t="s">
        <v>14258</v>
      </c>
      <c r="Q94" s="47" t="s">
        <v>29</v>
      </c>
      <c r="R94" s="47" t="s">
        <v>14139</v>
      </c>
      <c r="T94" s="46"/>
      <c r="U94" s="46" t="s">
        <v>491</v>
      </c>
      <c r="V94" s="46"/>
    </row>
    <row r="95" spans="1:22" s="47" customFormat="1" ht="135" x14ac:dyDescent="0.25">
      <c r="A95" s="61">
        <v>43495</v>
      </c>
      <c r="B95" s="47" t="s">
        <v>12367</v>
      </c>
      <c r="C95" s="46" t="s">
        <v>5610</v>
      </c>
      <c r="D95" s="46" t="s">
        <v>7814</v>
      </c>
      <c r="E95" s="46"/>
      <c r="F95" s="46" t="s">
        <v>14140</v>
      </c>
      <c r="G95" s="46" t="s">
        <v>7855</v>
      </c>
      <c r="H95" s="46" t="s">
        <v>607</v>
      </c>
      <c r="I95" s="46" t="s">
        <v>12745</v>
      </c>
      <c r="J95" s="46" t="s">
        <v>644</v>
      </c>
      <c r="K95" s="218" t="s">
        <v>14141</v>
      </c>
      <c r="L95" s="185">
        <v>3</v>
      </c>
      <c r="M95" s="91">
        <v>635646</v>
      </c>
      <c r="N95" s="91">
        <v>780000</v>
      </c>
      <c r="O95" s="189" t="s">
        <v>10766</v>
      </c>
      <c r="P95" s="47" t="s">
        <v>14142</v>
      </c>
      <c r="Q95" s="47" t="s">
        <v>1612</v>
      </c>
      <c r="R95" s="47" t="s">
        <v>14316</v>
      </c>
      <c r="T95" s="46"/>
      <c r="U95" s="46" t="s">
        <v>491</v>
      </c>
      <c r="V95" s="46"/>
    </row>
    <row r="96" spans="1:22" s="47" customFormat="1" ht="120" x14ac:dyDescent="0.25">
      <c r="A96" s="61">
        <v>43495</v>
      </c>
      <c r="B96" s="47" t="s">
        <v>328</v>
      </c>
      <c r="C96" s="46" t="s">
        <v>603</v>
      </c>
      <c r="D96" s="46" t="s">
        <v>5701</v>
      </c>
      <c r="E96" s="46"/>
      <c r="F96" s="46" t="s">
        <v>14143</v>
      </c>
      <c r="G96" s="46" t="s">
        <v>9083</v>
      </c>
      <c r="H96" s="46" t="s">
        <v>607</v>
      </c>
      <c r="I96" s="46" t="s">
        <v>11589</v>
      </c>
      <c r="J96" s="46" t="s">
        <v>3751</v>
      </c>
      <c r="K96" s="218" t="s">
        <v>14144</v>
      </c>
      <c r="L96" s="185">
        <v>10</v>
      </c>
      <c r="M96" s="91">
        <v>322888</v>
      </c>
      <c r="N96" s="91">
        <v>548910</v>
      </c>
      <c r="O96" s="189" t="s">
        <v>4533</v>
      </c>
      <c r="P96" s="47" t="s">
        <v>14259</v>
      </c>
      <c r="Q96" s="47" t="s">
        <v>620</v>
      </c>
      <c r="R96" s="47" t="s">
        <v>14294</v>
      </c>
      <c r="T96" s="46"/>
      <c r="U96" s="46" t="s">
        <v>491</v>
      </c>
      <c r="V96" s="46"/>
    </row>
    <row r="97" spans="1:22" s="47" customFormat="1" ht="90" x14ac:dyDescent="0.25">
      <c r="A97" s="61">
        <v>43496</v>
      </c>
      <c r="B97" s="47" t="s">
        <v>643</v>
      </c>
      <c r="C97" s="46" t="s">
        <v>644</v>
      </c>
      <c r="D97" s="46" t="s">
        <v>625</v>
      </c>
      <c r="E97" s="46"/>
      <c r="F97" s="46" t="s">
        <v>14145</v>
      </c>
      <c r="G97" s="46" t="s">
        <v>14146</v>
      </c>
      <c r="H97" s="46" t="s">
        <v>607</v>
      </c>
      <c r="I97" s="46" t="s">
        <v>7022</v>
      </c>
      <c r="J97" s="46" t="s">
        <v>644</v>
      </c>
      <c r="K97" s="218" t="s">
        <v>14147</v>
      </c>
      <c r="L97" s="185">
        <v>3</v>
      </c>
      <c r="M97" s="91">
        <v>1700000</v>
      </c>
      <c r="N97" s="91">
        <v>3500000</v>
      </c>
      <c r="O97" s="189" t="s">
        <v>10766</v>
      </c>
      <c r="P97" s="47" t="s">
        <v>14260</v>
      </c>
      <c r="Q97" s="47" t="s">
        <v>620</v>
      </c>
      <c r="R97" s="47" t="s">
        <v>14148</v>
      </c>
      <c r="T97" s="46"/>
      <c r="U97" s="46" t="s">
        <v>491</v>
      </c>
      <c r="V97" s="46"/>
    </row>
    <row r="98" spans="1:22" s="47" customFormat="1" ht="75" x14ac:dyDescent="0.25">
      <c r="A98" s="61">
        <v>43496</v>
      </c>
      <c r="B98" s="47" t="s">
        <v>328</v>
      </c>
      <c r="C98" s="46" t="s">
        <v>603</v>
      </c>
      <c r="D98" s="46" t="s">
        <v>5701</v>
      </c>
      <c r="E98" s="46"/>
      <c r="F98" s="46" t="s">
        <v>11667</v>
      </c>
      <c r="G98" s="46" t="s">
        <v>7814</v>
      </c>
      <c r="H98" s="46" t="s">
        <v>607</v>
      </c>
      <c r="I98" s="46" t="s">
        <v>6836</v>
      </c>
      <c r="J98" s="46" t="s">
        <v>3523</v>
      </c>
      <c r="K98" s="218" t="s">
        <v>14149</v>
      </c>
      <c r="L98" s="185">
        <v>10</v>
      </c>
      <c r="M98" s="91">
        <v>425000</v>
      </c>
      <c r="N98" s="91">
        <v>875000</v>
      </c>
      <c r="O98" s="189" t="s">
        <v>4533</v>
      </c>
      <c r="P98" s="47" t="s">
        <v>14150</v>
      </c>
      <c r="Q98" s="47" t="s">
        <v>1939</v>
      </c>
      <c r="R98" s="47" t="s">
        <v>14261</v>
      </c>
      <c r="T98" s="46"/>
      <c r="U98" s="46" t="s">
        <v>491</v>
      </c>
      <c r="V98" s="46"/>
    </row>
    <row r="99" spans="1:22" s="47" customFormat="1" ht="75" x14ac:dyDescent="0.25">
      <c r="A99" s="61">
        <v>43496</v>
      </c>
      <c r="B99" s="47" t="s">
        <v>328</v>
      </c>
      <c r="C99" s="46" t="s">
        <v>603</v>
      </c>
      <c r="D99" s="46" t="s">
        <v>649</v>
      </c>
      <c r="E99" s="46"/>
      <c r="F99" s="46" t="s">
        <v>14152</v>
      </c>
      <c r="G99" s="46" t="s">
        <v>14153</v>
      </c>
      <c r="H99" s="46" t="s">
        <v>607</v>
      </c>
      <c r="I99" s="46" t="s">
        <v>14154</v>
      </c>
      <c r="J99" s="46" t="s">
        <v>604</v>
      </c>
      <c r="K99" s="218" t="s">
        <v>14155</v>
      </c>
      <c r="L99" s="185">
        <v>5</v>
      </c>
      <c r="M99" s="91">
        <v>280000</v>
      </c>
      <c r="N99" s="91">
        <v>480000</v>
      </c>
      <c r="O99" s="189" t="s">
        <v>4533</v>
      </c>
      <c r="P99" s="47" t="s">
        <v>14156</v>
      </c>
      <c r="Q99" s="47" t="s">
        <v>1939</v>
      </c>
      <c r="R99" s="47" t="s">
        <v>14157</v>
      </c>
      <c r="T99" s="46"/>
      <c r="U99" s="46" t="s">
        <v>491</v>
      </c>
      <c r="V99" s="46"/>
    </row>
    <row r="100" spans="1:22" s="47" customFormat="1" ht="195" x14ac:dyDescent="0.25">
      <c r="A100" s="61">
        <v>43496</v>
      </c>
      <c r="B100" s="47" t="s">
        <v>328</v>
      </c>
      <c r="C100" s="46" t="s">
        <v>603</v>
      </c>
      <c r="D100" s="46" t="s">
        <v>649</v>
      </c>
      <c r="E100" s="46"/>
      <c r="F100" s="46" t="s">
        <v>14184</v>
      </c>
      <c r="G100" s="46"/>
      <c r="H100" s="46" t="s">
        <v>607</v>
      </c>
      <c r="I100" s="46" t="s">
        <v>9769</v>
      </c>
      <c r="J100" s="46" t="s">
        <v>899</v>
      </c>
      <c r="K100" s="218" t="s">
        <v>14185</v>
      </c>
      <c r="L100" s="185">
        <v>4</v>
      </c>
      <c r="M100" s="91">
        <v>394000</v>
      </c>
      <c r="N100" s="91">
        <f>M100+71300+197000+72800</f>
        <v>735100</v>
      </c>
      <c r="O100" s="189" t="s">
        <v>4533</v>
      </c>
      <c r="P100" s="47" t="s">
        <v>14186</v>
      </c>
      <c r="Q100" s="47" t="s">
        <v>1612</v>
      </c>
      <c r="R100" s="47" t="s">
        <v>14443</v>
      </c>
      <c r="S100" s="47" t="s">
        <v>14444</v>
      </c>
      <c r="T100" s="46"/>
      <c r="U100" s="46" t="s">
        <v>12797</v>
      </c>
      <c r="V100" s="46"/>
    </row>
    <row r="101" spans="1:22" s="47" customFormat="1" ht="105" x14ac:dyDescent="0.25">
      <c r="A101" s="61">
        <v>43497</v>
      </c>
      <c r="B101" s="47" t="s">
        <v>569</v>
      </c>
      <c r="C101" s="46" t="s">
        <v>899</v>
      </c>
      <c r="D101" s="46" t="s">
        <v>625</v>
      </c>
      <c r="E101" s="46"/>
      <c r="F101" s="46" t="s">
        <v>14158</v>
      </c>
      <c r="G101" s="46" t="s">
        <v>14159</v>
      </c>
      <c r="H101" s="46" t="s">
        <v>607</v>
      </c>
      <c r="I101" s="46" t="s">
        <v>14160</v>
      </c>
      <c r="J101" s="46" t="s">
        <v>899</v>
      </c>
      <c r="K101" s="218" t="s">
        <v>14161</v>
      </c>
      <c r="L101" s="185"/>
      <c r="M101" s="91">
        <v>501000</v>
      </c>
      <c r="N101" s="91">
        <v>701100</v>
      </c>
      <c r="O101" s="189" t="s">
        <v>10766</v>
      </c>
      <c r="P101" s="47" t="s">
        <v>14162</v>
      </c>
      <c r="Q101" s="47" t="s">
        <v>1612</v>
      </c>
      <c r="R101" s="47" t="s">
        <v>14262</v>
      </c>
      <c r="T101" s="46"/>
      <c r="U101" s="46" t="s">
        <v>491</v>
      </c>
      <c r="V101" s="46"/>
    </row>
    <row r="102" spans="1:22" s="47" customFormat="1" ht="60" x14ac:dyDescent="0.25">
      <c r="A102" s="61">
        <v>43497</v>
      </c>
      <c r="B102" s="47" t="s">
        <v>5956</v>
      </c>
      <c r="C102" s="46" t="s">
        <v>3369</v>
      </c>
      <c r="D102" s="46" t="s">
        <v>8126</v>
      </c>
      <c r="E102" s="46"/>
      <c r="F102" s="46" t="s">
        <v>14163</v>
      </c>
      <c r="G102" s="46" t="s">
        <v>14164</v>
      </c>
      <c r="H102" s="46" t="s">
        <v>607</v>
      </c>
      <c r="I102" s="46" t="s">
        <v>13057</v>
      </c>
      <c r="J102" s="46" t="s">
        <v>3617</v>
      </c>
      <c r="K102" s="218" t="s">
        <v>14165</v>
      </c>
      <c r="L102" s="185">
        <v>9</v>
      </c>
      <c r="M102" s="91">
        <v>548000</v>
      </c>
      <c r="N102" s="91">
        <v>700000</v>
      </c>
      <c r="O102" s="189" t="s">
        <v>6745</v>
      </c>
      <c r="P102" s="47" t="s">
        <v>14166</v>
      </c>
      <c r="Q102" s="47" t="s">
        <v>29</v>
      </c>
      <c r="R102" s="47" t="s">
        <v>14168</v>
      </c>
      <c r="S102" s="47" t="s">
        <v>14167</v>
      </c>
      <c r="T102" s="46"/>
      <c r="U102" s="46" t="s">
        <v>491</v>
      </c>
      <c r="V102" s="46"/>
    </row>
    <row r="103" spans="1:22" s="47" customFormat="1" ht="75" x14ac:dyDescent="0.25">
      <c r="A103" s="61">
        <v>43500</v>
      </c>
      <c r="B103" s="47" t="s">
        <v>13559</v>
      </c>
      <c r="C103" s="46" t="s">
        <v>604</v>
      </c>
      <c r="D103" s="46" t="s">
        <v>7814</v>
      </c>
      <c r="E103" s="46"/>
      <c r="F103" s="46" t="s">
        <v>14187</v>
      </c>
      <c r="G103" s="46" t="s">
        <v>4118</v>
      </c>
      <c r="H103" s="46" t="s">
        <v>886</v>
      </c>
      <c r="I103" s="46" t="s">
        <v>11775</v>
      </c>
      <c r="J103" s="46" t="s">
        <v>11776</v>
      </c>
      <c r="K103" s="218" t="s">
        <v>14188</v>
      </c>
      <c r="L103" s="185"/>
      <c r="M103" s="91">
        <v>2500000</v>
      </c>
      <c r="N103" s="91">
        <v>2910000</v>
      </c>
      <c r="O103" s="189" t="s">
        <v>560</v>
      </c>
      <c r="P103" s="47" t="s">
        <v>14189</v>
      </c>
      <c r="Q103" s="47" t="s">
        <v>1939</v>
      </c>
      <c r="R103" s="47" t="s">
        <v>14190</v>
      </c>
      <c r="T103" s="46"/>
      <c r="U103" s="46" t="s">
        <v>491</v>
      </c>
      <c r="V103" s="46"/>
    </row>
    <row r="104" spans="1:22" s="47" customFormat="1" ht="45" x14ac:dyDescent="0.25">
      <c r="A104" s="61">
        <v>43500</v>
      </c>
      <c r="B104" s="47" t="s">
        <v>328</v>
      </c>
      <c r="C104" s="46" t="s">
        <v>603</v>
      </c>
      <c r="D104" s="46" t="s">
        <v>649</v>
      </c>
      <c r="E104" s="46"/>
      <c r="F104" s="46" t="s">
        <v>14191</v>
      </c>
      <c r="G104" s="46" t="s">
        <v>14192</v>
      </c>
      <c r="H104" s="46" t="s">
        <v>607</v>
      </c>
      <c r="I104" s="46" t="s">
        <v>14193</v>
      </c>
      <c r="J104" s="46" t="s">
        <v>3398</v>
      </c>
      <c r="K104" s="218" t="s">
        <v>14194</v>
      </c>
      <c r="L104" s="185">
        <v>5</v>
      </c>
      <c r="M104" s="91">
        <v>276000</v>
      </c>
      <c r="N104" s="91">
        <v>480000</v>
      </c>
      <c r="O104" s="189" t="s">
        <v>4533</v>
      </c>
      <c r="P104" s="47" t="s">
        <v>14195</v>
      </c>
      <c r="Q104" s="47" t="s">
        <v>29</v>
      </c>
      <c r="R104" s="47" t="s">
        <v>14196</v>
      </c>
      <c r="S104" s="47" t="s">
        <v>14197</v>
      </c>
      <c r="T104" s="46"/>
      <c r="U104" s="46" t="s">
        <v>491</v>
      </c>
      <c r="V104" s="46"/>
    </row>
    <row r="105" spans="1:22" s="47" customFormat="1" ht="45" x14ac:dyDescent="0.25">
      <c r="A105" s="61">
        <v>43500</v>
      </c>
      <c r="B105" s="47" t="s">
        <v>569</v>
      </c>
      <c r="C105" s="46" t="s">
        <v>899</v>
      </c>
      <c r="D105" s="46" t="s">
        <v>11286</v>
      </c>
      <c r="E105" s="46"/>
      <c r="F105" s="46" t="s">
        <v>14198</v>
      </c>
      <c r="G105" s="46" t="s">
        <v>7855</v>
      </c>
      <c r="H105" s="46" t="s">
        <v>607</v>
      </c>
      <c r="I105" s="46" t="s">
        <v>9530</v>
      </c>
      <c r="J105" s="46" t="s">
        <v>899</v>
      </c>
      <c r="K105" s="218" t="s">
        <v>14199</v>
      </c>
      <c r="L105" s="185">
        <v>4</v>
      </c>
      <c r="M105" s="91">
        <v>1800300</v>
      </c>
      <c r="N105" s="91"/>
      <c r="O105" s="189" t="s">
        <v>10766</v>
      </c>
      <c r="P105" s="47" t="s">
        <v>14200</v>
      </c>
      <c r="Q105" s="47" t="s">
        <v>29</v>
      </c>
      <c r="R105" s="47" t="s">
        <v>14201</v>
      </c>
      <c r="T105" s="46"/>
      <c r="U105" s="46" t="s">
        <v>491</v>
      </c>
      <c r="V105" s="46"/>
    </row>
    <row r="106" spans="1:22" s="47" customFormat="1" ht="75" x14ac:dyDescent="0.25">
      <c r="A106" s="61">
        <v>43500</v>
      </c>
      <c r="B106" s="47" t="s">
        <v>110</v>
      </c>
      <c r="C106" s="46" t="s">
        <v>761</v>
      </c>
      <c r="D106" s="46" t="s">
        <v>1122</v>
      </c>
      <c r="E106" s="46"/>
      <c r="F106" s="46" t="s">
        <v>14202</v>
      </c>
      <c r="G106" s="46" t="s">
        <v>14203</v>
      </c>
      <c r="H106" s="46" t="s">
        <v>607</v>
      </c>
      <c r="I106" s="46" t="s">
        <v>8028</v>
      </c>
      <c r="J106" s="46" t="s">
        <v>761</v>
      </c>
      <c r="K106" s="218" t="s">
        <v>14204</v>
      </c>
      <c r="L106" s="185">
        <v>9</v>
      </c>
      <c r="M106" s="91">
        <v>695500</v>
      </c>
      <c r="N106" s="91">
        <v>1400000</v>
      </c>
      <c r="O106" s="189" t="s">
        <v>4533</v>
      </c>
      <c r="P106" s="47" t="s">
        <v>14205</v>
      </c>
      <c r="Q106" s="47" t="s">
        <v>29</v>
      </c>
      <c r="R106" s="47" t="s">
        <v>14215</v>
      </c>
      <c r="T106" s="46"/>
      <c r="U106" s="46" t="s">
        <v>491</v>
      </c>
      <c r="V106" s="46"/>
    </row>
    <row r="107" spans="1:22" s="47" customFormat="1" ht="90" x14ac:dyDescent="0.25">
      <c r="A107" s="61">
        <v>43500</v>
      </c>
      <c r="B107" s="47" t="s">
        <v>13559</v>
      </c>
      <c r="C107" s="46" t="s">
        <v>608</v>
      </c>
      <c r="D107" s="46" t="s">
        <v>8573</v>
      </c>
      <c r="E107" s="46"/>
      <c r="F107" s="46" t="s">
        <v>12119</v>
      </c>
      <c r="G107" s="46" t="s">
        <v>14206</v>
      </c>
      <c r="H107" s="46" t="s">
        <v>607</v>
      </c>
      <c r="I107" s="46" t="s">
        <v>14207</v>
      </c>
      <c r="J107" s="46" t="s">
        <v>1228</v>
      </c>
      <c r="K107" s="218" t="s">
        <v>14208</v>
      </c>
      <c r="L107" s="185" t="s">
        <v>833</v>
      </c>
      <c r="M107" s="91">
        <v>488000</v>
      </c>
      <c r="N107" s="91">
        <v>850000</v>
      </c>
      <c r="O107" s="189" t="s">
        <v>6745</v>
      </c>
      <c r="P107" s="47" t="s">
        <v>14209</v>
      </c>
      <c r="Q107" s="47" t="s">
        <v>29</v>
      </c>
      <c r="R107" s="47" t="s">
        <v>14295</v>
      </c>
      <c r="T107" s="46"/>
      <c r="U107" s="46" t="s">
        <v>491</v>
      </c>
      <c r="V107" s="46"/>
    </row>
    <row r="108" spans="1:22" s="47" customFormat="1" ht="45" x14ac:dyDescent="0.25">
      <c r="A108" s="61">
        <v>43500</v>
      </c>
      <c r="B108" s="47" t="s">
        <v>328</v>
      </c>
      <c r="C108" s="46" t="s">
        <v>603</v>
      </c>
      <c r="D108" s="46" t="s">
        <v>1401</v>
      </c>
      <c r="E108" s="46"/>
      <c r="F108" s="46" t="s">
        <v>14210</v>
      </c>
      <c r="G108" s="46" t="s">
        <v>10916</v>
      </c>
      <c r="H108" s="46" t="s">
        <v>607</v>
      </c>
      <c r="I108" s="46" t="s">
        <v>14211</v>
      </c>
      <c r="J108" s="46" t="s">
        <v>4031</v>
      </c>
      <c r="K108" s="218" t="s">
        <v>14212</v>
      </c>
      <c r="L108" s="185">
        <v>4</v>
      </c>
      <c r="M108" s="91">
        <v>304000</v>
      </c>
      <c r="N108" s="91">
        <v>520000</v>
      </c>
      <c r="O108" s="189" t="s">
        <v>4533</v>
      </c>
      <c r="P108" s="47" t="s">
        <v>14213</v>
      </c>
      <c r="Q108" s="47" t="s">
        <v>592</v>
      </c>
      <c r="R108" s="47" t="s">
        <v>14214</v>
      </c>
      <c r="T108" s="46"/>
      <c r="U108" s="46" t="s">
        <v>491</v>
      </c>
      <c r="V108" s="46"/>
    </row>
    <row r="109" spans="1:22" s="47" customFormat="1" ht="30" x14ac:dyDescent="0.25">
      <c r="A109" s="61">
        <v>43501</v>
      </c>
      <c r="B109" s="47" t="s">
        <v>13559</v>
      </c>
      <c r="C109" s="46" t="s">
        <v>608</v>
      </c>
      <c r="D109" s="46" t="s">
        <v>8912</v>
      </c>
      <c r="E109" s="46"/>
      <c r="F109" s="46" t="s">
        <v>14263</v>
      </c>
      <c r="G109" s="46" t="s">
        <v>14264</v>
      </c>
      <c r="H109" s="46" t="s">
        <v>607</v>
      </c>
      <c r="I109" s="46" t="s">
        <v>10970</v>
      </c>
      <c r="J109" s="46" t="s">
        <v>4031</v>
      </c>
      <c r="K109" s="218" t="s">
        <v>14265</v>
      </c>
      <c r="L109" s="185"/>
      <c r="M109" s="91">
        <v>5500500</v>
      </c>
      <c r="N109" s="91">
        <v>6250500</v>
      </c>
      <c r="O109" s="189" t="s">
        <v>560</v>
      </c>
      <c r="P109" s="47" t="s">
        <v>14266</v>
      </c>
      <c r="Q109" s="47" t="s">
        <v>29</v>
      </c>
      <c r="R109" s="47" t="s">
        <v>14267</v>
      </c>
      <c r="T109" s="46"/>
      <c r="U109" s="46" t="s">
        <v>491</v>
      </c>
      <c r="V109" s="46"/>
    </row>
    <row r="110" spans="1:22" s="47" customFormat="1" ht="15.75" x14ac:dyDescent="0.25">
      <c r="A110" s="61">
        <v>43501</v>
      </c>
      <c r="B110" s="47" t="s">
        <v>1788</v>
      </c>
      <c r="C110" s="46" t="s">
        <v>3369</v>
      </c>
      <c r="D110" s="46" t="s">
        <v>6360</v>
      </c>
      <c r="E110" s="46"/>
      <c r="F110" s="46" t="s">
        <v>9840</v>
      </c>
      <c r="G110" s="46" t="s">
        <v>11795</v>
      </c>
      <c r="H110" s="46" t="s">
        <v>809</v>
      </c>
      <c r="I110" s="46" t="s">
        <v>8410</v>
      </c>
      <c r="J110" s="46" t="s">
        <v>14268</v>
      </c>
      <c r="K110" s="218" t="s">
        <v>14269</v>
      </c>
      <c r="L110" s="185"/>
      <c r="M110" s="91">
        <v>5420000</v>
      </c>
      <c r="N110" s="91">
        <v>6390000</v>
      </c>
      <c r="O110" s="189" t="s">
        <v>560</v>
      </c>
      <c r="P110" s="47" t="s">
        <v>14266</v>
      </c>
      <c r="Q110" s="47" t="s">
        <v>29</v>
      </c>
      <c r="R110" s="47" t="s">
        <v>14270</v>
      </c>
      <c r="T110" s="46"/>
      <c r="U110" s="46" t="s">
        <v>491</v>
      </c>
      <c r="V110" s="46"/>
    </row>
    <row r="111" spans="1:22" s="47" customFormat="1" ht="90" x14ac:dyDescent="0.25">
      <c r="A111" s="61">
        <v>43502</v>
      </c>
      <c r="B111" s="47" t="s">
        <v>569</v>
      </c>
      <c r="C111" s="46" t="s">
        <v>899</v>
      </c>
      <c r="D111" s="46" t="s">
        <v>625</v>
      </c>
      <c r="E111" s="46"/>
      <c r="F111" s="46" t="s">
        <v>10215</v>
      </c>
      <c r="G111" s="46" t="s">
        <v>14271</v>
      </c>
      <c r="H111" s="46" t="s">
        <v>607</v>
      </c>
      <c r="I111" s="46" t="s">
        <v>5340</v>
      </c>
      <c r="J111" s="46" t="s">
        <v>899</v>
      </c>
      <c r="K111" s="218" t="s">
        <v>14272</v>
      </c>
      <c r="L111" s="185">
        <v>4</v>
      </c>
      <c r="M111" s="91">
        <v>1639000</v>
      </c>
      <c r="N111" s="91">
        <v>281208</v>
      </c>
      <c r="O111" s="189" t="s">
        <v>10766</v>
      </c>
      <c r="P111" s="47" t="s">
        <v>14273</v>
      </c>
      <c r="Q111" s="47" t="s">
        <v>29</v>
      </c>
      <c r="R111" s="47" t="s">
        <v>14358</v>
      </c>
      <c r="T111" s="46"/>
      <c r="U111" s="46" t="s">
        <v>491</v>
      </c>
      <c r="V111" s="46"/>
    </row>
    <row r="112" spans="1:22" s="47" customFormat="1" ht="75" x14ac:dyDescent="0.25">
      <c r="A112" s="61">
        <v>43502</v>
      </c>
      <c r="B112" s="47" t="s">
        <v>328</v>
      </c>
      <c r="C112" s="46" t="s">
        <v>603</v>
      </c>
      <c r="D112" s="46" t="s">
        <v>7595</v>
      </c>
      <c r="E112" s="46"/>
      <c r="F112" s="46" t="s">
        <v>3975</v>
      </c>
      <c r="G112" s="46" t="s">
        <v>14274</v>
      </c>
      <c r="H112" s="46" t="s">
        <v>607</v>
      </c>
      <c r="I112" s="46" t="s">
        <v>14275</v>
      </c>
      <c r="J112" s="46" t="s">
        <v>899</v>
      </c>
      <c r="K112" s="218" t="s">
        <v>14276</v>
      </c>
      <c r="L112" s="185">
        <v>5</v>
      </c>
      <c r="M112" s="91">
        <v>266000</v>
      </c>
      <c r="N112" s="91">
        <v>532000</v>
      </c>
      <c r="O112" s="189" t="s">
        <v>10766</v>
      </c>
      <c r="P112" s="47" t="s">
        <v>14277</v>
      </c>
      <c r="Q112" s="47" t="s">
        <v>29</v>
      </c>
      <c r="R112" s="47" t="s">
        <v>14278</v>
      </c>
      <c r="T112" s="46"/>
      <c r="U112" s="46" t="s">
        <v>491</v>
      </c>
      <c r="V112" s="46"/>
    </row>
    <row r="113" spans="1:22" s="47" customFormat="1" ht="150" x14ac:dyDescent="0.25">
      <c r="A113" s="61">
        <v>43502</v>
      </c>
      <c r="B113" s="47" t="s">
        <v>328</v>
      </c>
      <c r="C113" s="46" t="s">
        <v>603</v>
      </c>
      <c r="D113" s="46" t="s">
        <v>5701</v>
      </c>
      <c r="E113" s="46"/>
      <c r="F113" s="46" t="s">
        <v>14279</v>
      </c>
      <c r="G113" s="46" t="s">
        <v>14280</v>
      </c>
      <c r="H113" s="46" t="s">
        <v>607</v>
      </c>
      <c r="I113" s="46" t="s">
        <v>14281</v>
      </c>
      <c r="J113" s="46" t="s">
        <v>3523</v>
      </c>
      <c r="K113" s="218" t="s">
        <v>14282</v>
      </c>
      <c r="L113" s="185">
        <v>9</v>
      </c>
      <c r="M113" s="91">
        <v>646000</v>
      </c>
      <c r="N113" s="91">
        <v>1300000</v>
      </c>
      <c r="O113" s="189" t="s">
        <v>4533</v>
      </c>
      <c r="P113" s="47" t="s">
        <v>14558</v>
      </c>
      <c r="Q113" s="47" t="s">
        <v>29</v>
      </c>
      <c r="R113" s="47" t="s">
        <v>14559</v>
      </c>
      <c r="T113" s="46"/>
      <c r="U113" s="46" t="s">
        <v>14283</v>
      </c>
      <c r="V113" s="46"/>
    </row>
    <row r="114" spans="1:22" s="47" customFormat="1" ht="120" x14ac:dyDescent="0.25">
      <c r="A114" s="61">
        <v>43502</v>
      </c>
      <c r="B114" s="47" t="s">
        <v>5956</v>
      </c>
      <c r="C114" s="46" t="s">
        <v>3369</v>
      </c>
      <c r="D114" s="46" t="s">
        <v>14284</v>
      </c>
      <c r="E114" s="46"/>
      <c r="F114" s="46" t="s">
        <v>14286</v>
      </c>
      <c r="G114" s="46" t="s">
        <v>14285</v>
      </c>
      <c r="H114" s="46" t="s">
        <v>607</v>
      </c>
      <c r="I114" s="46" t="s">
        <v>8312</v>
      </c>
      <c r="J114" s="46" t="s">
        <v>3369</v>
      </c>
      <c r="K114" s="218" t="s">
        <v>14287</v>
      </c>
      <c r="L114" s="185">
        <v>5</v>
      </c>
      <c r="M114" s="91">
        <v>3176000</v>
      </c>
      <c r="N114" s="91">
        <v>5716800</v>
      </c>
      <c r="O114" s="189" t="s">
        <v>10766</v>
      </c>
      <c r="P114" s="47" t="s">
        <v>14288</v>
      </c>
      <c r="Q114" s="47" t="s">
        <v>29</v>
      </c>
      <c r="R114" s="47" t="s">
        <v>14290</v>
      </c>
      <c r="S114" s="47" t="s">
        <v>14289</v>
      </c>
      <c r="T114" s="46"/>
      <c r="U114" s="46" t="s">
        <v>491</v>
      </c>
      <c r="V114" s="46"/>
    </row>
    <row r="115" spans="1:22" s="47" customFormat="1" ht="60" x14ac:dyDescent="0.25">
      <c r="A115" s="61">
        <v>43502</v>
      </c>
      <c r="B115" s="47" t="s">
        <v>643</v>
      </c>
      <c r="C115" s="46" t="s">
        <v>644</v>
      </c>
      <c r="D115" s="46" t="s">
        <v>3132</v>
      </c>
      <c r="E115" s="46"/>
      <c r="F115" s="46" t="s">
        <v>14291</v>
      </c>
      <c r="G115" s="46" t="s">
        <v>9060</v>
      </c>
      <c r="H115" s="46" t="s">
        <v>809</v>
      </c>
      <c r="I115" s="46" t="s">
        <v>4390</v>
      </c>
      <c r="J115" s="46" t="s">
        <v>644</v>
      </c>
      <c r="K115" s="218" t="s">
        <v>13083</v>
      </c>
      <c r="L115" s="185">
        <v>4</v>
      </c>
      <c r="M115" s="91">
        <v>3400000</v>
      </c>
      <c r="N115" s="91">
        <v>4658000</v>
      </c>
      <c r="O115" s="189" t="s">
        <v>560</v>
      </c>
      <c r="P115" s="47" t="s">
        <v>14292</v>
      </c>
      <c r="Q115" s="47" t="s">
        <v>1939</v>
      </c>
      <c r="R115" s="47" t="s">
        <v>14293</v>
      </c>
      <c r="T115" s="46"/>
      <c r="U115" s="46" t="s">
        <v>491</v>
      </c>
      <c r="V115" s="46"/>
    </row>
    <row r="116" spans="1:22" s="47" customFormat="1" ht="60" x14ac:dyDescent="0.25">
      <c r="A116" s="61">
        <v>43503</v>
      </c>
      <c r="B116" s="47" t="s">
        <v>13559</v>
      </c>
      <c r="C116" s="46" t="s">
        <v>6575</v>
      </c>
      <c r="D116" s="46" t="s">
        <v>9183</v>
      </c>
      <c r="E116" s="46"/>
      <c r="F116" s="46" t="s">
        <v>8719</v>
      </c>
      <c r="G116" s="46" t="s">
        <v>14296</v>
      </c>
      <c r="H116" s="46" t="s">
        <v>607</v>
      </c>
      <c r="I116" s="46" t="s">
        <v>5967</v>
      </c>
      <c r="J116" s="46" t="s">
        <v>602</v>
      </c>
      <c r="K116" s="218" t="s">
        <v>14297</v>
      </c>
      <c r="L116" s="185">
        <v>3</v>
      </c>
      <c r="M116" s="91">
        <v>600000</v>
      </c>
      <c r="N116" s="91">
        <v>975000</v>
      </c>
      <c r="O116" s="189" t="s">
        <v>10763</v>
      </c>
      <c r="P116" s="47" t="s">
        <v>14298</v>
      </c>
      <c r="Q116" s="47" t="s">
        <v>1939</v>
      </c>
      <c r="R116" s="47" t="s">
        <v>14299</v>
      </c>
      <c r="T116" s="46"/>
      <c r="U116" s="46" t="s">
        <v>491</v>
      </c>
      <c r="V116" s="46"/>
    </row>
    <row r="117" spans="1:22" s="47" customFormat="1" ht="45" x14ac:dyDescent="0.25">
      <c r="A117" s="61">
        <v>43503</v>
      </c>
      <c r="B117" s="47" t="s">
        <v>643</v>
      </c>
      <c r="C117" s="46" t="s">
        <v>644</v>
      </c>
      <c r="D117" s="46" t="s">
        <v>3132</v>
      </c>
      <c r="E117" s="46"/>
      <c r="F117" s="46" t="s">
        <v>14300</v>
      </c>
      <c r="G117" s="46" t="s">
        <v>8941</v>
      </c>
      <c r="H117" s="46" t="s">
        <v>607</v>
      </c>
      <c r="I117" s="46" t="s">
        <v>5345</v>
      </c>
      <c r="J117" s="46" t="s">
        <v>644</v>
      </c>
      <c r="K117" s="218" t="s">
        <v>14301</v>
      </c>
      <c r="L117" s="185">
        <v>4</v>
      </c>
      <c r="M117" s="91">
        <v>2117200</v>
      </c>
      <c r="N117" s="91">
        <v>3810960</v>
      </c>
      <c r="O117" s="189" t="s">
        <v>560</v>
      </c>
      <c r="P117" s="47" t="s">
        <v>14302</v>
      </c>
      <c r="Q117" s="47" t="s">
        <v>1939</v>
      </c>
      <c r="R117" s="47" t="s">
        <v>14303</v>
      </c>
      <c r="T117" s="46"/>
      <c r="U117" s="46" t="s">
        <v>491</v>
      </c>
      <c r="V117" s="46"/>
    </row>
    <row r="118" spans="1:22" s="47" customFormat="1" ht="30" x14ac:dyDescent="0.25">
      <c r="A118" s="61">
        <v>43503</v>
      </c>
      <c r="B118" s="47" t="s">
        <v>5473</v>
      </c>
      <c r="C118" s="46" t="s">
        <v>608</v>
      </c>
      <c r="D118" s="46" t="s">
        <v>11795</v>
      </c>
      <c r="E118" s="46"/>
      <c r="F118" s="46" t="s">
        <v>5096</v>
      </c>
      <c r="G118" s="46" t="s">
        <v>11933</v>
      </c>
      <c r="H118" s="46" t="s">
        <v>2510</v>
      </c>
      <c r="I118" s="46" t="s">
        <v>3809</v>
      </c>
      <c r="J118" s="46" t="s">
        <v>608</v>
      </c>
      <c r="K118" s="218" t="s">
        <v>14304</v>
      </c>
      <c r="L118" s="185">
        <v>1</v>
      </c>
      <c r="M118" s="91">
        <v>500000</v>
      </c>
      <c r="N118" s="91">
        <v>750000</v>
      </c>
      <c r="O118" s="189" t="s">
        <v>560</v>
      </c>
      <c r="P118" s="47" t="s">
        <v>14305</v>
      </c>
      <c r="Q118" s="47" t="s">
        <v>592</v>
      </c>
      <c r="R118" s="47" t="s">
        <v>14306</v>
      </c>
      <c r="T118" s="46"/>
      <c r="U118" s="46" t="s">
        <v>491</v>
      </c>
      <c r="V118" s="46"/>
    </row>
    <row r="119" spans="1:22" s="47" customFormat="1" ht="150" x14ac:dyDescent="0.25">
      <c r="A119" s="61">
        <v>43503</v>
      </c>
      <c r="B119" s="47" t="s">
        <v>328</v>
      </c>
      <c r="C119" s="46" t="s">
        <v>603</v>
      </c>
      <c r="D119" s="46" t="s">
        <v>10705</v>
      </c>
      <c r="E119" s="46"/>
      <c r="F119" s="46" t="s">
        <v>8957</v>
      </c>
      <c r="G119" s="46" t="s">
        <v>14307</v>
      </c>
      <c r="H119" s="46" t="s">
        <v>607</v>
      </c>
      <c r="I119" s="46" t="s">
        <v>14308</v>
      </c>
      <c r="J119" s="46" t="s">
        <v>3501</v>
      </c>
      <c r="K119" s="218" t="s">
        <v>14309</v>
      </c>
      <c r="L119" s="185">
        <v>10</v>
      </c>
      <c r="M119" s="91">
        <v>2500000</v>
      </c>
      <c r="N119" s="91">
        <v>2800000</v>
      </c>
      <c r="O119" s="189" t="s">
        <v>7124</v>
      </c>
      <c r="P119" s="47" t="s">
        <v>14310</v>
      </c>
      <c r="Q119" s="47" t="s">
        <v>1939</v>
      </c>
      <c r="R119" s="47" t="s">
        <v>14315</v>
      </c>
      <c r="S119" s="47" t="s">
        <v>14311</v>
      </c>
      <c r="T119" s="46"/>
      <c r="U119" s="46" t="s">
        <v>491</v>
      </c>
      <c r="V119" s="46"/>
    </row>
    <row r="120" spans="1:22" s="47" customFormat="1" ht="105" x14ac:dyDescent="0.25">
      <c r="A120" s="61">
        <v>43503</v>
      </c>
      <c r="B120" s="47" t="s">
        <v>328</v>
      </c>
      <c r="C120" s="46" t="s">
        <v>603</v>
      </c>
      <c r="D120" s="46" t="s">
        <v>2500</v>
      </c>
      <c r="E120" s="46"/>
      <c r="F120" s="46" t="s">
        <v>14312</v>
      </c>
      <c r="G120" s="46"/>
      <c r="H120" s="46" t="s">
        <v>10831</v>
      </c>
      <c r="I120" s="46" t="s">
        <v>10404</v>
      </c>
      <c r="J120" s="46" t="s">
        <v>644</v>
      </c>
      <c r="K120" s="218" t="s">
        <v>14313</v>
      </c>
      <c r="L120" s="185">
        <v>10</v>
      </c>
      <c r="M120" s="91">
        <v>2224500</v>
      </c>
      <c r="N120" s="91">
        <v>3837540</v>
      </c>
      <c r="O120" s="189" t="s">
        <v>560</v>
      </c>
      <c r="P120" s="47" t="s">
        <v>14314</v>
      </c>
      <c r="Q120" s="47" t="s">
        <v>620</v>
      </c>
      <c r="R120" s="47" t="s">
        <v>14560</v>
      </c>
      <c r="T120" s="46"/>
      <c r="U120" s="46" t="s">
        <v>491</v>
      </c>
      <c r="V120" s="46"/>
    </row>
    <row r="121" spans="1:22" s="47" customFormat="1" ht="75" x14ac:dyDescent="0.25">
      <c r="A121" s="61">
        <v>43504</v>
      </c>
      <c r="B121" s="47" t="s">
        <v>569</v>
      </c>
      <c r="C121" s="46" t="s">
        <v>899</v>
      </c>
      <c r="D121" s="46" t="s">
        <v>611</v>
      </c>
      <c r="E121" s="46"/>
      <c r="F121" s="46" t="s">
        <v>7831</v>
      </c>
      <c r="G121" s="46" t="s">
        <v>14317</v>
      </c>
      <c r="H121" s="46"/>
      <c r="I121" s="46" t="s">
        <v>14318</v>
      </c>
      <c r="J121" s="46" t="s">
        <v>899</v>
      </c>
      <c r="K121" s="218" t="s">
        <v>14319</v>
      </c>
      <c r="L121" s="185"/>
      <c r="M121" s="91">
        <v>624781</v>
      </c>
      <c r="N121" s="91">
        <f>M121+58660+293300+117320</f>
        <v>1094061</v>
      </c>
      <c r="O121" s="189" t="s">
        <v>10766</v>
      </c>
      <c r="P121" s="47" t="s">
        <v>14320</v>
      </c>
      <c r="Q121" s="47" t="s">
        <v>29</v>
      </c>
      <c r="R121" s="47" t="s">
        <v>14321</v>
      </c>
      <c r="S121" s="47" t="s">
        <v>14322</v>
      </c>
      <c r="T121" s="46"/>
      <c r="U121" s="46" t="s">
        <v>12797</v>
      </c>
      <c r="V121" s="46"/>
    </row>
    <row r="122" spans="1:22" s="47" customFormat="1" ht="90" x14ac:dyDescent="0.25">
      <c r="A122" s="61">
        <v>43504</v>
      </c>
      <c r="B122" s="47" t="s">
        <v>328</v>
      </c>
      <c r="C122" s="46" t="s">
        <v>603</v>
      </c>
      <c r="D122" s="46" t="s">
        <v>5701</v>
      </c>
      <c r="E122" s="46"/>
      <c r="F122" s="46" t="s">
        <v>14323</v>
      </c>
      <c r="G122" s="46" t="s">
        <v>14324</v>
      </c>
      <c r="H122" s="46" t="s">
        <v>607</v>
      </c>
      <c r="I122" s="46" t="s">
        <v>13679</v>
      </c>
      <c r="J122" s="46" t="s">
        <v>3373</v>
      </c>
      <c r="K122" s="218" t="s">
        <v>14325</v>
      </c>
      <c r="L122" s="185">
        <v>5</v>
      </c>
      <c r="M122" s="91">
        <v>110000</v>
      </c>
      <c r="N122" s="91">
        <f>M122+10000+82500+22000</f>
        <v>224500</v>
      </c>
      <c r="O122" s="189" t="s">
        <v>10763</v>
      </c>
      <c r="P122" s="47" t="s">
        <v>14561</v>
      </c>
      <c r="Q122" s="47" t="s">
        <v>1939</v>
      </c>
      <c r="R122" s="47" t="s">
        <v>14326</v>
      </c>
      <c r="S122" s="47" t="s">
        <v>14378</v>
      </c>
      <c r="T122" s="46"/>
      <c r="U122" s="46" t="s">
        <v>12797</v>
      </c>
      <c r="V122" s="46"/>
    </row>
    <row r="123" spans="1:22" s="47" customFormat="1" ht="90" x14ac:dyDescent="0.25">
      <c r="A123" s="61">
        <v>43504</v>
      </c>
      <c r="B123" s="47" t="s">
        <v>569</v>
      </c>
      <c r="C123" s="46" t="s">
        <v>899</v>
      </c>
      <c r="D123" s="46" t="s">
        <v>11286</v>
      </c>
      <c r="E123" s="46"/>
      <c r="F123" s="46" t="s">
        <v>13237</v>
      </c>
      <c r="G123" s="46" t="s">
        <v>14327</v>
      </c>
      <c r="H123" s="46" t="s">
        <v>607</v>
      </c>
      <c r="I123" s="46" t="s">
        <v>14328</v>
      </c>
      <c r="J123" s="46" t="s">
        <v>899</v>
      </c>
      <c r="K123" s="218" t="s">
        <v>13928</v>
      </c>
      <c r="L123" s="185"/>
      <c r="M123" s="91">
        <v>1054760</v>
      </c>
      <c r="N123" s="91">
        <f>M123+355288+738332+210952</f>
        <v>2359332</v>
      </c>
      <c r="O123" s="189" t="s">
        <v>4533</v>
      </c>
      <c r="P123" s="47" t="s">
        <v>14329</v>
      </c>
      <c r="Q123" s="47" t="s">
        <v>29</v>
      </c>
      <c r="R123" s="47" t="s">
        <v>14330</v>
      </c>
      <c r="S123" s="47" t="s">
        <v>14378</v>
      </c>
      <c r="T123" s="46"/>
      <c r="U123" s="46" t="s">
        <v>12797</v>
      </c>
      <c r="V123" s="46"/>
    </row>
    <row r="124" spans="1:22" s="47" customFormat="1" ht="150" x14ac:dyDescent="0.25">
      <c r="A124" s="61">
        <v>43504</v>
      </c>
      <c r="B124" s="47" t="s">
        <v>328</v>
      </c>
      <c r="C124" s="46" t="s">
        <v>603</v>
      </c>
      <c r="D124" s="46" t="s">
        <v>649</v>
      </c>
      <c r="E124" s="46"/>
      <c r="F124" s="46" t="s">
        <v>14331</v>
      </c>
      <c r="G124" s="46" t="s">
        <v>14332</v>
      </c>
      <c r="H124" s="46" t="s">
        <v>886</v>
      </c>
      <c r="I124" s="46" t="s">
        <v>14333</v>
      </c>
      <c r="J124" s="46" t="s">
        <v>959</v>
      </c>
      <c r="K124" s="218" t="s">
        <v>14334</v>
      </c>
      <c r="L124" s="185">
        <v>4</v>
      </c>
      <c r="M124" s="91">
        <v>269900</v>
      </c>
      <c r="N124" s="91">
        <f>M124+27000</f>
        <v>296900</v>
      </c>
      <c r="O124" s="189" t="s">
        <v>2295</v>
      </c>
      <c r="P124" s="47" t="s">
        <v>14562</v>
      </c>
      <c r="Q124" s="47" t="s">
        <v>1939</v>
      </c>
      <c r="R124" s="47" t="s">
        <v>14563</v>
      </c>
      <c r="S124" s="47" t="s">
        <v>14378</v>
      </c>
      <c r="T124" s="46"/>
      <c r="U124" s="46" t="s">
        <v>12797</v>
      </c>
      <c r="V124" s="46"/>
    </row>
    <row r="125" spans="1:22" s="47" customFormat="1" ht="90" x14ac:dyDescent="0.25">
      <c r="A125" s="61">
        <v>43504</v>
      </c>
      <c r="B125" s="47" t="s">
        <v>5956</v>
      </c>
      <c r="C125" s="46" t="s">
        <v>3369</v>
      </c>
      <c r="D125" s="46" t="s">
        <v>8126</v>
      </c>
      <c r="E125" s="46"/>
      <c r="F125" s="46" t="s">
        <v>14335</v>
      </c>
      <c r="G125" s="46" t="s">
        <v>7880</v>
      </c>
      <c r="H125" s="46" t="s">
        <v>607</v>
      </c>
      <c r="I125" s="46" t="s">
        <v>14336</v>
      </c>
      <c r="J125" s="46" t="s">
        <v>3369</v>
      </c>
      <c r="K125" s="218" t="s">
        <v>14337</v>
      </c>
      <c r="L125" s="185">
        <v>5</v>
      </c>
      <c r="M125" s="91">
        <v>950000</v>
      </c>
      <c r="N125" s="91">
        <f>M125+95000+475000+285000</f>
        <v>1805000</v>
      </c>
      <c r="O125" s="189" t="s">
        <v>10766</v>
      </c>
      <c r="P125" s="47" t="s">
        <v>14339</v>
      </c>
      <c r="Q125" s="47" t="s">
        <v>1939</v>
      </c>
      <c r="R125" s="47" t="s">
        <v>14338</v>
      </c>
      <c r="S125" s="47" t="s">
        <v>14378</v>
      </c>
      <c r="T125" s="46"/>
      <c r="U125" s="46" t="s">
        <v>12797</v>
      </c>
      <c r="V125" s="46"/>
    </row>
    <row r="126" spans="1:22" s="47" customFormat="1" ht="89.25" customHeight="1" x14ac:dyDescent="0.25">
      <c r="A126" s="61">
        <v>43504</v>
      </c>
      <c r="B126" s="47" t="s">
        <v>569</v>
      </c>
      <c r="C126" s="46" t="s">
        <v>899</v>
      </c>
      <c r="D126" s="46" t="s">
        <v>1070</v>
      </c>
      <c r="E126" s="46"/>
      <c r="F126" s="46" t="s">
        <v>14340</v>
      </c>
      <c r="G126" s="46" t="s">
        <v>14053</v>
      </c>
      <c r="H126" s="46" t="s">
        <v>607</v>
      </c>
      <c r="I126" s="46" t="s">
        <v>3941</v>
      </c>
      <c r="J126" s="46" t="s">
        <v>899</v>
      </c>
      <c r="K126" s="218" t="s">
        <v>14341</v>
      </c>
      <c r="L126" s="185"/>
      <c r="M126" s="91">
        <v>3000000</v>
      </c>
      <c r="N126" s="91">
        <f>M126+300000+500000+500000</f>
        <v>4300000</v>
      </c>
      <c r="O126" s="189" t="s">
        <v>2295</v>
      </c>
      <c r="P126" s="47" t="s">
        <v>14342</v>
      </c>
      <c r="Q126" s="47" t="s">
        <v>1939</v>
      </c>
      <c r="R126" s="47" t="s">
        <v>14343</v>
      </c>
      <c r="S126" s="47" t="s">
        <v>14378</v>
      </c>
      <c r="T126" s="46"/>
      <c r="U126" s="46" t="s">
        <v>12797</v>
      </c>
      <c r="V126" s="46"/>
    </row>
    <row r="127" spans="1:22" s="47" customFormat="1" ht="105" x14ac:dyDescent="0.25">
      <c r="A127" s="61">
        <v>43507</v>
      </c>
      <c r="B127" s="47" t="s">
        <v>328</v>
      </c>
      <c r="C127" s="46" t="s">
        <v>603</v>
      </c>
      <c r="D127" s="46" t="s">
        <v>5701</v>
      </c>
      <c r="E127" s="46"/>
      <c r="F127" s="46" t="s">
        <v>14344</v>
      </c>
      <c r="G127" s="46" t="s">
        <v>7855</v>
      </c>
      <c r="H127" s="46" t="s">
        <v>607</v>
      </c>
      <c r="I127" s="46" t="s">
        <v>2054</v>
      </c>
      <c r="J127" s="46" t="s">
        <v>899</v>
      </c>
      <c r="K127" s="218" t="s">
        <v>14012</v>
      </c>
      <c r="L127" s="185">
        <v>1</v>
      </c>
      <c r="M127" s="91">
        <v>1667500</v>
      </c>
      <c r="N127" s="91">
        <f>M127+166750+833750+166750</f>
        <v>2834750</v>
      </c>
      <c r="O127" s="189" t="s">
        <v>7564</v>
      </c>
      <c r="P127" s="47" t="s">
        <v>14345</v>
      </c>
      <c r="Q127" s="47" t="s">
        <v>592</v>
      </c>
      <c r="R127" s="47" t="s">
        <v>14346</v>
      </c>
      <c r="S127" s="47" t="s">
        <v>14378</v>
      </c>
      <c r="T127" s="46"/>
      <c r="U127" s="46" t="s">
        <v>12797</v>
      </c>
      <c r="V127" s="46"/>
    </row>
    <row r="128" spans="1:22" s="47" customFormat="1" ht="90" x14ac:dyDescent="0.25">
      <c r="A128" s="61">
        <v>43507</v>
      </c>
      <c r="B128" s="47" t="s">
        <v>328</v>
      </c>
      <c r="C128" s="46" t="s">
        <v>603</v>
      </c>
      <c r="D128" s="46" t="s">
        <v>7595</v>
      </c>
      <c r="E128" s="46"/>
      <c r="F128" s="46" t="s">
        <v>14347</v>
      </c>
      <c r="G128" s="46" t="s">
        <v>11091</v>
      </c>
      <c r="H128" s="46" t="s">
        <v>607</v>
      </c>
      <c r="I128" s="46" t="s">
        <v>2054</v>
      </c>
      <c r="J128" s="46" t="s">
        <v>899</v>
      </c>
      <c r="K128" s="218" t="s">
        <v>13624</v>
      </c>
      <c r="L128" s="185">
        <v>1</v>
      </c>
      <c r="M128" s="91">
        <v>1300000</v>
      </c>
      <c r="N128" s="91">
        <f>M128+130000+650000+260000</f>
        <v>2340000</v>
      </c>
      <c r="O128" s="189" t="s">
        <v>7564</v>
      </c>
      <c r="P128" s="47" t="s">
        <v>14564</v>
      </c>
      <c r="Q128" s="47" t="s">
        <v>592</v>
      </c>
      <c r="R128" s="47" t="s">
        <v>14565</v>
      </c>
      <c r="S128" s="47" t="s">
        <v>14378</v>
      </c>
      <c r="T128" s="46"/>
      <c r="U128" s="46" t="s">
        <v>14363</v>
      </c>
      <c r="V128" s="46"/>
    </row>
    <row r="129" spans="1:22" s="47" customFormat="1" ht="75" x14ac:dyDescent="0.25">
      <c r="A129" s="61">
        <v>43507</v>
      </c>
      <c r="B129" s="47" t="s">
        <v>5956</v>
      </c>
      <c r="C129" s="46" t="s">
        <v>3369</v>
      </c>
      <c r="D129" s="46" t="s">
        <v>8126</v>
      </c>
      <c r="E129" s="46"/>
      <c r="F129" s="46" t="s">
        <v>14348</v>
      </c>
      <c r="G129" s="46" t="s">
        <v>8515</v>
      </c>
      <c r="H129" s="46" t="s">
        <v>607</v>
      </c>
      <c r="I129" s="46" t="s">
        <v>14349</v>
      </c>
      <c r="J129" s="46" t="s">
        <v>959</v>
      </c>
      <c r="K129" s="218" t="s">
        <v>14350</v>
      </c>
      <c r="L129" s="185"/>
      <c r="M129" s="91">
        <v>484025</v>
      </c>
      <c r="N129" s="91">
        <f>M129+48403+338818+96805</f>
        <v>968051</v>
      </c>
      <c r="O129" s="189" t="s">
        <v>4533</v>
      </c>
      <c r="P129" s="47" t="s">
        <v>14351</v>
      </c>
      <c r="Q129" s="47" t="s">
        <v>592</v>
      </c>
      <c r="R129" s="47" t="s">
        <v>14352</v>
      </c>
      <c r="S129" s="47" t="s">
        <v>14378</v>
      </c>
      <c r="T129" s="46"/>
      <c r="U129" s="46" t="s">
        <v>12797</v>
      </c>
      <c r="V129" s="46"/>
    </row>
    <row r="130" spans="1:22" s="47" customFormat="1" ht="75" x14ac:dyDescent="0.25">
      <c r="A130" s="61">
        <v>43507</v>
      </c>
      <c r="B130" s="47" t="s">
        <v>13559</v>
      </c>
      <c r="C130" s="46" t="s">
        <v>3369</v>
      </c>
      <c r="D130" s="46" t="s">
        <v>6360</v>
      </c>
      <c r="E130" s="46"/>
      <c r="F130" s="46" t="s">
        <v>240</v>
      </c>
      <c r="G130" s="46" t="s">
        <v>14353</v>
      </c>
      <c r="H130" s="46" t="s">
        <v>905</v>
      </c>
      <c r="I130" s="46" t="s">
        <v>6193</v>
      </c>
      <c r="J130" s="46" t="s">
        <v>14354</v>
      </c>
      <c r="K130" s="218" t="s">
        <v>14355</v>
      </c>
      <c r="L130" s="185">
        <v>10</v>
      </c>
      <c r="M130" s="91">
        <v>2000000</v>
      </c>
      <c r="N130" s="91">
        <f>M130+10000+886000</f>
        <v>2896000</v>
      </c>
      <c r="O130" s="189" t="s">
        <v>10766</v>
      </c>
      <c r="P130" s="47" t="s">
        <v>14356</v>
      </c>
      <c r="Q130" s="47" t="s">
        <v>29</v>
      </c>
      <c r="R130" s="47" t="s">
        <v>14357</v>
      </c>
      <c r="S130" s="47" t="s">
        <v>14378</v>
      </c>
      <c r="T130" s="46"/>
      <c r="U130" s="46" t="s">
        <v>12797</v>
      </c>
      <c r="V130" s="46"/>
    </row>
    <row r="131" spans="1:22" s="47" customFormat="1" ht="45" x14ac:dyDescent="0.25">
      <c r="A131" s="61">
        <v>43508</v>
      </c>
      <c r="B131" s="47" t="s">
        <v>328</v>
      </c>
      <c r="C131" s="46" t="s">
        <v>603</v>
      </c>
      <c r="D131" s="46" t="s">
        <v>7595</v>
      </c>
      <c r="E131" s="46"/>
      <c r="F131" s="46" t="s">
        <v>208</v>
      </c>
      <c r="G131" s="46" t="s">
        <v>14366</v>
      </c>
      <c r="H131" s="46" t="s">
        <v>607</v>
      </c>
      <c r="I131" s="46" t="s">
        <v>14367</v>
      </c>
      <c r="J131" s="46" t="s">
        <v>3733</v>
      </c>
      <c r="K131" s="218" t="s">
        <v>14368</v>
      </c>
      <c r="L131" s="185">
        <v>4</v>
      </c>
      <c r="M131" s="91">
        <v>3000000</v>
      </c>
      <c r="N131" s="91">
        <v>5000000</v>
      </c>
      <c r="O131" s="189" t="s">
        <v>560</v>
      </c>
      <c r="P131" s="47" t="s">
        <v>14370</v>
      </c>
      <c r="Q131" s="47" t="s">
        <v>620</v>
      </c>
      <c r="R131" s="47" t="s">
        <v>14369</v>
      </c>
      <c r="S131" s="47" t="s">
        <v>14378</v>
      </c>
      <c r="T131" s="46"/>
      <c r="U131" s="46" t="s">
        <v>491</v>
      </c>
      <c r="V131" s="46"/>
    </row>
    <row r="132" spans="1:22" s="47" customFormat="1" ht="30" x14ac:dyDescent="0.25">
      <c r="A132" s="61">
        <v>43508</v>
      </c>
      <c r="B132" s="47" t="s">
        <v>5956</v>
      </c>
      <c r="C132" s="46" t="s">
        <v>3369</v>
      </c>
      <c r="D132" s="46" t="s">
        <v>8040</v>
      </c>
      <c r="E132" s="46"/>
      <c r="F132" s="46" t="s">
        <v>14371</v>
      </c>
      <c r="G132" s="46"/>
      <c r="H132" s="46" t="s">
        <v>607</v>
      </c>
      <c r="I132" s="46" t="s">
        <v>12091</v>
      </c>
      <c r="J132" s="46" t="s">
        <v>4825</v>
      </c>
      <c r="K132" s="218"/>
      <c r="L132" s="185"/>
      <c r="M132" s="91">
        <v>375000</v>
      </c>
      <c r="N132" s="91">
        <v>420000</v>
      </c>
      <c r="O132" s="189" t="s">
        <v>49</v>
      </c>
      <c r="P132" s="47" t="s">
        <v>14372</v>
      </c>
      <c r="Q132" s="47" t="s">
        <v>29</v>
      </c>
      <c r="R132" s="47" t="s">
        <v>14373</v>
      </c>
      <c r="S132" s="47" t="s">
        <v>14378</v>
      </c>
      <c r="T132" s="46"/>
      <c r="U132" s="46" t="s">
        <v>491</v>
      </c>
      <c r="V132" s="46"/>
    </row>
    <row r="133" spans="1:22" s="47" customFormat="1" ht="135" x14ac:dyDescent="0.25">
      <c r="A133" s="61">
        <v>43508</v>
      </c>
      <c r="B133" s="47" t="s">
        <v>328</v>
      </c>
      <c r="C133" s="46" t="s">
        <v>603</v>
      </c>
      <c r="D133" s="46" t="s">
        <v>7595</v>
      </c>
      <c r="E133" s="46"/>
      <c r="F133" s="46" t="s">
        <v>14447</v>
      </c>
      <c r="G133" s="46" t="s">
        <v>14448</v>
      </c>
      <c r="H133" s="46" t="s">
        <v>607</v>
      </c>
      <c r="I133" s="46" t="s">
        <v>14449</v>
      </c>
      <c r="J133" s="46" t="s">
        <v>14074</v>
      </c>
      <c r="K133" s="218" t="s">
        <v>14450</v>
      </c>
      <c r="L133" s="185">
        <v>10</v>
      </c>
      <c r="M133" s="91">
        <v>132000</v>
      </c>
      <c r="N133" s="91">
        <f>M133+10000+93000+30000</f>
        <v>265000</v>
      </c>
      <c r="O133" s="189" t="s">
        <v>10764</v>
      </c>
      <c r="P133" s="47" t="s">
        <v>14451</v>
      </c>
      <c r="Q133" s="47" t="s">
        <v>1939</v>
      </c>
      <c r="R133" s="47" t="s">
        <v>14452</v>
      </c>
      <c r="T133" s="46"/>
      <c r="U133" s="46" t="s">
        <v>12797</v>
      </c>
      <c r="V133" s="46"/>
    </row>
    <row r="134" spans="1:22" s="47" customFormat="1" ht="30" x14ac:dyDescent="0.25">
      <c r="A134" s="61">
        <v>43509</v>
      </c>
      <c r="B134" s="47" t="s">
        <v>5956</v>
      </c>
      <c r="C134" s="46" t="s">
        <v>3369</v>
      </c>
      <c r="D134" s="46" t="s">
        <v>8126</v>
      </c>
      <c r="E134" s="46"/>
      <c r="F134" s="46" t="s">
        <v>14359</v>
      </c>
      <c r="G134" s="46" t="s">
        <v>14360</v>
      </c>
      <c r="H134" s="46" t="s">
        <v>905</v>
      </c>
      <c r="I134" s="46" t="s">
        <v>14364</v>
      </c>
      <c r="J134" s="46" t="s">
        <v>4825</v>
      </c>
      <c r="K134" s="218" t="s">
        <v>14365</v>
      </c>
      <c r="L134" s="185"/>
      <c r="M134" s="91">
        <v>243000</v>
      </c>
      <c r="N134" s="91">
        <v>267300</v>
      </c>
      <c r="O134" s="189" t="s">
        <v>10766</v>
      </c>
      <c r="P134" s="47" t="s">
        <v>14361</v>
      </c>
      <c r="Q134" s="47" t="s">
        <v>592</v>
      </c>
      <c r="R134" s="47" t="s">
        <v>14362</v>
      </c>
      <c r="S134" s="47" t="s">
        <v>14378</v>
      </c>
      <c r="T134" s="46"/>
      <c r="U134" s="46" t="s">
        <v>491</v>
      </c>
      <c r="V134" s="46"/>
    </row>
    <row r="135" spans="1:22" s="47" customFormat="1" ht="45" x14ac:dyDescent="0.25">
      <c r="A135" s="61">
        <v>43509</v>
      </c>
      <c r="B135" s="47" t="s">
        <v>643</v>
      </c>
      <c r="C135" s="46" t="s">
        <v>644</v>
      </c>
      <c r="D135" s="46" t="s">
        <v>645</v>
      </c>
      <c r="E135" s="46"/>
      <c r="F135" s="46" t="s">
        <v>14374</v>
      </c>
      <c r="G135" s="46" t="s">
        <v>14375</v>
      </c>
      <c r="H135" s="46" t="s">
        <v>10831</v>
      </c>
      <c r="I135" s="46"/>
      <c r="J135" s="46" t="s">
        <v>644</v>
      </c>
      <c r="K135" s="218"/>
      <c r="L135" s="185">
        <v>10</v>
      </c>
      <c r="M135" s="91">
        <v>600000</v>
      </c>
      <c r="N135" s="91">
        <v>1074000</v>
      </c>
      <c r="O135" s="189" t="s">
        <v>7124</v>
      </c>
      <c r="P135" s="47" t="s">
        <v>14376</v>
      </c>
      <c r="Q135" s="47" t="s">
        <v>1939</v>
      </c>
      <c r="R135" s="47" t="s">
        <v>14377</v>
      </c>
      <c r="S135" s="47" t="s">
        <v>14378</v>
      </c>
      <c r="T135" s="46"/>
      <c r="U135" s="46" t="s">
        <v>491</v>
      </c>
      <c r="V135" s="46"/>
    </row>
    <row r="136" spans="1:22" s="47" customFormat="1" ht="120" x14ac:dyDescent="0.25">
      <c r="A136" s="61">
        <v>43509</v>
      </c>
      <c r="B136" s="47" t="s">
        <v>9240</v>
      </c>
      <c r="C136" s="46" t="s">
        <v>603</v>
      </c>
      <c r="D136" s="46" t="s">
        <v>9241</v>
      </c>
      <c r="E136" s="46"/>
      <c r="F136" s="46" t="s">
        <v>13092</v>
      </c>
      <c r="G136" s="46" t="s">
        <v>10272</v>
      </c>
      <c r="H136" s="46" t="s">
        <v>10831</v>
      </c>
      <c r="I136" s="46" t="s">
        <v>14445</v>
      </c>
      <c r="J136" s="46" t="s">
        <v>603</v>
      </c>
      <c r="K136" s="218" t="s">
        <v>13094</v>
      </c>
      <c r="L136" s="185">
        <v>10</v>
      </c>
      <c r="M136" s="91">
        <v>1400000</v>
      </c>
      <c r="N136" s="91">
        <f>M136+179500+897500+359000</f>
        <v>2836000</v>
      </c>
      <c r="O136" s="189" t="s">
        <v>7124</v>
      </c>
      <c r="P136" s="47" t="s">
        <v>14446</v>
      </c>
      <c r="Q136" s="47" t="s">
        <v>1939</v>
      </c>
      <c r="R136" s="47" t="s">
        <v>14566</v>
      </c>
      <c r="T136" s="46"/>
      <c r="U136" s="46" t="s">
        <v>12797</v>
      </c>
      <c r="V136" s="46"/>
    </row>
    <row r="137" spans="1:22" s="47" customFormat="1" ht="30" x14ac:dyDescent="0.25">
      <c r="A137" s="61">
        <v>43510</v>
      </c>
      <c r="B137" s="47" t="s">
        <v>9240</v>
      </c>
      <c r="C137" s="46" t="s">
        <v>603</v>
      </c>
      <c r="D137" s="46" t="s">
        <v>9849</v>
      </c>
      <c r="E137" s="46" t="s">
        <v>821</v>
      </c>
      <c r="F137" s="46" t="s">
        <v>1118</v>
      </c>
      <c r="G137" s="46"/>
      <c r="H137" s="46" t="s">
        <v>607</v>
      </c>
      <c r="I137" s="46"/>
      <c r="J137" s="46"/>
      <c r="K137" s="218"/>
      <c r="L137" s="185"/>
      <c r="M137" s="91"/>
      <c r="N137" s="91"/>
      <c r="O137" s="189" t="s">
        <v>10766</v>
      </c>
      <c r="P137" s="47" t="s">
        <v>14379</v>
      </c>
      <c r="Q137" s="47" t="s">
        <v>29</v>
      </c>
      <c r="R137" s="47" t="s">
        <v>14380</v>
      </c>
      <c r="T137" s="46"/>
      <c r="U137" s="46" t="s">
        <v>491</v>
      </c>
      <c r="V137" s="46"/>
    </row>
    <row r="138" spans="1:22" s="47" customFormat="1" ht="75" x14ac:dyDescent="0.25">
      <c r="A138" s="61">
        <v>43510</v>
      </c>
      <c r="B138" s="47" t="s">
        <v>328</v>
      </c>
      <c r="C138" s="46" t="s">
        <v>603</v>
      </c>
      <c r="D138" s="46" t="s">
        <v>7595</v>
      </c>
      <c r="E138" s="46" t="s">
        <v>588</v>
      </c>
      <c r="F138" s="46" t="s">
        <v>14381</v>
      </c>
      <c r="G138" s="46" t="s">
        <v>14382</v>
      </c>
      <c r="H138" s="46" t="s">
        <v>607</v>
      </c>
      <c r="I138" s="46" t="s">
        <v>14383</v>
      </c>
      <c r="J138" s="46" t="s">
        <v>14074</v>
      </c>
      <c r="K138" s="218" t="s">
        <v>14384</v>
      </c>
      <c r="L138" s="185">
        <v>2</v>
      </c>
      <c r="M138" s="91">
        <v>300000</v>
      </c>
      <c r="N138" s="91">
        <v>490000</v>
      </c>
      <c r="O138" s="189" t="s">
        <v>10766</v>
      </c>
      <c r="P138" s="47" t="s">
        <v>14385</v>
      </c>
      <c r="Q138" s="47" t="s">
        <v>1939</v>
      </c>
      <c r="R138" s="47" t="s">
        <v>14387</v>
      </c>
      <c r="S138" s="47" t="s">
        <v>14386</v>
      </c>
      <c r="T138" s="46"/>
      <c r="U138" s="46" t="s">
        <v>491</v>
      </c>
      <c r="V138" s="46"/>
    </row>
    <row r="139" spans="1:22" s="47" customFormat="1" ht="120" x14ac:dyDescent="0.25">
      <c r="A139" s="61">
        <v>43510</v>
      </c>
      <c r="B139" s="47" t="s">
        <v>5956</v>
      </c>
      <c r="C139" s="46" t="s">
        <v>3369</v>
      </c>
      <c r="D139" s="46" t="s">
        <v>8126</v>
      </c>
      <c r="E139" s="46" t="s">
        <v>588</v>
      </c>
      <c r="F139" s="46" t="s">
        <v>14408</v>
      </c>
      <c r="G139" s="46" t="s">
        <v>7714</v>
      </c>
      <c r="H139" s="46" t="s">
        <v>607</v>
      </c>
      <c r="I139" s="46" t="s">
        <v>14388</v>
      </c>
      <c r="J139" s="46" t="s">
        <v>4825</v>
      </c>
      <c r="K139" s="218" t="s">
        <v>14389</v>
      </c>
      <c r="L139" s="185">
        <v>4</v>
      </c>
      <c r="M139" s="91">
        <v>297000</v>
      </c>
      <c r="N139" s="91">
        <v>600000</v>
      </c>
      <c r="O139" s="189" t="s">
        <v>10766</v>
      </c>
      <c r="P139" s="47" t="s">
        <v>14390</v>
      </c>
      <c r="Q139" s="47" t="s">
        <v>1939</v>
      </c>
      <c r="R139" s="47" t="s">
        <v>14409</v>
      </c>
      <c r="T139" s="46"/>
      <c r="U139" s="46" t="s">
        <v>491</v>
      </c>
      <c r="V139" s="46"/>
    </row>
    <row r="140" spans="1:22" s="47" customFormat="1" ht="105" x14ac:dyDescent="0.25">
      <c r="A140" s="61">
        <v>43510</v>
      </c>
      <c r="B140" s="47" t="s">
        <v>5956</v>
      </c>
      <c r="C140" s="46" t="s">
        <v>3369</v>
      </c>
      <c r="D140" s="46" t="s">
        <v>8126</v>
      </c>
      <c r="E140" s="46"/>
      <c r="F140" s="46" t="s">
        <v>14391</v>
      </c>
      <c r="G140" s="46" t="s">
        <v>14392</v>
      </c>
      <c r="H140" s="46" t="s">
        <v>607</v>
      </c>
      <c r="I140" s="46" t="s">
        <v>14393</v>
      </c>
      <c r="J140" s="46" t="s">
        <v>4825</v>
      </c>
      <c r="K140" s="218" t="s">
        <v>14394</v>
      </c>
      <c r="L140" s="185" t="s">
        <v>14395</v>
      </c>
      <c r="M140" s="91">
        <v>600000</v>
      </c>
      <c r="N140" s="91">
        <v>1200000</v>
      </c>
      <c r="O140" s="189" t="s">
        <v>10879</v>
      </c>
      <c r="P140" s="47" t="s">
        <v>14396</v>
      </c>
      <c r="Q140" s="47" t="s">
        <v>1939</v>
      </c>
      <c r="R140" s="47" t="s">
        <v>14397</v>
      </c>
      <c r="T140" s="46"/>
      <c r="U140" s="46" t="s">
        <v>491</v>
      </c>
      <c r="V140" s="46"/>
    </row>
    <row r="141" spans="1:22" s="47" customFormat="1" ht="60" x14ac:dyDescent="0.25">
      <c r="A141" s="61">
        <v>43510</v>
      </c>
      <c r="B141" s="47" t="s">
        <v>328</v>
      </c>
      <c r="C141" s="46" t="s">
        <v>603</v>
      </c>
      <c r="D141" s="46" t="s">
        <v>649</v>
      </c>
      <c r="E141" s="46"/>
      <c r="F141" s="46" t="s">
        <v>14398</v>
      </c>
      <c r="G141" s="46"/>
      <c r="H141" s="46" t="s">
        <v>10831</v>
      </c>
      <c r="I141" s="46" t="s">
        <v>14399</v>
      </c>
      <c r="J141" s="46" t="s">
        <v>4031</v>
      </c>
      <c r="K141" s="218" t="s">
        <v>14400</v>
      </c>
      <c r="L141" s="185">
        <v>3</v>
      </c>
      <c r="M141" s="91">
        <v>646610</v>
      </c>
      <c r="N141" s="91">
        <v>850000</v>
      </c>
      <c r="O141" s="189" t="s">
        <v>6745</v>
      </c>
      <c r="P141" s="47" t="s">
        <v>14401</v>
      </c>
      <c r="Q141" s="47" t="s">
        <v>1939</v>
      </c>
      <c r="R141" s="47" t="s">
        <v>14402</v>
      </c>
      <c r="S141" s="47" t="s">
        <v>14403</v>
      </c>
      <c r="T141" s="46"/>
      <c r="U141" s="46" t="s">
        <v>491</v>
      </c>
      <c r="V141" s="46"/>
    </row>
    <row r="142" spans="1:22" s="47" customFormat="1" ht="105" x14ac:dyDescent="0.25">
      <c r="A142" s="61">
        <v>43511</v>
      </c>
      <c r="B142" s="47" t="s">
        <v>9240</v>
      </c>
      <c r="C142" s="46" t="s">
        <v>603</v>
      </c>
      <c r="D142" s="46" t="s">
        <v>7814</v>
      </c>
      <c r="E142" s="46"/>
      <c r="F142" s="46" t="s">
        <v>6744</v>
      </c>
      <c r="G142" s="46" t="s">
        <v>14404</v>
      </c>
      <c r="H142" s="46" t="s">
        <v>607</v>
      </c>
      <c r="I142" s="46" t="s">
        <v>14405</v>
      </c>
      <c r="J142" s="46" t="s">
        <v>4031</v>
      </c>
      <c r="K142" s="218" t="s">
        <v>14406</v>
      </c>
      <c r="L142" s="185"/>
      <c r="M142" s="91">
        <v>176107</v>
      </c>
      <c r="N142" s="91">
        <v>380000</v>
      </c>
      <c r="O142" s="189" t="s">
        <v>10766</v>
      </c>
      <c r="P142" s="47" t="s">
        <v>14407</v>
      </c>
      <c r="Q142" s="47" t="s">
        <v>29</v>
      </c>
      <c r="R142" s="47" t="s">
        <v>14438</v>
      </c>
      <c r="T142" s="46"/>
      <c r="U142" s="46" t="s">
        <v>491</v>
      </c>
      <c r="V142" s="46"/>
    </row>
    <row r="143" spans="1:22" s="47" customFormat="1" ht="45" x14ac:dyDescent="0.25">
      <c r="A143" s="61">
        <v>43511</v>
      </c>
      <c r="B143" s="47" t="s">
        <v>13559</v>
      </c>
      <c r="C143" s="46" t="s">
        <v>602</v>
      </c>
      <c r="D143" s="46" t="s">
        <v>757</v>
      </c>
      <c r="E143" s="46"/>
      <c r="F143" s="46" t="s">
        <v>14410</v>
      </c>
      <c r="G143" s="46" t="s">
        <v>14411</v>
      </c>
      <c r="H143" s="46" t="s">
        <v>607</v>
      </c>
      <c r="I143" s="46" t="s">
        <v>11798</v>
      </c>
      <c r="J143" s="46" t="s">
        <v>602</v>
      </c>
      <c r="K143" s="218" t="s">
        <v>14412</v>
      </c>
      <c r="L143" s="185"/>
      <c r="M143" s="91">
        <v>3136000</v>
      </c>
      <c r="N143" s="91">
        <v>3936000</v>
      </c>
      <c r="O143" s="189" t="s">
        <v>560</v>
      </c>
      <c r="P143" s="47" t="s">
        <v>14414</v>
      </c>
      <c r="Q143" s="47" t="s">
        <v>1612</v>
      </c>
      <c r="R143" s="47" t="s">
        <v>14413</v>
      </c>
      <c r="T143" s="46"/>
      <c r="U143" s="46" t="s">
        <v>491</v>
      </c>
      <c r="V143" s="46"/>
    </row>
    <row r="144" spans="1:22" s="47" customFormat="1" ht="90" x14ac:dyDescent="0.25">
      <c r="A144" s="61">
        <v>43514</v>
      </c>
      <c r="B144" s="47" t="s">
        <v>328</v>
      </c>
      <c r="C144" s="46" t="s">
        <v>603</v>
      </c>
      <c r="D144" s="46" t="s">
        <v>10705</v>
      </c>
      <c r="E144" s="46"/>
      <c r="F144" s="46" t="s">
        <v>8573</v>
      </c>
      <c r="G144" s="46" t="s">
        <v>10194</v>
      </c>
      <c r="H144" s="46" t="s">
        <v>607</v>
      </c>
      <c r="I144" s="46" t="s">
        <v>14415</v>
      </c>
      <c r="J144" s="46" t="s">
        <v>3373</v>
      </c>
      <c r="K144" s="218" t="s">
        <v>14416</v>
      </c>
      <c r="L144" s="185">
        <v>5</v>
      </c>
      <c r="M144" s="91">
        <v>200000</v>
      </c>
      <c r="N144" s="91">
        <v>340000</v>
      </c>
      <c r="O144" s="189" t="s">
        <v>10766</v>
      </c>
      <c r="P144" s="47" t="s">
        <v>14417</v>
      </c>
      <c r="Q144" s="47" t="s">
        <v>620</v>
      </c>
      <c r="R144" s="47" t="s">
        <v>14418</v>
      </c>
      <c r="S144" s="47" t="s">
        <v>14419</v>
      </c>
      <c r="T144" s="46"/>
      <c r="U144" s="46" t="s">
        <v>491</v>
      </c>
      <c r="V144" s="46"/>
    </row>
    <row r="145" spans="1:22" s="47" customFormat="1" ht="75" x14ac:dyDescent="0.25">
      <c r="A145" s="61">
        <v>43514</v>
      </c>
      <c r="B145" s="47" t="s">
        <v>643</v>
      </c>
      <c r="C145" s="46" t="s">
        <v>644</v>
      </c>
      <c r="D145" s="46" t="s">
        <v>645</v>
      </c>
      <c r="E145" s="46"/>
      <c r="F145" s="46" t="s">
        <v>7990</v>
      </c>
      <c r="G145" s="46" t="s">
        <v>14420</v>
      </c>
      <c r="H145" s="46" t="s">
        <v>809</v>
      </c>
      <c r="I145" s="46" t="s">
        <v>14421</v>
      </c>
      <c r="J145" s="46" t="s">
        <v>899</v>
      </c>
      <c r="K145" s="218" t="s">
        <v>14422</v>
      </c>
      <c r="L145" s="185">
        <v>10</v>
      </c>
      <c r="M145" s="91">
        <v>120000</v>
      </c>
      <c r="N145" s="91">
        <v>122500</v>
      </c>
      <c r="O145" s="189" t="s">
        <v>10762</v>
      </c>
      <c r="P145" s="47" t="s">
        <v>14423</v>
      </c>
      <c r="Q145" s="47" t="s">
        <v>592</v>
      </c>
      <c r="R145" s="47" t="s">
        <v>14424</v>
      </c>
      <c r="T145" s="46"/>
      <c r="U145" s="46" t="s">
        <v>491</v>
      </c>
      <c r="V145" s="46"/>
    </row>
    <row r="146" spans="1:22" s="47" customFormat="1" ht="90" x14ac:dyDescent="0.25">
      <c r="A146" s="61">
        <v>43514</v>
      </c>
      <c r="B146" s="47" t="s">
        <v>569</v>
      </c>
      <c r="C146" s="46" t="s">
        <v>899</v>
      </c>
      <c r="D146" s="46" t="s">
        <v>11286</v>
      </c>
      <c r="E146" s="46"/>
      <c r="F146" s="46" t="s">
        <v>14425</v>
      </c>
      <c r="G146" s="46" t="s">
        <v>14426</v>
      </c>
      <c r="H146" s="46" t="s">
        <v>607</v>
      </c>
      <c r="I146" s="46" t="s">
        <v>13686</v>
      </c>
      <c r="J146" s="46" t="s">
        <v>899</v>
      </c>
      <c r="K146" s="218" t="s">
        <v>13687</v>
      </c>
      <c r="L146" s="185">
        <v>10</v>
      </c>
      <c r="M146" s="91">
        <v>432064</v>
      </c>
      <c r="N146" s="91">
        <v>432064</v>
      </c>
      <c r="O146" s="189" t="s">
        <v>10766</v>
      </c>
      <c r="P146" s="47" t="s">
        <v>14428</v>
      </c>
      <c r="Q146" s="47" t="s">
        <v>620</v>
      </c>
      <c r="R146" s="47" t="s">
        <v>14700</v>
      </c>
      <c r="S146" s="47" t="s">
        <v>14427</v>
      </c>
      <c r="T146" s="46"/>
      <c r="U146" s="46" t="s">
        <v>491</v>
      </c>
      <c r="V146" s="46"/>
    </row>
    <row r="147" spans="1:22" s="47" customFormat="1" ht="30" x14ac:dyDescent="0.25">
      <c r="A147" s="61">
        <v>43514</v>
      </c>
      <c r="B147" s="47" t="s">
        <v>328</v>
      </c>
      <c r="C147" s="46" t="s">
        <v>603</v>
      </c>
      <c r="D147" s="46" t="s">
        <v>1401</v>
      </c>
      <c r="E147" s="46"/>
      <c r="F147" s="46" t="s">
        <v>14429</v>
      </c>
      <c r="G147" s="46" t="s">
        <v>14430</v>
      </c>
      <c r="H147" s="46" t="s">
        <v>886</v>
      </c>
      <c r="I147" s="46" t="s">
        <v>12764</v>
      </c>
      <c r="J147" s="46" t="s">
        <v>899</v>
      </c>
      <c r="K147" s="218" t="s">
        <v>14431</v>
      </c>
      <c r="L147" s="185">
        <v>2</v>
      </c>
      <c r="M147" s="91">
        <v>4000000</v>
      </c>
      <c r="N147" s="91">
        <v>4000000</v>
      </c>
      <c r="O147" s="189" t="s">
        <v>560</v>
      </c>
      <c r="P147" s="47" t="s">
        <v>14432</v>
      </c>
      <c r="Q147" s="47" t="s">
        <v>592</v>
      </c>
      <c r="R147" s="47" t="s">
        <v>14433</v>
      </c>
      <c r="T147" s="46"/>
      <c r="U147" s="46" t="s">
        <v>491</v>
      </c>
      <c r="V147" s="46"/>
    </row>
    <row r="148" spans="1:22" s="47" customFormat="1" ht="120" x14ac:dyDescent="0.25">
      <c r="A148" s="61">
        <v>43514</v>
      </c>
      <c r="B148" s="47" t="s">
        <v>13559</v>
      </c>
      <c r="C148" s="46" t="s">
        <v>4031</v>
      </c>
      <c r="D148" s="46" t="s">
        <v>13560</v>
      </c>
      <c r="E148" s="46"/>
      <c r="F148" s="46" t="s">
        <v>11923</v>
      </c>
      <c r="G148" s="46" t="s">
        <v>11924</v>
      </c>
      <c r="H148" s="46" t="s">
        <v>809</v>
      </c>
      <c r="I148" s="46" t="s">
        <v>14434</v>
      </c>
      <c r="J148" s="46" t="s">
        <v>5402</v>
      </c>
      <c r="K148" s="218" t="s">
        <v>14435</v>
      </c>
      <c r="L148" s="185">
        <v>2</v>
      </c>
      <c r="M148" s="91">
        <v>558000</v>
      </c>
      <c r="N148" s="91">
        <v>558000</v>
      </c>
      <c r="O148" s="189" t="s">
        <v>7564</v>
      </c>
      <c r="P148" s="47" t="s">
        <v>14436</v>
      </c>
      <c r="Q148" s="47" t="s">
        <v>1612</v>
      </c>
      <c r="R148" s="47" t="s">
        <v>14437</v>
      </c>
      <c r="T148" s="46"/>
      <c r="U148" s="46" t="s">
        <v>491</v>
      </c>
      <c r="V148" s="46"/>
    </row>
    <row r="149" spans="1:22" s="47" customFormat="1" ht="75" x14ac:dyDescent="0.25">
      <c r="A149" s="61">
        <v>43516</v>
      </c>
      <c r="B149" s="47" t="s">
        <v>569</v>
      </c>
      <c r="C149" s="46" t="s">
        <v>899</v>
      </c>
      <c r="D149" s="46" t="s">
        <v>3505</v>
      </c>
      <c r="E149" s="46"/>
      <c r="F149" s="46" t="s">
        <v>14439</v>
      </c>
      <c r="G149" s="46" t="s">
        <v>8263</v>
      </c>
      <c r="H149" s="46" t="s">
        <v>607</v>
      </c>
      <c r="I149" s="46" t="s">
        <v>2054</v>
      </c>
      <c r="J149" s="46" t="s">
        <v>899</v>
      </c>
      <c r="K149" s="218" t="s">
        <v>14440</v>
      </c>
      <c r="L149" s="185">
        <v>1</v>
      </c>
      <c r="M149" s="91">
        <v>911000</v>
      </c>
      <c r="N149" s="91">
        <v>1800000</v>
      </c>
      <c r="O149" s="189" t="s">
        <v>49</v>
      </c>
      <c r="P149" s="47" t="s">
        <v>14441</v>
      </c>
      <c r="Q149" s="47" t="s">
        <v>592</v>
      </c>
      <c r="T149" s="46"/>
      <c r="U149" s="46"/>
      <c r="V149" s="46"/>
    </row>
    <row r="150" spans="1:22" s="47" customFormat="1" ht="120" x14ac:dyDescent="0.25">
      <c r="A150" s="61">
        <v>43516</v>
      </c>
      <c r="B150" s="47" t="s">
        <v>5956</v>
      </c>
      <c r="C150" s="46" t="s">
        <v>3369</v>
      </c>
      <c r="D150" s="46" t="s">
        <v>8126</v>
      </c>
      <c r="E150" s="46"/>
      <c r="F150" s="46" t="s">
        <v>14453</v>
      </c>
      <c r="G150" s="46"/>
      <c r="H150" s="46" t="s">
        <v>10832</v>
      </c>
      <c r="I150" s="46" t="s">
        <v>14454</v>
      </c>
      <c r="J150" s="46" t="s">
        <v>3369</v>
      </c>
      <c r="K150" s="218" t="s">
        <v>14455</v>
      </c>
      <c r="L150" s="185">
        <v>3</v>
      </c>
      <c r="M150" s="91">
        <v>680000</v>
      </c>
      <c r="N150" s="91">
        <f>M150+100000+75000</f>
        <v>855000</v>
      </c>
      <c r="O150" s="189" t="s">
        <v>10879</v>
      </c>
      <c r="P150" s="47" t="s">
        <v>14456</v>
      </c>
      <c r="Q150" s="47" t="s">
        <v>1939</v>
      </c>
      <c r="R150" s="47" t="s">
        <v>14457</v>
      </c>
      <c r="T150" s="46"/>
      <c r="U150" s="46" t="s">
        <v>12797</v>
      </c>
      <c r="V150" s="46"/>
    </row>
    <row r="151" spans="1:22" s="47" customFormat="1" ht="75" x14ac:dyDescent="0.25">
      <c r="A151" s="61">
        <v>43516</v>
      </c>
      <c r="B151" s="47" t="s">
        <v>9240</v>
      </c>
      <c r="C151" s="46" t="s">
        <v>603</v>
      </c>
      <c r="D151" s="46" t="s">
        <v>9241</v>
      </c>
      <c r="E151" s="46"/>
      <c r="F151" s="46" t="s">
        <v>14458</v>
      </c>
      <c r="G151" s="46" t="s">
        <v>11187</v>
      </c>
      <c r="H151" s="46" t="s">
        <v>607</v>
      </c>
      <c r="I151" s="46" t="s">
        <v>14459</v>
      </c>
      <c r="J151" s="46" t="s">
        <v>4031</v>
      </c>
      <c r="K151" s="218" t="s">
        <v>14460</v>
      </c>
      <c r="L151" s="185"/>
      <c r="M151" s="91"/>
      <c r="N151" s="91"/>
      <c r="O151" s="189" t="s">
        <v>10766</v>
      </c>
      <c r="P151" s="47" t="s">
        <v>14567</v>
      </c>
      <c r="Q151" s="47" t="s">
        <v>620</v>
      </c>
      <c r="R151" s="47" t="s">
        <v>14461</v>
      </c>
      <c r="T151" s="46"/>
      <c r="U151" s="46" t="s">
        <v>12797</v>
      </c>
      <c r="V151" s="46"/>
    </row>
    <row r="152" spans="1:22" s="47" customFormat="1" ht="90" x14ac:dyDescent="0.25">
      <c r="A152" s="61">
        <v>43516</v>
      </c>
      <c r="B152" s="47" t="s">
        <v>328</v>
      </c>
      <c r="C152" s="46" t="s">
        <v>603</v>
      </c>
      <c r="D152" s="46" t="s">
        <v>5701</v>
      </c>
      <c r="E152" s="46"/>
      <c r="F152" s="46" t="s">
        <v>328</v>
      </c>
      <c r="G152" s="46" t="s">
        <v>611</v>
      </c>
      <c r="H152" s="46" t="s">
        <v>607</v>
      </c>
      <c r="I152" s="46" t="s">
        <v>14462</v>
      </c>
      <c r="J152" s="46" t="s">
        <v>602</v>
      </c>
      <c r="K152" s="218" t="s">
        <v>14463</v>
      </c>
      <c r="L152" s="185">
        <v>1</v>
      </c>
      <c r="M152" s="91">
        <v>140900</v>
      </c>
      <c r="N152" s="91">
        <f>M152+14090+98630+14090</f>
        <v>267710</v>
      </c>
      <c r="O152" s="189" t="s">
        <v>10766</v>
      </c>
      <c r="P152" s="47" t="s">
        <v>14568</v>
      </c>
      <c r="Q152" s="47" t="s">
        <v>1939</v>
      </c>
      <c r="R152" s="47" t="s">
        <v>14464</v>
      </c>
      <c r="T152" s="46"/>
      <c r="U152" s="46" t="s">
        <v>12797</v>
      </c>
      <c r="V152" s="46"/>
    </row>
    <row r="153" spans="1:22" s="47" customFormat="1" ht="75" x14ac:dyDescent="0.25">
      <c r="A153" s="61">
        <v>43516</v>
      </c>
      <c r="B153" s="47" t="s">
        <v>5956</v>
      </c>
      <c r="C153" s="46" t="s">
        <v>3369</v>
      </c>
      <c r="D153" s="46" t="s">
        <v>8126</v>
      </c>
      <c r="E153" s="46"/>
      <c r="F153" s="46" t="s">
        <v>14465</v>
      </c>
      <c r="G153" s="46" t="s">
        <v>14466</v>
      </c>
      <c r="H153" s="46" t="s">
        <v>607</v>
      </c>
      <c r="I153" s="46" t="s">
        <v>7522</v>
      </c>
      <c r="J153" s="46" t="s">
        <v>4825</v>
      </c>
      <c r="K153" s="218" t="s">
        <v>14467</v>
      </c>
      <c r="L153" s="185">
        <v>5</v>
      </c>
      <c r="M153" s="91">
        <v>326000</v>
      </c>
      <c r="N153" s="91">
        <f>M153+32600+228200+65200</f>
        <v>652000</v>
      </c>
      <c r="O153" s="189" t="s">
        <v>10766</v>
      </c>
      <c r="P153" s="47" t="s">
        <v>14569</v>
      </c>
      <c r="Q153" s="47" t="s">
        <v>1939</v>
      </c>
      <c r="R153" s="47" t="s">
        <v>14468</v>
      </c>
      <c r="T153" s="46"/>
      <c r="U153" s="46" t="s">
        <v>12797</v>
      </c>
      <c r="V153" s="46"/>
    </row>
    <row r="154" spans="1:22" s="47" customFormat="1" ht="90" x14ac:dyDescent="0.25">
      <c r="A154" s="61">
        <v>43517</v>
      </c>
      <c r="B154" s="47" t="s">
        <v>328</v>
      </c>
      <c r="C154" s="46" t="s">
        <v>603</v>
      </c>
      <c r="D154" s="46" t="s">
        <v>5701</v>
      </c>
      <c r="E154" s="46"/>
      <c r="F154" s="46" t="s">
        <v>14469</v>
      </c>
      <c r="G154" s="46" t="s">
        <v>748</v>
      </c>
      <c r="H154" s="46" t="s">
        <v>607</v>
      </c>
      <c r="I154" s="46" t="s">
        <v>7025</v>
      </c>
      <c r="J154" s="46" t="s">
        <v>3373</v>
      </c>
      <c r="K154" s="218" t="s">
        <v>13313</v>
      </c>
      <c r="L154" s="185">
        <v>2</v>
      </c>
      <c r="M154" s="91">
        <v>300000</v>
      </c>
      <c r="N154" s="91">
        <f>M154+30000+150000+30000</f>
        <v>510000</v>
      </c>
      <c r="O154" s="189" t="s">
        <v>10879</v>
      </c>
      <c r="P154" s="47" t="s">
        <v>14470</v>
      </c>
      <c r="Q154" s="47" t="s">
        <v>29</v>
      </c>
      <c r="R154" s="47" t="s">
        <v>14471</v>
      </c>
      <c r="T154" s="46"/>
      <c r="U154" s="46" t="s">
        <v>12797</v>
      </c>
      <c r="V154" s="46"/>
    </row>
    <row r="155" spans="1:22" s="47" customFormat="1" ht="150" x14ac:dyDescent="0.25">
      <c r="A155" s="61">
        <v>43517</v>
      </c>
      <c r="B155" s="47" t="s">
        <v>328</v>
      </c>
      <c r="C155" s="46" t="s">
        <v>603</v>
      </c>
      <c r="D155" s="46" t="s">
        <v>10705</v>
      </c>
      <c r="E155" s="46"/>
      <c r="F155" s="46" t="s">
        <v>14472</v>
      </c>
      <c r="G155" s="46" t="s">
        <v>8263</v>
      </c>
      <c r="H155" s="46" t="s">
        <v>607</v>
      </c>
      <c r="I155" s="46" t="s">
        <v>14473</v>
      </c>
      <c r="J155" s="46" t="s">
        <v>603</v>
      </c>
      <c r="K155" s="218" t="s">
        <v>14474</v>
      </c>
      <c r="L155" s="185">
        <v>4</v>
      </c>
      <c r="M155" s="91">
        <v>200000</v>
      </c>
      <c r="N155" s="91">
        <f>M155+20000+140000+20000</f>
        <v>380000</v>
      </c>
      <c r="O155" s="189" t="s">
        <v>4533</v>
      </c>
      <c r="P155" s="47" t="s">
        <v>14475</v>
      </c>
      <c r="Q155" s="47" t="s">
        <v>620</v>
      </c>
      <c r="R155" s="47" t="s">
        <v>14476</v>
      </c>
      <c r="T155" s="46"/>
      <c r="U155" s="46" t="s">
        <v>12797</v>
      </c>
      <c r="V155" s="46"/>
    </row>
    <row r="156" spans="1:22" s="47" customFormat="1" ht="45" x14ac:dyDescent="0.25">
      <c r="A156" s="61">
        <v>43518</v>
      </c>
      <c r="B156" s="47" t="s">
        <v>328</v>
      </c>
      <c r="C156" s="46" t="s">
        <v>603</v>
      </c>
      <c r="D156" s="46" t="s">
        <v>649</v>
      </c>
      <c r="E156" s="46"/>
      <c r="F156" s="46" t="s">
        <v>14477</v>
      </c>
      <c r="G156" s="46" t="s">
        <v>8289</v>
      </c>
      <c r="H156" s="46" t="s">
        <v>607</v>
      </c>
      <c r="I156" s="46" t="s">
        <v>14478</v>
      </c>
      <c r="J156" s="46" t="s">
        <v>14074</v>
      </c>
      <c r="K156" s="218" t="s">
        <v>14479</v>
      </c>
      <c r="L156" s="185">
        <v>5</v>
      </c>
      <c r="M156" s="91">
        <v>300000</v>
      </c>
      <c r="N156" s="91">
        <f>M156+30000+150000+30000</f>
        <v>510000</v>
      </c>
      <c r="O156" s="189" t="s">
        <v>4533</v>
      </c>
      <c r="P156" s="47" t="s">
        <v>14480</v>
      </c>
      <c r="Q156" s="47" t="s">
        <v>1939</v>
      </c>
      <c r="R156" s="47" t="s">
        <v>14481</v>
      </c>
      <c r="T156" s="46"/>
      <c r="U156" s="46" t="s">
        <v>12797</v>
      </c>
      <c r="V156" s="46"/>
    </row>
    <row r="157" spans="1:22" s="47" customFormat="1" ht="90" x14ac:dyDescent="0.25">
      <c r="A157" s="61">
        <v>43518</v>
      </c>
      <c r="B157" s="47" t="s">
        <v>328</v>
      </c>
      <c r="C157" s="46" t="s">
        <v>603</v>
      </c>
      <c r="D157" s="46" t="s">
        <v>649</v>
      </c>
      <c r="E157" s="46"/>
      <c r="F157" s="46" t="s">
        <v>14482</v>
      </c>
      <c r="G157" s="46" t="s">
        <v>14483</v>
      </c>
      <c r="H157" s="46" t="s">
        <v>905</v>
      </c>
      <c r="I157" s="46" t="s">
        <v>14484</v>
      </c>
      <c r="J157" s="46" t="s">
        <v>3523</v>
      </c>
      <c r="K157" s="218" t="s">
        <v>14485</v>
      </c>
      <c r="L157" s="185">
        <v>6</v>
      </c>
      <c r="M157" s="91">
        <v>548000</v>
      </c>
      <c r="N157" s="91">
        <f>M157+5480+5000+30000</f>
        <v>588480</v>
      </c>
      <c r="O157" s="189" t="s">
        <v>10766</v>
      </c>
      <c r="P157" s="47" t="s">
        <v>14486</v>
      </c>
      <c r="Q157" s="47" t="s">
        <v>29</v>
      </c>
      <c r="R157" s="47" t="s">
        <v>14487</v>
      </c>
      <c r="T157" s="46"/>
      <c r="U157" s="46" t="s">
        <v>12797</v>
      </c>
      <c r="V157" s="46"/>
    </row>
    <row r="158" spans="1:22" s="47" customFormat="1" ht="180" x14ac:dyDescent="0.25">
      <c r="A158" s="61">
        <v>43518</v>
      </c>
      <c r="B158" s="47" t="s">
        <v>569</v>
      </c>
      <c r="C158" s="46" t="s">
        <v>899</v>
      </c>
      <c r="D158" s="46" t="s">
        <v>625</v>
      </c>
      <c r="E158" s="46"/>
      <c r="F158" s="46" t="s">
        <v>14488</v>
      </c>
      <c r="G158" s="46" t="s">
        <v>7814</v>
      </c>
      <c r="H158" s="46" t="s">
        <v>607</v>
      </c>
      <c r="I158" s="46" t="s">
        <v>14489</v>
      </c>
      <c r="J158" s="46" t="s">
        <v>899</v>
      </c>
      <c r="K158" s="218" t="s">
        <v>14490</v>
      </c>
      <c r="L158" s="185">
        <v>5</v>
      </c>
      <c r="M158" s="91">
        <v>1000000</v>
      </c>
      <c r="N158" s="91">
        <f>M158+100000+300000+100000</f>
        <v>1500000</v>
      </c>
      <c r="O158" s="189" t="s">
        <v>10766</v>
      </c>
      <c r="P158" s="47" t="s">
        <v>14491</v>
      </c>
      <c r="Q158" s="47" t="s">
        <v>592</v>
      </c>
      <c r="R158" s="47" t="s">
        <v>14790</v>
      </c>
      <c r="S158" s="47" t="s">
        <v>14791</v>
      </c>
      <c r="T158" s="46"/>
      <c r="U158" s="46" t="s">
        <v>12797</v>
      </c>
      <c r="V158" s="46"/>
    </row>
    <row r="159" spans="1:22" s="47" customFormat="1" ht="105" x14ac:dyDescent="0.25">
      <c r="A159" s="61">
        <v>43518</v>
      </c>
      <c r="B159" s="47" t="s">
        <v>569</v>
      </c>
      <c r="C159" s="46" t="s">
        <v>899</v>
      </c>
      <c r="D159" s="46" t="s">
        <v>625</v>
      </c>
      <c r="E159" s="46"/>
      <c r="F159" s="46" t="s">
        <v>14492</v>
      </c>
      <c r="G159" s="46" t="s">
        <v>14493</v>
      </c>
      <c r="H159" s="46" t="s">
        <v>905</v>
      </c>
      <c r="I159" s="46" t="s">
        <v>2054</v>
      </c>
      <c r="J159" s="46" t="s">
        <v>899</v>
      </c>
      <c r="K159" s="218" t="s">
        <v>14494</v>
      </c>
      <c r="L159" s="185"/>
      <c r="M159" s="91">
        <v>794000</v>
      </c>
      <c r="N159" s="91">
        <f>M159+79400+10000</f>
        <v>883400</v>
      </c>
      <c r="O159" s="189" t="s">
        <v>7564</v>
      </c>
      <c r="P159" s="47" t="s">
        <v>14570</v>
      </c>
      <c r="Q159" s="47" t="s">
        <v>592</v>
      </c>
      <c r="R159" s="47" t="s">
        <v>14495</v>
      </c>
      <c r="T159" s="46"/>
      <c r="U159" s="46" t="s">
        <v>12797</v>
      </c>
      <c r="V159" s="46"/>
    </row>
    <row r="160" spans="1:22" s="47" customFormat="1" ht="30" x14ac:dyDescent="0.25">
      <c r="A160" s="61">
        <v>43518</v>
      </c>
      <c r="B160" s="47" t="s">
        <v>13559</v>
      </c>
      <c r="C160" s="46" t="s">
        <v>602</v>
      </c>
      <c r="D160" s="46" t="s">
        <v>14496</v>
      </c>
      <c r="E160" s="46"/>
      <c r="F160" s="46" t="s">
        <v>14497</v>
      </c>
      <c r="G160" s="46" t="s">
        <v>7792</v>
      </c>
      <c r="H160" s="46" t="s">
        <v>10831</v>
      </c>
      <c r="I160" s="46" t="s">
        <v>11798</v>
      </c>
      <c r="J160" s="46" t="s">
        <v>602</v>
      </c>
      <c r="K160" s="218" t="s">
        <v>14412</v>
      </c>
      <c r="L160" s="185">
        <v>3</v>
      </c>
      <c r="M160" s="225">
        <v>3580538</v>
      </c>
      <c r="N160" s="91">
        <f>M160+400000</f>
        <v>3980538</v>
      </c>
      <c r="O160" s="189" t="s">
        <v>560</v>
      </c>
      <c r="P160" s="47" t="s">
        <v>14498</v>
      </c>
      <c r="Q160" s="47" t="s">
        <v>592</v>
      </c>
      <c r="R160" s="47" t="s">
        <v>14499</v>
      </c>
      <c r="T160" s="46"/>
      <c r="U160" s="46" t="s">
        <v>12797</v>
      </c>
      <c r="V160" s="46"/>
    </row>
    <row r="161" spans="1:22" s="47" customFormat="1" ht="120" x14ac:dyDescent="0.25">
      <c r="A161" s="61">
        <v>43518</v>
      </c>
      <c r="B161" s="47" t="s">
        <v>328</v>
      </c>
      <c r="C161" s="46" t="s">
        <v>603</v>
      </c>
      <c r="D161" s="46" t="s">
        <v>649</v>
      </c>
      <c r="E161" s="46"/>
      <c r="F161" s="46" t="s">
        <v>14500</v>
      </c>
      <c r="G161" s="46" t="s">
        <v>14501</v>
      </c>
      <c r="H161" s="46" t="s">
        <v>607</v>
      </c>
      <c r="I161" s="46" t="s">
        <v>9769</v>
      </c>
      <c r="J161" s="46" t="s">
        <v>3885</v>
      </c>
      <c r="K161" s="218" t="s">
        <v>14502</v>
      </c>
      <c r="L161" s="185">
        <v>3</v>
      </c>
      <c r="M161" s="225">
        <v>195700</v>
      </c>
      <c r="N161" s="225">
        <f>M161+19570+97850+39140</f>
        <v>352260</v>
      </c>
      <c r="O161" s="189" t="s">
        <v>4533</v>
      </c>
      <c r="P161" s="47" t="s">
        <v>14503</v>
      </c>
      <c r="Q161" s="47" t="s">
        <v>592</v>
      </c>
      <c r="R161" s="47" t="s">
        <v>14504</v>
      </c>
      <c r="T161" s="46"/>
      <c r="U161" s="46" t="s">
        <v>12797</v>
      </c>
      <c r="V161" s="46"/>
    </row>
    <row r="162" spans="1:22" s="47" customFormat="1" ht="165" x14ac:dyDescent="0.25">
      <c r="A162" s="61">
        <v>43518</v>
      </c>
      <c r="B162" s="47" t="s">
        <v>643</v>
      </c>
      <c r="C162" s="46" t="s">
        <v>644</v>
      </c>
      <c r="D162" s="46" t="s">
        <v>645</v>
      </c>
      <c r="E162" s="46"/>
      <c r="F162" s="46" t="s">
        <v>14505</v>
      </c>
      <c r="G162" s="46" t="s">
        <v>14506</v>
      </c>
      <c r="H162" s="46" t="s">
        <v>905</v>
      </c>
      <c r="I162" s="46" t="s">
        <v>4390</v>
      </c>
      <c r="J162" s="46" t="s">
        <v>644</v>
      </c>
      <c r="K162" s="218" t="s">
        <v>14507</v>
      </c>
      <c r="L162" s="185">
        <v>9</v>
      </c>
      <c r="M162" s="91">
        <v>140000</v>
      </c>
      <c r="N162" s="91">
        <f>M162+5000+14000</f>
        <v>159000</v>
      </c>
      <c r="O162" s="189" t="s">
        <v>10765</v>
      </c>
      <c r="P162" s="47" t="s">
        <v>14508</v>
      </c>
      <c r="Q162" s="47" t="s">
        <v>1939</v>
      </c>
      <c r="R162" s="47" t="s">
        <v>14571</v>
      </c>
      <c r="T162" s="46"/>
      <c r="U162" s="46" t="s">
        <v>12797</v>
      </c>
      <c r="V162" s="46"/>
    </row>
    <row r="163" spans="1:22" s="47" customFormat="1" ht="60" x14ac:dyDescent="0.25">
      <c r="A163" s="61">
        <v>43521</v>
      </c>
      <c r="B163" s="47" t="s">
        <v>12367</v>
      </c>
      <c r="C163" s="46" t="s">
        <v>5610</v>
      </c>
      <c r="D163" s="46" t="s">
        <v>11795</v>
      </c>
      <c r="E163" s="46"/>
      <c r="F163" s="46" t="s">
        <v>7924</v>
      </c>
      <c r="G163" s="46" t="s">
        <v>14509</v>
      </c>
      <c r="H163" s="46" t="s">
        <v>607</v>
      </c>
      <c r="I163" s="46" t="s">
        <v>8733</v>
      </c>
      <c r="J163" s="46" t="s">
        <v>602</v>
      </c>
      <c r="K163" s="218" t="s">
        <v>14510</v>
      </c>
      <c r="L163" s="185">
        <v>2</v>
      </c>
      <c r="M163" s="91">
        <v>250000</v>
      </c>
      <c r="N163" s="91">
        <f>M163+25000+125000+50000</f>
        <v>450000</v>
      </c>
      <c r="O163" s="189" t="s">
        <v>10766</v>
      </c>
      <c r="P163" s="47" t="s">
        <v>14511</v>
      </c>
      <c r="Q163" s="47" t="s">
        <v>592</v>
      </c>
      <c r="R163" s="47" t="s">
        <v>14512</v>
      </c>
      <c r="T163" s="46"/>
      <c r="U163" s="46" t="s">
        <v>12797</v>
      </c>
      <c r="V163" s="46"/>
    </row>
    <row r="164" spans="1:22" s="47" customFormat="1" ht="90" x14ac:dyDescent="0.25">
      <c r="A164" s="61">
        <v>43521</v>
      </c>
      <c r="B164" s="47" t="s">
        <v>13559</v>
      </c>
      <c r="C164" s="46" t="s">
        <v>4031</v>
      </c>
      <c r="D164" s="46" t="s">
        <v>13560</v>
      </c>
      <c r="E164" s="46"/>
      <c r="F164" s="46" t="s">
        <v>14513</v>
      </c>
      <c r="G164" s="46" t="s">
        <v>14514</v>
      </c>
      <c r="H164" s="46" t="s">
        <v>607</v>
      </c>
      <c r="I164" s="46" t="s">
        <v>8193</v>
      </c>
      <c r="J164" s="46" t="s">
        <v>8194</v>
      </c>
      <c r="K164" s="218" t="s">
        <v>14515</v>
      </c>
      <c r="L164" s="185">
        <v>10</v>
      </c>
      <c r="M164" s="91">
        <v>1700000</v>
      </c>
      <c r="N164" s="91">
        <f>M164+800000+705000+170000</f>
        <v>3375000</v>
      </c>
      <c r="O164" s="189" t="s">
        <v>7124</v>
      </c>
      <c r="P164" s="47" t="s">
        <v>14572</v>
      </c>
      <c r="Q164" s="47" t="s">
        <v>29</v>
      </c>
      <c r="R164" s="47" t="s">
        <v>14516</v>
      </c>
      <c r="T164" s="46"/>
      <c r="U164" s="46" t="s">
        <v>12797</v>
      </c>
      <c r="V164" s="46"/>
    </row>
    <row r="165" spans="1:22" s="47" customFormat="1" ht="45" x14ac:dyDescent="0.25">
      <c r="A165" s="61">
        <v>43521</v>
      </c>
      <c r="B165" s="47" t="s">
        <v>328</v>
      </c>
      <c r="C165" s="46" t="s">
        <v>603</v>
      </c>
      <c r="D165" s="46" t="s">
        <v>10705</v>
      </c>
      <c r="E165" s="46"/>
      <c r="F165" s="46" t="s">
        <v>14517</v>
      </c>
      <c r="G165" s="46" t="s">
        <v>14496</v>
      </c>
      <c r="H165" s="46" t="s">
        <v>905</v>
      </c>
      <c r="I165" s="46" t="s">
        <v>7312</v>
      </c>
      <c r="J165" s="46" t="s">
        <v>3612</v>
      </c>
      <c r="K165" s="218" t="s">
        <v>14518</v>
      </c>
      <c r="L165" s="185">
        <v>3</v>
      </c>
      <c r="M165" s="91">
        <v>40000</v>
      </c>
      <c r="N165" s="91">
        <f>M165+4000+6000+8000</f>
        <v>58000</v>
      </c>
      <c r="O165" s="189" t="s">
        <v>10764</v>
      </c>
      <c r="P165" s="47" t="s">
        <v>14519</v>
      </c>
      <c r="Q165" s="47" t="s">
        <v>29</v>
      </c>
      <c r="R165" s="47" t="s">
        <v>14520</v>
      </c>
      <c r="T165" s="46"/>
      <c r="U165" s="46" t="s">
        <v>12797</v>
      </c>
      <c r="V165" s="46"/>
    </row>
    <row r="166" spans="1:22" s="47" customFormat="1" ht="75" x14ac:dyDescent="0.25">
      <c r="A166" s="61">
        <v>43521</v>
      </c>
      <c r="B166" s="47" t="s">
        <v>13559</v>
      </c>
      <c r="C166" s="46" t="s">
        <v>4031</v>
      </c>
      <c r="D166" s="46" t="s">
        <v>13560</v>
      </c>
      <c r="E166" s="46"/>
      <c r="F166" s="46" t="s">
        <v>8424</v>
      </c>
      <c r="G166" s="46" t="s">
        <v>11155</v>
      </c>
      <c r="H166" s="46" t="s">
        <v>10831</v>
      </c>
      <c r="I166" s="46" t="s">
        <v>14521</v>
      </c>
      <c r="J166" s="46" t="s">
        <v>608</v>
      </c>
      <c r="K166" s="218" t="s">
        <v>14522</v>
      </c>
      <c r="L166" s="185">
        <v>5</v>
      </c>
      <c r="M166" s="91">
        <v>430000</v>
      </c>
      <c r="N166" s="91">
        <f>M166+86000+301000+86000</f>
        <v>903000</v>
      </c>
      <c r="O166" s="189" t="s">
        <v>10763</v>
      </c>
      <c r="P166" s="47" t="s">
        <v>14523</v>
      </c>
      <c r="Q166" s="47" t="s">
        <v>1939</v>
      </c>
      <c r="R166" s="47" t="s">
        <v>14524</v>
      </c>
      <c r="T166" s="46"/>
      <c r="U166" s="46" t="s">
        <v>12797</v>
      </c>
      <c r="V166" s="46"/>
    </row>
    <row r="167" spans="1:22" s="47" customFormat="1" ht="45" x14ac:dyDescent="0.25">
      <c r="A167" s="61">
        <v>43522</v>
      </c>
      <c r="B167" s="47" t="s">
        <v>328</v>
      </c>
      <c r="C167" s="46" t="s">
        <v>603</v>
      </c>
      <c r="D167" s="46" t="s">
        <v>10705</v>
      </c>
      <c r="E167" s="46"/>
      <c r="F167" s="46" t="s">
        <v>14525</v>
      </c>
      <c r="G167" s="46" t="s">
        <v>14526</v>
      </c>
      <c r="H167" s="46" t="s">
        <v>905</v>
      </c>
      <c r="I167" s="46" t="s">
        <v>14527</v>
      </c>
      <c r="J167" s="46" t="s">
        <v>899</v>
      </c>
      <c r="K167" s="218" t="s">
        <v>13101</v>
      </c>
      <c r="L167" s="185">
        <v>2</v>
      </c>
      <c r="M167" s="91">
        <v>719610</v>
      </c>
      <c r="N167" s="91">
        <f>M167+71969+71961</f>
        <v>863540</v>
      </c>
      <c r="O167" s="189" t="s">
        <v>7564</v>
      </c>
      <c r="P167" s="47" t="s">
        <v>14528</v>
      </c>
      <c r="Q167" s="47" t="s">
        <v>592</v>
      </c>
      <c r="R167" s="47" t="s">
        <v>14529</v>
      </c>
      <c r="T167" s="46"/>
      <c r="U167" s="46" t="s">
        <v>12797</v>
      </c>
      <c r="V167" s="46"/>
    </row>
    <row r="168" spans="1:22" s="47" customFormat="1" ht="60" x14ac:dyDescent="0.25">
      <c r="A168" s="61">
        <v>43522</v>
      </c>
      <c r="B168" s="47" t="s">
        <v>328</v>
      </c>
      <c r="C168" s="46" t="s">
        <v>603</v>
      </c>
      <c r="D168" s="46" t="s">
        <v>757</v>
      </c>
      <c r="E168" s="46"/>
      <c r="F168" s="46" t="s">
        <v>14525</v>
      </c>
      <c r="G168" s="46" t="s">
        <v>14526</v>
      </c>
      <c r="H168" s="46" t="s">
        <v>607</v>
      </c>
      <c r="I168" s="46" t="s">
        <v>14530</v>
      </c>
      <c r="J168" s="46" t="s">
        <v>899</v>
      </c>
      <c r="K168" s="218" t="s">
        <v>13101</v>
      </c>
      <c r="L168" s="185">
        <v>2</v>
      </c>
      <c r="M168" s="91">
        <v>1394000</v>
      </c>
      <c r="N168" s="91">
        <f>M168+139400+975800+139400</f>
        <v>2648600</v>
      </c>
      <c r="O168" s="189" t="s">
        <v>7564</v>
      </c>
      <c r="P168" s="47" t="s">
        <v>14531</v>
      </c>
      <c r="Q168" s="47" t="s">
        <v>1939</v>
      </c>
      <c r="R168" s="47" t="s">
        <v>14532</v>
      </c>
      <c r="T168" s="46"/>
      <c r="U168" s="46" t="s">
        <v>12797</v>
      </c>
      <c r="V168" s="46"/>
    </row>
    <row r="169" spans="1:22" s="47" customFormat="1" ht="75" x14ac:dyDescent="0.25">
      <c r="A169" s="61">
        <v>43522</v>
      </c>
      <c r="B169" s="47" t="s">
        <v>13559</v>
      </c>
      <c r="C169" s="46" t="s">
        <v>3523</v>
      </c>
      <c r="D169" s="46" t="s">
        <v>9545</v>
      </c>
      <c r="E169" s="46"/>
      <c r="F169" s="46" t="s">
        <v>14533</v>
      </c>
      <c r="G169" s="46" t="s">
        <v>9170</v>
      </c>
      <c r="H169" s="46" t="s">
        <v>607</v>
      </c>
      <c r="I169" s="46" t="s">
        <v>14534</v>
      </c>
      <c r="J169" s="46" t="s">
        <v>3523</v>
      </c>
      <c r="K169" s="218" t="s">
        <v>14535</v>
      </c>
      <c r="L169" s="185">
        <v>8</v>
      </c>
      <c r="M169" s="91">
        <v>250000</v>
      </c>
      <c r="N169" s="91">
        <f>M169+25000+125000+50000</f>
        <v>450000</v>
      </c>
      <c r="O169" s="189" t="s">
        <v>10763</v>
      </c>
      <c r="P169" s="47" t="s">
        <v>14573</v>
      </c>
      <c r="Q169" s="47" t="s">
        <v>1939</v>
      </c>
      <c r="R169" s="47" t="s">
        <v>14574</v>
      </c>
      <c r="T169" s="46"/>
      <c r="U169" s="46" t="s">
        <v>12797</v>
      </c>
      <c r="V169" s="46"/>
    </row>
    <row r="170" spans="1:22" s="47" customFormat="1" ht="135" x14ac:dyDescent="0.25">
      <c r="A170" s="61">
        <v>43523</v>
      </c>
      <c r="B170" s="47" t="s">
        <v>643</v>
      </c>
      <c r="C170" s="46" t="s">
        <v>644</v>
      </c>
      <c r="D170" s="46" t="s">
        <v>645</v>
      </c>
      <c r="E170" s="46"/>
      <c r="F170" s="46" t="s">
        <v>14536</v>
      </c>
      <c r="G170" s="46" t="s">
        <v>7757</v>
      </c>
      <c r="H170" s="46" t="s">
        <v>1050</v>
      </c>
      <c r="I170" s="46" t="s">
        <v>6987</v>
      </c>
      <c r="J170" s="46" t="s">
        <v>644</v>
      </c>
      <c r="K170" s="218" t="s">
        <v>14537</v>
      </c>
      <c r="L170" s="185">
        <v>1</v>
      </c>
      <c r="M170" s="91">
        <v>325000</v>
      </c>
      <c r="N170" s="91">
        <v>330000</v>
      </c>
      <c r="O170" s="189" t="s">
        <v>2295</v>
      </c>
      <c r="P170" s="47" t="s">
        <v>14575</v>
      </c>
      <c r="Q170" s="47" t="s">
        <v>1939</v>
      </c>
      <c r="R170" s="47" t="s">
        <v>14538</v>
      </c>
      <c r="T170" s="46"/>
      <c r="U170" s="46" t="s">
        <v>12797</v>
      </c>
      <c r="V170" s="46"/>
    </row>
    <row r="171" spans="1:22" s="47" customFormat="1" ht="75" x14ac:dyDescent="0.25">
      <c r="A171" s="61">
        <v>43523</v>
      </c>
      <c r="B171" s="47" t="s">
        <v>569</v>
      </c>
      <c r="C171" s="46" t="s">
        <v>899</v>
      </c>
      <c r="D171" s="46" t="s">
        <v>9981</v>
      </c>
      <c r="E171" s="46"/>
      <c r="F171" s="46" t="s">
        <v>14539</v>
      </c>
      <c r="G171" s="46" t="s">
        <v>8515</v>
      </c>
      <c r="H171" s="46" t="s">
        <v>607</v>
      </c>
      <c r="I171" s="46" t="s">
        <v>14540</v>
      </c>
      <c r="J171" s="46" t="s">
        <v>899</v>
      </c>
      <c r="K171" s="218" t="s">
        <v>14541</v>
      </c>
      <c r="L171" s="185">
        <v>1</v>
      </c>
      <c r="M171" s="91">
        <v>700000</v>
      </c>
      <c r="N171" s="91">
        <f>M171+70000+290000+115000</f>
        <v>1175000</v>
      </c>
      <c r="O171" s="189" t="s">
        <v>10766</v>
      </c>
      <c r="P171" s="47" t="s">
        <v>14542</v>
      </c>
      <c r="Q171" s="47" t="s">
        <v>620</v>
      </c>
      <c r="R171" s="47" t="s">
        <v>14576</v>
      </c>
      <c r="T171" s="46"/>
      <c r="U171" s="46" t="s">
        <v>12797</v>
      </c>
      <c r="V171" s="46"/>
    </row>
    <row r="172" spans="1:22" s="47" customFormat="1" ht="75" x14ac:dyDescent="0.25">
      <c r="A172" s="61">
        <v>43523</v>
      </c>
      <c r="B172" s="47" t="s">
        <v>13559</v>
      </c>
      <c r="C172" s="46" t="s">
        <v>4031</v>
      </c>
      <c r="D172" s="46" t="s">
        <v>13560</v>
      </c>
      <c r="E172" s="46"/>
      <c r="F172" s="46" t="s">
        <v>14543</v>
      </c>
      <c r="G172" s="46" t="s">
        <v>14544</v>
      </c>
      <c r="H172" s="46" t="s">
        <v>809</v>
      </c>
      <c r="I172" s="46" t="s">
        <v>14545</v>
      </c>
      <c r="J172" s="46" t="s">
        <v>14546</v>
      </c>
      <c r="K172" s="218" t="s">
        <v>14547</v>
      </c>
      <c r="L172" s="185"/>
      <c r="M172" s="91">
        <v>350000</v>
      </c>
      <c r="N172" s="91">
        <v>350000</v>
      </c>
      <c r="O172" s="189" t="s">
        <v>10763</v>
      </c>
      <c r="P172" s="47" t="s">
        <v>14577</v>
      </c>
      <c r="Q172" s="47" t="s">
        <v>1939</v>
      </c>
      <c r="R172" s="47" t="s">
        <v>14578</v>
      </c>
      <c r="T172" s="46"/>
      <c r="U172" s="46" t="s">
        <v>12797</v>
      </c>
      <c r="V172" s="46"/>
    </row>
    <row r="173" spans="1:22" s="47" customFormat="1" ht="120" x14ac:dyDescent="0.25">
      <c r="A173" s="61">
        <v>43524</v>
      </c>
      <c r="B173" s="47" t="s">
        <v>643</v>
      </c>
      <c r="C173" s="46" t="s">
        <v>644</v>
      </c>
      <c r="D173" s="46" t="s">
        <v>3132</v>
      </c>
      <c r="E173" s="46"/>
      <c r="F173" s="46" t="s">
        <v>13187</v>
      </c>
      <c r="G173" s="46" t="s">
        <v>14548</v>
      </c>
      <c r="H173" s="46" t="s">
        <v>607</v>
      </c>
      <c r="I173" s="46" t="s">
        <v>5925</v>
      </c>
      <c r="J173" s="46" t="s">
        <v>644</v>
      </c>
      <c r="K173" s="218" t="s">
        <v>14549</v>
      </c>
      <c r="L173" s="185">
        <v>1</v>
      </c>
      <c r="M173" s="91">
        <v>3641000</v>
      </c>
      <c r="N173" s="91">
        <f>M173+361077+595783+361079</f>
        <v>4958939</v>
      </c>
      <c r="O173" s="189" t="s">
        <v>10766</v>
      </c>
      <c r="P173" s="47" t="s">
        <v>14550</v>
      </c>
      <c r="Q173" s="47" t="s">
        <v>1939</v>
      </c>
      <c r="R173" s="47" t="s">
        <v>14551</v>
      </c>
      <c r="T173" s="46"/>
      <c r="U173" s="46" t="s">
        <v>12797</v>
      </c>
      <c r="V173" s="46"/>
    </row>
    <row r="174" spans="1:22" s="47" customFormat="1" ht="75" x14ac:dyDescent="0.25">
      <c r="A174" s="61">
        <v>43524</v>
      </c>
      <c r="B174" s="47" t="s">
        <v>9240</v>
      </c>
      <c r="C174" s="46" t="s">
        <v>603</v>
      </c>
      <c r="D174" s="46" t="s">
        <v>9241</v>
      </c>
      <c r="E174" s="46"/>
      <c r="F174" s="46" t="s">
        <v>14552</v>
      </c>
      <c r="G174" s="46" t="s">
        <v>14553</v>
      </c>
      <c r="H174" s="46" t="s">
        <v>607</v>
      </c>
      <c r="I174" s="46" t="s">
        <v>14554</v>
      </c>
      <c r="J174" s="46" t="s">
        <v>603</v>
      </c>
      <c r="K174" s="218" t="s">
        <v>14555</v>
      </c>
      <c r="L174" s="185">
        <v>9</v>
      </c>
      <c r="M174" s="91">
        <v>1150000</v>
      </c>
      <c r="N174" s="91">
        <f>M174+150000+400000</f>
        <v>1700000</v>
      </c>
      <c r="O174" s="189" t="s">
        <v>560</v>
      </c>
      <c r="P174" s="47" t="s">
        <v>14556</v>
      </c>
      <c r="Q174" s="47" t="s">
        <v>29</v>
      </c>
      <c r="R174" s="47" t="s">
        <v>14557</v>
      </c>
      <c r="T174" s="46"/>
      <c r="U174" s="46" t="s">
        <v>12797</v>
      </c>
      <c r="V174" s="46"/>
    </row>
    <row r="175" spans="1:22" s="47" customFormat="1" ht="60" x14ac:dyDescent="0.25">
      <c r="A175" s="61">
        <v>43525</v>
      </c>
      <c r="B175" s="47" t="s">
        <v>569</v>
      </c>
      <c r="C175" s="46" t="s">
        <v>899</v>
      </c>
      <c r="D175" s="46" t="s">
        <v>611</v>
      </c>
      <c r="E175" s="46"/>
      <c r="F175" s="46" t="s">
        <v>14579</v>
      </c>
      <c r="G175" s="46" t="s">
        <v>1789</v>
      </c>
      <c r="H175" s="46" t="s">
        <v>607</v>
      </c>
      <c r="I175" s="46" t="s">
        <v>14580</v>
      </c>
      <c r="J175" s="46" t="s">
        <v>899</v>
      </c>
      <c r="K175" s="218" t="s">
        <v>14581</v>
      </c>
      <c r="L175" s="185" t="s">
        <v>7579</v>
      </c>
      <c r="M175" s="91">
        <v>449000</v>
      </c>
      <c r="N175" s="91">
        <f>M175+89800+336750+134700</f>
        <v>1010250</v>
      </c>
      <c r="O175" s="189" t="s">
        <v>10766</v>
      </c>
      <c r="P175" s="47" t="s">
        <v>14582</v>
      </c>
      <c r="Q175" s="47" t="s">
        <v>29</v>
      </c>
      <c r="R175" s="47" t="s">
        <v>14583</v>
      </c>
      <c r="T175" s="46"/>
      <c r="U175" s="46" t="s">
        <v>12797</v>
      </c>
      <c r="V175" s="46"/>
    </row>
    <row r="176" spans="1:22" s="47" customFormat="1" ht="210" x14ac:dyDescent="0.25">
      <c r="A176" s="61">
        <v>43525</v>
      </c>
      <c r="B176" s="47" t="s">
        <v>12367</v>
      </c>
      <c r="C176" s="46" t="s">
        <v>5610</v>
      </c>
      <c r="D176" s="46" t="s">
        <v>7814</v>
      </c>
      <c r="E176" s="46"/>
      <c r="F176" s="46" t="s">
        <v>14584</v>
      </c>
      <c r="G176" s="46" t="s">
        <v>14585</v>
      </c>
      <c r="H176" s="46" t="s">
        <v>607</v>
      </c>
      <c r="I176" s="46" t="s">
        <v>14586</v>
      </c>
      <c r="J176" s="46" t="s">
        <v>6329</v>
      </c>
      <c r="K176" s="218" t="s">
        <v>14587</v>
      </c>
      <c r="L176" s="185">
        <v>5</v>
      </c>
      <c r="M176" s="91">
        <v>2527200</v>
      </c>
      <c r="N176" s="91">
        <f>M176+240000+960000+240000</f>
        <v>3967200</v>
      </c>
      <c r="O176" s="189" t="s">
        <v>10766</v>
      </c>
      <c r="P176" s="47" t="s">
        <v>14813</v>
      </c>
      <c r="Q176" s="47" t="s">
        <v>1612</v>
      </c>
      <c r="R176" s="47" t="s">
        <v>14814</v>
      </c>
      <c r="T176" s="46"/>
      <c r="U176" s="46" t="s">
        <v>12797</v>
      </c>
      <c r="V176" s="46"/>
    </row>
    <row r="177" spans="1:22" s="47" customFormat="1" ht="90" x14ac:dyDescent="0.25">
      <c r="A177" s="61">
        <v>43528</v>
      </c>
      <c r="B177" s="47" t="s">
        <v>5956</v>
      </c>
      <c r="C177" s="46" t="s">
        <v>3369</v>
      </c>
      <c r="D177" s="46" t="s">
        <v>8126</v>
      </c>
      <c r="E177" s="46"/>
      <c r="F177" s="46" t="s">
        <v>14588</v>
      </c>
      <c r="G177" s="46" t="s">
        <v>7792</v>
      </c>
      <c r="H177" s="46" t="s">
        <v>607</v>
      </c>
      <c r="I177" s="46" t="s">
        <v>14589</v>
      </c>
      <c r="J177" s="46" t="s">
        <v>4825</v>
      </c>
      <c r="K177" s="218" t="s">
        <v>14590</v>
      </c>
      <c r="L177" s="185">
        <v>4</v>
      </c>
      <c r="M177" s="91">
        <v>353500</v>
      </c>
      <c r="N177" s="91">
        <f>M177+35360+176800+70720</f>
        <v>636380</v>
      </c>
      <c r="O177" s="189" t="s">
        <v>10765</v>
      </c>
      <c r="P177" s="47" t="s">
        <v>14591</v>
      </c>
      <c r="Q177" s="47" t="s">
        <v>1939</v>
      </c>
      <c r="R177" s="47" t="s">
        <v>14815</v>
      </c>
      <c r="T177" s="46"/>
      <c r="U177" s="46" t="s">
        <v>12797</v>
      </c>
      <c r="V177" s="46"/>
    </row>
    <row r="178" spans="1:22" s="47" customFormat="1" ht="105" x14ac:dyDescent="0.25">
      <c r="A178" s="61">
        <v>43528</v>
      </c>
      <c r="B178" s="47" t="s">
        <v>5956</v>
      </c>
      <c r="C178" s="46" t="s">
        <v>3369</v>
      </c>
      <c r="D178" s="46" t="s">
        <v>8126</v>
      </c>
      <c r="E178" s="46"/>
      <c r="F178" s="46" t="s">
        <v>14646</v>
      </c>
      <c r="G178" s="46" t="s">
        <v>14647</v>
      </c>
      <c r="H178" s="46" t="s">
        <v>607</v>
      </c>
      <c r="I178" s="46" t="s">
        <v>8456</v>
      </c>
      <c r="J178" s="46" t="s">
        <v>959</v>
      </c>
      <c r="K178" s="218" t="s">
        <v>14648</v>
      </c>
      <c r="L178" s="185">
        <v>3</v>
      </c>
      <c r="M178" s="91">
        <v>372000</v>
      </c>
      <c r="N178" s="91">
        <f>M178+5000+50000+25000</f>
        <v>452000</v>
      </c>
      <c r="O178" s="189" t="s">
        <v>10766</v>
      </c>
      <c r="P178" s="47" t="s">
        <v>14816</v>
      </c>
      <c r="Q178" s="47" t="s">
        <v>620</v>
      </c>
      <c r="R178" s="47" t="s">
        <v>14649</v>
      </c>
      <c r="T178" s="46"/>
      <c r="U178" s="46" t="s">
        <v>12797</v>
      </c>
      <c r="V178" s="46"/>
    </row>
    <row r="179" spans="1:22" s="47" customFormat="1" ht="45" x14ac:dyDescent="0.25">
      <c r="A179" s="61">
        <v>43528</v>
      </c>
      <c r="B179" s="47" t="s">
        <v>5473</v>
      </c>
      <c r="C179" s="46" t="s">
        <v>608</v>
      </c>
      <c r="D179" s="46" t="s">
        <v>1382</v>
      </c>
      <c r="E179" s="46"/>
      <c r="F179" s="46" t="s">
        <v>10922</v>
      </c>
      <c r="G179" s="46" t="s">
        <v>14592</v>
      </c>
      <c r="H179" s="46" t="s">
        <v>607</v>
      </c>
      <c r="I179" s="46" t="s">
        <v>8733</v>
      </c>
      <c r="J179" s="46" t="s">
        <v>602</v>
      </c>
      <c r="K179" s="218" t="s">
        <v>14510</v>
      </c>
      <c r="L179" s="185">
        <v>2</v>
      </c>
      <c r="M179" s="91">
        <v>350000</v>
      </c>
      <c r="N179" s="91">
        <f>M179+125000+70000</f>
        <v>545000</v>
      </c>
      <c r="O179" s="189" t="s">
        <v>10766</v>
      </c>
      <c r="P179" s="47" t="s">
        <v>14594</v>
      </c>
      <c r="Q179" s="47" t="s">
        <v>592</v>
      </c>
      <c r="R179" s="47" t="s">
        <v>14593</v>
      </c>
      <c r="T179" s="46"/>
      <c r="U179" s="46" t="s">
        <v>12797</v>
      </c>
      <c r="V179" s="46"/>
    </row>
    <row r="180" spans="1:22" s="47" customFormat="1" ht="165" x14ac:dyDescent="0.25">
      <c r="A180" s="61">
        <v>43528</v>
      </c>
      <c r="B180" s="47" t="s">
        <v>328</v>
      </c>
      <c r="C180" s="46" t="s">
        <v>603</v>
      </c>
      <c r="D180" s="46" t="s">
        <v>5701</v>
      </c>
      <c r="E180" s="46"/>
      <c r="F180" s="46" t="s">
        <v>14595</v>
      </c>
      <c r="G180" s="46" t="s">
        <v>9300</v>
      </c>
      <c r="H180" s="46" t="s">
        <v>607</v>
      </c>
      <c r="I180" s="46" t="s">
        <v>14596</v>
      </c>
      <c r="J180" s="46" t="s">
        <v>6015</v>
      </c>
      <c r="K180" s="218" t="s">
        <v>14597</v>
      </c>
      <c r="L180" s="185">
        <v>9</v>
      </c>
      <c r="M180" s="91">
        <v>450000</v>
      </c>
      <c r="N180" s="91">
        <f>M180+45000+150000</f>
        <v>645000</v>
      </c>
      <c r="O180" s="189" t="s">
        <v>4533</v>
      </c>
      <c r="P180" s="47" t="s">
        <v>14817</v>
      </c>
      <c r="Q180" s="47" t="s">
        <v>1939</v>
      </c>
      <c r="R180" s="47" t="s">
        <v>14598</v>
      </c>
      <c r="T180" s="46"/>
      <c r="U180" s="46" t="s">
        <v>12797</v>
      </c>
      <c r="V180" s="46"/>
    </row>
    <row r="181" spans="1:22" s="47" customFormat="1" ht="195" x14ac:dyDescent="0.25">
      <c r="A181" s="61">
        <v>43528</v>
      </c>
      <c r="B181" s="47" t="s">
        <v>328</v>
      </c>
      <c r="C181" s="46" t="s">
        <v>603</v>
      </c>
      <c r="D181" s="46" t="s">
        <v>757</v>
      </c>
      <c r="E181" s="46"/>
      <c r="F181" s="46" t="s">
        <v>14599</v>
      </c>
      <c r="G181" s="46" t="s">
        <v>14600</v>
      </c>
      <c r="H181" s="46" t="s">
        <v>607</v>
      </c>
      <c r="I181" s="46" t="s">
        <v>14601</v>
      </c>
      <c r="J181" s="46" t="s">
        <v>3398</v>
      </c>
      <c r="K181" s="218" t="s">
        <v>14602</v>
      </c>
      <c r="L181" s="185">
        <v>10</v>
      </c>
      <c r="M181" s="91">
        <v>1200000</v>
      </c>
      <c r="N181" s="91">
        <f>M181+120000+600000+120000</f>
        <v>2040000</v>
      </c>
      <c r="O181" s="189" t="s">
        <v>10763</v>
      </c>
      <c r="P181" s="47" t="s">
        <v>14603</v>
      </c>
      <c r="Q181" s="47" t="s">
        <v>1939</v>
      </c>
      <c r="R181" s="47" t="s">
        <v>14818</v>
      </c>
      <c r="T181" s="46"/>
      <c r="U181" s="46" t="s">
        <v>12797</v>
      </c>
      <c r="V181" s="46"/>
    </row>
    <row r="182" spans="1:22" s="47" customFormat="1" ht="90" x14ac:dyDescent="0.25">
      <c r="A182" s="61">
        <v>43529</v>
      </c>
      <c r="B182" s="47" t="s">
        <v>13559</v>
      </c>
      <c r="C182" s="46" t="s">
        <v>3369</v>
      </c>
      <c r="D182" s="46" t="s">
        <v>14604</v>
      </c>
      <c r="E182" s="46"/>
      <c r="F182" s="46" t="s">
        <v>14605</v>
      </c>
      <c r="G182" s="46" t="s">
        <v>14606</v>
      </c>
      <c r="H182" s="46" t="s">
        <v>607</v>
      </c>
      <c r="I182" s="46" t="s">
        <v>14607</v>
      </c>
      <c r="J182" s="46" t="s">
        <v>4825</v>
      </c>
      <c r="K182" s="218" t="s">
        <v>14608</v>
      </c>
      <c r="L182" s="185">
        <v>3</v>
      </c>
      <c r="M182" s="91">
        <v>281000</v>
      </c>
      <c r="N182" s="91">
        <v>620000</v>
      </c>
      <c r="O182" s="189" t="s">
        <v>4533</v>
      </c>
      <c r="P182" s="47" t="s">
        <v>14609</v>
      </c>
      <c r="Q182" s="47" t="s">
        <v>1939</v>
      </c>
      <c r="R182" s="47" t="s">
        <v>14611</v>
      </c>
      <c r="S182" s="47" t="s">
        <v>14610</v>
      </c>
      <c r="T182" s="46"/>
      <c r="U182" s="46" t="s">
        <v>491</v>
      </c>
      <c r="V182" s="46"/>
    </row>
    <row r="183" spans="1:22" s="47" customFormat="1" ht="75" x14ac:dyDescent="0.25">
      <c r="A183" s="61">
        <v>43529</v>
      </c>
      <c r="B183" s="47" t="s">
        <v>13559</v>
      </c>
      <c r="C183" s="46" t="s">
        <v>4031</v>
      </c>
      <c r="D183" s="46" t="s">
        <v>13560</v>
      </c>
      <c r="E183" s="46"/>
      <c r="F183" s="46" t="s">
        <v>12698</v>
      </c>
      <c r="G183" s="46" t="s">
        <v>12699</v>
      </c>
      <c r="H183" s="46" t="s">
        <v>886</v>
      </c>
      <c r="I183" s="46"/>
      <c r="J183" s="46" t="s">
        <v>4031</v>
      </c>
      <c r="K183" s="218"/>
      <c r="L183" s="185"/>
      <c r="M183" s="91">
        <v>375000</v>
      </c>
      <c r="N183" s="91"/>
      <c r="O183" s="189" t="s">
        <v>10766</v>
      </c>
      <c r="P183" s="47" t="s">
        <v>14612</v>
      </c>
      <c r="Q183" s="47" t="s">
        <v>29</v>
      </c>
      <c r="R183" s="47" t="s">
        <v>14613</v>
      </c>
      <c r="T183" s="46"/>
      <c r="U183" s="46" t="s">
        <v>491</v>
      </c>
      <c r="V183" s="46"/>
    </row>
    <row r="184" spans="1:22" s="47" customFormat="1" ht="75" x14ac:dyDescent="0.25">
      <c r="A184" s="61">
        <v>43529</v>
      </c>
      <c r="B184" s="47" t="s">
        <v>328</v>
      </c>
      <c r="C184" s="46" t="s">
        <v>603</v>
      </c>
      <c r="D184" s="46" t="s">
        <v>5701</v>
      </c>
      <c r="E184" s="46"/>
      <c r="F184" s="46" t="s">
        <v>14614</v>
      </c>
      <c r="G184" s="46"/>
      <c r="H184" s="46" t="s">
        <v>607</v>
      </c>
      <c r="I184" s="46" t="s">
        <v>14615</v>
      </c>
      <c r="J184" s="46" t="s">
        <v>899</v>
      </c>
      <c r="K184" s="218" t="s">
        <v>14616</v>
      </c>
      <c r="L184" s="185">
        <v>2</v>
      </c>
      <c r="M184" s="91">
        <v>650000</v>
      </c>
      <c r="N184" s="91">
        <f>M184+105000+393750+130000</f>
        <v>1278750</v>
      </c>
      <c r="O184" s="189" t="s">
        <v>10766</v>
      </c>
      <c r="P184" s="47" t="s">
        <v>14617</v>
      </c>
      <c r="Q184" s="47" t="s">
        <v>592</v>
      </c>
      <c r="R184" s="47" t="s">
        <v>14819</v>
      </c>
      <c r="T184" s="46"/>
      <c r="U184" s="46" t="s">
        <v>12797</v>
      </c>
      <c r="V184" s="46"/>
    </row>
    <row r="185" spans="1:22" s="47" customFormat="1" ht="60" x14ac:dyDescent="0.25">
      <c r="A185" s="61">
        <v>43529</v>
      </c>
      <c r="B185" s="47" t="s">
        <v>5956</v>
      </c>
      <c r="C185" s="46" t="s">
        <v>3369</v>
      </c>
      <c r="D185" s="46" t="s">
        <v>8126</v>
      </c>
      <c r="E185" s="46"/>
      <c r="F185" s="46" t="s">
        <v>14618</v>
      </c>
      <c r="G185" s="46" t="s">
        <v>14619</v>
      </c>
      <c r="H185" s="46" t="s">
        <v>607</v>
      </c>
      <c r="I185" s="46" t="s">
        <v>10173</v>
      </c>
      <c r="J185" s="46" t="s">
        <v>3369</v>
      </c>
      <c r="K185" s="218" t="s">
        <v>14620</v>
      </c>
      <c r="L185" s="185">
        <v>4</v>
      </c>
      <c r="M185" s="91">
        <v>450000</v>
      </c>
      <c r="N185" s="91">
        <f>M185+45000+50000+90000</f>
        <v>635000</v>
      </c>
      <c r="O185" s="189" t="s">
        <v>10766</v>
      </c>
      <c r="P185" s="47" t="s">
        <v>14820</v>
      </c>
      <c r="Q185" s="47" t="s">
        <v>29</v>
      </c>
      <c r="R185" s="47" t="s">
        <v>14621</v>
      </c>
      <c r="T185" s="46"/>
      <c r="U185" s="46" t="s">
        <v>12797</v>
      </c>
      <c r="V185" s="46"/>
    </row>
    <row r="186" spans="1:22" s="47" customFormat="1" ht="90" x14ac:dyDescent="0.25">
      <c r="A186" s="61">
        <v>43529</v>
      </c>
      <c r="B186" s="47" t="s">
        <v>328</v>
      </c>
      <c r="C186" s="46" t="s">
        <v>603</v>
      </c>
      <c r="D186" s="46" t="s">
        <v>649</v>
      </c>
      <c r="E186" s="46"/>
      <c r="F186" s="46" t="s">
        <v>14622</v>
      </c>
      <c r="G186" s="46" t="s">
        <v>7904</v>
      </c>
      <c r="H186" s="46" t="s">
        <v>607</v>
      </c>
      <c r="I186" s="46" t="s">
        <v>7088</v>
      </c>
      <c r="J186" s="46" t="s">
        <v>899</v>
      </c>
      <c r="K186" s="218" t="s">
        <v>14135</v>
      </c>
      <c r="L186" s="185">
        <v>4</v>
      </c>
      <c r="M186" s="91">
        <v>1187000</v>
      </c>
      <c r="N186" s="91">
        <f>M186+237400+474800+474800</f>
        <v>2374000</v>
      </c>
      <c r="O186" s="189" t="s">
        <v>10766</v>
      </c>
      <c r="P186" s="47" t="s">
        <v>14623</v>
      </c>
      <c r="Q186" s="47" t="s">
        <v>1939</v>
      </c>
      <c r="R186" s="47" t="s">
        <v>14624</v>
      </c>
      <c r="T186" s="46"/>
      <c r="U186" s="46" t="s">
        <v>12797</v>
      </c>
      <c r="V186" s="46"/>
    </row>
    <row r="187" spans="1:22" s="47" customFormat="1" ht="120" x14ac:dyDescent="0.25">
      <c r="A187" s="61">
        <v>43529</v>
      </c>
      <c r="B187" s="47" t="s">
        <v>328</v>
      </c>
      <c r="C187" s="46" t="s">
        <v>603</v>
      </c>
      <c r="D187" s="46" t="s">
        <v>7595</v>
      </c>
      <c r="E187" s="46"/>
      <c r="F187" s="46" t="s">
        <v>14625</v>
      </c>
      <c r="G187" s="46" t="s">
        <v>9037</v>
      </c>
      <c r="H187" s="46" t="s">
        <v>607</v>
      </c>
      <c r="I187" s="46" t="s">
        <v>14626</v>
      </c>
      <c r="J187" s="46" t="s">
        <v>6015</v>
      </c>
      <c r="K187" s="218" t="s">
        <v>14627</v>
      </c>
      <c r="L187" s="185">
        <v>10</v>
      </c>
      <c r="M187" s="91">
        <v>100000</v>
      </c>
      <c r="N187" s="91">
        <f>M187+10000+75000+7500</f>
        <v>192500</v>
      </c>
      <c r="O187" s="189" t="s">
        <v>7124</v>
      </c>
      <c r="P187" s="47" t="s">
        <v>14628</v>
      </c>
      <c r="Q187" s="47" t="s">
        <v>1939</v>
      </c>
      <c r="R187" s="47" t="s">
        <v>14629</v>
      </c>
      <c r="T187" s="46"/>
      <c r="U187" s="46" t="s">
        <v>12797</v>
      </c>
      <c r="V187" s="46"/>
    </row>
    <row r="188" spans="1:22" s="47" customFormat="1" ht="105" x14ac:dyDescent="0.25">
      <c r="A188" s="61">
        <v>43529</v>
      </c>
      <c r="B188" s="47" t="s">
        <v>569</v>
      </c>
      <c r="C188" s="46" t="s">
        <v>899</v>
      </c>
      <c r="D188" s="46" t="s">
        <v>11031</v>
      </c>
      <c r="E188" s="46"/>
      <c r="F188" s="46" t="s">
        <v>14630</v>
      </c>
      <c r="G188" s="46" t="s">
        <v>7792</v>
      </c>
      <c r="H188" s="46" t="s">
        <v>607</v>
      </c>
      <c r="I188" s="46" t="s">
        <v>2054</v>
      </c>
      <c r="J188" s="46" t="s">
        <v>899</v>
      </c>
      <c r="K188" s="218" t="s">
        <v>14631</v>
      </c>
      <c r="L188" s="185">
        <v>1</v>
      </c>
      <c r="M188" s="91">
        <v>475000</v>
      </c>
      <c r="N188" s="91">
        <f>M188+30000+150000+60000</f>
        <v>715000</v>
      </c>
      <c r="O188" s="189" t="s">
        <v>10766</v>
      </c>
      <c r="P188" s="47" t="s">
        <v>14821</v>
      </c>
      <c r="Q188" s="47" t="s">
        <v>592</v>
      </c>
      <c r="R188" s="47" t="s">
        <v>14632</v>
      </c>
      <c r="T188" s="46"/>
      <c r="U188" s="46" t="s">
        <v>12797</v>
      </c>
      <c r="V188" s="46"/>
    </row>
    <row r="189" spans="1:22" s="47" customFormat="1" ht="90" x14ac:dyDescent="0.25">
      <c r="A189" s="61">
        <v>43530</v>
      </c>
      <c r="B189" s="47" t="s">
        <v>569</v>
      </c>
      <c r="C189" s="46" t="s">
        <v>899</v>
      </c>
      <c r="D189" s="46" t="s">
        <v>11286</v>
      </c>
      <c r="E189" s="46"/>
      <c r="F189" s="46" t="s">
        <v>14633</v>
      </c>
      <c r="G189" s="46" t="s">
        <v>14634</v>
      </c>
      <c r="H189" s="46" t="s">
        <v>905</v>
      </c>
      <c r="I189" s="46" t="s">
        <v>14635</v>
      </c>
      <c r="J189" s="46" t="s">
        <v>899</v>
      </c>
      <c r="K189" s="218" t="s">
        <v>14636</v>
      </c>
      <c r="L189" s="185"/>
      <c r="M189" s="91">
        <v>1065000</v>
      </c>
      <c r="N189" s="91">
        <f>M189+106500+50000</f>
        <v>1221500</v>
      </c>
      <c r="O189" s="189" t="s">
        <v>7564</v>
      </c>
      <c r="P189" s="47" t="s">
        <v>14637</v>
      </c>
      <c r="Q189" s="47" t="s">
        <v>1939</v>
      </c>
      <c r="R189" s="47" t="s">
        <v>14638</v>
      </c>
      <c r="T189" s="46"/>
      <c r="U189" s="46" t="s">
        <v>12797</v>
      </c>
      <c r="V189" s="46"/>
    </row>
    <row r="190" spans="1:22" s="47" customFormat="1" ht="75" x14ac:dyDescent="0.25">
      <c r="A190" s="61">
        <v>43530</v>
      </c>
      <c r="B190" s="47" t="s">
        <v>13559</v>
      </c>
      <c r="C190" s="46" t="s">
        <v>602</v>
      </c>
      <c r="D190" s="46" t="s">
        <v>14639</v>
      </c>
      <c r="E190" s="46"/>
      <c r="F190" s="46" t="s">
        <v>14640</v>
      </c>
      <c r="G190" s="46" t="s">
        <v>14641</v>
      </c>
      <c r="H190" s="46" t="s">
        <v>607</v>
      </c>
      <c r="I190" s="46" t="s">
        <v>9788</v>
      </c>
      <c r="J190" s="46" t="s">
        <v>602</v>
      </c>
      <c r="K190" s="218" t="s">
        <v>13992</v>
      </c>
      <c r="L190" s="185">
        <v>2</v>
      </c>
      <c r="M190" s="91">
        <v>525000</v>
      </c>
      <c r="N190" s="91">
        <f>M190+100000+100000+65000</f>
        <v>790000</v>
      </c>
      <c r="O190" s="189" t="s">
        <v>10879</v>
      </c>
      <c r="P190" s="47" t="s">
        <v>14642</v>
      </c>
      <c r="Q190" s="47" t="s">
        <v>1939</v>
      </c>
      <c r="R190" s="47" t="s">
        <v>14822</v>
      </c>
      <c r="T190" s="46"/>
      <c r="U190" s="46" t="s">
        <v>12797</v>
      </c>
      <c r="V190" s="46"/>
    </row>
    <row r="191" spans="1:22" s="47" customFormat="1" ht="75" x14ac:dyDescent="0.25">
      <c r="A191" s="61">
        <v>43531</v>
      </c>
      <c r="B191" s="47" t="s">
        <v>328</v>
      </c>
      <c r="C191" s="46" t="s">
        <v>603</v>
      </c>
      <c r="D191" s="46" t="s">
        <v>5701</v>
      </c>
      <c r="E191" s="46"/>
      <c r="F191" s="46" t="s">
        <v>14643</v>
      </c>
      <c r="G191" s="46" t="s">
        <v>7814</v>
      </c>
      <c r="H191" s="46" t="s">
        <v>607</v>
      </c>
      <c r="I191" s="46" t="s">
        <v>9550</v>
      </c>
      <c r="J191" s="46" t="s">
        <v>3733</v>
      </c>
      <c r="K191" s="218" t="s">
        <v>14644</v>
      </c>
      <c r="L191" s="185">
        <v>1</v>
      </c>
      <c r="M191" s="91">
        <v>2924000</v>
      </c>
      <c r="N191" s="91">
        <f>M191+292400+1260244+292400</f>
        <v>4769044</v>
      </c>
      <c r="O191" s="189" t="s">
        <v>10763</v>
      </c>
      <c r="P191" s="47" t="s">
        <v>14645</v>
      </c>
      <c r="Q191" s="47" t="s">
        <v>1939</v>
      </c>
      <c r="R191" s="47" t="s">
        <v>14823</v>
      </c>
      <c r="T191" s="46"/>
      <c r="U191" s="46" t="s">
        <v>12797</v>
      </c>
      <c r="V191" s="46"/>
    </row>
    <row r="192" spans="1:22" s="47" customFormat="1" ht="45" x14ac:dyDescent="0.25">
      <c r="A192" s="61">
        <v>43531</v>
      </c>
      <c r="B192" s="47" t="s">
        <v>328</v>
      </c>
      <c r="C192" s="46" t="s">
        <v>603</v>
      </c>
      <c r="D192" s="46" t="s">
        <v>10705</v>
      </c>
      <c r="E192" s="46"/>
      <c r="F192" s="46" t="s">
        <v>1027</v>
      </c>
      <c r="G192" s="46" t="s">
        <v>13499</v>
      </c>
      <c r="H192" s="46" t="s">
        <v>607</v>
      </c>
      <c r="I192" s="46" t="s">
        <v>2054</v>
      </c>
      <c r="J192" s="46" t="s">
        <v>899</v>
      </c>
      <c r="K192" s="218" t="s">
        <v>14012</v>
      </c>
      <c r="L192" s="185">
        <v>1</v>
      </c>
      <c r="M192" s="91">
        <v>504000</v>
      </c>
      <c r="N192" s="91">
        <f>M192+50400+225000+90000</f>
        <v>869400</v>
      </c>
      <c r="O192" s="189" t="s">
        <v>7564</v>
      </c>
      <c r="P192" s="47" t="s">
        <v>14650</v>
      </c>
      <c r="Q192" s="47" t="s">
        <v>592</v>
      </c>
      <c r="R192" s="47" t="s">
        <v>14651</v>
      </c>
      <c r="T192" s="46"/>
      <c r="U192" s="46" t="s">
        <v>12797</v>
      </c>
      <c r="V192" s="46"/>
    </row>
    <row r="193" spans="1:22" s="47" customFormat="1" ht="201" customHeight="1" x14ac:dyDescent="0.25">
      <c r="A193" s="61">
        <v>43531</v>
      </c>
      <c r="B193" s="47" t="s">
        <v>9240</v>
      </c>
      <c r="C193" s="46" t="s">
        <v>603</v>
      </c>
      <c r="D193" s="46" t="s">
        <v>9241</v>
      </c>
      <c r="E193" s="46"/>
      <c r="F193" s="46" t="s">
        <v>14652</v>
      </c>
      <c r="G193" s="46" t="s">
        <v>14653</v>
      </c>
      <c r="H193" s="46" t="s">
        <v>809</v>
      </c>
      <c r="I193" s="46" t="s">
        <v>14824</v>
      </c>
      <c r="J193" s="46" t="s">
        <v>603</v>
      </c>
      <c r="K193" s="218" t="s">
        <v>14654</v>
      </c>
      <c r="L193" s="185">
        <v>4</v>
      </c>
      <c r="M193" s="91">
        <v>3200000</v>
      </c>
      <c r="N193" s="91">
        <f>M193+50000</f>
        <v>3250000</v>
      </c>
      <c r="O193" s="189" t="s">
        <v>10766</v>
      </c>
      <c r="P193" s="47" t="s">
        <v>14655</v>
      </c>
      <c r="Q193" s="47" t="s">
        <v>1612</v>
      </c>
      <c r="R193" s="47" t="s">
        <v>15417</v>
      </c>
      <c r="T193" s="46"/>
      <c r="U193" s="46" t="s">
        <v>12797</v>
      </c>
      <c r="V193" s="46"/>
    </row>
    <row r="194" spans="1:22" s="47" customFormat="1" ht="75" x14ac:dyDescent="0.25">
      <c r="A194" s="61">
        <v>43532</v>
      </c>
      <c r="B194" s="47" t="s">
        <v>13559</v>
      </c>
      <c r="C194" s="46" t="s">
        <v>3370</v>
      </c>
      <c r="D194" s="46" t="s">
        <v>14656</v>
      </c>
      <c r="E194" s="46"/>
      <c r="F194" s="46" t="s">
        <v>9308</v>
      </c>
      <c r="G194" s="46" t="s">
        <v>14657</v>
      </c>
      <c r="H194" s="46" t="s">
        <v>607</v>
      </c>
      <c r="I194" s="46" t="s">
        <v>14658</v>
      </c>
      <c r="J194" s="46" t="s">
        <v>3370</v>
      </c>
      <c r="K194" s="218" t="s">
        <v>14659</v>
      </c>
      <c r="L194" s="185">
        <v>5</v>
      </c>
      <c r="M194" s="91">
        <v>242700</v>
      </c>
      <c r="N194" s="91">
        <v>480000</v>
      </c>
      <c r="O194" s="189" t="s">
        <v>6745</v>
      </c>
      <c r="P194" s="47" t="s">
        <v>14661</v>
      </c>
      <c r="Q194" s="47" t="s">
        <v>1939</v>
      </c>
      <c r="R194" s="47" t="s">
        <v>14660</v>
      </c>
      <c r="T194" s="46"/>
      <c r="U194" s="46" t="s">
        <v>491</v>
      </c>
      <c r="V194" s="46"/>
    </row>
    <row r="195" spans="1:22" s="47" customFormat="1" ht="75" x14ac:dyDescent="0.25">
      <c r="A195" s="61">
        <v>43532</v>
      </c>
      <c r="B195" s="47" t="s">
        <v>328</v>
      </c>
      <c r="C195" s="46" t="s">
        <v>603</v>
      </c>
      <c r="D195" s="46" t="s">
        <v>10705</v>
      </c>
      <c r="E195" s="46"/>
      <c r="F195" s="46" t="s">
        <v>14662</v>
      </c>
      <c r="G195" s="46" t="s">
        <v>11902</v>
      </c>
      <c r="H195" s="46" t="s">
        <v>607</v>
      </c>
      <c r="I195" s="46" t="s">
        <v>14664</v>
      </c>
      <c r="J195" s="46" t="s">
        <v>4458</v>
      </c>
      <c r="K195" s="218" t="s">
        <v>14663</v>
      </c>
      <c r="L195" s="185">
        <v>10</v>
      </c>
      <c r="M195" s="91">
        <v>211200</v>
      </c>
      <c r="N195" s="91">
        <v>401240</v>
      </c>
      <c r="O195" s="189" t="s">
        <v>7124</v>
      </c>
      <c r="P195" s="47" t="s">
        <v>14665</v>
      </c>
      <c r="Q195" s="47" t="s">
        <v>1939</v>
      </c>
      <c r="R195" s="47" t="s">
        <v>14666</v>
      </c>
      <c r="T195" s="46"/>
      <c r="U195" s="46" t="s">
        <v>491</v>
      </c>
      <c r="V195" s="46"/>
    </row>
    <row r="196" spans="1:22" s="47" customFormat="1" ht="60" x14ac:dyDescent="0.25">
      <c r="A196" s="61">
        <v>43532</v>
      </c>
      <c r="B196" s="47" t="s">
        <v>5956</v>
      </c>
      <c r="C196" s="46" t="s">
        <v>3369</v>
      </c>
      <c r="D196" s="46" t="s">
        <v>8126</v>
      </c>
      <c r="E196" s="46"/>
      <c r="F196" s="46" t="s">
        <v>14667</v>
      </c>
      <c r="G196" s="46" t="s">
        <v>14668</v>
      </c>
      <c r="H196" s="46" t="s">
        <v>607</v>
      </c>
      <c r="I196" s="46" t="s">
        <v>14669</v>
      </c>
      <c r="J196" s="46" t="s">
        <v>4825</v>
      </c>
      <c r="K196" s="218" t="s">
        <v>14670</v>
      </c>
      <c r="L196" s="185"/>
      <c r="M196" s="91">
        <v>472000</v>
      </c>
      <c r="N196" s="91">
        <v>1100000</v>
      </c>
      <c r="O196" s="189" t="s">
        <v>10766</v>
      </c>
      <c r="P196" s="47" t="s">
        <v>14671</v>
      </c>
      <c r="Q196" s="47" t="s">
        <v>620</v>
      </c>
      <c r="R196" s="47" t="s">
        <v>14672</v>
      </c>
      <c r="T196" s="46"/>
      <c r="U196" s="46" t="s">
        <v>491</v>
      </c>
      <c r="V196" s="46"/>
    </row>
    <row r="197" spans="1:22" s="47" customFormat="1" ht="135" x14ac:dyDescent="0.25">
      <c r="A197" s="61">
        <v>43535</v>
      </c>
      <c r="B197" s="47" t="s">
        <v>13559</v>
      </c>
      <c r="C197" s="46" t="s">
        <v>3523</v>
      </c>
      <c r="D197" s="46" t="s">
        <v>14673</v>
      </c>
      <c r="E197" s="46"/>
      <c r="F197" s="46" t="s">
        <v>14674</v>
      </c>
      <c r="G197" s="46" t="s">
        <v>4118</v>
      </c>
      <c r="H197" s="46" t="s">
        <v>607</v>
      </c>
      <c r="I197" s="46" t="s">
        <v>14675</v>
      </c>
      <c r="J197" s="46" t="s">
        <v>14676</v>
      </c>
      <c r="K197" s="218" t="s">
        <v>14677</v>
      </c>
      <c r="L197" s="185">
        <v>5</v>
      </c>
      <c r="M197" s="91">
        <v>925000</v>
      </c>
      <c r="N197" s="91">
        <f>M197+18500+215000+92500</f>
        <v>1251000</v>
      </c>
      <c r="O197" s="189" t="s">
        <v>10765</v>
      </c>
      <c r="P197" s="47" t="s">
        <v>14678</v>
      </c>
      <c r="Q197" s="47" t="s">
        <v>29</v>
      </c>
      <c r="R197" s="47" t="s">
        <v>14679</v>
      </c>
      <c r="T197" s="46"/>
      <c r="U197" s="46" t="s">
        <v>12797</v>
      </c>
      <c r="V197" s="46"/>
    </row>
    <row r="198" spans="1:22" s="47" customFormat="1" ht="105" x14ac:dyDescent="0.25">
      <c r="A198" s="61">
        <v>43535</v>
      </c>
      <c r="B198" s="47" t="s">
        <v>328</v>
      </c>
      <c r="C198" s="46" t="s">
        <v>603</v>
      </c>
      <c r="D198" s="46" t="s">
        <v>10705</v>
      </c>
      <c r="E198" s="46"/>
      <c r="F198" s="46" t="s">
        <v>264</v>
      </c>
      <c r="G198" s="46" t="s">
        <v>8044</v>
      </c>
      <c r="H198" s="46" t="s">
        <v>607</v>
      </c>
      <c r="I198" s="46" t="s">
        <v>14680</v>
      </c>
      <c r="J198" s="46" t="s">
        <v>4785</v>
      </c>
      <c r="K198" s="218" t="s">
        <v>14681</v>
      </c>
      <c r="L198" s="185">
        <v>3</v>
      </c>
      <c r="M198" s="91">
        <v>2000000</v>
      </c>
      <c r="N198" s="91">
        <f>M198+400000+1000000+400000</f>
        <v>3800000</v>
      </c>
      <c r="O198" s="189" t="s">
        <v>10763</v>
      </c>
      <c r="P198" s="47" t="s">
        <v>14825</v>
      </c>
      <c r="Q198" s="47" t="s">
        <v>1939</v>
      </c>
      <c r="R198" s="47" t="s">
        <v>14682</v>
      </c>
      <c r="T198" s="46"/>
      <c r="U198" s="46" t="s">
        <v>12797</v>
      </c>
      <c r="V198" s="46"/>
    </row>
    <row r="199" spans="1:22" s="47" customFormat="1" ht="75" x14ac:dyDescent="0.25">
      <c r="A199" s="61">
        <v>43536</v>
      </c>
      <c r="B199" s="47" t="s">
        <v>328</v>
      </c>
      <c r="C199" s="46" t="s">
        <v>603</v>
      </c>
      <c r="D199" s="46" t="s">
        <v>7595</v>
      </c>
      <c r="E199" s="46"/>
      <c r="F199" s="46" t="s">
        <v>14684</v>
      </c>
      <c r="G199" s="46" t="s">
        <v>14685</v>
      </c>
      <c r="H199" s="46" t="s">
        <v>607</v>
      </c>
      <c r="I199" s="46" t="s">
        <v>14686</v>
      </c>
      <c r="J199" s="46" t="s">
        <v>14074</v>
      </c>
      <c r="K199" s="218" t="s">
        <v>14687</v>
      </c>
      <c r="L199" s="185">
        <v>4</v>
      </c>
      <c r="M199" s="91">
        <v>421000</v>
      </c>
      <c r="N199" s="91">
        <f>M199+210500+42100+42100</f>
        <v>715700</v>
      </c>
      <c r="O199" s="189" t="s">
        <v>4533</v>
      </c>
      <c r="P199" s="47" t="s">
        <v>14826</v>
      </c>
      <c r="Q199" s="47" t="s">
        <v>1939</v>
      </c>
      <c r="R199" s="47" t="s">
        <v>14688</v>
      </c>
      <c r="T199" s="46"/>
      <c r="U199" s="46" t="s">
        <v>12797</v>
      </c>
      <c r="V199" s="46"/>
    </row>
    <row r="200" spans="1:22" s="47" customFormat="1" ht="105" x14ac:dyDescent="0.25">
      <c r="A200" s="61">
        <v>43536</v>
      </c>
      <c r="B200" s="47" t="s">
        <v>328</v>
      </c>
      <c r="C200" s="46" t="s">
        <v>603</v>
      </c>
      <c r="D200" s="46" t="s">
        <v>7595</v>
      </c>
      <c r="E200" s="46"/>
      <c r="F200" s="46" t="s">
        <v>14689</v>
      </c>
      <c r="G200" s="46" t="s">
        <v>9733</v>
      </c>
      <c r="H200" s="46" t="s">
        <v>607</v>
      </c>
      <c r="I200" s="46" t="s">
        <v>14690</v>
      </c>
      <c r="J200" s="46" t="s">
        <v>14074</v>
      </c>
      <c r="K200" s="218" t="s">
        <v>14691</v>
      </c>
      <c r="L200" s="185">
        <v>3</v>
      </c>
      <c r="M200" s="91">
        <v>333500</v>
      </c>
      <c r="N200" s="91">
        <f>M200+33350+166750+33350</f>
        <v>566950</v>
      </c>
      <c r="O200" s="189" t="s">
        <v>4533</v>
      </c>
      <c r="P200" s="47" t="s">
        <v>14827</v>
      </c>
      <c r="Q200" s="47" t="s">
        <v>1939</v>
      </c>
      <c r="R200" s="47" t="s">
        <v>14697</v>
      </c>
      <c r="T200" s="46"/>
      <c r="U200" s="46" t="s">
        <v>12797</v>
      </c>
      <c r="V200" s="46"/>
    </row>
    <row r="201" spans="1:22" s="47" customFormat="1" ht="60" x14ac:dyDescent="0.25">
      <c r="A201" s="61">
        <v>43537</v>
      </c>
      <c r="B201" s="47" t="s">
        <v>328</v>
      </c>
      <c r="C201" s="46" t="s">
        <v>603</v>
      </c>
      <c r="D201" s="46" t="s">
        <v>7595</v>
      </c>
      <c r="E201" s="46"/>
      <c r="F201" s="46" t="s">
        <v>14692</v>
      </c>
      <c r="G201" s="46" t="s">
        <v>14693</v>
      </c>
      <c r="H201" s="46" t="s">
        <v>607</v>
      </c>
      <c r="I201" s="46" t="s">
        <v>14694</v>
      </c>
      <c r="J201" s="46" t="s">
        <v>3368</v>
      </c>
      <c r="K201" s="218" t="s">
        <v>14695</v>
      </c>
      <c r="L201" s="185">
        <v>1</v>
      </c>
      <c r="M201" s="91">
        <v>116000</v>
      </c>
      <c r="N201" s="91">
        <f>M201+58000+11600</f>
        <v>185600</v>
      </c>
      <c r="O201" s="189" t="s">
        <v>4533</v>
      </c>
      <c r="P201" s="47" t="s">
        <v>14828</v>
      </c>
      <c r="Q201" s="47" t="s">
        <v>1939</v>
      </c>
      <c r="R201" s="47" t="s">
        <v>14696</v>
      </c>
      <c r="T201" s="46"/>
      <c r="U201" s="46" t="s">
        <v>12797</v>
      </c>
      <c r="V201" s="46"/>
    </row>
    <row r="202" spans="1:22" s="47" customFormat="1" ht="300" x14ac:dyDescent="0.25">
      <c r="A202" s="61">
        <v>43537</v>
      </c>
      <c r="B202" s="47" t="s">
        <v>643</v>
      </c>
      <c r="C202" s="46" t="s">
        <v>644</v>
      </c>
      <c r="D202" s="46" t="s">
        <v>645</v>
      </c>
      <c r="E202" s="46"/>
      <c r="F202" s="46" t="s">
        <v>272</v>
      </c>
      <c r="G202" s="46" t="s">
        <v>14698</v>
      </c>
      <c r="H202" s="46" t="s">
        <v>607</v>
      </c>
      <c r="I202" s="46" t="s">
        <v>3624</v>
      </c>
      <c r="J202" s="46" t="s">
        <v>644</v>
      </c>
      <c r="K202" s="218" t="s">
        <v>14699</v>
      </c>
      <c r="L202" s="185">
        <v>3</v>
      </c>
      <c r="M202" s="91">
        <v>2176000</v>
      </c>
      <c r="N202" s="91">
        <f>M202+217600+1088000</f>
        <v>3481600</v>
      </c>
      <c r="O202" s="189" t="s">
        <v>560</v>
      </c>
      <c r="P202" s="47" t="s">
        <v>14829</v>
      </c>
      <c r="Q202" s="47" t="s">
        <v>1939</v>
      </c>
      <c r="R202" s="47" t="s">
        <v>14854</v>
      </c>
      <c r="T202" s="46"/>
      <c r="U202" s="46" t="s">
        <v>12797</v>
      </c>
      <c r="V202" s="46"/>
    </row>
    <row r="203" spans="1:22" s="47" customFormat="1" ht="60" x14ac:dyDescent="0.25">
      <c r="A203" s="61">
        <v>43538</v>
      </c>
      <c r="B203" s="47" t="s">
        <v>12367</v>
      </c>
      <c r="C203" s="46" t="s">
        <v>5610</v>
      </c>
      <c r="D203" s="46" t="s">
        <v>7814</v>
      </c>
      <c r="E203" s="46"/>
      <c r="F203" s="46" t="s">
        <v>14701</v>
      </c>
      <c r="G203" s="46" t="s">
        <v>12397</v>
      </c>
      <c r="H203" s="46" t="s">
        <v>607</v>
      </c>
      <c r="I203" s="46" t="s">
        <v>14702</v>
      </c>
      <c r="J203" s="46" t="s">
        <v>3751</v>
      </c>
      <c r="K203" s="218" t="s">
        <v>14703</v>
      </c>
      <c r="L203" s="185">
        <v>4</v>
      </c>
      <c r="M203" s="91">
        <v>455328</v>
      </c>
      <c r="N203" s="91">
        <f>M203+42700+243500+85400</f>
        <v>826928</v>
      </c>
      <c r="O203" s="189" t="s">
        <v>10766</v>
      </c>
      <c r="P203" s="47" t="s">
        <v>14704</v>
      </c>
      <c r="Q203" s="47" t="s">
        <v>29</v>
      </c>
      <c r="R203" s="47" t="s">
        <v>14705</v>
      </c>
      <c r="T203" s="46"/>
      <c r="U203" s="46" t="s">
        <v>12797</v>
      </c>
      <c r="V203" s="46"/>
    </row>
    <row r="204" spans="1:22" s="47" customFormat="1" ht="105" x14ac:dyDescent="0.25">
      <c r="A204" s="61">
        <v>43538</v>
      </c>
      <c r="B204" s="47" t="s">
        <v>328</v>
      </c>
      <c r="C204" s="46" t="s">
        <v>603</v>
      </c>
      <c r="D204" s="46" t="s">
        <v>10705</v>
      </c>
      <c r="E204" s="46"/>
      <c r="F204" s="46" t="s">
        <v>14706</v>
      </c>
      <c r="G204" s="46" t="s">
        <v>13089</v>
      </c>
      <c r="H204" s="46" t="s">
        <v>809</v>
      </c>
      <c r="I204" s="46" t="s">
        <v>8789</v>
      </c>
      <c r="J204" s="46" t="s">
        <v>4785</v>
      </c>
      <c r="K204" s="218" t="s">
        <v>14707</v>
      </c>
      <c r="L204" s="185">
        <v>5</v>
      </c>
      <c r="M204" s="91">
        <v>2700000</v>
      </c>
      <c r="N204" s="91">
        <f>M204+270000</f>
        <v>2970000</v>
      </c>
      <c r="O204" s="189" t="s">
        <v>10763</v>
      </c>
      <c r="P204" s="47" t="s">
        <v>14830</v>
      </c>
      <c r="Q204" s="47" t="s">
        <v>29</v>
      </c>
      <c r="R204" s="47" t="s">
        <v>14831</v>
      </c>
      <c r="T204" s="46"/>
      <c r="U204" s="46" t="s">
        <v>12797</v>
      </c>
      <c r="V204" s="46"/>
    </row>
    <row r="205" spans="1:22" s="47" customFormat="1" ht="90" x14ac:dyDescent="0.25">
      <c r="A205" s="61">
        <v>43538</v>
      </c>
      <c r="B205" s="47" t="s">
        <v>9240</v>
      </c>
      <c r="C205" s="46" t="s">
        <v>603</v>
      </c>
      <c r="D205" s="46" t="s">
        <v>9241</v>
      </c>
      <c r="E205" s="46"/>
      <c r="F205" s="46" t="s">
        <v>14458</v>
      </c>
      <c r="G205" s="46" t="s">
        <v>11187</v>
      </c>
      <c r="H205" s="46" t="s">
        <v>607</v>
      </c>
      <c r="I205" s="46" t="s">
        <v>14459</v>
      </c>
      <c r="J205" s="46" t="s">
        <v>4031</v>
      </c>
      <c r="K205" s="218" t="s">
        <v>14460</v>
      </c>
      <c r="L205" s="185">
        <v>3</v>
      </c>
      <c r="M205" s="91">
        <v>580000</v>
      </c>
      <c r="N205" s="91">
        <f>M205+58000+290000+116000</f>
        <v>1044000</v>
      </c>
      <c r="O205" s="189" t="s">
        <v>10766</v>
      </c>
      <c r="P205" s="47" t="s">
        <v>14708</v>
      </c>
      <c r="Q205" s="47" t="s">
        <v>1939</v>
      </c>
      <c r="R205" s="47" t="s">
        <v>14832</v>
      </c>
      <c r="T205" s="46"/>
      <c r="U205" s="46" t="s">
        <v>12797</v>
      </c>
      <c r="V205" s="46"/>
    </row>
    <row r="206" spans="1:22" s="47" customFormat="1" ht="30" x14ac:dyDescent="0.25">
      <c r="A206" s="61">
        <v>43538</v>
      </c>
      <c r="B206" s="47" t="s">
        <v>9240</v>
      </c>
      <c r="C206" s="46" t="s">
        <v>603</v>
      </c>
      <c r="D206" s="46" t="s">
        <v>9241</v>
      </c>
      <c r="E206" s="46"/>
      <c r="F206" s="46" t="s">
        <v>14458</v>
      </c>
      <c r="G206" s="46" t="s">
        <v>11187</v>
      </c>
      <c r="H206" s="46" t="s">
        <v>10831</v>
      </c>
      <c r="I206" s="46" t="s">
        <v>14399</v>
      </c>
      <c r="J206" s="46" t="s">
        <v>4031</v>
      </c>
      <c r="K206" s="218" t="s">
        <v>14709</v>
      </c>
      <c r="L206" s="185">
        <v>4</v>
      </c>
      <c r="M206" s="91">
        <v>215000</v>
      </c>
      <c r="N206" s="91">
        <f>M206+21500+107500+43000</f>
        <v>387000</v>
      </c>
      <c r="O206" s="189" t="s">
        <v>10763</v>
      </c>
      <c r="P206" s="47" t="s">
        <v>14710</v>
      </c>
      <c r="Q206" s="47" t="s">
        <v>1939</v>
      </c>
      <c r="R206" s="47" t="s">
        <v>14833</v>
      </c>
      <c r="T206" s="46"/>
      <c r="U206" s="46" t="s">
        <v>12797</v>
      </c>
      <c r="V206" s="46"/>
    </row>
    <row r="207" spans="1:22" s="47" customFormat="1" ht="30" x14ac:dyDescent="0.25">
      <c r="A207" s="61">
        <v>43538</v>
      </c>
      <c r="B207" s="47" t="s">
        <v>328</v>
      </c>
      <c r="C207" s="46" t="s">
        <v>603</v>
      </c>
      <c r="D207" s="46" t="s">
        <v>649</v>
      </c>
      <c r="E207" s="46"/>
      <c r="F207" s="46" t="s">
        <v>14711</v>
      </c>
      <c r="G207" s="46" t="s">
        <v>14712</v>
      </c>
      <c r="H207" s="46" t="s">
        <v>10831</v>
      </c>
      <c r="I207" s="46" t="s">
        <v>14713</v>
      </c>
      <c r="J207" s="46" t="s">
        <v>3751</v>
      </c>
      <c r="K207" s="218" t="s">
        <v>13087</v>
      </c>
      <c r="L207" s="185">
        <v>3</v>
      </c>
      <c r="M207" s="91">
        <v>1600000</v>
      </c>
      <c r="N207" s="91">
        <f>M207+160000+1120000</f>
        <v>2880000</v>
      </c>
      <c r="O207" s="189" t="s">
        <v>7564</v>
      </c>
      <c r="P207" s="47" t="s">
        <v>14714</v>
      </c>
      <c r="Q207" s="47" t="s">
        <v>592</v>
      </c>
      <c r="R207" s="47" t="s">
        <v>14715</v>
      </c>
      <c r="T207" s="46"/>
      <c r="U207" s="46" t="s">
        <v>12797</v>
      </c>
      <c r="V207" s="46"/>
    </row>
    <row r="208" spans="1:22" s="47" customFormat="1" ht="60" x14ac:dyDescent="0.25">
      <c r="A208" s="61">
        <v>43538</v>
      </c>
      <c r="B208" s="47" t="s">
        <v>643</v>
      </c>
      <c r="C208" s="46" t="s">
        <v>644</v>
      </c>
      <c r="D208" s="46" t="s">
        <v>645</v>
      </c>
      <c r="E208" s="46"/>
      <c r="F208" s="46" t="s">
        <v>14279</v>
      </c>
      <c r="G208" s="46" t="s">
        <v>7830</v>
      </c>
      <c r="H208" s="46" t="s">
        <v>809</v>
      </c>
      <c r="I208" s="46" t="s">
        <v>6620</v>
      </c>
      <c r="J208" s="46" t="s">
        <v>3501</v>
      </c>
      <c r="K208" s="218" t="s">
        <v>14716</v>
      </c>
      <c r="L208" s="185">
        <v>3</v>
      </c>
      <c r="M208" s="91">
        <v>3500000</v>
      </c>
      <c r="N208" s="91">
        <v>750000</v>
      </c>
      <c r="O208" s="189" t="s">
        <v>560</v>
      </c>
      <c r="P208" s="47" t="s">
        <v>14717</v>
      </c>
      <c r="Q208" s="47" t="s">
        <v>592</v>
      </c>
      <c r="R208" s="47" t="s">
        <v>14718</v>
      </c>
      <c r="T208" s="46"/>
      <c r="U208" s="46" t="s">
        <v>12797</v>
      </c>
      <c r="V208" s="46"/>
    </row>
    <row r="209" spans="1:35" s="47" customFormat="1" ht="120" x14ac:dyDescent="0.25">
      <c r="A209" s="61">
        <v>43538</v>
      </c>
      <c r="B209" s="47" t="s">
        <v>328</v>
      </c>
      <c r="C209" s="46" t="s">
        <v>603</v>
      </c>
      <c r="D209" s="46" t="s">
        <v>757</v>
      </c>
      <c r="E209" s="46"/>
      <c r="F209" s="46" t="s">
        <v>14723</v>
      </c>
      <c r="G209" s="46"/>
      <c r="H209" s="46" t="s">
        <v>905</v>
      </c>
      <c r="I209" s="46" t="s">
        <v>14724</v>
      </c>
      <c r="J209" s="46" t="s">
        <v>3373</v>
      </c>
      <c r="K209" s="218" t="s">
        <v>14725</v>
      </c>
      <c r="L209" s="185">
        <v>3</v>
      </c>
      <c r="M209" s="91">
        <v>1925000</v>
      </c>
      <c r="N209" s="91">
        <f>M209+643200+770000+192500</f>
        <v>3530700</v>
      </c>
      <c r="O209" s="189" t="s">
        <v>10763</v>
      </c>
      <c r="P209" s="47" t="s">
        <v>14726</v>
      </c>
      <c r="Q209" s="47" t="s">
        <v>29</v>
      </c>
      <c r="R209" s="47" t="s">
        <v>14727</v>
      </c>
      <c r="T209" s="46"/>
      <c r="U209" s="46" t="s">
        <v>12797</v>
      </c>
      <c r="V209" s="46"/>
    </row>
    <row r="210" spans="1:35" s="47" customFormat="1" ht="45" x14ac:dyDescent="0.25">
      <c r="A210" s="61">
        <v>43539</v>
      </c>
      <c r="B210" s="47" t="s">
        <v>569</v>
      </c>
      <c r="C210" s="46" t="s">
        <v>899</v>
      </c>
      <c r="D210" s="46" t="s">
        <v>611</v>
      </c>
      <c r="E210" s="46"/>
      <c r="F210" s="46" t="s">
        <v>14719</v>
      </c>
      <c r="G210" s="46" t="s">
        <v>14720</v>
      </c>
      <c r="H210" s="46" t="s">
        <v>10831</v>
      </c>
      <c r="I210" s="46" t="s">
        <v>10574</v>
      </c>
      <c r="J210" s="46" t="s">
        <v>899</v>
      </c>
      <c r="K210" s="218" t="s">
        <v>13288</v>
      </c>
      <c r="L210" s="185">
        <v>4</v>
      </c>
      <c r="M210" s="91">
        <v>797428</v>
      </c>
      <c r="N210" s="91">
        <f>M210+79743+558200+159486</f>
        <v>1594857</v>
      </c>
      <c r="O210" s="189" t="s">
        <v>10766</v>
      </c>
      <c r="P210" s="47" t="s">
        <v>14721</v>
      </c>
      <c r="Q210" s="47" t="s">
        <v>1939</v>
      </c>
      <c r="R210" s="47" t="s">
        <v>14722</v>
      </c>
      <c r="T210" s="46"/>
      <c r="U210" s="46" t="s">
        <v>12797</v>
      </c>
      <c r="V210" s="46"/>
    </row>
    <row r="211" spans="1:35" s="47" customFormat="1" ht="45" x14ac:dyDescent="0.25">
      <c r="A211" s="61">
        <v>43537</v>
      </c>
      <c r="B211" s="47" t="s">
        <v>569</v>
      </c>
      <c r="C211" s="46" t="s">
        <v>899</v>
      </c>
      <c r="D211" s="46" t="s">
        <v>11286</v>
      </c>
      <c r="E211" s="46"/>
      <c r="F211" s="46" t="s">
        <v>9800</v>
      </c>
      <c r="G211" s="46" t="s">
        <v>9801</v>
      </c>
      <c r="H211" s="46" t="s">
        <v>1050</v>
      </c>
      <c r="I211" s="46"/>
      <c r="J211" s="46"/>
      <c r="K211" s="218"/>
      <c r="L211" s="185"/>
      <c r="M211" s="91">
        <v>4800000</v>
      </c>
      <c r="N211" s="91">
        <v>5200000</v>
      </c>
      <c r="O211" s="189" t="s">
        <v>560</v>
      </c>
      <c r="P211" s="47" t="s">
        <v>14834</v>
      </c>
      <c r="Q211" s="47" t="s">
        <v>29</v>
      </c>
      <c r="R211" s="47" t="s">
        <v>14733</v>
      </c>
      <c r="S211" s="47" t="s">
        <v>833</v>
      </c>
      <c r="T211" s="46"/>
      <c r="U211" s="46" t="s">
        <v>12344</v>
      </c>
      <c r="V211" s="46"/>
    </row>
    <row r="212" spans="1:35" s="47" customFormat="1" ht="90" x14ac:dyDescent="0.25">
      <c r="A212" s="61">
        <v>43537</v>
      </c>
      <c r="B212" s="47" t="s">
        <v>328</v>
      </c>
      <c r="C212" s="46" t="s">
        <v>899</v>
      </c>
      <c r="D212" s="46" t="s">
        <v>7595</v>
      </c>
      <c r="E212" s="46"/>
      <c r="F212" s="46" t="s">
        <v>14728</v>
      </c>
      <c r="G212" s="46" t="s">
        <v>14729</v>
      </c>
      <c r="H212" s="46" t="s">
        <v>10832</v>
      </c>
      <c r="I212" s="46" t="s">
        <v>14730</v>
      </c>
      <c r="J212" s="46" t="s">
        <v>899</v>
      </c>
      <c r="K212" s="218"/>
      <c r="L212" s="185">
        <v>4</v>
      </c>
      <c r="M212" s="91">
        <v>1000000</v>
      </c>
      <c r="N212" s="91">
        <f>+M212+100000+105000+100000</f>
        <v>1305000</v>
      </c>
      <c r="O212" s="189" t="s">
        <v>10763</v>
      </c>
      <c r="P212" s="47" t="s">
        <v>14731</v>
      </c>
      <c r="Q212" s="47" t="s">
        <v>592</v>
      </c>
      <c r="R212" s="47" t="s">
        <v>14732</v>
      </c>
      <c r="T212" s="46"/>
      <c r="U212" s="46" t="s">
        <v>12797</v>
      </c>
      <c r="V212" s="46"/>
    </row>
    <row r="213" spans="1:35" s="47" customFormat="1" ht="30" x14ac:dyDescent="0.25">
      <c r="A213" s="61">
        <v>43539</v>
      </c>
      <c r="B213" s="47" t="s">
        <v>569</v>
      </c>
      <c r="C213" s="46" t="s">
        <v>899</v>
      </c>
      <c r="D213" s="46" t="s">
        <v>9981</v>
      </c>
      <c r="E213" s="46"/>
      <c r="F213" s="46" t="s">
        <v>14739</v>
      </c>
      <c r="G213" s="46" t="s">
        <v>14740</v>
      </c>
      <c r="H213" s="46" t="s">
        <v>607</v>
      </c>
      <c r="I213" s="46" t="s">
        <v>14741</v>
      </c>
      <c r="J213" s="46" t="s">
        <v>899</v>
      </c>
      <c r="K213" s="218" t="s">
        <v>14742</v>
      </c>
      <c r="L213" s="185"/>
      <c r="M213" s="91">
        <v>2754726</v>
      </c>
      <c r="N213" s="91">
        <f>M213+275473+1928309</f>
        <v>4958508</v>
      </c>
      <c r="O213" s="189" t="s">
        <v>560</v>
      </c>
      <c r="P213" s="47" t="s">
        <v>14743</v>
      </c>
      <c r="Q213" s="47" t="s">
        <v>29</v>
      </c>
      <c r="R213" s="47" t="s">
        <v>14744</v>
      </c>
      <c r="T213" s="46"/>
      <c r="U213" s="46" t="s">
        <v>12797</v>
      </c>
      <c r="V213" s="46"/>
    </row>
    <row r="214" spans="1:35" s="47" customFormat="1" ht="75" x14ac:dyDescent="0.25">
      <c r="A214" s="61">
        <v>43542</v>
      </c>
      <c r="B214" s="47" t="s">
        <v>5956</v>
      </c>
      <c r="C214" s="46" t="s">
        <v>3369</v>
      </c>
      <c r="D214" s="46" t="s">
        <v>8126</v>
      </c>
      <c r="E214" s="46"/>
      <c r="F214" s="46" t="s">
        <v>8471</v>
      </c>
      <c r="G214" s="46" t="s">
        <v>14734</v>
      </c>
      <c r="H214" s="46" t="s">
        <v>607</v>
      </c>
      <c r="I214" s="46" t="s">
        <v>8662</v>
      </c>
      <c r="J214" s="46" t="s">
        <v>3369</v>
      </c>
      <c r="K214" s="218" t="s">
        <v>14735</v>
      </c>
      <c r="L214" s="185"/>
      <c r="M214" s="91">
        <v>743000</v>
      </c>
      <c r="N214" s="91">
        <v>1338000</v>
      </c>
      <c r="O214" s="189" t="s">
        <v>4533</v>
      </c>
      <c r="P214" s="47" t="s">
        <v>14835</v>
      </c>
      <c r="Q214" s="47" t="s">
        <v>1939</v>
      </c>
      <c r="R214" s="47" t="s">
        <v>14736</v>
      </c>
      <c r="T214" s="46"/>
      <c r="U214" s="46" t="s">
        <v>491</v>
      </c>
      <c r="V214" s="46"/>
    </row>
    <row r="215" spans="1:35" s="47" customFormat="1" ht="253.5" customHeight="1" x14ac:dyDescent="0.25">
      <c r="A215" s="61">
        <v>43542</v>
      </c>
      <c r="B215" s="47" t="s">
        <v>5956</v>
      </c>
      <c r="C215" s="46" t="s">
        <v>3369</v>
      </c>
      <c r="D215" s="46" t="s">
        <v>8126</v>
      </c>
      <c r="E215" s="46"/>
      <c r="F215" s="46" t="s">
        <v>14737</v>
      </c>
      <c r="G215" s="46" t="s">
        <v>9173</v>
      </c>
      <c r="H215" s="46" t="s">
        <v>10831</v>
      </c>
      <c r="I215" s="46" t="s">
        <v>14393</v>
      </c>
      <c r="J215" s="46" t="s">
        <v>4825</v>
      </c>
      <c r="K215" s="218" t="s">
        <v>14394</v>
      </c>
      <c r="L215" s="185"/>
      <c r="M215" s="91">
        <v>656000</v>
      </c>
      <c r="N215" s="91">
        <v>1380000</v>
      </c>
      <c r="O215" s="189" t="s">
        <v>10766</v>
      </c>
      <c r="P215" s="47" t="s">
        <v>14738</v>
      </c>
      <c r="Q215" s="47" t="s">
        <v>1612</v>
      </c>
      <c r="R215" s="47" t="s">
        <v>14836</v>
      </c>
      <c r="T215" s="46"/>
      <c r="U215" s="46" t="s">
        <v>491</v>
      </c>
      <c r="V215" s="46"/>
    </row>
    <row r="216" spans="1:35" s="47" customFormat="1" ht="75" x14ac:dyDescent="0.25">
      <c r="A216" s="61">
        <v>43542</v>
      </c>
      <c r="B216" s="47" t="s">
        <v>569</v>
      </c>
      <c r="C216" s="46" t="s">
        <v>899</v>
      </c>
      <c r="D216" s="46" t="s">
        <v>9981</v>
      </c>
      <c r="E216" s="46"/>
      <c r="F216" s="46" t="s">
        <v>14745</v>
      </c>
      <c r="G216" s="46" t="s">
        <v>14746</v>
      </c>
      <c r="H216" s="46" t="s">
        <v>607</v>
      </c>
      <c r="I216" s="46" t="s">
        <v>14747</v>
      </c>
      <c r="J216" s="46" t="s">
        <v>899</v>
      </c>
      <c r="K216" s="218" t="s">
        <v>14748</v>
      </c>
      <c r="L216" s="185"/>
      <c r="M216" s="91">
        <v>486948</v>
      </c>
      <c r="N216" s="91">
        <f>M216+60000+179000+71600</f>
        <v>797548</v>
      </c>
      <c r="O216" s="189" t="s">
        <v>10766</v>
      </c>
      <c r="P216" s="47" t="s">
        <v>14749</v>
      </c>
      <c r="Q216" s="47" t="s">
        <v>1939</v>
      </c>
      <c r="R216" s="47" t="s">
        <v>14837</v>
      </c>
      <c r="T216" s="46"/>
      <c r="U216" s="46" t="s">
        <v>12797</v>
      </c>
      <c r="V216" s="46"/>
    </row>
    <row r="217" spans="1:35" s="47" customFormat="1" ht="90" x14ac:dyDescent="0.25">
      <c r="A217" s="61">
        <v>43542</v>
      </c>
      <c r="B217" s="47" t="s">
        <v>12367</v>
      </c>
      <c r="C217" s="46" t="s">
        <v>5610</v>
      </c>
      <c r="D217" s="46" t="s">
        <v>7814</v>
      </c>
      <c r="E217" s="46"/>
      <c r="F217" s="46" t="s">
        <v>14750</v>
      </c>
      <c r="G217" s="46" t="s">
        <v>12593</v>
      </c>
      <c r="H217" s="46" t="s">
        <v>607</v>
      </c>
      <c r="I217" s="46" t="s">
        <v>9361</v>
      </c>
      <c r="J217" s="46" t="s">
        <v>3751</v>
      </c>
      <c r="K217" s="218" t="s">
        <v>14751</v>
      </c>
      <c r="L217" s="185">
        <v>4</v>
      </c>
      <c r="M217" s="91">
        <v>2186895</v>
      </c>
      <c r="N217" s="91">
        <f>M217+10000+80000</f>
        <v>2276895</v>
      </c>
      <c r="O217" s="189" t="s">
        <v>560</v>
      </c>
      <c r="P217" s="47" t="s">
        <v>14838</v>
      </c>
      <c r="Q217" s="47" t="s">
        <v>1939</v>
      </c>
      <c r="R217" s="47" t="s">
        <v>14752</v>
      </c>
      <c r="T217" s="46"/>
      <c r="U217" s="46" t="s">
        <v>12797</v>
      </c>
      <c r="V217" s="46"/>
    </row>
    <row r="218" spans="1:35" s="47" customFormat="1" ht="75" x14ac:dyDescent="0.25">
      <c r="A218" s="61">
        <v>43542</v>
      </c>
      <c r="B218" s="47" t="s">
        <v>13559</v>
      </c>
      <c r="C218" s="46" t="s">
        <v>4031</v>
      </c>
      <c r="D218" s="46" t="s">
        <v>13560</v>
      </c>
      <c r="E218" s="46"/>
      <c r="F218" s="46" t="s">
        <v>14753</v>
      </c>
      <c r="G218" s="46" t="s">
        <v>11338</v>
      </c>
      <c r="H218" s="46" t="s">
        <v>10831</v>
      </c>
      <c r="I218" s="46" t="s">
        <v>14754</v>
      </c>
      <c r="J218" s="46" t="s">
        <v>3523</v>
      </c>
      <c r="K218" s="218" t="s">
        <v>14755</v>
      </c>
      <c r="L218" s="185">
        <v>3</v>
      </c>
      <c r="M218" s="91">
        <v>325000</v>
      </c>
      <c r="N218" s="91">
        <f>M218+50000+97500</f>
        <v>472500</v>
      </c>
      <c r="O218" s="189" t="s">
        <v>10763</v>
      </c>
      <c r="P218" s="47" t="s">
        <v>14756</v>
      </c>
      <c r="Q218" s="47" t="s">
        <v>592</v>
      </c>
      <c r="R218" s="47" t="s">
        <v>14757</v>
      </c>
      <c r="T218" s="46"/>
      <c r="U218" s="46" t="s">
        <v>12797</v>
      </c>
      <c r="V218" s="46"/>
    </row>
    <row r="219" spans="1:35" s="47" customFormat="1" ht="231" customHeight="1" x14ac:dyDescent="0.25">
      <c r="A219" s="61">
        <v>43543</v>
      </c>
      <c r="B219" s="47" t="s">
        <v>328</v>
      </c>
      <c r="C219" s="46" t="s">
        <v>603</v>
      </c>
      <c r="D219" s="46" t="s">
        <v>649</v>
      </c>
      <c r="E219" s="46"/>
      <c r="F219" s="46" t="s">
        <v>6046</v>
      </c>
      <c r="G219" s="46" t="s">
        <v>14758</v>
      </c>
      <c r="H219" s="46" t="s">
        <v>607</v>
      </c>
      <c r="I219" s="46" t="s">
        <v>7584</v>
      </c>
      <c r="J219" s="46" t="s">
        <v>604</v>
      </c>
      <c r="K219" s="218" t="s">
        <v>14759</v>
      </c>
      <c r="L219" s="185">
        <v>5</v>
      </c>
      <c r="M219" s="91">
        <v>396400</v>
      </c>
      <c r="N219" s="91">
        <f>M219+39640+198200+39640</f>
        <v>673880</v>
      </c>
      <c r="O219" s="189" t="s">
        <v>4533</v>
      </c>
      <c r="P219" s="47" t="s">
        <v>14839</v>
      </c>
      <c r="Q219" s="47" t="s">
        <v>1612</v>
      </c>
      <c r="R219" s="47" t="s">
        <v>15055</v>
      </c>
      <c r="T219" s="46"/>
      <c r="U219" s="46" t="s">
        <v>12797</v>
      </c>
      <c r="V219" s="46"/>
    </row>
    <row r="220" spans="1:35" s="47" customFormat="1" ht="214.5" customHeight="1" x14ac:dyDescent="0.25">
      <c r="A220" s="61">
        <v>43543</v>
      </c>
      <c r="B220" s="47" t="s">
        <v>12367</v>
      </c>
      <c r="C220" s="46" t="s">
        <v>5610</v>
      </c>
      <c r="D220" s="46" t="s">
        <v>7814</v>
      </c>
      <c r="E220" s="46"/>
      <c r="F220" s="46" t="s">
        <v>10922</v>
      </c>
      <c r="G220" s="46" t="s">
        <v>14327</v>
      </c>
      <c r="H220" s="46" t="s">
        <v>607</v>
      </c>
      <c r="I220" s="46" t="s">
        <v>14773</v>
      </c>
      <c r="J220" s="46" t="s">
        <v>3398</v>
      </c>
      <c r="K220" s="218" t="s">
        <v>14774</v>
      </c>
      <c r="L220" s="185">
        <v>5</v>
      </c>
      <c r="M220" s="91">
        <v>1162304</v>
      </c>
      <c r="N220" s="91">
        <f>M220+100000+250000+50000</f>
        <v>1562304</v>
      </c>
      <c r="O220" s="189" t="s">
        <v>10766</v>
      </c>
      <c r="P220" s="47" t="s">
        <v>14775</v>
      </c>
      <c r="Q220" s="47" t="s">
        <v>29</v>
      </c>
      <c r="R220" s="47" t="s">
        <v>15056</v>
      </c>
      <c r="T220" s="46"/>
      <c r="U220" s="46" t="s">
        <v>12797</v>
      </c>
      <c r="V220" s="46"/>
    </row>
    <row r="221" spans="1:35" s="47" customFormat="1" ht="60" x14ac:dyDescent="0.25">
      <c r="A221" s="61">
        <v>43544</v>
      </c>
      <c r="B221" s="47" t="s">
        <v>328</v>
      </c>
      <c r="C221" s="46" t="s">
        <v>603</v>
      </c>
      <c r="D221" s="46" t="s">
        <v>10705</v>
      </c>
      <c r="E221" s="46"/>
      <c r="F221" s="46" t="s">
        <v>14760</v>
      </c>
      <c r="G221" s="46" t="s">
        <v>14761</v>
      </c>
      <c r="H221" s="46" t="s">
        <v>10831</v>
      </c>
      <c r="I221" s="46" t="s">
        <v>14762</v>
      </c>
      <c r="J221" s="46" t="s">
        <v>14114</v>
      </c>
      <c r="K221" s="218" t="s">
        <v>14763</v>
      </c>
      <c r="L221" s="185">
        <v>10</v>
      </c>
      <c r="M221" s="91">
        <v>772589</v>
      </c>
      <c r="N221" s="91">
        <v>837589</v>
      </c>
      <c r="O221" s="189" t="s">
        <v>7124</v>
      </c>
      <c r="P221" s="47" t="s">
        <v>14764</v>
      </c>
      <c r="Q221" s="47" t="s">
        <v>1939</v>
      </c>
      <c r="R221" s="47" t="s">
        <v>14765</v>
      </c>
      <c r="S221" s="47" t="s">
        <v>14845</v>
      </c>
      <c r="T221" s="46"/>
      <c r="U221" s="46" t="s">
        <v>491</v>
      </c>
      <c r="V221" s="46"/>
      <c r="AI221" s="47" t="s">
        <v>14846</v>
      </c>
    </row>
    <row r="222" spans="1:35" s="47" customFormat="1" ht="30" x14ac:dyDescent="0.25">
      <c r="A222" s="61">
        <v>43544</v>
      </c>
      <c r="B222" s="47" t="s">
        <v>9240</v>
      </c>
      <c r="C222" s="46" t="s">
        <v>603</v>
      </c>
      <c r="D222" s="46" t="s">
        <v>9241</v>
      </c>
      <c r="E222" s="46"/>
      <c r="F222" s="46" t="s">
        <v>11555</v>
      </c>
      <c r="G222" s="46" t="s">
        <v>10569</v>
      </c>
      <c r="H222" s="46" t="s">
        <v>607</v>
      </c>
      <c r="I222" s="46" t="s">
        <v>14766</v>
      </c>
      <c r="J222" s="46" t="s">
        <v>602</v>
      </c>
      <c r="K222" s="218" t="s">
        <v>14412</v>
      </c>
      <c r="L222" s="185">
        <v>5</v>
      </c>
      <c r="M222" s="91">
        <v>500000</v>
      </c>
      <c r="N222" s="91">
        <v>1000000</v>
      </c>
      <c r="O222" s="189" t="s">
        <v>10763</v>
      </c>
      <c r="P222" s="47" t="s">
        <v>14767</v>
      </c>
      <c r="Q222" s="47" t="s">
        <v>29</v>
      </c>
      <c r="R222" s="47" t="s">
        <v>14768</v>
      </c>
      <c r="T222" s="46"/>
      <c r="U222" s="46" t="s">
        <v>491</v>
      </c>
      <c r="V222" s="46"/>
      <c r="AI222" s="47" t="s">
        <v>14769</v>
      </c>
    </row>
    <row r="223" spans="1:35" s="47" customFormat="1" ht="313.5" customHeight="1" x14ac:dyDescent="0.25">
      <c r="A223" s="61">
        <v>43544</v>
      </c>
      <c r="B223" s="47" t="s">
        <v>12367</v>
      </c>
      <c r="C223" s="46" t="s">
        <v>5610</v>
      </c>
      <c r="D223" s="46" t="s">
        <v>7814</v>
      </c>
      <c r="E223" s="46"/>
      <c r="F223" s="46" t="s">
        <v>8647</v>
      </c>
      <c r="G223" s="46" t="s">
        <v>14770</v>
      </c>
      <c r="H223" s="46" t="s">
        <v>607</v>
      </c>
      <c r="I223" s="46" t="s">
        <v>6563</v>
      </c>
      <c r="J223" s="46" t="s">
        <v>3523</v>
      </c>
      <c r="K223" s="218"/>
      <c r="L223" s="185">
        <v>10</v>
      </c>
      <c r="M223" s="91">
        <v>2443390</v>
      </c>
      <c r="N223" s="91">
        <v>2573390</v>
      </c>
      <c r="O223" s="189" t="s">
        <v>7124</v>
      </c>
      <c r="P223" s="47" t="s">
        <v>14771</v>
      </c>
      <c r="Q223" s="47" t="s">
        <v>620</v>
      </c>
      <c r="R223" s="47" t="s">
        <v>14878</v>
      </c>
      <c r="T223" s="46"/>
      <c r="U223" s="46" t="s">
        <v>491</v>
      </c>
      <c r="V223" s="46"/>
      <c r="AI223" s="47" t="s">
        <v>14772</v>
      </c>
    </row>
    <row r="224" spans="1:35" s="47" customFormat="1" ht="105" x14ac:dyDescent="0.25">
      <c r="A224" s="61">
        <v>43544</v>
      </c>
      <c r="B224" s="47" t="s">
        <v>328</v>
      </c>
      <c r="C224" s="46" t="s">
        <v>603</v>
      </c>
      <c r="D224" s="46" t="s">
        <v>649</v>
      </c>
      <c r="E224" s="46"/>
      <c r="F224" s="46" t="s">
        <v>14776</v>
      </c>
      <c r="G224" s="46" t="s">
        <v>14777</v>
      </c>
      <c r="H224" s="46" t="s">
        <v>809</v>
      </c>
      <c r="I224" s="46" t="s">
        <v>8982</v>
      </c>
      <c r="J224" s="46" t="s">
        <v>644</v>
      </c>
      <c r="K224" s="218" t="s">
        <v>14778</v>
      </c>
      <c r="L224" s="185">
        <v>9</v>
      </c>
      <c r="M224" s="91">
        <v>500000</v>
      </c>
      <c r="N224" s="91">
        <v>500000</v>
      </c>
      <c r="O224" s="189" t="s">
        <v>10763</v>
      </c>
      <c r="P224" s="47" t="s">
        <v>14840</v>
      </c>
      <c r="Q224" s="47" t="s">
        <v>620</v>
      </c>
      <c r="R224" s="47" t="s">
        <v>14779</v>
      </c>
      <c r="T224" s="46"/>
      <c r="U224" s="46" t="s">
        <v>12797</v>
      </c>
      <c r="V224" s="46"/>
    </row>
    <row r="225" spans="1:35" s="47" customFormat="1" ht="150" x14ac:dyDescent="0.25">
      <c r="A225" s="61">
        <v>43544</v>
      </c>
      <c r="B225" s="47" t="s">
        <v>328</v>
      </c>
      <c r="C225" s="46" t="s">
        <v>603</v>
      </c>
      <c r="D225" s="46" t="s">
        <v>10705</v>
      </c>
      <c r="E225" s="46"/>
      <c r="F225" s="46" t="s">
        <v>14780</v>
      </c>
      <c r="G225" s="46" t="s">
        <v>14781</v>
      </c>
      <c r="H225" s="46" t="s">
        <v>607</v>
      </c>
      <c r="I225" s="46" t="s">
        <v>14782</v>
      </c>
      <c r="J225" s="46" t="s">
        <v>3751</v>
      </c>
      <c r="K225" s="218" t="s">
        <v>14783</v>
      </c>
      <c r="L225" s="185">
        <v>4</v>
      </c>
      <c r="M225" s="91">
        <v>332900</v>
      </c>
      <c r="N225" s="91">
        <f>M225+33290+205520+66580</f>
        <v>638290</v>
      </c>
      <c r="O225" s="189" t="s">
        <v>4533</v>
      </c>
      <c r="P225" s="47" t="s">
        <v>14841</v>
      </c>
      <c r="Q225" s="47" t="s">
        <v>1939</v>
      </c>
      <c r="R225" s="47" t="s">
        <v>14784</v>
      </c>
      <c r="T225" s="46"/>
      <c r="U225" s="46" t="s">
        <v>12797</v>
      </c>
      <c r="V225" s="46"/>
    </row>
    <row r="226" spans="1:35" s="47" customFormat="1" ht="135" x14ac:dyDescent="0.25">
      <c r="A226" s="61">
        <v>43544</v>
      </c>
      <c r="B226" s="47" t="s">
        <v>328</v>
      </c>
      <c r="C226" s="46" t="s">
        <v>603</v>
      </c>
      <c r="D226" s="46" t="s">
        <v>1401</v>
      </c>
      <c r="E226" s="46"/>
      <c r="F226" s="46" t="s">
        <v>14785</v>
      </c>
      <c r="G226" s="46"/>
      <c r="H226" s="46" t="s">
        <v>10831</v>
      </c>
      <c r="I226" s="46" t="s">
        <v>14786</v>
      </c>
      <c r="J226" s="46" t="s">
        <v>3733</v>
      </c>
      <c r="K226" s="218" t="s">
        <v>14787</v>
      </c>
      <c r="L226" s="185">
        <v>9</v>
      </c>
      <c r="M226" s="91">
        <v>98000</v>
      </c>
      <c r="N226" s="91">
        <f>M226+98000+68600</f>
        <v>264600</v>
      </c>
      <c r="O226" s="189" t="s">
        <v>7564</v>
      </c>
      <c r="P226" s="47" t="s">
        <v>14788</v>
      </c>
      <c r="Q226" s="47" t="s">
        <v>29</v>
      </c>
      <c r="R226" s="47" t="s">
        <v>14789</v>
      </c>
      <c r="T226" s="46"/>
      <c r="U226" s="46" t="s">
        <v>12797</v>
      </c>
      <c r="V226" s="46"/>
    </row>
    <row r="227" spans="1:35" s="47" customFormat="1" ht="105" x14ac:dyDescent="0.25">
      <c r="A227" s="61">
        <v>43545</v>
      </c>
      <c r="B227" s="47" t="s">
        <v>13559</v>
      </c>
      <c r="C227" s="46" t="s">
        <v>4031</v>
      </c>
      <c r="D227" s="46" t="s">
        <v>13560</v>
      </c>
      <c r="E227" s="46"/>
      <c r="F227" s="46" t="s">
        <v>13452</v>
      </c>
      <c r="G227" s="46" t="s">
        <v>14792</v>
      </c>
      <c r="H227" s="46" t="s">
        <v>607</v>
      </c>
      <c r="I227" s="46" t="s">
        <v>6730</v>
      </c>
      <c r="J227" s="46" t="s">
        <v>4031</v>
      </c>
      <c r="K227" s="218" t="s">
        <v>14793</v>
      </c>
      <c r="L227" s="185">
        <v>6</v>
      </c>
      <c r="M227" s="91">
        <v>189175</v>
      </c>
      <c r="N227" s="91">
        <f>M227+18918+50000+6500</f>
        <v>264593</v>
      </c>
      <c r="O227" s="189" t="s">
        <v>10765</v>
      </c>
      <c r="P227" s="47" t="s">
        <v>14842</v>
      </c>
      <c r="Q227" s="47" t="s">
        <v>29</v>
      </c>
      <c r="R227" s="47" t="s">
        <v>14794</v>
      </c>
      <c r="S227" s="47" t="s">
        <v>14843</v>
      </c>
      <c r="T227" s="46"/>
      <c r="U227" s="46" t="s">
        <v>12797</v>
      </c>
      <c r="V227" s="46"/>
    </row>
    <row r="228" spans="1:35" s="47" customFormat="1" ht="133.5" customHeight="1" x14ac:dyDescent="0.25">
      <c r="A228" s="61">
        <v>43545</v>
      </c>
      <c r="B228" s="47" t="s">
        <v>328</v>
      </c>
      <c r="C228" s="46" t="s">
        <v>603</v>
      </c>
      <c r="D228" s="46" t="s">
        <v>5701</v>
      </c>
      <c r="E228" s="46"/>
      <c r="F228" s="46" t="s">
        <v>14795</v>
      </c>
      <c r="G228" s="46" t="s">
        <v>14796</v>
      </c>
      <c r="H228" s="46" t="s">
        <v>809</v>
      </c>
      <c r="I228" s="46" t="s">
        <v>8687</v>
      </c>
      <c r="J228" s="46" t="s">
        <v>3373</v>
      </c>
      <c r="K228" s="218" t="s">
        <v>14797</v>
      </c>
      <c r="L228" s="185">
        <v>9</v>
      </c>
      <c r="M228" s="91">
        <v>225000</v>
      </c>
      <c r="N228" s="91">
        <v>275000</v>
      </c>
      <c r="O228" s="189" t="s">
        <v>10766</v>
      </c>
      <c r="P228" s="47" t="s">
        <v>14798</v>
      </c>
      <c r="Q228" s="47" t="s">
        <v>29</v>
      </c>
      <c r="R228" s="47" t="s">
        <v>14844</v>
      </c>
      <c r="S228" s="47" t="s">
        <v>833</v>
      </c>
      <c r="T228" s="46"/>
      <c r="U228" s="46" t="s">
        <v>491</v>
      </c>
      <c r="V228" s="46"/>
    </row>
    <row r="229" spans="1:35" s="47" customFormat="1" ht="105" x14ac:dyDescent="0.25">
      <c r="A229" s="61">
        <v>43545</v>
      </c>
      <c r="B229" s="47" t="s">
        <v>328</v>
      </c>
      <c r="C229" s="46" t="s">
        <v>603</v>
      </c>
      <c r="D229" s="46" t="s">
        <v>649</v>
      </c>
      <c r="E229" s="46"/>
      <c r="F229" s="46" t="s">
        <v>14799</v>
      </c>
      <c r="G229" s="46" t="s">
        <v>14800</v>
      </c>
      <c r="H229" s="46" t="s">
        <v>607</v>
      </c>
      <c r="I229" s="46" t="s">
        <v>14801</v>
      </c>
      <c r="J229" s="46" t="s">
        <v>899</v>
      </c>
      <c r="K229" s="218" t="s">
        <v>14802</v>
      </c>
      <c r="L229" s="185">
        <v>2</v>
      </c>
      <c r="M229" s="91">
        <v>1370000</v>
      </c>
      <c r="N229" s="91">
        <v>2459000</v>
      </c>
      <c r="O229" s="189" t="s">
        <v>10766</v>
      </c>
      <c r="P229" s="47" t="s">
        <v>14803</v>
      </c>
      <c r="Q229" s="47" t="s">
        <v>1939</v>
      </c>
      <c r="R229" s="226" t="s">
        <v>14804</v>
      </c>
      <c r="S229" s="47" t="s">
        <v>14805</v>
      </c>
      <c r="T229" s="46"/>
      <c r="U229" s="46" t="s">
        <v>491</v>
      </c>
      <c r="V229" s="46"/>
    </row>
    <row r="230" spans="1:35" s="47" customFormat="1" ht="45" x14ac:dyDescent="0.25">
      <c r="A230" s="61">
        <v>43545</v>
      </c>
      <c r="B230" s="47" t="s">
        <v>6076</v>
      </c>
      <c r="C230" s="46" t="s">
        <v>3370</v>
      </c>
      <c r="D230" s="46" t="s">
        <v>14806</v>
      </c>
      <c r="E230" s="46"/>
      <c r="F230" s="46" t="s">
        <v>8966</v>
      </c>
      <c r="G230" s="46"/>
      <c r="H230" s="46" t="s">
        <v>607</v>
      </c>
      <c r="I230" s="46"/>
      <c r="J230" s="46" t="s">
        <v>602</v>
      </c>
      <c r="K230" s="218"/>
      <c r="L230" s="185"/>
      <c r="M230" s="91">
        <v>600000</v>
      </c>
      <c r="N230" s="91">
        <v>1260000</v>
      </c>
      <c r="O230" s="189" t="s">
        <v>4533</v>
      </c>
      <c r="P230" s="47" t="s">
        <v>14808</v>
      </c>
      <c r="Q230" s="47" t="s">
        <v>620</v>
      </c>
      <c r="R230" s="226" t="s">
        <v>14807</v>
      </c>
      <c r="T230" s="46"/>
      <c r="U230" s="46" t="s">
        <v>491</v>
      </c>
      <c r="V230" s="46"/>
    </row>
    <row r="231" spans="1:35" s="47" customFormat="1" ht="75" x14ac:dyDescent="0.25">
      <c r="A231" s="61">
        <v>43546</v>
      </c>
      <c r="B231" s="47" t="s">
        <v>328</v>
      </c>
      <c r="C231" s="46" t="s">
        <v>603</v>
      </c>
      <c r="D231" s="46" t="s">
        <v>1401</v>
      </c>
      <c r="E231" s="46"/>
      <c r="F231" s="46" t="s">
        <v>14855</v>
      </c>
      <c r="G231" s="46" t="s">
        <v>9000</v>
      </c>
      <c r="H231" s="46" t="s">
        <v>905</v>
      </c>
      <c r="I231" s="46" t="s">
        <v>3646</v>
      </c>
      <c r="J231" s="46" t="s">
        <v>644</v>
      </c>
      <c r="K231" s="218" t="s">
        <v>14856</v>
      </c>
      <c r="L231" s="185">
        <v>2</v>
      </c>
      <c r="M231" s="91">
        <v>193000</v>
      </c>
      <c r="N231" s="91">
        <f>M231+19300+5000+38600</f>
        <v>255900</v>
      </c>
      <c r="O231" s="189" t="s">
        <v>10766</v>
      </c>
      <c r="P231" s="47" t="s">
        <v>14944</v>
      </c>
      <c r="Q231" s="47" t="s">
        <v>29</v>
      </c>
      <c r="R231" s="226" t="s">
        <v>14857</v>
      </c>
      <c r="T231" s="46"/>
      <c r="U231" s="46" t="s">
        <v>12797</v>
      </c>
      <c r="V231" s="46"/>
    </row>
    <row r="232" spans="1:35" s="47" customFormat="1" ht="210" x14ac:dyDescent="0.25">
      <c r="A232" s="61">
        <v>43546</v>
      </c>
      <c r="B232" s="47" t="s">
        <v>328</v>
      </c>
      <c r="C232" s="46" t="s">
        <v>603</v>
      </c>
      <c r="D232" s="46" t="s">
        <v>7595</v>
      </c>
      <c r="E232" s="46"/>
      <c r="F232" s="46" t="s">
        <v>13187</v>
      </c>
      <c r="G232" s="46" t="s">
        <v>14858</v>
      </c>
      <c r="H232" s="46" t="s">
        <v>886</v>
      </c>
      <c r="I232" s="46" t="s">
        <v>14859</v>
      </c>
      <c r="J232" s="46" t="s">
        <v>14074</v>
      </c>
      <c r="K232" s="218" t="s">
        <v>14860</v>
      </c>
      <c r="L232" s="185">
        <v>7</v>
      </c>
      <c r="M232" s="91">
        <v>1550000</v>
      </c>
      <c r="N232" s="91">
        <v>1550000</v>
      </c>
      <c r="O232" s="189" t="s">
        <v>2295</v>
      </c>
      <c r="P232" s="47" t="s">
        <v>14861</v>
      </c>
      <c r="Q232" s="47" t="s">
        <v>1612</v>
      </c>
      <c r="R232" s="226" t="s">
        <v>14945</v>
      </c>
      <c r="T232" s="46"/>
      <c r="U232" s="46" t="s">
        <v>12797</v>
      </c>
      <c r="V232" s="46"/>
    </row>
    <row r="233" spans="1:35" s="47" customFormat="1" ht="120" x14ac:dyDescent="0.25">
      <c r="A233" s="61">
        <v>43546</v>
      </c>
      <c r="B233" s="47" t="s">
        <v>5956</v>
      </c>
      <c r="C233" s="46" t="s">
        <v>3369</v>
      </c>
      <c r="D233" s="46" t="s">
        <v>8126</v>
      </c>
      <c r="E233" s="46"/>
      <c r="F233" s="46" t="s">
        <v>14862</v>
      </c>
      <c r="G233" s="46"/>
      <c r="H233" s="46" t="s">
        <v>905</v>
      </c>
      <c r="I233" s="46" t="s">
        <v>12091</v>
      </c>
      <c r="J233" s="46" t="s">
        <v>4825</v>
      </c>
      <c r="K233" s="218" t="s">
        <v>14863</v>
      </c>
      <c r="L233" s="185">
        <v>1</v>
      </c>
      <c r="M233" s="91">
        <v>1124000</v>
      </c>
      <c r="N233" s="91">
        <f>M233+3000</f>
        <v>1127000</v>
      </c>
      <c r="O233" s="189" t="s">
        <v>10766</v>
      </c>
      <c r="P233" s="47" t="s">
        <v>14864</v>
      </c>
      <c r="Q233" s="47" t="s">
        <v>1939</v>
      </c>
      <c r="R233" s="226" t="s">
        <v>14865</v>
      </c>
      <c r="T233" s="46"/>
      <c r="U233" s="46" t="s">
        <v>12797</v>
      </c>
      <c r="V233" s="46"/>
    </row>
    <row r="234" spans="1:35" s="47" customFormat="1" ht="120" x14ac:dyDescent="0.25">
      <c r="A234" s="61">
        <v>43549</v>
      </c>
      <c r="B234" s="47" t="s">
        <v>13559</v>
      </c>
      <c r="C234" s="46" t="s">
        <v>3523</v>
      </c>
      <c r="D234" s="46" t="s">
        <v>14673</v>
      </c>
      <c r="E234" s="46"/>
      <c r="F234" s="46" t="s">
        <v>12814</v>
      </c>
      <c r="G234" s="46"/>
      <c r="H234" s="46" t="s">
        <v>607</v>
      </c>
      <c r="I234" s="46" t="s">
        <v>14809</v>
      </c>
      <c r="J234" s="46" t="s">
        <v>3523</v>
      </c>
      <c r="K234" s="218" t="s">
        <v>14810</v>
      </c>
      <c r="L234" s="185"/>
      <c r="M234" s="91">
        <v>360000</v>
      </c>
      <c r="N234" s="91">
        <v>640000</v>
      </c>
      <c r="O234" s="189" t="s">
        <v>10766</v>
      </c>
      <c r="P234" s="47" t="s">
        <v>14811</v>
      </c>
      <c r="Q234" s="47" t="s">
        <v>29</v>
      </c>
      <c r="R234" s="47" t="s">
        <v>14812</v>
      </c>
      <c r="T234" s="46"/>
      <c r="U234" s="46" t="s">
        <v>491</v>
      </c>
      <c r="V234" s="46"/>
    </row>
    <row r="235" spans="1:35" s="47" customFormat="1" ht="90" x14ac:dyDescent="0.25">
      <c r="A235" s="61">
        <v>43549</v>
      </c>
      <c r="B235" s="47" t="s">
        <v>328</v>
      </c>
      <c r="C235" s="46" t="s">
        <v>603</v>
      </c>
      <c r="D235" s="46" t="s">
        <v>7595</v>
      </c>
      <c r="E235" s="46"/>
      <c r="F235" s="46" t="s">
        <v>14866</v>
      </c>
      <c r="G235" s="46" t="s">
        <v>14867</v>
      </c>
      <c r="H235" s="46" t="s">
        <v>607</v>
      </c>
      <c r="I235" s="46" t="s">
        <v>14868</v>
      </c>
      <c r="J235" s="46" t="s">
        <v>3398</v>
      </c>
      <c r="K235" s="218" t="s">
        <v>14869</v>
      </c>
      <c r="L235" s="185">
        <v>4</v>
      </c>
      <c r="M235" s="91">
        <v>115000</v>
      </c>
      <c r="N235" s="91">
        <f>M235+11500+30000+20000</f>
        <v>176500</v>
      </c>
      <c r="O235" s="189" t="s">
        <v>10764</v>
      </c>
      <c r="P235" s="47" t="s">
        <v>14870</v>
      </c>
      <c r="Q235" s="47" t="s">
        <v>29</v>
      </c>
      <c r="R235" s="47" t="s">
        <v>14871</v>
      </c>
      <c r="T235" s="46"/>
      <c r="U235" s="46" t="s">
        <v>12797</v>
      </c>
      <c r="V235" s="46"/>
    </row>
    <row r="236" spans="1:35" s="47" customFormat="1" ht="75" x14ac:dyDescent="0.25">
      <c r="A236" s="61">
        <v>43549</v>
      </c>
      <c r="B236" s="47" t="s">
        <v>328</v>
      </c>
      <c r="C236" s="46" t="s">
        <v>603</v>
      </c>
      <c r="D236" s="46" t="s">
        <v>1401</v>
      </c>
      <c r="E236" s="46"/>
      <c r="F236" s="46" t="s">
        <v>14848</v>
      </c>
      <c r="G236" s="46" t="s">
        <v>11277</v>
      </c>
      <c r="H236" s="46" t="s">
        <v>607</v>
      </c>
      <c r="I236" s="46" t="s">
        <v>14849</v>
      </c>
      <c r="J236" s="46" t="s">
        <v>6015</v>
      </c>
      <c r="K236" s="218" t="s">
        <v>14850</v>
      </c>
      <c r="L236" s="185">
        <v>2</v>
      </c>
      <c r="M236" s="91">
        <v>375000</v>
      </c>
      <c r="N236" s="91">
        <v>560000</v>
      </c>
      <c r="O236" s="189" t="s">
        <v>4533</v>
      </c>
      <c r="P236" s="47" t="s">
        <v>14946</v>
      </c>
      <c r="Q236" s="47" t="s">
        <v>1939</v>
      </c>
      <c r="R236" s="47" t="s">
        <v>14851</v>
      </c>
      <c r="S236" s="47" t="s">
        <v>14853</v>
      </c>
      <c r="T236" s="46"/>
      <c r="U236" s="46" t="s">
        <v>491</v>
      </c>
      <c r="V236" s="46"/>
      <c r="AI236" s="47" t="s">
        <v>14852</v>
      </c>
    </row>
    <row r="237" spans="1:35" s="47" customFormat="1" ht="120" x14ac:dyDescent="0.25">
      <c r="A237" s="61">
        <v>43550</v>
      </c>
      <c r="B237" s="47" t="s">
        <v>5956</v>
      </c>
      <c r="C237" s="46" t="s">
        <v>3369</v>
      </c>
      <c r="D237" s="46" t="s">
        <v>8126</v>
      </c>
      <c r="E237" s="46"/>
      <c r="F237" s="46" t="s">
        <v>208</v>
      </c>
      <c r="G237" s="46" t="s">
        <v>4818</v>
      </c>
      <c r="H237" s="46" t="s">
        <v>5321</v>
      </c>
      <c r="I237" s="46" t="s">
        <v>14872</v>
      </c>
      <c r="J237" s="46" t="s">
        <v>14268</v>
      </c>
      <c r="K237" s="218" t="s">
        <v>14873</v>
      </c>
      <c r="L237" s="185">
        <v>5</v>
      </c>
      <c r="M237" s="91">
        <v>787000</v>
      </c>
      <c r="N237" s="91">
        <f>M237+78700+550900+157400</f>
        <v>1574000</v>
      </c>
      <c r="O237" s="189" t="s">
        <v>10763</v>
      </c>
      <c r="P237" s="47" t="s">
        <v>14947</v>
      </c>
      <c r="Q237" s="47" t="s">
        <v>1939</v>
      </c>
      <c r="R237" s="47" t="s">
        <v>14874</v>
      </c>
      <c r="T237" s="46"/>
      <c r="U237" s="46" t="s">
        <v>12797</v>
      </c>
      <c r="V237" s="46"/>
    </row>
    <row r="238" spans="1:35" s="47" customFormat="1" ht="105" x14ac:dyDescent="0.25">
      <c r="A238" s="61">
        <v>43550</v>
      </c>
      <c r="B238" s="47" t="s">
        <v>328</v>
      </c>
      <c r="C238" s="46" t="s">
        <v>603</v>
      </c>
      <c r="D238" s="46" t="s">
        <v>10705</v>
      </c>
      <c r="E238" s="46"/>
      <c r="F238" s="46" t="s">
        <v>14875</v>
      </c>
      <c r="G238" s="46"/>
      <c r="H238" s="46" t="s">
        <v>10832</v>
      </c>
      <c r="I238" s="46" t="s">
        <v>10036</v>
      </c>
      <c r="J238" s="46" t="s">
        <v>3373</v>
      </c>
      <c r="K238" s="218" t="s">
        <v>14876</v>
      </c>
      <c r="L238" s="185">
        <v>10</v>
      </c>
      <c r="M238" s="91">
        <v>134418</v>
      </c>
      <c r="N238" s="91">
        <f>M238+6000+10000+13442</f>
        <v>163860</v>
      </c>
      <c r="O238" s="189" t="s">
        <v>10763</v>
      </c>
      <c r="P238" s="47" t="s">
        <v>14877</v>
      </c>
      <c r="Q238" s="47" t="s">
        <v>592</v>
      </c>
      <c r="R238" s="47" t="s">
        <v>14948</v>
      </c>
      <c r="T238" s="46"/>
      <c r="U238" s="46" t="s">
        <v>12797</v>
      </c>
      <c r="V238" s="46"/>
    </row>
    <row r="239" spans="1:35" s="47" customFormat="1" ht="45" x14ac:dyDescent="0.25">
      <c r="A239" s="61">
        <v>43551</v>
      </c>
      <c r="B239" s="47" t="s">
        <v>13559</v>
      </c>
      <c r="C239" s="46" t="s">
        <v>4031</v>
      </c>
      <c r="D239" s="46" t="s">
        <v>13560</v>
      </c>
      <c r="E239" s="46"/>
      <c r="F239" s="46" t="s">
        <v>14879</v>
      </c>
      <c r="G239" s="46"/>
      <c r="H239" s="46" t="s">
        <v>905</v>
      </c>
      <c r="I239" s="46" t="s">
        <v>14880</v>
      </c>
      <c r="J239" s="46" t="s">
        <v>3733</v>
      </c>
      <c r="K239" s="218" t="s">
        <v>14881</v>
      </c>
      <c r="L239" s="185"/>
      <c r="M239" s="91">
        <v>325000</v>
      </c>
      <c r="N239" s="91">
        <f>M239+32500+15000</f>
        <v>372500</v>
      </c>
      <c r="O239" s="189" t="s">
        <v>10763</v>
      </c>
      <c r="P239" s="47" t="s">
        <v>14882</v>
      </c>
      <c r="Q239" s="47" t="s">
        <v>592</v>
      </c>
      <c r="R239" s="47" t="s">
        <v>14883</v>
      </c>
      <c r="T239" s="46"/>
      <c r="U239" s="46" t="s">
        <v>12797</v>
      </c>
      <c r="V239" s="46"/>
    </row>
    <row r="240" spans="1:35" s="47" customFormat="1" ht="75" x14ac:dyDescent="0.25">
      <c r="A240" s="61">
        <v>43551</v>
      </c>
      <c r="B240" s="47" t="s">
        <v>13559</v>
      </c>
      <c r="C240" s="46" t="s">
        <v>3369</v>
      </c>
      <c r="D240" s="46" t="s">
        <v>14604</v>
      </c>
      <c r="E240" s="46"/>
      <c r="F240" s="46" t="s">
        <v>14884</v>
      </c>
      <c r="G240" s="46"/>
      <c r="H240" s="46" t="s">
        <v>905</v>
      </c>
      <c r="I240" s="46" t="s">
        <v>14885</v>
      </c>
      <c r="J240" s="46" t="s">
        <v>3369</v>
      </c>
      <c r="K240" s="218" t="s">
        <v>14886</v>
      </c>
      <c r="L240" s="185">
        <v>2</v>
      </c>
      <c r="M240" s="91">
        <v>2500000</v>
      </c>
      <c r="N240" s="91">
        <f>M240+200000+15000+36000</f>
        <v>2751000</v>
      </c>
      <c r="O240" s="189" t="s">
        <v>560</v>
      </c>
      <c r="P240" s="47" t="s">
        <v>14887</v>
      </c>
      <c r="Q240" s="47" t="s">
        <v>1939</v>
      </c>
      <c r="R240" s="47" t="s">
        <v>14949</v>
      </c>
      <c r="T240" s="46"/>
      <c r="U240" s="46" t="s">
        <v>12797</v>
      </c>
      <c r="V240" s="46"/>
    </row>
    <row r="241" spans="1:22" s="47" customFormat="1" ht="90" x14ac:dyDescent="0.25">
      <c r="A241" s="61">
        <v>43551</v>
      </c>
      <c r="B241" s="47" t="s">
        <v>328</v>
      </c>
      <c r="C241" s="46" t="s">
        <v>603</v>
      </c>
      <c r="D241" s="46" t="s">
        <v>1401</v>
      </c>
      <c r="E241" s="46"/>
      <c r="F241" s="46" t="s">
        <v>14888</v>
      </c>
      <c r="G241" s="46" t="s">
        <v>14889</v>
      </c>
      <c r="H241" s="46" t="s">
        <v>10832</v>
      </c>
      <c r="I241" s="46" t="s">
        <v>13691</v>
      </c>
      <c r="J241" s="46" t="s">
        <v>899</v>
      </c>
      <c r="K241" s="218" t="s">
        <v>13692</v>
      </c>
      <c r="L241" s="185">
        <v>6</v>
      </c>
      <c r="M241" s="91">
        <v>1750000</v>
      </c>
      <c r="N241" s="91">
        <f>M241+175000+350000+350000</f>
        <v>2625000</v>
      </c>
      <c r="O241" s="189" t="s">
        <v>4533</v>
      </c>
      <c r="P241" s="47" t="s">
        <v>14890</v>
      </c>
      <c r="Q241" s="47" t="s">
        <v>592</v>
      </c>
      <c r="R241" s="47" t="s">
        <v>14891</v>
      </c>
      <c r="T241" s="46"/>
      <c r="U241" s="46" t="s">
        <v>12797</v>
      </c>
      <c r="V241" s="46"/>
    </row>
    <row r="242" spans="1:22" s="47" customFormat="1" ht="135" x14ac:dyDescent="0.25">
      <c r="A242" s="61">
        <v>43551</v>
      </c>
      <c r="B242" s="47" t="s">
        <v>13559</v>
      </c>
      <c r="C242" s="46" t="s">
        <v>3370</v>
      </c>
      <c r="D242" s="46" t="s">
        <v>14656</v>
      </c>
      <c r="E242" s="46"/>
      <c r="F242" s="46" t="s">
        <v>14892</v>
      </c>
      <c r="G242" s="46" t="s">
        <v>14893</v>
      </c>
      <c r="H242" s="46" t="s">
        <v>607</v>
      </c>
      <c r="I242" s="46" t="s">
        <v>14894</v>
      </c>
      <c r="J242" s="46" t="s">
        <v>3370</v>
      </c>
      <c r="K242" s="218" t="s">
        <v>14895</v>
      </c>
      <c r="L242" s="185">
        <v>5</v>
      </c>
      <c r="M242" s="91">
        <v>520000</v>
      </c>
      <c r="N242" s="91">
        <v>936000</v>
      </c>
      <c r="O242" s="189" t="s">
        <v>10766</v>
      </c>
      <c r="P242" s="47" t="s">
        <v>14956</v>
      </c>
      <c r="Q242" s="47" t="s">
        <v>1939</v>
      </c>
      <c r="R242" s="47" t="s">
        <v>14957</v>
      </c>
      <c r="T242" s="46"/>
      <c r="U242" s="46" t="s">
        <v>491</v>
      </c>
      <c r="V242" s="46"/>
    </row>
    <row r="243" spans="1:22" s="47" customFormat="1" ht="75" x14ac:dyDescent="0.25">
      <c r="A243" s="61">
        <v>43552</v>
      </c>
      <c r="B243" s="47" t="s">
        <v>13559</v>
      </c>
      <c r="C243" s="46" t="s">
        <v>5610</v>
      </c>
      <c r="D243" s="46" t="s">
        <v>8040</v>
      </c>
      <c r="E243" s="46"/>
      <c r="F243" s="46" t="s">
        <v>8966</v>
      </c>
      <c r="G243" s="46"/>
      <c r="H243" s="46" t="s">
        <v>607</v>
      </c>
      <c r="I243" s="46"/>
      <c r="J243" s="46" t="s">
        <v>5610</v>
      </c>
      <c r="K243" s="218"/>
      <c r="L243" s="185"/>
      <c r="M243" s="91"/>
      <c r="N243" s="91"/>
      <c r="O243" s="189" t="s">
        <v>6745</v>
      </c>
      <c r="P243" s="47" t="s">
        <v>14896</v>
      </c>
      <c r="Q243" s="47" t="s">
        <v>1939</v>
      </c>
      <c r="R243" s="47" t="s">
        <v>14897</v>
      </c>
      <c r="T243" s="46"/>
      <c r="U243" s="46" t="s">
        <v>491</v>
      </c>
      <c r="V243" s="46"/>
    </row>
    <row r="244" spans="1:22" s="47" customFormat="1" ht="120" x14ac:dyDescent="0.25">
      <c r="A244" s="61">
        <v>43552</v>
      </c>
      <c r="B244" s="47" t="s">
        <v>13559</v>
      </c>
      <c r="C244" s="46" t="s">
        <v>3373</v>
      </c>
      <c r="D244" s="46" t="s">
        <v>13560</v>
      </c>
      <c r="E244" s="46"/>
      <c r="F244" s="46" t="s">
        <v>14723</v>
      </c>
      <c r="G244" s="46"/>
      <c r="H244" s="46" t="s">
        <v>1615</v>
      </c>
      <c r="I244" s="46" t="s">
        <v>14724</v>
      </c>
      <c r="J244" s="46" t="s">
        <v>3373</v>
      </c>
      <c r="K244" s="218" t="s">
        <v>14725</v>
      </c>
      <c r="L244" s="185"/>
      <c r="M244" s="91">
        <v>1925000</v>
      </c>
      <c r="N244" s="91"/>
      <c r="O244" s="189" t="s">
        <v>4533</v>
      </c>
      <c r="P244" s="47" t="s">
        <v>14726</v>
      </c>
      <c r="Q244" s="47" t="s">
        <v>29</v>
      </c>
      <c r="R244" s="47" t="s">
        <v>14727</v>
      </c>
      <c r="S244" s="47" t="s">
        <v>14898</v>
      </c>
      <c r="T244" s="46"/>
      <c r="U244" s="46" t="s">
        <v>491</v>
      </c>
      <c r="V244" s="46"/>
    </row>
    <row r="245" spans="1:22" s="47" customFormat="1" ht="75" x14ac:dyDescent="0.25">
      <c r="A245" s="61">
        <v>43552</v>
      </c>
      <c r="B245" s="47" t="s">
        <v>328</v>
      </c>
      <c r="C245" s="46" t="s">
        <v>603</v>
      </c>
      <c r="D245" s="46" t="s">
        <v>5701</v>
      </c>
      <c r="E245" s="46"/>
      <c r="F245" s="46" t="s">
        <v>228</v>
      </c>
      <c r="G245" s="46" t="s">
        <v>9305</v>
      </c>
      <c r="H245" s="46" t="s">
        <v>607</v>
      </c>
      <c r="I245" s="46" t="s">
        <v>6288</v>
      </c>
      <c r="J245" s="46" t="s">
        <v>603</v>
      </c>
      <c r="K245" s="218" t="s">
        <v>14922</v>
      </c>
      <c r="L245" s="185">
        <v>7</v>
      </c>
      <c r="M245" s="91">
        <v>473000</v>
      </c>
      <c r="N245" s="91">
        <f>M245+270000+331100+94600</f>
        <v>1168700</v>
      </c>
      <c r="O245" s="189" t="s">
        <v>4533</v>
      </c>
      <c r="P245" s="47" t="s">
        <v>14923</v>
      </c>
      <c r="Q245" s="47" t="s">
        <v>29</v>
      </c>
      <c r="R245" s="47" t="s">
        <v>14950</v>
      </c>
      <c r="T245" s="46"/>
      <c r="U245" s="46" t="s">
        <v>12797</v>
      </c>
      <c r="V245" s="46"/>
    </row>
    <row r="246" spans="1:22" s="47" customFormat="1" ht="120" x14ac:dyDescent="0.25">
      <c r="A246" s="61">
        <v>43552</v>
      </c>
      <c r="B246" s="47" t="s">
        <v>328</v>
      </c>
      <c r="C246" s="46" t="s">
        <v>603</v>
      </c>
      <c r="D246" s="46" t="s">
        <v>5701</v>
      </c>
      <c r="E246" s="46"/>
      <c r="F246" s="46" t="s">
        <v>14924</v>
      </c>
      <c r="G246" s="46" t="s">
        <v>9843</v>
      </c>
      <c r="H246" s="46" t="s">
        <v>809</v>
      </c>
      <c r="I246" s="46" t="s">
        <v>14925</v>
      </c>
      <c r="J246" s="46" t="s">
        <v>3885</v>
      </c>
      <c r="K246" s="218" t="s">
        <v>14926</v>
      </c>
      <c r="L246" s="185">
        <v>1</v>
      </c>
      <c r="M246" s="91">
        <v>219000</v>
      </c>
      <c r="N246" s="91">
        <f>M246+21900+3000</f>
        <v>243900</v>
      </c>
      <c r="O246" s="189" t="s">
        <v>10763</v>
      </c>
      <c r="P246" s="47" t="s">
        <v>14951</v>
      </c>
      <c r="Q246" s="47" t="s">
        <v>592</v>
      </c>
      <c r="R246" s="47" t="s">
        <v>14952</v>
      </c>
      <c r="T246" s="46"/>
      <c r="U246" s="46" t="s">
        <v>12797</v>
      </c>
      <c r="V246" s="46"/>
    </row>
    <row r="247" spans="1:22" s="47" customFormat="1" ht="105" x14ac:dyDescent="0.25">
      <c r="A247" s="61">
        <v>43552</v>
      </c>
      <c r="B247" s="47" t="s">
        <v>5956</v>
      </c>
      <c r="C247" s="46" t="s">
        <v>3369</v>
      </c>
      <c r="D247" s="46" t="s">
        <v>8126</v>
      </c>
      <c r="E247" s="46"/>
      <c r="F247" s="46" t="s">
        <v>14927</v>
      </c>
      <c r="G247" s="46" t="s">
        <v>10268</v>
      </c>
      <c r="H247" s="46" t="s">
        <v>905</v>
      </c>
      <c r="I247" s="46" t="s">
        <v>14928</v>
      </c>
      <c r="J247" s="46" t="s">
        <v>959</v>
      </c>
      <c r="K247" s="218" t="s">
        <v>14929</v>
      </c>
      <c r="L247" s="185"/>
      <c r="M247" s="91">
        <v>315000</v>
      </c>
      <c r="N247" s="91">
        <f>M247+31500+5000</f>
        <v>351500</v>
      </c>
      <c r="O247" s="189" t="s">
        <v>10765</v>
      </c>
      <c r="P247" s="47" t="s">
        <v>14930</v>
      </c>
      <c r="Q247" s="47" t="s">
        <v>1939</v>
      </c>
      <c r="R247" s="47" t="s">
        <v>14931</v>
      </c>
      <c r="T247" s="46"/>
      <c r="U247" s="46" t="s">
        <v>12797</v>
      </c>
      <c r="V247" s="46"/>
    </row>
    <row r="248" spans="1:22" s="47" customFormat="1" ht="105" x14ac:dyDescent="0.25">
      <c r="A248" s="61">
        <v>43552</v>
      </c>
      <c r="B248" s="47" t="s">
        <v>5473</v>
      </c>
      <c r="C248" s="46" t="s">
        <v>608</v>
      </c>
      <c r="D248" s="46" t="s">
        <v>14932</v>
      </c>
      <c r="E248" s="46"/>
      <c r="F248" s="46" t="s">
        <v>13613</v>
      </c>
      <c r="G248" s="46" t="s">
        <v>14933</v>
      </c>
      <c r="H248" s="46" t="s">
        <v>10832</v>
      </c>
      <c r="I248" s="46" t="s">
        <v>3809</v>
      </c>
      <c r="J248" s="46" t="s">
        <v>602</v>
      </c>
      <c r="K248" s="218" t="s">
        <v>14304</v>
      </c>
      <c r="L248" s="185">
        <v>1</v>
      </c>
      <c r="M248" s="91">
        <v>565488</v>
      </c>
      <c r="N248" s="91">
        <f>M248+50000</f>
        <v>615488</v>
      </c>
      <c r="O248" s="189" t="s">
        <v>10763</v>
      </c>
      <c r="P248" s="47" t="s">
        <v>14934</v>
      </c>
      <c r="Q248" s="47" t="s">
        <v>1939</v>
      </c>
      <c r="R248" s="47" t="s">
        <v>14935</v>
      </c>
      <c r="T248" s="46"/>
      <c r="U248" s="46" t="s">
        <v>12797</v>
      </c>
      <c r="V248" s="46"/>
    </row>
    <row r="249" spans="1:22" s="47" customFormat="1" ht="330" x14ac:dyDescent="0.25">
      <c r="A249" s="61">
        <v>43552</v>
      </c>
      <c r="B249" s="47" t="s">
        <v>643</v>
      </c>
      <c r="C249" s="46" t="s">
        <v>644</v>
      </c>
      <c r="D249" s="46" t="s">
        <v>645</v>
      </c>
      <c r="E249" s="46"/>
      <c r="F249" s="46" t="s">
        <v>14936</v>
      </c>
      <c r="G249" s="46" t="s">
        <v>14937</v>
      </c>
      <c r="H249" s="46" t="s">
        <v>886</v>
      </c>
      <c r="I249" s="46" t="s">
        <v>14938</v>
      </c>
      <c r="J249" s="46" t="s">
        <v>644</v>
      </c>
      <c r="K249" s="218" t="s">
        <v>14939</v>
      </c>
      <c r="L249" s="185"/>
      <c r="M249" s="91">
        <v>1800000</v>
      </c>
      <c r="N249" s="91">
        <f>M249+600000+900000+360000</f>
        <v>3660000</v>
      </c>
      <c r="O249" s="189" t="s">
        <v>560</v>
      </c>
      <c r="P249" s="47" t="s">
        <v>14972</v>
      </c>
      <c r="Q249" s="47" t="s">
        <v>1939</v>
      </c>
      <c r="R249" s="47" t="s">
        <v>15009</v>
      </c>
      <c r="T249" s="46"/>
      <c r="U249" s="46" t="s">
        <v>12797</v>
      </c>
      <c r="V249" s="46"/>
    </row>
    <row r="250" spans="1:22" s="47" customFormat="1" ht="60" x14ac:dyDescent="0.25">
      <c r="A250" s="61">
        <v>43553</v>
      </c>
      <c r="B250" s="47" t="s">
        <v>328</v>
      </c>
      <c r="C250" s="46" t="s">
        <v>603</v>
      </c>
      <c r="D250" s="46" t="s">
        <v>10705</v>
      </c>
      <c r="E250" s="46"/>
      <c r="F250" s="46" t="s">
        <v>14899</v>
      </c>
      <c r="G250" s="46" t="s">
        <v>12377</v>
      </c>
      <c r="H250" s="46" t="s">
        <v>607</v>
      </c>
      <c r="I250" s="46" t="s">
        <v>14900</v>
      </c>
      <c r="J250" s="46" t="s">
        <v>3501</v>
      </c>
      <c r="K250" s="218" t="s">
        <v>14901</v>
      </c>
      <c r="L250" s="185">
        <v>5</v>
      </c>
      <c r="M250" s="91">
        <v>433000</v>
      </c>
      <c r="N250" s="91">
        <v>800000</v>
      </c>
      <c r="O250" s="189" t="s">
        <v>4533</v>
      </c>
      <c r="P250" s="47" t="s">
        <v>14902</v>
      </c>
      <c r="Q250" s="47" t="s">
        <v>29</v>
      </c>
      <c r="R250" s="47" t="s">
        <v>14953</v>
      </c>
      <c r="T250" s="46"/>
      <c r="U250" s="46" t="s">
        <v>491</v>
      </c>
      <c r="V250" s="46"/>
    </row>
    <row r="251" spans="1:22" s="47" customFormat="1" ht="105" x14ac:dyDescent="0.25">
      <c r="A251" s="61">
        <v>43553</v>
      </c>
      <c r="B251" s="47" t="s">
        <v>328</v>
      </c>
      <c r="C251" s="46" t="s">
        <v>603</v>
      </c>
      <c r="D251" s="46" t="s">
        <v>10705</v>
      </c>
      <c r="E251" s="46"/>
      <c r="F251" s="46" t="s">
        <v>14903</v>
      </c>
      <c r="G251" s="46" t="s">
        <v>14448</v>
      </c>
      <c r="H251" s="46" t="s">
        <v>607</v>
      </c>
      <c r="I251" s="46" t="s">
        <v>14904</v>
      </c>
      <c r="J251" s="46" t="s">
        <v>644</v>
      </c>
      <c r="K251" s="218" t="s">
        <v>14905</v>
      </c>
      <c r="L251" s="185">
        <v>4</v>
      </c>
      <c r="M251" s="91">
        <v>350000</v>
      </c>
      <c r="N251" s="91">
        <v>630000</v>
      </c>
      <c r="O251" s="189" t="s">
        <v>10765</v>
      </c>
      <c r="P251" s="47" t="s">
        <v>14906</v>
      </c>
      <c r="Q251" s="47" t="s">
        <v>29</v>
      </c>
      <c r="R251" s="47" t="s">
        <v>14907</v>
      </c>
      <c r="S251" s="47" t="s">
        <v>14954</v>
      </c>
      <c r="T251" s="46"/>
      <c r="U251" s="46" t="s">
        <v>491</v>
      </c>
      <c r="V251" s="46"/>
    </row>
    <row r="252" spans="1:22" s="47" customFormat="1" ht="60" x14ac:dyDescent="0.25">
      <c r="A252" s="61">
        <v>43553</v>
      </c>
      <c r="B252" s="47" t="s">
        <v>569</v>
      </c>
      <c r="C252" s="46" t="s">
        <v>899</v>
      </c>
      <c r="D252" s="46" t="s">
        <v>611</v>
      </c>
      <c r="E252" s="46"/>
      <c r="F252" s="46" t="s">
        <v>14908</v>
      </c>
      <c r="G252" s="46" t="s">
        <v>14909</v>
      </c>
      <c r="H252" s="46" t="s">
        <v>607</v>
      </c>
      <c r="I252" s="46" t="s">
        <v>14910</v>
      </c>
      <c r="J252" s="46" t="s">
        <v>899</v>
      </c>
      <c r="K252" s="218" t="s">
        <v>13153</v>
      </c>
      <c r="L252" s="185"/>
      <c r="M252" s="91">
        <v>1455000</v>
      </c>
      <c r="N252" s="91">
        <v>2982750</v>
      </c>
      <c r="O252" s="189" t="s">
        <v>10766</v>
      </c>
      <c r="P252" s="47" t="s">
        <v>14911</v>
      </c>
      <c r="Q252" s="47" t="s">
        <v>620</v>
      </c>
      <c r="R252" s="47" t="s">
        <v>14912</v>
      </c>
      <c r="T252" s="46"/>
      <c r="U252" s="46" t="s">
        <v>491</v>
      </c>
      <c r="V252" s="46"/>
    </row>
    <row r="253" spans="1:22" s="47" customFormat="1" ht="60" x14ac:dyDescent="0.25">
      <c r="A253" s="61">
        <v>43553</v>
      </c>
      <c r="B253" s="47" t="s">
        <v>328</v>
      </c>
      <c r="C253" s="46" t="s">
        <v>603</v>
      </c>
      <c r="D253" s="46" t="s">
        <v>5701</v>
      </c>
      <c r="E253" s="46"/>
      <c r="F253" s="46" t="s">
        <v>14913</v>
      </c>
      <c r="G253" s="46" t="s">
        <v>14914</v>
      </c>
      <c r="H253" s="46" t="s">
        <v>607</v>
      </c>
      <c r="I253" s="46" t="s">
        <v>7025</v>
      </c>
      <c r="J253" s="46" t="s">
        <v>3373</v>
      </c>
      <c r="K253" s="218" t="s">
        <v>14915</v>
      </c>
      <c r="L253" s="185">
        <v>2</v>
      </c>
      <c r="M253" s="91">
        <v>305622</v>
      </c>
      <c r="N253" s="91">
        <v>331122</v>
      </c>
      <c r="O253" s="189" t="s">
        <v>4533</v>
      </c>
      <c r="P253" s="47" t="s">
        <v>14916</v>
      </c>
      <c r="Q253" s="47" t="s">
        <v>1939</v>
      </c>
      <c r="R253" s="47" t="s">
        <v>14917</v>
      </c>
      <c r="T253" s="46"/>
      <c r="U253" s="46" t="s">
        <v>491</v>
      </c>
      <c r="V253" s="46"/>
    </row>
    <row r="254" spans="1:22" s="47" customFormat="1" ht="45" x14ac:dyDescent="0.25">
      <c r="A254" s="61">
        <v>43553</v>
      </c>
      <c r="B254" s="47" t="s">
        <v>328</v>
      </c>
      <c r="C254" s="46" t="s">
        <v>603</v>
      </c>
      <c r="D254" s="46" t="s">
        <v>10705</v>
      </c>
      <c r="E254" s="46"/>
      <c r="F254" s="46" t="s">
        <v>14918</v>
      </c>
      <c r="G254" s="46" t="s">
        <v>14919</v>
      </c>
      <c r="H254" s="46" t="s">
        <v>607</v>
      </c>
      <c r="I254" s="46" t="s">
        <v>6092</v>
      </c>
      <c r="J254" s="46" t="s">
        <v>899</v>
      </c>
      <c r="K254" s="218" t="s">
        <v>13160</v>
      </c>
      <c r="L254" s="185">
        <v>1</v>
      </c>
      <c r="M254" s="91">
        <v>388150</v>
      </c>
      <c r="N254" s="91">
        <v>1000000</v>
      </c>
      <c r="O254" s="189" t="s">
        <v>10766</v>
      </c>
      <c r="P254" s="47" t="s">
        <v>14920</v>
      </c>
      <c r="Q254" s="47" t="s">
        <v>29</v>
      </c>
      <c r="R254" s="47" t="s">
        <v>14921</v>
      </c>
      <c r="T254" s="46"/>
      <c r="U254" s="46" t="s">
        <v>491</v>
      </c>
      <c r="V254" s="46"/>
    </row>
    <row r="255" spans="1:22" s="47" customFormat="1" ht="120" x14ac:dyDescent="0.25">
      <c r="A255" s="61">
        <v>43556</v>
      </c>
      <c r="B255" s="47" t="s">
        <v>328</v>
      </c>
      <c r="C255" s="46" t="s">
        <v>603</v>
      </c>
      <c r="D255" s="46" t="s">
        <v>5701</v>
      </c>
      <c r="E255" s="46"/>
      <c r="F255" s="46" t="s">
        <v>14940</v>
      </c>
      <c r="G255" s="46"/>
      <c r="H255" s="46" t="s">
        <v>809</v>
      </c>
      <c r="I255" s="46" t="s">
        <v>14941</v>
      </c>
      <c r="J255" s="46" t="s">
        <v>4031</v>
      </c>
      <c r="K255" s="218" t="s">
        <v>14942</v>
      </c>
      <c r="L255" s="185">
        <v>2</v>
      </c>
      <c r="M255" s="91">
        <v>692000</v>
      </c>
      <c r="N255" s="91">
        <f>M255+62500+5000</f>
        <v>759500</v>
      </c>
      <c r="O255" s="189" t="s">
        <v>6745</v>
      </c>
      <c r="P255" s="47" t="s">
        <v>14943</v>
      </c>
      <c r="Q255" s="47" t="s">
        <v>1939</v>
      </c>
      <c r="R255" s="47" t="s">
        <v>14955</v>
      </c>
      <c r="T255" s="46"/>
      <c r="U255" s="46" t="s">
        <v>12797</v>
      </c>
      <c r="V255" s="46"/>
    </row>
    <row r="256" spans="1:22" s="47" customFormat="1" ht="60" x14ac:dyDescent="0.25">
      <c r="A256" s="61">
        <v>43556</v>
      </c>
      <c r="B256" s="47" t="s">
        <v>328</v>
      </c>
      <c r="C256" s="46" t="s">
        <v>603</v>
      </c>
      <c r="D256" s="46" t="s">
        <v>757</v>
      </c>
      <c r="E256" s="46"/>
      <c r="F256" s="46" t="s">
        <v>14958</v>
      </c>
      <c r="G256" s="46" t="s">
        <v>14959</v>
      </c>
      <c r="H256" s="46" t="s">
        <v>607</v>
      </c>
      <c r="I256" s="46" t="s">
        <v>14960</v>
      </c>
      <c r="J256" s="46" t="s">
        <v>899</v>
      </c>
      <c r="K256" s="218" t="s">
        <v>14961</v>
      </c>
      <c r="L256" s="185">
        <v>4</v>
      </c>
      <c r="M256" s="91">
        <v>275000</v>
      </c>
      <c r="N256" s="91">
        <f>M256+27500+190000+50000</f>
        <v>542500</v>
      </c>
      <c r="O256" s="189" t="s">
        <v>10764</v>
      </c>
      <c r="P256" s="47" t="s">
        <v>14962</v>
      </c>
      <c r="Q256" s="47" t="s">
        <v>1939</v>
      </c>
      <c r="R256" s="47" t="s">
        <v>14963</v>
      </c>
      <c r="T256" s="46"/>
      <c r="U256" s="46" t="s">
        <v>12797</v>
      </c>
      <c r="V256" s="46"/>
    </row>
    <row r="257" spans="1:35" s="47" customFormat="1" ht="90" x14ac:dyDescent="0.25">
      <c r="A257" s="61">
        <v>43557</v>
      </c>
      <c r="B257" s="47" t="s">
        <v>328</v>
      </c>
      <c r="C257" s="46" t="s">
        <v>603</v>
      </c>
      <c r="D257" s="46" t="s">
        <v>5701</v>
      </c>
      <c r="E257" s="46"/>
      <c r="F257" s="46" t="s">
        <v>14936</v>
      </c>
      <c r="G257" s="46" t="s">
        <v>10080</v>
      </c>
      <c r="H257" s="46" t="s">
        <v>607</v>
      </c>
      <c r="I257" s="46" t="s">
        <v>14938</v>
      </c>
      <c r="J257" s="46" t="s">
        <v>644</v>
      </c>
      <c r="K257" s="218" t="s">
        <v>14939</v>
      </c>
      <c r="L257" s="185">
        <v>9</v>
      </c>
      <c r="M257" s="91">
        <v>1734720</v>
      </c>
      <c r="N257" s="91">
        <f>M257+884000+936000+364944</f>
        <v>3919664</v>
      </c>
      <c r="O257" s="189" t="s">
        <v>560</v>
      </c>
      <c r="P257" s="47" t="s">
        <v>15326</v>
      </c>
      <c r="Q257" s="47" t="s">
        <v>1939</v>
      </c>
      <c r="R257" s="47" t="s">
        <v>14964</v>
      </c>
      <c r="S257" s="47" t="s">
        <v>14965</v>
      </c>
      <c r="T257" s="46"/>
      <c r="U257" s="46" t="s">
        <v>12797</v>
      </c>
      <c r="V257" s="46"/>
    </row>
    <row r="258" spans="1:35" s="47" customFormat="1" ht="60" x14ac:dyDescent="0.25">
      <c r="A258" s="61">
        <v>43558</v>
      </c>
      <c r="B258" s="47" t="s">
        <v>643</v>
      </c>
      <c r="C258" s="46" t="s">
        <v>644</v>
      </c>
      <c r="D258" s="46" t="s">
        <v>645</v>
      </c>
      <c r="E258" s="46"/>
      <c r="F258" s="46" t="s">
        <v>14966</v>
      </c>
      <c r="G258" s="46" t="s">
        <v>14967</v>
      </c>
      <c r="H258" s="46" t="s">
        <v>607</v>
      </c>
      <c r="I258" s="46" t="s">
        <v>14968</v>
      </c>
      <c r="J258" s="46" t="s">
        <v>899</v>
      </c>
      <c r="K258" s="218" t="s">
        <v>14969</v>
      </c>
      <c r="L258" s="185">
        <v>2</v>
      </c>
      <c r="M258" s="91">
        <v>2000000</v>
      </c>
      <c r="N258" s="91">
        <f>M258+400000+1050000+500000</f>
        <v>3950000</v>
      </c>
      <c r="O258" s="189" t="s">
        <v>560</v>
      </c>
      <c r="P258" s="47" t="s">
        <v>14970</v>
      </c>
      <c r="Q258" s="47" t="s">
        <v>29</v>
      </c>
      <c r="R258" s="47" t="s">
        <v>14971</v>
      </c>
      <c r="T258" s="46"/>
      <c r="U258" s="46" t="s">
        <v>12797</v>
      </c>
      <c r="V258" s="46"/>
    </row>
    <row r="259" spans="1:35" s="47" customFormat="1" ht="236.25" customHeight="1" x14ac:dyDescent="0.25">
      <c r="A259" s="61">
        <v>43558</v>
      </c>
      <c r="B259" s="47" t="s">
        <v>328</v>
      </c>
      <c r="C259" s="46" t="s">
        <v>603</v>
      </c>
      <c r="D259" s="46" t="s">
        <v>672</v>
      </c>
      <c r="E259" s="46"/>
      <c r="F259" s="46" t="s">
        <v>14973</v>
      </c>
      <c r="G259" s="46" t="s">
        <v>8263</v>
      </c>
      <c r="H259" s="46" t="s">
        <v>2510</v>
      </c>
      <c r="I259" s="46" t="s">
        <v>3646</v>
      </c>
      <c r="J259" s="46" t="s">
        <v>644</v>
      </c>
      <c r="K259" s="218" t="s">
        <v>13169</v>
      </c>
      <c r="L259" s="185">
        <v>2</v>
      </c>
      <c r="M259" s="91">
        <v>387000</v>
      </c>
      <c r="N259" s="91">
        <f>M259+108600+77400</f>
        <v>573000</v>
      </c>
      <c r="O259" s="189" t="s">
        <v>10766</v>
      </c>
      <c r="P259" s="47" t="s">
        <v>15327</v>
      </c>
      <c r="Q259" s="47" t="s">
        <v>1612</v>
      </c>
      <c r="R259" s="47" t="s">
        <v>15036</v>
      </c>
      <c r="T259" s="46"/>
      <c r="U259" s="46" t="s">
        <v>12797</v>
      </c>
      <c r="V259" s="46"/>
    </row>
    <row r="260" spans="1:35" s="47" customFormat="1" ht="75" x14ac:dyDescent="0.25">
      <c r="A260" s="61">
        <v>43558</v>
      </c>
      <c r="B260" s="47" t="s">
        <v>569</v>
      </c>
      <c r="C260" s="46" t="s">
        <v>899</v>
      </c>
      <c r="D260" s="46" t="s">
        <v>625</v>
      </c>
      <c r="E260" s="46"/>
      <c r="F260" s="46" t="s">
        <v>14974</v>
      </c>
      <c r="G260" s="46" t="s">
        <v>14975</v>
      </c>
      <c r="H260" s="46" t="s">
        <v>607</v>
      </c>
      <c r="I260" s="46" t="s">
        <v>8952</v>
      </c>
      <c r="J260" s="46" t="s">
        <v>899</v>
      </c>
      <c r="K260" s="218" t="s">
        <v>14976</v>
      </c>
      <c r="L260" s="185">
        <v>2</v>
      </c>
      <c r="M260" s="91">
        <v>352000</v>
      </c>
      <c r="N260" s="91">
        <v>700000</v>
      </c>
      <c r="O260" s="189" t="s">
        <v>10766</v>
      </c>
      <c r="P260" s="47" t="s">
        <v>14978</v>
      </c>
      <c r="Q260" s="47" t="s">
        <v>592</v>
      </c>
      <c r="R260" s="47" t="s">
        <v>14979</v>
      </c>
      <c r="S260" s="47" t="s">
        <v>14977</v>
      </c>
      <c r="T260" s="46"/>
      <c r="U260" s="46" t="s">
        <v>491</v>
      </c>
      <c r="V260" s="46"/>
    </row>
    <row r="261" spans="1:35" s="47" customFormat="1" ht="75" x14ac:dyDescent="0.25">
      <c r="A261" s="61">
        <v>43559</v>
      </c>
      <c r="B261" s="47" t="s">
        <v>328</v>
      </c>
      <c r="C261" s="46" t="s">
        <v>603</v>
      </c>
      <c r="D261" s="46" t="s">
        <v>2500</v>
      </c>
      <c r="E261" s="46"/>
      <c r="F261" s="46" t="s">
        <v>14980</v>
      </c>
      <c r="G261" s="46" t="s">
        <v>12203</v>
      </c>
      <c r="H261" s="46" t="s">
        <v>607</v>
      </c>
      <c r="I261" s="46" t="s">
        <v>14981</v>
      </c>
      <c r="J261" s="46" t="s">
        <v>3372</v>
      </c>
      <c r="K261" s="218" t="s">
        <v>14982</v>
      </c>
      <c r="L261" s="185">
        <v>2</v>
      </c>
      <c r="M261" s="91">
        <v>161000</v>
      </c>
      <c r="N261" s="91">
        <v>305900</v>
      </c>
      <c r="O261" s="189" t="s">
        <v>10766</v>
      </c>
      <c r="P261" s="47" t="s">
        <v>15328</v>
      </c>
      <c r="Q261" s="47" t="s">
        <v>29</v>
      </c>
      <c r="R261" s="47" t="s">
        <v>14983</v>
      </c>
      <c r="S261" s="47" t="s">
        <v>14984</v>
      </c>
      <c r="T261" s="46"/>
      <c r="U261" s="46" t="s">
        <v>491</v>
      </c>
      <c r="V261" s="46"/>
      <c r="AI261" s="47" t="s">
        <v>14989</v>
      </c>
    </row>
    <row r="262" spans="1:35" s="47" customFormat="1" ht="120" x14ac:dyDescent="0.25">
      <c r="A262" s="61">
        <v>43559</v>
      </c>
      <c r="B262" s="47" t="s">
        <v>328</v>
      </c>
      <c r="C262" s="46" t="s">
        <v>603</v>
      </c>
      <c r="D262" s="46" t="s">
        <v>649</v>
      </c>
      <c r="E262" s="46"/>
      <c r="F262" s="46" t="s">
        <v>14057</v>
      </c>
      <c r="G262" s="46" t="s">
        <v>14985</v>
      </c>
      <c r="H262" s="46" t="s">
        <v>607</v>
      </c>
      <c r="I262" s="46" t="s">
        <v>5801</v>
      </c>
      <c r="J262" s="46" t="s">
        <v>3888</v>
      </c>
      <c r="K262" s="218" t="s">
        <v>14986</v>
      </c>
      <c r="L262" s="185">
        <v>2</v>
      </c>
      <c r="M262" s="91">
        <v>1113611</v>
      </c>
      <c r="N262" s="91">
        <v>2227696</v>
      </c>
      <c r="O262" s="189" t="s">
        <v>4533</v>
      </c>
      <c r="P262" s="47" t="s">
        <v>14987</v>
      </c>
      <c r="Q262" s="47" t="s">
        <v>1939</v>
      </c>
      <c r="R262" s="47" t="s">
        <v>14988</v>
      </c>
      <c r="S262" s="47" t="s">
        <v>14990</v>
      </c>
      <c r="T262" s="46"/>
      <c r="U262" s="46" t="s">
        <v>491</v>
      </c>
      <c r="V262" s="46"/>
    </row>
    <row r="263" spans="1:35" s="47" customFormat="1" ht="105" x14ac:dyDescent="0.25">
      <c r="A263" s="61">
        <v>43559</v>
      </c>
      <c r="B263" s="47" t="s">
        <v>328</v>
      </c>
      <c r="C263" s="46" t="s">
        <v>603</v>
      </c>
      <c r="D263" s="46" t="s">
        <v>649</v>
      </c>
      <c r="E263" s="46"/>
      <c r="F263" s="46" t="s">
        <v>14991</v>
      </c>
      <c r="G263" s="46" t="s">
        <v>14992</v>
      </c>
      <c r="H263" s="46" t="s">
        <v>607</v>
      </c>
      <c r="I263" s="46" t="s">
        <v>8668</v>
      </c>
      <c r="J263" s="46" t="s">
        <v>3398</v>
      </c>
      <c r="K263" s="218" t="s">
        <v>14993</v>
      </c>
      <c r="L263" s="185">
        <v>2</v>
      </c>
      <c r="M263" s="91">
        <v>220000</v>
      </c>
      <c r="N263" s="91">
        <v>450000</v>
      </c>
      <c r="O263" s="189" t="s">
        <v>4533</v>
      </c>
      <c r="P263" s="47" t="s">
        <v>14994</v>
      </c>
      <c r="Q263" s="47" t="s">
        <v>29</v>
      </c>
      <c r="R263" s="47" t="s">
        <v>14996</v>
      </c>
      <c r="S263" s="47" t="s">
        <v>14995</v>
      </c>
      <c r="T263" s="46"/>
      <c r="U263" s="46" t="s">
        <v>491</v>
      </c>
      <c r="V263" s="46"/>
    </row>
    <row r="264" spans="1:35" s="47" customFormat="1" ht="120" x14ac:dyDescent="0.25">
      <c r="A264" s="61">
        <v>43559</v>
      </c>
      <c r="B264" s="47" t="s">
        <v>328</v>
      </c>
      <c r="C264" s="46" t="s">
        <v>603</v>
      </c>
      <c r="D264" s="46" t="s">
        <v>5701</v>
      </c>
      <c r="E264" s="46"/>
      <c r="F264" s="46" t="s">
        <v>14997</v>
      </c>
      <c r="G264" s="46" t="s">
        <v>14998</v>
      </c>
      <c r="H264" s="46" t="s">
        <v>10831</v>
      </c>
      <c r="I264" s="46" t="s">
        <v>14999</v>
      </c>
      <c r="J264" s="46" t="s">
        <v>3371</v>
      </c>
      <c r="K264" s="218" t="s">
        <v>15000</v>
      </c>
      <c r="L264" s="185">
        <v>9</v>
      </c>
      <c r="M264" s="91">
        <v>1700000</v>
      </c>
      <c r="N264" s="91">
        <f>M264+75000+250000+250000</f>
        <v>2275000</v>
      </c>
      <c r="O264" s="189" t="s">
        <v>7124</v>
      </c>
      <c r="P264" s="47" t="s">
        <v>15329</v>
      </c>
      <c r="Q264" s="47" t="s">
        <v>29</v>
      </c>
      <c r="R264" s="47" t="s">
        <v>15001</v>
      </c>
      <c r="S264" s="47" t="s">
        <v>15002</v>
      </c>
      <c r="T264" s="46"/>
      <c r="U264" s="46" t="s">
        <v>12797</v>
      </c>
      <c r="V264" s="46"/>
    </row>
    <row r="265" spans="1:35" s="47" customFormat="1" ht="105" x14ac:dyDescent="0.25">
      <c r="A265" s="61">
        <v>43560</v>
      </c>
      <c r="B265" s="47" t="s">
        <v>5956</v>
      </c>
      <c r="C265" s="46" t="s">
        <v>3369</v>
      </c>
      <c r="D265" s="46" t="s">
        <v>8126</v>
      </c>
      <c r="E265" s="46"/>
      <c r="F265" s="46" t="s">
        <v>15003</v>
      </c>
      <c r="G265" s="46" t="s">
        <v>15004</v>
      </c>
      <c r="H265" s="46" t="s">
        <v>905</v>
      </c>
      <c r="I265" s="46" t="s">
        <v>15005</v>
      </c>
      <c r="J265" s="46" t="s">
        <v>959</v>
      </c>
      <c r="K265" s="218" t="s">
        <v>15006</v>
      </c>
      <c r="L265" s="185">
        <v>5</v>
      </c>
      <c r="M265" s="91">
        <v>270000</v>
      </c>
      <c r="N265" s="91">
        <v>359999</v>
      </c>
      <c r="O265" s="189" t="s">
        <v>10766</v>
      </c>
      <c r="P265" s="47" t="s">
        <v>15007</v>
      </c>
      <c r="Q265" s="47" t="s">
        <v>1939</v>
      </c>
      <c r="R265" s="47" t="s">
        <v>15008</v>
      </c>
      <c r="T265" s="46"/>
      <c r="U265" s="46" t="s">
        <v>491</v>
      </c>
      <c r="V265" s="46"/>
    </row>
    <row r="266" spans="1:35" s="47" customFormat="1" ht="201.75" customHeight="1" x14ac:dyDescent="0.25">
      <c r="A266" s="61">
        <v>43563</v>
      </c>
      <c r="B266" s="47" t="s">
        <v>328</v>
      </c>
      <c r="C266" s="46" t="s">
        <v>603</v>
      </c>
      <c r="D266" s="46" t="s">
        <v>1401</v>
      </c>
      <c r="E266" s="46"/>
      <c r="F266" s="46" t="s">
        <v>15010</v>
      </c>
      <c r="G266" s="46" t="s">
        <v>15011</v>
      </c>
      <c r="H266" s="46" t="s">
        <v>607</v>
      </c>
      <c r="I266" s="46" t="s">
        <v>15012</v>
      </c>
      <c r="J266" s="46" t="s">
        <v>3751</v>
      </c>
      <c r="K266" s="218" t="s">
        <v>15013</v>
      </c>
      <c r="L266" s="185">
        <v>10</v>
      </c>
      <c r="M266" s="91">
        <v>300000</v>
      </c>
      <c r="N266" s="91">
        <f>M266+30000+150000+60000</f>
        <v>540000</v>
      </c>
      <c r="O266" s="189" t="s">
        <v>4533</v>
      </c>
      <c r="P266" s="47" t="s">
        <v>15014</v>
      </c>
      <c r="Q266" s="47" t="s">
        <v>1612</v>
      </c>
      <c r="R266" s="47" t="s">
        <v>15035</v>
      </c>
      <c r="T266" s="46"/>
      <c r="U266" s="46" t="s">
        <v>12797</v>
      </c>
      <c r="V266" s="46"/>
    </row>
    <row r="267" spans="1:35" s="47" customFormat="1" ht="156.75" customHeight="1" x14ac:dyDescent="0.25">
      <c r="A267" s="61">
        <v>43564</v>
      </c>
      <c r="B267" s="47" t="s">
        <v>643</v>
      </c>
      <c r="C267" s="46" t="s">
        <v>644</v>
      </c>
      <c r="D267" s="46" t="s">
        <v>645</v>
      </c>
      <c r="E267" s="46"/>
      <c r="F267" s="46" t="s">
        <v>14973</v>
      </c>
      <c r="G267" s="46" t="s">
        <v>10007</v>
      </c>
      <c r="H267" s="46" t="s">
        <v>2510</v>
      </c>
      <c r="I267" s="46" t="s">
        <v>3646</v>
      </c>
      <c r="J267" s="46" t="s">
        <v>644</v>
      </c>
      <c r="K267" s="218" t="s">
        <v>13169</v>
      </c>
      <c r="L267" s="185">
        <v>2</v>
      </c>
      <c r="M267" s="91">
        <v>387000</v>
      </c>
      <c r="N267" s="91">
        <f>M267+108600</f>
        <v>495600</v>
      </c>
      <c r="O267" s="189" t="s">
        <v>10766</v>
      </c>
      <c r="P267" s="47" t="s">
        <v>15015</v>
      </c>
      <c r="Q267" s="47" t="s">
        <v>592</v>
      </c>
      <c r="R267" s="47" t="s">
        <v>15016</v>
      </c>
      <c r="S267" s="47" t="s">
        <v>15037</v>
      </c>
      <c r="T267" s="46"/>
      <c r="U267" s="46" t="s">
        <v>12797</v>
      </c>
      <c r="V267" s="46"/>
    </row>
    <row r="268" spans="1:35" s="47" customFormat="1" ht="75" x14ac:dyDescent="0.25">
      <c r="A268" s="61">
        <v>43564</v>
      </c>
      <c r="B268" s="47" t="s">
        <v>13559</v>
      </c>
      <c r="C268" s="46" t="s">
        <v>1228</v>
      </c>
      <c r="D268" s="46" t="s">
        <v>256</v>
      </c>
      <c r="E268" s="46"/>
      <c r="F268" s="46" t="s">
        <v>12198</v>
      </c>
      <c r="G268" s="46" t="s">
        <v>15017</v>
      </c>
      <c r="H268" s="46" t="s">
        <v>809</v>
      </c>
      <c r="I268" s="46" t="s">
        <v>6209</v>
      </c>
      <c r="J268" s="46" t="s">
        <v>3856</v>
      </c>
      <c r="K268" s="218" t="s">
        <v>15018</v>
      </c>
      <c r="L268" s="185">
        <v>5</v>
      </c>
      <c r="M268" s="91">
        <v>312000</v>
      </c>
      <c r="N268" s="91">
        <f>M268+30000+140400+46800</f>
        <v>529200</v>
      </c>
      <c r="O268" s="189" t="s">
        <v>10763</v>
      </c>
      <c r="P268" s="47" t="s">
        <v>15019</v>
      </c>
      <c r="Q268" s="47" t="s">
        <v>620</v>
      </c>
      <c r="R268" s="47" t="s">
        <v>15020</v>
      </c>
      <c r="T268" s="46"/>
      <c r="U268" s="46" t="s">
        <v>12797</v>
      </c>
      <c r="V268" s="46"/>
    </row>
    <row r="269" spans="1:35" s="47" customFormat="1" ht="126" customHeight="1" x14ac:dyDescent="0.25">
      <c r="A269" s="61">
        <v>43564</v>
      </c>
      <c r="B269" s="47" t="s">
        <v>13559</v>
      </c>
      <c r="C269" s="46" t="s">
        <v>3523</v>
      </c>
      <c r="D269" s="46" t="s">
        <v>14673</v>
      </c>
      <c r="E269" s="46"/>
      <c r="F269" s="46" t="s">
        <v>15021</v>
      </c>
      <c r="G269" s="46" t="s">
        <v>15022</v>
      </c>
      <c r="H269" s="46" t="s">
        <v>10832</v>
      </c>
      <c r="I269" s="46" t="s">
        <v>15023</v>
      </c>
      <c r="J269" s="46" t="s">
        <v>5610</v>
      </c>
      <c r="K269" s="218" t="s">
        <v>15024</v>
      </c>
      <c r="L269" s="185">
        <v>3</v>
      </c>
      <c r="M269" s="91">
        <v>125000</v>
      </c>
      <c r="N269" s="91">
        <f>M269+12500+31250+25000</f>
        <v>193750</v>
      </c>
      <c r="O269" s="189" t="s">
        <v>10765</v>
      </c>
      <c r="P269" s="47" t="s">
        <v>15029</v>
      </c>
      <c r="Q269" s="47" t="s">
        <v>1939</v>
      </c>
      <c r="R269" s="47" t="s">
        <v>15025</v>
      </c>
      <c r="T269" s="46"/>
      <c r="U269" s="46" t="s">
        <v>12797</v>
      </c>
      <c r="V269" s="46"/>
    </row>
    <row r="270" spans="1:35" s="47" customFormat="1" ht="64.5" customHeight="1" x14ac:dyDescent="0.25">
      <c r="A270" s="61">
        <v>43565</v>
      </c>
      <c r="B270" s="47" t="s">
        <v>13559</v>
      </c>
      <c r="C270" s="46" t="s">
        <v>4031</v>
      </c>
      <c r="D270" s="46" t="s">
        <v>13560</v>
      </c>
      <c r="E270" s="46"/>
      <c r="F270" s="46" t="s">
        <v>14997</v>
      </c>
      <c r="G270" s="46" t="s">
        <v>14121</v>
      </c>
      <c r="H270" s="46" t="s">
        <v>607</v>
      </c>
      <c r="I270" s="46" t="s">
        <v>15026</v>
      </c>
      <c r="J270" s="46" t="s">
        <v>3371</v>
      </c>
      <c r="K270" s="218" t="s">
        <v>15027</v>
      </c>
      <c r="L270" s="185">
        <v>5</v>
      </c>
      <c r="M270" s="91">
        <v>425000</v>
      </c>
      <c r="N270" s="91">
        <v>625000</v>
      </c>
      <c r="O270" s="189" t="s">
        <v>7564</v>
      </c>
      <c r="P270" s="47" t="s">
        <v>15028</v>
      </c>
      <c r="Q270" s="47" t="s">
        <v>1939</v>
      </c>
      <c r="R270" s="47" t="s">
        <v>15030</v>
      </c>
      <c r="T270" s="46"/>
      <c r="U270" s="46" t="s">
        <v>491</v>
      </c>
      <c r="V270" s="46"/>
    </row>
    <row r="271" spans="1:35" s="47" customFormat="1" ht="186" customHeight="1" x14ac:dyDescent="0.25">
      <c r="A271" s="61">
        <v>43565</v>
      </c>
      <c r="B271" s="47" t="s">
        <v>5956</v>
      </c>
      <c r="C271" s="46" t="s">
        <v>3369</v>
      </c>
      <c r="D271" s="46" t="s">
        <v>8126</v>
      </c>
      <c r="E271" s="46"/>
      <c r="F271" s="46" t="s">
        <v>15031</v>
      </c>
      <c r="G271" s="46" t="s">
        <v>15032</v>
      </c>
      <c r="H271" s="46" t="s">
        <v>607</v>
      </c>
      <c r="I271" s="46" t="s">
        <v>14669</v>
      </c>
      <c r="J271" s="46" t="s">
        <v>4825</v>
      </c>
      <c r="K271" s="218" t="s">
        <v>15033</v>
      </c>
      <c r="L271" s="185">
        <v>4</v>
      </c>
      <c r="M271" s="91">
        <v>600000</v>
      </c>
      <c r="N271" s="91">
        <v>980000</v>
      </c>
      <c r="O271" s="189" t="s">
        <v>10766</v>
      </c>
      <c r="P271" s="47" t="s">
        <v>15034</v>
      </c>
      <c r="Q271" s="47" t="s">
        <v>1939</v>
      </c>
      <c r="R271" s="47" t="s">
        <v>15075</v>
      </c>
      <c r="T271" s="46"/>
      <c r="U271" s="46" t="s">
        <v>491</v>
      </c>
      <c r="V271" s="46"/>
    </row>
    <row r="272" spans="1:35" s="47" customFormat="1" ht="149.25" customHeight="1" x14ac:dyDescent="0.25">
      <c r="A272" s="61">
        <v>43566</v>
      </c>
      <c r="B272" s="47" t="s">
        <v>5473</v>
      </c>
      <c r="C272" s="46" t="s">
        <v>608</v>
      </c>
      <c r="D272" s="46" t="s">
        <v>7091</v>
      </c>
      <c r="E272" s="46"/>
      <c r="F272" s="46" t="s">
        <v>15038</v>
      </c>
      <c r="G272" s="46" t="s">
        <v>15039</v>
      </c>
      <c r="H272" s="46" t="s">
        <v>10832</v>
      </c>
      <c r="I272" s="46" t="s">
        <v>15040</v>
      </c>
      <c r="J272" s="46" t="s">
        <v>608</v>
      </c>
      <c r="K272" s="218" t="s">
        <v>15041</v>
      </c>
      <c r="L272" s="185">
        <v>6</v>
      </c>
      <c r="M272" s="91">
        <v>1233000</v>
      </c>
      <c r="N272" s="91">
        <v>1399000</v>
      </c>
      <c r="O272" s="189" t="s">
        <v>10766</v>
      </c>
      <c r="P272" s="47" t="s">
        <v>15042</v>
      </c>
      <c r="Q272" s="47" t="s">
        <v>1612</v>
      </c>
      <c r="R272" s="47" t="s">
        <v>15083</v>
      </c>
      <c r="T272" s="46"/>
      <c r="U272" s="46" t="s">
        <v>491</v>
      </c>
      <c r="V272" s="46"/>
    </row>
    <row r="273" spans="1:22" s="47" customFormat="1" ht="89.25" customHeight="1" x14ac:dyDescent="0.25">
      <c r="A273" s="61">
        <v>43566</v>
      </c>
      <c r="B273" s="47" t="s">
        <v>328</v>
      </c>
      <c r="C273" s="46" t="s">
        <v>603</v>
      </c>
      <c r="D273" s="46" t="s">
        <v>10705</v>
      </c>
      <c r="E273" s="46"/>
      <c r="F273" s="46" t="s">
        <v>15043</v>
      </c>
      <c r="G273" s="46" t="s">
        <v>10007</v>
      </c>
      <c r="H273" s="46" t="s">
        <v>905</v>
      </c>
      <c r="I273" s="46" t="s">
        <v>11520</v>
      </c>
      <c r="J273" s="46" t="s">
        <v>3373</v>
      </c>
      <c r="K273" s="218" t="s">
        <v>15044</v>
      </c>
      <c r="L273" s="185">
        <v>10</v>
      </c>
      <c r="M273" s="91">
        <v>175000</v>
      </c>
      <c r="N273" s="91">
        <v>185000</v>
      </c>
      <c r="O273" s="189" t="s">
        <v>7124</v>
      </c>
      <c r="P273" s="47" t="s">
        <v>15045</v>
      </c>
      <c r="Q273" s="47" t="s">
        <v>1939</v>
      </c>
      <c r="R273" s="47" t="s">
        <v>15046</v>
      </c>
      <c r="T273" s="46"/>
      <c r="U273" s="46" t="s">
        <v>491</v>
      </c>
      <c r="V273" s="46"/>
    </row>
    <row r="274" spans="1:22" s="47" customFormat="1" ht="90" x14ac:dyDescent="0.25">
      <c r="A274" s="61">
        <v>43566</v>
      </c>
      <c r="B274" s="47" t="s">
        <v>328</v>
      </c>
      <c r="C274" s="46" t="s">
        <v>603</v>
      </c>
      <c r="D274" s="46" t="s">
        <v>10705</v>
      </c>
      <c r="E274" s="46"/>
      <c r="F274" s="46" t="s">
        <v>15047</v>
      </c>
      <c r="G274" s="46" t="s">
        <v>11341</v>
      </c>
      <c r="H274" s="46" t="s">
        <v>2510</v>
      </c>
      <c r="I274" s="46" t="s">
        <v>3532</v>
      </c>
      <c r="J274" s="46" t="s">
        <v>14074</v>
      </c>
      <c r="K274" s="218" t="s">
        <v>15048</v>
      </c>
      <c r="L274" s="185"/>
      <c r="M274" s="91">
        <v>37700</v>
      </c>
      <c r="N274" s="91">
        <f>M274+52950+26475</f>
        <v>117125</v>
      </c>
      <c r="O274" s="189" t="s">
        <v>10763</v>
      </c>
      <c r="P274" s="47" t="s">
        <v>15330</v>
      </c>
      <c r="Q274" s="47" t="s">
        <v>592</v>
      </c>
      <c r="R274" s="47" t="s">
        <v>15331</v>
      </c>
      <c r="T274" s="46"/>
      <c r="U274" s="46" t="s">
        <v>12797</v>
      </c>
      <c r="V274" s="46"/>
    </row>
    <row r="275" spans="1:22" s="47" customFormat="1" ht="150" x14ac:dyDescent="0.25">
      <c r="A275" s="61">
        <v>43566</v>
      </c>
      <c r="B275" s="47" t="s">
        <v>13559</v>
      </c>
      <c r="C275" s="46" t="s">
        <v>3523</v>
      </c>
      <c r="D275" s="46" t="s">
        <v>15049</v>
      </c>
      <c r="E275" s="46"/>
      <c r="F275" s="46" t="s">
        <v>15050</v>
      </c>
      <c r="G275" s="46" t="s">
        <v>15051</v>
      </c>
      <c r="H275" s="46" t="s">
        <v>607</v>
      </c>
      <c r="I275" s="46" t="s">
        <v>15052</v>
      </c>
      <c r="J275" s="46" t="s">
        <v>3523</v>
      </c>
      <c r="K275" s="218" t="s">
        <v>15053</v>
      </c>
      <c r="L275" s="185">
        <v>3</v>
      </c>
      <c r="M275" s="91">
        <v>250000</v>
      </c>
      <c r="N275" s="91">
        <f>M275+2500+125000+25000</f>
        <v>402500</v>
      </c>
      <c r="O275" s="189" t="s">
        <v>10766</v>
      </c>
      <c r="P275" s="47" t="s">
        <v>15054</v>
      </c>
      <c r="Q275" s="47" t="s">
        <v>1612</v>
      </c>
      <c r="R275" s="47" t="s">
        <v>15332</v>
      </c>
      <c r="T275" s="46"/>
      <c r="U275" s="46" t="s">
        <v>12797</v>
      </c>
      <c r="V275" s="46"/>
    </row>
    <row r="276" spans="1:22" s="47" customFormat="1" ht="75" x14ac:dyDescent="0.25">
      <c r="A276" s="61">
        <v>43567</v>
      </c>
      <c r="B276" s="47" t="s">
        <v>12367</v>
      </c>
      <c r="C276" s="46" t="s">
        <v>5610</v>
      </c>
      <c r="D276" s="46" t="s">
        <v>11338</v>
      </c>
      <c r="E276" s="46"/>
      <c r="F276" s="46" t="s">
        <v>15057</v>
      </c>
      <c r="G276" s="46" t="s">
        <v>15058</v>
      </c>
      <c r="H276" s="46" t="s">
        <v>607</v>
      </c>
      <c r="I276" s="46" t="s">
        <v>15059</v>
      </c>
      <c r="J276" s="46" t="s">
        <v>3523</v>
      </c>
      <c r="K276" s="218" t="s">
        <v>15060</v>
      </c>
      <c r="L276" s="185">
        <v>9</v>
      </c>
      <c r="M276" s="91">
        <v>782212</v>
      </c>
      <c r="N276" s="91">
        <v>890212</v>
      </c>
      <c r="O276" s="189" t="s">
        <v>4533</v>
      </c>
      <c r="P276" s="47" t="s">
        <v>15061</v>
      </c>
      <c r="Q276" s="47" t="s">
        <v>1612</v>
      </c>
      <c r="R276" s="47" t="s">
        <v>15082</v>
      </c>
      <c r="T276" s="46"/>
      <c r="U276" s="46" t="s">
        <v>491</v>
      </c>
      <c r="V276" s="46"/>
    </row>
    <row r="277" spans="1:22" s="47" customFormat="1" ht="78.75" customHeight="1" x14ac:dyDescent="0.25">
      <c r="A277" s="61">
        <v>43567</v>
      </c>
      <c r="B277" s="47" t="s">
        <v>13559</v>
      </c>
      <c r="C277" s="46" t="s">
        <v>6575</v>
      </c>
      <c r="D277" s="46" t="s">
        <v>9183</v>
      </c>
      <c r="E277" s="46"/>
      <c r="F277" s="46" t="s">
        <v>15062</v>
      </c>
      <c r="G277" s="46" t="s">
        <v>15063</v>
      </c>
      <c r="H277" s="46" t="s">
        <v>607</v>
      </c>
      <c r="I277" s="46" t="s">
        <v>10520</v>
      </c>
      <c r="J277" s="46" t="s">
        <v>3369</v>
      </c>
      <c r="K277" s="218" t="s">
        <v>15064</v>
      </c>
      <c r="L277" s="185">
        <v>4</v>
      </c>
      <c r="M277" s="91">
        <v>900000</v>
      </c>
      <c r="N277" s="91">
        <v>1300000</v>
      </c>
      <c r="O277" s="189" t="s">
        <v>10766</v>
      </c>
      <c r="P277" s="47" t="s">
        <v>15065</v>
      </c>
      <c r="Q277" s="47" t="s">
        <v>1612</v>
      </c>
      <c r="R277" s="47" t="s">
        <v>15085</v>
      </c>
      <c r="S277" s="47" t="s">
        <v>15084</v>
      </c>
      <c r="T277" s="46"/>
      <c r="U277" s="46" t="s">
        <v>491</v>
      </c>
      <c r="V277" s="46"/>
    </row>
    <row r="278" spans="1:22" s="47" customFormat="1" ht="156" customHeight="1" x14ac:dyDescent="0.25">
      <c r="A278" s="61">
        <v>43567</v>
      </c>
      <c r="B278" s="47" t="s">
        <v>328</v>
      </c>
      <c r="C278" s="46" t="s">
        <v>603</v>
      </c>
      <c r="D278" s="46" t="s">
        <v>649</v>
      </c>
      <c r="E278" s="46"/>
      <c r="F278" s="46" t="s">
        <v>10997</v>
      </c>
      <c r="G278" s="46" t="s">
        <v>13550</v>
      </c>
      <c r="H278" s="46" t="s">
        <v>607</v>
      </c>
      <c r="I278" s="46" t="s">
        <v>15066</v>
      </c>
      <c r="J278" s="46" t="s">
        <v>14074</v>
      </c>
      <c r="K278" s="218" t="s">
        <v>15067</v>
      </c>
      <c r="L278" s="185">
        <v>9</v>
      </c>
      <c r="M278" s="91">
        <v>1200000</v>
      </c>
      <c r="N278" s="91">
        <v>2020000</v>
      </c>
      <c r="O278" s="189" t="s">
        <v>7124</v>
      </c>
      <c r="P278" s="47" t="s">
        <v>15068</v>
      </c>
      <c r="Q278" s="47" t="s">
        <v>1612</v>
      </c>
      <c r="R278" s="47" t="s">
        <v>15074</v>
      </c>
      <c r="T278" s="46"/>
      <c r="U278" s="46" t="s">
        <v>491</v>
      </c>
      <c r="V278" s="46"/>
    </row>
    <row r="279" spans="1:22" s="47" customFormat="1" ht="78.75" customHeight="1" x14ac:dyDescent="0.25">
      <c r="A279" s="61">
        <v>43567</v>
      </c>
      <c r="B279" s="47" t="s">
        <v>13559</v>
      </c>
      <c r="C279" s="46" t="s">
        <v>3523</v>
      </c>
      <c r="D279" s="46" t="s">
        <v>9545</v>
      </c>
      <c r="E279" s="46"/>
      <c r="F279" s="46" t="s">
        <v>15070</v>
      </c>
      <c r="G279" s="46" t="s">
        <v>11233</v>
      </c>
      <c r="H279" s="46" t="s">
        <v>607</v>
      </c>
      <c r="I279" s="46" t="s">
        <v>3388</v>
      </c>
      <c r="J279" s="46" t="s">
        <v>3523</v>
      </c>
      <c r="K279" s="218" t="s">
        <v>15071</v>
      </c>
      <c r="L279" s="185"/>
      <c r="M279" s="91">
        <v>390000</v>
      </c>
      <c r="N279" s="91">
        <v>750000</v>
      </c>
      <c r="O279" s="189" t="s">
        <v>10766</v>
      </c>
      <c r="P279" s="47" t="s">
        <v>15072</v>
      </c>
      <c r="Q279" s="47" t="s">
        <v>29</v>
      </c>
      <c r="R279" s="47" t="s">
        <v>15073</v>
      </c>
      <c r="S279" s="47" t="s">
        <v>15069</v>
      </c>
      <c r="T279" s="46"/>
      <c r="U279" s="46" t="s">
        <v>491</v>
      </c>
      <c r="V279" s="46"/>
    </row>
    <row r="280" spans="1:22" s="47" customFormat="1" ht="45" x14ac:dyDescent="0.25">
      <c r="A280" s="61">
        <v>43567</v>
      </c>
      <c r="B280" s="47" t="s">
        <v>328</v>
      </c>
      <c r="C280" s="46" t="s">
        <v>603</v>
      </c>
      <c r="D280" s="46" t="s">
        <v>2500</v>
      </c>
      <c r="E280" s="46"/>
      <c r="F280" s="46" t="s">
        <v>13549</v>
      </c>
      <c r="G280" s="46" t="s">
        <v>10007</v>
      </c>
      <c r="H280" s="46" t="s">
        <v>607</v>
      </c>
      <c r="I280" s="46" t="s">
        <v>15076</v>
      </c>
      <c r="J280" s="46" t="s">
        <v>15077</v>
      </c>
      <c r="K280" s="218" t="s">
        <v>15078</v>
      </c>
      <c r="L280" s="185">
        <v>3</v>
      </c>
      <c r="M280" s="91">
        <v>85000</v>
      </c>
      <c r="N280" s="91">
        <v>143500</v>
      </c>
      <c r="O280" s="189" t="s">
        <v>10762</v>
      </c>
      <c r="P280" s="47" t="s">
        <v>15079</v>
      </c>
      <c r="Q280" s="47" t="s">
        <v>1939</v>
      </c>
      <c r="R280" s="47" t="s">
        <v>15081</v>
      </c>
      <c r="S280" s="47" t="s">
        <v>15080</v>
      </c>
      <c r="T280" s="46"/>
      <c r="U280" s="46" t="s">
        <v>491</v>
      </c>
      <c r="V280" s="46"/>
    </row>
    <row r="281" spans="1:22" s="47" customFormat="1" ht="135" x14ac:dyDescent="0.25">
      <c r="A281" s="61">
        <v>43570</v>
      </c>
      <c r="B281" s="47" t="s">
        <v>643</v>
      </c>
      <c r="C281" s="46" t="s">
        <v>644</v>
      </c>
      <c r="D281" s="46" t="s">
        <v>645</v>
      </c>
      <c r="E281" s="46"/>
      <c r="F281" s="46" t="s">
        <v>15240</v>
      </c>
      <c r="G281" s="46" t="s">
        <v>15241</v>
      </c>
      <c r="H281" s="46" t="s">
        <v>607</v>
      </c>
      <c r="I281" s="46" t="s">
        <v>15242</v>
      </c>
      <c r="J281" s="46" t="s">
        <v>3372</v>
      </c>
      <c r="K281" s="218" t="s">
        <v>15243</v>
      </c>
      <c r="L281" s="185">
        <v>9</v>
      </c>
      <c r="M281" s="91">
        <v>900000</v>
      </c>
      <c r="N281" s="91">
        <f>M281+300000+434070+124020</f>
        <v>1758090</v>
      </c>
      <c r="O281" s="189" t="s">
        <v>10763</v>
      </c>
      <c r="P281" s="47" t="s">
        <v>15333</v>
      </c>
      <c r="Q281" s="47" t="s">
        <v>1939</v>
      </c>
      <c r="R281" s="47" t="s">
        <v>15244</v>
      </c>
      <c r="T281" s="46"/>
      <c r="U281" s="46" t="s">
        <v>12797</v>
      </c>
      <c r="V281" s="46"/>
    </row>
    <row r="282" spans="1:22" s="47" customFormat="1" ht="135" x14ac:dyDescent="0.25">
      <c r="A282" s="61">
        <v>43570</v>
      </c>
      <c r="B282" s="47" t="s">
        <v>328</v>
      </c>
      <c r="C282" s="46" t="s">
        <v>603</v>
      </c>
      <c r="D282" s="46" t="s">
        <v>672</v>
      </c>
      <c r="E282" s="46"/>
      <c r="F282" s="46" t="s">
        <v>15245</v>
      </c>
      <c r="G282" s="46" t="s">
        <v>15246</v>
      </c>
      <c r="H282" s="46" t="s">
        <v>10831</v>
      </c>
      <c r="I282" s="46" t="s">
        <v>15247</v>
      </c>
      <c r="J282" s="46" t="s">
        <v>3368</v>
      </c>
      <c r="K282" s="218" t="s">
        <v>15248</v>
      </c>
      <c r="L282" s="185">
        <v>10</v>
      </c>
      <c r="M282" s="91">
        <v>250000</v>
      </c>
      <c r="N282" s="91">
        <f>M282+10000</f>
        <v>260000</v>
      </c>
      <c r="O282" s="189" t="s">
        <v>10763</v>
      </c>
      <c r="P282" s="47" t="s">
        <v>15249</v>
      </c>
      <c r="Q282" s="47" t="s">
        <v>1939</v>
      </c>
      <c r="R282" s="47" t="s">
        <v>15334</v>
      </c>
      <c r="T282" s="46"/>
      <c r="U282" s="46" t="s">
        <v>12797</v>
      </c>
      <c r="V282" s="46"/>
    </row>
    <row r="283" spans="1:22" s="47" customFormat="1" ht="120" x14ac:dyDescent="0.25">
      <c r="A283" s="61">
        <v>43571</v>
      </c>
      <c r="B283" s="47" t="s">
        <v>328</v>
      </c>
      <c r="C283" s="46" t="s">
        <v>603</v>
      </c>
      <c r="D283" s="46" t="s">
        <v>1401</v>
      </c>
      <c r="E283" s="46"/>
      <c r="F283" s="46" t="s">
        <v>645</v>
      </c>
      <c r="G283" s="46" t="s">
        <v>15086</v>
      </c>
      <c r="H283" s="46" t="s">
        <v>607</v>
      </c>
      <c r="I283" s="46" t="s">
        <v>15087</v>
      </c>
      <c r="J283" s="46" t="s">
        <v>3612</v>
      </c>
      <c r="K283" s="218" t="s">
        <v>15088</v>
      </c>
      <c r="L283" s="185"/>
      <c r="M283" s="91">
        <v>198000</v>
      </c>
      <c r="N283" s="91">
        <v>340000</v>
      </c>
      <c r="O283" s="189" t="s">
        <v>10762</v>
      </c>
      <c r="P283" s="47" t="s">
        <v>15089</v>
      </c>
      <c r="Q283" s="47" t="s">
        <v>1939</v>
      </c>
      <c r="R283" s="47" t="s">
        <v>15090</v>
      </c>
      <c r="S283" s="47" t="s">
        <v>15080</v>
      </c>
      <c r="T283" s="46"/>
      <c r="U283" s="46" t="s">
        <v>491</v>
      </c>
      <c r="V283" s="46"/>
    </row>
    <row r="284" spans="1:22" s="47" customFormat="1" ht="75" x14ac:dyDescent="0.25">
      <c r="A284" s="61">
        <v>43571</v>
      </c>
      <c r="B284" s="47" t="s">
        <v>9240</v>
      </c>
      <c r="C284" s="46" t="s">
        <v>603</v>
      </c>
      <c r="D284" s="46" t="s">
        <v>7814</v>
      </c>
      <c r="E284" s="46"/>
      <c r="F284" s="46" t="s">
        <v>9852</v>
      </c>
      <c r="G284" s="46" t="s">
        <v>15091</v>
      </c>
      <c r="H284" s="46" t="s">
        <v>607</v>
      </c>
      <c r="I284" s="46" t="s">
        <v>15092</v>
      </c>
      <c r="J284" s="46" t="s">
        <v>603</v>
      </c>
      <c r="K284" s="218" t="s">
        <v>15093</v>
      </c>
      <c r="L284" s="185">
        <v>5</v>
      </c>
      <c r="M284" s="91">
        <v>232000</v>
      </c>
      <c r="N284" s="91">
        <v>420000</v>
      </c>
      <c r="O284" s="189" t="s">
        <v>10765</v>
      </c>
      <c r="P284" s="47" t="s">
        <v>15095</v>
      </c>
      <c r="Q284" s="47" t="s">
        <v>29</v>
      </c>
      <c r="R284" s="47" t="s">
        <v>15096</v>
      </c>
      <c r="S284" s="47" t="s">
        <v>15094</v>
      </c>
      <c r="T284" s="46"/>
      <c r="U284" s="46" t="s">
        <v>491</v>
      </c>
      <c r="V284" s="46"/>
    </row>
    <row r="285" spans="1:22" s="47" customFormat="1" ht="200.25" customHeight="1" x14ac:dyDescent="0.25">
      <c r="A285" s="61">
        <v>43571</v>
      </c>
      <c r="B285" s="47" t="s">
        <v>13559</v>
      </c>
      <c r="C285" s="46" t="s">
        <v>3523</v>
      </c>
      <c r="D285" s="46" t="s">
        <v>9545</v>
      </c>
      <c r="E285" s="46"/>
      <c r="F285" s="46" t="s">
        <v>15097</v>
      </c>
      <c r="G285" s="46" t="s">
        <v>15098</v>
      </c>
      <c r="H285" s="46" t="s">
        <v>607</v>
      </c>
      <c r="I285" s="46" t="s">
        <v>15099</v>
      </c>
      <c r="J285" s="46" t="s">
        <v>3523</v>
      </c>
      <c r="K285" s="218" t="s">
        <v>15100</v>
      </c>
      <c r="L285" s="185">
        <v>3</v>
      </c>
      <c r="M285" s="91">
        <v>325000</v>
      </c>
      <c r="N285" s="91">
        <v>510000</v>
      </c>
      <c r="O285" s="189" t="s">
        <v>10765</v>
      </c>
      <c r="P285" s="47" t="s">
        <v>15110</v>
      </c>
      <c r="Q285" s="47" t="s">
        <v>1612</v>
      </c>
      <c r="R285" s="47" t="s">
        <v>15111</v>
      </c>
      <c r="T285" s="46"/>
      <c r="U285" s="46" t="s">
        <v>491</v>
      </c>
      <c r="V285" s="46"/>
    </row>
    <row r="286" spans="1:22" s="47" customFormat="1" ht="168.75" customHeight="1" x14ac:dyDescent="0.25">
      <c r="A286" s="61">
        <v>43571</v>
      </c>
      <c r="B286" s="47" t="s">
        <v>13559</v>
      </c>
      <c r="C286" s="46" t="s">
        <v>3523</v>
      </c>
      <c r="D286" s="46" t="s">
        <v>9545</v>
      </c>
      <c r="E286" s="46"/>
      <c r="F286" s="46" t="s">
        <v>15101</v>
      </c>
      <c r="G286" s="46" t="s">
        <v>9635</v>
      </c>
      <c r="H286" s="46" t="s">
        <v>10831</v>
      </c>
      <c r="I286" s="46" t="s">
        <v>15102</v>
      </c>
      <c r="J286" s="46" t="s">
        <v>3523</v>
      </c>
      <c r="K286" s="218" t="s">
        <v>15103</v>
      </c>
      <c r="L286" s="185"/>
      <c r="M286" s="91">
        <v>150000</v>
      </c>
      <c r="N286" s="91">
        <v>255000</v>
      </c>
      <c r="O286" s="189" t="s">
        <v>10765</v>
      </c>
      <c r="P286" s="47" t="s">
        <v>15104</v>
      </c>
      <c r="Q286" s="47" t="s">
        <v>1612</v>
      </c>
      <c r="R286" s="47" t="s">
        <v>15193</v>
      </c>
      <c r="T286" s="46"/>
      <c r="U286" s="46" t="s">
        <v>491</v>
      </c>
      <c r="V286" s="46"/>
    </row>
    <row r="287" spans="1:22" s="47" customFormat="1" ht="48" customHeight="1" x14ac:dyDescent="0.25">
      <c r="A287" s="61">
        <v>43571</v>
      </c>
      <c r="B287" s="47" t="s">
        <v>328</v>
      </c>
      <c r="C287" s="46" t="s">
        <v>603</v>
      </c>
      <c r="D287" s="46" t="s">
        <v>5701</v>
      </c>
      <c r="E287" s="46"/>
      <c r="F287" s="46" t="s">
        <v>15105</v>
      </c>
      <c r="G287" s="46" t="s">
        <v>15106</v>
      </c>
      <c r="H287" s="46"/>
      <c r="I287" s="46" t="s">
        <v>6796</v>
      </c>
      <c r="J287" s="46" t="s">
        <v>3370</v>
      </c>
      <c r="K287" s="218" t="s">
        <v>15107</v>
      </c>
      <c r="L287" s="185">
        <v>2</v>
      </c>
      <c r="M287" s="91">
        <v>775000</v>
      </c>
      <c r="N287" s="91">
        <v>1472500</v>
      </c>
      <c r="O287" s="189" t="s">
        <v>7564</v>
      </c>
      <c r="P287" s="47" t="s">
        <v>15108</v>
      </c>
      <c r="Q287" s="47" t="s">
        <v>1939</v>
      </c>
      <c r="R287" s="47" t="s">
        <v>15109</v>
      </c>
      <c r="S287" s="47" t="s">
        <v>15117</v>
      </c>
      <c r="T287" s="46"/>
      <c r="U287" s="46" t="s">
        <v>491</v>
      </c>
      <c r="V287" s="46"/>
    </row>
    <row r="288" spans="1:22" s="47" customFormat="1" ht="90" x14ac:dyDescent="0.25">
      <c r="A288" s="61">
        <v>43572</v>
      </c>
      <c r="B288" s="47" t="s">
        <v>328</v>
      </c>
      <c r="C288" s="46" t="s">
        <v>603</v>
      </c>
      <c r="D288" s="46" t="s">
        <v>9977</v>
      </c>
      <c r="E288" s="46"/>
      <c r="F288" s="46" t="s">
        <v>12993</v>
      </c>
      <c r="G288" s="46" t="s">
        <v>8941</v>
      </c>
      <c r="H288" s="46" t="s">
        <v>1050</v>
      </c>
      <c r="I288" s="46" t="s">
        <v>15112</v>
      </c>
      <c r="J288" s="46" t="s">
        <v>603</v>
      </c>
      <c r="K288" s="218" t="s">
        <v>15113</v>
      </c>
      <c r="L288" s="185" t="s">
        <v>15114</v>
      </c>
      <c r="M288" s="91">
        <v>1000000</v>
      </c>
      <c r="N288" s="91">
        <v>1000000</v>
      </c>
      <c r="O288" s="189" t="s">
        <v>2295</v>
      </c>
      <c r="P288" s="47" t="s">
        <v>15134</v>
      </c>
      <c r="Q288" s="47" t="s">
        <v>1612</v>
      </c>
      <c r="R288" s="47" t="s">
        <v>15135</v>
      </c>
      <c r="S288" s="47" t="s">
        <v>13884</v>
      </c>
      <c r="T288" s="46"/>
      <c r="U288" s="46" t="s">
        <v>491</v>
      </c>
      <c r="V288" s="46"/>
    </row>
    <row r="289" spans="1:22" s="47" customFormat="1" ht="90" x14ac:dyDescent="0.25">
      <c r="A289" s="61">
        <v>43572</v>
      </c>
      <c r="B289" s="47" t="s">
        <v>5956</v>
      </c>
      <c r="C289" s="46" t="s">
        <v>3369</v>
      </c>
      <c r="D289" s="46" t="s">
        <v>8126</v>
      </c>
      <c r="E289" s="46"/>
      <c r="F289" s="46" t="s">
        <v>15250</v>
      </c>
      <c r="G289" s="46"/>
      <c r="H289" s="46" t="s">
        <v>607</v>
      </c>
      <c r="I289" s="46" t="s">
        <v>15251</v>
      </c>
      <c r="J289" s="46" t="s">
        <v>3369</v>
      </c>
      <c r="K289" s="218" t="s">
        <v>15252</v>
      </c>
      <c r="L289" s="185">
        <v>4</v>
      </c>
      <c r="M289" s="91">
        <v>350000</v>
      </c>
      <c r="N289" s="91">
        <f>M289+35000+175000+70000</f>
        <v>630000</v>
      </c>
      <c r="O289" s="189" t="s">
        <v>10763</v>
      </c>
      <c r="P289" s="47" t="s">
        <v>15253</v>
      </c>
      <c r="Q289" s="47" t="s">
        <v>1939</v>
      </c>
      <c r="R289" s="47" t="s">
        <v>15254</v>
      </c>
      <c r="T289" s="46"/>
      <c r="U289" s="46" t="s">
        <v>12797</v>
      </c>
      <c r="V289" s="46"/>
    </row>
    <row r="290" spans="1:22" s="47" customFormat="1" ht="75" x14ac:dyDescent="0.25">
      <c r="A290" s="61">
        <v>43572</v>
      </c>
      <c r="B290" s="47" t="s">
        <v>643</v>
      </c>
      <c r="C290" s="46" t="s">
        <v>644</v>
      </c>
      <c r="D290" s="46" t="s">
        <v>3132</v>
      </c>
      <c r="E290" s="46"/>
      <c r="F290" s="46" t="s">
        <v>15255</v>
      </c>
      <c r="G290" s="46" t="s">
        <v>15256</v>
      </c>
      <c r="H290" s="46" t="s">
        <v>10831</v>
      </c>
      <c r="I290" s="46" t="s">
        <v>10455</v>
      </c>
      <c r="J290" s="46" t="s">
        <v>644</v>
      </c>
      <c r="K290" s="218" t="s">
        <v>15257</v>
      </c>
      <c r="L290" s="185">
        <v>9</v>
      </c>
      <c r="M290" s="91">
        <v>1559000</v>
      </c>
      <c r="N290" s="91">
        <f>M290+207300+779500+150000</f>
        <v>2695800</v>
      </c>
      <c r="O290" s="189" t="s">
        <v>560</v>
      </c>
      <c r="P290" s="47" t="s">
        <v>15258</v>
      </c>
      <c r="Q290" s="47" t="s">
        <v>592</v>
      </c>
      <c r="R290" s="47" t="s">
        <v>15259</v>
      </c>
      <c r="T290" s="46"/>
      <c r="U290" s="46" t="s">
        <v>12797</v>
      </c>
      <c r="V290" s="46"/>
    </row>
    <row r="291" spans="1:22" s="47" customFormat="1" ht="81" customHeight="1" x14ac:dyDescent="0.25">
      <c r="A291" s="61">
        <v>43573</v>
      </c>
      <c r="B291" s="47" t="s">
        <v>328</v>
      </c>
      <c r="C291" s="46" t="s">
        <v>603</v>
      </c>
      <c r="D291" s="46" t="s">
        <v>5701</v>
      </c>
      <c r="E291" s="46"/>
      <c r="F291" s="46" t="s">
        <v>7831</v>
      </c>
      <c r="G291" s="46" t="s">
        <v>8289</v>
      </c>
      <c r="H291" s="46" t="s">
        <v>607</v>
      </c>
      <c r="I291" s="46" t="s">
        <v>5212</v>
      </c>
      <c r="J291" s="46" t="s">
        <v>644</v>
      </c>
      <c r="K291" s="218" t="s">
        <v>15115</v>
      </c>
      <c r="L291" s="185">
        <v>2</v>
      </c>
      <c r="M291" s="91">
        <v>276000</v>
      </c>
      <c r="N291" s="91">
        <v>463640</v>
      </c>
      <c r="O291" s="189" t="s">
        <v>10766</v>
      </c>
      <c r="P291" s="47" t="s">
        <v>15116</v>
      </c>
      <c r="Q291" s="47" t="s">
        <v>1612</v>
      </c>
      <c r="R291" s="47" t="s">
        <v>15232</v>
      </c>
      <c r="T291" s="46"/>
      <c r="U291" s="46" t="s">
        <v>491</v>
      </c>
      <c r="V291" s="46"/>
    </row>
    <row r="292" spans="1:22" s="47" customFormat="1" ht="48" customHeight="1" x14ac:dyDescent="0.25">
      <c r="A292" s="61">
        <v>43573</v>
      </c>
      <c r="B292" s="47" t="s">
        <v>6076</v>
      </c>
      <c r="C292" s="46" t="s">
        <v>603</v>
      </c>
      <c r="D292" s="46" t="s">
        <v>10524</v>
      </c>
      <c r="E292" s="46"/>
      <c r="F292" s="46" t="s">
        <v>15105</v>
      </c>
      <c r="G292" s="46" t="s">
        <v>15106</v>
      </c>
      <c r="H292" s="46" t="s">
        <v>607</v>
      </c>
      <c r="I292" s="46" t="s">
        <v>6796</v>
      </c>
      <c r="J292" s="46" t="s">
        <v>3370</v>
      </c>
      <c r="K292" s="218" t="s">
        <v>15107</v>
      </c>
      <c r="L292" s="185">
        <v>2</v>
      </c>
      <c r="M292" s="91">
        <v>775000</v>
      </c>
      <c r="N292" s="91">
        <v>1472500</v>
      </c>
      <c r="O292" s="189" t="s">
        <v>7564</v>
      </c>
      <c r="P292" s="47" t="s">
        <v>15108</v>
      </c>
      <c r="Q292" s="47" t="s">
        <v>1939</v>
      </c>
      <c r="R292" s="47" t="s">
        <v>15109</v>
      </c>
      <c r="S292" s="47" t="s">
        <v>15118</v>
      </c>
      <c r="T292" s="46"/>
      <c r="U292" s="46" t="s">
        <v>491</v>
      </c>
      <c r="V292" s="46"/>
    </row>
    <row r="293" spans="1:22" s="47" customFormat="1" ht="318" customHeight="1" x14ac:dyDescent="0.25">
      <c r="A293" s="61">
        <v>43573</v>
      </c>
      <c r="B293" s="47" t="s">
        <v>328</v>
      </c>
      <c r="C293" s="46" t="s">
        <v>603</v>
      </c>
      <c r="D293" s="46" t="s">
        <v>5701</v>
      </c>
      <c r="E293" s="46"/>
      <c r="F293" s="46" t="s">
        <v>9840</v>
      </c>
      <c r="G293" s="46" t="s">
        <v>15119</v>
      </c>
      <c r="H293" s="46" t="s">
        <v>1050</v>
      </c>
      <c r="I293" s="46" t="s">
        <v>13239</v>
      </c>
      <c r="J293" s="46" t="s">
        <v>3501</v>
      </c>
      <c r="K293" s="218" t="s">
        <v>13240</v>
      </c>
      <c r="L293" s="185">
        <v>10</v>
      </c>
      <c r="M293" s="91">
        <v>3650000</v>
      </c>
      <c r="N293" s="91">
        <v>3650000</v>
      </c>
      <c r="O293" s="189" t="s">
        <v>7124</v>
      </c>
      <c r="P293" s="47" t="s">
        <v>15335</v>
      </c>
      <c r="Q293" s="47" t="s">
        <v>592</v>
      </c>
      <c r="R293" s="47" t="s">
        <v>15120</v>
      </c>
      <c r="T293" s="46"/>
      <c r="U293" s="46" t="s">
        <v>491</v>
      </c>
      <c r="V293" s="46"/>
    </row>
    <row r="294" spans="1:22" s="47" customFormat="1" ht="89.25" customHeight="1" x14ac:dyDescent="0.25">
      <c r="A294" s="61">
        <v>43573</v>
      </c>
      <c r="B294" s="47" t="s">
        <v>328</v>
      </c>
      <c r="C294" s="46" t="s">
        <v>603</v>
      </c>
      <c r="D294" s="46" t="s">
        <v>5701</v>
      </c>
      <c r="E294" s="46"/>
      <c r="F294" s="46" t="s">
        <v>15121</v>
      </c>
      <c r="G294" s="46" t="s">
        <v>15122</v>
      </c>
      <c r="H294" s="46" t="s">
        <v>10831</v>
      </c>
      <c r="I294" s="46" t="s">
        <v>15123</v>
      </c>
      <c r="J294" s="46" t="s">
        <v>15124</v>
      </c>
      <c r="K294" s="218" t="s">
        <v>15125</v>
      </c>
      <c r="L294" s="185">
        <v>10</v>
      </c>
      <c r="M294" s="91">
        <v>1500000</v>
      </c>
      <c r="N294" s="91">
        <v>2750000</v>
      </c>
      <c r="O294" s="189" t="s">
        <v>7124</v>
      </c>
      <c r="P294" s="47" t="s">
        <v>15126</v>
      </c>
      <c r="Q294" s="47" t="s">
        <v>29</v>
      </c>
      <c r="R294" s="47" t="s">
        <v>15127</v>
      </c>
      <c r="T294" s="46"/>
      <c r="U294" s="46" t="s">
        <v>491</v>
      </c>
      <c r="V294" s="46"/>
    </row>
    <row r="295" spans="1:22" s="47" customFormat="1" ht="90" x14ac:dyDescent="0.25">
      <c r="A295" s="61">
        <v>43573</v>
      </c>
      <c r="B295" s="47" t="s">
        <v>328</v>
      </c>
      <c r="C295" s="46" t="s">
        <v>603</v>
      </c>
      <c r="D295" s="46" t="s">
        <v>649</v>
      </c>
      <c r="E295" s="46"/>
      <c r="F295" s="46" t="s">
        <v>15128</v>
      </c>
      <c r="G295" s="46" t="s">
        <v>15129</v>
      </c>
      <c r="H295" s="46" t="s">
        <v>607</v>
      </c>
      <c r="I295" s="46" t="s">
        <v>15130</v>
      </c>
      <c r="J295" s="46" t="s">
        <v>3523</v>
      </c>
      <c r="K295" s="218" t="s">
        <v>15131</v>
      </c>
      <c r="L295" s="185">
        <v>4</v>
      </c>
      <c r="M295" s="91">
        <v>250000</v>
      </c>
      <c r="N295" s="91">
        <v>425000</v>
      </c>
      <c r="O295" s="189" t="s">
        <v>4533</v>
      </c>
      <c r="P295" s="47" t="s">
        <v>15132</v>
      </c>
      <c r="Q295" s="47" t="s">
        <v>1939</v>
      </c>
      <c r="R295" s="47" t="s">
        <v>15133</v>
      </c>
      <c r="T295" s="46"/>
      <c r="U295" s="46" t="s">
        <v>491</v>
      </c>
      <c r="V295" s="46"/>
    </row>
    <row r="296" spans="1:22" s="47" customFormat="1" ht="169.5" customHeight="1" x14ac:dyDescent="0.25">
      <c r="A296" s="61">
        <v>43573</v>
      </c>
      <c r="B296" s="47" t="s">
        <v>643</v>
      </c>
      <c r="C296" s="46" t="s">
        <v>644</v>
      </c>
      <c r="D296" s="46" t="s">
        <v>645</v>
      </c>
      <c r="E296" s="46"/>
      <c r="F296" s="46" t="s">
        <v>15</v>
      </c>
      <c r="G296" s="46" t="s">
        <v>13774</v>
      </c>
      <c r="H296" s="46" t="s">
        <v>607</v>
      </c>
      <c r="I296" s="46" t="s">
        <v>15260</v>
      </c>
      <c r="J296" s="46" t="s">
        <v>644</v>
      </c>
      <c r="K296" s="218" t="s">
        <v>15261</v>
      </c>
      <c r="L296" s="185">
        <v>2</v>
      </c>
      <c r="M296" s="91">
        <v>300000</v>
      </c>
      <c r="N296" s="91">
        <f>M296+30000+210000+90000</f>
        <v>630000</v>
      </c>
      <c r="O296" s="189" t="s">
        <v>10766</v>
      </c>
      <c r="P296" s="47" t="s">
        <v>15336</v>
      </c>
      <c r="Q296" s="47" t="s">
        <v>29</v>
      </c>
      <c r="R296" s="47" t="s">
        <v>15448</v>
      </c>
      <c r="T296" s="46"/>
      <c r="U296" s="46" t="s">
        <v>12797</v>
      </c>
      <c r="V296" s="46"/>
    </row>
    <row r="297" spans="1:22" s="47" customFormat="1" ht="153" customHeight="1" x14ac:dyDescent="0.25">
      <c r="A297" s="61">
        <v>43574</v>
      </c>
      <c r="B297" s="47" t="s">
        <v>13559</v>
      </c>
      <c r="C297" s="46" t="s">
        <v>3523</v>
      </c>
      <c r="D297" s="46" t="s">
        <v>11981</v>
      </c>
      <c r="E297" s="46"/>
      <c r="F297" s="46" t="s">
        <v>15136</v>
      </c>
      <c r="G297" s="46" t="s">
        <v>15137</v>
      </c>
      <c r="H297" s="46" t="s">
        <v>607</v>
      </c>
      <c r="I297" s="46" t="s">
        <v>15138</v>
      </c>
      <c r="J297" s="46" t="s">
        <v>3523</v>
      </c>
      <c r="K297" s="218" t="s">
        <v>15139</v>
      </c>
      <c r="L297" s="185">
        <v>5</v>
      </c>
      <c r="M297" s="91">
        <v>289794</v>
      </c>
      <c r="N297" s="91">
        <v>470000</v>
      </c>
      <c r="O297" s="189" t="s">
        <v>10766</v>
      </c>
      <c r="P297" s="47" t="s">
        <v>15337</v>
      </c>
      <c r="Q297" s="47" t="s">
        <v>1612</v>
      </c>
      <c r="R297" s="47" t="s">
        <v>15338</v>
      </c>
      <c r="T297" s="46"/>
      <c r="U297" s="46" t="s">
        <v>491</v>
      </c>
      <c r="V297" s="46"/>
    </row>
    <row r="298" spans="1:22" s="47" customFormat="1" ht="141.75" customHeight="1" x14ac:dyDescent="0.25">
      <c r="A298" s="61">
        <v>43574</v>
      </c>
      <c r="B298" s="47" t="s">
        <v>328</v>
      </c>
      <c r="C298" s="46" t="s">
        <v>603</v>
      </c>
      <c r="D298" s="46" t="s">
        <v>1401</v>
      </c>
      <c r="E298" s="46"/>
      <c r="F298" s="46" t="s">
        <v>15140</v>
      </c>
      <c r="G298" s="46" t="s">
        <v>9350</v>
      </c>
      <c r="H298" s="46" t="s">
        <v>607</v>
      </c>
      <c r="I298" s="46" t="s">
        <v>8662</v>
      </c>
      <c r="J298" s="46" t="s">
        <v>6015</v>
      </c>
      <c r="K298" s="218" t="s">
        <v>15141</v>
      </c>
      <c r="L298" s="185">
        <v>2</v>
      </c>
      <c r="M298" s="91">
        <v>231800</v>
      </c>
      <c r="N298" s="91">
        <v>490000</v>
      </c>
      <c r="O298" s="189" t="s">
        <v>10766</v>
      </c>
      <c r="P298" s="47" t="s">
        <v>15142</v>
      </c>
      <c r="Q298" s="47" t="s">
        <v>29</v>
      </c>
      <c r="R298" s="47" t="s">
        <v>15143</v>
      </c>
      <c r="S298" s="47" t="s">
        <v>15185</v>
      </c>
      <c r="T298" s="46"/>
      <c r="U298" s="46" t="s">
        <v>491</v>
      </c>
      <c r="V298" s="46"/>
    </row>
    <row r="299" spans="1:22" s="47" customFormat="1" ht="93" customHeight="1" x14ac:dyDescent="0.25">
      <c r="A299" s="61">
        <v>43574</v>
      </c>
      <c r="B299" s="47" t="s">
        <v>328</v>
      </c>
      <c r="C299" s="46" t="s">
        <v>603</v>
      </c>
      <c r="D299" s="46" t="s">
        <v>1401</v>
      </c>
      <c r="E299" s="46"/>
      <c r="F299" s="46" t="s">
        <v>473</v>
      </c>
      <c r="G299" s="46" t="s">
        <v>7714</v>
      </c>
      <c r="H299" s="46" t="s">
        <v>607</v>
      </c>
      <c r="I299" s="46" t="s">
        <v>15144</v>
      </c>
      <c r="J299" s="46" t="s">
        <v>6015</v>
      </c>
      <c r="K299" s="218" t="s">
        <v>15145</v>
      </c>
      <c r="L299" s="185">
        <v>10</v>
      </c>
      <c r="M299" s="91">
        <v>266000</v>
      </c>
      <c r="N299" s="91">
        <v>455000</v>
      </c>
      <c r="O299" s="189" t="s">
        <v>7124</v>
      </c>
      <c r="P299" s="47" t="s">
        <v>15147</v>
      </c>
      <c r="Q299" s="47" t="s">
        <v>29</v>
      </c>
      <c r="R299" s="47" t="s">
        <v>15146</v>
      </c>
      <c r="T299" s="46"/>
      <c r="U299" s="46" t="s">
        <v>491</v>
      </c>
      <c r="V299" s="46"/>
    </row>
    <row r="300" spans="1:22" s="47" customFormat="1" ht="60" x14ac:dyDescent="0.25">
      <c r="A300" s="61">
        <v>43577</v>
      </c>
      <c r="B300" s="47" t="s">
        <v>13559</v>
      </c>
      <c r="C300" s="46" t="s">
        <v>3523</v>
      </c>
      <c r="D300" s="46" t="s">
        <v>14673</v>
      </c>
      <c r="E300" s="46"/>
      <c r="F300" s="46" t="s">
        <v>15148</v>
      </c>
      <c r="G300" s="46" t="s">
        <v>256</v>
      </c>
      <c r="H300" s="46" t="s">
        <v>886</v>
      </c>
      <c r="I300" s="46" t="s">
        <v>15149</v>
      </c>
      <c r="J300" s="46" t="s">
        <v>3523</v>
      </c>
      <c r="K300" s="218" t="s">
        <v>15150</v>
      </c>
      <c r="L300" s="185">
        <v>4</v>
      </c>
      <c r="M300" s="91">
        <v>198000</v>
      </c>
      <c r="N300" s="91">
        <v>280000</v>
      </c>
      <c r="O300" s="189" t="s">
        <v>10766</v>
      </c>
      <c r="P300" s="47" t="s">
        <v>15151</v>
      </c>
      <c r="Q300" s="47" t="s">
        <v>29</v>
      </c>
      <c r="R300" s="47" t="s">
        <v>15152</v>
      </c>
      <c r="T300" s="46"/>
      <c r="U300" s="46" t="s">
        <v>491</v>
      </c>
      <c r="V300" s="46"/>
    </row>
    <row r="301" spans="1:22" s="47" customFormat="1" ht="122.25" customHeight="1" x14ac:dyDescent="0.25">
      <c r="A301" s="61">
        <v>43577</v>
      </c>
      <c r="B301" s="47" t="s">
        <v>328</v>
      </c>
      <c r="C301" s="46" t="s">
        <v>603</v>
      </c>
      <c r="D301" s="46" t="s">
        <v>7595</v>
      </c>
      <c r="E301" s="46"/>
      <c r="F301" s="46" t="s">
        <v>15153</v>
      </c>
      <c r="G301" s="46" t="s">
        <v>15154</v>
      </c>
      <c r="H301" s="46" t="s">
        <v>607</v>
      </c>
      <c r="I301" s="46" t="s">
        <v>15155</v>
      </c>
      <c r="J301" s="46" t="s">
        <v>3528</v>
      </c>
      <c r="K301" s="218" t="s">
        <v>15156</v>
      </c>
      <c r="L301" s="185">
        <v>1</v>
      </c>
      <c r="M301" s="91">
        <v>380000</v>
      </c>
      <c r="N301" s="91">
        <v>779000</v>
      </c>
      <c r="O301" s="189" t="s">
        <v>4533</v>
      </c>
      <c r="P301" s="47" t="s">
        <v>15184</v>
      </c>
      <c r="Q301" s="47" t="s">
        <v>1939</v>
      </c>
      <c r="R301" s="47" t="s">
        <v>15157</v>
      </c>
      <c r="S301" s="47" t="s">
        <v>15339</v>
      </c>
      <c r="T301" s="46"/>
      <c r="U301" s="46" t="s">
        <v>491</v>
      </c>
      <c r="V301" s="46"/>
    </row>
    <row r="302" spans="1:22" s="47" customFormat="1" ht="165" customHeight="1" x14ac:dyDescent="0.25">
      <c r="A302" s="61">
        <v>43577</v>
      </c>
      <c r="B302" s="47" t="s">
        <v>328</v>
      </c>
      <c r="C302" s="46" t="s">
        <v>603</v>
      </c>
      <c r="D302" s="46" t="s">
        <v>5701</v>
      </c>
      <c r="E302" s="46"/>
      <c r="F302" s="46" t="s">
        <v>15158</v>
      </c>
      <c r="G302" s="46" t="s">
        <v>10641</v>
      </c>
      <c r="H302" s="46" t="s">
        <v>607</v>
      </c>
      <c r="I302" s="46" t="s">
        <v>15159</v>
      </c>
      <c r="J302" s="46" t="s">
        <v>3751</v>
      </c>
      <c r="K302" s="218" t="s">
        <v>15160</v>
      </c>
      <c r="L302" s="185">
        <v>5</v>
      </c>
      <c r="M302" s="91">
        <v>1645000</v>
      </c>
      <c r="N302" s="91">
        <v>2250000</v>
      </c>
      <c r="O302" s="189" t="s">
        <v>10763</v>
      </c>
      <c r="P302" s="47" t="s">
        <v>15340</v>
      </c>
      <c r="Q302" s="47" t="s">
        <v>1612</v>
      </c>
      <c r="R302" s="47" t="s">
        <v>15214</v>
      </c>
      <c r="S302" s="47" t="s">
        <v>15215</v>
      </c>
      <c r="T302" s="46"/>
      <c r="U302" s="46" t="s">
        <v>491</v>
      </c>
      <c r="V302" s="46"/>
    </row>
    <row r="303" spans="1:22" ht="60" x14ac:dyDescent="0.25">
      <c r="A303" s="61">
        <v>43577</v>
      </c>
      <c r="B303" s="46" t="s">
        <v>328</v>
      </c>
      <c r="C303" s="46" t="s">
        <v>603</v>
      </c>
      <c r="D303" s="46" t="s">
        <v>5701</v>
      </c>
      <c r="E303" s="46" t="s">
        <v>588</v>
      </c>
      <c r="F303" s="46" t="s">
        <v>11359</v>
      </c>
      <c r="G303" s="46" t="s">
        <v>7714</v>
      </c>
      <c r="H303" s="46" t="s">
        <v>607</v>
      </c>
      <c r="I303" s="46" t="s">
        <v>15161</v>
      </c>
      <c r="J303" s="46" t="s">
        <v>3751</v>
      </c>
      <c r="K303" s="218" t="s">
        <v>15162</v>
      </c>
      <c r="L303" s="185">
        <v>9</v>
      </c>
      <c r="M303" s="91">
        <v>225000</v>
      </c>
      <c r="N303" s="91">
        <v>472500</v>
      </c>
      <c r="O303" s="189" t="s">
        <v>4533</v>
      </c>
      <c r="P303" s="47" t="s">
        <v>15163</v>
      </c>
      <c r="Q303" s="47" t="s">
        <v>1612</v>
      </c>
      <c r="R303" s="47" t="s">
        <v>15341</v>
      </c>
      <c r="S303" s="47" t="s">
        <v>15164</v>
      </c>
      <c r="U303" s="46" t="s">
        <v>491</v>
      </c>
    </row>
    <row r="304" spans="1:22" s="47" customFormat="1" ht="45" x14ac:dyDescent="0.25">
      <c r="A304" s="61">
        <v>43577</v>
      </c>
      <c r="B304" s="47" t="s">
        <v>13559</v>
      </c>
      <c r="C304" s="46" t="s">
        <v>3523</v>
      </c>
      <c r="D304" s="46" t="s">
        <v>14673</v>
      </c>
      <c r="E304" s="46"/>
      <c r="F304" s="46" t="s">
        <v>13549</v>
      </c>
      <c r="G304" s="46" t="s">
        <v>15165</v>
      </c>
      <c r="H304" s="46" t="s">
        <v>607</v>
      </c>
      <c r="I304" s="46" t="s">
        <v>15166</v>
      </c>
      <c r="J304" s="46" t="s">
        <v>3523</v>
      </c>
      <c r="K304" s="218" t="s">
        <v>15167</v>
      </c>
      <c r="L304" s="185">
        <v>5</v>
      </c>
      <c r="M304" s="91">
        <v>175000</v>
      </c>
      <c r="N304" s="91">
        <v>250000</v>
      </c>
      <c r="O304" s="189" t="s">
        <v>6745</v>
      </c>
      <c r="P304" s="47" t="s">
        <v>15168</v>
      </c>
      <c r="Q304" s="47" t="s">
        <v>1939</v>
      </c>
      <c r="R304" s="47" t="s">
        <v>15169</v>
      </c>
      <c r="T304" s="46"/>
      <c r="U304" s="46" t="s">
        <v>491</v>
      </c>
      <c r="V304" s="46"/>
    </row>
    <row r="305" spans="1:22" s="47" customFormat="1" ht="105" x14ac:dyDescent="0.25">
      <c r="A305" s="61">
        <v>43578</v>
      </c>
      <c r="B305" s="47" t="s">
        <v>328</v>
      </c>
      <c r="C305" s="46" t="s">
        <v>603</v>
      </c>
      <c r="D305" s="46" t="s">
        <v>10338</v>
      </c>
      <c r="E305" s="46"/>
      <c r="F305" s="46" t="s">
        <v>15170</v>
      </c>
      <c r="G305" s="46" t="s">
        <v>7721</v>
      </c>
      <c r="H305" s="46" t="s">
        <v>886</v>
      </c>
      <c r="I305" s="46" t="s">
        <v>15171</v>
      </c>
      <c r="J305" s="46" t="s">
        <v>959</v>
      </c>
      <c r="K305" s="218" t="s">
        <v>15172</v>
      </c>
      <c r="L305" s="185">
        <v>1</v>
      </c>
      <c r="M305" s="91">
        <v>410000</v>
      </c>
      <c r="N305" s="91">
        <v>458000</v>
      </c>
      <c r="O305" s="189" t="s">
        <v>10762</v>
      </c>
      <c r="P305" s="47" t="s">
        <v>15173</v>
      </c>
      <c r="Q305" s="47" t="s">
        <v>592</v>
      </c>
      <c r="R305" s="47" t="s">
        <v>15174</v>
      </c>
      <c r="T305" s="46"/>
      <c r="U305" s="46" t="s">
        <v>491</v>
      </c>
      <c r="V305" s="46"/>
    </row>
    <row r="306" spans="1:22" s="47" customFormat="1" ht="60" x14ac:dyDescent="0.25">
      <c r="A306" s="61">
        <v>43578</v>
      </c>
      <c r="B306" s="47" t="s">
        <v>9240</v>
      </c>
      <c r="C306" s="46" t="s">
        <v>603</v>
      </c>
      <c r="D306" s="46" t="s">
        <v>9241</v>
      </c>
      <c r="E306" s="46"/>
      <c r="F306" s="46" t="s">
        <v>15175</v>
      </c>
      <c r="G306" s="46" t="s">
        <v>15176</v>
      </c>
      <c r="H306" s="46" t="s">
        <v>607</v>
      </c>
      <c r="I306" s="46" t="s">
        <v>15177</v>
      </c>
      <c r="J306" s="46" t="s">
        <v>5402</v>
      </c>
      <c r="K306" s="218" t="s">
        <v>15178</v>
      </c>
      <c r="L306" s="185">
        <v>5</v>
      </c>
      <c r="M306" s="91">
        <v>2058584</v>
      </c>
      <c r="N306" s="91">
        <v>2500000</v>
      </c>
      <c r="O306" s="189" t="s">
        <v>10765</v>
      </c>
      <c r="P306" s="47" t="s">
        <v>15179</v>
      </c>
      <c r="Q306" s="47" t="s">
        <v>1939</v>
      </c>
      <c r="R306" s="47" t="s">
        <v>15181</v>
      </c>
      <c r="S306" s="47" t="s">
        <v>15180</v>
      </c>
      <c r="T306" s="46"/>
      <c r="U306" s="46" t="s">
        <v>491</v>
      </c>
      <c r="V306" s="46"/>
    </row>
    <row r="307" spans="1:22" s="47" customFormat="1" ht="60" x14ac:dyDescent="0.25">
      <c r="A307" s="61">
        <v>43578</v>
      </c>
      <c r="B307" s="47" t="s">
        <v>328</v>
      </c>
      <c r="C307" s="46" t="s">
        <v>603</v>
      </c>
      <c r="D307" s="46" t="s">
        <v>10705</v>
      </c>
      <c r="E307" s="46"/>
      <c r="F307" s="46" t="s">
        <v>15182</v>
      </c>
      <c r="G307" s="46" t="s">
        <v>4118</v>
      </c>
      <c r="H307" s="46" t="s">
        <v>607</v>
      </c>
      <c r="I307" s="46" t="s">
        <v>9854</v>
      </c>
      <c r="J307" s="46" t="s">
        <v>644</v>
      </c>
      <c r="K307" s="218" t="s">
        <v>15183</v>
      </c>
      <c r="L307" s="185">
        <v>10</v>
      </c>
      <c r="M307" s="91">
        <v>466000</v>
      </c>
      <c r="N307" s="91">
        <v>838200</v>
      </c>
      <c r="O307" s="189" t="s">
        <v>7124</v>
      </c>
      <c r="P307" s="47" t="s">
        <v>15186</v>
      </c>
      <c r="Q307" s="47" t="s">
        <v>29</v>
      </c>
      <c r="R307" s="47" t="s">
        <v>15187</v>
      </c>
      <c r="T307" s="46"/>
      <c r="U307" s="46" t="s">
        <v>491</v>
      </c>
      <c r="V307" s="46"/>
    </row>
    <row r="308" spans="1:22" s="47" customFormat="1" ht="45" x14ac:dyDescent="0.25">
      <c r="A308" s="61">
        <v>43578</v>
      </c>
      <c r="B308" s="47" t="s">
        <v>328</v>
      </c>
      <c r="C308" s="46" t="s">
        <v>603</v>
      </c>
      <c r="D308" s="46" t="s">
        <v>10338</v>
      </c>
      <c r="E308" s="46"/>
      <c r="F308" s="46" t="s">
        <v>10069</v>
      </c>
      <c r="G308" s="46" t="s">
        <v>7830</v>
      </c>
      <c r="H308" s="46" t="s">
        <v>607</v>
      </c>
      <c r="I308" s="46" t="s">
        <v>15188</v>
      </c>
      <c r="J308" s="46" t="s">
        <v>644</v>
      </c>
      <c r="K308" s="218" t="s">
        <v>15189</v>
      </c>
      <c r="L308" s="185">
        <v>2</v>
      </c>
      <c r="M308" s="91">
        <v>750000</v>
      </c>
      <c r="N308" s="91">
        <v>1275000</v>
      </c>
      <c r="O308" s="189" t="s">
        <v>6745</v>
      </c>
      <c r="P308" s="47" t="s">
        <v>15190</v>
      </c>
      <c r="Q308" s="47" t="s">
        <v>29</v>
      </c>
      <c r="R308" s="47" t="s">
        <v>15192</v>
      </c>
      <c r="S308" s="47" t="s">
        <v>15191</v>
      </c>
      <c r="T308" s="46"/>
      <c r="U308" s="46" t="s">
        <v>491</v>
      </c>
      <c r="V308" s="46"/>
    </row>
    <row r="309" spans="1:22" s="47" customFormat="1" ht="105.75" customHeight="1" x14ac:dyDescent="0.25">
      <c r="A309" s="61">
        <v>43578</v>
      </c>
      <c r="B309" s="47" t="s">
        <v>13559</v>
      </c>
      <c r="C309" s="46" t="s">
        <v>3523</v>
      </c>
      <c r="D309" s="46" t="s">
        <v>9545</v>
      </c>
      <c r="E309" s="46"/>
      <c r="F309" s="46" t="s">
        <v>15194</v>
      </c>
      <c r="G309" s="46" t="s">
        <v>15195</v>
      </c>
      <c r="H309" s="46" t="s">
        <v>607</v>
      </c>
      <c r="I309" s="46" t="s">
        <v>15130</v>
      </c>
      <c r="J309" s="46" t="s">
        <v>3523</v>
      </c>
      <c r="K309" s="218" t="s">
        <v>15131</v>
      </c>
      <c r="L309" s="185">
        <v>5</v>
      </c>
      <c r="M309" s="91">
        <v>280000</v>
      </c>
      <c r="N309" s="91">
        <v>485000</v>
      </c>
      <c r="O309" s="189" t="s">
        <v>4533</v>
      </c>
      <c r="P309" s="47" t="s">
        <v>15272</v>
      </c>
      <c r="Q309" s="47" t="s">
        <v>1612</v>
      </c>
      <c r="R309" s="47" t="s">
        <v>15342</v>
      </c>
      <c r="T309" s="46"/>
      <c r="U309" s="46" t="s">
        <v>491</v>
      </c>
      <c r="V309" s="46"/>
    </row>
    <row r="310" spans="1:22" s="47" customFormat="1" ht="45" x14ac:dyDescent="0.25">
      <c r="A310" s="61">
        <v>43579</v>
      </c>
      <c r="B310" s="47" t="s">
        <v>328</v>
      </c>
      <c r="C310" s="46" t="s">
        <v>603</v>
      </c>
      <c r="D310" s="46" t="s">
        <v>5701</v>
      </c>
      <c r="E310" s="46"/>
      <c r="F310" s="46" t="s">
        <v>15196</v>
      </c>
      <c r="G310" s="46" t="s">
        <v>7830</v>
      </c>
      <c r="H310" s="46" t="s">
        <v>607</v>
      </c>
      <c r="I310" s="46" t="s">
        <v>15197</v>
      </c>
      <c r="J310" s="46" t="s">
        <v>5509</v>
      </c>
      <c r="K310" s="218" t="s">
        <v>15198</v>
      </c>
      <c r="L310" s="185">
        <v>10</v>
      </c>
      <c r="M310" s="91">
        <v>375000</v>
      </c>
      <c r="N310" s="91">
        <v>637500</v>
      </c>
      <c r="O310" s="189" t="s">
        <v>7124</v>
      </c>
      <c r="P310" s="47" t="s">
        <v>15199</v>
      </c>
      <c r="Q310" s="47" t="s">
        <v>29</v>
      </c>
      <c r="R310" s="47" t="s">
        <v>15200</v>
      </c>
      <c r="S310" s="47" t="s">
        <v>15201</v>
      </c>
      <c r="T310" s="46"/>
      <c r="U310" s="46" t="s">
        <v>491</v>
      </c>
      <c r="V310" s="46"/>
    </row>
    <row r="311" spans="1:22" s="47" customFormat="1" ht="60" customHeight="1" x14ac:dyDescent="0.25">
      <c r="A311" s="61">
        <v>43579</v>
      </c>
      <c r="B311" s="47" t="s">
        <v>13559</v>
      </c>
      <c r="C311" s="46" t="s">
        <v>3733</v>
      </c>
      <c r="D311" s="46" t="s">
        <v>15202</v>
      </c>
      <c r="E311" s="46"/>
      <c r="F311" s="46" t="s">
        <v>15203</v>
      </c>
      <c r="G311" s="46"/>
      <c r="H311" s="46" t="s">
        <v>809</v>
      </c>
      <c r="I311" s="46" t="s">
        <v>15204</v>
      </c>
      <c r="J311" s="46" t="s">
        <v>3733</v>
      </c>
      <c r="K311" s="218" t="s">
        <v>15205</v>
      </c>
      <c r="L311" s="185">
        <v>1</v>
      </c>
      <c r="M311" s="91">
        <v>3500000</v>
      </c>
      <c r="N311" s="91">
        <v>3500000</v>
      </c>
      <c r="O311" s="189" t="s">
        <v>560</v>
      </c>
      <c r="P311" s="47" t="s">
        <v>15206</v>
      </c>
      <c r="Q311" s="47" t="s">
        <v>1939</v>
      </c>
      <c r="R311" s="47" t="s">
        <v>15207</v>
      </c>
      <c r="S311" s="47" t="s">
        <v>15208</v>
      </c>
      <c r="T311" s="46"/>
      <c r="U311" s="46" t="s">
        <v>491</v>
      </c>
      <c r="V311" s="46"/>
    </row>
    <row r="312" spans="1:22" s="47" customFormat="1" ht="93.75" customHeight="1" x14ac:dyDescent="0.25">
      <c r="A312" s="61">
        <v>43579</v>
      </c>
      <c r="B312" s="47" t="s">
        <v>328</v>
      </c>
      <c r="C312" s="46" t="s">
        <v>603</v>
      </c>
      <c r="D312" s="46" t="s">
        <v>7595</v>
      </c>
      <c r="E312" s="46"/>
      <c r="F312" s="46" t="s">
        <v>15209</v>
      </c>
      <c r="G312" s="46" t="s">
        <v>9849</v>
      </c>
      <c r="H312" s="46" t="s">
        <v>10832</v>
      </c>
      <c r="I312" s="46" t="s">
        <v>12116</v>
      </c>
      <c r="J312" s="46" t="s">
        <v>603</v>
      </c>
      <c r="K312" s="218" t="s">
        <v>15210</v>
      </c>
      <c r="L312" s="185">
        <v>10</v>
      </c>
      <c r="M312" s="91">
        <v>2690000</v>
      </c>
      <c r="N312" s="91">
        <v>3253000</v>
      </c>
      <c r="O312" s="189" t="s">
        <v>560</v>
      </c>
      <c r="P312" s="47" t="s">
        <v>15211</v>
      </c>
      <c r="Q312" s="47" t="s">
        <v>1939</v>
      </c>
      <c r="R312" s="47" t="s">
        <v>15343</v>
      </c>
      <c r="S312" s="47" t="s">
        <v>15212</v>
      </c>
      <c r="T312" s="46"/>
      <c r="U312" s="46" t="s">
        <v>491</v>
      </c>
      <c r="V312" s="46"/>
    </row>
    <row r="313" spans="1:22" s="47" customFormat="1" ht="93" customHeight="1" x14ac:dyDescent="0.25">
      <c r="A313" s="61">
        <v>43579</v>
      </c>
      <c r="B313" s="47" t="s">
        <v>328</v>
      </c>
      <c r="C313" s="46" t="s">
        <v>603</v>
      </c>
      <c r="D313" s="46" t="s">
        <v>10338</v>
      </c>
      <c r="E313" s="46"/>
      <c r="F313" s="46" t="s">
        <v>12895</v>
      </c>
      <c r="G313" s="46" t="s">
        <v>7855</v>
      </c>
      <c r="H313" s="46" t="s">
        <v>809</v>
      </c>
      <c r="I313" s="46" t="s">
        <v>5925</v>
      </c>
      <c r="J313" s="46" t="s">
        <v>644</v>
      </c>
      <c r="K313" s="218" t="s">
        <v>14141</v>
      </c>
      <c r="L313" s="185"/>
      <c r="M313" s="91">
        <v>650000</v>
      </c>
      <c r="N313" s="91">
        <v>665000</v>
      </c>
      <c r="O313" s="189" t="s">
        <v>10766</v>
      </c>
      <c r="P313" s="47" t="s">
        <v>15213</v>
      </c>
      <c r="Q313" s="47" t="s">
        <v>29</v>
      </c>
      <c r="R313" s="47" t="s">
        <v>15239</v>
      </c>
      <c r="S313" s="47" t="s">
        <v>15238</v>
      </c>
      <c r="T313" s="46"/>
      <c r="U313" s="46" t="s">
        <v>491</v>
      </c>
      <c r="V313" s="46"/>
    </row>
    <row r="314" spans="1:22" s="47" customFormat="1" ht="73.5" customHeight="1" x14ac:dyDescent="0.25">
      <c r="A314" s="61">
        <v>43580</v>
      </c>
      <c r="B314" s="47" t="s">
        <v>328</v>
      </c>
      <c r="C314" s="46" t="s">
        <v>603</v>
      </c>
      <c r="D314" s="46" t="s">
        <v>10338</v>
      </c>
      <c r="E314" s="46"/>
      <c r="F314" s="46" t="s">
        <v>15216</v>
      </c>
      <c r="G314" s="46" t="s">
        <v>8383</v>
      </c>
      <c r="H314" s="46" t="s">
        <v>607</v>
      </c>
      <c r="I314" s="46" t="s">
        <v>9018</v>
      </c>
      <c r="J314" s="46" t="s">
        <v>3373</v>
      </c>
      <c r="K314" s="218" t="s">
        <v>15217</v>
      </c>
      <c r="L314" s="185">
        <v>10</v>
      </c>
      <c r="M314" s="91">
        <v>550000</v>
      </c>
      <c r="N314" s="91">
        <v>1075000</v>
      </c>
      <c r="O314" s="189" t="s">
        <v>4533</v>
      </c>
      <c r="P314" s="47" t="s">
        <v>15218</v>
      </c>
      <c r="Q314" s="47" t="s">
        <v>1939</v>
      </c>
      <c r="R314" s="47" t="s">
        <v>15220</v>
      </c>
      <c r="S314" s="47" t="s">
        <v>15219</v>
      </c>
      <c r="T314" s="46"/>
      <c r="U314" s="46" t="s">
        <v>491</v>
      </c>
      <c r="V314" s="46"/>
    </row>
    <row r="315" spans="1:22" s="47" customFormat="1" ht="76.5" customHeight="1" x14ac:dyDescent="0.25">
      <c r="A315" s="61">
        <v>43580</v>
      </c>
      <c r="B315" s="47" t="s">
        <v>328</v>
      </c>
      <c r="C315" s="46" t="s">
        <v>603</v>
      </c>
      <c r="D315" s="46" t="s">
        <v>10705</v>
      </c>
      <c r="E315" s="46"/>
      <c r="F315" s="46" t="s">
        <v>15221</v>
      </c>
      <c r="G315" s="46" t="s">
        <v>7714</v>
      </c>
      <c r="H315" s="46" t="s">
        <v>607</v>
      </c>
      <c r="I315" s="46" t="s">
        <v>7990</v>
      </c>
      <c r="J315" s="46" t="s">
        <v>8194</v>
      </c>
      <c r="K315" s="218" t="s">
        <v>15222</v>
      </c>
      <c r="L315" s="185">
        <v>9</v>
      </c>
      <c r="M315" s="91">
        <v>1914000</v>
      </c>
      <c r="N315" s="91">
        <v>3923700</v>
      </c>
      <c r="O315" s="189" t="s">
        <v>560</v>
      </c>
      <c r="P315" s="47" t="s">
        <v>15223</v>
      </c>
      <c r="Q315" s="47" t="s">
        <v>29</v>
      </c>
      <c r="R315" s="47" t="s">
        <v>15225</v>
      </c>
      <c r="S315" s="47" t="s">
        <v>15224</v>
      </c>
      <c r="T315" s="46"/>
      <c r="U315" s="46" t="s">
        <v>491</v>
      </c>
      <c r="V315" s="46"/>
    </row>
    <row r="316" spans="1:22" s="47" customFormat="1" ht="98.25" customHeight="1" x14ac:dyDescent="0.25">
      <c r="A316" s="61">
        <v>43580</v>
      </c>
      <c r="B316" s="47" t="s">
        <v>328</v>
      </c>
      <c r="C316" s="46" t="s">
        <v>603</v>
      </c>
      <c r="D316" s="46" t="s">
        <v>649</v>
      </c>
      <c r="E316" s="46"/>
      <c r="F316" s="46" t="s">
        <v>15226</v>
      </c>
      <c r="G316" s="46" t="s">
        <v>15227</v>
      </c>
      <c r="H316" s="46" t="s">
        <v>10831</v>
      </c>
      <c r="I316" s="46" t="s">
        <v>15228</v>
      </c>
      <c r="J316" s="46" t="s">
        <v>3398</v>
      </c>
      <c r="K316" s="218" t="s">
        <v>15229</v>
      </c>
      <c r="L316" s="185">
        <v>10</v>
      </c>
      <c r="M316" s="91">
        <v>175000</v>
      </c>
      <c r="N316" s="91">
        <v>230000</v>
      </c>
      <c r="O316" s="189" t="s">
        <v>7124</v>
      </c>
      <c r="P316" s="47" t="s">
        <v>15230</v>
      </c>
      <c r="Q316" s="47" t="s">
        <v>592</v>
      </c>
      <c r="R316" s="47" t="s">
        <v>15689</v>
      </c>
      <c r="S316" s="47" t="s">
        <v>15231</v>
      </c>
      <c r="T316" s="46"/>
      <c r="U316" s="46" t="s">
        <v>491</v>
      </c>
      <c r="V316" s="46"/>
    </row>
    <row r="317" spans="1:22" s="47" customFormat="1" ht="60" x14ac:dyDescent="0.25">
      <c r="A317" s="61">
        <v>43580</v>
      </c>
      <c r="B317" s="47" t="s">
        <v>13559</v>
      </c>
      <c r="C317" s="46" t="s">
        <v>602</v>
      </c>
      <c r="D317" s="46" t="s">
        <v>14496</v>
      </c>
      <c r="E317" s="46"/>
      <c r="F317" s="46" t="s">
        <v>9350</v>
      </c>
      <c r="G317" s="46" t="s">
        <v>15233</v>
      </c>
      <c r="H317" s="46" t="s">
        <v>607</v>
      </c>
      <c r="I317" s="46" t="s">
        <v>5967</v>
      </c>
      <c r="J317" s="46" t="s">
        <v>602</v>
      </c>
      <c r="K317" s="218" t="s">
        <v>15234</v>
      </c>
      <c r="L317" s="185">
        <v>5</v>
      </c>
      <c r="M317" s="91">
        <v>595000</v>
      </c>
      <c r="N317" s="91">
        <v>975000</v>
      </c>
      <c r="O317" s="189" t="s">
        <v>10766</v>
      </c>
      <c r="P317" s="47" t="s">
        <v>15235</v>
      </c>
      <c r="Q317" s="47" t="s">
        <v>1612</v>
      </c>
      <c r="R317" s="47" t="s">
        <v>15237</v>
      </c>
      <c r="S317" s="47" t="s">
        <v>15236</v>
      </c>
      <c r="T317" s="46"/>
      <c r="U317" s="46" t="s">
        <v>491</v>
      </c>
      <c r="V317" s="46"/>
    </row>
    <row r="318" spans="1:22" s="47" customFormat="1" ht="30" x14ac:dyDescent="0.25">
      <c r="A318" s="61">
        <v>43580</v>
      </c>
      <c r="B318" s="47" t="s">
        <v>569</v>
      </c>
      <c r="C318" s="46" t="s">
        <v>899</v>
      </c>
      <c r="D318" s="46" t="s">
        <v>11286</v>
      </c>
      <c r="E318" s="46"/>
      <c r="F318" s="46" t="s">
        <v>15262</v>
      </c>
      <c r="G318" s="46" t="s">
        <v>15263</v>
      </c>
      <c r="H318" s="46" t="s">
        <v>607</v>
      </c>
      <c r="I318" s="46" t="s">
        <v>5444</v>
      </c>
      <c r="J318" s="46" t="s">
        <v>899</v>
      </c>
      <c r="K318" s="218" t="s">
        <v>13704</v>
      </c>
      <c r="L318" s="185">
        <v>3</v>
      </c>
      <c r="M318" s="91">
        <v>2411000</v>
      </c>
      <c r="N318" s="91">
        <f>M318+241100+1205500+482200</f>
        <v>4339800</v>
      </c>
      <c r="O318" s="189" t="s">
        <v>560</v>
      </c>
      <c r="P318" s="47" t="s">
        <v>15264</v>
      </c>
      <c r="Q318" s="47" t="s">
        <v>29</v>
      </c>
      <c r="R318" s="47" t="s">
        <v>15265</v>
      </c>
      <c r="T318" s="46"/>
      <c r="U318" s="46" t="s">
        <v>12797</v>
      </c>
      <c r="V318" s="46"/>
    </row>
    <row r="319" spans="1:22" s="47" customFormat="1" ht="75" x14ac:dyDescent="0.25">
      <c r="A319" s="61">
        <v>43580</v>
      </c>
      <c r="B319" s="47" t="s">
        <v>328</v>
      </c>
      <c r="C319" s="46" t="s">
        <v>603</v>
      </c>
      <c r="D319" s="46" t="s">
        <v>5701</v>
      </c>
      <c r="E319" s="46"/>
      <c r="F319" s="46" t="s">
        <v>15266</v>
      </c>
      <c r="G319" s="46" t="s">
        <v>11938</v>
      </c>
      <c r="H319" s="46" t="s">
        <v>607</v>
      </c>
      <c r="I319" s="46" t="s">
        <v>12911</v>
      </c>
      <c r="J319" s="46" t="s">
        <v>3523</v>
      </c>
      <c r="K319" s="218" t="s">
        <v>15267</v>
      </c>
      <c r="L319" s="185">
        <v>3</v>
      </c>
      <c r="M319" s="91">
        <v>2000000</v>
      </c>
      <c r="N319" s="91">
        <f>M319+200000+500000+400000</f>
        <v>3100000</v>
      </c>
      <c r="O319" s="189" t="s">
        <v>7564</v>
      </c>
      <c r="P319" s="47" t="s">
        <v>15268</v>
      </c>
      <c r="Q319" s="47" t="s">
        <v>1939</v>
      </c>
      <c r="R319" s="47" t="s">
        <v>15269</v>
      </c>
      <c r="T319" s="46"/>
      <c r="U319" s="46" t="s">
        <v>12797</v>
      </c>
      <c r="V319" s="46"/>
    </row>
    <row r="320" spans="1:22" s="47" customFormat="1" ht="262.5" customHeight="1" x14ac:dyDescent="0.25">
      <c r="A320" s="61">
        <v>43580</v>
      </c>
      <c r="B320" s="47" t="s">
        <v>643</v>
      </c>
      <c r="C320" s="46" t="s">
        <v>644</v>
      </c>
      <c r="D320" s="46" t="s">
        <v>645</v>
      </c>
      <c r="E320" s="46"/>
      <c r="F320" s="46" t="s">
        <v>12198</v>
      </c>
      <c r="G320" s="46" t="s">
        <v>15270</v>
      </c>
      <c r="H320" s="46" t="s">
        <v>809</v>
      </c>
      <c r="I320" s="46" t="s">
        <v>5212</v>
      </c>
      <c r="J320" s="46" t="s">
        <v>644</v>
      </c>
      <c r="K320" s="218" t="s">
        <v>13136</v>
      </c>
      <c r="L320" s="185">
        <v>1</v>
      </c>
      <c r="M320" s="91">
        <v>3600000</v>
      </c>
      <c r="N320" s="91">
        <f>M320+360000+360000+90000</f>
        <v>4410000</v>
      </c>
      <c r="O320" s="189" t="s">
        <v>560</v>
      </c>
      <c r="P320" s="47" t="s">
        <v>15271</v>
      </c>
      <c r="Q320" s="47" t="s">
        <v>1939</v>
      </c>
      <c r="R320" s="47" t="s">
        <v>15447</v>
      </c>
      <c r="T320" s="46"/>
      <c r="U320" s="46" t="s">
        <v>12797</v>
      </c>
      <c r="V320" s="46"/>
    </row>
    <row r="321" spans="1:22" s="47" customFormat="1" ht="45" x14ac:dyDescent="0.25">
      <c r="A321" s="61">
        <v>43581</v>
      </c>
      <c r="B321" s="47" t="s">
        <v>328</v>
      </c>
      <c r="C321" s="46" t="s">
        <v>603</v>
      </c>
      <c r="D321" s="46" t="s">
        <v>7595</v>
      </c>
      <c r="E321" s="46"/>
      <c r="F321" s="46" t="s">
        <v>521</v>
      </c>
      <c r="G321" s="46" t="s">
        <v>15456</v>
      </c>
      <c r="H321" s="46" t="s">
        <v>886</v>
      </c>
      <c r="I321" s="46"/>
      <c r="J321" s="46" t="s">
        <v>3398</v>
      </c>
      <c r="K321" s="218"/>
      <c r="L321" s="185"/>
      <c r="M321" s="91">
        <v>215000</v>
      </c>
      <c r="N321" s="91">
        <v>236500</v>
      </c>
      <c r="O321" s="189" t="s">
        <v>10766</v>
      </c>
      <c r="P321" s="47" t="s">
        <v>15457</v>
      </c>
      <c r="Q321" s="47" t="s">
        <v>29</v>
      </c>
      <c r="R321" s="47" t="s">
        <v>15458</v>
      </c>
      <c r="S321" s="47" t="s">
        <v>15238</v>
      </c>
      <c r="T321" s="46"/>
      <c r="U321" s="46" t="s">
        <v>12797</v>
      </c>
      <c r="V321" s="46"/>
    </row>
    <row r="322" spans="1:22" s="47" customFormat="1" ht="60" x14ac:dyDescent="0.25">
      <c r="A322" s="61">
        <v>43584</v>
      </c>
      <c r="B322" s="47" t="s">
        <v>13559</v>
      </c>
      <c r="C322" s="46" t="s">
        <v>604</v>
      </c>
      <c r="D322" s="46" t="s">
        <v>7814</v>
      </c>
      <c r="E322" s="46"/>
      <c r="F322" s="46" t="s">
        <v>15273</v>
      </c>
      <c r="G322" s="46" t="s">
        <v>9461</v>
      </c>
      <c r="H322" s="46" t="s">
        <v>886</v>
      </c>
      <c r="I322" s="46" t="s">
        <v>15274</v>
      </c>
      <c r="J322" s="46" t="s">
        <v>4825</v>
      </c>
      <c r="K322" s="218" t="s">
        <v>15275</v>
      </c>
      <c r="L322" s="185">
        <v>3</v>
      </c>
      <c r="M322" s="91">
        <v>4000000</v>
      </c>
      <c r="N322" s="91">
        <v>4400000</v>
      </c>
      <c r="O322" s="189" t="s">
        <v>560</v>
      </c>
      <c r="P322" s="47" t="s">
        <v>15276</v>
      </c>
      <c r="Q322" s="47" t="s">
        <v>1939</v>
      </c>
      <c r="R322" s="47" t="s">
        <v>15277</v>
      </c>
      <c r="T322" s="46"/>
      <c r="U322" s="46" t="s">
        <v>491</v>
      </c>
      <c r="V322" s="46"/>
    </row>
    <row r="323" spans="1:22" s="47" customFormat="1" ht="107.25" customHeight="1" x14ac:dyDescent="0.25">
      <c r="A323" s="61">
        <v>43584</v>
      </c>
      <c r="B323" s="47" t="s">
        <v>328</v>
      </c>
      <c r="C323" s="46" t="s">
        <v>603</v>
      </c>
      <c r="D323" s="46" t="s">
        <v>10338</v>
      </c>
      <c r="E323" s="46"/>
      <c r="F323" s="46" t="s">
        <v>15278</v>
      </c>
      <c r="G323" s="46" t="s">
        <v>15279</v>
      </c>
      <c r="H323" s="46" t="s">
        <v>607</v>
      </c>
      <c r="I323" s="46" t="s">
        <v>1487</v>
      </c>
      <c r="J323" s="46" t="s">
        <v>604</v>
      </c>
      <c r="K323" s="218" t="s">
        <v>15280</v>
      </c>
      <c r="L323" s="185">
        <v>2</v>
      </c>
      <c r="M323" s="91">
        <v>300000</v>
      </c>
      <c r="N323" s="91">
        <v>430000</v>
      </c>
      <c r="O323" s="189" t="s">
        <v>6745</v>
      </c>
      <c r="P323" s="47" t="s">
        <v>15281</v>
      </c>
      <c r="Q323" s="47" t="s">
        <v>1939</v>
      </c>
      <c r="R323" s="47" t="s">
        <v>15282</v>
      </c>
      <c r="S323" s="47" t="s">
        <v>15283</v>
      </c>
      <c r="T323" s="46"/>
      <c r="U323" s="46" t="s">
        <v>491</v>
      </c>
      <c r="V323" s="46"/>
    </row>
    <row r="324" spans="1:22" s="47" customFormat="1" ht="75" x14ac:dyDescent="0.25">
      <c r="A324" s="61">
        <v>43584</v>
      </c>
      <c r="B324" s="47" t="s">
        <v>13559</v>
      </c>
      <c r="C324" s="46" t="s">
        <v>604</v>
      </c>
      <c r="D324" s="46" t="s">
        <v>7814</v>
      </c>
      <c r="E324" s="46"/>
      <c r="F324" s="46" t="s">
        <v>9216</v>
      </c>
      <c r="G324" s="46" t="s">
        <v>15284</v>
      </c>
      <c r="H324" s="46" t="s">
        <v>10831</v>
      </c>
      <c r="I324" s="46" t="s">
        <v>15285</v>
      </c>
      <c r="J324" s="46" t="s">
        <v>3372</v>
      </c>
      <c r="K324" s="218" t="s">
        <v>15286</v>
      </c>
      <c r="L324" s="185">
        <v>9</v>
      </c>
      <c r="M324" s="91">
        <v>1400000</v>
      </c>
      <c r="N324" s="91">
        <v>2500000</v>
      </c>
      <c r="O324" s="189" t="s">
        <v>560</v>
      </c>
      <c r="P324" s="47" t="s">
        <v>15287</v>
      </c>
      <c r="Q324" s="47" t="s">
        <v>620</v>
      </c>
      <c r="R324" s="47" t="s">
        <v>15288</v>
      </c>
      <c r="T324" s="46"/>
      <c r="U324" s="46" t="s">
        <v>491</v>
      </c>
      <c r="V324" s="46"/>
    </row>
    <row r="325" spans="1:22" s="47" customFormat="1" ht="94.5" customHeight="1" x14ac:dyDescent="0.25">
      <c r="A325" s="61">
        <v>43584</v>
      </c>
      <c r="B325" s="47" t="s">
        <v>13559</v>
      </c>
      <c r="C325" s="46" t="s">
        <v>6575</v>
      </c>
      <c r="D325" s="46" t="s">
        <v>9183</v>
      </c>
      <c r="E325" s="46"/>
      <c r="F325" s="46" t="s">
        <v>8275</v>
      </c>
      <c r="G325" s="46" t="s">
        <v>15289</v>
      </c>
      <c r="H325" s="46" t="s">
        <v>10831</v>
      </c>
      <c r="I325" s="46" t="s">
        <v>15290</v>
      </c>
      <c r="J325" s="46" t="s">
        <v>3369</v>
      </c>
      <c r="K325" s="218" t="s">
        <v>15291</v>
      </c>
      <c r="L325" s="185">
        <v>9</v>
      </c>
      <c r="M325" s="91">
        <v>2000000</v>
      </c>
      <c r="N325" s="91">
        <v>2350000</v>
      </c>
      <c r="O325" s="189" t="s">
        <v>560</v>
      </c>
      <c r="P325" s="47" t="s">
        <v>15292</v>
      </c>
      <c r="Q325" s="47" t="s">
        <v>1939</v>
      </c>
      <c r="R325" s="47" t="s">
        <v>15293</v>
      </c>
      <c r="T325" s="46"/>
      <c r="U325" s="46" t="s">
        <v>491</v>
      </c>
      <c r="V325" s="46"/>
    </row>
    <row r="326" spans="1:22" s="47" customFormat="1" ht="45" x14ac:dyDescent="0.25">
      <c r="A326" s="61">
        <v>43585</v>
      </c>
      <c r="B326" s="47" t="s">
        <v>1788</v>
      </c>
      <c r="C326" s="46" t="s">
        <v>3369</v>
      </c>
      <c r="D326" s="46" t="s">
        <v>4118</v>
      </c>
      <c r="E326" s="46"/>
      <c r="F326" s="46" t="s">
        <v>15294</v>
      </c>
      <c r="G326" s="46" t="s">
        <v>9285</v>
      </c>
      <c r="H326" s="46" t="s">
        <v>607</v>
      </c>
      <c r="I326" s="46" t="s">
        <v>15295</v>
      </c>
      <c r="J326" s="46" t="s">
        <v>4825</v>
      </c>
      <c r="K326" s="218" t="s">
        <v>15296</v>
      </c>
      <c r="L326" s="185">
        <v>3</v>
      </c>
      <c r="M326" s="91">
        <v>280000</v>
      </c>
      <c r="N326" s="91">
        <v>424000</v>
      </c>
      <c r="O326" s="189" t="s">
        <v>2295</v>
      </c>
      <c r="P326" s="47" t="s">
        <v>15297</v>
      </c>
      <c r="Q326" s="47" t="s">
        <v>29</v>
      </c>
      <c r="R326" s="47" t="s">
        <v>15298</v>
      </c>
      <c r="T326" s="46"/>
      <c r="U326" s="46" t="s">
        <v>491</v>
      </c>
      <c r="V326" s="46"/>
    </row>
    <row r="327" spans="1:22" s="47" customFormat="1" ht="90" x14ac:dyDescent="0.25">
      <c r="A327" s="61">
        <v>43585</v>
      </c>
      <c r="B327" s="47" t="s">
        <v>328</v>
      </c>
      <c r="C327" s="46" t="s">
        <v>603</v>
      </c>
      <c r="D327" s="46" t="s">
        <v>10338</v>
      </c>
      <c r="E327" s="46"/>
      <c r="F327" s="46" t="s">
        <v>15299</v>
      </c>
      <c r="G327" s="46" t="s">
        <v>15300</v>
      </c>
      <c r="H327" s="46" t="s">
        <v>607</v>
      </c>
      <c r="I327" s="46" t="s">
        <v>15301</v>
      </c>
      <c r="J327" s="46" t="s">
        <v>603</v>
      </c>
      <c r="K327" s="218" t="s">
        <v>15302</v>
      </c>
      <c r="L327" s="185">
        <v>10</v>
      </c>
      <c r="M327" s="91">
        <v>241400</v>
      </c>
      <c r="N327" s="91">
        <v>458660</v>
      </c>
      <c r="O327" s="189" t="s">
        <v>4533</v>
      </c>
      <c r="P327" s="47" t="s">
        <v>15303</v>
      </c>
      <c r="Q327" s="47" t="s">
        <v>1939</v>
      </c>
      <c r="R327" s="47" t="s">
        <v>15304</v>
      </c>
      <c r="T327" s="46"/>
      <c r="U327" s="46" t="s">
        <v>491</v>
      </c>
      <c r="V327" s="46"/>
    </row>
    <row r="328" spans="1:22" s="47" customFormat="1" ht="90" x14ac:dyDescent="0.25">
      <c r="A328" s="61">
        <v>43586</v>
      </c>
      <c r="B328" s="47" t="s">
        <v>328</v>
      </c>
      <c r="C328" s="46" t="s">
        <v>603</v>
      </c>
      <c r="D328" s="46" t="s">
        <v>649</v>
      </c>
      <c r="E328" s="46"/>
      <c r="F328" s="46" t="s">
        <v>15305</v>
      </c>
      <c r="G328" s="46" t="s">
        <v>4118</v>
      </c>
      <c r="H328" s="46" t="s">
        <v>10831</v>
      </c>
      <c r="I328" s="46" t="s">
        <v>4042</v>
      </c>
      <c r="J328" s="46" t="s">
        <v>644</v>
      </c>
      <c r="K328" s="218" t="s">
        <v>15306</v>
      </c>
      <c r="L328" s="185">
        <v>10</v>
      </c>
      <c r="M328" s="91">
        <v>1985000</v>
      </c>
      <c r="N328" s="91">
        <v>3573000</v>
      </c>
      <c r="O328" s="189" t="s">
        <v>7124</v>
      </c>
      <c r="P328" s="47" t="s">
        <v>15308</v>
      </c>
      <c r="Q328" s="47" t="s">
        <v>29</v>
      </c>
      <c r="R328" s="47" t="s">
        <v>15307</v>
      </c>
      <c r="S328" s="47" t="s">
        <v>15312</v>
      </c>
      <c r="T328" s="46"/>
      <c r="U328" s="46" t="s">
        <v>491</v>
      </c>
      <c r="V328" s="46"/>
    </row>
    <row r="329" spans="1:22" s="47" customFormat="1" ht="132" customHeight="1" x14ac:dyDescent="0.25">
      <c r="A329" s="61">
        <v>43586</v>
      </c>
      <c r="B329" s="47" t="s">
        <v>569</v>
      </c>
      <c r="C329" s="46" t="s">
        <v>899</v>
      </c>
      <c r="D329" s="46" t="s">
        <v>611</v>
      </c>
      <c r="E329" s="46"/>
      <c r="F329" s="46" t="s">
        <v>9308</v>
      </c>
      <c r="G329" s="46" t="s">
        <v>7830</v>
      </c>
      <c r="H329" s="46" t="s">
        <v>607</v>
      </c>
      <c r="I329" s="46" t="s">
        <v>4973</v>
      </c>
      <c r="J329" s="46" t="s">
        <v>899</v>
      </c>
      <c r="K329" s="218" t="s">
        <v>15380</v>
      </c>
      <c r="L329" s="185">
        <v>5</v>
      </c>
      <c r="M329" s="91"/>
      <c r="N329" s="91"/>
      <c r="O329" s="189" t="s">
        <v>4533</v>
      </c>
      <c r="P329" s="47" t="s">
        <v>15381</v>
      </c>
      <c r="Q329" s="47" t="s">
        <v>1939</v>
      </c>
      <c r="R329" s="47" t="s">
        <v>15382</v>
      </c>
      <c r="T329" s="46"/>
      <c r="U329" s="46" t="s">
        <v>491</v>
      </c>
      <c r="V329" s="46"/>
    </row>
    <row r="330" spans="1:22" s="47" customFormat="1" ht="90" x14ac:dyDescent="0.25">
      <c r="A330" s="61">
        <v>43586</v>
      </c>
      <c r="B330" s="47" t="s">
        <v>328</v>
      </c>
      <c r="C330" s="46" t="s">
        <v>603</v>
      </c>
      <c r="D330" s="46" t="s">
        <v>10338</v>
      </c>
      <c r="E330" s="46"/>
      <c r="F330" s="46" t="s">
        <v>10006</v>
      </c>
      <c r="G330" s="46" t="s">
        <v>15309</v>
      </c>
      <c r="H330" s="46" t="s">
        <v>607</v>
      </c>
      <c r="I330" s="46" t="s">
        <v>15310</v>
      </c>
      <c r="J330" s="46" t="s">
        <v>14074</v>
      </c>
      <c r="K330" s="218" t="s">
        <v>15311</v>
      </c>
      <c r="L330" s="185">
        <v>10</v>
      </c>
      <c r="M330" s="91">
        <v>2800000</v>
      </c>
      <c r="N330" s="91">
        <v>3120747</v>
      </c>
      <c r="O330" s="189" t="s">
        <v>7124</v>
      </c>
      <c r="P330" s="47" t="s">
        <v>15313</v>
      </c>
      <c r="Q330" s="47" t="s">
        <v>29</v>
      </c>
      <c r="R330" s="47" t="s">
        <v>15307</v>
      </c>
      <c r="S330" s="47" t="s">
        <v>15344</v>
      </c>
      <c r="T330" s="46"/>
      <c r="U330" s="46" t="s">
        <v>491</v>
      </c>
      <c r="V330" s="46"/>
    </row>
    <row r="331" spans="1:22" s="47" customFormat="1" ht="60" x14ac:dyDescent="0.25">
      <c r="A331" s="61">
        <v>43586</v>
      </c>
      <c r="B331" s="47" t="s">
        <v>328</v>
      </c>
      <c r="C331" s="46" t="s">
        <v>603</v>
      </c>
      <c r="D331" s="46" t="s">
        <v>10338</v>
      </c>
      <c r="E331" s="46"/>
      <c r="F331" s="46" t="s">
        <v>15314</v>
      </c>
      <c r="G331" s="46" t="s">
        <v>12341</v>
      </c>
      <c r="H331" s="46" t="s">
        <v>607</v>
      </c>
      <c r="I331" s="46" t="s">
        <v>9318</v>
      </c>
      <c r="J331" s="46" t="s">
        <v>3751</v>
      </c>
      <c r="K331" s="218" t="s">
        <v>15315</v>
      </c>
      <c r="L331" s="185">
        <v>2</v>
      </c>
      <c r="M331" s="91">
        <v>511100</v>
      </c>
      <c r="N331" s="91">
        <v>919800</v>
      </c>
      <c r="O331" s="189" t="s">
        <v>10766</v>
      </c>
      <c r="P331" s="47" t="s">
        <v>15316</v>
      </c>
      <c r="Q331" s="47" t="s">
        <v>592</v>
      </c>
      <c r="R331" s="47" t="s">
        <v>15901</v>
      </c>
      <c r="S331" s="47" t="s">
        <v>15317</v>
      </c>
      <c r="T331" s="46"/>
      <c r="U331" s="46" t="s">
        <v>491</v>
      </c>
      <c r="V331" s="46"/>
    </row>
    <row r="332" spans="1:22" s="47" customFormat="1" ht="45" x14ac:dyDescent="0.25">
      <c r="A332" s="61">
        <v>43586</v>
      </c>
      <c r="B332" s="47" t="s">
        <v>5473</v>
      </c>
      <c r="C332" s="46" t="s">
        <v>608</v>
      </c>
      <c r="D332" s="46" t="s">
        <v>1495</v>
      </c>
      <c r="E332" s="46"/>
      <c r="F332" s="46" t="s">
        <v>15318</v>
      </c>
      <c r="G332" s="46"/>
      <c r="H332" s="46" t="s">
        <v>607</v>
      </c>
      <c r="I332" s="46" t="s">
        <v>15319</v>
      </c>
      <c r="J332" s="46" t="s">
        <v>602</v>
      </c>
      <c r="K332" s="218" t="s">
        <v>15320</v>
      </c>
      <c r="L332" s="185">
        <v>9</v>
      </c>
      <c r="M332" s="91">
        <v>1000000</v>
      </c>
      <c r="N332" s="91">
        <v>1700000</v>
      </c>
      <c r="O332" s="189" t="s">
        <v>560</v>
      </c>
      <c r="P332" s="47" t="s">
        <v>15321</v>
      </c>
      <c r="Q332" s="47" t="s">
        <v>620</v>
      </c>
      <c r="R332" s="47" t="s">
        <v>15322</v>
      </c>
      <c r="T332" s="46"/>
      <c r="U332" s="46" t="s">
        <v>491</v>
      </c>
      <c r="V332" s="46"/>
    </row>
    <row r="333" spans="1:22" s="47" customFormat="1" ht="133.5" customHeight="1" x14ac:dyDescent="0.25">
      <c r="A333" s="61">
        <v>43586</v>
      </c>
      <c r="B333" s="47" t="s">
        <v>643</v>
      </c>
      <c r="C333" s="46" t="s">
        <v>644</v>
      </c>
      <c r="D333" s="46" t="s">
        <v>645</v>
      </c>
      <c r="E333" s="46"/>
      <c r="F333" s="46" t="s">
        <v>15323</v>
      </c>
      <c r="G333" s="46"/>
      <c r="H333" s="46" t="s">
        <v>607</v>
      </c>
      <c r="I333" s="46" t="s">
        <v>8636</v>
      </c>
      <c r="J333" s="46" t="s">
        <v>644</v>
      </c>
      <c r="K333" s="218" t="s">
        <v>13585</v>
      </c>
      <c r="L333" s="185">
        <v>5</v>
      </c>
      <c r="M333" s="91">
        <v>2100000</v>
      </c>
      <c r="N333" s="91">
        <v>3700000</v>
      </c>
      <c r="O333" s="189" t="s">
        <v>560</v>
      </c>
      <c r="P333" s="47" t="s">
        <v>15324</v>
      </c>
      <c r="Q333" s="47" t="s">
        <v>1939</v>
      </c>
      <c r="R333" s="47" t="s">
        <v>15345</v>
      </c>
      <c r="S333" s="47" t="s">
        <v>15325</v>
      </c>
      <c r="T333" s="46"/>
      <c r="U333" s="46" t="s">
        <v>491</v>
      </c>
      <c r="V333" s="46"/>
    </row>
    <row r="334" spans="1:22" s="47" customFormat="1" ht="60" x14ac:dyDescent="0.25">
      <c r="A334" s="61">
        <v>40300</v>
      </c>
      <c r="B334" s="47" t="s">
        <v>13559</v>
      </c>
      <c r="C334" s="46" t="s">
        <v>6575</v>
      </c>
      <c r="D334" s="46" t="s">
        <v>9183</v>
      </c>
      <c r="E334" s="46"/>
      <c r="F334" s="46" t="s">
        <v>15346</v>
      </c>
      <c r="G334" s="46" t="s">
        <v>7714</v>
      </c>
      <c r="H334" s="46" t="s">
        <v>886</v>
      </c>
      <c r="I334" s="46" t="s">
        <v>15347</v>
      </c>
      <c r="J334" s="46" t="s">
        <v>6575</v>
      </c>
      <c r="K334" s="218" t="s">
        <v>15348</v>
      </c>
      <c r="L334" s="185" t="s">
        <v>14395</v>
      </c>
      <c r="M334" s="91">
        <v>4000000</v>
      </c>
      <c r="N334" s="91">
        <v>4100000</v>
      </c>
      <c r="O334" s="189" t="s">
        <v>560</v>
      </c>
      <c r="P334" s="47" t="s">
        <v>15349</v>
      </c>
      <c r="Q334" s="47" t="s">
        <v>620</v>
      </c>
      <c r="R334" s="47" t="s">
        <v>15350</v>
      </c>
      <c r="S334" s="47" t="s">
        <v>15351</v>
      </c>
      <c r="T334" s="46"/>
      <c r="U334" s="46" t="s">
        <v>491</v>
      </c>
      <c r="V334" s="46"/>
    </row>
    <row r="335" spans="1:22" s="47" customFormat="1" ht="30" x14ac:dyDescent="0.25">
      <c r="A335" s="61">
        <v>43587</v>
      </c>
      <c r="B335" s="47" t="s">
        <v>328</v>
      </c>
      <c r="C335" s="46" t="s">
        <v>603</v>
      </c>
      <c r="D335" s="46" t="s">
        <v>649</v>
      </c>
      <c r="E335" s="46"/>
      <c r="F335" s="46" t="s">
        <v>8897</v>
      </c>
      <c r="G335" s="46" t="s">
        <v>15352</v>
      </c>
      <c r="H335" s="46" t="s">
        <v>905</v>
      </c>
      <c r="I335" s="46" t="s">
        <v>15353</v>
      </c>
      <c r="J335" s="46" t="s">
        <v>899</v>
      </c>
      <c r="K335" s="218" t="s">
        <v>15354</v>
      </c>
      <c r="L335" s="185">
        <v>3</v>
      </c>
      <c r="M335" s="91">
        <v>315000</v>
      </c>
      <c r="N335" s="91">
        <v>388000</v>
      </c>
      <c r="O335" s="189" t="s">
        <v>10764</v>
      </c>
      <c r="P335" s="47" t="s">
        <v>15357</v>
      </c>
      <c r="Q335" s="47" t="s">
        <v>29</v>
      </c>
      <c r="R335" s="47" t="s">
        <v>15356</v>
      </c>
      <c r="S335" s="47" t="s">
        <v>15355</v>
      </c>
      <c r="T335" s="46"/>
      <c r="U335" s="46" t="s">
        <v>491</v>
      </c>
      <c r="V335" s="46"/>
    </row>
    <row r="336" spans="1:22" s="47" customFormat="1" ht="75" x14ac:dyDescent="0.25">
      <c r="A336" s="61">
        <v>43587</v>
      </c>
      <c r="B336" s="47" t="s">
        <v>13559</v>
      </c>
      <c r="C336" s="46" t="s">
        <v>3733</v>
      </c>
      <c r="D336" s="46" t="s">
        <v>15202</v>
      </c>
      <c r="E336" s="46"/>
      <c r="F336" s="46" t="s">
        <v>15358</v>
      </c>
      <c r="G336" s="46" t="s">
        <v>7786</v>
      </c>
      <c r="H336" s="46" t="s">
        <v>607</v>
      </c>
      <c r="I336" s="46" t="s">
        <v>15359</v>
      </c>
      <c r="J336" s="46" t="s">
        <v>4684</v>
      </c>
      <c r="K336" s="218" t="s">
        <v>15360</v>
      </c>
      <c r="L336" s="185">
        <v>5</v>
      </c>
      <c r="M336" s="91">
        <v>209682</v>
      </c>
      <c r="N336" s="91">
        <v>308682</v>
      </c>
      <c r="O336" s="189" t="s">
        <v>10766</v>
      </c>
      <c r="P336" s="47" t="s">
        <v>15361</v>
      </c>
      <c r="Q336" s="47" t="s">
        <v>620</v>
      </c>
      <c r="R336" s="47" t="s">
        <v>15362</v>
      </c>
      <c r="S336" s="47" t="s">
        <v>15363</v>
      </c>
      <c r="T336" s="46"/>
      <c r="U336" s="46" t="s">
        <v>491</v>
      </c>
      <c r="V336" s="46"/>
    </row>
    <row r="337" spans="1:22" s="47" customFormat="1" ht="96" customHeight="1" x14ac:dyDescent="0.25">
      <c r="A337" s="61">
        <v>43587</v>
      </c>
      <c r="B337" s="47" t="s">
        <v>1788</v>
      </c>
      <c r="C337" s="46" t="s">
        <v>3369</v>
      </c>
      <c r="D337" s="46" t="s">
        <v>1789</v>
      </c>
      <c r="E337" s="46"/>
      <c r="F337" s="46" t="s">
        <v>15364</v>
      </c>
      <c r="G337" s="46" t="s">
        <v>15365</v>
      </c>
      <c r="H337" s="46" t="s">
        <v>905</v>
      </c>
      <c r="I337" s="46" t="s">
        <v>1790</v>
      </c>
      <c r="J337" s="46" t="s">
        <v>3369</v>
      </c>
      <c r="K337" s="218" t="s">
        <v>15366</v>
      </c>
      <c r="L337" s="185"/>
      <c r="M337" s="91">
        <v>550000</v>
      </c>
      <c r="N337" s="91">
        <v>550000</v>
      </c>
      <c r="O337" s="189" t="s">
        <v>10766</v>
      </c>
      <c r="P337" s="47" t="s">
        <v>15367</v>
      </c>
      <c r="Q337" s="47" t="s">
        <v>29</v>
      </c>
      <c r="R337" s="47" t="s">
        <v>15368</v>
      </c>
      <c r="T337" s="46"/>
      <c r="U337" s="46" t="s">
        <v>491</v>
      </c>
      <c r="V337" s="46"/>
    </row>
    <row r="338" spans="1:22" s="47" customFormat="1" ht="105" x14ac:dyDescent="0.25">
      <c r="A338" s="61">
        <v>43588</v>
      </c>
      <c r="B338" s="47" t="s">
        <v>643</v>
      </c>
      <c r="C338" s="46" t="s">
        <v>644</v>
      </c>
      <c r="D338" s="46" t="s">
        <v>645</v>
      </c>
      <c r="E338" s="46"/>
      <c r="F338" s="46" t="s">
        <v>15369</v>
      </c>
      <c r="G338" s="46" t="s">
        <v>15370</v>
      </c>
      <c r="H338" s="46" t="s">
        <v>607</v>
      </c>
      <c r="I338" s="46" t="s">
        <v>9371</v>
      </c>
      <c r="J338" s="46" t="s">
        <v>899</v>
      </c>
      <c r="K338" s="218" t="s">
        <v>15371</v>
      </c>
      <c r="L338" s="185">
        <v>3</v>
      </c>
      <c r="M338" s="91">
        <v>1200000</v>
      </c>
      <c r="N338" s="91">
        <v>2160000</v>
      </c>
      <c r="O338" s="189" t="s">
        <v>10766</v>
      </c>
      <c r="P338" s="47" t="s">
        <v>15372</v>
      </c>
      <c r="Q338" s="47" t="s">
        <v>592</v>
      </c>
      <c r="R338" s="47" t="s">
        <v>15373</v>
      </c>
      <c r="T338" s="46"/>
      <c r="U338" s="46" t="s">
        <v>491</v>
      </c>
      <c r="V338" s="46"/>
    </row>
    <row r="339" spans="1:22" s="47" customFormat="1" ht="103.5" customHeight="1" x14ac:dyDescent="0.25">
      <c r="A339" s="61">
        <v>43588</v>
      </c>
      <c r="B339" s="47" t="s">
        <v>328</v>
      </c>
      <c r="C339" s="46" t="s">
        <v>603</v>
      </c>
      <c r="D339" s="46" t="s">
        <v>649</v>
      </c>
      <c r="E339" s="46"/>
      <c r="F339" s="46" t="s">
        <v>15374</v>
      </c>
      <c r="G339" s="46" t="s">
        <v>7855</v>
      </c>
      <c r="H339" s="46" t="s">
        <v>607</v>
      </c>
      <c r="I339" s="46" t="s">
        <v>15375</v>
      </c>
      <c r="J339" s="46" t="s">
        <v>3751</v>
      </c>
      <c r="K339" s="218" t="s">
        <v>15376</v>
      </c>
      <c r="L339" s="185">
        <v>6</v>
      </c>
      <c r="M339" s="91">
        <v>295000</v>
      </c>
      <c r="N339" s="91">
        <v>400000</v>
      </c>
      <c r="O339" s="189" t="s">
        <v>4533</v>
      </c>
      <c r="P339" s="47" t="s">
        <v>15378</v>
      </c>
      <c r="Q339" s="47" t="s">
        <v>1939</v>
      </c>
      <c r="R339" s="47" t="s">
        <v>15379</v>
      </c>
      <c r="S339" s="47" t="s">
        <v>15377</v>
      </c>
      <c r="T339" s="46"/>
      <c r="U339" s="46" t="s">
        <v>491</v>
      </c>
      <c r="V339" s="46"/>
    </row>
    <row r="340" spans="1:22" s="47" customFormat="1" ht="120" x14ac:dyDescent="0.25">
      <c r="A340" s="61">
        <v>43588</v>
      </c>
      <c r="B340" s="47" t="s">
        <v>643</v>
      </c>
      <c r="C340" s="46" t="s">
        <v>644</v>
      </c>
      <c r="D340" s="46" t="s">
        <v>645</v>
      </c>
      <c r="E340" s="46"/>
      <c r="F340" s="46" t="s">
        <v>15385</v>
      </c>
      <c r="G340" s="46" t="s">
        <v>15386</v>
      </c>
      <c r="H340" s="46" t="s">
        <v>10832</v>
      </c>
      <c r="I340" s="46" t="s">
        <v>15383</v>
      </c>
      <c r="J340" s="46" t="s">
        <v>644</v>
      </c>
      <c r="K340" s="218" t="s">
        <v>13169</v>
      </c>
      <c r="L340" s="185">
        <v>2</v>
      </c>
      <c r="M340" s="91">
        <v>3101330</v>
      </c>
      <c r="N340" s="91">
        <v>4756903</v>
      </c>
      <c r="O340" s="189" t="s">
        <v>560</v>
      </c>
      <c r="P340" s="47" t="s">
        <v>15384</v>
      </c>
      <c r="Q340" s="47" t="s">
        <v>592</v>
      </c>
      <c r="R340" s="47" t="s">
        <v>15387</v>
      </c>
      <c r="T340" s="46"/>
      <c r="U340" s="46" t="s">
        <v>491</v>
      </c>
      <c r="V340" s="46"/>
    </row>
    <row r="341" spans="1:22" s="47" customFormat="1" ht="162" customHeight="1" x14ac:dyDescent="0.25">
      <c r="A341" s="61">
        <v>43588</v>
      </c>
      <c r="B341" s="47" t="s">
        <v>5956</v>
      </c>
      <c r="C341" s="46" t="s">
        <v>3369</v>
      </c>
      <c r="D341" s="46" t="s">
        <v>8126</v>
      </c>
      <c r="E341" s="46"/>
      <c r="F341" s="46" t="s">
        <v>15388</v>
      </c>
      <c r="G341" s="46"/>
      <c r="H341" s="46" t="s">
        <v>1050</v>
      </c>
      <c r="I341" s="46" t="s">
        <v>14885</v>
      </c>
      <c r="J341" s="46" t="s">
        <v>3369</v>
      </c>
      <c r="K341" s="218" t="s">
        <v>14886</v>
      </c>
      <c r="L341" s="185">
        <v>3</v>
      </c>
      <c r="M341" s="91">
        <v>2500000</v>
      </c>
      <c r="N341" s="91">
        <v>2600000</v>
      </c>
      <c r="O341" s="189" t="s">
        <v>2295</v>
      </c>
      <c r="P341" s="47" t="s">
        <v>15390</v>
      </c>
      <c r="Q341" s="47" t="s">
        <v>620</v>
      </c>
      <c r="R341" s="47" t="s">
        <v>15389</v>
      </c>
      <c r="S341" s="47" t="s">
        <v>15391</v>
      </c>
      <c r="T341" s="46"/>
      <c r="U341" s="46" t="s">
        <v>491</v>
      </c>
      <c r="V341" s="46"/>
    </row>
    <row r="342" spans="1:22" s="47" customFormat="1" ht="60" x14ac:dyDescent="0.25">
      <c r="A342" s="61">
        <v>43591</v>
      </c>
      <c r="B342" s="47" t="s">
        <v>6076</v>
      </c>
      <c r="C342" s="46" t="s">
        <v>3370</v>
      </c>
      <c r="D342" s="46" t="s">
        <v>10524</v>
      </c>
      <c r="E342" s="46"/>
      <c r="F342" s="46" t="s">
        <v>15392</v>
      </c>
      <c r="G342" s="46" t="s">
        <v>15393</v>
      </c>
      <c r="H342" s="46" t="s">
        <v>607</v>
      </c>
      <c r="I342" s="46" t="s">
        <v>15394</v>
      </c>
      <c r="J342" s="46" t="s">
        <v>3370</v>
      </c>
      <c r="K342" s="218" t="s">
        <v>15395</v>
      </c>
      <c r="L342" s="185">
        <v>2</v>
      </c>
      <c r="M342" s="91">
        <v>189000</v>
      </c>
      <c r="N342" s="91">
        <v>330000</v>
      </c>
      <c r="O342" s="189" t="s">
        <v>6745</v>
      </c>
      <c r="P342" s="47" t="s">
        <v>15396</v>
      </c>
      <c r="Q342" s="47" t="s">
        <v>1939</v>
      </c>
      <c r="R342" s="47" t="s">
        <v>15397</v>
      </c>
      <c r="T342" s="46"/>
      <c r="U342" s="46" t="s">
        <v>491</v>
      </c>
      <c r="V342" s="46"/>
    </row>
    <row r="343" spans="1:22" s="47" customFormat="1" ht="60" x14ac:dyDescent="0.25">
      <c r="A343" s="61">
        <v>43591</v>
      </c>
      <c r="B343" s="47" t="s">
        <v>328</v>
      </c>
      <c r="C343" s="46" t="s">
        <v>603</v>
      </c>
      <c r="D343" s="46" t="s">
        <v>649</v>
      </c>
      <c r="E343" s="46"/>
      <c r="F343" s="46" t="s">
        <v>15398</v>
      </c>
      <c r="G343" s="46" t="s">
        <v>256</v>
      </c>
      <c r="H343" s="46" t="s">
        <v>607</v>
      </c>
      <c r="I343" s="46" t="s">
        <v>15399</v>
      </c>
      <c r="J343" s="46" t="s">
        <v>3751</v>
      </c>
      <c r="K343" s="218" t="s">
        <v>15400</v>
      </c>
      <c r="L343" s="185">
        <v>6</v>
      </c>
      <c r="M343" s="91">
        <v>205800</v>
      </c>
      <c r="N343" s="91">
        <v>370000</v>
      </c>
      <c r="O343" s="189" t="s">
        <v>4533</v>
      </c>
      <c r="P343" s="47" t="s">
        <v>15401</v>
      </c>
      <c r="Q343" s="47" t="s">
        <v>1939</v>
      </c>
      <c r="R343" s="47" t="s">
        <v>15402</v>
      </c>
      <c r="T343" s="46"/>
      <c r="U343" s="46" t="s">
        <v>491</v>
      </c>
      <c r="V343" s="46"/>
    </row>
    <row r="344" spans="1:22" s="47" customFormat="1" ht="60" x14ac:dyDescent="0.25">
      <c r="A344" s="61">
        <v>43591</v>
      </c>
      <c r="B344" s="47" t="s">
        <v>13559</v>
      </c>
      <c r="C344" s="46" t="s">
        <v>4031</v>
      </c>
      <c r="D344" s="46" t="s">
        <v>13560</v>
      </c>
      <c r="E344" s="46"/>
      <c r="F344" s="46" t="s">
        <v>15403</v>
      </c>
      <c r="G344" s="46" t="s">
        <v>9000</v>
      </c>
      <c r="H344" s="46" t="s">
        <v>607</v>
      </c>
      <c r="I344" s="46" t="s">
        <v>8721</v>
      </c>
      <c r="J344" s="46" t="s">
        <v>4031</v>
      </c>
      <c r="K344" s="218" t="s">
        <v>15404</v>
      </c>
      <c r="L344" s="185">
        <v>5</v>
      </c>
      <c r="M344" s="91">
        <v>810000</v>
      </c>
      <c r="N344" s="91">
        <v>1500000</v>
      </c>
      <c r="O344" s="189" t="s">
        <v>7564</v>
      </c>
      <c r="P344" s="47" t="s">
        <v>15405</v>
      </c>
      <c r="Q344" s="47" t="s">
        <v>620</v>
      </c>
      <c r="R344" s="47" t="s">
        <v>15411</v>
      </c>
      <c r="S344" s="47" t="s">
        <v>833</v>
      </c>
      <c r="T344" s="46"/>
      <c r="U344" s="46" t="s">
        <v>491</v>
      </c>
      <c r="V344" s="46"/>
    </row>
    <row r="345" spans="1:22" s="47" customFormat="1" ht="105.75" customHeight="1" x14ac:dyDescent="0.25">
      <c r="A345" s="61">
        <v>43591</v>
      </c>
      <c r="B345" s="47" t="s">
        <v>13559</v>
      </c>
      <c r="C345" s="46" t="s">
        <v>4031</v>
      </c>
      <c r="D345" s="46" t="s">
        <v>13560</v>
      </c>
      <c r="E345" s="46"/>
      <c r="F345" s="46" t="s">
        <v>15406</v>
      </c>
      <c r="G345" s="46" t="s">
        <v>8263</v>
      </c>
      <c r="H345" s="46" t="s">
        <v>607</v>
      </c>
      <c r="I345" s="46" t="s">
        <v>15407</v>
      </c>
      <c r="J345" s="46" t="s">
        <v>4031</v>
      </c>
      <c r="K345" s="218" t="s">
        <v>15408</v>
      </c>
      <c r="L345" s="185">
        <v>4</v>
      </c>
      <c r="M345" s="91">
        <v>1200000</v>
      </c>
      <c r="N345" s="91">
        <v>2040000</v>
      </c>
      <c r="O345" s="189" t="s">
        <v>6745</v>
      </c>
      <c r="P345" s="47" t="s">
        <v>15409</v>
      </c>
      <c r="Q345" s="47" t="s">
        <v>1939</v>
      </c>
      <c r="R345" s="47" t="s">
        <v>15410</v>
      </c>
      <c r="T345" s="46"/>
      <c r="U345" s="46" t="s">
        <v>491</v>
      </c>
      <c r="V345" s="46"/>
    </row>
    <row r="346" spans="1:22" s="47" customFormat="1" ht="63.75" customHeight="1" x14ac:dyDescent="0.25">
      <c r="A346" s="61">
        <v>43591</v>
      </c>
      <c r="B346" s="47" t="s">
        <v>13559</v>
      </c>
      <c r="C346" s="46" t="s">
        <v>3523</v>
      </c>
      <c r="D346" s="46" t="s">
        <v>14673</v>
      </c>
      <c r="E346" s="46"/>
      <c r="F346" s="46" t="s">
        <v>12661</v>
      </c>
      <c r="G346" s="46" t="s">
        <v>15412</v>
      </c>
      <c r="H346" s="46" t="s">
        <v>10831</v>
      </c>
      <c r="I346" s="46" t="s">
        <v>15413</v>
      </c>
      <c r="J346" s="46" t="s">
        <v>3523</v>
      </c>
      <c r="K346" s="218" t="s">
        <v>15414</v>
      </c>
      <c r="L346" s="185">
        <v>10</v>
      </c>
      <c r="M346" s="91">
        <v>250000</v>
      </c>
      <c r="N346" s="91">
        <v>425000</v>
      </c>
      <c r="O346" s="189" t="s">
        <v>10765</v>
      </c>
      <c r="P346" s="47" t="s">
        <v>15415</v>
      </c>
      <c r="Q346" s="47" t="s">
        <v>1939</v>
      </c>
      <c r="R346" s="47" t="s">
        <v>15416</v>
      </c>
      <c r="T346" s="46"/>
      <c r="U346" s="46" t="s">
        <v>491</v>
      </c>
      <c r="V346" s="46"/>
    </row>
    <row r="347" spans="1:22" ht="108.75" customHeight="1" x14ac:dyDescent="0.25">
      <c r="A347" s="61">
        <v>43592</v>
      </c>
      <c r="B347" s="46" t="s">
        <v>328</v>
      </c>
      <c r="C347" s="46" t="s">
        <v>603</v>
      </c>
      <c r="D347" s="46" t="s">
        <v>10338</v>
      </c>
      <c r="E347" s="46" t="s">
        <v>588</v>
      </c>
      <c r="F347" s="46" t="s">
        <v>11457</v>
      </c>
      <c r="G347" s="46" t="s">
        <v>11458</v>
      </c>
      <c r="H347" s="46" t="s">
        <v>607</v>
      </c>
      <c r="I347" s="46" t="s">
        <v>7662</v>
      </c>
      <c r="J347" s="46" t="s">
        <v>3533</v>
      </c>
      <c r="K347" s="218" t="s">
        <v>15418</v>
      </c>
      <c r="L347" s="185">
        <v>1</v>
      </c>
      <c r="M347" s="91">
        <v>217000</v>
      </c>
      <c r="N347" s="91">
        <v>289000</v>
      </c>
      <c r="O347" s="189" t="s">
        <v>4533</v>
      </c>
      <c r="P347" s="47" t="s">
        <v>11460</v>
      </c>
      <c r="Q347" s="47" t="s">
        <v>620</v>
      </c>
      <c r="R347" s="47" t="s">
        <v>15419</v>
      </c>
      <c r="U347" s="46" t="s">
        <v>491</v>
      </c>
    </row>
    <row r="348" spans="1:22" s="47" customFormat="1" ht="129" customHeight="1" x14ac:dyDescent="0.25">
      <c r="A348" s="61">
        <v>43592</v>
      </c>
      <c r="B348" s="47" t="s">
        <v>328</v>
      </c>
      <c r="C348" s="46" t="s">
        <v>603</v>
      </c>
      <c r="D348" s="46" t="s">
        <v>10338</v>
      </c>
      <c r="E348" s="46"/>
      <c r="F348" s="46" t="s">
        <v>14010</v>
      </c>
      <c r="G348" s="46" t="s">
        <v>8990</v>
      </c>
      <c r="H348" s="46" t="s">
        <v>607</v>
      </c>
      <c r="I348" s="46" t="s">
        <v>15420</v>
      </c>
      <c r="J348" s="46" t="s">
        <v>644</v>
      </c>
      <c r="K348" s="218" t="s">
        <v>15421</v>
      </c>
      <c r="L348" s="185">
        <v>5</v>
      </c>
      <c r="M348" s="91">
        <v>453000</v>
      </c>
      <c r="N348" s="91">
        <v>848300</v>
      </c>
      <c r="O348" s="189" t="s">
        <v>10766</v>
      </c>
      <c r="P348" s="47" t="s">
        <v>15544</v>
      </c>
      <c r="Q348" s="47" t="s">
        <v>1939</v>
      </c>
      <c r="R348" s="47" t="s">
        <v>15500</v>
      </c>
      <c r="S348" s="47" t="s">
        <v>15422</v>
      </c>
      <c r="T348" s="46"/>
      <c r="U348" s="46" t="s">
        <v>491</v>
      </c>
      <c r="V348" s="46"/>
    </row>
    <row r="349" spans="1:22" s="47" customFormat="1" ht="45" x14ac:dyDescent="0.25">
      <c r="A349" s="61">
        <v>43592</v>
      </c>
      <c r="B349" s="47" t="s">
        <v>5956</v>
      </c>
      <c r="C349" s="46" t="s">
        <v>3369</v>
      </c>
      <c r="D349" s="46" t="s">
        <v>8126</v>
      </c>
      <c r="E349" s="46"/>
      <c r="F349" s="46" t="s">
        <v>8941</v>
      </c>
      <c r="G349" s="46" t="s">
        <v>15423</v>
      </c>
      <c r="H349" s="46" t="s">
        <v>886</v>
      </c>
      <c r="I349" s="46" t="s">
        <v>15424</v>
      </c>
      <c r="J349" s="46" t="s">
        <v>959</v>
      </c>
      <c r="K349" s="218" t="s">
        <v>15425</v>
      </c>
      <c r="L349" s="185">
        <v>5</v>
      </c>
      <c r="M349" s="91">
        <v>345000</v>
      </c>
      <c r="N349" s="91">
        <v>390000</v>
      </c>
      <c r="O349" s="189" t="s">
        <v>2295</v>
      </c>
      <c r="P349" s="47" t="s">
        <v>15426</v>
      </c>
      <c r="Q349" s="47" t="s">
        <v>592</v>
      </c>
      <c r="R349" s="47" t="s">
        <v>15427</v>
      </c>
      <c r="T349" s="46"/>
      <c r="U349" s="46" t="s">
        <v>491</v>
      </c>
      <c r="V349" s="46"/>
    </row>
    <row r="350" spans="1:22" s="47" customFormat="1" ht="60" x14ac:dyDescent="0.25">
      <c r="A350" s="61">
        <v>43592</v>
      </c>
      <c r="B350" s="47" t="s">
        <v>5473</v>
      </c>
      <c r="C350" s="46" t="s">
        <v>608</v>
      </c>
      <c r="D350" s="46" t="s">
        <v>2340</v>
      </c>
      <c r="E350" s="46"/>
      <c r="F350" s="46" t="s">
        <v>15428</v>
      </c>
      <c r="G350" s="46" t="s">
        <v>7855</v>
      </c>
      <c r="H350" s="46" t="s">
        <v>10831</v>
      </c>
      <c r="I350" s="46" t="s">
        <v>15429</v>
      </c>
      <c r="J350" s="46" t="s">
        <v>602</v>
      </c>
      <c r="K350" s="218" t="s">
        <v>15430</v>
      </c>
      <c r="L350" s="185">
        <v>4</v>
      </c>
      <c r="M350" s="91">
        <v>1260000</v>
      </c>
      <c r="N350" s="91">
        <v>1730000</v>
      </c>
      <c r="O350" s="189" t="s">
        <v>10766</v>
      </c>
      <c r="P350" s="47" t="s">
        <v>15431</v>
      </c>
      <c r="Q350" s="47" t="s">
        <v>592</v>
      </c>
      <c r="R350" s="47" t="s">
        <v>15432</v>
      </c>
      <c r="T350" s="46"/>
      <c r="U350" s="46" t="s">
        <v>491</v>
      </c>
      <c r="V350" s="46"/>
    </row>
    <row r="351" spans="1:22" s="47" customFormat="1" ht="60" x14ac:dyDescent="0.25">
      <c r="A351" s="61">
        <v>43592</v>
      </c>
      <c r="B351" s="47" t="s">
        <v>328</v>
      </c>
      <c r="C351" s="46" t="s">
        <v>603</v>
      </c>
      <c r="D351" s="46" t="s">
        <v>10338</v>
      </c>
      <c r="E351" s="46"/>
      <c r="F351" s="46" t="s">
        <v>10367</v>
      </c>
      <c r="G351" s="46" t="s">
        <v>8263</v>
      </c>
      <c r="H351" s="46" t="s">
        <v>886</v>
      </c>
      <c r="I351" s="46" t="s">
        <v>15433</v>
      </c>
      <c r="J351" s="46" t="s">
        <v>644</v>
      </c>
      <c r="K351" s="218" t="s">
        <v>15434</v>
      </c>
      <c r="L351" s="185">
        <v>10</v>
      </c>
      <c r="M351" s="91">
        <v>410000</v>
      </c>
      <c r="N351" s="91">
        <v>410000</v>
      </c>
      <c r="O351" s="189" t="s">
        <v>2295</v>
      </c>
      <c r="P351" s="47" t="s">
        <v>15435</v>
      </c>
      <c r="Q351" s="47" t="s">
        <v>29</v>
      </c>
      <c r="R351" s="47" t="s">
        <v>15437</v>
      </c>
      <c r="S351" s="47" t="s">
        <v>15436</v>
      </c>
      <c r="T351" s="46"/>
      <c r="U351" s="46" t="s">
        <v>491</v>
      </c>
      <c r="V351" s="46"/>
    </row>
    <row r="352" spans="1:22" s="47" customFormat="1" ht="30" x14ac:dyDescent="0.25">
      <c r="A352" s="61">
        <v>43592</v>
      </c>
      <c r="B352" s="47" t="s">
        <v>328</v>
      </c>
      <c r="C352" s="46" t="s">
        <v>603</v>
      </c>
      <c r="D352" s="46" t="s">
        <v>10338</v>
      </c>
      <c r="E352" s="46"/>
      <c r="F352" s="46" t="s">
        <v>15438</v>
      </c>
      <c r="G352" s="46"/>
      <c r="H352" s="46" t="s">
        <v>2510</v>
      </c>
      <c r="I352" s="46" t="s">
        <v>1363</v>
      </c>
      <c r="J352" s="46" t="s">
        <v>608</v>
      </c>
      <c r="K352" s="218" t="s">
        <v>15439</v>
      </c>
      <c r="L352" s="185">
        <v>2</v>
      </c>
      <c r="M352" s="91">
        <v>1000000</v>
      </c>
      <c r="N352" s="91">
        <v>1700000</v>
      </c>
      <c r="O352" s="189" t="s">
        <v>7564</v>
      </c>
      <c r="P352" s="47" t="s">
        <v>15440</v>
      </c>
      <c r="Q352" s="47" t="s">
        <v>1939</v>
      </c>
      <c r="R352" s="47" t="s">
        <v>15441</v>
      </c>
      <c r="S352" s="47" t="s">
        <v>15442</v>
      </c>
      <c r="T352" s="46"/>
      <c r="U352" s="46" t="s">
        <v>491</v>
      </c>
      <c r="V352" s="46"/>
    </row>
    <row r="353" spans="1:35" s="47" customFormat="1" ht="100.5" customHeight="1" x14ac:dyDescent="0.25">
      <c r="A353" s="61">
        <v>43592</v>
      </c>
      <c r="B353" s="47" t="s">
        <v>5956</v>
      </c>
      <c r="C353" s="46" t="s">
        <v>3369</v>
      </c>
      <c r="D353" s="46" t="s">
        <v>15443</v>
      </c>
      <c r="E353" s="46"/>
      <c r="F353" s="46" t="s">
        <v>15444</v>
      </c>
      <c r="G353" s="46" t="s">
        <v>256</v>
      </c>
      <c r="H353" s="46" t="s">
        <v>607</v>
      </c>
      <c r="I353" s="46"/>
      <c r="J353" s="46" t="s">
        <v>3617</v>
      </c>
      <c r="K353" s="218"/>
      <c r="L353" s="185"/>
      <c r="M353" s="91"/>
      <c r="N353" s="91"/>
      <c r="O353" s="189" t="s">
        <v>6745</v>
      </c>
      <c r="P353" s="47" t="s">
        <v>15445</v>
      </c>
      <c r="Q353" s="47" t="s">
        <v>1939</v>
      </c>
      <c r="R353" s="47" t="s">
        <v>15446</v>
      </c>
      <c r="T353" s="46"/>
      <c r="U353" s="46" t="s">
        <v>491</v>
      </c>
      <c r="V353" s="46"/>
    </row>
    <row r="354" spans="1:35" s="47" customFormat="1" ht="75" x14ac:dyDescent="0.25">
      <c r="A354" s="61">
        <v>43593</v>
      </c>
      <c r="B354" s="47" t="s">
        <v>328</v>
      </c>
      <c r="C354" s="46" t="s">
        <v>603</v>
      </c>
      <c r="D354" s="46" t="s">
        <v>10338</v>
      </c>
      <c r="E354" s="46"/>
      <c r="F354" s="46" t="s">
        <v>15449</v>
      </c>
      <c r="G354" s="46" t="s">
        <v>15450</v>
      </c>
      <c r="H354" s="46" t="s">
        <v>607</v>
      </c>
      <c r="I354" s="46" t="s">
        <v>15451</v>
      </c>
      <c r="J354" s="46" t="s">
        <v>3373</v>
      </c>
      <c r="K354" s="218" t="s">
        <v>15452</v>
      </c>
      <c r="L354" s="185">
        <v>4</v>
      </c>
      <c r="M354" s="91">
        <v>245000</v>
      </c>
      <c r="N354" s="91">
        <v>425000</v>
      </c>
      <c r="O354" s="189" t="s">
        <v>4533</v>
      </c>
      <c r="P354" s="47" t="s">
        <v>15453</v>
      </c>
      <c r="Q354" s="47" t="s">
        <v>1939</v>
      </c>
      <c r="R354" s="47" t="s">
        <v>15455</v>
      </c>
      <c r="S354" s="47" t="s">
        <v>15454</v>
      </c>
      <c r="T354" s="46"/>
      <c r="U354" s="46" t="s">
        <v>491</v>
      </c>
      <c r="V354" s="46"/>
    </row>
    <row r="355" spans="1:35" s="47" customFormat="1" ht="48.75" customHeight="1" x14ac:dyDescent="0.25">
      <c r="A355" s="61">
        <v>43593</v>
      </c>
      <c r="B355" s="47" t="s">
        <v>13559</v>
      </c>
      <c r="C355" s="46" t="s">
        <v>602</v>
      </c>
      <c r="D355" s="46" t="s">
        <v>14639</v>
      </c>
      <c r="E355" s="46"/>
      <c r="F355" s="46" t="s">
        <v>9019</v>
      </c>
      <c r="G355" s="46" t="s">
        <v>9545</v>
      </c>
      <c r="H355" s="46" t="s">
        <v>10831</v>
      </c>
      <c r="I355" s="46" t="s">
        <v>15459</v>
      </c>
      <c r="J355" s="46" t="s">
        <v>602</v>
      </c>
      <c r="K355" s="218" t="s">
        <v>15460</v>
      </c>
      <c r="L355" s="185">
        <v>5</v>
      </c>
      <c r="M355" s="91">
        <v>100000</v>
      </c>
      <c r="N355" s="91">
        <v>130000</v>
      </c>
      <c r="O355" s="189" t="s">
        <v>10762</v>
      </c>
      <c r="P355" s="47" t="s">
        <v>15461</v>
      </c>
      <c r="Q355" s="47" t="s">
        <v>1939</v>
      </c>
      <c r="R355" s="47" t="s">
        <v>15462</v>
      </c>
      <c r="T355" s="46"/>
      <c r="U355" s="46" t="s">
        <v>491</v>
      </c>
      <c r="V355" s="46"/>
    </row>
    <row r="356" spans="1:35" s="47" customFormat="1" ht="65.25" customHeight="1" x14ac:dyDescent="0.25">
      <c r="A356" s="61">
        <v>43593</v>
      </c>
      <c r="B356" s="47" t="s">
        <v>328</v>
      </c>
      <c r="C356" s="46" t="s">
        <v>603</v>
      </c>
      <c r="D356" s="46" t="s">
        <v>1401</v>
      </c>
      <c r="E356" s="46"/>
      <c r="F356" s="46" t="s">
        <v>15463</v>
      </c>
      <c r="G356" s="46" t="s">
        <v>5419</v>
      </c>
      <c r="H356" s="46" t="s">
        <v>886</v>
      </c>
      <c r="I356" s="46" t="s">
        <v>15464</v>
      </c>
      <c r="J356" s="46" t="s">
        <v>899</v>
      </c>
      <c r="K356" s="218" t="s">
        <v>15465</v>
      </c>
      <c r="L356" s="185">
        <v>5</v>
      </c>
      <c r="M356" s="91">
        <v>300000</v>
      </c>
      <c r="N356" s="91">
        <v>330000</v>
      </c>
      <c r="O356" s="189" t="s">
        <v>6745</v>
      </c>
      <c r="P356" s="47" t="s">
        <v>15466</v>
      </c>
      <c r="Q356" s="47" t="s">
        <v>29</v>
      </c>
      <c r="R356" s="47" t="s">
        <v>15467</v>
      </c>
      <c r="T356" s="46"/>
      <c r="U356" s="46" t="s">
        <v>491</v>
      </c>
      <c r="V356" s="46"/>
    </row>
    <row r="357" spans="1:35" s="47" customFormat="1" ht="60" x14ac:dyDescent="0.25">
      <c r="A357" s="61">
        <v>43593</v>
      </c>
      <c r="B357" s="47" t="s">
        <v>9240</v>
      </c>
      <c r="C357" s="46" t="s">
        <v>603</v>
      </c>
      <c r="D357" s="46" t="s">
        <v>9849</v>
      </c>
      <c r="E357" s="46"/>
      <c r="F357" s="46" t="s">
        <v>15468</v>
      </c>
      <c r="G357" s="46" t="s">
        <v>15469</v>
      </c>
      <c r="H357" s="46" t="s">
        <v>607</v>
      </c>
      <c r="I357" s="46" t="s">
        <v>7990</v>
      </c>
      <c r="J357" s="46" t="s">
        <v>603</v>
      </c>
      <c r="K357" s="218" t="s">
        <v>15470</v>
      </c>
      <c r="L357" s="185" t="s">
        <v>15114</v>
      </c>
      <c r="M357" s="91">
        <v>341500</v>
      </c>
      <c r="N357" s="91">
        <v>700000</v>
      </c>
      <c r="O357" s="189" t="s">
        <v>10766</v>
      </c>
      <c r="P357" s="47" t="s">
        <v>15471</v>
      </c>
      <c r="Q357" s="47" t="s">
        <v>29</v>
      </c>
      <c r="R357" s="47" t="s">
        <v>15472</v>
      </c>
      <c r="S357" s="47" t="s">
        <v>15494</v>
      </c>
      <c r="T357" s="46"/>
      <c r="U357" s="46" t="s">
        <v>491</v>
      </c>
      <c r="V357" s="46"/>
    </row>
    <row r="358" spans="1:35" s="47" customFormat="1" ht="149.25" customHeight="1" x14ac:dyDescent="0.25">
      <c r="A358" s="61">
        <v>43593</v>
      </c>
      <c r="B358" s="47" t="s">
        <v>13559</v>
      </c>
      <c r="C358" s="46" t="s">
        <v>604</v>
      </c>
      <c r="D358" s="46" t="s">
        <v>813</v>
      </c>
      <c r="E358" s="46"/>
      <c r="F358" s="46" t="s">
        <v>15720</v>
      </c>
      <c r="G358" s="46" t="s">
        <v>15721</v>
      </c>
      <c r="H358" s="46" t="s">
        <v>607</v>
      </c>
      <c r="I358" s="46" t="s">
        <v>15722</v>
      </c>
      <c r="J358" s="46" t="s">
        <v>5402</v>
      </c>
      <c r="K358" s="218" t="s">
        <v>15723</v>
      </c>
      <c r="L358" s="185">
        <v>5</v>
      </c>
      <c r="M358" s="91">
        <v>232000</v>
      </c>
      <c r="N358" s="91">
        <v>400000</v>
      </c>
      <c r="O358" s="189" t="s">
        <v>4533</v>
      </c>
      <c r="P358" s="47" t="s">
        <v>15473</v>
      </c>
      <c r="Q358" s="47" t="s">
        <v>29</v>
      </c>
      <c r="R358" s="47" t="s">
        <v>15725</v>
      </c>
      <c r="S358" s="47" t="s">
        <v>15724</v>
      </c>
      <c r="T358" s="46"/>
      <c r="U358" s="46" t="s">
        <v>491</v>
      </c>
      <c r="V358" s="46"/>
    </row>
    <row r="359" spans="1:35" s="47" customFormat="1" ht="102.75" customHeight="1" x14ac:dyDescent="0.25">
      <c r="A359" s="61">
        <v>43594</v>
      </c>
      <c r="B359" s="47" t="s">
        <v>328</v>
      </c>
      <c r="C359" s="46" t="s">
        <v>603</v>
      </c>
      <c r="D359" s="46" t="s">
        <v>10338</v>
      </c>
      <c r="E359" s="46"/>
      <c r="F359" s="46" t="s">
        <v>11356</v>
      </c>
      <c r="G359" s="46" t="s">
        <v>14668</v>
      </c>
      <c r="H359" s="46" t="s">
        <v>607</v>
      </c>
      <c r="I359" s="46" t="s">
        <v>15474</v>
      </c>
      <c r="J359" s="46" t="s">
        <v>3751</v>
      </c>
      <c r="K359" s="218" t="s">
        <v>15475</v>
      </c>
      <c r="L359" s="185">
        <v>2</v>
      </c>
      <c r="M359" s="91">
        <v>262500</v>
      </c>
      <c r="N359" s="91">
        <v>600000</v>
      </c>
      <c r="O359" s="189" t="s">
        <v>4533</v>
      </c>
      <c r="P359" s="47" t="s">
        <v>15476</v>
      </c>
      <c r="Q359" s="47" t="s">
        <v>1939</v>
      </c>
      <c r="R359" s="47" t="s">
        <v>15526</v>
      </c>
      <c r="T359" s="46"/>
      <c r="U359" s="46" t="s">
        <v>491</v>
      </c>
      <c r="V359" s="46"/>
    </row>
    <row r="360" spans="1:35" s="47" customFormat="1" ht="60.75" customHeight="1" x14ac:dyDescent="0.25">
      <c r="A360" s="61">
        <v>43594</v>
      </c>
      <c r="B360" s="47" t="s">
        <v>6076</v>
      </c>
      <c r="C360" s="46" t="s">
        <v>3370</v>
      </c>
      <c r="D360" s="46" t="s">
        <v>10524</v>
      </c>
      <c r="E360" s="46"/>
      <c r="F360" s="46" t="s">
        <v>15477</v>
      </c>
      <c r="G360" s="46" t="s">
        <v>10705</v>
      </c>
      <c r="H360" s="46" t="s">
        <v>607</v>
      </c>
      <c r="I360" s="46" t="s">
        <v>15478</v>
      </c>
      <c r="J360" s="46" t="s">
        <v>3370</v>
      </c>
      <c r="K360" s="218" t="s">
        <v>15479</v>
      </c>
      <c r="L360" s="185">
        <v>2</v>
      </c>
      <c r="M360" s="91">
        <v>130000</v>
      </c>
      <c r="N360" s="91">
        <v>150000</v>
      </c>
      <c r="O360" s="189" t="s">
        <v>10763</v>
      </c>
      <c r="P360" s="47" t="s">
        <v>15481</v>
      </c>
      <c r="Q360" s="47" t="s">
        <v>29</v>
      </c>
      <c r="R360" s="47" t="s">
        <v>15480</v>
      </c>
      <c r="S360" s="47" t="s">
        <v>15493</v>
      </c>
      <c r="T360" s="46"/>
      <c r="U360" s="46" t="s">
        <v>491</v>
      </c>
      <c r="V360" s="46"/>
    </row>
    <row r="361" spans="1:35" s="47" customFormat="1" ht="30" x14ac:dyDescent="0.25">
      <c r="A361" s="61">
        <v>43594</v>
      </c>
      <c r="B361" s="47" t="s">
        <v>328</v>
      </c>
      <c r="C361" s="46" t="s">
        <v>603</v>
      </c>
      <c r="D361" s="46" t="s">
        <v>10338</v>
      </c>
      <c r="E361" s="46"/>
      <c r="F361" s="46" t="s">
        <v>15482</v>
      </c>
      <c r="G361" s="46" t="s">
        <v>7855</v>
      </c>
      <c r="H361" s="46" t="s">
        <v>2510</v>
      </c>
      <c r="I361" s="46" t="s">
        <v>15483</v>
      </c>
      <c r="J361" s="46" t="s">
        <v>899</v>
      </c>
      <c r="K361" s="218" t="s">
        <v>15484</v>
      </c>
      <c r="L361" s="185">
        <v>5</v>
      </c>
      <c r="M361" s="91">
        <v>100000</v>
      </c>
      <c r="N361" s="91">
        <v>150000</v>
      </c>
      <c r="O361" s="189" t="s">
        <v>49</v>
      </c>
      <c r="P361" s="47" t="s">
        <v>15485</v>
      </c>
      <c r="Q361" s="47" t="s">
        <v>1939</v>
      </c>
      <c r="R361" s="47" t="s">
        <v>15486</v>
      </c>
      <c r="S361" s="47" t="s">
        <v>15845</v>
      </c>
      <c r="T361" s="46"/>
      <c r="U361" s="46" t="s">
        <v>491</v>
      </c>
      <c r="V361" s="46"/>
    </row>
    <row r="362" spans="1:35" s="47" customFormat="1" ht="45" x14ac:dyDescent="0.25">
      <c r="A362" s="61">
        <v>43594</v>
      </c>
      <c r="B362" s="47" t="s">
        <v>328</v>
      </c>
      <c r="C362" s="46" t="s">
        <v>603</v>
      </c>
      <c r="D362" s="46" t="s">
        <v>1401</v>
      </c>
      <c r="E362" s="46"/>
      <c r="F362" s="46" t="s">
        <v>15488</v>
      </c>
      <c r="G362" s="46" t="s">
        <v>7714</v>
      </c>
      <c r="H362" s="46" t="s">
        <v>607</v>
      </c>
      <c r="I362" s="46" t="s">
        <v>15489</v>
      </c>
      <c r="J362" s="46" t="s">
        <v>3533</v>
      </c>
      <c r="K362" s="218" t="s">
        <v>15490</v>
      </c>
      <c r="L362" s="185">
        <v>2</v>
      </c>
      <c r="M362" s="91">
        <v>390000</v>
      </c>
      <c r="N362" s="91">
        <v>630000</v>
      </c>
      <c r="O362" s="189" t="s">
        <v>4533</v>
      </c>
      <c r="P362" s="47" t="s">
        <v>15491</v>
      </c>
      <c r="Q362" s="47" t="s">
        <v>29</v>
      </c>
      <c r="R362" s="47" t="s">
        <v>15487</v>
      </c>
      <c r="S362" s="47" t="s">
        <v>15492</v>
      </c>
      <c r="T362" s="46"/>
      <c r="U362" s="46" t="s">
        <v>491</v>
      </c>
      <c r="V362" s="46"/>
    </row>
    <row r="363" spans="1:35" s="47" customFormat="1" ht="30" x14ac:dyDescent="0.25">
      <c r="A363" s="61">
        <v>43595</v>
      </c>
      <c r="B363" s="47" t="s">
        <v>643</v>
      </c>
      <c r="C363" s="46" t="s">
        <v>644</v>
      </c>
      <c r="D363" s="46" t="s">
        <v>645</v>
      </c>
      <c r="E363" s="46"/>
      <c r="F363" s="46" t="s">
        <v>15496</v>
      </c>
      <c r="G363" s="46" t="s">
        <v>15497</v>
      </c>
      <c r="H363" s="46" t="s">
        <v>607</v>
      </c>
      <c r="I363" s="46" t="s">
        <v>7960</v>
      </c>
      <c r="J363" s="46" t="s">
        <v>899</v>
      </c>
      <c r="K363" s="218" t="s">
        <v>15498</v>
      </c>
      <c r="L363" s="185"/>
      <c r="M363" s="91"/>
      <c r="N363" s="91">
        <v>1097500</v>
      </c>
      <c r="O363" s="189" t="s">
        <v>560</v>
      </c>
      <c r="P363" s="47" t="s">
        <v>15499</v>
      </c>
      <c r="Q363" s="47" t="s">
        <v>29</v>
      </c>
      <c r="R363" s="47" t="s">
        <v>15495</v>
      </c>
      <c r="T363" s="46"/>
      <c r="U363" s="46" t="s">
        <v>491</v>
      </c>
      <c r="V363" s="46"/>
    </row>
    <row r="364" spans="1:35" s="47" customFormat="1" ht="30" x14ac:dyDescent="0.25">
      <c r="A364" s="61">
        <v>43595</v>
      </c>
      <c r="B364" s="47" t="s">
        <v>328</v>
      </c>
      <c r="C364" s="46" t="s">
        <v>603</v>
      </c>
      <c r="D364" s="46" t="s">
        <v>10705</v>
      </c>
      <c r="E364" s="46"/>
      <c r="F364" s="46" t="s">
        <v>15305</v>
      </c>
      <c r="G364" s="46" t="s">
        <v>15501</v>
      </c>
      <c r="H364" s="46" t="s">
        <v>10831</v>
      </c>
      <c r="I364" s="46"/>
      <c r="J364" s="46" t="s">
        <v>644</v>
      </c>
      <c r="K364" s="218"/>
      <c r="L364" s="185">
        <v>10</v>
      </c>
      <c r="M364" s="91">
        <v>2257000</v>
      </c>
      <c r="N364" s="91">
        <v>2582700</v>
      </c>
      <c r="O364" s="189" t="s">
        <v>7124</v>
      </c>
      <c r="P364" s="47" t="s">
        <v>15502</v>
      </c>
      <c r="Q364" s="47" t="s">
        <v>29</v>
      </c>
      <c r="R364" s="47" t="s">
        <v>15503</v>
      </c>
      <c r="S364" s="47" t="s">
        <v>15504</v>
      </c>
      <c r="T364" s="46"/>
      <c r="U364" s="46" t="s">
        <v>491</v>
      </c>
      <c r="V364" s="46"/>
    </row>
    <row r="365" spans="1:35" s="47" customFormat="1" ht="150" x14ac:dyDescent="0.25">
      <c r="A365" s="61">
        <v>43598</v>
      </c>
      <c r="B365" s="47" t="s">
        <v>9240</v>
      </c>
      <c r="C365" s="46" t="s">
        <v>603</v>
      </c>
      <c r="D365" s="46" t="s">
        <v>9241</v>
      </c>
      <c r="E365" s="46"/>
      <c r="F365" s="46" t="s">
        <v>15505</v>
      </c>
      <c r="G365" s="46" t="s">
        <v>10268</v>
      </c>
      <c r="H365" s="46" t="s">
        <v>905</v>
      </c>
      <c r="I365" s="46" t="s">
        <v>15506</v>
      </c>
      <c r="J365" s="46" t="s">
        <v>603</v>
      </c>
      <c r="K365" s="218" t="s">
        <v>15507</v>
      </c>
      <c r="L365" s="185">
        <v>3</v>
      </c>
      <c r="M365" s="91">
        <v>951000</v>
      </c>
      <c r="N365" s="91">
        <v>1150000</v>
      </c>
      <c r="O365" s="189" t="s">
        <v>10766</v>
      </c>
      <c r="P365" s="47" t="s">
        <v>15509</v>
      </c>
      <c r="Q365" s="47" t="s">
        <v>1939</v>
      </c>
      <c r="R365" s="47" t="s">
        <v>15902</v>
      </c>
      <c r="S365" s="47" t="s">
        <v>15508</v>
      </c>
      <c r="T365" s="46"/>
      <c r="U365" s="46" t="s">
        <v>491</v>
      </c>
      <c r="V365" s="46"/>
      <c r="AI365" s="47" t="s">
        <v>15510</v>
      </c>
    </row>
    <row r="366" spans="1:35" s="47" customFormat="1" ht="45" x14ac:dyDescent="0.25">
      <c r="A366" s="61">
        <v>43598</v>
      </c>
      <c r="B366" s="47" t="s">
        <v>5956</v>
      </c>
      <c r="C366" s="46" t="s">
        <v>3369</v>
      </c>
      <c r="D366" s="46" t="s">
        <v>8126</v>
      </c>
      <c r="E366" s="46"/>
      <c r="F366" s="46" t="s">
        <v>15511</v>
      </c>
      <c r="G366" s="46" t="s">
        <v>15512</v>
      </c>
      <c r="H366" s="46" t="s">
        <v>607</v>
      </c>
      <c r="I366" s="46" t="s">
        <v>4784</v>
      </c>
      <c r="J366" s="46" t="s">
        <v>4825</v>
      </c>
      <c r="K366" s="218" t="s">
        <v>15513</v>
      </c>
      <c r="L366" s="185">
        <v>5</v>
      </c>
      <c r="M366" s="91">
        <v>392284</v>
      </c>
      <c r="N366" s="91">
        <v>700000</v>
      </c>
      <c r="O366" s="189" t="s">
        <v>10766</v>
      </c>
      <c r="P366" s="47" t="s">
        <v>15514</v>
      </c>
      <c r="Q366" s="47" t="s">
        <v>592</v>
      </c>
      <c r="R366" s="47" t="s">
        <v>15515</v>
      </c>
      <c r="T366" s="46"/>
      <c r="U366" s="46" t="s">
        <v>491</v>
      </c>
      <c r="V366" s="46"/>
    </row>
    <row r="367" spans="1:35" s="47" customFormat="1" ht="120" customHeight="1" x14ac:dyDescent="0.25">
      <c r="A367" s="61">
        <v>43598</v>
      </c>
      <c r="B367" s="47" t="s">
        <v>328</v>
      </c>
      <c r="C367" s="46" t="s">
        <v>603</v>
      </c>
      <c r="D367" s="46" t="s">
        <v>1401</v>
      </c>
      <c r="E367" s="46"/>
      <c r="F367" s="46" t="s">
        <v>15516</v>
      </c>
      <c r="G367" s="46" t="s">
        <v>15517</v>
      </c>
      <c r="H367" s="46" t="s">
        <v>10831</v>
      </c>
      <c r="I367" s="172" t="s">
        <v>15518</v>
      </c>
      <c r="J367" s="46" t="s">
        <v>8194</v>
      </c>
      <c r="K367" s="218" t="s">
        <v>15519</v>
      </c>
      <c r="L367" s="185">
        <v>10</v>
      </c>
      <c r="M367" s="91">
        <v>305000</v>
      </c>
      <c r="N367" s="91">
        <v>530000</v>
      </c>
      <c r="O367" s="189" t="s">
        <v>7124</v>
      </c>
      <c r="P367" s="47" t="s">
        <v>15520</v>
      </c>
      <c r="Q367" s="47" t="s">
        <v>1939</v>
      </c>
      <c r="R367" s="47" t="s">
        <v>15903</v>
      </c>
      <c r="S367" s="47" t="s">
        <v>15521</v>
      </c>
      <c r="T367" s="46"/>
      <c r="U367" s="46" t="s">
        <v>491</v>
      </c>
      <c r="V367" s="46"/>
    </row>
    <row r="368" spans="1:35" s="47" customFormat="1" ht="143.25" customHeight="1" x14ac:dyDescent="0.25">
      <c r="A368" s="61">
        <v>43598</v>
      </c>
      <c r="B368" s="47" t="s">
        <v>328</v>
      </c>
      <c r="C368" s="46" t="s">
        <v>603</v>
      </c>
      <c r="D368" s="46" t="s">
        <v>10705</v>
      </c>
      <c r="E368" s="46"/>
      <c r="F368" s="46" t="s">
        <v>7698</v>
      </c>
      <c r="G368" s="46" t="s">
        <v>7828</v>
      </c>
      <c r="H368" s="46" t="s">
        <v>607</v>
      </c>
      <c r="I368" s="46" t="s">
        <v>15149</v>
      </c>
      <c r="J368" s="46" t="s">
        <v>3523</v>
      </c>
      <c r="K368" s="218" t="s">
        <v>15522</v>
      </c>
      <c r="L368" s="185">
        <v>4</v>
      </c>
      <c r="M368" s="91">
        <v>250000</v>
      </c>
      <c r="N368" s="91">
        <v>375000</v>
      </c>
      <c r="O368" s="189" t="s">
        <v>10765</v>
      </c>
      <c r="P368" s="47" t="s">
        <v>15523</v>
      </c>
      <c r="Q368" s="47" t="s">
        <v>29</v>
      </c>
      <c r="R368" s="47" t="s">
        <v>15525</v>
      </c>
      <c r="S368" s="47" t="s">
        <v>15524</v>
      </c>
      <c r="T368" s="46"/>
      <c r="U368" s="46" t="s">
        <v>491</v>
      </c>
      <c r="V368" s="46"/>
      <c r="AI368" s="47" t="s">
        <v>15539</v>
      </c>
    </row>
    <row r="369" spans="1:22" s="47" customFormat="1" ht="108" customHeight="1" x14ac:dyDescent="0.25">
      <c r="A369" s="61">
        <v>43598</v>
      </c>
      <c r="B369" s="47" t="s">
        <v>643</v>
      </c>
      <c r="C369" s="46" t="s">
        <v>603</v>
      </c>
      <c r="D369" s="46" t="s">
        <v>3132</v>
      </c>
      <c r="E369" s="46"/>
      <c r="F369" s="46" t="s">
        <v>15527</v>
      </c>
      <c r="G369" s="46" t="s">
        <v>15528</v>
      </c>
      <c r="H369" s="46" t="s">
        <v>607</v>
      </c>
      <c r="I369" s="46" t="s">
        <v>5212</v>
      </c>
      <c r="J369" s="46" t="s">
        <v>644</v>
      </c>
      <c r="K369" s="218" t="s">
        <v>15529</v>
      </c>
      <c r="L369" s="185">
        <v>2</v>
      </c>
      <c r="M369" s="91">
        <v>2406080</v>
      </c>
      <c r="N369" s="91">
        <v>4431060</v>
      </c>
      <c r="O369" s="189" t="s">
        <v>560</v>
      </c>
      <c r="P369" s="47" t="s">
        <v>15531</v>
      </c>
      <c r="Q369" s="47" t="s">
        <v>1939</v>
      </c>
      <c r="R369" s="47" t="s">
        <v>15532</v>
      </c>
      <c r="S369" s="47" t="s">
        <v>15530</v>
      </c>
      <c r="T369" s="46"/>
      <c r="U369" s="46" t="s">
        <v>491</v>
      </c>
      <c r="V369" s="46"/>
    </row>
    <row r="370" spans="1:22" s="47" customFormat="1" ht="105" x14ac:dyDescent="0.25">
      <c r="A370" s="61">
        <v>43598</v>
      </c>
      <c r="B370" s="47" t="s">
        <v>5956</v>
      </c>
      <c r="C370" s="46" t="s">
        <v>3369</v>
      </c>
      <c r="D370" s="46" t="s">
        <v>8126</v>
      </c>
      <c r="E370" s="46"/>
      <c r="F370" s="46" t="s">
        <v>15533</v>
      </c>
      <c r="G370" s="46" t="s">
        <v>15534</v>
      </c>
      <c r="H370" s="46" t="s">
        <v>607</v>
      </c>
      <c r="I370" s="46" t="s">
        <v>15535</v>
      </c>
      <c r="J370" s="46" t="s">
        <v>3369</v>
      </c>
      <c r="K370" s="218" t="s">
        <v>15536</v>
      </c>
      <c r="L370" s="185">
        <v>2</v>
      </c>
      <c r="M370" s="91">
        <v>906000</v>
      </c>
      <c r="N370" s="91">
        <v>2250000</v>
      </c>
      <c r="O370" s="189" t="s">
        <v>10766</v>
      </c>
      <c r="P370" s="47" t="s">
        <v>15537</v>
      </c>
      <c r="Q370" s="47" t="s">
        <v>29</v>
      </c>
      <c r="R370" s="47" t="s">
        <v>15538</v>
      </c>
      <c r="T370" s="46"/>
      <c r="U370" s="46" t="s">
        <v>491</v>
      </c>
      <c r="V370" s="46"/>
    </row>
    <row r="371" spans="1:22" s="47" customFormat="1" ht="60" x14ac:dyDescent="0.25">
      <c r="A371" s="61">
        <v>43598</v>
      </c>
      <c r="B371" s="47" t="s">
        <v>328</v>
      </c>
      <c r="C371" s="46" t="s">
        <v>603</v>
      </c>
      <c r="D371" s="46" t="s">
        <v>10338</v>
      </c>
      <c r="E371" s="46"/>
      <c r="F371" s="46" t="s">
        <v>15540</v>
      </c>
      <c r="G371" s="46" t="s">
        <v>7792</v>
      </c>
      <c r="H371" s="46" t="s">
        <v>607</v>
      </c>
      <c r="I371" s="46" t="s">
        <v>3646</v>
      </c>
      <c r="J371" s="46" t="s">
        <v>644</v>
      </c>
      <c r="K371" s="218" t="s">
        <v>13169</v>
      </c>
      <c r="L371" s="185">
        <v>3</v>
      </c>
      <c r="M371" s="91">
        <v>440000</v>
      </c>
      <c r="N371" s="91">
        <v>792000</v>
      </c>
      <c r="O371" s="189" t="s">
        <v>10766</v>
      </c>
      <c r="P371" s="47" t="s">
        <v>15541</v>
      </c>
      <c r="Q371" s="47" t="s">
        <v>29</v>
      </c>
      <c r="R371" s="47" t="s">
        <v>15542</v>
      </c>
      <c r="S371" s="47" t="s">
        <v>15543</v>
      </c>
      <c r="T371" s="46"/>
      <c r="U371" s="46" t="s">
        <v>491</v>
      </c>
      <c r="V371" s="46"/>
    </row>
    <row r="372" spans="1:22" s="47" customFormat="1" ht="90" x14ac:dyDescent="0.25">
      <c r="A372" s="61">
        <v>43599</v>
      </c>
      <c r="B372" s="47" t="s">
        <v>569</v>
      </c>
      <c r="C372" s="46" t="s">
        <v>899</v>
      </c>
      <c r="D372" s="46" t="s">
        <v>11286</v>
      </c>
      <c r="E372" s="46"/>
      <c r="F372" s="46" t="s">
        <v>15545</v>
      </c>
      <c r="G372" s="46" t="s">
        <v>9881</v>
      </c>
      <c r="H372" s="46" t="s">
        <v>905</v>
      </c>
      <c r="I372" s="46" t="s">
        <v>10273</v>
      </c>
      <c r="J372" s="46" t="s">
        <v>899</v>
      </c>
      <c r="K372" s="218" t="s">
        <v>15546</v>
      </c>
      <c r="L372" s="185">
        <v>2</v>
      </c>
      <c r="M372" s="91">
        <v>450000</v>
      </c>
      <c r="N372" s="91">
        <v>545000</v>
      </c>
      <c r="O372" s="189" t="s">
        <v>10766</v>
      </c>
      <c r="P372" s="47" t="s">
        <v>15551</v>
      </c>
      <c r="Q372" s="47" t="s">
        <v>620</v>
      </c>
      <c r="R372" s="47" t="s">
        <v>15547</v>
      </c>
      <c r="S372" s="47" t="s">
        <v>15553</v>
      </c>
      <c r="T372" s="46"/>
      <c r="U372" s="46" t="s">
        <v>491</v>
      </c>
      <c r="V372" s="46"/>
    </row>
    <row r="373" spans="1:22" s="47" customFormat="1" ht="90" x14ac:dyDescent="0.25">
      <c r="A373" s="61">
        <v>43599</v>
      </c>
      <c r="B373" s="47" t="s">
        <v>569</v>
      </c>
      <c r="C373" s="46" t="s">
        <v>899</v>
      </c>
      <c r="D373" s="46" t="s">
        <v>3132</v>
      </c>
      <c r="E373" s="46"/>
      <c r="F373" s="46" t="s">
        <v>15548</v>
      </c>
      <c r="G373" s="46" t="s">
        <v>15549</v>
      </c>
      <c r="H373" s="46" t="s">
        <v>607</v>
      </c>
      <c r="I373" s="46" t="s">
        <v>6987</v>
      </c>
      <c r="J373" s="46" t="s">
        <v>899</v>
      </c>
      <c r="K373" s="218" t="s">
        <v>15550</v>
      </c>
      <c r="L373" s="185">
        <v>2</v>
      </c>
      <c r="M373" s="91">
        <v>375000</v>
      </c>
      <c r="N373" s="91">
        <v>920000</v>
      </c>
      <c r="O373" s="189" t="s">
        <v>10766</v>
      </c>
      <c r="P373" s="47" t="s">
        <v>15552</v>
      </c>
      <c r="Q373" s="47" t="s">
        <v>620</v>
      </c>
      <c r="R373" s="47" t="s">
        <v>15555</v>
      </c>
      <c r="S373" s="47" t="s">
        <v>15554</v>
      </c>
      <c r="T373" s="46"/>
      <c r="U373" s="46" t="s">
        <v>491</v>
      </c>
      <c r="V373" s="46"/>
    </row>
    <row r="374" spans="1:22" s="47" customFormat="1" ht="75" x14ac:dyDescent="0.25">
      <c r="A374" s="61">
        <v>43599</v>
      </c>
      <c r="B374" s="47" t="s">
        <v>643</v>
      </c>
      <c r="C374" s="46" t="s">
        <v>644</v>
      </c>
      <c r="D374" s="46" t="s">
        <v>645</v>
      </c>
      <c r="E374" s="46"/>
      <c r="F374" s="46" t="s">
        <v>15556</v>
      </c>
      <c r="G374" s="46" t="s">
        <v>15557</v>
      </c>
      <c r="H374" s="46" t="s">
        <v>10831</v>
      </c>
      <c r="I374" s="46" t="s">
        <v>8756</v>
      </c>
      <c r="J374" s="46" t="s">
        <v>3398</v>
      </c>
      <c r="K374" s="218" t="s">
        <v>15558</v>
      </c>
      <c r="L374" s="185">
        <v>10</v>
      </c>
      <c r="M374" s="91">
        <v>2000000</v>
      </c>
      <c r="N374" s="91">
        <v>3800000</v>
      </c>
      <c r="O374" s="189" t="s">
        <v>560</v>
      </c>
      <c r="P374" s="47" t="s">
        <v>15559</v>
      </c>
      <c r="Q374" s="47" t="s">
        <v>1939</v>
      </c>
      <c r="R374" s="47" t="s">
        <v>15560</v>
      </c>
      <c r="T374" s="46"/>
      <c r="U374" s="46" t="s">
        <v>491</v>
      </c>
      <c r="V374" s="46"/>
    </row>
    <row r="375" spans="1:22" s="47" customFormat="1" ht="45" x14ac:dyDescent="0.25">
      <c r="A375" s="61">
        <v>43599</v>
      </c>
      <c r="B375" s="47" t="s">
        <v>328</v>
      </c>
      <c r="C375" s="46" t="s">
        <v>603</v>
      </c>
      <c r="D375" s="46" t="s">
        <v>649</v>
      </c>
      <c r="E375" s="46"/>
      <c r="F375" s="46" t="s">
        <v>15561</v>
      </c>
      <c r="G375" s="46" t="s">
        <v>14657</v>
      </c>
      <c r="H375" s="46" t="s">
        <v>905</v>
      </c>
      <c r="I375" s="46" t="s">
        <v>15562</v>
      </c>
      <c r="J375" s="46" t="s">
        <v>3371</v>
      </c>
      <c r="K375" s="218" t="s">
        <v>15563</v>
      </c>
      <c r="L375" s="185"/>
      <c r="M375" s="91">
        <v>366133</v>
      </c>
      <c r="N375" s="91">
        <v>460000</v>
      </c>
      <c r="O375" s="189" t="s">
        <v>4533</v>
      </c>
      <c r="P375" s="47" t="s">
        <v>15564</v>
      </c>
      <c r="Q375" s="47" t="s">
        <v>29</v>
      </c>
      <c r="R375" s="47" t="s">
        <v>15565</v>
      </c>
      <c r="T375" s="46"/>
      <c r="U375" s="46" t="s">
        <v>491</v>
      </c>
      <c r="V375" s="46"/>
    </row>
    <row r="376" spans="1:22" s="47" customFormat="1" ht="90" x14ac:dyDescent="0.25">
      <c r="A376" s="61">
        <v>43600</v>
      </c>
      <c r="B376" s="47" t="s">
        <v>5473</v>
      </c>
      <c r="C376" s="46" t="s">
        <v>608</v>
      </c>
      <c r="D376" s="46" t="s">
        <v>2340</v>
      </c>
      <c r="E376" s="46"/>
      <c r="F376" s="46" t="s">
        <v>15566</v>
      </c>
      <c r="G376" s="46" t="s">
        <v>7814</v>
      </c>
      <c r="H376" s="46" t="s">
        <v>607</v>
      </c>
      <c r="I376" s="46" t="s">
        <v>10036</v>
      </c>
      <c r="J376" s="46" t="s">
        <v>602</v>
      </c>
      <c r="K376" s="218" t="s">
        <v>15567</v>
      </c>
      <c r="L376" s="185">
        <v>2</v>
      </c>
      <c r="M376" s="91">
        <v>1000000</v>
      </c>
      <c r="N376" s="91">
        <v>1245000</v>
      </c>
      <c r="O376" s="189" t="s">
        <v>10766</v>
      </c>
      <c r="P376" s="47" t="s">
        <v>15568</v>
      </c>
      <c r="Q376" s="47" t="s">
        <v>620</v>
      </c>
      <c r="R376" s="47" t="s">
        <v>15592</v>
      </c>
      <c r="S376" s="47" t="s">
        <v>15593</v>
      </c>
      <c r="T376" s="46"/>
      <c r="U376" s="46" t="s">
        <v>491</v>
      </c>
      <c r="V376" s="46"/>
    </row>
    <row r="377" spans="1:22" s="47" customFormat="1" ht="45" x14ac:dyDescent="0.25">
      <c r="A377" s="61">
        <v>43600</v>
      </c>
      <c r="B377" s="47" t="s">
        <v>643</v>
      </c>
      <c r="C377" s="46" t="s">
        <v>644</v>
      </c>
      <c r="D377" s="46" t="s">
        <v>645</v>
      </c>
      <c r="E377" s="46"/>
      <c r="F377" s="46" t="s">
        <v>15569</v>
      </c>
      <c r="G377" s="46" t="s">
        <v>7855</v>
      </c>
      <c r="H377" s="46" t="s">
        <v>10832</v>
      </c>
      <c r="I377" s="46" t="s">
        <v>5345</v>
      </c>
      <c r="J377" s="46" t="s">
        <v>644</v>
      </c>
      <c r="K377" s="218"/>
      <c r="L377" s="185">
        <v>9</v>
      </c>
      <c r="M377" s="91">
        <v>3000000</v>
      </c>
      <c r="N377" s="91"/>
      <c r="O377" s="189" t="s">
        <v>10762</v>
      </c>
      <c r="P377" s="47" t="s">
        <v>15570</v>
      </c>
      <c r="Q377" s="47" t="s">
        <v>29</v>
      </c>
      <c r="R377" s="47" t="s">
        <v>15571</v>
      </c>
      <c r="T377" s="46"/>
      <c r="U377" s="46" t="s">
        <v>491</v>
      </c>
      <c r="V377" s="46"/>
    </row>
    <row r="378" spans="1:22" s="47" customFormat="1" ht="47.25" customHeight="1" x14ac:dyDescent="0.25">
      <c r="A378" s="61">
        <v>43600</v>
      </c>
      <c r="B378" s="47" t="s">
        <v>328</v>
      </c>
      <c r="C378" s="46" t="s">
        <v>603</v>
      </c>
      <c r="D378" s="46" t="s">
        <v>649</v>
      </c>
      <c r="E378" s="46"/>
      <c r="F378" s="46" t="s">
        <v>12092</v>
      </c>
      <c r="G378" s="46" t="s">
        <v>15572</v>
      </c>
      <c r="H378" s="46" t="s">
        <v>607</v>
      </c>
      <c r="I378" s="46" t="s">
        <v>15573</v>
      </c>
      <c r="J378" s="46" t="s">
        <v>603</v>
      </c>
      <c r="K378" s="218" t="s">
        <v>15574</v>
      </c>
      <c r="L378" s="185">
        <v>3</v>
      </c>
      <c r="M378" s="91">
        <v>462000</v>
      </c>
      <c r="N378" s="91">
        <v>1200000</v>
      </c>
      <c r="O378" s="189" t="s">
        <v>4533</v>
      </c>
      <c r="P378" s="47" t="s">
        <v>15575</v>
      </c>
      <c r="Q378" s="47" t="s">
        <v>592</v>
      </c>
      <c r="R378" s="47" t="s">
        <v>15576</v>
      </c>
      <c r="T378" s="46"/>
      <c r="U378" s="46" t="s">
        <v>491</v>
      </c>
      <c r="V378" s="46"/>
    </row>
    <row r="379" spans="1:22" s="47" customFormat="1" ht="90" x14ac:dyDescent="0.25">
      <c r="A379" s="61">
        <v>43600</v>
      </c>
      <c r="B379" s="47" t="s">
        <v>643</v>
      </c>
      <c r="C379" s="46" t="s">
        <v>644</v>
      </c>
      <c r="D379" s="46" t="s">
        <v>645</v>
      </c>
      <c r="E379" s="46"/>
      <c r="F379" s="46" t="s">
        <v>15577</v>
      </c>
      <c r="G379" s="46" t="s">
        <v>15578</v>
      </c>
      <c r="H379" s="46" t="s">
        <v>10829</v>
      </c>
      <c r="I379" s="46" t="s">
        <v>15579</v>
      </c>
      <c r="J379" s="46" t="s">
        <v>644</v>
      </c>
      <c r="K379" s="218" t="s">
        <v>13163</v>
      </c>
      <c r="L379" s="185">
        <v>4</v>
      </c>
      <c r="M379" s="91">
        <v>216000</v>
      </c>
      <c r="N379" s="91">
        <v>350000</v>
      </c>
      <c r="O379" s="189" t="s">
        <v>6745</v>
      </c>
      <c r="P379" s="47" t="s">
        <v>15580</v>
      </c>
      <c r="Q379" s="47" t="s">
        <v>1612</v>
      </c>
      <c r="R379" s="47" t="s">
        <v>15644</v>
      </c>
      <c r="S379" s="47" t="s">
        <v>15581</v>
      </c>
      <c r="T379" s="46"/>
      <c r="U379" s="46" t="s">
        <v>491</v>
      </c>
      <c r="V379" s="46"/>
    </row>
    <row r="380" spans="1:22" s="47" customFormat="1" ht="45" x14ac:dyDescent="0.25">
      <c r="A380" s="61">
        <v>43600</v>
      </c>
      <c r="B380" s="47" t="s">
        <v>643</v>
      </c>
      <c r="C380" s="46" t="s">
        <v>644</v>
      </c>
      <c r="D380" s="46" t="s">
        <v>645</v>
      </c>
      <c r="E380" s="46"/>
      <c r="F380" s="46" t="s">
        <v>15582</v>
      </c>
      <c r="G380" s="46"/>
      <c r="H380" s="46" t="s">
        <v>1050</v>
      </c>
      <c r="I380" s="46" t="s">
        <v>5212</v>
      </c>
      <c r="J380" s="46" t="s">
        <v>644</v>
      </c>
      <c r="K380" s="218" t="s">
        <v>15583</v>
      </c>
      <c r="L380" s="185">
        <v>3</v>
      </c>
      <c r="M380" s="91">
        <v>375000</v>
      </c>
      <c r="N380" s="91">
        <v>410000</v>
      </c>
      <c r="O380" s="189" t="s">
        <v>2295</v>
      </c>
      <c r="P380" s="47" t="s">
        <v>15904</v>
      </c>
      <c r="Q380" s="47" t="s">
        <v>29</v>
      </c>
      <c r="R380" s="47" t="s">
        <v>15584</v>
      </c>
      <c r="T380" s="46"/>
      <c r="U380" s="46" t="s">
        <v>491</v>
      </c>
      <c r="V380" s="46"/>
    </row>
    <row r="381" spans="1:22" s="47" customFormat="1" ht="96" customHeight="1" x14ac:dyDescent="0.25">
      <c r="A381" s="61">
        <v>43600</v>
      </c>
      <c r="B381" s="47" t="s">
        <v>569</v>
      </c>
      <c r="C381" s="46" t="s">
        <v>899</v>
      </c>
      <c r="D381" s="46" t="s">
        <v>11286</v>
      </c>
      <c r="E381" s="46"/>
      <c r="F381" s="46" t="s">
        <v>15585</v>
      </c>
      <c r="G381" s="46" t="s">
        <v>15586</v>
      </c>
      <c r="H381" s="46" t="s">
        <v>607</v>
      </c>
      <c r="I381" s="46" t="s">
        <v>14741</v>
      </c>
      <c r="J381" s="46" t="s">
        <v>899</v>
      </c>
      <c r="K381" s="218" t="s">
        <v>14742</v>
      </c>
      <c r="L381" s="185">
        <v>5</v>
      </c>
      <c r="M381" s="91">
        <v>1116000</v>
      </c>
      <c r="N381" s="91">
        <v>2008800</v>
      </c>
      <c r="O381" s="189" t="s">
        <v>10766</v>
      </c>
      <c r="P381" s="47" t="s">
        <v>15587</v>
      </c>
      <c r="Q381" s="47" t="s">
        <v>1612</v>
      </c>
      <c r="R381" s="47" t="s">
        <v>15905</v>
      </c>
      <c r="S381" s="47" t="s">
        <v>15590</v>
      </c>
      <c r="T381" s="46"/>
      <c r="U381" s="46" t="s">
        <v>491</v>
      </c>
      <c r="V381" s="46"/>
    </row>
    <row r="382" spans="1:22" s="47" customFormat="1" ht="90" x14ac:dyDescent="0.25">
      <c r="A382" s="61">
        <v>43600</v>
      </c>
      <c r="B382" s="47" t="s">
        <v>643</v>
      </c>
      <c r="C382" s="46" t="s">
        <v>644</v>
      </c>
      <c r="D382" s="46" t="s">
        <v>645</v>
      </c>
      <c r="E382" s="46"/>
      <c r="F382" s="46" t="s">
        <v>15588</v>
      </c>
      <c r="G382" s="46" t="s">
        <v>15589</v>
      </c>
      <c r="H382" s="46" t="s">
        <v>607</v>
      </c>
      <c r="I382" s="46" t="s">
        <v>4390</v>
      </c>
      <c r="J382" s="46" t="s">
        <v>644</v>
      </c>
      <c r="K382" s="218" t="s">
        <v>13910</v>
      </c>
      <c r="L382" s="185" t="s">
        <v>12803</v>
      </c>
      <c r="M382" s="91">
        <v>565000</v>
      </c>
      <c r="N382" s="91">
        <v>900000</v>
      </c>
      <c r="O382" s="189" t="s">
        <v>10765</v>
      </c>
      <c r="P382" s="47" t="s">
        <v>15906</v>
      </c>
      <c r="Q382" s="47" t="s">
        <v>1939</v>
      </c>
      <c r="R382" s="47" t="s">
        <v>15641</v>
      </c>
      <c r="S382" s="47" t="s">
        <v>15591</v>
      </c>
      <c r="T382" s="46"/>
      <c r="U382" s="46" t="s">
        <v>491</v>
      </c>
      <c r="V382" s="46"/>
    </row>
    <row r="383" spans="1:22" s="47" customFormat="1" ht="131.25" customHeight="1" x14ac:dyDescent="0.25">
      <c r="A383" s="61">
        <v>43601</v>
      </c>
      <c r="B383" s="47" t="s">
        <v>328</v>
      </c>
      <c r="C383" s="46" t="s">
        <v>603</v>
      </c>
      <c r="D383" s="46" t="s">
        <v>10705</v>
      </c>
      <c r="E383" s="46"/>
      <c r="F383" s="46" t="s">
        <v>15594</v>
      </c>
      <c r="G383" s="46" t="s">
        <v>14630</v>
      </c>
      <c r="H383" s="46" t="s">
        <v>5321</v>
      </c>
      <c r="I383" s="46" t="s">
        <v>14849</v>
      </c>
      <c r="J383" s="46" t="s">
        <v>6015</v>
      </c>
      <c r="K383" s="218" t="s">
        <v>14850</v>
      </c>
      <c r="L383" s="185">
        <v>2</v>
      </c>
      <c r="M383" s="91">
        <v>420000</v>
      </c>
      <c r="N383" s="91">
        <v>804000</v>
      </c>
      <c r="O383" s="189" t="s">
        <v>10762</v>
      </c>
      <c r="P383" s="47" t="s">
        <v>15595</v>
      </c>
      <c r="Q383" s="47" t="s">
        <v>1939</v>
      </c>
      <c r="R383" s="47" t="s">
        <v>15782</v>
      </c>
      <c r="S383" s="47" t="s">
        <v>15596</v>
      </c>
      <c r="T383" s="46"/>
      <c r="U383" s="46" t="s">
        <v>491</v>
      </c>
      <c r="V383" s="46"/>
    </row>
    <row r="384" spans="1:22" s="47" customFormat="1" ht="45" x14ac:dyDescent="0.25">
      <c r="A384" s="61">
        <v>43601</v>
      </c>
      <c r="B384" s="47" t="s">
        <v>328</v>
      </c>
      <c r="C384" s="46" t="s">
        <v>603</v>
      </c>
      <c r="D384" s="46" t="s">
        <v>649</v>
      </c>
      <c r="E384" s="46"/>
      <c r="F384" s="46" t="s">
        <v>7831</v>
      </c>
      <c r="G384" s="46" t="s">
        <v>15597</v>
      </c>
      <c r="H384" s="46" t="s">
        <v>809</v>
      </c>
      <c r="I384" s="46" t="s">
        <v>15598</v>
      </c>
      <c r="J384" s="46" t="s">
        <v>604</v>
      </c>
      <c r="K384" s="218" t="s">
        <v>15599</v>
      </c>
      <c r="L384" s="185">
        <v>6</v>
      </c>
      <c r="M384" s="91">
        <v>2520000</v>
      </c>
      <c r="N384" s="91">
        <v>2772000</v>
      </c>
      <c r="O384" s="189" t="s">
        <v>7564</v>
      </c>
      <c r="P384" s="47" t="s">
        <v>15600</v>
      </c>
      <c r="Q384" s="47" t="s">
        <v>1939</v>
      </c>
      <c r="R384" s="47" t="s">
        <v>15605</v>
      </c>
      <c r="S384" s="47" t="s">
        <v>15601</v>
      </c>
      <c r="T384" s="46"/>
      <c r="U384" s="46" t="s">
        <v>491</v>
      </c>
      <c r="V384" s="46"/>
    </row>
    <row r="385" spans="1:35" s="47" customFormat="1" ht="93" customHeight="1" x14ac:dyDescent="0.25">
      <c r="A385" s="61">
        <v>43601</v>
      </c>
      <c r="B385" s="47" t="s">
        <v>328</v>
      </c>
      <c r="C385" s="46" t="s">
        <v>603</v>
      </c>
      <c r="D385" s="46" t="s">
        <v>10705</v>
      </c>
      <c r="E385" s="46"/>
      <c r="F385" s="46" t="s">
        <v>12116</v>
      </c>
      <c r="G385" s="46" t="s">
        <v>732</v>
      </c>
      <c r="H385" s="46" t="s">
        <v>607</v>
      </c>
      <c r="I385" s="46" t="s">
        <v>12287</v>
      </c>
      <c r="J385" s="46" t="s">
        <v>899</v>
      </c>
      <c r="K385" s="218" t="s">
        <v>15602</v>
      </c>
      <c r="L385" s="185">
        <v>3</v>
      </c>
      <c r="M385" s="91">
        <v>645000</v>
      </c>
      <c r="N385" s="91">
        <v>1096500</v>
      </c>
      <c r="O385" s="189" t="s">
        <v>4533</v>
      </c>
      <c r="P385" s="47" t="s">
        <v>15603</v>
      </c>
      <c r="Q385" s="47" t="s">
        <v>1939</v>
      </c>
      <c r="R385" s="47" t="s">
        <v>15604</v>
      </c>
      <c r="T385" s="46"/>
      <c r="U385" s="46" t="s">
        <v>491</v>
      </c>
      <c r="V385" s="46"/>
    </row>
    <row r="386" spans="1:35" s="47" customFormat="1" ht="45" x14ac:dyDescent="0.25">
      <c r="A386" s="61">
        <v>43601</v>
      </c>
      <c r="B386" s="47" t="s">
        <v>328</v>
      </c>
      <c r="C386" s="46" t="s">
        <v>603</v>
      </c>
      <c r="D386" s="46" t="s">
        <v>649</v>
      </c>
      <c r="E386" s="46"/>
      <c r="F386" s="46" t="s">
        <v>15606</v>
      </c>
      <c r="G386" s="46" t="s">
        <v>256</v>
      </c>
      <c r="H386" s="46" t="s">
        <v>886</v>
      </c>
      <c r="I386" s="46" t="s">
        <v>15607</v>
      </c>
      <c r="J386" s="46" t="s">
        <v>899</v>
      </c>
      <c r="K386" s="218" t="s">
        <v>15608</v>
      </c>
      <c r="L386" s="185">
        <v>1</v>
      </c>
      <c r="M386" s="91">
        <v>544577</v>
      </c>
      <c r="N386" s="91">
        <v>900000</v>
      </c>
      <c r="O386" s="189" t="s">
        <v>10766</v>
      </c>
      <c r="P386" s="47" t="s">
        <v>15609</v>
      </c>
      <c r="Q386" s="47" t="s">
        <v>29</v>
      </c>
      <c r="R386" s="47" t="s">
        <v>15611</v>
      </c>
      <c r="S386" s="47" t="s">
        <v>15610</v>
      </c>
      <c r="T386" s="46"/>
      <c r="U386" s="46" t="s">
        <v>491</v>
      </c>
      <c r="V386" s="46"/>
    </row>
    <row r="387" spans="1:35" s="47" customFormat="1" ht="45" x14ac:dyDescent="0.25">
      <c r="A387" s="61">
        <v>43601</v>
      </c>
      <c r="B387" s="47" t="s">
        <v>328</v>
      </c>
      <c r="C387" s="46" t="s">
        <v>603</v>
      </c>
      <c r="D387" s="46" t="s">
        <v>10705</v>
      </c>
      <c r="E387" s="46"/>
      <c r="F387" s="46" t="s">
        <v>15612</v>
      </c>
      <c r="G387" s="46" t="s">
        <v>8263</v>
      </c>
      <c r="H387" s="46" t="s">
        <v>809</v>
      </c>
      <c r="I387" s="46" t="s">
        <v>15613</v>
      </c>
      <c r="J387" s="46" t="s">
        <v>6015</v>
      </c>
      <c r="K387" s="218" t="s">
        <v>15614</v>
      </c>
      <c r="L387" s="185">
        <v>3</v>
      </c>
      <c r="M387" s="91">
        <v>250000</v>
      </c>
      <c r="N387" s="91">
        <v>500000</v>
      </c>
      <c r="O387" s="189" t="s">
        <v>10762</v>
      </c>
      <c r="P387" s="47" t="s">
        <v>15615</v>
      </c>
      <c r="Q387" s="47" t="s">
        <v>29</v>
      </c>
      <c r="R387" s="47" t="s">
        <v>15617</v>
      </c>
      <c r="S387" s="47" t="s">
        <v>15616</v>
      </c>
      <c r="T387" s="46"/>
      <c r="U387" s="46" t="s">
        <v>491</v>
      </c>
      <c r="V387" s="46"/>
    </row>
    <row r="388" spans="1:35" s="47" customFormat="1" ht="60" x14ac:dyDescent="0.25">
      <c r="A388" s="61">
        <v>43601</v>
      </c>
      <c r="B388" s="47" t="s">
        <v>13559</v>
      </c>
      <c r="C388" s="46" t="s">
        <v>4031</v>
      </c>
      <c r="D388" s="46" t="s">
        <v>13560</v>
      </c>
      <c r="E388" s="46"/>
      <c r="F388" s="46" t="s">
        <v>15618</v>
      </c>
      <c r="G388" s="46"/>
      <c r="H388" s="46" t="s">
        <v>607</v>
      </c>
      <c r="I388" s="46" t="s">
        <v>15619</v>
      </c>
      <c r="J388" s="46" t="s">
        <v>603</v>
      </c>
      <c r="K388" s="218" t="s">
        <v>15620</v>
      </c>
      <c r="L388" s="185">
        <v>5</v>
      </c>
      <c r="M388" s="91">
        <v>325000</v>
      </c>
      <c r="N388" s="91">
        <v>725000</v>
      </c>
      <c r="O388" s="189" t="s">
        <v>10762</v>
      </c>
      <c r="P388" s="47" t="s">
        <v>15621</v>
      </c>
      <c r="Q388" s="47" t="s">
        <v>592</v>
      </c>
      <c r="R388" s="47" t="s">
        <v>15622</v>
      </c>
      <c r="T388" s="46"/>
      <c r="U388" s="46" t="s">
        <v>491</v>
      </c>
      <c r="V388" s="46"/>
    </row>
    <row r="389" spans="1:35" s="47" customFormat="1" ht="90" x14ac:dyDescent="0.25">
      <c r="A389" s="61">
        <v>43601</v>
      </c>
      <c r="B389" s="47" t="s">
        <v>643</v>
      </c>
      <c r="C389" s="46" t="s">
        <v>644</v>
      </c>
      <c r="D389" s="46" t="s">
        <v>645</v>
      </c>
      <c r="E389" s="46"/>
      <c r="F389" s="46" t="s">
        <v>10173</v>
      </c>
      <c r="G389" s="46" t="s">
        <v>15623</v>
      </c>
      <c r="H389" s="46" t="s">
        <v>2510</v>
      </c>
      <c r="I389" s="46" t="s">
        <v>5212</v>
      </c>
      <c r="J389" s="46" t="s">
        <v>644</v>
      </c>
      <c r="K389" s="218" t="s">
        <v>15529</v>
      </c>
      <c r="L389" s="185">
        <v>1</v>
      </c>
      <c r="M389" s="91">
        <v>500000</v>
      </c>
      <c r="N389" s="91">
        <v>820000</v>
      </c>
      <c r="O389" s="189" t="s">
        <v>10766</v>
      </c>
      <c r="P389" s="47" t="s">
        <v>15624</v>
      </c>
      <c r="Q389" s="47" t="s">
        <v>1939</v>
      </c>
      <c r="R389" s="47" t="s">
        <v>15625</v>
      </c>
      <c r="S389" s="47" t="s">
        <v>15626</v>
      </c>
      <c r="T389" s="46"/>
      <c r="U389" s="46" t="s">
        <v>491</v>
      </c>
      <c r="V389" s="46"/>
    </row>
    <row r="390" spans="1:35" s="47" customFormat="1" ht="45" x14ac:dyDescent="0.25">
      <c r="A390" s="61">
        <v>43601</v>
      </c>
      <c r="B390" s="47" t="s">
        <v>328</v>
      </c>
      <c r="C390" s="46" t="s">
        <v>603</v>
      </c>
      <c r="D390" s="46" t="s">
        <v>649</v>
      </c>
      <c r="E390" s="46"/>
      <c r="F390" s="46" t="s">
        <v>15627</v>
      </c>
      <c r="G390" s="46" t="s">
        <v>15628</v>
      </c>
      <c r="H390" s="46" t="s">
        <v>607</v>
      </c>
      <c r="I390" s="46" t="s">
        <v>11126</v>
      </c>
      <c r="J390" s="46" t="s">
        <v>3533</v>
      </c>
      <c r="K390" s="218" t="s">
        <v>13342</v>
      </c>
      <c r="L390" s="185">
        <v>10</v>
      </c>
      <c r="M390" s="91">
        <v>1539000</v>
      </c>
      <c r="N390" s="91">
        <v>3308850</v>
      </c>
      <c r="O390" s="189" t="s">
        <v>560</v>
      </c>
      <c r="P390" s="47" t="s">
        <v>15629</v>
      </c>
      <c r="Q390" s="47" t="s">
        <v>592</v>
      </c>
      <c r="R390" s="47" t="s">
        <v>15630</v>
      </c>
      <c r="S390" s="47" t="s">
        <v>15631</v>
      </c>
      <c r="T390" s="46"/>
      <c r="U390" s="46" t="s">
        <v>491</v>
      </c>
      <c r="V390" s="46"/>
    </row>
    <row r="391" spans="1:35" s="47" customFormat="1" ht="90" x14ac:dyDescent="0.25">
      <c r="A391" s="61">
        <v>43602</v>
      </c>
      <c r="B391" s="47" t="s">
        <v>13559</v>
      </c>
      <c r="C391" s="46" t="s">
        <v>4031</v>
      </c>
      <c r="D391" s="46" t="s">
        <v>13560</v>
      </c>
      <c r="E391" s="46"/>
      <c r="F391" s="46" t="s">
        <v>15632</v>
      </c>
      <c r="G391" s="46" t="s">
        <v>7814</v>
      </c>
      <c r="H391" s="46" t="s">
        <v>607</v>
      </c>
      <c r="I391" s="46" t="s">
        <v>15633</v>
      </c>
      <c r="J391" s="46" t="s">
        <v>4031</v>
      </c>
      <c r="K391" s="218" t="s">
        <v>15634</v>
      </c>
      <c r="L391" s="185">
        <v>2</v>
      </c>
      <c r="M391" s="91">
        <v>2319000</v>
      </c>
      <c r="N391" s="91">
        <v>3282800</v>
      </c>
      <c r="O391" s="189" t="s">
        <v>10765</v>
      </c>
      <c r="P391" s="47" t="s">
        <v>15907</v>
      </c>
      <c r="Q391" s="47" t="s">
        <v>1612</v>
      </c>
      <c r="R391" s="47" t="s">
        <v>15635</v>
      </c>
      <c r="T391" s="46"/>
      <c r="U391" s="46" t="s">
        <v>12344</v>
      </c>
      <c r="V391" s="46"/>
    </row>
    <row r="392" spans="1:35" s="47" customFormat="1" ht="90" x14ac:dyDescent="0.25">
      <c r="A392" s="61">
        <v>43602</v>
      </c>
      <c r="B392" s="47" t="s">
        <v>328</v>
      </c>
      <c r="C392" s="46" t="s">
        <v>603</v>
      </c>
      <c r="D392" s="46" t="s">
        <v>10705</v>
      </c>
      <c r="E392" s="46"/>
      <c r="F392" s="46" t="s">
        <v>15636</v>
      </c>
      <c r="G392" s="46" t="s">
        <v>7714</v>
      </c>
      <c r="H392" s="46" t="s">
        <v>607</v>
      </c>
      <c r="I392" s="46" t="s">
        <v>3646</v>
      </c>
      <c r="J392" s="46" t="s">
        <v>644</v>
      </c>
      <c r="K392" s="218" t="s">
        <v>15638</v>
      </c>
      <c r="L392" s="185">
        <v>9</v>
      </c>
      <c r="M392" s="91">
        <v>1500000</v>
      </c>
      <c r="N392" s="91">
        <v>3250000</v>
      </c>
      <c r="O392" s="189" t="s">
        <v>7124</v>
      </c>
      <c r="P392" s="47" t="s">
        <v>15639</v>
      </c>
      <c r="Q392" s="47" t="s">
        <v>29</v>
      </c>
      <c r="R392" s="47" t="s">
        <v>15640</v>
      </c>
      <c r="S392" s="47" t="s">
        <v>15637</v>
      </c>
      <c r="T392" s="46"/>
      <c r="U392" s="46" t="s">
        <v>12344</v>
      </c>
      <c r="V392" s="46"/>
    </row>
    <row r="393" spans="1:35" s="47" customFormat="1" ht="90" x14ac:dyDescent="0.25">
      <c r="A393" s="61">
        <v>43602</v>
      </c>
      <c r="B393" s="47" t="s">
        <v>13559</v>
      </c>
      <c r="C393" s="46" t="s">
        <v>3523</v>
      </c>
      <c r="D393" s="46" t="s">
        <v>14673</v>
      </c>
      <c r="E393" s="46"/>
      <c r="F393" s="46" t="s">
        <v>15642</v>
      </c>
      <c r="G393" s="46" t="s">
        <v>5372</v>
      </c>
      <c r="H393" s="46" t="s">
        <v>607</v>
      </c>
      <c r="I393" s="46" t="s">
        <v>6836</v>
      </c>
      <c r="J393" s="46" t="s">
        <v>3523</v>
      </c>
      <c r="K393" s="218" t="s">
        <v>15643</v>
      </c>
      <c r="L393" s="185">
        <v>3</v>
      </c>
      <c r="M393" s="91">
        <v>452000</v>
      </c>
      <c r="N393" s="91">
        <f>+M393+45200+347600+90400</f>
        <v>935200</v>
      </c>
      <c r="O393" s="189" t="s">
        <v>10766</v>
      </c>
      <c r="P393" s="47" t="s">
        <v>15659</v>
      </c>
      <c r="Q393" s="47" t="s">
        <v>29</v>
      </c>
      <c r="R393" s="47" t="s">
        <v>15647</v>
      </c>
      <c r="S393" s="47" t="s">
        <v>15646</v>
      </c>
      <c r="T393" s="46"/>
      <c r="U393" s="46" t="s">
        <v>12344</v>
      </c>
      <c r="V393" s="46"/>
    </row>
    <row r="394" spans="1:35" s="47" customFormat="1" ht="60" x14ac:dyDescent="0.25">
      <c r="A394" s="61">
        <v>43602</v>
      </c>
      <c r="B394" s="47" t="s">
        <v>9240</v>
      </c>
      <c r="C394" s="46" t="s">
        <v>603</v>
      </c>
      <c r="D394" s="46" t="s">
        <v>7814</v>
      </c>
      <c r="E394" s="46"/>
      <c r="F394" s="46"/>
      <c r="G394" s="46"/>
      <c r="H394" s="46" t="s">
        <v>607</v>
      </c>
      <c r="I394" s="46"/>
      <c r="J394" s="46"/>
      <c r="K394" s="218"/>
      <c r="L394" s="185"/>
      <c r="M394" s="91"/>
      <c r="N394" s="91"/>
      <c r="O394" s="189" t="s">
        <v>10763</v>
      </c>
      <c r="P394" s="47" t="s">
        <v>15645</v>
      </c>
      <c r="Q394" s="47" t="s">
        <v>29</v>
      </c>
      <c r="R394" s="47" t="s">
        <v>15648</v>
      </c>
      <c r="T394" s="46"/>
      <c r="U394" s="46" t="s">
        <v>12344</v>
      </c>
      <c r="V394" s="46"/>
    </row>
    <row r="395" spans="1:35" s="47" customFormat="1" ht="60" x14ac:dyDescent="0.25">
      <c r="A395" s="61">
        <v>43602</v>
      </c>
      <c r="B395" s="47" t="s">
        <v>328</v>
      </c>
      <c r="C395" s="46" t="s">
        <v>603</v>
      </c>
      <c r="D395" s="46" t="s">
        <v>10705</v>
      </c>
      <c r="E395" s="46"/>
      <c r="F395" s="46" t="s">
        <v>15649</v>
      </c>
      <c r="G395" s="46" t="s">
        <v>11967</v>
      </c>
      <c r="H395" s="46" t="s">
        <v>607</v>
      </c>
      <c r="I395" s="46" t="s">
        <v>5862</v>
      </c>
      <c r="J395" s="46" t="s">
        <v>6015</v>
      </c>
      <c r="K395" s="218" t="s">
        <v>15651</v>
      </c>
      <c r="L395" s="185">
        <v>9</v>
      </c>
      <c r="M395" s="91">
        <v>2000000</v>
      </c>
      <c r="N395" s="91">
        <v>3400000</v>
      </c>
      <c r="O395" s="189" t="s">
        <v>10766</v>
      </c>
      <c r="P395" s="47" t="s">
        <v>15650</v>
      </c>
      <c r="Q395" s="47" t="s">
        <v>29</v>
      </c>
      <c r="R395" s="47" t="s">
        <v>15652</v>
      </c>
      <c r="T395" s="46"/>
      <c r="U395" s="46" t="s">
        <v>15653</v>
      </c>
      <c r="V395" s="46"/>
    </row>
    <row r="396" spans="1:35" s="47" customFormat="1" ht="75" x14ac:dyDescent="0.25">
      <c r="A396" s="61">
        <v>43605</v>
      </c>
      <c r="B396" s="47" t="s">
        <v>328</v>
      </c>
      <c r="C396" s="46" t="s">
        <v>603</v>
      </c>
      <c r="D396" s="46" t="s">
        <v>10705</v>
      </c>
      <c r="E396" s="46"/>
      <c r="F396" s="46" t="s">
        <v>15654</v>
      </c>
      <c r="G396" s="46" t="s">
        <v>9305</v>
      </c>
      <c r="H396" s="46" t="s">
        <v>10832</v>
      </c>
      <c r="I396" s="46" t="s">
        <v>15655</v>
      </c>
      <c r="J396" s="46" t="s">
        <v>4031</v>
      </c>
      <c r="K396" s="218" t="s">
        <v>15656</v>
      </c>
      <c r="L396" s="185">
        <v>3</v>
      </c>
      <c r="M396" s="91">
        <v>480000</v>
      </c>
      <c r="N396" s="91">
        <v>816000</v>
      </c>
      <c r="O396" s="189" t="s">
        <v>4533</v>
      </c>
      <c r="P396" s="47" t="s">
        <v>15657</v>
      </c>
      <c r="Q396" s="47" t="s">
        <v>29</v>
      </c>
      <c r="R396" s="47" t="s">
        <v>15658</v>
      </c>
      <c r="T396" s="46"/>
      <c r="U396" s="46" t="s">
        <v>491</v>
      </c>
      <c r="V396" s="46"/>
      <c r="AI396" s="47" t="s">
        <v>15665</v>
      </c>
    </row>
    <row r="397" spans="1:35" s="47" customFormat="1" ht="45" x14ac:dyDescent="0.25">
      <c r="A397" s="61">
        <v>43605</v>
      </c>
      <c r="B397" s="47" t="s">
        <v>569</v>
      </c>
      <c r="C397" s="46" t="s">
        <v>899</v>
      </c>
      <c r="D397" s="46" t="s">
        <v>3132</v>
      </c>
      <c r="E397" s="46"/>
      <c r="F397" s="46" t="s">
        <v>10006</v>
      </c>
      <c r="G397" s="46" t="s">
        <v>15660</v>
      </c>
      <c r="H397" s="46" t="s">
        <v>607</v>
      </c>
      <c r="I397" s="46" t="s">
        <v>15661</v>
      </c>
      <c r="J397" s="46" t="s">
        <v>899</v>
      </c>
      <c r="K397" s="218" t="s">
        <v>15662</v>
      </c>
      <c r="L397" s="185">
        <v>5</v>
      </c>
      <c r="M397" s="91">
        <v>490600</v>
      </c>
      <c r="N397" s="91">
        <v>800000</v>
      </c>
      <c r="O397" s="189" t="s">
        <v>10766</v>
      </c>
      <c r="P397" s="47" t="s">
        <v>15663</v>
      </c>
      <c r="Q397" s="47" t="s">
        <v>1939</v>
      </c>
      <c r="R397" s="47" t="s">
        <v>15664</v>
      </c>
      <c r="T397" s="46"/>
      <c r="U397" s="46" t="s">
        <v>491</v>
      </c>
      <c r="V397" s="46"/>
    </row>
    <row r="398" spans="1:35" s="47" customFormat="1" ht="60" x14ac:dyDescent="0.25">
      <c r="A398" s="61">
        <v>43605</v>
      </c>
      <c r="B398" s="47" t="s">
        <v>328</v>
      </c>
      <c r="C398" s="46" t="s">
        <v>603</v>
      </c>
      <c r="D398" s="46" t="s">
        <v>10705</v>
      </c>
      <c r="E398" s="46"/>
      <c r="F398" s="46" t="s">
        <v>15666</v>
      </c>
      <c r="G398" s="46" t="s">
        <v>15667</v>
      </c>
      <c r="H398" s="46" t="s">
        <v>607</v>
      </c>
      <c r="I398" s="46" t="s">
        <v>393</v>
      </c>
      <c r="J398" s="46" t="s">
        <v>761</v>
      </c>
      <c r="K398" s="218" t="s">
        <v>15668</v>
      </c>
      <c r="L398" s="185">
        <v>4</v>
      </c>
      <c r="M398" s="91">
        <v>394000</v>
      </c>
      <c r="N398" s="91">
        <v>807200</v>
      </c>
      <c r="O398" s="189" t="s">
        <v>4533</v>
      </c>
      <c r="P398" s="47" t="s">
        <v>15669</v>
      </c>
      <c r="Q398" s="47" t="s">
        <v>592</v>
      </c>
      <c r="R398" s="47" t="s">
        <v>15670</v>
      </c>
      <c r="T398" s="46"/>
      <c r="U398" s="46" t="s">
        <v>491</v>
      </c>
      <c r="V398" s="46"/>
    </row>
    <row r="399" spans="1:35" s="47" customFormat="1" ht="75" x14ac:dyDescent="0.25">
      <c r="A399" s="61">
        <v>43605</v>
      </c>
      <c r="B399" s="47" t="s">
        <v>13559</v>
      </c>
      <c r="C399" s="46" t="s">
        <v>3523</v>
      </c>
      <c r="D399" s="46" t="s">
        <v>14673</v>
      </c>
      <c r="E399" s="46"/>
      <c r="F399" s="46" t="s">
        <v>15671</v>
      </c>
      <c r="G399" s="46" t="s">
        <v>15672</v>
      </c>
      <c r="H399" s="46" t="s">
        <v>10831</v>
      </c>
      <c r="I399" s="46" t="s">
        <v>15673</v>
      </c>
      <c r="J399" s="46" t="s">
        <v>3523</v>
      </c>
      <c r="K399" s="218" t="s">
        <v>15674</v>
      </c>
      <c r="L399" s="185">
        <v>10</v>
      </c>
      <c r="M399" s="91">
        <v>100000</v>
      </c>
      <c r="N399" s="91">
        <v>170000</v>
      </c>
      <c r="O399" s="189" t="s">
        <v>10765</v>
      </c>
      <c r="P399" s="47" t="s">
        <v>15676</v>
      </c>
      <c r="Q399" s="47" t="s">
        <v>29</v>
      </c>
      <c r="R399" s="47" t="s">
        <v>15677</v>
      </c>
      <c r="S399" s="47" t="s">
        <v>15675</v>
      </c>
      <c r="T399" s="46"/>
      <c r="U399" s="46" t="s">
        <v>491</v>
      </c>
      <c r="V399" s="46"/>
    </row>
    <row r="400" spans="1:35" s="47" customFormat="1" ht="101.25" customHeight="1" x14ac:dyDescent="0.25">
      <c r="A400" s="61">
        <v>43606</v>
      </c>
      <c r="B400" s="47" t="s">
        <v>328</v>
      </c>
      <c r="C400" s="46" t="s">
        <v>603</v>
      </c>
      <c r="D400" s="46" t="s">
        <v>1401</v>
      </c>
      <c r="E400" s="46"/>
      <c r="F400" s="46" t="s">
        <v>11614</v>
      </c>
      <c r="G400" s="46" t="s">
        <v>11205</v>
      </c>
      <c r="H400" s="46" t="s">
        <v>10831</v>
      </c>
      <c r="I400" s="46" t="s">
        <v>15678</v>
      </c>
      <c r="J400" s="46" t="s">
        <v>3398</v>
      </c>
      <c r="K400" s="218" t="s">
        <v>15679</v>
      </c>
      <c r="L400" s="185">
        <v>10</v>
      </c>
      <c r="M400" s="91">
        <v>1863000</v>
      </c>
      <c r="N400" s="91">
        <v>3340800</v>
      </c>
      <c r="O400" s="189" t="s">
        <v>560</v>
      </c>
      <c r="P400" s="47" t="s">
        <v>15681</v>
      </c>
      <c r="Q400" s="47" t="s">
        <v>29</v>
      </c>
      <c r="R400" s="47" t="s">
        <v>15715</v>
      </c>
      <c r="S400" s="47" t="s">
        <v>15680</v>
      </c>
      <c r="T400" s="46"/>
      <c r="U400" s="46" t="s">
        <v>491</v>
      </c>
      <c r="V400" s="46"/>
    </row>
    <row r="401" spans="1:22" s="47" customFormat="1" ht="75" x14ac:dyDescent="0.25">
      <c r="A401" s="61">
        <v>43606</v>
      </c>
      <c r="B401" s="47" t="s">
        <v>5956</v>
      </c>
      <c r="C401" s="46" t="s">
        <v>3369</v>
      </c>
      <c r="D401" s="46" t="s">
        <v>8126</v>
      </c>
      <c r="E401" s="46"/>
      <c r="F401" s="46" t="s">
        <v>15682</v>
      </c>
      <c r="G401" s="46" t="s">
        <v>15683</v>
      </c>
      <c r="H401" s="46" t="s">
        <v>607</v>
      </c>
      <c r="I401" s="46" t="s">
        <v>15684</v>
      </c>
      <c r="J401" s="46" t="s">
        <v>4825</v>
      </c>
      <c r="K401" s="218" t="s">
        <v>15685</v>
      </c>
      <c r="L401" s="185">
        <v>10</v>
      </c>
      <c r="M401" s="91">
        <v>380000</v>
      </c>
      <c r="N401" s="91">
        <v>830000</v>
      </c>
      <c r="O401" s="189" t="s">
        <v>4533</v>
      </c>
      <c r="P401" s="47" t="s">
        <v>15686</v>
      </c>
      <c r="Q401" s="47" t="s">
        <v>620</v>
      </c>
      <c r="R401" s="47" t="s">
        <v>15687</v>
      </c>
      <c r="S401" s="47" t="s">
        <v>15688</v>
      </c>
      <c r="T401" s="46"/>
      <c r="U401" s="46" t="s">
        <v>491</v>
      </c>
      <c r="V401" s="46"/>
    </row>
    <row r="402" spans="1:22" s="47" customFormat="1" ht="60" x14ac:dyDescent="0.25">
      <c r="A402" s="61">
        <v>43606</v>
      </c>
      <c r="B402" s="47" t="s">
        <v>328</v>
      </c>
      <c r="C402" s="46" t="s">
        <v>603</v>
      </c>
      <c r="D402" s="46" t="s">
        <v>10338</v>
      </c>
      <c r="E402" s="46"/>
      <c r="F402" s="46" t="s">
        <v>15690</v>
      </c>
      <c r="G402" s="46" t="s">
        <v>7814</v>
      </c>
      <c r="H402" s="46" t="s">
        <v>607</v>
      </c>
      <c r="I402" s="46" t="s">
        <v>15692</v>
      </c>
      <c r="J402" s="46" t="s">
        <v>3733</v>
      </c>
      <c r="K402" s="218" t="s">
        <v>15693</v>
      </c>
      <c r="L402" s="185">
        <v>3</v>
      </c>
      <c r="M402" s="91">
        <v>196000</v>
      </c>
      <c r="N402" s="91">
        <v>260000</v>
      </c>
      <c r="O402" s="189" t="s">
        <v>6745</v>
      </c>
      <c r="P402" s="47" t="s">
        <v>15694</v>
      </c>
      <c r="Q402" s="47" t="s">
        <v>1939</v>
      </c>
      <c r="R402" s="47" t="s">
        <v>15695</v>
      </c>
      <c r="S402" s="47" t="s">
        <v>15691</v>
      </c>
      <c r="T402" s="46"/>
      <c r="U402" s="46" t="s">
        <v>491</v>
      </c>
      <c r="V402" s="46"/>
    </row>
    <row r="403" spans="1:22" s="47" customFormat="1" ht="60" x14ac:dyDescent="0.25">
      <c r="A403" s="61">
        <v>43607</v>
      </c>
      <c r="B403" s="47" t="s">
        <v>569</v>
      </c>
      <c r="C403" s="46" t="s">
        <v>899</v>
      </c>
      <c r="D403" s="46" t="s">
        <v>625</v>
      </c>
      <c r="E403" s="46"/>
      <c r="F403" s="46" t="s">
        <v>15696</v>
      </c>
      <c r="G403" s="46" t="s">
        <v>10999</v>
      </c>
      <c r="H403" s="46" t="s">
        <v>607</v>
      </c>
      <c r="I403" s="46" t="s">
        <v>3388</v>
      </c>
      <c r="J403" s="46" t="s">
        <v>899</v>
      </c>
      <c r="K403" s="218" t="s">
        <v>15697</v>
      </c>
      <c r="L403" s="185">
        <v>5</v>
      </c>
      <c r="M403" s="91">
        <v>700000</v>
      </c>
      <c r="N403" s="91">
        <v>1540000</v>
      </c>
      <c r="O403" s="189" t="s">
        <v>10766</v>
      </c>
      <c r="P403" s="47" t="s">
        <v>15698</v>
      </c>
      <c r="Q403" s="47" t="s">
        <v>1939</v>
      </c>
      <c r="R403" s="47" t="s">
        <v>15700</v>
      </c>
      <c r="S403" s="47" t="s">
        <v>15699</v>
      </c>
      <c r="T403" s="46"/>
      <c r="U403" s="46" t="s">
        <v>491</v>
      </c>
      <c r="V403" s="46"/>
    </row>
    <row r="404" spans="1:22" s="47" customFormat="1" ht="45" x14ac:dyDescent="0.25">
      <c r="A404" s="61">
        <v>43607</v>
      </c>
      <c r="B404" s="47" t="s">
        <v>328</v>
      </c>
      <c r="C404" s="46" t="s">
        <v>603</v>
      </c>
      <c r="D404" s="46" t="s">
        <v>1401</v>
      </c>
      <c r="E404" s="46"/>
      <c r="F404" s="46" t="s">
        <v>15701</v>
      </c>
      <c r="G404" s="46" t="s">
        <v>8383</v>
      </c>
      <c r="H404" s="46" t="s">
        <v>607</v>
      </c>
      <c r="I404" s="46" t="s">
        <v>11104</v>
      </c>
      <c r="J404" s="46" t="s">
        <v>3751</v>
      </c>
      <c r="K404" s="218" t="s">
        <v>15702</v>
      </c>
      <c r="L404" s="185">
        <v>3</v>
      </c>
      <c r="M404" s="91">
        <v>172514</v>
      </c>
      <c r="N404" s="91">
        <v>350000</v>
      </c>
      <c r="O404" s="189" t="s">
        <v>4533</v>
      </c>
      <c r="P404" s="47" t="s">
        <v>15703</v>
      </c>
      <c r="Q404" s="47" t="s">
        <v>29</v>
      </c>
      <c r="R404" s="47" t="s">
        <v>15704</v>
      </c>
      <c r="S404" s="47" t="s">
        <v>15705</v>
      </c>
      <c r="T404" s="46"/>
      <c r="U404" s="46" t="s">
        <v>491</v>
      </c>
      <c r="V404" s="46"/>
    </row>
    <row r="405" spans="1:22" s="47" customFormat="1" ht="60" x14ac:dyDescent="0.25">
      <c r="A405" s="61">
        <v>43607</v>
      </c>
      <c r="B405" s="47" t="s">
        <v>9240</v>
      </c>
      <c r="C405" s="46" t="s">
        <v>603</v>
      </c>
      <c r="D405" s="46" t="s">
        <v>9849</v>
      </c>
      <c r="E405" s="46"/>
      <c r="F405" s="46" t="s">
        <v>15706</v>
      </c>
      <c r="G405" s="46" t="s">
        <v>15707</v>
      </c>
      <c r="H405" s="46" t="s">
        <v>607</v>
      </c>
      <c r="I405" s="46" t="s">
        <v>3809</v>
      </c>
      <c r="J405" s="46" t="s">
        <v>602</v>
      </c>
      <c r="K405" s="218" t="s">
        <v>15708</v>
      </c>
      <c r="L405" s="185">
        <v>1</v>
      </c>
      <c r="M405" s="91">
        <v>266000</v>
      </c>
      <c r="N405" s="91">
        <v>380000</v>
      </c>
      <c r="O405" s="189" t="s">
        <v>4533</v>
      </c>
      <c r="P405" s="47" t="s">
        <v>15709</v>
      </c>
      <c r="Q405" s="47" t="s">
        <v>620</v>
      </c>
      <c r="R405" s="47" t="s">
        <v>15711</v>
      </c>
      <c r="S405" s="47" t="s">
        <v>15710</v>
      </c>
      <c r="T405" s="46"/>
      <c r="U405" s="46" t="s">
        <v>491</v>
      </c>
      <c r="V405" s="46"/>
    </row>
    <row r="406" spans="1:22" s="47" customFormat="1" ht="100.5" customHeight="1" x14ac:dyDescent="0.25">
      <c r="A406" s="61">
        <v>43607</v>
      </c>
      <c r="B406" s="47" t="s">
        <v>328</v>
      </c>
      <c r="C406" s="46" t="s">
        <v>603</v>
      </c>
      <c r="D406" s="46" t="s">
        <v>10338</v>
      </c>
      <c r="E406" s="46"/>
      <c r="F406" s="46" t="s">
        <v>15712</v>
      </c>
      <c r="G406" s="46" t="s">
        <v>8044</v>
      </c>
      <c r="H406" s="46" t="s">
        <v>607</v>
      </c>
      <c r="I406" s="46" t="s">
        <v>15407</v>
      </c>
      <c r="J406" s="46" t="s">
        <v>3373</v>
      </c>
      <c r="K406" s="218" t="s">
        <v>15713</v>
      </c>
      <c r="L406" s="185">
        <v>3</v>
      </c>
      <c r="M406" s="91">
        <v>110000</v>
      </c>
      <c r="N406" s="91">
        <v>171000</v>
      </c>
      <c r="O406" s="189" t="s">
        <v>4533</v>
      </c>
      <c r="P406" s="47" t="s">
        <v>15714</v>
      </c>
      <c r="Q406" s="47" t="s">
        <v>29</v>
      </c>
      <c r="R406" s="47" t="s">
        <v>15908</v>
      </c>
      <c r="S406" s="47" t="s">
        <v>15705</v>
      </c>
      <c r="T406" s="46"/>
      <c r="U406" s="46" t="s">
        <v>491</v>
      </c>
      <c r="V406" s="46"/>
    </row>
    <row r="407" spans="1:22" s="47" customFormat="1" ht="188.25" customHeight="1" x14ac:dyDescent="0.25">
      <c r="A407" s="61">
        <v>43608</v>
      </c>
      <c r="B407" s="47" t="s">
        <v>13559</v>
      </c>
      <c r="C407" s="46" t="s">
        <v>6575</v>
      </c>
      <c r="D407" s="46" t="s">
        <v>9183</v>
      </c>
      <c r="E407" s="46"/>
      <c r="F407" s="46" t="s">
        <v>15716</v>
      </c>
      <c r="G407" s="46" t="s">
        <v>8941</v>
      </c>
      <c r="H407" s="46" t="s">
        <v>607</v>
      </c>
      <c r="I407" s="46" t="s">
        <v>15717</v>
      </c>
      <c r="J407" s="46" t="s">
        <v>6575</v>
      </c>
      <c r="K407" s="218" t="s">
        <v>15718</v>
      </c>
      <c r="L407" s="185">
        <v>9</v>
      </c>
      <c r="M407" s="91">
        <v>2960000</v>
      </c>
      <c r="N407" s="91">
        <v>4590000</v>
      </c>
      <c r="O407" s="189" t="s">
        <v>10765</v>
      </c>
      <c r="P407" s="47" t="s">
        <v>15719</v>
      </c>
      <c r="Q407" s="47" t="s">
        <v>620</v>
      </c>
      <c r="R407" s="47" t="s">
        <v>15737</v>
      </c>
      <c r="S407" s="47" t="s">
        <v>15736</v>
      </c>
      <c r="T407" s="46"/>
      <c r="U407" s="46" t="s">
        <v>491</v>
      </c>
      <c r="V407" s="46"/>
    </row>
    <row r="408" spans="1:22" s="47" customFormat="1" ht="111" customHeight="1" x14ac:dyDescent="0.25">
      <c r="A408" s="61">
        <v>43608</v>
      </c>
      <c r="B408" s="47" t="s">
        <v>328</v>
      </c>
      <c r="C408" s="46" t="s">
        <v>603</v>
      </c>
      <c r="D408" s="46" t="s">
        <v>649</v>
      </c>
      <c r="E408" s="46"/>
      <c r="F408" s="46" t="s">
        <v>15726</v>
      </c>
      <c r="G408" s="46" t="s">
        <v>10338</v>
      </c>
      <c r="H408" s="46" t="s">
        <v>886</v>
      </c>
      <c r="I408" s="46" t="s">
        <v>10858</v>
      </c>
      <c r="J408" s="46" t="s">
        <v>3373</v>
      </c>
      <c r="K408" s="218" t="s">
        <v>15727</v>
      </c>
      <c r="L408" s="185" t="s">
        <v>14122</v>
      </c>
      <c r="M408" s="91">
        <v>235000</v>
      </c>
      <c r="N408" s="91">
        <v>270000</v>
      </c>
      <c r="O408" s="189" t="s">
        <v>2295</v>
      </c>
      <c r="P408" s="47" t="s">
        <v>15728</v>
      </c>
      <c r="Q408" s="47" t="s">
        <v>620</v>
      </c>
      <c r="R408" s="47" t="s">
        <v>15729</v>
      </c>
      <c r="T408" s="46"/>
      <c r="U408" s="46" t="s">
        <v>491</v>
      </c>
      <c r="V408" s="46"/>
    </row>
    <row r="409" spans="1:22" s="47" customFormat="1" ht="141.75" customHeight="1" x14ac:dyDescent="0.25">
      <c r="A409" s="61">
        <v>43608</v>
      </c>
      <c r="B409" s="47" t="s">
        <v>13559</v>
      </c>
      <c r="C409" s="46" t="s">
        <v>3370</v>
      </c>
      <c r="D409" s="46" t="s">
        <v>14656</v>
      </c>
      <c r="E409" s="46"/>
      <c r="F409" s="46" t="s">
        <v>15730</v>
      </c>
      <c r="G409" s="46" t="s">
        <v>15731</v>
      </c>
      <c r="H409" s="46" t="s">
        <v>905</v>
      </c>
      <c r="I409" s="46" t="s">
        <v>6796</v>
      </c>
      <c r="J409" s="46" t="s">
        <v>3370</v>
      </c>
      <c r="K409" s="218" t="s">
        <v>15732</v>
      </c>
      <c r="L409" s="185">
        <v>3</v>
      </c>
      <c r="M409" s="91">
        <v>165000</v>
      </c>
      <c r="N409" s="91">
        <v>240000</v>
      </c>
      <c r="O409" s="189" t="s">
        <v>10766</v>
      </c>
      <c r="P409" s="47" t="s">
        <v>15733</v>
      </c>
      <c r="Q409" s="47" t="s">
        <v>620</v>
      </c>
      <c r="R409" s="47" t="s">
        <v>15735</v>
      </c>
      <c r="S409" s="47" t="s">
        <v>15734</v>
      </c>
      <c r="T409" s="46"/>
      <c r="U409" s="46" t="s">
        <v>491</v>
      </c>
      <c r="V409" s="46"/>
    </row>
    <row r="410" spans="1:22" s="47" customFormat="1" ht="115.5" customHeight="1" x14ac:dyDescent="0.25">
      <c r="A410" s="61">
        <v>43608</v>
      </c>
      <c r="B410" s="47" t="s">
        <v>13559</v>
      </c>
      <c r="C410" s="46" t="s">
        <v>3523</v>
      </c>
      <c r="D410" s="46" t="s">
        <v>9545</v>
      </c>
      <c r="E410" s="46"/>
      <c r="F410" s="46" t="s">
        <v>15738</v>
      </c>
      <c r="G410" s="46" t="s">
        <v>4818</v>
      </c>
      <c r="H410" s="46" t="s">
        <v>607</v>
      </c>
      <c r="I410" s="46" t="s">
        <v>15102</v>
      </c>
      <c r="J410" s="46" t="s">
        <v>3523</v>
      </c>
      <c r="K410" s="218" t="s">
        <v>15739</v>
      </c>
      <c r="L410" s="185">
        <v>9</v>
      </c>
      <c r="M410" s="91">
        <v>310852</v>
      </c>
      <c r="N410" s="91">
        <v>540000</v>
      </c>
      <c r="O410" s="189" t="s">
        <v>10763</v>
      </c>
      <c r="P410" s="47" t="s">
        <v>15740</v>
      </c>
      <c r="Q410" s="47" t="s">
        <v>1939</v>
      </c>
      <c r="R410" s="47" t="s">
        <v>15741</v>
      </c>
      <c r="T410" s="46"/>
      <c r="U410" s="46" t="s">
        <v>491</v>
      </c>
      <c r="V410" s="46"/>
    </row>
    <row r="411" spans="1:22" s="47" customFormat="1" ht="176.25" customHeight="1" x14ac:dyDescent="0.25">
      <c r="A411" s="61">
        <v>43609</v>
      </c>
      <c r="B411" s="47" t="s">
        <v>643</v>
      </c>
      <c r="C411" s="46" t="s">
        <v>644</v>
      </c>
      <c r="D411" s="46" t="s">
        <v>645</v>
      </c>
      <c r="E411" s="46"/>
      <c r="F411" s="46" t="s">
        <v>15742</v>
      </c>
      <c r="G411" s="46" t="s">
        <v>7757</v>
      </c>
      <c r="H411" s="46" t="s">
        <v>607</v>
      </c>
      <c r="I411" s="46" t="s">
        <v>3646</v>
      </c>
      <c r="J411" s="46" t="s">
        <v>644</v>
      </c>
      <c r="K411" s="218" t="s">
        <v>14856</v>
      </c>
      <c r="L411" s="185">
        <v>2</v>
      </c>
      <c r="M411" s="91">
        <v>235000</v>
      </c>
      <c r="N411" s="91">
        <v>375000</v>
      </c>
      <c r="O411" s="189" t="s">
        <v>10766</v>
      </c>
      <c r="P411" s="47" t="s">
        <v>15743</v>
      </c>
      <c r="Q411" s="47" t="s">
        <v>592</v>
      </c>
      <c r="R411" s="47" t="s">
        <v>15777</v>
      </c>
      <c r="T411" s="46"/>
      <c r="U411" s="46" t="s">
        <v>491</v>
      </c>
      <c r="V411" s="46"/>
    </row>
    <row r="412" spans="1:22" s="47" customFormat="1" ht="90" x14ac:dyDescent="0.25">
      <c r="A412" s="61">
        <v>43609</v>
      </c>
      <c r="B412" s="47" t="s">
        <v>328</v>
      </c>
      <c r="C412" s="46" t="s">
        <v>603</v>
      </c>
      <c r="D412" s="46" t="s">
        <v>7595</v>
      </c>
      <c r="E412" s="46"/>
      <c r="F412" s="46" t="s">
        <v>15744</v>
      </c>
      <c r="G412" s="46" t="s">
        <v>11233</v>
      </c>
      <c r="H412" s="46" t="s">
        <v>607</v>
      </c>
      <c r="I412" s="46" t="s">
        <v>10658</v>
      </c>
      <c r="J412" s="46" t="s">
        <v>3612</v>
      </c>
      <c r="K412" s="218" t="s">
        <v>15745</v>
      </c>
      <c r="L412" s="185">
        <v>3</v>
      </c>
      <c r="M412" s="91">
        <v>291000</v>
      </c>
      <c r="N412" s="91">
        <v>494700</v>
      </c>
      <c r="O412" s="189" t="s">
        <v>4533</v>
      </c>
      <c r="P412" s="47" t="s">
        <v>15746</v>
      </c>
      <c r="Q412" s="47" t="s">
        <v>1939</v>
      </c>
      <c r="R412" s="47" t="s">
        <v>15747</v>
      </c>
      <c r="T412" s="46"/>
      <c r="U412" s="46" t="s">
        <v>491</v>
      </c>
      <c r="V412" s="46"/>
    </row>
    <row r="413" spans="1:22" s="47" customFormat="1" ht="114.75" customHeight="1" x14ac:dyDescent="0.25">
      <c r="A413" s="61">
        <v>43613</v>
      </c>
      <c r="B413" s="47" t="s">
        <v>9240</v>
      </c>
      <c r="C413" s="46" t="s">
        <v>603</v>
      </c>
      <c r="D413" s="46" t="s">
        <v>7814</v>
      </c>
      <c r="E413" s="46"/>
      <c r="F413" s="46" t="s">
        <v>15748</v>
      </c>
      <c r="G413" s="46" t="s">
        <v>15749</v>
      </c>
      <c r="H413" s="46" t="s">
        <v>10831</v>
      </c>
      <c r="I413" s="46" t="s">
        <v>15750</v>
      </c>
      <c r="J413" s="46" t="s">
        <v>3612</v>
      </c>
      <c r="K413" s="218" t="s">
        <v>15751</v>
      </c>
      <c r="L413" s="185">
        <v>10</v>
      </c>
      <c r="M413" s="91">
        <v>150000</v>
      </c>
      <c r="N413" s="91">
        <v>300000</v>
      </c>
      <c r="O413" s="189" t="s">
        <v>4533</v>
      </c>
      <c r="P413" s="47" t="s">
        <v>15752</v>
      </c>
      <c r="Q413" s="47" t="s">
        <v>620</v>
      </c>
      <c r="R413" s="47" t="s">
        <v>15753</v>
      </c>
      <c r="T413" s="46"/>
      <c r="U413" s="46" t="s">
        <v>491</v>
      </c>
      <c r="V413" s="46"/>
    </row>
    <row r="414" spans="1:22" s="47" customFormat="1" ht="76.5" customHeight="1" x14ac:dyDescent="0.25">
      <c r="A414" s="61">
        <v>43613</v>
      </c>
      <c r="B414" s="47" t="s">
        <v>13559</v>
      </c>
      <c r="C414" s="46" t="s">
        <v>3523</v>
      </c>
      <c r="D414" s="46" t="s">
        <v>13560</v>
      </c>
      <c r="E414" s="46"/>
      <c r="F414" s="46" t="s">
        <v>15754</v>
      </c>
      <c r="G414" s="46" t="s">
        <v>15755</v>
      </c>
      <c r="H414" s="46" t="s">
        <v>10831</v>
      </c>
      <c r="I414" s="46" t="s">
        <v>15756</v>
      </c>
      <c r="J414" s="46" t="s">
        <v>3523</v>
      </c>
      <c r="K414" s="218" t="s">
        <v>15757</v>
      </c>
      <c r="L414" s="185">
        <v>6</v>
      </c>
      <c r="M414" s="91">
        <v>600000</v>
      </c>
      <c r="N414" s="91">
        <v>800000</v>
      </c>
      <c r="O414" s="189" t="s">
        <v>49</v>
      </c>
      <c r="P414" s="47" t="s">
        <v>15758</v>
      </c>
      <c r="Q414" s="47" t="s">
        <v>592</v>
      </c>
      <c r="R414" s="47" t="s">
        <v>15759</v>
      </c>
      <c r="T414" s="46"/>
      <c r="U414" s="46" t="s">
        <v>491</v>
      </c>
      <c r="V414" s="46"/>
    </row>
    <row r="415" spans="1:22" s="47" customFormat="1" ht="45" x14ac:dyDescent="0.25">
      <c r="A415" s="61">
        <v>43613</v>
      </c>
      <c r="B415" s="47" t="s">
        <v>5956</v>
      </c>
      <c r="C415" s="46" t="s">
        <v>3369</v>
      </c>
      <c r="D415" s="46" t="s">
        <v>8126</v>
      </c>
      <c r="E415" s="46"/>
      <c r="F415" s="46" t="s">
        <v>15760</v>
      </c>
      <c r="G415" s="46" t="s">
        <v>256</v>
      </c>
      <c r="H415" s="46" t="s">
        <v>886</v>
      </c>
      <c r="I415" s="46" t="s">
        <v>15761</v>
      </c>
      <c r="J415" s="46" t="s">
        <v>4825</v>
      </c>
      <c r="K415" s="218" t="s">
        <v>15762</v>
      </c>
      <c r="L415" s="185">
        <v>5</v>
      </c>
      <c r="M415" s="91">
        <v>910000</v>
      </c>
      <c r="N415" s="91">
        <v>1410000</v>
      </c>
      <c r="O415" s="189" t="s">
        <v>10766</v>
      </c>
      <c r="P415" s="47" t="s">
        <v>15763</v>
      </c>
      <c r="Q415" s="47" t="s">
        <v>29</v>
      </c>
      <c r="R415" s="47" t="s">
        <v>15764</v>
      </c>
      <c r="T415" s="46"/>
      <c r="U415" s="46" t="s">
        <v>491</v>
      </c>
      <c r="V415" s="46"/>
    </row>
    <row r="416" spans="1:22" s="47" customFormat="1" ht="120" x14ac:dyDescent="0.25">
      <c r="A416" s="61">
        <v>43613</v>
      </c>
      <c r="B416" s="47" t="s">
        <v>328</v>
      </c>
      <c r="C416" s="46" t="s">
        <v>603</v>
      </c>
      <c r="D416" s="46" t="s">
        <v>1401</v>
      </c>
      <c r="E416" s="46"/>
      <c r="F416" s="46" t="s">
        <v>15765</v>
      </c>
      <c r="G416" s="46" t="s">
        <v>15766</v>
      </c>
      <c r="H416" s="46" t="s">
        <v>10831</v>
      </c>
      <c r="I416" s="46" t="s">
        <v>15767</v>
      </c>
      <c r="J416" s="46" t="s">
        <v>3733</v>
      </c>
      <c r="K416" s="218" t="s">
        <v>15768</v>
      </c>
      <c r="L416" s="185">
        <v>10</v>
      </c>
      <c r="M416" s="91">
        <v>669451</v>
      </c>
      <c r="N416" s="91">
        <v>1020000</v>
      </c>
      <c r="O416" s="189" t="s">
        <v>7124</v>
      </c>
      <c r="P416" s="47" t="s">
        <v>15769</v>
      </c>
      <c r="Q416" s="47" t="s">
        <v>29</v>
      </c>
      <c r="R416" s="47" t="s">
        <v>15909</v>
      </c>
      <c r="S416" s="47" t="s">
        <v>15770</v>
      </c>
      <c r="T416" s="46"/>
      <c r="U416" s="46" t="s">
        <v>15803</v>
      </c>
      <c r="V416" s="46"/>
    </row>
    <row r="417" spans="1:35" s="47" customFormat="1" ht="60" x14ac:dyDescent="0.25">
      <c r="A417" s="61">
        <v>43613</v>
      </c>
      <c r="B417" s="47" t="s">
        <v>328</v>
      </c>
      <c r="C417" s="46" t="s">
        <v>603</v>
      </c>
      <c r="D417" s="46" t="s">
        <v>649</v>
      </c>
      <c r="E417" s="46"/>
      <c r="F417" s="46" t="s">
        <v>13237</v>
      </c>
      <c r="G417" s="46" t="s">
        <v>15771</v>
      </c>
      <c r="H417" s="46" t="s">
        <v>809</v>
      </c>
      <c r="I417" s="46"/>
      <c r="J417" s="46" t="s">
        <v>603</v>
      </c>
      <c r="K417" s="218"/>
      <c r="L417" s="185">
        <v>4</v>
      </c>
      <c r="M417" s="91">
        <v>272000</v>
      </c>
      <c r="N417" s="91">
        <v>277000</v>
      </c>
      <c r="O417" s="189" t="s">
        <v>10762</v>
      </c>
      <c r="P417" s="47" t="s">
        <v>15772</v>
      </c>
      <c r="Q417" s="47" t="s">
        <v>620</v>
      </c>
      <c r="R417" s="47" t="s">
        <v>15773</v>
      </c>
      <c r="T417" s="46"/>
      <c r="U417" s="46" t="s">
        <v>491</v>
      </c>
      <c r="V417" s="46"/>
    </row>
    <row r="418" spans="1:35" s="47" customFormat="1" ht="135" customHeight="1" x14ac:dyDescent="0.25">
      <c r="A418" s="61">
        <v>43613</v>
      </c>
      <c r="B418" s="47" t="s">
        <v>13559</v>
      </c>
      <c r="C418" s="46" t="s">
        <v>3523</v>
      </c>
      <c r="D418" s="46" t="s">
        <v>14673</v>
      </c>
      <c r="E418" s="46"/>
      <c r="F418" s="46" t="s">
        <v>15774</v>
      </c>
      <c r="G418" s="46" t="s">
        <v>9477</v>
      </c>
      <c r="H418" s="46" t="s">
        <v>607</v>
      </c>
      <c r="I418" s="46" t="s">
        <v>15775</v>
      </c>
      <c r="J418" s="46" t="s">
        <v>3523</v>
      </c>
      <c r="K418" s="218" t="s">
        <v>15776</v>
      </c>
      <c r="L418" s="185">
        <v>1</v>
      </c>
      <c r="M418" s="91">
        <v>200000</v>
      </c>
      <c r="N418" s="91">
        <v>344000</v>
      </c>
      <c r="O418" s="189" t="s">
        <v>10763</v>
      </c>
      <c r="P418" s="47" t="s">
        <v>15786</v>
      </c>
      <c r="Q418" s="47" t="s">
        <v>620</v>
      </c>
      <c r="R418" s="47" t="s">
        <v>15787</v>
      </c>
      <c r="T418" s="46"/>
      <c r="U418" s="46" t="s">
        <v>491</v>
      </c>
      <c r="V418" s="46"/>
    </row>
    <row r="419" spans="1:35" s="47" customFormat="1" ht="60" x14ac:dyDescent="0.25">
      <c r="A419" s="61">
        <v>43613</v>
      </c>
      <c r="B419" s="47" t="s">
        <v>328</v>
      </c>
      <c r="C419" s="46" t="s">
        <v>603</v>
      </c>
      <c r="D419" s="46" t="s">
        <v>10338</v>
      </c>
      <c r="E419" s="46"/>
      <c r="F419" s="46" t="s">
        <v>15778</v>
      </c>
      <c r="G419" s="46" t="s">
        <v>15779</v>
      </c>
      <c r="H419" s="46" t="s">
        <v>10832</v>
      </c>
      <c r="I419" s="46" t="s">
        <v>15780</v>
      </c>
      <c r="J419" s="46" t="s">
        <v>899</v>
      </c>
      <c r="K419" s="218" t="s">
        <v>15781</v>
      </c>
      <c r="L419" s="185">
        <v>4</v>
      </c>
      <c r="M419" s="91">
        <v>1578000</v>
      </c>
      <c r="N419" s="91">
        <v>1953000</v>
      </c>
      <c r="O419" s="189" t="s">
        <v>10762</v>
      </c>
      <c r="P419" s="47" t="s">
        <v>15785</v>
      </c>
      <c r="Q419" s="47" t="s">
        <v>29</v>
      </c>
      <c r="R419" s="47" t="s">
        <v>15783</v>
      </c>
      <c r="S419" s="47" t="s">
        <v>15784</v>
      </c>
      <c r="T419" s="46"/>
      <c r="U419" s="46" t="s">
        <v>491</v>
      </c>
      <c r="V419" s="46"/>
    </row>
    <row r="420" spans="1:35" s="47" customFormat="1" ht="69.75" customHeight="1" x14ac:dyDescent="0.25">
      <c r="A420" s="61">
        <v>43614</v>
      </c>
      <c r="B420" s="47" t="s">
        <v>328</v>
      </c>
      <c r="C420" s="46" t="s">
        <v>603</v>
      </c>
      <c r="D420" s="46" t="s">
        <v>10338</v>
      </c>
      <c r="E420" s="46"/>
      <c r="F420" s="46" t="s">
        <v>15182</v>
      </c>
      <c r="G420" s="46" t="s">
        <v>15788</v>
      </c>
      <c r="H420" s="46" t="s">
        <v>607</v>
      </c>
      <c r="I420" s="46" t="s">
        <v>15789</v>
      </c>
      <c r="J420" s="46" t="s">
        <v>3426</v>
      </c>
      <c r="K420" s="218" t="s">
        <v>15790</v>
      </c>
      <c r="L420" s="185">
        <v>5</v>
      </c>
      <c r="M420" s="91">
        <v>356200</v>
      </c>
      <c r="N420" s="91">
        <v>700000</v>
      </c>
      <c r="O420" s="189" t="s">
        <v>4533</v>
      </c>
      <c r="P420" s="47" t="s">
        <v>15791</v>
      </c>
      <c r="Q420" s="47" t="s">
        <v>592</v>
      </c>
      <c r="R420" s="47" t="s">
        <v>15807</v>
      </c>
      <c r="S420" s="47" t="s">
        <v>15792</v>
      </c>
      <c r="T420" s="46"/>
      <c r="U420" s="46" t="s">
        <v>15803</v>
      </c>
      <c r="V420" s="46"/>
    </row>
    <row r="421" spans="1:35" s="47" customFormat="1" ht="45" x14ac:dyDescent="0.25">
      <c r="A421" s="61">
        <v>43614</v>
      </c>
      <c r="B421" s="47" t="s">
        <v>1788</v>
      </c>
      <c r="C421" s="46" t="s">
        <v>3369</v>
      </c>
      <c r="D421" s="46" t="s">
        <v>6360</v>
      </c>
      <c r="E421" s="46"/>
      <c r="F421" s="46" t="s">
        <v>15793</v>
      </c>
      <c r="G421" s="46" t="s">
        <v>15794</v>
      </c>
      <c r="H421" s="46" t="s">
        <v>607</v>
      </c>
      <c r="I421" s="46" t="s">
        <v>15798</v>
      </c>
      <c r="J421" s="46" t="s">
        <v>14268</v>
      </c>
      <c r="K421" s="218" t="s">
        <v>15799</v>
      </c>
      <c r="L421" s="185">
        <v>3</v>
      </c>
      <c r="M421" s="91">
        <v>1200000</v>
      </c>
      <c r="N421" s="91">
        <v>2380000</v>
      </c>
      <c r="O421" s="189" t="s">
        <v>10766</v>
      </c>
      <c r="P421" s="47" t="s">
        <v>15910</v>
      </c>
      <c r="Q421" s="47" t="s">
        <v>29</v>
      </c>
      <c r="R421" s="47" t="s">
        <v>15458</v>
      </c>
      <c r="T421" s="46"/>
      <c r="U421" s="46" t="s">
        <v>491</v>
      </c>
      <c r="V421" s="46"/>
    </row>
    <row r="422" spans="1:35" s="47" customFormat="1" ht="62.25" customHeight="1" x14ac:dyDescent="0.25">
      <c r="A422" s="61">
        <v>43614</v>
      </c>
      <c r="B422" s="47" t="s">
        <v>643</v>
      </c>
      <c r="C422" s="46" t="s">
        <v>644</v>
      </c>
      <c r="D422" s="46" t="s">
        <v>645</v>
      </c>
      <c r="E422" s="46"/>
      <c r="F422" s="46" t="s">
        <v>15795</v>
      </c>
      <c r="G422" s="46" t="s">
        <v>7855</v>
      </c>
      <c r="H422" s="46" t="s">
        <v>607</v>
      </c>
      <c r="I422" s="46" t="s">
        <v>8756</v>
      </c>
      <c r="J422" s="46" t="s">
        <v>3398</v>
      </c>
      <c r="K422" s="218"/>
      <c r="L422" s="185"/>
      <c r="M422" s="91"/>
      <c r="N422" s="91"/>
      <c r="O422" s="189" t="s">
        <v>7564</v>
      </c>
      <c r="P422" s="47" t="s">
        <v>15796</v>
      </c>
      <c r="Q422" s="47" t="s">
        <v>29</v>
      </c>
      <c r="R422" s="47" t="s">
        <v>15797</v>
      </c>
      <c r="T422" s="46"/>
      <c r="U422" s="46" t="s">
        <v>491</v>
      </c>
      <c r="V422" s="46"/>
    </row>
    <row r="423" spans="1:35" s="47" customFormat="1" ht="60" x14ac:dyDescent="0.25">
      <c r="A423" s="61">
        <v>43614</v>
      </c>
      <c r="B423" s="47" t="s">
        <v>13559</v>
      </c>
      <c r="C423" s="46" t="s">
        <v>3523</v>
      </c>
      <c r="D423" s="46" t="s">
        <v>672</v>
      </c>
      <c r="E423" s="46"/>
      <c r="F423" s="46" t="s">
        <v>7990</v>
      </c>
      <c r="G423" s="46" t="s">
        <v>7792</v>
      </c>
      <c r="H423" s="46" t="s">
        <v>607</v>
      </c>
      <c r="I423" s="46" t="s">
        <v>12911</v>
      </c>
      <c r="J423" s="46" t="s">
        <v>3523</v>
      </c>
      <c r="K423" s="218" t="s">
        <v>15800</v>
      </c>
      <c r="L423" s="185">
        <v>5</v>
      </c>
      <c r="M423" s="91">
        <v>814468</v>
      </c>
      <c r="N423" s="91">
        <v>1320000</v>
      </c>
      <c r="O423" s="189" t="s">
        <v>10765</v>
      </c>
      <c r="P423" s="47" t="s">
        <v>15801</v>
      </c>
      <c r="Q423" s="47" t="s">
        <v>29</v>
      </c>
      <c r="R423" s="47" t="s">
        <v>15802</v>
      </c>
      <c r="T423" s="46"/>
      <c r="U423" s="46" t="s">
        <v>491</v>
      </c>
      <c r="V423" s="46"/>
    </row>
    <row r="424" spans="1:35" s="47" customFormat="1" ht="90" x14ac:dyDescent="0.25">
      <c r="A424" s="61">
        <v>43615</v>
      </c>
      <c r="B424" s="47" t="s">
        <v>328</v>
      </c>
      <c r="C424" s="159" t="s">
        <v>603</v>
      </c>
      <c r="D424" s="159" t="s">
        <v>10705</v>
      </c>
      <c r="E424" s="227"/>
      <c r="F424" s="159" t="s">
        <v>15804</v>
      </c>
      <c r="G424" s="46"/>
      <c r="H424" s="46" t="s">
        <v>905</v>
      </c>
      <c r="I424" s="46" t="s">
        <v>15805</v>
      </c>
      <c r="J424" s="46" t="s">
        <v>3523</v>
      </c>
      <c r="K424" s="218" t="s">
        <v>15806</v>
      </c>
      <c r="L424" s="185">
        <v>2</v>
      </c>
      <c r="M424" s="91">
        <v>290000</v>
      </c>
      <c r="N424" s="91">
        <f>M424+25000</f>
        <v>315000</v>
      </c>
      <c r="O424" s="189" t="s">
        <v>4533</v>
      </c>
      <c r="P424" s="47" t="s">
        <v>15911</v>
      </c>
      <c r="Q424" s="47" t="s">
        <v>592</v>
      </c>
      <c r="R424" s="47" t="s">
        <v>15813</v>
      </c>
      <c r="T424" s="46"/>
      <c r="U424" s="46" t="s">
        <v>12797</v>
      </c>
      <c r="V424" s="46"/>
    </row>
    <row r="425" spans="1:35" s="47" customFormat="1" ht="45" x14ac:dyDescent="0.25">
      <c r="A425" s="61">
        <v>43615</v>
      </c>
      <c r="B425" s="47" t="s">
        <v>13559</v>
      </c>
      <c r="C425" s="159" t="s">
        <v>3370</v>
      </c>
      <c r="D425" s="159" t="s">
        <v>14656</v>
      </c>
      <c r="E425" s="227"/>
      <c r="F425" s="159" t="s">
        <v>15877</v>
      </c>
      <c r="G425" s="46" t="s">
        <v>15878</v>
      </c>
      <c r="H425" s="46" t="s">
        <v>10831</v>
      </c>
      <c r="I425" s="46" t="s">
        <v>7367</v>
      </c>
      <c r="J425" s="46" t="s">
        <v>3370</v>
      </c>
      <c r="K425" s="218" t="s">
        <v>15879</v>
      </c>
      <c r="L425" s="185">
        <v>10</v>
      </c>
      <c r="M425" s="91">
        <v>170000</v>
      </c>
      <c r="N425" s="91">
        <v>170000</v>
      </c>
      <c r="O425" s="189" t="s">
        <v>7124</v>
      </c>
      <c r="P425" s="47" t="s">
        <v>15880</v>
      </c>
      <c r="Q425" s="47" t="s">
        <v>592</v>
      </c>
      <c r="R425" s="47" t="s">
        <v>15881</v>
      </c>
      <c r="T425" s="46"/>
      <c r="U425" s="46" t="s">
        <v>12797</v>
      </c>
      <c r="V425" s="46"/>
    </row>
    <row r="426" spans="1:35" s="47" customFormat="1" ht="119.25" customHeight="1" x14ac:dyDescent="0.25">
      <c r="A426" s="61">
        <v>43616</v>
      </c>
      <c r="B426" s="47" t="s">
        <v>328</v>
      </c>
      <c r="C426" s="46" t="s">
        <v>899</v>
      </c>
      <c r="D426" s="46" t="s">
        <v>10705</v>
      </c>
      <c r="E426" s="46"/>
      <c r="F426" s="46" t="s">
        <v>15808</v>
      </c>
      <c r="G426" s="46"/>
      <c r="H426" s="46" t="s">
        <v>905</v>
      </c>
      <c r="I426" s="46" t="s">
        <v>15810</v>
      </c>
      <c r="J426" s="46" t="s">
        <v>899</v>
      </c>
      <c r="K426" s="218" t="s">
        <v>15809</v>
      </c>
      <c r="L426" s="185">
        <v>4</v>
      </c>
      <c r="M426" s="91">
        <v>1000000</v>
      </c>
      <c r="N426" s="91">
        <v>1200000</v>
      </c>
      <c r="O426" s="189" t="s">
        <v>4533</v>
      </c>
      <c r="P426" s="47" t="s">
        <v>15912</v>
      </c>
      <c r="Q426" s="47" t="s">
        <v>29</v>
      </c>
      <c r="R426" s="47" t="s">
        <v>15814</v>
      </c>
      <c r="S426" s="47" t="s">
        <v>15811</v>
      </c>
      <c r="T426" s="46"/>
      <c r="U426" s="46" t="s">
        <v>15812</v>
      </c>
      <c r="V426" s="46"/>
    </row>
    <row r="427" spans="1:35" s="47" customFormat="1" ht="90" x14ac:dyDescent="0.25">
      <c r="A427" s="61">
        <v>43616</v>
      </c>
      <c r="B427" s="47" t="s">
        <v>328</v>
      </c>
      <c r="C427" s="46" t="s">
        <v>644</v>
      </c>
      <c r="D427" s="46" t="s">
        <v>1401</v>
      </c>
      <c r="E427" s="46"/>
      <c r="F427" s="46" t="s">
        <v>15815</v>
      </c>
      <c r="G427" s="46" t="s">
        <v>7714</v>
      </c>
      <c r="H427" s="46" t="s">
        <v>607</v>
      </c>
      <c r="I427" s="46" t="s">
        <v>15816</v>
      </c>
      <c r="J427" s="46" t="s">
        <v>644</v>
      </c>
      <c r="K427" s="218" t="s">
        <v>15817</v>
      </c>
      <c r="L427" s="185">
        <v>9</v>
      </c>
      <c r="M427" s="91">
        <v>261000</v>
      </c>
      <c r="N427" s="91">
        <v>470000</v>
      </c>
      <c r="O427" s="189" t="s">
        <v>7124</v>
      </c>
      <c r="P427" s="47" t="s">
        <v>15913</v>
      </c>
      <c r="Q427" s="47" t="s">
        <v>29</v>
      </c>
      <c r="R427" s="47" t="s">
        <v>15818</v>
      </c>
      <c r="S427" s="47" t="s">
        <v>15819</v>
      </c>
      <c r="T427" s="46"/>
      <c r="U427" s="46" t="s">
        <v>15812</v>
      </c>
      <c r="V427" s="46"/>
    </row>
    <row r="428" spans="1:35" s="47" customFormat="1" ht="123.75" customHeight="1" x14ac:dyDescent="0.25">
      <c r="A428" s="61">
        <v>43616</v>
      </c>
      <c r="B428" s="47" t="s">
        <v>328</v>
      </c>
      <c r="C428" s="46" t="s">
        <v>603</v>
      </c>
      <c r="D428" s="46" t="s">
        <v>10705</v>
      </c>
      <c r="E428" s="46"/>
      <c r="F428" s="46" t="s">
        <v>497</v>
      </c>
      <c r="G428" s="46" t="s">
        <v>645</v>
      </c>
      <c r="H428" s="46" t="s">
        <v>607</v>
      </c>
      <c r="I428" s="46" t="s">
        <v>15874</v>
      </c>
      <c r="J428" s="46" t="s">
        <v>761</v>
      </c>
      <c r="K428" s="218" t="s">
        <v>15875</v>
      </c>
      <c r="L428" s="185">
        <v>10</v>
      </c>
      <c r="M428" s="91">
        <v>1775000</v>
      </c>
      <c r="N428" s="91">
        <f>M428+177500+887500+355000</f>
        <v>3195000</v>
      </c>
      <c r="O428" s="189" t="s">
        <v>7124</v>
      </c>
      <c r="P428" s="47" t="s">
        <v>15914</v>
      </c>
      <c r="Q428" s="47" t="s">
        <v>592</v>
      </c>
      <c r="R428" s="47" t="s">
        <v>15876</v>
      </c>
      <c r="T428" s="46"/>
      <c r="U428" s="46" t="s">
        <v>12797</v>
      </c>
      <c r="V428" s="46"/>
    </row>
    <row r="429" spans="1:35" s="47" customFormat="1" ht="135" x14ac:dyDescent="0.25">
      <c r="A429" s="61">
        <v>43616</v>
      </c>
      <c r="B429" s="47" t="s">
        <v>643</v>
      </c>
      <c r="C429" s="46" t="s">
        <v>644</v>
      </c>
      <c r="D429" s="46" t="s">
        <v>645</v>
      </c>
      <c r="E429" s="46"/>
      <c r="F429" s="46" t="s">
        <v>15882</v>
      </c>
      <c r="G429" s="46" t="s">
        <v>15883</v>
      </c>
      <c r="H429" s="46" t="s">
        <v>607</v>
      </c>
      <c r="I429" s="46" t="s">
        <v>5141</v>
      </c>
      <c r="J429" s="46" t="s">
        <v>644</v>
      </c>
      <c r="K429" s="218" t="s">
        <v>15884</v>
      </c>
      <c r="L429" s="185">
        <v>2</v>
      </c>
      <c r="M429" s="91">
        <v>315000</v>
      </c>
      <c r="N429" s="91">
        <f>M429+50000+220500+94500</f>
        <v>680000</v>
      </c>
      <c r="O429" s="189" t="s">
        <v>10766</v>
      </c>
      <c r="P429" s="47" t="s">
        <v>15885</v>
      </c>
      <c r="Q429" s="47" t="s">
        <v>592</v>
      </c>
      <c r="R429" s="47" t="s">
        <v>15915</v>
      </c>
      <c r="T429" s="46"/>
      <c r="U429" s="46" t="s">
        <v>12797</v>
      </c>
      <c r="V429" s="46"/>
    </row>
    <row r="430" spans="1:35" s="47" customFormat="1" ht="90" x14ac:dyDescent="0.25">
      <c r="A430" s="61">
        <v>43616</v>
      </c>
      <c r="B430" s="47" t="s">
        <v>328</v>
      </c>
      <c r="C430" s="46" t="s">
        <v>603</v>
      </c>
      <c r="D430" s="46" t="s">
        <v>1401</v>
      </c>
      <c r="E430" s="46"/>
      <c r="F430" s="46" t="s">
        <v>15886</v>
      </c>
      <c r="G430" s="46" t="s">
        <v>15887</v>
      </c>
      <c r="H430" s="46" t="s">
        <v>809</v>
      </c>
      <c r="I430" s="46" t="s">
        <v>15888</v>
      </c>
      <c r="J430" s="46" t="s">
        <v>644</v>
      </c>
      <c r="K430" s="218" t="s">
        <v>15889</v>
      </c>
      <c r="L430" s="185">
        <v>9</v>
      </c>
      <c r="M430" s="91">
        <v>300000</v>
      </c>
      <c r="N430" s="91">
        <f>M430+30000+5000</f>
        <v>335000</v>
      </c>
      <c r="O430" s="189" t="s">
        <v>10763</v>
      </c>
      <c r="P430" s="47" t="s">
        <v>15890</v>
      </c>
      <c r="Q430" s="47" t="s">
        <v>620</v>
      </c>
      <c r="R430" s="47" t="s">
        <v>15916</v>
      </c>
      <c r="T430" s="46"/>
      <c r="U430" s="46" t="s">
        <v>12797</v>
      </c>
      <c r="V430" s="46"/>
    </row>
    <row r="431" spans="1:35" s="142" customFormat="1" ht="174" customHeight="1" x14ac:dyDescent="0.25">
      <c r="A431" s="136">
        <v>43616</v>
      </c>
      <c r="B431" s="142" t="s">
        <v>328</v>
      </c>
      <c r="C431" s="138" t="s">
        <v>603</v>
      </c>
      <c r="D431" s="138" t="s">
        <v>649</v>
      </c>
      <c r="E431" s="138"/>
      <c r="F431" s="138" t="s">
        <v>7962</v>
      </c>
      <c r="G431" s="138" t="s">
        <v>11933</v>
      </c>
      <c r="H431" s="138" t="s">
        <v>607</v>
      </c>
      <c r="I431" s="138" t="s">
        <v>15891</v>
      </c>
      <c r="J431" s="138" t="s">
        <v>6015</v>
      </c>
      <c r="K431" s="229" t="s">
        <v>15892</v>
      </c>
      <c r="L431" s="230">
        <v>5</v>
      </c>
      <c r="M431" s="231">
        <v>197000</v>
      </c>
      <c r="N431" s="231">
        <f>M431+19700+137900+39400</f>
        <v>394000</v>
      </c>
      <c r="O431" s="232" t="s">
        <v>4533</v>
      </c>
      <c r="P431" s="142" t="s">
        <v>15893</v>
      </c>
      <c r="Q431" s="142" t="s">
        <v>620</v>
      </c>
      <c r="R431" s="142" t="s">
        <v>15935</v>
      </c>
      <c r="T431" s="138"/>
      <c r="U431" s="138" t="s">
        <v>12797</v>
      </c>
      <c r="V431" s="138"/>
    </row>
    <row r="432" spans="1:35" s="47" customFormat="1" ht="75" x14ac:dyDescent="0.25">
      <c r="A432" s="61">
        <v>43619</v>
      </c>
      <c r="B432" s="47" t="s">
        <v>5956</v>
      </c>
      <c r="C432" s="46" t="s">
        <v>3369</v>
      </c>
      <c r="D432" s="46" t="s">
        <v>7721</v>
      </c>
      <c r="E432" s="46"/>
      <c r="F432" s="46" t="s">
        <v>15820</v>
      </c>
      <c r="G432" s="46" t="s">
        <v>15821</v>
      </c>
      <c r="H432" s="46" t="s">
        <v>905</v>
      </c>
      <c r="I432" s="46" t="s">
        <v>15822</v>
      </c>
      <c r="J432" s="46" t="s">
        <v>3369</v>
      </c>
      <c r="K432" s="218" t="s">
        <v>15823</v>
      </c>
      <c r="L432" s="185">
        <v>5</v>
      </c>
      <c r="M432" s="91">
        <v>250000</v>
      </c>
      <c r="N432" s="91">
        <v>300000</v>
      </c>
      <c r="O432" s="189" t="s">
        <v>10766</v>
      </c>
      <c r="P432" s="47" t="s">
        <v>15824</v>
      </c>
      <c r="Q432" s="47" t="s">
        <v>29</v>
      </c>
      <c r="R432" s="47" t="s">
        <v>15825</v>
      </c>
      <c r="T432" s="46"/>
      <c r="U432" s="46" t="s">
        <v>491</v>
      </c>
      <c r="V432" s="46"/>
      <c r="AI432" s="47" t="s">
        <v>15826</v>
      </c>
    </row>
    <row r="433" spans="1:35" s="47" customFormat="1" ht="75" x14ac:dyDescent="0.25">
      <c r="A433" s="61">
        <v>43619</v>
      </c>
      <c r="B433" s="47" t="s">
        <v>328</v>
      </c>
      <c r="C433" s="46" t="s">
        <v>603</v>
      </c>
      <c r="D433" s="46" t="s">
        <v>10705</v>
      </c>
      <c r="E433" s="46"/>
      <c r="F433" s="46" t="s">
        <v>15827</v>
      </c>
      <c r="G433" s="46" t="s">
        <v>10268</v>
      </c>
      <c r="H433" s="46" t="s">
        <v>607</v>
      </c>
      <c r="I433" s="46" t="s">
        <v>15828</v>
      </c>
      <c r="J433" s="46" t="s">
        <v>4031</v>
      </c>
      <c r="K433" s="218" t="s">
        <v>15829</v>
      </c>
      <c r="L433" s="185"/>
      <c r="M433" s="91">
        <v>700000</v>
      </c>
      <c r="N433" s="91">
        <v>1330000</v>
      </c>
      <c r="O433" s="189" t="s">
        <v>10766</v>
      </c>
      <c r="P433" s="47" t="s">
        <v>15830</v>
      </c>
      <c r="Q433" s="47" t="s">
        <v>29</v>
      </c>
      <c r="R433" s="47" t="s">
        <v>15831</v>
      </c>
      <c r="T433" s="46"/>
      <c r="U433" s="46" t="s">
        <v>491</v>
      </c>
      <c r="V433" s="46"/>
      <c r="AI433" s="47" t="s">
        <v>15826</v>
      </c>
    </row>
    <row r="434" spans="1:35" s="47" customFormat="1" ht="75" x14ac:dyDescent="0.25">
      <c r="A434" s="61">
        <v>43619</v>
      </c>
      <c r="B434" s="47" t="s">
        <v>328</v>
      </c>
      <c r="C434" s="46" t="s">
        <v>603</v>
      </c>
      <c r="D434" s="46" t="s">
        <v>10705</v>
      </c>
      <c r="E434" s="46"/>
      <c r="F434" s="46" t="s">
        <v>15832</v>
      </c>
      <c r="G434" s="46" t="s">
        <v>15833</v>
      </c>
      <c r="H434" s="46" t="s">
        <v>10832</v>
      </c>
      <c r="I434" s="46" t="s">
        <v>15835</v>
      </c>
      <c r="J434" s="46" t="s">
        <v>3372</v>
      </c>
      <c r="K434" s="218" t="s">
        <v>15834</v>
      </c>
      <c r="L434" s="185">
        <v>10</v>
      </c>
      <c r="M434" s="91">
        <v>399000</v>
      </c>
      <c r="N434" s="91">
        <v>728300</v>
      </c>
      <c r="O434" s="189" t="s">
        <v>7124</v>
      </c>
      <c r="P434" s="47" t="s">
        <v>15838</v>
      </c>
      <c r="Q434" s="47" t="s">
        <v>1939</v>
      </c>
      <c r="R434" s="47" t="s">
        <v>15837</v>
      </c>
      <c r="S434" s="47" t="s">
        <v>15836</v>
      </c>
      <c r="T434" s="46"/>
      <c r="U434" s="46" t="s">
        <v>491</v>
      </c>
      <c r="V434" s="46"/>
      <c r="AI434" s="47" t="s">
        <v>15826</v>
      </c>
    </row>
    <row r="435" spans="1:35" s="47" customFormat="1" ht="92.25" customHeight="1" x14ac:dyDescent="0.25">
      <c r="A435" s="61">
        <v>43619</v>
      </c>
      <c r="B435" s="47" t="s">
        <v>328</v>
      </c>
      <c r="C435" s="46" t="s">
        <v>603</v>
      </c>
      <c r="D435" s="46" t="s">
        <v>1401</v>
      </c>
      <c r="E435" s="46"/>
      <c r="F435" s="46" t="s">
        <v>15839</v>
      </c>
      <c r="G435" s="46" t="s">
        <v>15840</v>
      </c>
      <c r="H435" s="46" t="s">
        <v>607</v>
      </c>
      <c r="I435" s="46" t="s">
        <v>15841</v>
      </c>
      <c r="J435" s="46" t="s">
        <v>3374</v>
      </c>
      <c r="K435" s="218" t="s">
        <v>15842</v>
      </c>
      <c r="L435" s="185"/>
      <c r="M435" s="91">
        <v>500000</v>
      </c>
      <c r="N435" s="91">
        <v>910000</v>
      </c>
      <c r="O435" s="189" t="s">
        <v>4533</v>
      </c>
      <c r="P435" s="47" t="s">
        <v>15843</v>
      </c>
      <c r="Q435" s="47" t="s">
        <v>29</v>
      </c>
      <c r="R435" s="47" t="s">
        <v>15844</v>
      </c>
      <c r="T435" s="46"/>
      <c r="U435" s="46" t="s">
        <v>491</v>
      </c>
      <c r="V435" s="46"/>
      <c r="AI435" s="47" t="s">
        <v>15826</v>
      </c>
    </row>
    <row r="436" spans="1:35" s="47" customFormat="1" ht="75" x14ac:dyDescent="0.25">
      <c r="A436" s="61">
        <v>43619</v>
      </c>
      <c r="B436" s="47" t="s">
        <v>328</v>
      </c>
      <c r="C436" s="46" t="s">
        <v>603</v>
      </c>
      <c r="D436" s="46" t="s">
        <v>10338</v>
      </c>
      <c r="E436" s="46"/>
      <c r="F436" s="46" t="s">
        <v>15482</v>
      </c>
      <c r="G436" s="46" t="s">
        <v>7855</v>
      </c>
      <c r="H436" s="46" t="s">
        <v>2510</v>
      </c>
      <c r="I436" s="46" t="s">
        <v>15483</v>
      </c>
      <c r="J436" s="46" t="s">
        <v>899</v>
      </c>
      <c r="K436" s="218" t="s">
        <v>15484</v>
      </c>
      <c r="L436" s="185">
        <v>5</v>
      </c>
      <c r="M436" s="91">
        <v>100000</v>
      </c>
      <c r="N436" s="91">
        <v>150000</v>
      </c>
      <c r="O436" s="189" t="s">
        <v>49</v>
      </c>
      <c r="P436" s="47" t="s">
        <v>15485</v>
      </c>
      <c r="Q436" s="47" t="s">
        <v>1939</v>
      </c>
      <c r="R436" s="47" t="s">
        <v>15846</v>
      </c>
      <c r="S436" s="47" t="s">
        <v>15847</v>
      </c>
      <c r="T436" s="46"/>
      <c r="U436" s="46" t="s">
        <v>491</v>
      </c>
      <c r="V436" s="46"/>
      <c r="AI436" s="47" t="s">
        <v>15826</v>
      </c>
    </row>
    <row r="437" spans="1:35" s="47" customFormat="1" ht="30" x14ac:dyDescent="0.25">
      <c r="A437" s="61">
        <v>43619</v>
      </c>
      <c r="B437" s="47" t="s">
        <v>5473</v>
      </c>
      <c r="C437" s="46" t="s">
        <v>608</v>
      </c>
      <c r="D437" s="46" t="s">
        <v>7091</v>
      </c>
      <c r="E437" s="46"/>
      <c r="F437" s="46" t="s">
        <v>15848</v>
      </c>
      <c r="G437" s="46" t="s">
        <v>15849</v>
      </c>
      <c r="H437" s="46" t="s">
        <v>607</v>
      </c>
      <c r="I437" s="46" t="s">
        <v>3809</v>
      </c>
      <c r="J437" s="46" t="s">
        <v>602</v>
      </c>
      <c r="K437" s="218" t="s">
        <v>14304</v>
      </c>
      <c r="L437" s="185">
        <v>1</v>
      </c>
      <c r="M437" s="91">
        <v>5134550</v>
      </c>
      <c r="N437" s="91">
        <v>5800000</v>
      </c>
      <c r="O437" s="189" t="s">
        <v>560</v>
      </c>
      <c r="P437" s="47" t="s">
        <v>15850</v>
      </c>
      <c r="Q437" s="47" t="s">
        <v>29</v>
      </c>
      <c r="R437" s="47" t="s">
        <v>15851</v>
      </c>
      <c r="T437" s="46"/>
      <c r="U437" s="46" t="s">
        <v>491</v>
      </c>
      <c r="V437" s="46"/>
    </row>
    <row r="438" spans="1:35" s="47" customFormat="1" ht="79.5" customHeight="1" x14ac:dyDescent="0.25">
      <c r="A438" s="61">
        <v>43619</v>
      </c>
      <c r="B438" s="47" t="s">
        <v>643</v>
      </c>
      <c r="C438" s="46" t="s">
        <v>644</v>
      </c>
      <c r="D438" s="46" t="s">
        <v>645</v>
      </c>
      <c r="E438" s="46"/>
      <c r="F438" s="46" t="s">
        <v>15852</v>
      </c>
      <c r="G438" s="46" t="s">
        <v>15853</v>
      </c>
      <c r="H438" s="46" t="s">
        <v>607</v>
      </c>
      <c r="I438" s="46" t="s">
        <v>15579</v>
      </c>
      <c r="J438" s="46" t="s">
        <v>644</v>
      </c>
      <c r="K438" s="218" t="s">
        <v>13163</v>
      </c>
      <c r="L438" s="185">
        <v>3</v>
      </c>
      <c r="M438" s="91">
        <v>850000</v>
      </c>
      <c r="N438" s="91">
        <v>1603500</v>
      </c>
      <c r="O438" s="189" t="s">
        <v>10766</v>
      </c>
      <c r="P438" s="47" t="s">
        <v>15854</v>
      </c>
      <c r="Q438" s="47" t="s">
        <v>1939</v>
      </c>
      <c r="R438" s="47" t="s">
        <v>15856</v>
      </c>
      <c r="S438" s="47" t="s">
        <v>15855</v>
      </c>
      <c r="T438" s="46"/>
      <c r="U438" s="46" t="s">
        <v>491</v>
      </c>
      <c r="V438" s="46"/>
    </row>
    <row r="439" spans="1:35" s="47" customFormat="1" ht="111.75" customHeight="1" x14ac:dyDescent="0.25">
      <c r="A439" s="61">
        <v>43619</v>
      </c>
      <c r="B439" s="47" t="s">
        <v>643</v>
      </c>
      <c r="C439" s="46" t="s">
        <v>644</v>
      </c>
      <c r="D439" s="46" t="s">
        <v>645</v>
      </c>
      <c r="E439" s="46"/>
      <c r="F439" s="46" t="s">
        <v>15240</v>
      </c>
      <c r="G439" s="46" t="s">
        <v>8383</v>
      </c>
      <c r="H439" s="46" t="s">
        <v>607</v>
      </c>
      <c r="I439" s="46" t="s">
        <v>15242</v>
      </c>
      <c r="J439" s="46" t="s">
        <v>3372</v>
      </c>
      <c r="K439" s="218" t="s">
        <v>15243</v>
      </c>
      <c r="L439" s="185">
        <v>10</v>
      </c>
      <c r="M439" s="91">
        <v>599760</v>
      </c>
      <c r="N439" s="91">
        <v>1200000</v>
      </c>
      <c r="O439" s="189" t="s">
        <v>10766</v>
      </c>
      <c r="P439" s="47" t="s">
        <v>15857</v>
      </c>
      <c r="Q439" s="47" t="s">
        <v>29</v>
      </c>
      <c r="R439" s="47" t="s">
        <v>15858</v>
      </c>
      <c r="T439" s="46"/>
      <c r="U439" s="46" t="s">
        <v>491</v>
      </c>
      <c r="V439" s="46"/>
    </row>
    <row r="440" spans="1:35" s="47" customFormat="1" ht="60" x14ac:dyDescent="0.25">
      <c r="A440" s="61">
        <v>43619</v>
      </c>
      <c r="B440" s="47" t="s">
        <v>9240</v>
      </c>
      <c r="C440" s="46" t="s">
        <v>603</v>
      </c>
      <c r="D440" s="46" t="s">
        <v>9241</v>
      </c>
      <c r="E440" s="46"/>
      <c r="F440" s="46" t="s">
        <v>15859</v>
      </c>
      <c r="G440" s="46" t="s">
        <v>15860</v>
      </c>
      <c r="H440" s="46" t="s">
        <v>607</v>
      </c>
      <c r="I440" s="46" t="s">
        <v>6864</v>
      </c>
      <c r="J440" s="46" t="s">
        <v>15861</v>
      </c>
      <c r="K440" s="218" t="s">
        <v>15862</v>
      </c>
      <c r="L440" s="185">
        <v>3</v>
      </c>
      <c r="M440" s="91">
        <v>1000000</v>
      </c>
      <c r="N440" s="91">
        <v>2100000</v>
      </c>
      <c r="O440" s="189" t="s">
        <v>10879</v>
      </c>
      <c r="P440" s="47" t="s">
        <v>15863</v>
      </c>
      <c r="Q440" s="47" t="s">
        <v>29</v>
      </c>
      <c r="R440" s="47" t="s">
        <v>15864</v>
      </c>
      <c r="T440" s="46"/>
      <c r="U440" s="46" t="s">
        <v>491</v>
      </c>
      <c r="V440" s="46"/>
    </row>
    <row r="441" spans="1:35" s="47" customFormat="1" ht="30" x14ac:dyDescent="0.25">
      <c r="A441" s="61">
        <v>43619</v>
      </c>
      <c r="B441" s="47" t="s">
        <v>9240</v>
      </c>
      <c r="C441" s="46" t="s">
        <v>603</v>
      </c>
      <c r="D441" s="46" t="s">
        <v>9241</v>
      </c>
      <c r="E441" s="46"/>
      <c r="F441" s="46" t="s">
        <v>15865</v>
      </c>
      <c r="G441" s="46" t="s">
        <v>15866</v>
      </c>
      <c r="H441" s="46" t="s">
        <v>886</v>
      </c>
      <c r="I441" s="46" t="s">
        <v>6787</v>
      </c>
      <c r="J441" s="46" t="s">
        <v>603</v>
      </c>
      <c r="K441" s="218" t="s">
        <v>15867</v>
      </c>
      <c r="L441" s="185">
        <v>2</v>
      </c>
      <c r="M441" s="91">
        <v>1295000</v>
      </c>
      <c r="N441" s="91">
        <v>1295000</v>
      </c>
      <c r="O441" s="189" t="s">
        <v>2295</v>
      </c>
      <c r="P441" s="47" t="s">
        <v>15868</v>
      </c>
      <c r="Q441" s="47" t="s">
        <v>592</v>
      </c>
      <c r="R441" s="47" t="s">
        <v>15869</v>
      </c>
      <c r="T441" s="46"/>
      <c r="U441" s="46" t="s">
        <v>491</v>
      </c>
      <c r="V441" s="46"/>
    </row>
    <row r="442" spans="1:35" s="47" customFormat="1" ht="30" x14ac:dyDescent="0.25">
      <c r="A442" s="61">
        <v>43620</v>
      </c>
      <c r="B442" s="47" t="s">
        <v>13559</v>
      </c>
      <c r="C442" s="46" t="s">
        <v>4031</v>
      </c>
      <c r="D442" s="46" t="s">
        <v>13560</v>
      </c>
      <c r="E442" s="46"/>
      <c r="F442" s="46" t="s">
        <v>15870</v>
      </c>
      <c r="G442" s="46" t="s">
        <v>9300</v>
      </c>
      <c r="H442" s="46" t="s">
        <v>2510</v>
      </c>
      <c r="I442" s="46" t="s">
        <v>6563</v>
      </c>
      <c r="J442" s="46" t="s">
        <v>3523</v>
      </c>
      <c r="K442" s="218" t="s">
        <v>15871</v>
      </c>
      <c r="L442" s="185">
        <v>5</v>
      </c>
      <c r="M442" s="91">
        <v>485000</v>
      </c>
      <c r="N442" s="91">
        <v>785500</v>
      </c>
      <c r="O442" s="189" t="s">
        <v>560</v>
      </c>
      <c r="P442" s="47" t="s">
        <v>15872</v>
      </c>
      <c r="Q442" s="47" t="s">
        <v>592</v>
      </c>
      <c r="R442" s="47" t="s">
        <v>15873</v>
      </c>
      <c r="T442" s="46"/>
      <c r="U442" s="46" t="s">
        <v>491</v>
      </c>
      <c r="V442" s="46"/>
    </row>
    <row r="443" spans="1:35" s="47" customFormat="1" ht="60" x14ac:dyDescent="0.25">
      <c r="A443" s="61">
        <v>43620</v>
      </c>
      <c r="B443" s="47" t="s">
        <v>13559</v>
      </c>
      <c r="C443" s="46" t="s">
        <v>1228</v>
      </c>
      <c r="D443" s="46" t="s">
        <v>15894</v>
      </c>
      <c r="E443" s="46"/>
      <c r="F443" s="46" t="s">
        <v>15895</v>
      </c>
      <c r="G443" s="46"/>
      <c r="H443" s="46" t="s">
        <v>607</v>
      </c>
      <c r="I443" s="46" t="s">
        <v>15896</v>
      </c>
      <c r="J443" s="46" t="s">
        <v>3856</v>
      </c>
      <c r="K443" s="218" t="s">
        <v>15897</v>
      </c>
      <c r="L443" s="185">
        <v>7</v>
      </c>
      <c r="M443" s="91">
        <v>3984930</v>
      </c>
      <c r="N443" s="91" t="s">
        <v>22</v>
      </c>
      <c r="O443" s="189" t="s">
        <v>560</v>
      </c>
      <c r="P443" s="47" t="s">
        <v>15898</v>
      </c>
      <c r="Q443" s="47" t="s">
        <v>620</v>
      </c>
      <c r="R443" s="47" t="s">
        <v>15899</v>
      </c>
      <c r="S443" s="47" t="s">
        <v>15900</v>
      </c>
      <c r="T443" s="46"/>
      <c r="U443" s="46" t="s">
        <v>491</v>
      </c>
      <c r="V443" s="46"/>
    </row>
    <row r="444" spans="1:35" s="47" customFormat="1" ht="60" customHeight="1" x14ac:dyDescent="0.25">
      <c r="A444" s="61">
        <v>43620</v>
      </c>
      <c r="B444" s="47" t="s">
        <v>328</v>
      </c>
      <c r="C444" s="46" t="s">
        <v>603</v>
      </c>
      <c r="D444" s="46" t="s">
        <v>10705</v>
      </c>
      <c r="E444" s="46"/>
      <c r="F444" s="46" t="s">
        <v>10502</v>
      </c>
      <c r="G444" s="46" t="s">
        <v>8550</v>
      </c>
      <c r="H444" s="46" t="s">
        <v>809</v>
      </c>
      <c r="I444" s="46" t="s">
        <v>5703</v>
      </c>
      <c r="J444" s="46" t="s">
        <v>5610</v>
      </c>
      <c r="K444" s="218" t="s">
        <v>15919</v>
      </c>
      <c r="L444" s="185">
        <v>3</v>
      </c>
      <c r="M444" s="91">
        <v>800000</v>
      </c>
      <c r="N444" s="91">
        <v>810000</v>
      </c>
      <c r="O444" s="189" t="s">
        <v>7564</v>
      </c>
      <c r="P444" s="47" t="s">
        <v>15920</v>
      </c>
      <c r="Q444" s="47" t="s">
        <v>1939</v>
      </c>
      <c r="R444" s="47" t="s">
        <v>15921</v>
      </c>
      <c r="T444" s="46"/>
      <c r="U444" s="46" t="s">
        <v>491</v>
      </c>
      <c r="V444" s="46"/>
    </row>
    <row r="445" spans="1:35" s="47" customFormat="1" ht="60" x14ac:dyDescent="0.25">
      <c r="A445" s="61">
        <v>43621</v>
      </c>
      <c r="B445" s="47" t="s">
        <v>13559</v>
      </c>
      <c r="C445" s="46" t="s">
        <v>604</v>
      </c>
      <c r="D445" s="46" t="s">
        <v>7814</v>
      </c>
      <c r="E445" s="46"/>
      <c r="F445" s="46" t="s">
        <v>15922</v>
      </c>
      <c r="G445" s="46" t="s">
        <v>15923</v>
      </c>
      <c r="H445" s="46" t="s">
        <v>2510</v>
      </c>
      <c r="I445" s="46" t="s">
        <v>15924</v>
      </c>
      <c r="J445" s="46" t="s">
        <v>4785</v>
      </c>
      <c r="K445" s="218" t="s">
        <v>15925</v>
      </c>
      <c r="L445" s="185">
        <v>5</v>
      </c>
      <c r="M445" s="91">
        <v>257000</v>
      </c>
      <c r="N445" s="91">
        <v>300000</v>
      </c>
      <c r="O445" s="189" t="s">
        <v>10765</v>
      </c>
      <c r="P445" s="47" t="s">
        <v>15926</v>
      </c>
      <c r="Q445" s="47" t="s">
        <v>1939</v>
      </c>
      <c r="R445" s="47" t="s">
        <v>15927</v>
      </c>
      <c r="S445" s="47" t="s">
        <v>15928</v>
      </c>
      <c r="T445" s="46"/>
      <c r="U445" s="46" t="s">
        <v>491</v>
      </c>
      <c r="V445" s="46"/>
    </row>
    <row r="446" spans="1:35" s="47" customFormat="1" ht="30" x14ac:dyDescent="0.25">
      <c r="A446" s="61">
        <v>43621</v>
      </c>
      <c r="B446" s="47" t="s">
        <v>328</v>
      </c>
      <c r="C446" s="46" t="s">
        <v>603</v>
      </c>
      <c r="D446" s="46" t="s">
        <v>649</v>
      </c>
      <c r="E446" s="46"/>
      <c r="F446" s="46" t="s">
        <v>10006</v>
      </c>
      <c r="G446" s="46" t="s">
        <v>15929</v>
      </c>
      <c r="H446" s="46" t="s">
        <v>607</v>
      </c>
      <c r="I446" s="46" t="s">
        <v>15930</v>
      </c>
      <c r="J446" s="46" t="s">
        <v>5309</v>
      </c>
      <c r="K446" s="218" t="s">
        <v>15931</v>
      </c>
      <c r="L446" s="185">
        <v>2</v>
      </c>
      <c r="M446" s="91">
        <v>1904000</v>
      </c>
      <c r="N446" s="91">
        <v>3500000</v>
      </c>
      <c r="O446" s="189" t="s">
        <v>7564</v>
      </c>
      <c r="P446" s="47" t="s">
        <v>15932</v>
      </c>
      <c r="Q446" s="47" t="s">
        <v>29</v>
      </c>
      <c r="R446" s="47" t="s">
        <v>15933</v>
      </c>
      <c r="S446" s="47" t="s">
        <v>15934</v>
      </c>
      <c r="T446" s="46"/>
      <c r="U446" s="46" t="s">
        <v>491</v>
      </c>
      <c r="V446" s="46"/>
    </row>
    <row r="447" spans="1:35" s="47" customFormat="1" ht="48" customHeight="1" x14ac:dyDescent="0.25">
      <c r="A447" s="61">
        <v>43621</v>
      </c>
      <c r="B447" s="47" t="s">
        <v>13559</v>
      </c>
      <c r="C447" s="46" t="s">
        <v>6329</v>
      </c>
      <c r="D447" s="46" t="s">
        <v>7761</v>
      </c>
      <c r="E447" s="46"/>
      <c r="F447" s="46" t="s">
        <v>15936</v>
      </c>
      <c r="G447" s="46"/>
      <c r="H447" s="46" t="s">
        <v>607</v>
      </c>
      <c r="I447" s="46" t="s">
        <v>15937</v>
      </c>
      <c r="J447" s="46" t="s">
        <v>6329</v>
      </c>
      <c r="K447" s="218" t="s">
        <v>15938</v>
      </c>
      <c r="L447" s="185"/>
      <c r="M447" s="91">
        <v>370000</v>
      </c>
      <c r="N447" s="91">
        <v>660000</v>
      </c>
      <c r="O447" s="189" t="s">
        <v>4533</v>
      </c>
      <c r="P447" s="47" t="s">
        <v>15939</v>
      </c>
      <c r="Q447" s="47" t="s">
        <v>620</v>
      </c>
      <c r="R447" s="47" t="s">
        <v>15940</v>
      </c>
      <c r="T447" s="46"/>
      <c r="U447" s="46" t="s">
        <v>491</v>
      </c>
      <c r="V447" s="46"/>
    </row>
    <row r="448" spans="1:35" s="47" customFormat="1" ht="45" x14ac:dyDescent="0.25">
      <c r="A448" s="61">
        <v>43622</v>
      </c>
      <c r="B448" s="47" t="s">
        <v>6076</v>
      </c>
      <c r="C448" s="46" t="s">
        <v>3370</v>
      </c>
      <c r="D448" s="46" t="s">
        <v>2836</v>
      </c>
      <c r="E448" s="46"/>
      <c r="F448" s="46" t="s">
        <v>15941</v>
      </c>
      <c r="G448" s="46" t="s">
        <v>2346</v>
      </c>
      <c r="H448" s="46" t="s">
        <v>607</v>
      </c>
      <c r="I448" s="46" t="s">
        <v>6796</v>
      </c>
      <c r="J448" s="46" t="s">
        <v>15942</v>
      </c>
      <c r="K448" s="218" t="s">
        <v>15943</v>
      </c>
      <c r="L448" s="185"/>
      <c r="M448" s="91">
        <v>400000</v>
      </c>
      <c r="N448" s="91">
        <v>630000</v>
      </c>
      <c r="O448" s="189" t="s">
        <v>10763</v>
      </c>
      <c r="P448" s="47" t="s">
        <v>15944</v>
      </c>
      <c r="Q448" s="47" t="s">
        <v>29</v>
      </c>
      <c r="R448" s="47" t="s">
        <v>15945</v>
      </c>
      <c r="T448" s="46"/>
      <c r="U448" s="46" t="s">
        <v>491</v>
      </c>
      <c r="V448" s="46"/>
    </row>
    <row r="449" spans="1:22" s="47" customFormat="1" ht="60" x14ac:dyDescent="0.25">
      <c r="A449" s="61">
        <v>43622</v>
      </c>
      <c r="B449" s="47" t="s">
        <v>328</v>
      </c>
      <c r="C449" s="46" t="s">
        <v>603</v>
      </c>
      <c r="D449" s="46" t="s">
        <v>10705</v>
      </c>
      <c r="E449" s="46"/>
      <c r="F449" s="46" t="s">
        <v>15946</v>
      </c>
      <c r="G449" s="46" t="s">
        <v>15947</v>
      </c>
      <c r="H449" s="46" t="s">
        <v>607</v>
      </c>
      <c r="I449" s="46" t="s">
        <v>15948</v>
      </c>
      <c r="J449" s="46" t="s">
        <v>608</v>
      </c>
      <c r="K449" s="218" t="s">
        <v>15949</v>
      </c>
      <c r="L449" s="185">
        <v>9</v>
      </c>
      <c r="M449" s="91">
        <v>150000</v>
      </c>
      <c r="N449" s="91">
        <v>205000</v>
      </c>
      <c r="O449" s="189" t="s">
        <v>7124</v>
      </c>
      <c r="P449" s="47" t="s">
        <v>15950</v>
      </c>
      <c r="Q449" s="47" t="s">
        <v>592</v>
      </c>
      <c r="R449" s="47" t="s">
        <v>15951</v>
      </c>
      <c r="T449" s="46"/>
      <c r="U449" s="46" t="s">
        <v>491</v>
      </c>
      <c r="V449" s="46"/>
    </row>
    <row r="450" spans="1:22" s="47" customFormat="1" ht="60" x14ac:dyDescent="0.25">
      <c r="A450" s="61">
        <v>43622</v>
      </c>
      <c r="B450" s="47" t="s">
        <v>6076</v>
      </c>
      <c r="C450" s="46" t="s">
        <v>3370</v>
      </c>
      <c r="D450" s="46" t="s">
        <v>10524</v>
      </c>
      <c r="E450" s="46"/>
      <c r="F450" s="46" t="s">
        <v>15952</v>
      </c>
      <c r="G450" s="46"/>
      <c r="H450" s="46" t="s">
        <v>607</v>
      </c>
      <c r="I450" s="46" t="s">
        <v>15953</v>
      </c>
      <c r="J450" s="46" t="s">
        <v>3370</v>
      </c>
      <c r="K450" s="218" t="s">
        <v>15954</v>
      </c>
      <c r="L450" s="185">
        <v>10</v>
      </c>
      <c r="M450" s="91">
        <v>100000</v>
      </c>
      <c r="N450" s="91">
        <v>120000</v>
      </c>
      <c r="O450" s="189" t="s">
        <v>7124</v>
      </c>
      <c r="P450" s="47" t="s">
        <v>15955</v>
      </c>
      <c r="Q450" s="47" t="s">
        <v>1939</v>
      </c>
      <c r="R450" s="47" t="s">
        <v>15956</v>
      </c>
      <c r="T450" s="46"/>
      <c r="U450" s="46" t="s">
        <v>491</v>
      </c>
      <c r="V450" s="46"/>
    </row>
    <row r="451" spans="1:22" s="47" customFormat="1" ht="90" x14ac:dyDescent="0.25">
      <c r="A451" s="61">
        <v>43622</v>
      </c>
      <c r="B451" s="47" t="s">
        <v>328</v>
      </c>
      <c r="C451" s="46" t="s">
        <v>603</v>
      </c>
      <c r="D451" s="46" t="s">
        <v>649</v>
      </c>
      <c r="E451" s="46"/>
      <c r="F451" s="46" t="s">
        <v>15957</v>
      </c>
      <c r="G451" s="46" t="s">
        <v>645</v>
      </c>
      <c r="H451" s="46" t="s">
        <v>607</v>
      </c>
      <c r="I451" s="46" t="s">
        <v>15958</v>
      </c>
      <c r="J451" s="46" t="s">
        <v>3885</v>
      </c>
      <c r="K451" s="218" t="s">
        <v>15959</v>
      </c>
      <c r="L451" s="185">
        <v>9</v>
      </c>
      <c r="M451" s="91">
        <v>418567</v>
      </c>
      <c r="N451" s="91">
        <v>720000</v>
      </c>
      <c r="O451" s="189" t="s">
        <v>4533</v>
      </c>
      <c r="P451" s="47" t="s">
        <v>15960</v>
      </c>
      <c r="Q451" s="47" t="s">
        <v>29</v>
      </c>
      <c r="R451" s="47" t="s">
        <v>15962</v>
      </c>
      <c r="S451" s="47" t="s">
        <v>15961</v>
      </c>
      <c r="T451" s="46"/>
      <c r="U451" s="46" t="s">
        <v>491</v>
      </c>
      <c r="V451" s="46"/>
    </row>
    <row r="452" spans="1:22" s="47" customFormat="1" ht="63.75" customHeight="1" x14ac:dyDescent="0.25">
      <c r="A452" s="61">
        <v>43622</v>
      </c>
      <c r="B452" s="47" t="s">
        <v>328</v>
      </c>
      <c r="C452" s="46" t="s">
        <v>603</v>
      </c>
      <c r="D452" s="46" t="s">
        <v>10705</v>
      </c>
      <c r="E452" s="46"/>
      <c r="F452" s="46" t="s">
        <v>15963</v>
      </c>
      <c r="G452" s="46" t="s">
        <v>7855</v>
      </c>
      <c r="H452" s="46" t="s">
        <v>10831</v>
      </c>
      <c r="I452" s="46" t="s">
        <v>4926</v>
      </c>
      <c r="J452" s="46" t="s">
        <v>644</v>
      </c>
      <c r="K452" s="218" t="s">
        <v>15966</v>
      </c>
      <c r="L452" s="185">
        <v>4</v>
      </c>
      <c r="M452" s="91">
        <v>629000</v>
      </c>
      <c r="N452" s="91">
        <v>921900</v>
      </c>
      <c r="O452" s="189" t="s">
        <v>7564</v>
      </c>
      <c r="P452" s="47" t="s">
        <v>15964</v>
      </c>
      <c r="Q452" s="47" t="s">
        <v>1939</v>
      </c>
      <c r="R452" s="47" t="s">
        <v>15965</v>
      </c>
      <c r="S452" s="47" t="s">
        <v>15436</v>
      </c>
      <c r="T452" s="46"/>
      <c r="U452" s="46" t="s">
        <v>491</v>
      </c>
      <c r="V452" s="46"/>
    </row>
    <row r="453" spans="1:22" s="47" customFormat="1" ht="105" customHeight="1" x14ac:dyDescent="0.25">
      <c r="A453" s="61">
        <v>43623</v>
      </c>
      <c r="B453" s="47" t="s">
        <v>328</v>
      </c>
      <c r="C453" s="46" t="s">
        <v>603</v>
      </c>
      <c r="D453" s="46" t="s">
        <v>10705</v>
      </c>
      <c r="E453" s="46"/>
      <c r="F453" s="46" t="s">
        <v>9394</v>
      </c>
      <c r="G453" s="46" t="s">
        <v>15967</v>
      </c>
      <c r="H453" s="46" t="s">
        <v>2510</v>
      </c>
      <c r="I453" s="46" t="s">
        <v>6328</v>
      </c>
      <c r="J453" s="46" t="s">
        <v>6329</v>
      </c>
      <c r="K453" s="218" t="s">
        <v>15968</v>
      </c>
      <c r="L453" s="185">
        <v>2</v>
      </c>
      <c r="M453" s="91">
        <v>600000</v>
      </c>
      <c r="N453" s="91">
        <v>900000</v>
      </c>
      <c r="O453" s="189" t="s">
        <v>7564</v>
      </c>
      <c r="P453" s="47" t="s">
        <v>15969</v>
      </c>
      <c r="Q453" s="47" t="s">
        <v>29</v>
      </c>
      <c r="R453" s="47" t="s">
        <v>15970</v>
      </c>
      <c r="S453" s="47" t="s">
        <v>15971</v>
      </c>
      <c r="T453" s="46"/>
      <c r="U453" s="46" t="s">
        <v>491</v>
      </c>
      <c r="V453" s="46"/>
    </row>
    <row r="454" spans="1:22" s="47" customFormat="1" ht="15.75" x14ac:dyDescent="0.25">
      <c r="A454" s="61"/>
      <c r="C454" s="46"/>
      <c r="D454" s="46"/>
      <c r="E454" s="46"/>
      <c r="F454" s="46"/>
      <c r="G454" s="46"/>
      <c r="H454" s="46"/>
      <c r="I454" s="46"/>
      <c r="J454" s="46"/>
      <c r="K454" s="218"/>
      <c r="L454" s="185"/>
      <c r="M454" s="91"/>
      <c r="N454" s="91"/>
      <c r="O454" s="189"/>
      <c r="Q454" s="47" t="s">
        <v>833</v>
      </c>
      <c r="T454" s="46"/>
      <c r="U454" s="46"/>
      <c r="V454" s="46"/>
    </row>
    <row r="455" spans="1:22" s="47" customFormat="1" ht="15.75" x14ac:dyDescent="0.25">
      <c r="A455" s="61"/>
      <c r="C455" s="46"/>
      <c r="D455" s="46"/>
      <c r="E455" s="46"/>
      <c r="F455" s="46"/>
      <c r="G455" s="46"/>
      <c r="H455" s="46"/>
      <c r="I455" s="46"/>
      <c r="J455" s="46"/>
      <c r="K455" s="218"/>
      <c r="L455" s="185"/>
      <c r="M455" s="91"/>
      <c r="N455" s="91"/>
      <c r="O455" s="189"/>
      <c r="Q455" s="47" t="s">
        <v>833</v>
      </c>
      <c r="T455" s="46"/>
      <c r="U455" s="46"/>
      <c r="V455" s="46"/>
    </row>
    <row r="456" spans="1:22" s="47" customFormat="1" ht="15.75" x14ac:dyDescent="0.25">
      <c r="A456" s="61"/>
      <c r="C456" s="46"/>
      <c r="D456" s="46"/>
      <c r="E456" s="46"/>
      <c r="F456" s="46"/>
      <c r="G456" s="46"/>
      <c r="H456" s="46"/>
      <c r="I456" s="46"/>
      <c r="J456" s="46"/>
      <c r="K456" s="218"/>
      <c r="L456" s="185"/>
      <c r="M456" s="91"/>
      <c r="N456" s="91"/>
      <c r="O456" s="189"/>
      <c r="Q456" s="47" t="s">
        <v>833</v>
      </c>
      <c r="T456" s="46"/>
      <c r="U456" s="46"/>
      <c r="V456" s="46"/>
    </row>
    <row r="457" spans="1:22" s="47" customFormat="1" ht="15.75" x14ac:dyDescent="0.25">
      <c r="A457" s="61"/>
      <c r="C457" s="46"/>
      <c r="D457" s="46"/>
      <c r="E457" s="46"/>
      <c r="F457" s="46"/>
      <c r="G457" s="46"/>
      <c r="H457" s="46"/>
      <c r="I457" s="46"/>
      <c r="J457" s="46"/>
      <c r="K457" s="218"/>
      <c r="L457" s="185"/>
      <c r="M457" s="91"/>
      <c r="N457" s="91"/>
      <c r="O457" s="189"/>
      <c r="Q457" s="47" t="s">
        <v>833</v>
      </c>
      <c r="T457" s="46"/>
      <c r="U457" s="46"/>
      <c r="V457" s="46"/>
    </row>
    <row r="458" spans="1:22" s="47" customFormat="1" ht="15.75" x14ac:dyDescent="0.25">
      <c r="A458" s="61"/>
      <c r="C458" s="46"/>
      <c r="D458" s="46"/>
      <c r="E458" s="46"/>
      <c r="F458" s="46"/>
      <c r="G458" s="46"/>
      <c r="H458" s="46"/>
      <c r="I458" s="46"/>
      <c r="J458" s="46"/>
      <c r="K458" s="218"/>
      <c r="L458" s="185"/>
      <c r="M458" s="91"/>
      <c r="N458" s="91"/>
      <c r="O458" s="189"/>
      <c r="Q458" s="47" t="s">
        <v>833</v>
      </c>
      <c r="T458" s="46"/>
      <c r="U458" s="46"/>
      <c r="V458" s="46"/>
    </row>
    <row r="459" spans="1:22" s="47" customFormat="1" ht="15.75" x14ac:dyDescent="0.25">
      <c r="A459" s="61"/>
      <c r="C459" s="46"/>
      <c r="D459" s="46"/>
      <c r="E459" s="46"/>
      <c r="F459" s="46"/>
      <c r="G459" s="46"/>
      <c r="H459" s="46"/>
      <c r="I459" s="46"/>
      <c r="J459" s="46"/>
      <c r="K459" s="218"/>
      <c r="L459" s="185"/>
      <c r="M459" s="91"/>
      <c r="N459" s="91"/>
      <c r="O459" s="189"/>
      <c r="Q459" s="47" t="s">
        <v>833</v>
      </c>
      <c r="T459" s="46"/>
      <c r="U459" s="46"/>
      <c r="V459" s="46"/>
    </row>
    <row r="460" spans="1:22" s="47" customFormat="1" ht="15.75" x14ac:dyDescent="0.25">
      <c r="A460" s="61"/>
      <c r="C460" s="46"/>
      <c r="D460" s="46"/>
      <c r="E460" s="46"/>
      <c r="F460" s="46"/>
      <c r="G460" s="46"/>
      <c r="H460" s="46"/>
      <c r="I460" s="46"/>
      <c r="J460" s="46"/>
      <c r="K460" s="218"/>
      <c r="L460" s="185"/>
      <c r="M460" s="91"/>
      <c r="N460" s="91"/>
      <c r="O460" s="189"/>
      <c r="Q460" s="47" t="s">
        <v>833</v>
      </c>
      <c r="T460" s="46"/>
      <c r="U460" s="46"/>
      <c r="V460" s="46"/>
    </row>
    <row r="461" spans="1:22" s="47" customFormat="1" ht="15.75" x14ac:dyDescent="0.25">
      <c r="A461" s="61"/>
      <c r="C461" s="46"/>
      <c r="D461" s="46"/>
      <c r="E461" s="46"/>
      <c r="F461" s="46"/>
      <c r="G461" s="46"/>
      <c r="H461" s="46"/>
      <c r="I461" s="46"/>
      <c r="J461" s="46"/>
      <c r="K461" s="218"/>
      <c r="L461" s="185"/>
      <c r="M461" s="91"/>
      <c r="N461" s="91"/>
      <c r="O461" s="189"/>
      <c r="Q461" s="47" t="s">
        <v>833</v>
      </c>
      <c r="T461" s="46"/>
      <c r="U461" s="46"/>
      <c r="V461" s="46"/>
    </row>
    <row r="462" spans="1:22" s="47" customFormat="1" ht="15.75" x14ac:dyDescent="0.25">
      <c r="A462" s="61"/>
      <c r="C462" s="46"/>
      <c r="D462" s="46"/>
      <c r="E462" s="46"/>
      <c r="F462" s="46"/>
      <c r="G462" s="46"/>
      <c r="H462" s="46"/>
      <c r="I462" s="46"/>
      <c r="J462" s="46"/>
      <c r="K462" s="218"/>
      <c r="L462" s="185"/>
      <c r="M462" s="91"/>
      <c r="N462" s="91"/>
      <c r="O462" s="189"/>
      <c r="Q462" s="47" t="s">
        <v>833</v>
      </c>
      <c r="T462" s="46"/>
      <c r="U462" s="46"/>
      <c r="V462" s="46"/>
    </row>
    <row r="463" spans="1:22" s="47" customFormat="1" ht="15.75" x14ac:dyDescent="0.25">
      <c r="A463" s="61"/>
      <c r="C463" s="46"/>
      <c r="D463" s="46"/>
      <c r="E463" s="46"/>
      <c r="F463" s="46"/>
      <c r="G463" s="46"/>
      <c r="H463" s="46"/>
      <c r="I463" s="46"/>
      <c r="J463" s="46"/>
      <c r="K463" s="218"/>
      <c r="L463" s="185"/>
      <c r="M463" s="91"/>
      <c r="N463" s="91"/>
      <c r="O463" s="189"/>
      <c r="Q463" s="47" t="s">
        <v>833</v>
      </c>
      <c r="T463" s="46"/>
      <c r="U463" s="46"/>
      <c r="V463" s="46"/>
    </row>
    <row r="464" spans="1:22" s="47" customFormat="1" ht="15.75" x14ac:dyDescent="0.25">
      <c r="A464" s="61"/>
      <c r="C464" s="46"/>
      <c r="D464" s="46"/>
      <c r="E464" s="46"/>
      <c r="F464" s="46"/>
      <c r="G464" s="46"/>
      <c r="H464" s="46"/>
      <c r="I464" s="46"/>
      <c r="J464" s="46"/>
      <c r="K464" s="218"/>
      <c r="L464" s="185"/>
      <c r="M464" s="91"/>
      <c r="N464" s="91"/>
      <c r="O464" s="189"/>
      <c r="Q464" s="47" t="s">
        <v>833</v>
      </c>
      <c r="T464" s="46"/>
      <c r="U464" s="46"/>
      <c r="V464" s="46"/>
    </row>
    <row r="465" spans="1:22" s="47" customFormat="1" ht="15.75" x14ac:dyDescent="0.25">
      <c r="A465" s="61"/>
      <c r="C465" s="46"/>
      <c r="D465" s="46"/>
      <c r="E465" s="46"/>
      <c r="F465" s="46"/>
      <c r="G465" s="46"/>
      <c r="H465" s="46"/>
      <c r="I465" s="46"/>
      <c r="J465" s="46"/>
      <c r="K465" s="218"/>
      <c r="L465" s="185"/>
      <c r="M465" s="91"/>
      <c r="N465" s="91"/>
      <c r="O465" s="189"/>
      <c r="Q465" s="47" t="s">
        <v>833</v>
      </c>
      <c r="T465" s="46"/>
      <c r="U465" s="46"/>
      <c r="V465" s="46"/>
    </row>
    <row r="466" spans="1:22" s="47" customFormat="1" ht="15.75" x14ac:dyDescent="0.25">
      <c r="A466" s="61"/>
      <c r="C466" s="46"/>
      <c r="D466" s="46"/>
      <c r="E466" s="46"/>
      <c r="F466" s="46"/>
      <c r="G466" s="46"/>
      <c r="H466" s="46"/>
      <c r="I466" s="46"/>
      <c r="J466" s="46"/>
      <c r="K466" s="218"/>
      <c r="L466" s="185"/>
      <c r="M466" s="91"/>
      <c r="N466" s="91"/>
      <c r="O466" s="189"/>
      <c r="Q466" s="47" t="s">
        <v>833</v>
      </c>
      <c r="T466" s="46"/>
      <c r="U466" s="46"/>
      <c r="V466" s="46"/>
    </row>
    <row r="467" spans="1:22" s="47" customFormat="1" ht="15.75" x14ac:dyDescent="0.25">
      <c r="A467" s="61"/>
      <c r="C467" s="46"/>
      <c r="D467" s="46"/>
      <c r="E467" s="46"/>
      <c r="F467" s="46"/>
      <c r="G467" s="46"/>
      <c r="H467" s="46"/>
      <c r="I467" s="46"/>
      <c r="J467" s="46"/>
      <c r="K467" s="218"/>
      <c r="L467" s="185"/>
      <c r="M467" s="91"/>
      <c r="N467" s="91"/>
      <c r="O467" s="189"/>
      <c r="Q467" s="47" t="s">
        <v>833</v>
      </c>
      <c r="T467" s="46"/>
      <c r="U467" s="46"/>
      <c r="V467" s="46"/>
    </row>
    <row r="468" spans="1:22" s="47" customFormat="1" ht="15.75" x14ac:dyDescent="0.25">
      <c r="A468" s="61"/>
      <c r="C468" s="46"/>
      <c r="D468" s="46"/>
      <c r="E468" s="46"/>
      <c r="F468" s="46"/>
      <c r="G468" s="46"/>
      <c r="H468" s="46"/>
      <c r="I468" s="46"/>
      <c r="J468" s="46"/>
      <c r="K468" s="218"/>
      <c r="L468" s="185"/>
      <c r="M468" s="91"/>
      <c r="N468" s="91"/>
      <c r="O468" s="189"/>
      <c r="Q468" s="47" t="s">
        <v>833</v>
      </c>
      <c r="T468" s="46"/>
      <c r="U468" s="46"/>
      <c r="V468" s="46"/>
    </row>
    <row r="469" spans="1:22" s="47" customFormat="1" ht="15.75" x14ac:dyDescent="0.25">
      <c r="A469" s="61"/>
      <c r="C469" s="46"/>
      <c r="D469" s="46"/>
      <c r="E469" s="46"/>
      <c r="F469" s="46"/>
      <c r="G469" s="46"/>
      <c r="H469" s="46"/>
      <c r="I469" s="46"/>
      <c r="J469" s="46"/>
      <c r="K469" s="218"/>
      <c r="L469" s="185"/>
      <c r="M469" s="91"/>
      <c r="N469" s="91"/>
      <c r="O469" s="189"/>
      <c r="Q469" s="47" t="s">
        <v>833</v>
      </c>
      <c r="T469" s="46"/>
      <c r="U469" s="46"/>
      <c r="V469" s="46"/>
    </row>
    <row r="470" spans="1:22" s="47" customFormat="1" ht="15.75" x14ac:dyDescent="0.25">
      <c r="A470" s="61"/>
      <c r="C470" s="46"/>
      <c r="D470" s="46"/>
      <c r="E470" s="46"/>
      <c r="F470" s="46"/>
      <c r="G470" s="46"/>
      <c r="H470" s="46"/>
      <c r="I470" s="46"/>
      <c r="J470" s="46"/>
      <c r="K470" s="218"/>
      <c r="L470" s="185"/>
      <c r="M470" s="91"/>
      <c r="N470" s="91"/>
      <c r="O470" s="189"/>
      <c r="Q470" s="47" t="s">
        <v>833</v>
      </c>
      <c r="T470" s="46"/>
      <c r="U470" s="46"/>
      <c r="V470" s="46"/>
    </row>
    <row r="471" spans="1:22" s="47" customFormat="1" ht="15.75" x14ac:dyDescent="0.25">
      <c r="A471" s="61"/>
      <c r="C471" s="46"/>
      <c r="D471" s="46"/>
      <c r="E471" s="46"/>
      <c r="F471" s="46"/>
      <c r="G471" s="46"/>
      <c r="H471" s="46"/>
      <c r="I471" s="46"/>
      <c r="J471" s="46"/>
      <c r="K471" s="218"/>
      <c r="L471" s="185"/>
      <c r="M471" s="91"/>
      <c r="N471" s="91"/>
      <c r="O471" s="189"/>
      <c r="Q471" s="47" t="s">
        <v>833</v>
      </c>
      <c r="T471" s="46"/>
      <c r="U471" s="46"/>
      <c r="V471" s="46"/>
    </row>
    <row r="472" spans="1:22" s="47" customFormat="1" ht="15.75" x14ac:dyDescent="0.25">
      <c r="A472" s="61"/>
      <c r="C472" s="46"/>
      <c r="D472" s="46"/>
      <c r="E472" s="46"/>
      <c r="F472" s="46"/>
      <c r="G472" s="46"/>
      <c r="H472" s="46"/>
      <c r="I472" s="46"/>
      <c r="J472" s="46"/>
      <c r="K472" s="218"/>
      <c r="L472" s="185"/>
      <c r="M472" s="91"/>
      <c r="N472" s="91"/>
      <c r="O472" s="189"/>
      <c r="Q472" s="47" t="s">
        <v>833</v>
      </c>
      <c r="T472" s="46"/>
      <c r="U472" s="46"/>
      <c r="V472" s="46"/>
    </row>
    <row r="473" spans="1:22" s="47" customFormat="1" ht="15.75" x14ac:dyDescent="0.25">
      <c r="A473" s="61"/>
      <c r="C473" s="46"/>
      <c r="D473" s="46"/>
      <c r="E473" s="46"/>
      <c r="F473" s="46"/>
      <c r="G473" s="46"/>
      <c r="H473" s="46"/>
      <c r="I473" s="46"/>
      <c r="J473" s="46"/>
      <c r="K473" s="218"/>
      <c r="L473" s="185"/>
      <c r="M473" s="91"/>
      <c r="N473" s="91"/>
      <c r="O473" s="189"/>
      <c r="Q473" s="47" t="s">
        <v>833</v>
      </c>
      <c r="T473" s="46"/>
      <c r="U473" s="46"/>
      <c r="V473" s="46"/>
    </row>
    <row r="474" spans="1:22" s="47" customFormat="1" ht="15.75" x14ac:dyDescent="0.25">
      <c r="A474" s="61"/>
      <c r="C474" s="46"/>
      <c r="D474" s="46"/>
      <c r="E474" s="46"/>
      <c r="F474" s="46"/>
      <c r="G474" s="46"/>
      <c r="H474" s="46"/>
      <c r="I474" s="46"/>
      <c r="J474" s="46"/>
      <c r="K474" s="218"/>
      <c r="L474" s="185"/>
      <c r="M474" s="91"/>
      <c r="N474" s="91"/>
      <c r="O474" s="189"/>
      <c r="Q474" s="47" t="s">
        <v>833</v>
      </c>
      <c r="T474" s="46"/>
      <c r="U474" s="46"/>
      <c r="V474" s="46"/>
    </row>
    <row r="475" spans="1:22" s="47" customFormat="1" ht="15.75" x14ac:dyDescent="0.25">
      <c r="A475" s="61"/>
      <c r="C475" s="46"/>
      <c r="D475" s="46"/>
      <c r="E475" s="46"/>
      <c r="F475" s="46"/>
      <c r="G475" s="46"/>
      <c r="H475" s="46"/>
      <c r="I475" s="46"/>
      <c r="J475" s="46"/>
      <c r="K475" s="218"/>
      <c r="L475" s="185"/>
      <c r="M475" s="91"/>
      <c r="N475" s="91"/>
      <c r="O475" s="189"/>
      <c r="Q475" s="47" t="s">
        <v>833</v>
      </c>
      <c r="T475" s="46"/>
      <c r="U475" s="46"/>
      <c r="V475" s="46"/>
    </row>
    <row r="476" spans="1:22" s="47" customFormat="1" ht="15.75" x14ac:dyDescent="0.25">
      <c r="A476" s="61"/>
      <c r="C476" s="46"/>
      <c r="D476" s="46"/>
      <c r="E476" s="46"/>
      <c r="F476" s="46"/>
      <c r="G476" s="46"/>
      <c r="H476" s="46"/>
      <c r="I476" s="46"/>
      <c r="J476" s="46"/>
      <c r="K476" s="218"/>
      <c r="L476" s="185"/>
      <c r="M476" s="91"/>
      <c r="N476" s="91"/>
      <c r="O476" s="189"/>
      <c r="Q476" s="47" t="s">
        <v>833</v>
      </c>
      <c r="T476" s="46"/>
      <c r="U476" s="46"/>
      <c r="V476" s="46"/>
    </row>
    <row r="477" spans="1:22" s="47" customFormat="1" ht="15.75" x14ac:dyDescent="0.25">
      <c r="A477" s="61"/>
      <c r="C477" s="46"/>
      <c r="D477" s="46"/>
      <c r="E477" s="46"/>
      <c r="F477" s="46"/>
      <c r="G477" s="46"/>
      <c r="H477" s="46"/>
      <c r="I477" s="46"/>
      <c r="J477" s="46"/>
      <c r="K477" s="218"/>
      <c r="L477" s="185"/>
      <c r="M477" s="91"/>
      <c r="N477" s="91"/>
      <c r="O477" s="189"/>
      <c r="Q477" s="47" t="s">
        <v>833</v>
      </c>
      <c r="T477" s="46"/>
      <c r="U477" s="46"/>
      <c r="V477" s="46"/>
    </row>
    <row r="478" spans="1:22" s="47" customFormat="1" ht="15.75" x14ac:dyDescent="0.25">
      <c r="A478" s="61"/>
      <c r="C478" s="46"/>
      <c r="D478" s="46"/>
      <c r="E478" s="46"/>
      <c r="F478" s="46"/>
      <c r="G478" s="46"/>
      <c r="H478" s="46"/>
      <c r="I478" s="46"/>
      <c r="J478" s="46"/>
      <c r="K478" s="218"/>
      <c r="L478" s="185"/>
      <c r="M478" s="91"/>
      <c r="N478" s="91"/>
      <c r="O478" s="189"/>
      <c r="Q478" s="47" t="s">
        <v>833</v>
      </c>
      <c r="T478" s="46"/>
      <c r="U478" s="46"/>
      <c r="V478" s="46"/>
    </row>
    <row r="479" spans="1:22" s="47" customFormat="1" ht="15.75" x14ac:dyDescent="0.25">
      <c r="A479" s="61"/>
      <c r="C479" s="46"/>
      <c r="D479" s="46"/>
      <c r="E479" s="46"/>
      <c r="F479" s="46"/>
      <c r="G479" s="46"/>
      <c r="H479" s="46"/>
      <c r="I479" s="46"/>
      <c r="J479" s="46"/>
      <c r="K479" s="218"/>
      <c r="L479" s="185"/>
      <c r="M479" s="91"/>
      <c r="N479" s="91"/>
      <c r="O479" s="189"/>
      <c r="Q479" s="47" t="s">
        <v>833</v>
      </c>
      <c r="T479" s="46"/>
      <c r="U479" s="46"/>
      <c r="V479" s="46"/>
    </row>
    <row r="480" spans="1:22" s="47" customFormat="1" ht="15.75" x14ac:dyDescent="0.25">
      <c r="A480" s="61"/>
      <c r="C480" s="46"/>
      <c r="D480" s="46"/>
      <c r="E480" s="46"/>
      <c r="F480" s="46"/>
      <c r="G480" s="46"/>
      <c r="H480" s="46"/>
      <c r="I480" s="46"/>
      <c r="J480" s="46"/>
      <c r="K480" s="218"/>
      <c r="L480" s="185"/>
      <c r="M480" s="91"/>
      <c r="N480" s="91"/>
      <c r="O480" s="189"/>
      <c r="Q480" s="47" t="s">
        <v>833</v>
      </c>
      <c r="T480" s="46"/>
      <c r="U480" s="46"/>
      <c r="V480" s="46"/>
    </row>
    <row r="481" spans="1:22" s="47" customFormat="1" ht="15.75" x14ac:dyDescent="0.25">
      <c r="A481" s="61"/>
      <c r="C481" s="46"/>
      <c r="D481" s="46"/>
      <c r="E481" s="46"/>
      <c r="F481" s="46"/>
      <c r="G481" s="46"/>
      <c r="H481" s="46"/>
      <c r="I481" s="46"/>
      <c r="J481" s="46"/>
      <c r="K481" s="218"/>
      <c r="L481" s="185"/>
      <c r="M481" s="91"/>
      <c r="N481" s="91"/>
      <c r="O481" s="189"/>
      <c r="Q481" s="47" t="s">
        <v>833</v>
      </c>
      <c r="T481" s="46"/>
      <c r="U481" s="46"/>
      <c r="V481" s="46"/>
    </row>
    <row r="482" spans="1:22" s="47" customFormat="1" ht="15.75" x14ac:dyDescent="0.25">
      <c r="A482" s="61"/>
      <c r="C482" s="46"/>
      <c r="D482" s="46"/>
      <c r="E482" s="46"/>
      <c r="F482" s="46"/>
      <c r="G482" s="46"/>
      <c r="H482" s="46"/>
      <c r="I482" s="46"/>
      <c r="J482" s="46"/>
      <c r="K482" s="218"/>
      <c r="L482" s="185"/>
      <c r="M482" s="91"/>
      <c r="N482" s="91"/>
      <c r="O482" s="189"/>
      <c r="Q482" s="47" t="s">
        <v>833</v>
      </c>
      <c r="T482" s="46"/>
      <c r="U482" s="46"/>
      <c r="V482" s="46"/>
    </row>
    <row r="483" spans="1:22" s="47" customFormat="1" ht="15.75" x14ac:dyDescent="0.25">
      <c r="A483" s="61"/>
      <c r="C483" s="46"/>
      <c r="D483" s="46"/>
      <c r="E483" s="46"/>
      <c r="F483" s="46"/>
      <c r="G483" s="46"/>
      <c r="H483" s="46"/>
      <c r="I483" s="46"/>
      <c r="J483" s="46"/>
      <c r="K483" s="218"/>
      <c r="L483" s="185"/>
      <c r="M483" s="91"/>
      <c r="N483" s="91"/>
      <c r="O483" s="189"/>
      <c r="Q483" s="47" t="s">
        <v>833</v>
      </c>
      <c r="T483" s="46"/>
      <c r="U483" s="46"/>
      <c r="V483" s="46"/>
    </row>
    <row r="484" spans="1:22" s="47" customFormat="1" ht="15.75" x14ac:dyDescent="0.25">
      <c r="A484" s="61"/>
      <c r="C484" s="46"/>
      <c r="D484" s="46"/>
      <c r="E484" s="46"/>
      <c r="F484" s="46"/>
      <c r="G484" s="46"/>
      <c r="H484" s="46"/>
      <c r="I484" s="46"/>
      <c r="J484" s="46"/>
      <c r="K484" s="218"/>
      <c r="L484" s="185"/>
      <c r="M484" s="91"/>
      <c r="N484" s="91"/>
      <c r="O484" s="189"/>
      <c r="Q484" s="47" t="s">
        <v>833</v>
      </c>
      <c r="T484" s="46"/>
      <c r="U484" s="46"/>
      <c r="V484" s="46"/>
    </row>
    <row r="485" spans="1:22" s="47" customFormat="1" ht="15.75" x14ac:dyDescent="0.25">
      <c r="A485" s="61"/>
      <c r="C485" s="46"/>
      <c r="D485" s="46"/>
      <c r="E485" s="46"/>
      <c r="F485" s="46"/>
      <c r="G485" s="46"/>
      <c r="H485" s="46"/>
      <c r="I485" s="46"/>
      <c r="J485" s="46"/>
      <c r="K485" s="218"/>
      <c r="L485" s="185"/>
      <c r="M485" s="91"/>
      <c r="N485" s="91"/>
      <c r="O485" s="189"/>
      <c r="Q485" s="47" t="s">
        <v>833</v>
      </c>
      <c r="T485" s="46"/>
      <c r="U485" s="46"/>
      <c r="V485" s="46"/>
    </row>
    <row r="486" spans="1:22" s="47" customFormat="1" ht="15.75" x14ac:dyDescent="0.25">
      <c r="A486" s="61"/>
      <c r="C486" s="46"/>
      <c r="D486" s="46"/>
      <c r="E486" s="46"/>
      <c r="F486" s="46"/>
      <c r="G486" s="46"/>
      <c r="H486" s="46"/>
      <c r="I486" s="46"/>
      <c r="J486" s="46"/>
      <c r="K486" s="218"/>
      <c r="L486" s="185"/>
      <c r="M486" s="91"/>
      <c r="N486" s="91"/>
      <c r="O486" s="189"/>
      <c r="Q486" s="47" t="s">
        <v>833</v>
      </c>
      <c r="T486" s="46"/>
      <c r="U486" s="46"/>
      <c r="V486" s="46"/>
    </row>
    <row r="487" spans="1:22" s="47" customFormat="1" ht="15.75" x14ac:dyDescent="0.25">
      <c r="A487" s="61"/>
      <c r="C487" s="46"/>
      <c r="D487" s="46"/>
      <c r="E487" s="46"/>
      <c r="F487" s="46"/>
      <c r="G487" s="46"/>
      <c r="H487" s="46"/>
      <c r="I487" s="46"/>
      <c r="J487" s="46"/>
      <c r="K487" s="218"/>
      <c r="L487" s="185"/>
      <c r="M487" s="91"/>
      <c r="N487" s="91"/>
      <c r="O487" s="189"/>
      <c r="Q487" s="47" t="s">
        <v>833</v>
      </c>
      <c r="T487" s="46"/>
      <c r="U487" s="46"/>
      <c r="V487" s="46"/>
    </row>
    <row r="488" spans="1:22" s="47" customFormat="1" ht="15.75" x14ac:dyDescent="0.25">
      <c r="A488" s="61"/>
      <c r="C488" s="46"/>
      <c r="D488" s="46"/>
      <c r="E488" s="46"/>
      <c r="F488" s="46"/>
      <c r="G488" s="46"/>
      <c r="H488" s="46"/>
      <c r="I488" s="46"/>
      <c r="J488" s="46"/>
      <c r="K488" s="218"/>
      <c r="L488" s="185"/>
      <c r="M488" s="91"/>
      <c r="N488" s="91"/>
      <c r="O488" s="189"/>
      <c r="Q488" s="47" t="s">
        <v>833</v>
      </c>
      <c r="T488" s="46"/>
      <c r="U488" s="46"/>
      <c r="V488" s="46"/>
    </row>
    <row r="489" spans="1:22" s="47" customFormat="1" ht="15.75" x14ac:dyDescent="0.25">
      <c r="A489" s="61"/>
      <c r="C489" s="46"/>
      <c r="D489" s="46"/>
      <c r="E489" s="46"/>
      <c r="F489" s="46"/>
      <c r="G489" s="46"/>
      <c r="H489" s="46"/>
      <c r="I489" s="46"/>
      <c r="J489" s="46"/>
      <c r="K489" s="218"/>
      <c r="L489" s="185"/>
      <c r="M489" s="91"/>
      <c r="N489" s="91"/>
      <c r="O489" s="189"/>
      <c r="Q489" s="47" t="s">
        <v>833</v>
      </c>
      <c r="T489" s="46"/>
      <c r="U489" s="46"/>
      <c r="V489" s="46"/>
    </row>
    <row r="490" spans="1:22" s="47" customFormat="1" ht="15.75" x14ac:dyDescent="0.25">
      <c r="A490" s="61"/>
      <c r="C490" s="46"/>
      <c r="D490" s="46"/>
      <c r="E490" s="46"/>
      <c r="F490" s="46"/>
      <c r="G490" s="46"/>
      <c r="H490" s="46"/>
      <c r="I490" s="46"/>
      <c r="J490" s="46"/>
      <c r="K490" s="218"/>
      <c r="L490" s="185"/>
      <c r="M490" s="91"/>
      <c r="N490" s="91"/>
      <c r="O490" s="189"/>
      <c r="Q490" s="47" t="s">
        <v>833</v>
      </c>
      <c r="T490" s="46"/>
      <c r="U490" s="46"/>
      <c r="V490" s="46"/>
    </row>
    <row r="491" spans="1:22" s="47" customFormat="1" ht="15.75" x14ac:dyDescent="0.25">
      <c r="A491" s="61"/>
      <c r="C491" s="46"/>
      <c r="D491" s="46"/>
      <c r="E491" s="46"/>
      <c r="F491" s="46"/>
      <c r="G491" s="46"/>
      <c r="H491" s="46"/>
      <c r="I491" s="46"/>
      <c r="J491" s="46"/>
      <c r="K491" s="218"/>
      <c r="L491" s="185"/>
      <c r="M491" s="91"/>
      <c r="N491" s="91"/>
      <c r="O491" s="189"/>
      <c r="Q491" s="47" t="s">
        <v>833</v>
      </c>
      <c r="T491" s="46"/>
      <c r="U491" s="46"/>
      <c r="V491" s="46"/>
    </row>
    <row r="492" spans="1:22" s="47" customFormat="1" ht="15.75" x14ac:dyDescent="0.25">
      <c r="A492" s="61"/>
      <c r="C492" s="46"/>
      <c r="D492" s="46"/>
      <c r="E492" s="46"/>
      <c r="F492" s="46"/>
      <c r="G492" s="46"/>
      <c r="H492" s="46"/>
      <c r="I492" s="46"/>
      <c r="J492" s="46"/>
      <c r="K492" s="218"/>
      <c r="L492" s="185"/>
      <c r="M492" s="91"/>
      <c r="N492" s="91"/>
      <c r="O492" s="189"/>
      <c r="Q492" s="47" t="s">
        <v>833</v>
      </c>
      <c r="T492" s="46"/>
      <c r="U492" s="46"/>
      <c r="V492" s="46"/>
    </row>
    <row r="493" spans="1:22" s="47" customFormat="1" ht="15.75" x14ac:dyDescent="0.25">
      <c r="A493" s="61"/>
      <c r="C493" s="46"/>
      <c r="D493" s="46"/>
      <c r="E493" s="46"/>
      <c r="F493" s="46"/>
      <c r="G493" s="46"/>
      <c r="H493" s="46"/>
      <c r="I493" s="46"/>
      <c r="J493" s="46"/>
      <c r="K493" s="218"/>
      <c r="L493" s="185"/>
      <c r="M493" s="91"/>
      <c r="N493" s="91"/>
      <c r="O493" s="189"/>
      <c r="Q493" s="47" t="s">
        <v>833</v>
      </c>
      <c r="T493" s="46"/>
      <c r="U493" s="46"/>
      <c r="V493" s="46"/>
    </row>
    <row r="494" spans="1:22" s="47" customFormat="1" ht="15.75" x14ac:dyDescent="0.25">
      <c r="A494" s="61"/>
      <c r="C494" s="46"/>
      <c r="D494" s="46"/>
      <c r="E494" s="46"/>
      <c r="F494" s="46"/>
      <c r="G494" s="46"/>
      <c r="H494" s="46"/>
      <c r="I494" s="46"/>
      <c r="J494" s="46"/>
      <c r="K494" s="218"/>
      <c r="L494" s="185"/>
      <c r="M494" s="91"/>
      <c r="N494" s="91"/>
      <c r="O494" s="189"/>
      <c r="Q494" s="47" t="s">
        <v>833</v>
      </c>
      <c r="T494" s="46"/>
      <c r="U494" s="46"/>
      <c r="V494" s="46"/>
    </row>
    <row r="495" spans="1:22" s="47" customFormat="1" ht="15.75" x14ac:dyDescent="0.25">
      <c r="A495" s="61"/>
      <c r="C495" s="46"/>
      <c r="D495" s="46"/>
      <c r="E495" s="46"/>
      <c r="F495" s="46"/>
      <c r="G495" s="46"/>
      <c r="H495" s="46"/>
      <c r="I495" s="46"/>
      <c r="J495" s="46"/>
      <c r="K495" s="218"/>
      <c r="L495" s="185"/>
      <c r="M495" s="91"/>
      <c r="N495" s="91"/>
      <c r="O495" s="189"/>
      <c r="Q495" s="47" t="s">
        <v>833</v>
      </c>
      <c r="T495" s="46"/>
      <c r="U495" s="46"/>
      <c r="V495" s="46"/>
    </row>
    <row r="496" spans="1:22" s="47" customFormat="1" ht="15.75" x14ac:dyDescent="0.25">
      <c r="A496" s="61"/>
      <c r="C496" s="46"/>
      <c r="D496" s="46"/>
      <c r="E496" s="46"/>
      <c r="F496" s="46"/>
      <c r="G496" s="46"/>
      <c r="H496" s="46"/>
      <c r="I496" s="46"/>
      <c r="J496" s="46"/>
      <c r="K496" s="218"/>
      <c r="L496" s="185"/>
      <c r="M496" s="91"/>
      <c r="N496" s="91"/>
      <c r="O496" s="189"/>
      <c r="Q496" s="47" t="s">
        <v>833</v>
      </c>
      <c r="T496" s="46"/>
      <c r="U496" s="46"/>
      <c r="V496" s="46"/>
    </row>
    <row r="497" spans="1:22" s="47" customFormat="1" ht="15.75" x14ac:dyDescent="0.25">
      <c r="A497" s="61"/>
      <c r="C497" s="46"/>
      <c r="D497" s="46"/>
      <c r="E497" s="46"/>
      <c r="F497" s="46"/>
      <c r="G497" s="46"/>
      <c r="H497" s="46"/>
      <c r="I497" s="46"/>
      <c r="J497" s="46"/>
      <c r="K497" s="218"/>
      <c r="L497" s="185"/>
      <c r="M497" s="91"/>
      <c r="N497" s="91"/>
      <c r="O497" s="189"/>
      <c r="Q497" s="47" t="s">
        <v>833</v>
      </c>
      <c r="T497" s="46"/>
      <c r="U497" s="46"/>
      <c r="V497" s="46"/>
    </row>
    <row r="498" spans="1:22" s="47" customFormat="1" ht="15.75" x14ac:dyDescent="0.25">
      <c r="A498" s="61"/>
      <c r="C498" s="46"/>
      <c r="D498" s="46"/>
      <c r="E498" s="46"/>
      <c r="F498" s="46"/>
      <c r="G498" s="46"/>
      <c r="H498" s="46"/>
      <c r="I498" s="46"/>
      <c r="J498" s="46"/>
      <c r="K498" s="218"/>
      <c r="L498" s="185"/>
      <c r="M498" s="91"/>
      <c r="N498" s="91"/>
      <c r="O498" s="189"/>
      <c r="Q498" s="47" t="s">
        <v>833</v>
      </c>
      <c r="T498" s="46"/>
      <c r="U498" s="46"/>
      <c r="V498" s="46"/>
    </row>
    <row r="499" spans="1:22" s="47" customFormat="1" ht="15.75" x14ac:dyDescent="0.25">
      <c r="A499" s="61"/>
      <c r="C499" s="46"/>
      <c r="D499" s="46"/>
      <c r="E499" s="46"/>
      <c r="F499" s="46"/>
      <c r="G499" s="46"/>
      <c r="H499" s="46"/>
      <c r="I499" s="46"/>
      <c r="J499" s="46"/>
      <c r="K499" s="218"/>
      <c r="L499" s="185"/>
      <c r="M499" s="91"/>
      <c r="N499" s="91"/>
      <c r="O499" s="189"/>
      <c r="Q499" s="47" t="s">
        <v>833</v>
      </c>
      <c r="T499" s="46"/>
      <c r="U499" s="46"/>
      <c r="V499" s="46"/>
    </row>
    <row r="500" spans="1:22" s="47" customFormat="1" ht="15.75" x14ac:dyDescent="0.25">
      <c r="A500" s="61"/>
      <c r="C500" s="46"/>
      <c r="D500" s="46"/>
      <c r="E500" s="46"/>
      <c r="F500" s="46"/>
      <c r="G500" s="46"/>
      <c r="H500" s="46"/>
      <c r="I500" s="46"/>
      <c r="J500" s="46"/>
      <c r="K500" s="218"/>
      <c r="L500" s="185"/>
      <c r="M500" s="91"/>
      <c r="N500" s="91"/>
      <c r="O500" s="189"/>
      <c r="Q500" s="47" t="s">
        <v>833</v>
      </c>
      <c r="T500" s="46"/>
      <c r="U500" s="46"/>
      <c r="V500" s="46"/>
    </row>
    <row r="501" spans="1:22" s="47" customFormat="1" ht="15.75" x14ac:dyDescent="0.25">
      <c r="A501" s="61"/>
      <c r="C501" s="46"/>
      <c r="D501" s="46"/>
      <c r="E501" s="46"/>
      <c r="F501" s="46"/>
      <c r="G501" s="46"/>
      <c r="H501" s="46"/>
      <c r="I501" s="46"/>
      <c r="J501" s="46"/>
      <c r="K501" s="218"/>
      <c r="L501" s="185"/>
      <c r="M501" s="91"/>
      <c r="N501" s="91"/>
      <c r="O501" s="189"/>
      <c r="Q501" s="47" t="s">
        <v>833</v>
      </c>
      <c r="T501" s="46"/>
      <c r="U501" s="46"/>
      <c r="V501" s="46"/>
    </row>
    <row r="502" spans="1:22" s="47" customFormat="1" ht="15.75" x14ac:dyDescent="0.25">
      <c r="A502" s="61"/>
      <c r="C502" s="46"/>
      <c r="D502" s="46"/>
      <c r="E502" s="46"/>
      <c r="F502" s="46"/>
      <c r="G502" s="46"/>
      <c r="H502" s="46"/>
      <c r="I502" s="46"/>
      <c r="J502" s="46"/>
      <c r="K502" s="218"/>
      <c r="L502" s="185"/>
      <c r="M502" s="91"/>
      <c r="N502" s="91"/>
      <c r="O502" s="189"/>
      <c r="Q502" s="47" t="s">
        <v>833</v>
      </c>
      <c r="T502" s="46"/>
      <c r="U502" s="46"/>
      <c r="V502" s="46"/>
    </row>
    <row r="503" spans="1:22" s="47" customFormat="1" ht="15.75" x14ac:dyDescent="0.25">
      <c r="A503" s="61"/>
      <c r="C503" s="46"/>
      <c r="D503" s="46"/>
      <c r="E503" s="46"/>
      <c r="F503" s="46"/>
      <c r="G503" s="46"/>
      <c r="H503" s="46"/>
      <c r="I503" s="46"/>
      <c r="J503" s="46"/>
      <c r="K503" s="218"/>
      <c r="L503" s="185"/>
      <c r="M503" s="91"/>
      <c r="N503" s="91"/>
      <c r="O503" s="189"/>
      <c r="Q503" s="47" t="s">
        <v>833</v>
      </c>
      <c r="T503" s="46"/>
      <c r="U503" s="46"/>
      <c r="V503" s="46"/>
    </row>
    <row r="504" spans="1:22" s="47" customFormat="1" ht="15.75" x14ac:dyDescent="0.25">
      <c r="A504" s="61"/>
      <c r="C504" s="46"/>
      <c r="D504" s="46"/>
      <c r="E504" s="46"/>
      <c r="F504" s="46"/>
      <c r="G504" s="46"/>
      <c r="H504" s="46"/>
      <c r="I504" s="46"/>
      <c r="J504" s="46"/>
      <c r="K504" s="218"/>
      <c r="L504" s="185"/>
      <c r="M504" s="91"/>
      <c r="N504" s="91"/>
      <c r="O504" s="189"/>
      <c r="Q504" s="47" t="s">
        <v>833</v>
      </c>
      <c r="T504" s="46"/>
      <c r="U504" s="46"/>
      <c r="V504" s="46"/>
    </row>
    <row r="505" spans="1:22" s="47" customFormat="1" ht="15.75" x14ac:dyDescent="0.25">
      <c r="A505" s="61"/>
      <c r="C505" s="46"/>
      <c r="D505" s="46"/>
      <c r="E505" s="46"/>
      <c r="F505" s="46"/>
      <c r="G505" s="46"/>
      <c r="H505" s="46"/>
      <c r="I505" s="46"/>
      <c r="J505" s="46"/>
      <c r="K505" s="218"/>
      <c r="L505" s="185"/>
      <c r="M505" s="91"/>
      <c r="N505" s="91"/>
      <c r="O505" s="189"/>
      <c r="Q505" s="47" t="s">
        <v>833</v>
      </c>
      <c r="T505" s="46"/>
      <c r="U505" s="46"/>
      <c r="V505" s="46"/>
    </row>
    <row r="506" spans="1:22" s="47" customFormat="1" ht="15.75" x14ac:dyDescent="0.25">
      <c r="A506" s="61"/>
      <c r="C506" s="46"/>
      <c r="D506" s="46"/>
      <c r="E506" s="46"/>
      <c r="F506" s="46"/>
      <c r="G506" s="46"/>
      <c r="H506" s="46"/>
      <c r="I506" s="46"/>
      <c r="J506" s="46"/>
      <c r="K506" s="218"/>
      <c r="L506" s="185"/>
      <c r="M506" s="91"/>
      <c r="N506" s="91"/>
      <c r="O506" s="189"/>
      <c r="Q506" s="47" t="s">
        <v>833</v>
      </c>
      <c r="T506" s="46"/>
      <c r="U506" s="46"/>
      <c r="V506" s="46"/>
    </row>
    <row r="507" spans="1:22" s="47" customFormat="1" ht="15.75" x14ac:dyDescent="0.25">
      <c r="A507" s="61"/>
      <c r="C507" s="46"/>
      <c r="D507" s="46"/>
      <c r="E507" s="46"/>
      <c r="F507" s="46"/>
      <c r="G507" s="46"/>
      <c r="H507" s="46"/>
      <c r="I507" s="46"/>
      <c r="J507" s="46"/>
      <c r="K507" s="218"/>
      <c r="L507" s="185"/>
      <c r="M507" s="91"/>
      <c r="N507" s="91"/>
      <c r="O507" s="189"/>
      <c r="Q507" s="47" t="s">
        <v>833</v>
      </c>
      <c r="T507" s="46"/>
      <c r="U507" s="46"/>
      <c r="V507" s="46"/>
    </row>
    <row r="508" spans="1:22" s="47" customFormat="1" ht="15.75" x14ac:dyDescent="0.25">
      <c r="A508" s="61"/>
      <c r="C508" s="46"/>
      <c r="D508" s="46"/>
      <c r="E508" s="46"/>
      <c r="F508" s="46"/>
      <c r="G508" s="46"/>
      <c r="H508" s="46"/>
      <c r="I508" s="46"/>
      <c r="J508" s="46"/>
      <c r="K508" s="218"/>
      <c r="L508" s="185"/>
      <c r="M508" s="91"/>
      <c r="N508" s="91"/>
      <c r="O508" s="189"/>
      <c r="Q508" s="47" t="s">
        <v>833</v>
      </c>
      <c r="T508" s="46"/>
      <c r="U508" s="46"/>
      <c r="V508" s="46"/>
    </row>
    <row r="509" spans="1:22" s="47" customFormat="1" ht="15.75" x14ac:dyDescent="0.25">
      <c r="A509" s="61"/>
      <c r="C509" s="46"/>
      <c r="D509" s="46"/>
      <c r="E509" s="46"/>
      <c r="F509" s="46"/>
      <c r="G509" s="46"/>
      <c r="H509" s="46"/>
      <c r="I509" s="46"/>
      <c r="J509" s="46"/>
      <c r="K509" s="218"/>
      <c r="L509" s="185"/>
      <c r="M509" s="91"/>
      <c r="N509" s="91"/>
      <c r="O509" s="189"/>
      <c r="Q509" s="47" t="s">
        <v>833</v>
      </c>
      <c r="T509" s="46"/>
      <c r="U509" s="46"/>
      <c r="V509" s="46"/>
    </row>
    <row r="510" spans="1:22" s="47" customFormat="1" ht="15.75" x14ac:dyDescent="0.25">
      <c r="A510" s="61"/>
      <c r="C510" s="46"/>
      <c r="D510" s="46"/>
      <c r="E510" s="46"/>
      <c r="F510" s="46"/>
      <c r="G510" s="46"/>
      <c r="H510" s="46"/>
      <c r="I510" s="46"/>
      <c r="J510" s="46"/>
      <c r="K510" s="218"/>
      <c r="L510" s="185"/>
      <c r="M510" s="91"/>
      <c r="N510" s="91"/>
      <c r="O510" s="189"/>
      <c r="Q510" s="47" t="s">
        <v>833</v>
      </c>
      <c r="T510" s="46"/>
      <c r="U510" s="46"/>
      <c r="V510" s="46"/>
    </row>
    <row r="511" spans="1:22" s="47" customFormat="1" ht="15.75" x14ac:dyDescent="0.25">
      <c r="A511" s="61"/>
      <c r="C511" s="46"/>
      <c r="D511" s="46"/>
      <c r="E511" s="46"/>
      <c r="F511" s="46"/>
      <c r="G511" s="46"/>
      <c r="H511" s="46"/>
      <c r="I511" s="46"/>
      <c r="J511" s="46"/>
      <c r="K511" s="218"/>
      <c r="L511" s="185"/>
      <c r="M511" s="91"/>
      <c r="N511" s="91"/>
      <c r="O511" s="189"/>
      <c r="Q511" s="47" t="s">
        <v>833</v>
      </c>
      <c r="T511" s="46"/>
      <c r="U511" s="46"/>
      <c r="V511" s="46"/>
    </row>
    <row r="512" spans="1:22" s="47" customFormat="1" ht="15.75" x14ac:dyDescent="0.25">
      <c r="A512" s="61"/>
      <c r="C512" s="46"/>
      <c r="D512" s="46"/>
      <c r="E512" s="46"/>
      <c r="F512" s="46"/>
      <c r="G512" s="46"/>
      <c r="H512" s="46"/>
      <c r="I512" s="46"/>
      <c r="J512" s="46"/>
      <c r="K512" s="218"/>
      <c r="L512" s="185"/>
      <c r="M512" s="91"/>
      <c r="N512" s="91"/>
      <c r="O512" s="189"/>
      <c r="Q512" s="47" t="s">
        <v>833</v>
      </c>
      <c r="T512" s="46"/>
      <c r="U512" s="46"/>
      <c r="V512" s="46"/>
    </row>
    <row r="513" spans="1:22" s="47" customFormat="1" ht="15.75" x14ac:dyDescent="0.25">
      <c r="A513" s="61"/>
      <c r="C513" s="46"/>
      <c r="D513" s="46"/>
      <c r="E513" s="46"/>
      <c r="F513" s="46"/>
      <c r="G513" s="46"/>
      <c r="H513" s="46"/>
      <c r="I513" s="46"/>
      <c r="J513" s="46"/>
      <c r="K513" s="218"/>
      <c r="L513" s="185"/>
      <c r="M513" s="91"/>
      <c r="N513" s="91"/>
      <c r="O513" s="189"/>
      <c r="Q513" s="47" t="s">
        <v>833</v>
      </c>
      <c r="T513" s="46"/>
      <c r="U513" s="46"/>
      <c r="V513" s="46"/>
    </row>
    <row r="514" spans="1:22" s="47" customFormat="1" ht="15.75" x14ac:dyDescent="0.25">
      <c r="A514" s="61"/>
      <c r="C514" s="46"/>
      <c r="D514" s="46"/>
      <c r="E514" s="46"/>
      <c r="F514" s="46"/>
      <c r="G514" s="46"/>
      <c r="H514" s="46"/>
      <c r="I514" s="46"/>
      <c r="J514" s="46"/>
      <c r="K514" s="218"/>
      <c r="L514" s="185"/>
      <c r="M514" s="91"/>
      <c r="N514" s="91"/>
      <c r="O514" s="189"/>
      <c r="Q514" s="47" t="s">
        <v>833</v>
      </c>
      <c r="T514" s="46"/>
      <c r="U514" s="46"/>
      <c r="V514" s="46"/>
    </row>
    <row r="515" spans="1:22" s="47" customFormat="1" ht="15.75" x14ac:dyDescent="0.25">
      <c r="A515" s="61"/>
      <c r="C515" s="46"/>
      <c r="D515" s="46"/>
      <c r="E515" s="46"/>
      <c r="F515" s="46"/>
      <c r="G515" s="46"/>
      <c r="H515" s="46"/>
      <c r="I515" s="46"/>
      <c r="J515" s="46"/>
      <c r="K515" s="218"/>
      <c r="L515" s="185"/>
      <c r="M515" s="91"/>
      <c r="N515" s="91"/>
      <c r="O515" s="189"/>
      <c r="Q515" s="47" t="s">
        <v>833</v>
      </c>
      <c r="T515" s="46"/>
      <c r="U515" s="46"/>
      <c r="V515" s="46"/>
    </row>
    <row r="516" spans="1:22" s="47" customFormat="1" ht="15.75" x14ac:dyDescent="0.25">
      <c r="A516" s="61"/>
      <c r="C516" s="46"/>
      <c r="D516" s="46"/>
      <c r="E516" s="46"/>
      <c r="F516" s="46"/>
      <c r="G516" s="46"/>
      <c r="H516" s="46"/>
      <c r="I516" s="46"/>
      <c r="J516" s="46"/>
      <c r="K516" s="218"/>
      <c r="L516" s="185"/>
      <c r="M516" s="91"/>
      <c r="N516" s="91"/>
      <c r="O516" s="189"/>
      <c r="Q516" s="47" t="s">
        <v>833</v>
      </c>
      <c r="T516" s="46"/>
      <c r="U516" s="46"/>
      <c r="V516" s="46"/>
    </row>
    <row r="517" spans="1:22" s="47" customFormat="1" ht="15.75" x14ac:dyDescent="0.25">
      <c r="A517" s="61"/>
      <c r="C517" s="46"/>
      <c r="D517" s="46"/>
      <c r="E517" s="46"/>
      <c r="F517" s="46"/>
      <c r="G517" s="46"/>
      <c r="H517" s="46"/>
      <c r="I517" s="46"/>
      <c r="J517" s="46"/>
      <c r="K517" s="218"/>
      <c r="L517" s="185"/>
      <c r="M517" s="91"/>
      <c r="N517" s="91"/>
      <c r="O517" s="189"/>
      <c r="Q517" s="47" t="s">
        <v>833</v>
      </c>
      <c r="T517" s="46"/>
      <c r="U517" s="46"/>
      <c r="V517" s="46"/>
    </row>
    <row r="518" spans="1:22" s="47" customFormat="1" ht="15.75" x14ac:dyDescent="0.25">
      <c r="A518" s="61"/>
      <c r="C518" s="46"/>
      <c r="D518" s="46"/>
      <c r="E518" s="46"/>
      <c r="F518" s="46"/>
      <c r="G518" s="46"/>
      <c r="H518" s="46"/>
      <c r="I518" s="46"/>
      <c r="J518" s="46"/>
      <c r="K518" s="218"/>
      <c r="L518" s="185"/>
      <c r="M518" s="91"/>
      <c r="N518" s="91"/>
      <c r="O518" s="189"/>
      <c r="Q518" s="47" t="s">
        <v>833</v>
      </c>
      <c r="T518" s="46"/>
      <c r="U518" s="46"/>
      <c r="V518" s="46"/>
    </row>
    <row r="519" spans="1:22" s="47" customFormat="1" ht="15.75" x14ac:dyDescent="0.25">
      <c r="A519" s="61"/>
      <c r="C519" s="46"/>
      <c r="D519" s="46"/>
      <c r="E519" s="46"/>
      <c r="F519" s="46"/>
      <c r="G519" s="46"/>
      <c r="H519" s="46"/>
      <c r="I519" s="46"/>
      <c r="J519" s="46"/>
      <c r="K519" s="218"/>
      <c r="L519" s="185"/>
      <c r="M519" s="91"/>
      <c r="N519" s="91"/>
      <c r="O519" s="189"/>
      <c r="Q519" s="47" t="s">
        <v>833</v>
      </c>
      <c r="T519" s="46"/>
      <c r="U519" s="46"/>
      <c r="V519" s="46"/>
    </row>
    <row r="520" spans="1:22" s="47" customFormat="1" ht="15.75" x14ac:dyDescent="0.25">
      <c r="A520" s="61"/>
      <c r="C520" s="46"/>
      <c r="D520" s="46"/>
      <c r="E520" s="46"/>
      <c r="F520" s="46"/>
      <c r="G520" s="46"/>
      <c r="H520" s="46"/>
      <c r="I520" s="46"/>
      <c r="J520" s="46"/>
      <c r="K520" s="218"/>
      <c r="L520" s="185"/>
      <c r="M520" s="91"/>
      <c r="N520" s="91"/>
      <c r="O520" s="189"/>
      <c r="Q520" s="47" t="s">
        <v>833</v>
      </c>
      <c r="T520" s="46"/>
      <c r="U520" s="46"/>
      <c r="V520" s="46"/>
    </row>
    <row r="521" spans="1:22" s="47" customFormat="1" ht="15.75" x14ac:dyDescent="0.25">
      <c r="A521" s="61"/>
      <c r="C521" s="46"/>
      <c r="D521" s="46"/>
      <c r="E521" s="46"/>
      <c r="F521" s="46"/>
      <c r="G521" s="46"/>
      <c r="H521" s="46"/>
      <c r="I521" s="46"/>
      <c r="J521" s="46"/>
      <c r="K521" s="218"/>
      <c r="L521" s="185"/>
      <c r="M521" s="91"/>
      <c r="N521" s="91"/>
      <c r="O521" s="189"/>
      <c r="Q521" s="47" t="s">
        <v>833</v>
      </c>
      <c r="T521" s="46"/>
      <c r="U521" s="46"/>
      <c r="V521" s="46"/>
    </row>
    <row r="522" spans="1:22" s="47" customFormat="1" ht="15.75" x14ac:dyDescent="0.25">
      <c r="A522" s="61"/>
      <c r="C522" s="46"/>
      <c r="D522" s="46"/>
      <c r="E522" s="46"/>
      <c r="F522" s="46"/>
      <c r="G522" s="46"/>
      <c r="H522" s="46"/>
      <c r="I522" s="46"/>
      <c r="J522" s="46"/>
      <c r="K522" s="218"/>
      <c r="L522" s="185"/>
      <c r="M522" s="91"/>
      <c r="N522" s="91"/>
      <c r="O522" s="189"/>
      <c r="Q522" s="47" t="s">
        <v>833</v>
      </c>
      <c r="T522" s="46"/>
      <c r="U522" s="46"/>
      <c r="V522" s="46"/>
    </row>
    <row r="523" spans="1:22" s="47" customFormat="1" ht="15.75" x14ac:dyDescent="0.25">
      <c r="A523" s="61"/>
      <c r="C523" s="46"/>
      <c r="D523" s="46"/>
      <c r="E523" s="46"/>
      <c r="F523" s="46"/>
      <c r="G523" s="46"/>
      <c r="H523" s="46"/>
      <c r="I523" s="46"/>
      <c r="J523" s="46"/>
      <c r="K523" s="218"/>
      <c r="L523" s="185"/>
      <c r="M523" s="91"/>
      <c r="N523" s="91"/>
      <c r="O523" s="189"/>
      <c r="Q523" s="47" t="s">
        <v>833</v>
      </c>
      <c r="T523" s="46"/>
      <c r="U523" s="46"/>
      <c r="V523" s="46"/>
    </row>
    <row r="524" spans="1:22" s="47" customFormat="1" ht="15.75" x14ac:dyDescent="0.25">
      <c r="A524" s="61"/>
      <c r="C524" s="46"/>
      <c r="D524" s="46"/>
      <c r="E524" s="46"/>
      <c r="F524" s="46"/>
      <c r="G524" s="46"/>
      <c r="H524" s="46"/>
      <c r="I524" s="46"/>
      <c r="J524" s="46"/>
      <c r="K524" s="218"/>
      <c r="L524" s="185"/>
      <c r="M524" s="91"/>
      <c r="N524" s="91"/>
      <c r="O524" s="189"/>
      <c r="Q524" s="47" t="s">
        <v>833</v>
      </c>
      <c r="T524" s="46"/>
      <c r="U524" s="46"/>
      <c r="V524" s="46"/>
    </row>
    <row r="525" spans="1:22" s="47" customFormat="1" ht="15.75" x14ac:dyDescent="0.25">
      <c r="A525" s="61"/>
      <c r="C525" s="46"/>
      <c r="D525" s="46"/>
      <c r="E525" s="46"/>
      <c r="F525" s="46"/>
      <c r="G525" s="46"/>
      <c r="H525" s="46"/>
      <c r="I525" s="46"/>
      <c r="J525" s="46"/>
      <c r="K525" s="218"/>
      <c r="L525" s="185"/>
      <c r="M525" s="91"/>
      <c r="N525" s="91"/>
      <c r="O525" s="189"/>
      <c r="Q525" s="47" t="s">
        <v>833</v>
      </c>
      <c r="T525" s="46"/>
      <c r="U525" s="46"/>
      <c r="V525" s="46"/>
    </row>
    <row r="526" spans="1:22" s="47" customFormat="1" ht="15.75" x14ac:dyDescent="0.25">
      <c r="A526" s="61"/>
      <c r="C526" s="46"/>
      <c r="D526" s="46"/>
      <c r="E526" s="46"/>
      <c r="F526" s="46"/>
      <c r="G526" s="46"/>
      <c r="H526" s="46"/>
      <c r="I526" s="46"/>
      <c r="J526" s="46"/>
      <c r="K526" s="218"/>
      <c r="L526" s="185"/>
      <c r="M526" s="91"/>
      <c r="N526" s="91"/>
      <c r="O526" s="189"/>
      <c r="Q526" s="47" t="s">
        <v>833</v>
      </c>
      <c r="T526" s="46"/>
      <c r="U526" s="46"/>
      <c r="V526" s="46"/>
    </row>
    <row r="527" spans="1:22" s="47" customFormat="1" ht="15.75" x14ac:dyDescent="0.25">
      <c r="A527" s="61"/>
      <c r="C527" s="46"/>
      <c r="D527" s="46"/>
      <c r="E527" s="46"/>
      <c r="F527" s="46"/>
      <c r="G527" s="46"/>
      <c r="H527" s="46"/>
      <c r="I527" s="46"/>
      <c r="J527" s="46"/>
      <c r="K527" s="218"/>
      <c r="L527" s="185"/>
      <c r="M527" s="91"/>
      <c r="N527" s="91"/>
      <c r="O527" s="189"/>
      <c r="Q527" s="47" t="s">
        <v>833</v>
      </c>
      <c r="T527" s="46"/>
      <c r="U527" s="46"/>
      <c r="V527" s="46"/>
    </row>
    <row r="528" spans="1:22" s="47" customFormat="1" ht="15.75" x14ac:dyDescent="0.25">
      <c r="A528" s="61"/>
      <c r="C528" s="46"/>
      <c r="D528" s="46"/>
      <c r="E528" s="46"/>
      <c r="F528" s="46"/>
      <c r="G528" s="46"/>
      <c r="H528" s="46"/>
      <c r="I528" s="46"/>
      <c r="J528" s="46"/>
      <c r="K528" s="218"/>
      <c r="L528" s="185"/>
      <c r="M528" s="91"/>
      <c r="N528" s="91"/>
      <c r="O528" s="189"/>
      <c r="Q528" s="47" t="s">
        <v>833</v>
      </c>
      <c r="T528" s="46"/>
      <c r="U528" s="46"/>
      <c r="V528" s="46"/>
    </row>
    <row r="529" spans="1:22" s="47" customFormat="1" ht="15.75" x14ac:dyDescent="0.25">
      <c r="A529" s="61"/>
      <c r="C529" s="46"/>
      <c r="D529" s="46"/>
      <c r="E529" s="46"/>
      <c r="F529" s="46"/>
      <c r="G529" s="46"/>
      <c r="H529" s="46"/>
      <c r="I529" s="46"/>
      <c r="J529" s="46"/>
      <c r="K529" s="218"/>
      <c r="L529" s="185"/>
      <c r="M529" s="91"/>
      <c r="N529" s="91"/>
      <c r="O529" s="189"/>
      <c r="Q529" s="47" t="s">
        <v>833</v>
      </c>
      <c r="T529" s="46"/>
      <c r="U529" s="46"/>
      <c r="V529" s="46"/>
    </row>
    <row r="530" spans="1:22" s="47" customFormat="1" ht="15.75" x14ac:dyDescent="0.25">
      <c r="A530" s="61"/>
      <c r="C530" s="46"/>
      <c r="D530" s="46"/>
      <c r="E530" s="46"/>
      <c r="F530" s="46"/>
      <c r="G530" s="46"/>
      <c r="H530" s="46"/>
      <c r="I530" s="46"/>
      <c r="J530" s="46"/>
      <c r="K530" s="218"/>
      <c r="L530" s="185"/>
      <c r="M530" s="91"/>
      <c r="N530" s="91"/>
      <c r="O530" s="189"/>
      <c r="Q530" s="47" t="s">
        <v>833</v>
      </c>
      <c r="T530" s="46"/>
      <c r="U530" s="46"/>
      <c r="V530" s="46"/>
    </row>
    <row r="531" spans="1:22" s="47" customFormat="1" ht="15.75" x14ac:dyDescent="0.25">
      <c r="A531" s="61"/>
      <c r="C531" s="46"/>
      <c r="D531" s="46"/>
      <c r="E531" s="46"/>
      <c r="F531" s="46"/>
      <c r="G531" s="46"/>
      <c r="H531" s="46"/>
      <c r="I531" s="46"/>
      <c r="J531" s="46"/>
      <c r="K531" s="218"/>
      <c r="L531" s="185"/>
      <c r="M531" s="91"/>
      <c r="N531" s="91"/>
      <c r="O531" s="189"/>
      <c r="Q531" s="47" t="s">
        <v>833</v>
      </c>
      <c r="T531" s="46"/>
      <c r="U531" s="46"/>
      <c r="V531" s="46"/>
    </row>
    <row r="532" spans="1:22" s="47" customFormat="1" ht="15.75" x14ac:dyDescent="0.25">
      <c r="A532" s="61"/>
      <c r="C532" s="46"/>
      <c r="D532" s="46"/>
      <c r="E532" s="46"/>
      <c r="F532" s="46"/>
      <c r="G532" s="46"/>
      <c r="H532" s="46"/>
      <c r="I532" s="46"/>
      <c r="J532" s="46"/>
      <c r="K532" s="218"/>
      <c r="L532" s="185"/>
      <c r="M532" s="91"/>
      <c r="N532" s="91"/>
      <c r="O532" s="189"/>
      <c r="Q532" s="47" t="s">
        <v>833</v>
      </c>
      <c r="T532" s="46"/>
      <c r="U532" s="46"/>
      <c r="V532" s="46"/>
    </row>
    <row r="533" spans="1:22" s="47" customFormat="1" ht="15.75" x14ac:dyDescent="0.25">
      <c r="A533" s="61"/>
      <c r="C533" s="46"/>
      <c r="D533" s="46"/>
      <c r="E533" s="46"/>
      <c r="F533" s="46"/>
      <c r="G533" s="46"/>
      <c r="H533" s="46"/>
      <c r="I533" s="46"/>
      <c r="J533" s="46"/>
      <c r="K533" s="218"/>
      <c r="L533" s="185"/>
      <c r="M533" s="91"/>
      <c r="N533" s="91"/>
      <c r="O533" s="189"/>
      <c r="Q533" s="47" t="s">
        <v>833</v>
      </c>
      <c r="T533" s="46"/>
      <c r="U533" s="46"/>
      <c r="V533" s="46"/>
    </row>
    <row r="534" spans="1:22" s="47" customFormat="1" ht="15.75" x14ac:dyDescent="0.25">
      <c r="A534" s="61"/>
      <c r="C534" s="46"/>
      <c r="D534" s="46"/>
      <c r="E534" s="46"/>
      <c r="F534" s="46"/>
      <c r="G534" s="46"/>
      <c r="H534" s="46"/>
      <c r="I534" s="46"/>
      <c r="J534" s="46"/>
      <c r="K534" s="218"/>
      <c r="L534" s="185"/>
      <c r="M534" s="91"/>
      <c r="N534" s="91"/>
      <c r="O534" s="189"/>
      <c r="Q534" s="47" t="s">
        <v>833</v>
      </c>
      <c r="T534" s="46"/>
      <c r="U534" s="46"/>
      <c r="V534" s="46"/>
    </row>
    <row r="535" spans="1:22" s="47" customFormat="1" ht="15.75" x14ac:dyDescent="0.25">
      <c r="A535" s="61"/>
      <c r="C535" s="46"/>
      <c r="D535" s="46"/>
      <c r="E535" s="46"/>
      <c r="F535" s="46"/>
      <c r="G535" s="46"/>
      <c r="H535" s="46"/>
      <c r="I535" s="46"/>
      <c r="J535" s="46"/>
      <c r="K535" s="218"/>
      <c r="L535" s="185"/>
      <c r="M535" s="91"/>
      <c r="N535" s="91"/>
      <c r="O535" s="189"/>
      <c r="Q535" s="47" t="s">
        <v>833</v>
      </c>
      <c r="T535" s="46"/>
      <c r="U535" s="46"/>
      <c r="V535" s="46"/>
    </row>
    <row r="536" spans="1:22" s="47" customFormat="1" ht="15.75" x14ac:dyDescent="0.25">
      <c r="A536" s="61"/>
      <c r="C536" s="46"/>
      <c r="D536" s="46"/>
      <c r="E536" s="46"/>
      <c r="F536" s="46"/>
      <c r="G536" s="46"/>
      <c r="H536" s="46"/>
      <c r="I536" s="46"/>
      <c r="J536" s="46"/>
      <c r="K536" s="218"/>
      <c r="L536" s="185"/>
      <c r="M536" s="91"/>
      <c r="N536" s="91"/>
      <c r="O536" s="189"/>
      <c r="Q536" s="47" t="s">
        <v>833</v>
      </c>
      <c r="T536" s="46"/>
      <c r="U536" s="46"/>
      <c r="V536" s="46"/>
    </row>
    <row r="537" spans="1:22" s="47" customFormat="1" ht="15.75" x14ac:dyDescent="0.25">
      <c r="A537" s="61"/>
      <c r="C537" s="46"/>
      <c r="D537" s="46"/>
      <c r="E537" s="46"/>
      <c r="F537" s="46"/>
      <c r="G537" s="46"/>
      <c r="H537" s="46"/>
      <c r="I537" s="46"/>
      <c r="J537" s="46"/>
      <c r="K537" s="218"/>
      <c r="L537" s="185"/>
      <c r="M537" s="91"/>
      <c r="N537" s="91"/>
      <c r="O537" s="189"/>
      <c r="Q537" s="47" t="s">
        <v>833</v>
      </c>
      <c r="T537" s="46"/>
      <c r="U537" s="46"/>
      <c r="V537" s="46"/>
    </row>
    <row r="538" spans="1:22" s="47" customFormat="1" ht="15.75" x14ac:dyDescent="0.25">
      <c r="A538" s="61"/>
      <c r="C538" s="46"/>
      <c r="D538" s="46"/>
      <c r="E538" s="46"/>
      <c r="F538" s="46"/>
      <c r="G538" s="46"/>
      <c r="H538" s="46"/>
      <c r="I538" s="46"/>
      <c r="J538" s="46"/>
      <c r="K538" s="218"/>
      <c r="L538" s="185"/>
      <c r="M538" s="91"/>
      <c r="N538" s="91"/>
      <c r="O538" s="189"/>
      <c r="Q538" s="47" t="s">
        <v>833</v>
      </c>
      <c r="T538" s="46"/>
      <c r="U538" s="46"/>
      <c r="V538" s="46"/>
    </row>
    <row r="539" spans="1:22" s="47" customFormat="1" ht="15.75" x14ac:dyDescent="0.25">
      <c r="A539" s="61"/>
      <c r="C539" s="46"/>
      <c r="D539" s="46"/>
      <c r="E539" s="46"/>
      <c r="F539" s="46"/>
      <c r="G539" s="46"/>
      <c r="H539" s="46"/>
      <c r="I539" s="46"/>
      <c r="J539" s="46"/>
      <c r="K539" s="218"/>
      <c r="L539" s="185"/>
      <c r="M539" s="91"/>
      <c r="N539" s="91"/>
      <c r="O539" s="189"/>
      <c r="Q539" s="47" t="s">
        <v>833</v>
      </c>
      <c r="T539" s="46"/>
      <c r="U539" s="46"/>
      <c r="V539" s="46"/>
    </row>
    <row r="540" spans="1:22" s="47" customFormat="1" ht="15.75" x14ac:dyDescent="0.25">
      <c r="A540" s="61"/>
      <c r="C540" s="46"/>
      <c r="D540" s="46"/>
      <c r="E540" s="46"/>
      <c r="F540" s="46"/>
      <c r="G540" s="46"/>
      <c r="H540" s="46"/>
      <c r="I540" s="46"/>
      <c r="J540" s="46"/>
      <c r="K540" s="218"/>
      <c r="L540" s="185"/>
      <c r="M540" s="91"/>
      <c r="N540" s="91"/>
      <c r="O540" s="189"/>
      <c r="Q540" s="47" t="s">
        <v>833</v>
      </c>
      <c r="T540" s="46"/>
      <c r="U540" s="46"/>
      <c r="V540" s="46"/>
    </row>
    <row r="541" spans="1:22" s="47" customFormat="1" ht="15.75" x14ac:dyDescent="0.25">
      <c r="A541" s="61"/>
      <c r="C541" s="46"/>
      <c r="D541" s="46"/>
      <c r="E541" s="46"/>
      <c r="F541" s="46"/>
      <c r="G541" s="46"/>
      <c r="H541" s="46"/>
      <c r="I541" s="46"/>
      <c r="J541" s="46"/>
      <c r="K541" s="218"/>
      <c r="L541" s="185"/>
      <c r="M541" s="91"/>
      <c r="N541" s="91"/>
      <c r="O541" s="189"/>
      <c r="Q541" s="47" t="s">
        <v>833</v>
      </c>
      <c r="T541" s="46"/>
      <c r="U541" s="46"/>
      <c r="V541" s="46"/>
    </row>
    <row r="542" spans="1:22" s="47" customFormat="1" ht="15.75" x14ac:dyDescent="0.25">
      <c r="A542" s="61"/>
      <c r="C542" s="46"/>
      <c r="D542" s="46"/>
      <c r="E542" s="46"/>
      <c r="F542" s="46"/>
      <c r="G542" s="46"/>
      <c r="H542" s="46"/>
      <c r="I542" s="46"/>
      <c r="J542" s="46"/>
      <c r="K542" s="218"/>
      <c r="L542" s="185"/>
      <c r="M542" s="91"/>
      <c r="N542" s="91"/>
      <c r="O542" s="189"/>
      <c r="Q542" s="47" t="s">
        <v>833</v>
      </c>
      <c r="T542" s="46"/>
      <c r="U542" s="46"/>
      <c r="V542" s="46"/>
    </row>
    <row r="543" spans="1:22" s="47" customFormat="1" ht="15.75" x14ac:dyDescent="0.25">
      <c r="A543" s="61"/>
      <c r="C543" s="46"/>
      <c r="D543" s="46"/>
      <c r="E543" s="46"/>
      <c r="F543" s="46"/>
      <c r="G543" s="46"/>
      <c r="H543" s="46"/>
      <c r="I543" s="46"/>
      <c r="J543" s="46"/>
      <c r="K543" s="218"/>
      <c r="L543" s="185"/>
      <c r="M543" s="91"/>
      <c r="N543" s="91"/>
      <c r="O543" s="189"/>
      <c r="Q543" s="47" t="s">
        <v>833</v>
      </c>
      <c r="T543" s="46"/>
      <c r="U543" s="46"/>
      <c r="V543" s="46"/>
    </row>
    <row r="544" spans="1:22" s="47" customFormat="1" ht="15.75" x14ac:dyDescent="0.25">
      <c r="A544" s="61"/>
      <c r="C544" s="46"/>
      <c r="D544" s="46"/>
      <c r="E544" s="46"/>
      <c r="F544" s="46"/>
      <c r="G544" s="46"/>
      <c r="H544" s="46"/>
      <c r="I544" s="46"/>
      <c r="J544" s="46"/>
      <c r="K544" s="218"/>
      <c r="L544" s="185"/>
      <c r="M544" s="91"/>
      <c r="N544" s="91"/>
      <c r="O544" s="189"/>
      <c r="Q544" s="47" t="s">
        <v>833</v>
      </c>
      <c r="T544" s="46"/>
      <c r="U544" s="46"/>
      <c r="V544" s="46"/>
    </row>
    <row r="545" spans="1:22" s="47" customFormat="1" ht="15.75" x14ac:dyDescent="0.25">
      <c r="A545" s="61"/>
      <c r="C545" s="46"/>
      <c r="D545" s="46"/>
      <c r="E545" s="46"/>
      <c r="F545" s="46"/>
      <c r="G545" s="46"/>
      <c r="H545" s="46"/>
      <c r="I545" s="46"/>
      <c r="J545" s="46"/>
      <c r="K545" s="218"/>
      <c r="L545" s="185"/>
      <c r="M545" s="91"/>
      <c r="N545" s="91"/>
      <c r="O545" s="189"/>
      <c r="Q545" s="47" t="s">
        <v>833</v>
      </c>
      <c r="T545" s="46"/>
      <c r="U545" s="46"/>
      <c r="V545" s="46"/>
    </row>
    <row r="546" spans="1:22" s="47" customFormat="1" ht="15.75" x14ac:dyDescent="0.25">
      <c r="A546" s="61"/>
      <c r="C546" s="46"/>
      <c r="D546" s="46"/>
      <c r="E546" s="46"/>
      <c r="F546" s="46"/>
      <c r="G546" s="46"/>
      <c r="H546" s="46"/>
      <c r="I546" s="46"/>
      <c r="J546" s="46"/>
      <c r="K546" s="218"/>
      <c r="L546" s="185"/>
      <c r="M546" s="91"/>
      <c r="N546" s="91"/>
      <c r="O546" s="189"/>
      <c r="Q546" s="47" t="s">
        <v>833</v>
      </c>
      <c r="T546" s="46"/>
      <c r="U546" s="46"/>
      <c r="V546" s="46"/>
    </row>
    <row r="547" spans="1:22" s="47" customFormat="1" ht="15.75" x14ac:dyDescent="0.25">
      <c r="A547" s="61"/>
      <c r="C547" s="46"/>
      <c r="D547" s="46"/>
      <c r="E547" s="46"/>
      <c r="F547" s="46"/>
      <c r="G547" s="46"/>
      <c r="H547" s="46"/>
      <c r="I547" s="46"/>
      <c r="J547" s="46"/>
      <c r="K547" s="218"/>
      <c r="L547" s="185"/>
      <c r="M547" s="91"/>
      <c r="N547" s="91"/>
      <c r="O547" s="189"/>
      <c r="Q547" s="47" t="s">
        <v>833</v>
      </c>
      <c r="T547" s="46"/>
      <c r="U547" s="46"/>
      <c r="V547" s="46"/>
    </row>
    <row r="548" spans="1:22" s="47" customFormat="1" ht="15.75" x14ac:dyDescent="0.25">
      <c r="A548" s="61"/>
      <c r="C548" s="46"/>
      <c r="D548" s="46"/>
      <c r="E548" s="46"/>
      <c r="F548" s="46"/>
      <c r="G548" s="46"/>
      <c r="H548" s="46"/>
      <c r="I548" s="46"/>
      <c r="J548" s="46"/>
      <c r="K548" s="218"/>
      <c r="L548" s="185"/>
      <c r="M548" s="91"/>
      <c r="N548" s="91"/>
      <c r="O548" s="189"/>
      <c r="Q548" s="47" t="s">
        <v>833</v>
      </c>
      <c r="T548" s="46"/>
      <c r="U548" s="46"/>
      <c r="V548" s="46"/>
    </row>
    <row r="549" spans="1:22" s="47" customFormat="1" ht="15.75" x14ac:dyDescent="0.25">
      <c r="A549" s="61"/>
      <c r="C549" s="46"/>
      <c r="D549" s="46"/>
      <c r="E549" s="46"/>
      <c r="F549" s="46"/>
      <c r="G549" s="46"/>
      <c r="H549" s="46"/>
      <c r="I549" s="46"/>
      <c r="J549" s="46"/>
      <c r="K549" s="218"/>
      <c r="L549" s="185"/>
      <c r="M549" s="91"/>
      <c r="N549" s="91"/>
      <c r="O549" s="189"/>
      <c r="Q549" s="47" t="s">
        <v>833</v>
      </c>
      <c r="T549" s="46"/>
      <c r="U549" s="46"/>
      <c r="V549" s="46"/>
    </row>
    <row r="550" spans="1:22" s="47" customFormat="1" ht="15.75" x14ac:dyDescent="0.25">
      <c r="A550" s="61"/>
      <c r="C550" s="46"/>
      <c r="D550" s="46"/>
      <c r="E550" s="46"/>
      <c r="F550" s="46"/>
      <c r="G550" s="46"/>
      <c r="H550" s="46"/>
      <c r="I550" s="46"/>
      <c r="J550" s="46"/>
      <c r="K550" s="218"/>
      <c r="L550" s="185"/>
      <c r="M550" s="91"/>
      <c r="N550" s="91"/>
      <c r="O550" s="189"/>
      <c r="Q550" s="47" t="s">
        <v>833</v>
      </c>
      <c r="T550" s="46"/>
      <c r="U550" s="46"/>
      <c r="V550" s="46"/>
    </row>
    <row r="551" spans="1:22" s="47" customFormat="1" ht="15.75" x14ac:dyDescent="0.25">
      <c r="A551" s="61"/>
      <c r="C551" s="46"/>
      <c r="D551" s="46"/>
      <c r="E551" s="46"/>
      <c r="F551" s="46"/>
      <c r="G551" s="46"/>
      <c r="H551" s="46"/>
      <c r="I551" s="46"/>
      <c r="J551" s="46"/>
      <c r="K551" s="218"/>
      <c r="L551" s="185"/>
      <c r="M551" s="91"/>
      <c r="N551" s="91"/>
      <c r="O551" s="189"/>
      <c r="Q551" s="47" t="s">
        <v>833</v>
      </c>
      <c r="T551" s="46"/>
      <c r="U551" s="46"/>
      <c r="V551" s="46"/>
    </row>
    <row r="552" spans="1:22" s="47" customFormat="1" ht="15.75" x14ac:dyDescent="0.25">
      <c r="A552" s="61"/>
      <c r="C552" s="46"/>
      <c r="D552" s="46"/>
      <c r="E552" s="46"/>
      <c r="F552" s="46"/>
      <c r="G552" s="46"/>
      <c r="H552" s="46"/>
      <c r="I552" s="46"/>
      <c r="J552" s="46"/>
      <c r="K552" s="218"/>
      <c r="L552" s="185"/>
      <c r="M552" s="91"/>
      <c r="N552" s="91"/>
      <c r="O552" s="189"/>
      <c r="Q552" s="47" t="s">
        <v>833</v>
      </c>
      <c r="T552" s="46"/>
      <c r="U552" s="46"/>
      <c r="V552" s="46"/>
    </row>
    <row r="553" spans="1:22" s="47" customFormat="1" ht="15.75" x14ac:dyDescent="0.25">
      <c r="A553" s="61"/>
      <c r="C553" s="46"/>
      <c r="D553" s="46"/>
      <c r="E553" s="46"/>
      <c r="F553" s="46"/>
      <c r="G553" s="46"/>
      <c r="H553" s="46"/>
      <c r="I553" s="46"/>
      <c r="J553" s="46"/>
      <c r="K553" s="218"/>
      <c r="L553" s="185"/>
      <c r="M553" s="91"/>
      <c r="N553" s="91"/>
      <c r="O553" s="189"/>
      <c r="Q553" s="47" t="s">
        <v>833</v>
      </c>
      <c r="T553" s="46"/>
      <c r="U553" s="46"/>
      <c r="V553" s="46"/>
    </row>
    <row r="554" spans="1:22" s="47" customFormat="1" ht="15.75" x14ac:dyDescent="0.25">
      <c r="A554" s="61"/>
      <c r="C554" s="46"/>
      <c r="D554" s="46"/>
      <c r="E554" s="46"/>
      <c r="F554" s="46"/>
      <c r="G554" s="46"/>
      <c r="H554" s="46"/>
      <c r="I554" s="46"/>
      <c r="J554" s="46"/>
      <c r="K554" s="218"/>
      <c r="L554" s="185"/>
      <c r="M554" s="91"/>
      <c r="N554" s="91"/>
      <c r="O554" s="189"/>
      <c r="Q554" s="47" t="s">
        <v>833</v>
      </c>
      <c r="T554" s="46"/>
      <c r="U554" s="46"/>
      <c r="V554" s="46"/>
    </row>
    <row r="555" spans="1:22" s="47" customFormat="1" ht="15.75" x14ac:dyDescent="0.25">
      <c r="A555" s="61"/>
      <c r="C555" s="46"/>
      <c r="D555" s="46"/>
      <c r="E555" s="46"/>
      <c r="F555" s="46"/>
      <c r="G555" s="46"/>
      <c r="H555" s="46"/>
      <c r="I555" s="46"/>
      <c r="J555" s="46"/>
      <c r="K555" s="218"/>
      <c r="L555" s="185"/>
      <c r="M555" s="91"/>
      <c r="N555" s="91"/>
      <c r="O555" s="189"/>
      <c r="Q555" s="47" t="s">
        <v>833</v>
      </c>
      <c r="T555" s="46"/>
      <c r="U555" s="46"/>
      <c r="V555" s="46"/>
    </row>
    <row r="556" spans="1:22" s="47" customFormat="1" ht="15.75" x14ac:dyDescent="0.25">
      <c r="A556" s="61"/>
      <c r="C556" s="46"/>
      <c r="D556" s="46"/>
      <c r="E556" s="46"/>
      <c r="F556" s="46"/>
      <c r="G556" s="46"/>
      <c r="H556" s="46"/>
      <c r="I556" s="46"/>
      <c r="J556" s="46"/>
      <c r="K556" s="218"/>
      <c r="L556" s="185"/>
      <c r="M556" s="91"/>
      <c r="N556" s="91"/>
      <c r="O556" s="189"/>
      <c r="Q556" s="47" t="s">
        <v>833</v>
      </c>
      <c r="T556" s="46"/>
      <c r="U556" s="46"/>
      <c r="V556" s="46"/>
    </row>
    <row r="557" spans="1:22" s="47" customFormat="1" ht="15.75" x14ac:dyDescent="0.25">
      <c r="A557" s="61"/>
      <c r="C557" s="46"/>
      <c r="D557" s="46"/>
      <c r="E557" s="46"/>
      <c r="F557" s="46"/>
      <c r="G557" s="46"/>
      <c r="H557" s="46"/>
      <c r="I557" s="46"/>
      <c r="J557" s="46"/>
      <c r="K557" s="218"/>
      <c r="L557" s="185"/>
      <c r="M557" s="91"/>
      <c r="N557" s="91"/>
      <c r="O557" s="189"/>
      <c r="Q557" s="47" t="s">
        <v>833</v>
      </c>
      <c r="T557" s="46"/>
      <c r="U557" s="46"/>
      <c r="V557" s="46"/>
    </row>
    <row r="558" spans="1:22" s="47" customFormat="1" ht="15.75" x14ac:dyDescent="0.25">
      <c r="A558" s="61"/>
      <c r="C558" s="46"/>
      <c r="D558" s="46"/>
      <c r="E558" s="46"/>
      <c r="F558" s="46"/>
      <c r="G558" s="46"/>
      <c r="H558" s="46"/>
      <c r="I558" s="46"/>
      <c r="J558" s="46"/>
      <c r="K558" s="218"/>
      <c r="L558" s="185"/>
      <c r="M558" s="91"/>
      <c r="N558" s="91"/>
      <c r="O558" s="189"/>
      <c r="Q558" s="47" t="s">
        <v>833</v>
      </c>
      <c r="T558" s="46"/>
      <c r="U558" s="46"/>
      <c r="V558" s="46"/>
    </row>
    <row r="559" spans="1:22" s="47" customFormat="1" ht="15.75" x14ac:dyDescent="0.25">
      <c r="A559" s="61"/>
      <c r="C559" s="46"/>
      <c r="D559" s="46"/>
      <c r="E559" s="46"/>
      <c r="F559" s="46"/>
      <c r="G559" s="46"/>
      <c r="H559" s="46"/>
      <c r="I559" s="46"/>
      <c r="J559" s="46"/>
      <c r="K559" s="218"/>
      <c r="L559" s="185"/>
      <c r="M559" s="91"/>
      <c r="N559" s="91"/>
      <c r="O559" s="189"/>
      <c r="Q559" s="47" t="s">
        <v>833</v>
      </c>
      <c r="T559" s="46"/>
      <c r="U559" s="46"/>
      <c r="V559" s="46"/>
    </row>
    <row r="560" spans="1:22" s="47" customFormat="1" ht="15.75" x14ac:dyDescent="0.25">
      <c r="A560" s="61"/>
      <c r="C560" s="46"/>
      <c r="D560" s="46"/>
      <c r="E560" s="46"/>
      <c r="F560" s="46"/>
      <c r="G560" s="46"/>
      <c r="H560" s="46"/>
      <c r="I560" s="46"/>
      <c r="J560" s="46"/>
      <c r="K560" s="218"/>
      <c r="L560" s="185"/>
      <c r="M560" s="91"/>
      <c r="N560" s="91"/>
      <c r="O560" s="189"/>
      <c r="Q560" s="47" t="s">
        <v>833</v>
      </c>
      <c r="T560" s="46"/>
      <c r="U560" s="46"/>
      <c r="V560" s="46"/>
    </row>
    <row r="561" spans="1:22" s="47" customFormat="1" ht="15.75" x14ac:dyDescent="0.25">
      <c r="A561" s="61"/>
      <c r="C561" s="46"/>
      <c r="D561" s="46"/>
      <c r="E561" s="46"/>
      <c r="F561" s="46"/>
      <c r="G561" s="46"/>
      <c r="H561" s="46"/>
      <c r="I561" s="46"/>
      <c r="J561" s="46"/>
      <c r="K561" s="218"/>
      <c r="L561" s="185"/>
      <c r="M561" s="91"/>
      <c r="N561" s="91"/>
      <c r="O561" s="189"/>
      <c r="Q561" s="47" t="s">
        <v>833</v>
      </c>
      <c r="T561" s="46"/>
      <c r="U561" s="46"/>
      <c r="V561" s="46"/>
    </row>
    <row r="562" spans="1:22" s="47" customFormat="1" ht="15.75" x14ac:dyDescent="0.25">
      <c r="A562" s="61"/>
      <c r="C562" s="46"/>
      <c r="D562" s="46"/>
      <c r="E562" s="46"/>
      <c r="F562" s="46"/>
      <c r="G562" s="46"/>
      <c r="H562" s="46"/>
      <c r="I562" s="46"/>
      <c r="J562" s="46"/>
      <c r="K562" s="218"/>
      <c r="L562" s="185"/>
      <c r="M562" s="91"/>
      <c r="N562" s="91"/>
      <c r="O562" s="189"/>
      <c r="Q562" s="47" t="s">
        <v>833</v>
      </c>
      <c r="T562" s="46"/>
      <c r="U562" s="46"/>
      <c r="V562" s="46"/>
    </row>
    <row r="563" spans="1:22" s="47" customFormat="1" ht="15.75" x14ac:dyDescent="0.25">
      <c r="A563" s="61"/>
      <c r="C563" s="46"/>
      <c r="D563" s="46"/>
      <c r="E563" s="46"/>
      <c r="F563" s="46"/>
      <c r="G563" s="46"/>
      <c r="H563" s="46"/>
      <c r="I563" s="46"/>
      <c r="J563" s="46"/>
      <c r="K563" s="218"/>
      <c r="L563" s="185"/>
      <c r="M563" s="91"/>
      <c r="N563" s="91"/>
      <c r="O563" s="189"/>
      <c r="Q563" s="47" t="s">
        <v>833</v>
      </c>
      <c r="T563" s="46"/>
      <c r="U563" s="46"/>
      <c r="V563" s="46"/>
    </row>
    <row r="564" spans="1:22" s="47" customFormat="1" ht="15.75" x14ac:dyDescent="0.25">
      <c r="A564" s="61"/>
      <c r="C564" s="46"/>
      <c r="D564" s="46"/>
      <c r="E564" s="46"/>
      <c r="F564" s="46"/>
      <c r="G564" s="46"/>
      <c r="H564" s="46"/>
      <c r="I564" s="46"/>
      <c r="J564" s="46"/>
      <c r="K564" s="218"/>
      <c r="L564" s="185"/>
      <c r="M564" s="91"/>
      <c r="N564" s="91"/>
      <c r="O564" s="189"/>
      <c r="Q564" s="47" t="s">
        <v>833</v>
      </c>
      <c r="T564" s="46"/>
      <c r="U564" s="46"/>
      <c r="V564" s="46"/>
    </row>
    <row r="565" spans="1:22" s="47" customFormat="1" ht="15.75" x14ac:dyDescent="0.25">
      <c r="A565" s="61"/>
      <c r="C565" s="46"/>
      <c r="D565" s="46"/>
      <c r="E565" s="46"/>
      <c r="F565" s="46"/>
      <c r="G565" s="46"/>
      <c r="H565" s="46"/>
      <c r="I565" s="46"/>
      <c r="J565" s="46"/>
      <c r="K565" s="218"/>
      <c r="L565" s="185"/>
      <c r="M565" s="91"/>
      <c r="N565" s="91"/>
      <c r="O565" s="189"/>
      <c r="Q565" s="47" t="s">
        <v>833</v>
      </c>
      <c r="T565" s="46"/>
      <c r="U565" s="46"/>
      <c r="V565" s="46"/>
    </row>
    <row r="566" spans="1:22" s="47" customFormat="1" ht="15.75" x14ac:dyDescent="0.25">
      <c r="A566" s="61"/>
      <c r="C566" s="46"/>
      <c r="D566" s="46"/>
      <c r="E566" s="46"/>
      <c r="F566" s="46"/>
      <c r="G566" s="46"/>
      <c r="H566" s="46"/>
      <c r="I566" s="46"/>
      <c r="J566" s="46"/>
      <c r="K566" s="218"/>
      <c r="L566" s="185"/>
      <c r="M566" s="91"/>
      <c r="N566" s="91"/>
      <c r="O566" s="189"/>
      <c r="Q566" s="47" t="s">
        <v>833</v>
      </c>
      <c r="T566" s="46"/>
      <c r="U566" s="46"/>
      <c r="V566" s="46"/>
    </row>
    <row r="567" spans="1:22" s="47" customFormat="1" ht="15.75" x14ac:dyDescent="0.25">
      <c r="A567" s="61"/>
      <c r="C567" s="46"/>
      <c r="D567" s="46"/>
      <c r="E567" s="46"/>
      <c r="F567" s="46"/>
      <c r="G567" s="46"/>
      <c r="H567" s="46"/>
      <c r="I567" s="46"/>
      <c r="J567" s="46"/>
      <c r="K567" s="218"/>
      <c r="L567" s="185"/>
      <c r="M567" s="91"/>
      <c r="N567" s="91"/>
      <c r="O567" s="189"/>
      <c r="Q567" s="47" t="s">
        <v>833</v>
      </c>
      <c r="T567" s="46"/>
      <c r="U567" s="46"/>
      <c r="V567" s="46"/>
    </row>
    <row r="568" spans="1:22" s="47" customFormat="1" ht="15.75" x14ac:dyDescent="0.25">
      <c r="A568" s="61"/>
      <c r="C568" s="46"/>
      <c r="D568" s="46"/>
      <c r="E568" s="46"/>
      <c r="F568" s="46"/>
      <c r="G568" s="46"/>
      <c r="H568" s="46"/>
      <c r="I568" s="46"/>
      <c r="J568" s="46"/>
      <c r="K568" s="218"/>
      <c r="L568" s="185"/>
      <c r="M568" s="91"/>
      <c r="N568" s="91"/>
      <c r="O568" s="189"/>
      <c r="Q568" s="47" t="s">
        <v>833</v>
      </c>
      <c r="T568" s="46"/>
      <c r="U568" s="46"/>
      <c r="V568" s="46"/>
    </row>
    <row r="569" spans="1:22" s="47" customFormat="1" ht="15.75" x14ac:dyDescent="0.25">
      <c r="A569" s="61"/>
      <c r="C569" s="46"/>
      <c r="D569" s="46"/>
      <c r="E569" s="46"/>
      <c r="F569" s="46"/>
      <c r="G569" s="46"/>
      <c r="H569" s="46"/>
      <c r="I569" s="46"/>
      <c r="J569" s="46"/>
      <c r="K569" s="218"/>
      <c r="L569" s="185"/>
      <c r="M569" s="91"/>
      <c r="N569" s="91"/>
      <c r="O569" s="189"/>
      <c r="Q569" s="47" t="s">
        <v>833</v>
      </c>
      <c r="T569" s="46"/>
      <c r="U569" s="46"/>
      <c r="V569" s="46"/>
    </row>
    <row r="570" spans="1:22" s="47" customFormat="1" ht="15.75" x14ac:dyDescent="0.25">
      <c r="A570" s="61"/>
      <c r="C570" s="46"/>
      <c r="D570" s="46"/>
      <c r="E570" s="46"/>
      <c r="F570" s="46"/>
      <c r="G570" s="46"/>
      <c r="H570" s="46"/>
      <c r="I570" s="46"/>
      <c r="J570" s="46"/>
      <c r="K570" s="218"/>
      <c r="L570" s="185"/>
      <c r="M570" s="91"/>
      <c r="N570" s="91"/>
      <c r="O570" s="189"/>
      <c r="Q570" s="47" t="s">
        <v>833</v>
      </c>
      <c r="T570" s="46"/>
      <c r="U570" s="46"/>
      <c r="V570" s="46"/>
    </row>
    <row r="571" spans="1:22" s="47" customFormat="1" ht="15.75" x14ac:dyDescent="0.25">
      <c r="A571" s="61"/>
      <c r="C571" s="46"/>
      <c r="D571" s="46"/>
      <c r="E571" s="46"/>
      <c r="F571" s="46"/>
      <c r="G571" s="46"/>
      <c r="H571" s="46"/>
      <c r="I571" s="46"/>
      <c r="J571" s="46"/>
      <c r="K571" s="218"/>
      <c r="L571" s="185"/>
      <c r="M571" s="91"/>
      <c r="N571" s="91"/>
      <c r="O571" s="189"/>
      <c r="Q571" s="47" t="s">
        <v>833</v>
      </c>
      <c r="T571" s="46"/>
      <c r="U571" s="46"/>
      <c r="V571" s="46"/>
    </row>
    <row r="572" spans="1:22" s="47" customFormat="1" ht="15.75" x14ac:dyDescent="0.25">
      <c r="A572" s="61"/>
      <c r="C572" s="46"/>
      <c r="D572" s="46"/>
      <c r="E572" s="46"/>
      <c r="F572" s="46"/>
      <c r="G572" s="46"/>
      <c r="H572" s="46"/>
      <c r="I572" s="46"/>
      <c r="J572" s="46"/>
      <c r="K572" s="218"/>
      <c r="L572" s="185"/>
      <c r="M572" s="91"/>
      <c r="N572" s="91"/>
      <c r="O572" s="189"/>
      <c r="Q572" s="47" t="s">
        <v>833</v>
      </c>
      <c r="T572" s="46"/>
      <c r="U572" s="46"/>
      <c r="V572" s="46"/>
    </row>
    <row r="573" spans="1:22" s="47" customFormat="1" ht="15.75" x14ac:dyDescent="0.25">
      <c r="A573" s="61"/>
      <c r="C573" s="46"/>
      <c r="D573" s="46"/>
      <c r="E573" s="46"/>
      <c r="F573" s="46"/>
      <c r="G573" s="46"/>
      <c r="H573" s="46"/>
      <c r="I573" s="46"/>
      <c r="J573" s="46"/>
      <c r="K573" s="218"/>
      <c r="L573" s="185"/>
      <c r="M573" s="91"/>
      <c r="N573" s="91"/>
      <c r="O573" s="189"/>
      <c r="Q573" s="47" t="s">
        <v>833</v>
      </c>
      <c r="T573" s="46"/>
      <c r="U573" s="46"/>
      <c r="V573" s="46"/>
    </row>
    <row r="574" spans="1:22" s="47" customFormat="1" ht="15.75" x14ac:dyDescent="0.25">
      <c r="A574" s="61"/>
      <c r="C574" s="46"/>
      <c r="D574" s="46"/>
      <c r="E574" s="46"/>
      <c r="F574" s="46"/>
      <c r="G574" s="46"/>
      <c r="H574" s="46"/>
      <c r="I574" s="46"/>
      <c r="J574" s="46"/>
      <c r="K574" s="218"/>
      <c r="L574" s="185"/>
      <c r="M574" s="91"/>
      <c r="N574" s="91"/>
      <c r="O574" s="189"/>
      <c r="Q574" s="47" t="s">
        <v>833</v>
      </c>
      <c r="T574" s="46"/>
      <c r="U574" s="46"/>
      <c r="V574" s="46"/>
    </row>
    <row r="575" spans="1:22" s="47" customFormat="1" ht="15.75" x14ac:dyDescent="0.25">
      <c r="A575" s="61"/>
      <c r="C575" s="46"/>
      <c r="D575" s="46"/>
      <c r="E575" s="46"/>
      <c r="F575" s="46"/>
      <c r="G575" s="46"/>
      <c r="H575" s="46"/>
      <c r="I575" s="46"/>
      <c r="J575" s="46"/>
      <c r="K575" s="218"/>
      <c r="L575" s="185"/>
      <c r="M575" s="91"/>
      <c r="N575" s="91"/>
      <c r="O575" s="189"/>
      <c r="Q575" s="47" t="s">
        <v>833</v>
      </c>
      <c r="T575" s="46"/>
      <c r="U575" s="46"/>
      <c r="V575" s="46"/>
    </row>
    <row r="576" spans="1:22" s="47" customFormat="1" ht="15.75" x14ac:dyDescent="0.25">
      <c r="A576" s="61"/>
      <c r="C576" s="46"/>
      <c r="D576" s="46"/>
      <c r="E576" s="46"/>
      <c r="F576" s="46"/>
      <c r="G576" s="46"/>
      <c r="H576" s="46"/>
      <c r="I576" s="46"/>
      <c r="J576" s="46"/>
      <c r="K576" s="218"/>
      <c r="L576" s="185"/>
      <c r="M576" s="91"/>
      <c r="N576" s="91"/>
      <c r="O576" s="189"/>
      <c r="Q576" s="47" t="s">
        <v>833</v>
      </c>
      <c r="T576" s="46"/>
      <c r="U576" s="46"/>
      <c r="V576" s="46"/>
    </row>
    <row r="577" spans="1:22" s="47" customFormat="1" ht="15.75" x14ac:dyDescent="0.25">
      <c r="A577" s="61"/>
      <c r="C577" s="46"/>
      <c r="D577" s="46"/>
      <c r="E577" s="46"/>
      <c r="F577" s="46"/>
      <c r="G577" s="46"/>
      <c r="H577" s="46"/>
      <c r="I577" s="46"/>
      <c r="J577" s="46"/>
      <c r="K577" s="218"/>
      <c r="L577" s="185"/>
      <c r="M577" s="91"/>
      <c r="N577" s="91"/>
      <c r="O577" s="189"/>
      <c r="Q577" s="47" t="s">
        <v>833</v>
      </c>
      <c r="T577" s="46"/>
      <c r="U577" s="46"/>
      <c r="V577" s="46"/>
    </row>
    <row r="578" spans="1:22" s="47" customFormat="1" ht="15.75" x14ac:dyDescent="0.25">
      <c r="A578" s="61"/>
      <c r="C578" s="46"/>
      <c r="D578" s="46"/>
      <c r="E578" s="46"/>
      <c r="F578" s="46"/>
      <c r="G578" s="46"/>
      <c r="H578" s="46"/>
      <c r="I578" s="46"/>
      <c r="J578" s="46"/>
      <c r="K578" s="218"/>
      <c r="L578" s="185"/>
      <c r="M578" s="91"/>
      <c r="N578" s="91"/>
      <c r="O578" s="189"/>
      <c r="Q578" s="47" t="s">
        <v>833</v>
      </c>
      <c r="T578" s="46"/>
      <c r="U578" s="46"/>
      <c r="V578" s="46"/>
    </row>
    <row r="579" spans="1:22" s="47" customFormat="1" ht="15.75" x14ac:dyDescent="0.25">
      <c r="A579" s="61"/>
      <c r="C579" s="46"/>
      <c r="D579" s="46"/>
      <c r="E579" s="46"/>
      <c r="F579" s="46"/>
      <c r="G579" s="46"/>
      <c r="H579" s="46"/>
      <c r="I579" s="46"/>
      <c r="J579" s="46"/>
      <c r="K579" s="218"/>
      <c r="L579" s="185"/>
      <c r="M579" s="91"/>
      <c r="N579" s="91"/>
      <c r="O579" s="189"/>
      <c r="Q579" s="47" t="s">
        <v>833</v>
      </c>
      <c r="T579" s="46"/>
      <c r="U579" s="46"/>
      <c r="V579" s="46"/>
    </row>
    <row r="580" spans="1:22" s="47" customFormat="1" ht="15.75" x14ac:dyDescent="0.25">
      <c r="A580" s="61"/>
      <c r="C580" s="46"/>
      <c r="D580" s="46"/>
      <c r="E580" s="46"/>
      <c r="F580" s="46"/>
      <c r="G580" s="46"/>
      <c r="H580" s="46"/>
      <c r="I580" s="46"/>
      <c r="J580" s="46"/>
      <c r="K580" s="218"/>
      <c r="L580" s="185"/>
      <c r="M580" s="91"/>
      <c r="N580" s="91"/>
      <c r="O580" s="189"/>
      <c r="Q580" s="47" t="s">
        <v>833</v>
      </c>
      <c r="T580" s="46"/>
      <c r="U580" s="46"/>
      <c r="V580" s="46"/>
    </row>
    <row r="581" spans="1:22" s="47" customFormat="1" ht="15.75" x14ac:dyDescent="0.25">
      <c r="A581" s="61"/>
      <c r="C581" s="46"/>
      <c r="D581" s="46"/>
      <c r="E581" s="46"/>
      <c r="F581" s="46"/>
      <c r="G581" s="46"/>
      <c r="H581" s="46"/>
      <c r="I581" s="46"/>
      <c r="J581" s="46"/>
      <c r="K581" s="218"/>
      <c r="L581" s="185"/>
      <c r="M581" s="91"/>
      <c r="N581" s="91"/>
      <c r="O581" s="189"/>
      <c r="Q581" s="47" t="s">
        <v>833</v>
      </c>
      <c r="T581" s="46"/>
      <c r="U581" s="46"/>
      <c r="V581" s="46"/>
    </row>
    <row r="582" spans="1:22" s="47" customFormat="1" ht="15.75" x14ac:dyDescent="0.25">
      <c r="A582" s="61"/>
      <c r="C582" s="46"/>
      <c r="D582" s="46"/>
      <c r="E582" s="46"/>
      <c r="F582" s="46"/>
      <c r="G582" s="46"/>
      <c r="H582" s="46"/>
      <c r="I582" s="46"/>
      <c r="J582" s="46"/>
      <c r="K582" s="218"/>
      <c r="L582" s="185"/>
      <c r="M582" s="91"/>
      <c r="N582" s="91"/>
      <c r="O582" s="189"/>
      <c r="Q582" s="47" t="s">
        <v>833</v>
      </c>
      <c r="T582" s="46"/>
      <c r="U582" s="46"/>
      <c r="V582" s="46"/>
    </row>
    <row r="583" spans="1:22" s="47" customFormat="1" ht="15.75" x14ac:dyDescent="0.25">
      <c r="A583" s="61"/>
      <c r="C583" s="46"/>
      <c r="D583" s="46"/>
      <c r="E583" s="46"/>
      <c r="F583" s="46"/>
      <c r="G583" s="46"/>
      <c r="H583" s="46"/>
      <c r="I583" s="46"/>
      <c r="J583" s="46"/>
      <c r="K583" s="218"/>
      <c r="L583" s="185"/>
      <c r="M583" s="91"/>
      <c r="N583" s="91"/>
      <c r="O583" s="189"/>
      <c r="Q583" s="47" t="s">
        <v>833</v>
      </c>
      <c r="T583" s="46"/>
      <c r="U583" s="46"/>
      <c r="V583" s="46"/>
    </row>
    <row r="584" spans="1:22" s="47" customFormat="1" ht="15.75" x14ac:dyDescent="0.25">
      <c r="A584" s="61"/>
      <c r="C584" s="46"/>
      <c r="D584" s="46"/>
      <c r="E584" s="46"/>
      <c r="F584" s="46"/>
      <c r="G584" s="46"/>
      <c r="H584" s="46"/>
      <c r="I584" s="46"/>
      <c r="J584" s="46"/>
      <c r="K584" s="218"/>
      <c r="L584" s="185"/>
      <c r="M584" s="91"/>
      <c r="N584" s="91"/>
      <c r="O584" s="189"/>
      <c r="Q584" s="47" t="s">
        <v>833</v>
      </c>
      <c r="T584" s="46"/>
      <c r="U584" s="46"/>
      <c r="V584" s="46"/>
    </row>
    <row r="585" spans="1:22" s="47" customFormat="1" ht="15.75" x14ac:dyDescent="0.25">
      <c r="A585" s="61"/>
      <c r="C585" s="46"/>
      <c r="D585" s="46"/>
      <c r="E585" s="46"/>
      <c r="F585" s="46"/>
      <c r="G585" s="46"/>
      <c r="H585" s="46"/>
      <c r="I585" s="46"/>
      <c r="J585" s="46"/>
      <c r="K585" s="218"/>
      <c r="L585" s="185"/>
      <c r="M585" s="91"/>
      <c r="N585" s="91"/>
      <c r="O585" s="189"/>
      <c r="Q585" s="47" t="s">
        <v>833</v>
      </c>
      <c r="T585" s="46"/>
      <c r="U585" s="46"/>
      <c r="V585" s="46"/>
    </row>
    <row r="586" spans="1:22" s="47" customFormat="1" ht="15.75" x14ac:dyDescent="0.25">
      <c r="A586" s="61"/>
      <c r="C586" s="46"/>
      <c r="D586" s="46"/>
      <c r="E586" s="46"/>
      <c r="F586" s="46"/>
      <c r="G586" s="46"/>
      <c r="H586" s="46"/>
      <c r="I586" s="46"/>
      <c r="J586" s="46"/>
      <c r="K586" s="218"/>
      <c r="L586" s="185"/>
      <c r="M586" s="91"/>
      <c r="N586" s="91"/>
      <c r="O586" s="189"/>
      <c r="Q586" s="47" t="s">
        <v>833</v>
      </c>
      <c r="T586" s="46"/>
      <c r="U586" s="46"/>
      <c r="V586" s="46"/>
    </row>
    <row r="587" spans="1:22" s="47" customFormat="1" ht="15.75" x14ac:dyDescent="0.25">
      <c r="A587" s="61"/>
      <c r="C587" s="46"/>
      <c r="D587" s="46"/>
      <c r="E587" s="46"/>
      <c r="F587" s="46"/>
      <c r="G587" s="46"/>
      <c r="H587" s="46"/>
      <c r="I587" s="46"/>
      <c r="J587" s="46"/>
      <c r="K587" s="218"/>
      <c r="L587" s="185"/>
      <c r="M587" s="91"/>
      <c r="N587" s="91"/>
      <c r="O587" s="189"/>
      <c r="Q587" s="47" t="s">
        <v>833</v>
      </c>
      <c r="T587" s="46"/>
      <c r="U587" s="46"/>
      <c r="V587" s="46"/>
    </row>
    <row r="588" spans="1:22" s="47" customFormat="1" ht="15.75" x14ac:dyDescent="0.25">
      <c r="A588" s="61"/>
      <c r="C588" s="46"/>
      <c r="D588" s="46"/>
      <c r="E588" s="46"/>
      <c r="F588" s="46"/>
      <c r="G588" s="46"/>
      <c r="H588" s="46"/>
      <c r="I588" s="46"/>
      <c r="J588" s="46"/>
      <c r="K588" s="218"/>
      <c r="L588" s="185"/>
      <c r="M588" s="91"/>
      <c r="N588" s="91"/>
      <c r="O588" s="189"/>
      <c r="Q588" s="47" t="s">
        <v>833</v>
      </c>
      <c r="T588" s="46"/>
      <c r="U588" s="46"/>
      <c r="V588" s="46"/>
    </row>
    <row r="589" spans="1:22" s="47" customFormat="1" ht="15.75" x14ac:dyDescent="0.25">
      <c r="A589" s="61"/>
      <c r="C589" s="46"/>
      <c r="D589" s="46"/>
      <c r="E589" s="46"/>
      <c r="F589" s="46"/>
      <c r="G589" s="46"/>
      <c r="H589" s="46"/>
      <c r="I589" s="46"/>
      <c r="J589" s="46"/>
      <c r="K589" s="218"/>
      <c r="L589" s="185"/>
      <c r="M589" s="91"/>
      <c r="N589" s="91"/>
      <c r="O589" s="189"/>
      <c r="Q589" s="47" t="s">
        <v>833</v>
      </c>
      <c r="T589" s="46"/>
      <c r="U589" s="46"/>
      <c r="V589" s="46"/>
    </row>
    <row r="590" spans="1:22" s="47" customFormat="1" ht="15.75" x14ac:dyDescent="0.25">
      <c r="A590" s="61"/>
      <c r="C590" s="46"/>
      <c r="D590" s="46"/>
      <c r="E590" s="46"/>
      <c r="F590" s="46"/>
      <c r="G590" s="46"/>
      <c r="H590" s="46"/>
      <c r="I590" s="46"/>
      <c r="J590" s="46"/>
      <c r="K590" s="218"/>
      <c r="L590" s="185"/>
      <c r="M590" s="91"/>
      <c r="N590" s="91"/>
      <c r="O590" s="189"/>
      <c r="Q590" s="47" t="s">
        <v>833</v>
      </c>
      <c r="T590" s="46"/>
      <c r="U590" s="46"/>
      <c r="V590" s="46"/>
    </row>
    <row r="591" spans="1:22" s="47" customFormat="1" ht="15.75" x14ac:dyDescent="0.25">
      <c r="A591" s="61"/>
      <c r="C591" s="46"/>
      <c r="D591" s="46"/>
      <c r="E591" s="46"/>
      <c r="F591" s="46"/>
      <c r="G591" s="46"/>
      <c r="H591" s="46"/>
      <c r="I591" s="46"/>
      <c r="J591" s="46"/>
      <c r="K591" s="218"/>
      <c r="L591" s="185"/>
      <c r="M591" s="91"/>
      <c r="N591" s="91"/>
      <c r="O591" s="189"/>
      <c r="Q591" s="47" t="s">
        <v>833</v>
      </c>
      <c r="T591" s="46"/>
      <c r="U591" s="46"/>
      <c r="V591" s="46"/>
    </row>
    <row r="592" spans="1:22" s="47" customFormat="1" ht="15.75" x14ac:dyDescent="0.25">
      <c r="A592" s="61"/>
      <c r="C592" s="46"/>
      <c r="D592" s="46"/>
      <c r="E592" s="46"/>
      <c r="F592" s="46"/>
      <c r="G592" s="46"/>
      <c r="H592" s="46"/>
      <c r="I592" s="46"/>
      <c r="J592" s="46"/>
      <c r="K592" s="218"/>
      <c r="L592" s="185"/>
      <c r="M592" s="91"/>
      <c r="N592" s="91"/>
      <c r="O592" s="189"/>
      <c r="Q592" s="47" t="s">
        <v>833</v>
      </c>
      <c r="T592" s="46"/>
      <c r="U592" s="46"/>
      <c r="V592" s="46"/>
    </row>
    <row r="593" spans="1:22" s="47" customFormat="1" ht="15.75" x14ac:dyDescent="0.25">
      <c r="A593" s="61"/>
      <c r="C593" s="46"/>
      <c r="D593" s="46"/>
      <c r="E593" s="46"/>
      <c r="F593" s="46"/>
      <c r="G593" s="46"/>
      <c r="H593" s="46"/>
      <c r="I593" s="46"/>
      <c r="J593" s="46"/>
      <c r="K593" s="218"/>
      <c r="L593" s="185"/>
      <c r="M593" s="91"/>
      <c r="N593" s="91"/>
      <c r="O593" s="189"/>
      <c r="Q593" s="47" t="s">
        <v>833</v>
      </c>
      <c r="T593" s="46"/>
      <c r="U593" s="46"/>
      <c r="V593" s="46"/>
    </row>
    <row r="594" spans="1:22" s="47" customFormat="1" ht="15.75" x14ac:dyDescent="0.25">
      <c r="A594" s="61"/>
      <c r="C594" s="46"/>
      <c r="D594" s="46"/>
      <c r="E594" s="46"/>
      <c r="F594" s="46"/>
      <c r="G594" s="46"/>
      <c r="H594" s="46"/>
      <c r="I594" s="46"/>
      <c r="J594" s="46"/>
      <c r="K594" s="218"/>
      <c r="L594" s="185"/>
      <c r="M594" s="91"/>
      <c r="N594" s="91"/>
      <c r="O594" s="189"/>
      <c r="Q594" s="47" t="s">
        <v>833</v>
      </c>
      <c r="T594" s="46"/>
      <c r="U594" s="46"/>
      <c r="V594" s="46"/>
    </row>
    <row r="595" spans="1:22" s="47" customFormat="1" ht="15.75" x14ac:dyDescent="0.25">
      <c r="A595" s="61"/>
      <c r="C595" s="46"/>
      <c r="D595" s="46"/>
      <c r="E595" s="46"/>
      <c r="F595" s="46"/>
      <c r="G595" s="46"/>
      <c r="H595" s="46"/>
      <c r="I595" s="46"/>
      <c r="J595" s="46"/>
      <c r="K595" s="218"/>
      <c r="L595" s="185"/>
      <c r="M595" s="91"/>
      <c r="N595" s="91"/>
      <c r="O595" s="189"/>
      <c r="Q595" s="47" t="s">
        <v>833</v>
      </c>
      <c r="T595" s="46"/>
      <c r="U595" s="46"/>
      <c r="V595" s="46"/>
    </row>
    <row r="596" spans="1:22" s="47" customFormat="1" ht="15.75" x14ac:dyDescent="0.25">
      <c r="A596" s="61"/>
      <c r="C596" s="46"/>
      <c r="D596" s="46"/>
      <c r="E596" s="46"/>
      <c r="F596" s="46"/>
      <c r="G596" s="46"/>
      <c r="H596" s="46"/>
      <c r="I596" s="46"/>
      <c r="J596" s="46"/>
      <c r="K596" s="218"/>
      <c r="L596" s="185"/>
      <c r="M596" s="91"/>
      <c r="N596" s="91"/>
      <c r="O596" s="189"/>
      <c r="Q596" s="47" t="s">
        <v>833</v>
      </c>
      <c r="T596" s="46"/>
      <c r="U596" s="46"/>
      <c r="V596" s="46"/>
    </row>
    <row r="597" spans="1:22" s="47" customFormat="1" ht="15.75" x14ac:dyDescent="0.25">
      <c r="A597" s="61"/>
      <c r="C597" s="46"/>
      <c r="D597" s="46"/>
      <c r="E597" s="46"/>
      <c r="F597" s="46"/>
      <c r="G597" s="46"/>
      <c r="H597" s="46"/>
      <c r="I597" s="46"/>
      <c r="J597" s="46"/>
      <c r="K597" s="218"/>
      <c r="L597" s="185"/>
      <c r="M597" s="91"/>
      <c r="N597" s="91"/>
      <c r="O597" s="189"/>
      <c r="Q597" s="47" t="s">
        <v>833</v>
      </c>
      <c r="T597" s="46"/>
      <c r="U597" s="46"/>
      <c r="V597" s="46"/>
    </row>
    <row r="598" spans="1:22" s="47" customFormat="1" ht="15.75" x14ac:dyDescent="0.25">
      <c r="A598" s="61"/>
      <c r="C598" s="46"/>
      <c r="D598" s="46"/>
      <c r="E598" s="46"/>
      <c r="F598" s="46"/>
      <c r="G598" s="46"/>
      <c r="H598" s="46"/>
      <c r="I598" s="46"/>
      <c r="J598" s="46"/>
      <c r="K598" s="218"/>
      <c r="L598" s="185"/>
      <c r="M598" s="91"/>
      <c r="N598" s="91"/>
      <c r="O598" s="189"/>
      <c r="Q598" s="47" t="s">
        <v>833</v>
      </c>
      <c r="T598" s="46"/>
      <c r="U598" s="46"/>
      <c r="V598" s="46"/>
    </row>
    <row r="599" spans="1:22" s="47" customFormat="1" ht="15.75" x14ac:dyDescent="0.25">
      <c r="A599" s="61"/>
      <c r="C599" s="46"/>
      <c r="D599" s="46"/>
      <c r="E599" s="46"/>
      <c r="F599" s="46"/>
      <c r="G599" s="46"/>
      <c r="H599" s="46"/>
      <c r="I599" s="46"/>
      <c r="J599" s="46"/>
      <c r="K599" s="218"/>
      <c r="L599" s="185"/>
      <c r="M599" s="91"/>
      <c r="N599" s="91"/>
      <c r="O599" s="189"/>
      <c r="Q599" s="47" t="s">
        <v>833</v>
      </c>
      <c r="T599" s="46"/>
      <c r="U599" s="46"/>
      <c r="V599" s="46"/>
    </row>
    <row r="600" spans="1:22" s="47" customFormat="1" ht="15.75" x14ac:dyDescent="0.25">
      <c r="A600" s="61"/>
      <c r="C600" s="46"/>
      <c r="D600" s="46"/>
      <c r="E600" s="46"/>
      <c r="F600" s="46"/>
      <c r="G600" s="46"/>
      <c r="H600" s="46"/>
      <c r="I600" s="46"/>
      <c r="J600" s="46"/>
      <c r="K600" s="218"/>
      <c r="L600" s="185"/>
      <c r="M600" s="91"/>
      <c r="N600" s="91"/>
      <c r="O600" s="189"/>
      <c r="Q600" s="47" t="s">
        <v>833</v>
      </c>
      <c r="T600" s="46"/>
      <c r="U600" s="46"/>
      <c r="V600" s="46"/>
    </row>
    <row r="601" spans="1:22" s="47" customFormat="1" ht="15.75" x14ac:dyDescent="0.25">
      <c r="A601" s="61"/>
      <c r="C601" s="46"/>
      <c r="D601" s="46"/>
      <c r="E601" s="46"/>
      <c r="F601" s="46"/>
      <c r="G601" s="46"/>
      <c r="H601" s="46"/>
      <c r="I601" s="46"/>
      <c r="J601" s="46"/>
      <c r="K601" s="218"/>
      <c r="L601" s="185"/>
      <c r="M601" s="91"/>
      <c r="N601" s="91"/>
      <c r="O601" s="189"/>
      <c r="Q601" s="47" t="s">
        <v>833</v>
      </c>
      <c r="T601" s="46"/>
      <c r="U601" s="46"/>
      <c r="V601" s="46"/>
    </row>
    <row r="602" spans="1:22" s="47" customFormat="1" ht="15.75" x14ac:dyDescent="0.25">
      <c r="A602" s="61"/>
      <c r="C602" s="46"/>
      <c r="D602" s="46"/>
      <c r="E602" s="46"/>
      <c r="F602" s="46"/>
      <c r="G602" s="46"/>
      <c r="H602" s="46"/>
      <c r="I602" s="46"/>
      <c r="J602" s="46"/>
      <c r="K602" s="218"/>
      <c r="L602" s="185"/>
      <c r="M602" s="91"/>
      <c r="N602" s="91"/>
      <c r="O602" s="189"/>
      <c r="Q602" s="47" t="s">
        <v>833</v>
      </c>
      <c r="T602" s="46"/>
      <c r="U602" s="46"/>
      <c r="V602" s="46"/>
    </row>
    <row r="603" spans="1:22" s="47" customFormat="1" ht="15.75" x14ac:dyDescent="0.25">
      <c r="A603" s="61"/>
      <c r="C603" s="46"/>
      <c r="D603" s="46"/>
      <c r="E603" s="46"/>
      <c r="F603" s="46"/>
      <c r="G603" s="46"/>
      <c r="H603" s="46"/>
      <c r="I603" s="46"/>
      <c r="J603" s="46"/>
      <c r="K603" s="218"/>
      <c r="L603" s="185"/>
      <c r="M603" s="91"/>
      <c r="N603" s="91"/>
      <c r="O603" s="189"/>
      <c r="Q603" s="47" t="s">
        <v>833</v>
      </c>
      <c r="T603" s="46"/>
      <c r="U603" s="46"/>
      <c r="V603" s="46"/>
    </row>
    <row r="604" spans="1:22" s="47" customFormat="1" ht="15.75" x14ac:dyDescent="0.25">
      <c r="A604" s="61"/>
      <c r="C604" s="46"/>
      <c r="D604" s="46"/>
      <c r="E604" s="46"/>
      <c r="F604" s="46"/>
      <c r="G604" s="46"/>
      <c r="H604" s="46"/>
      <c r="I604" s="46"/>
      <c r="J604" s="46"/>
      <c r="K604" s="218"/>
      <c r="L604" s="185"/>
      <c r="M604" s="91"/>
      <c r="N604" s="91"/>
      <c r="O604" s="189"/>
      <c r="Q604" s="47" t="s">
        <v>833</v>
      </c>
      <c r="T604" s="46"/>
      <c r="U604" s="46"/>
      <c r="V604" s="46"/>
    </row>
    <row r="605" spans="1:22" s="47" customFormat="1" ht="15.75" x14ac:dyDescent="0.25">
      <c r="A605" s="61"/>
      <c r="C605" s="46"/>
      <c r="D605" s="46"/>
      <c r="E605" s="46"/>
      <c r="F605" s="46"/>
      <c r="G605" s="46"/>
      <c r="H605" s="46"/>
      <c r="I605" s="46"/>
      <c r="J605" s="46"/>
      <c r="K605" s="218"/>
      <c r="L605" s="185"/>
      <c r="M605" s="91"/>
      <c r="N605" s="91"/>
      <c r="O605" s="189"/>
      <c r="Q605" s="47" t="s">
        <v>833</v>
      </c>
      <c r="T605" s="46"/>
      <c r="U605" s="46"/>
      <c r="V605" s="46"/>
    </row>
    <row r="606" spans="1:22" s="47" customFormat="1" ht="15.75" x14ac:dyDescent="0.25">
      <c r="A606" s="61"/>
      <c r="C606" s="46"/>
      <c r="D606" s="46"/>
      <c r="E606" s="46"/>
      <c r="F606" s="46"/>
      <c r="G606" s="46"/>
      <c r="H606" s="46"/>
      <c r="I606" s="46"/>
      <c r="J606" s="46"/>
      <c r="K606" s="218"/>
      <c r="L606" s="185"/>
      <c r="M606" s="91"/>
      <c r="N606" s="91"/>
      <c r="O606" s="189"/>
      <c r="Q606" s="47" t="s">
        <v>833</v>
      </c>
      <c r="T606" s="46"/>
      <c r="U606" s="46"/>
      <c r="V606" s="46"/>
    </row>
    <row r="607" spans="1:22" s="47" customFormat="1" ht="15.75" x14ac:dyDescent="0.25">
      <c r="A607" s="61"/>
      <c r="C607" s="46"/>
      <c r="D607" s="46"/>
      <c r="E607" s="46"/>
      <c r="F607" s="46"/>
      <c r="G607" s="46"/>
      <c r="H607" s="46"/>
      <c r="I607" s="46"/>
      <c r="J607" s="46"/>
      <c r="K607" s="218"/>
      <c r="L607" s="185"/>
      <c r="M607" s="91"/>
      <c r="N607" s="91"/>
      <c r="O607" s="189"/>
      <c r="Q607" s="47" t="s">
        <v>833</v>
      </c>
      <c r="T607" s="46"/>
      <c r="U607" s="46"/>
      <c r="V607" s="46"/>
    </row>
    <row r="608" spans="1:22" s="47" customFormat="1" ht="15.75" x14ac:dyDescent="0.25">
      <c r="A608" s="61"/>
      <c r="C608" s="46"/>
      <c r="D608" s="46"/>
      <c r="E608" s="46"/>
      <c r="F608" s="46"/>
      <c r="G608" s="46"/>
      <c r="H608" s="46"/>
      <c r="I608" s="46"/>
      <c r="J608" s="46"/>
      <c r="K608" s="218"/>
      <c r="L608" s="185"/>
      <c r="M608" s="91"/>
      <c r="N608" s="91"/>
      <c r="O608" s="189"/>
      <c r="Q608" s="47" t="s">
        <v>833</v>
      </c>
      <c r="T608" s="46"/>
      <c r="U608" s="46"/>
      <c r="V608" s="46"/>
    </row>
    <row r="609" spans="1:22" s="47" customFormat="1" ht="15.75" x14ac:dyDescent="0.25">
      <c r="A609" s="61"/>
      <c r="C609" s="46"/>
      <c r="D609" s="46"/>
      <c r="E609" s="46"/>
      <c r="F609" s="46"/>
      <c r="G609" s="46"/>
      <c r="H609" s="46"/>
      <c r="I609" s="46"/>
      <c r="J609" s="46"/>
      <c r="K609" s="218"/>
      <c r="L609" s="185"/>
      <c r="M609" s="91"/>
      <c r="N609" s="91"/>
      <c r="O609" s="189"/>
      <c r="Q609" s="47" t="s">
        <v>833</v>
      </c>
      <c r="T609" s="46"/>
      <c r="U609" s="46"/>
      <c r="V609" s="46"/>
    </row>
    <row r="610" spans="1:22" s="47" customFormat="1" ht="15.75" x14ac:dyDescent="0.25">
      <c r="A610" s="61"/>
      <c r="C610" s="46"/>
      <c r="D610" s="46"/>
      <c r="E610" s="46"/>
      <c r="F610" s="46"/>
      <c r="G610" s="46"/>
      <c r="H610" s="46"/>
      <c r="I610" s="46"/>
      <c r="J610" s="46"/>
      <c r="K610" s="218"/>
      <c r="L610" s="185"/>
      <c r="M610" s="91"/>
      <c r="N610" s="91"/>
      <c r="O610" s="189"/>
      <c r="Q610" s="47" t="s">
        <v>833</v>
      </c>
      <c r="T610" s="46"/>
      <c r="U610" s="46"/>
      <c r="V610" s="46"/>
    </row>
    <row r="611" spans="1:22" s="47" customFormat="1" ht="15.75" x14ac:dyDescent="0.25">
      <c r="A611" s="61"/>
      <c r="C611" s="46"/>
      <c r="D611" s="46"/>
      <c r="E611" s="46"/>
      <c r="F611" s="46"/>
      <c r="G611" s="46"/>
      <c r="H611" s="46"/>
      <c r="I611" s="46"/>
      <c r="J611" s="46"/>
      <c r="K611" s="218"/>
      <c r="L611" s="185"/>
      <c r="M611" s="91"/>
      <c r="N611" s="91"/>
      <c r="O611" s="189"/>
      <c r="Q611" s="47" t="s">
        <v>833</v>
      </c>
      <c r="T611" s="46"/>
      <c r="U611" s="46"/>
      <c r="V611" s="46"/>
    </row>
    <row r="612" spans="1:22" s="47" customFormat="1" ht="15.75" x14ac:dyDescent="0.25">
      <c r="A612" s="61"/>
      <c r="C612" s="46"/>
      <c r="D612" s="46"/>
      <c r="E612" s="46"/>
      <c r="F612" s="46"/>
      <c r="G612" s="46"/>
      <c r="H612" s="46"/>
      <c r="I612" s="46"/>
      <c r="J612" s="46"/>
      <c r="K612" s="218"/>
      <c r="L612" s="185"/>
      <c r="M612" s="91"/>
      <c r="N612" s="91"/>
      <c r="O612" s="189"/>
      <c r="Q612" s="47" t="s">
        <v>833</v>
      </c>
      <c r="T612" s="46"/>
      <c r="U612" s="46"/>
      <c r="V612" s="46"/>
    </row>
    <row r="613" spans="1:22" s="47" customFormat="1" ht="15.75" x14ac:dyDescent="0.25">
      <c r="A613" s="61"/>
      <c r="C613" s="46"/>
      <c r="D613" s="46"/>
      <c r="E613" s="46"/>
      <c r="F613" s="46"/>
      <c r="G613" s="46"/>
      <c r="H613" s="46"/>
      <c r="I613" s="46"/>
      <c r="J613" s="46"/>
      <c r="K613" s="218"/>
      <c r="L613" s="185"/>
      <c r="M613" s="91"/>
      <c r="N613" s="91"/>
      <c r="O613" s="189"/>
      <c r="Q613" s="47" t="s">
        <v>833</v>
      </c>
      <c r="T613" s="46"/>
      <c r="U613" s="46"/>
      <c r="V613" s="46"/>
    </row>
    <row r="614" spans="1:22" s="47" customFormat="1" ht="15.75" x14ac:dyDescent="0.25">
      <c r="A614" s="61"/>
      <c r="C614" s="46"/>
      <c r="D614" s="46"/>
      <c r="E614" s="46"/>
      <c r="F614" s="46"/>
      <c r="G614" s="46"/>
      <c r="H614" s="46"/>
      <c r="I614" s="46"/>
      <c r="J614" s="46"/>
      <c r="K614" s="218"/>
      <c r="L614" s="185"/>
      <c r="M614" s="91"/>
      <c r="N614" s="91"/>
      <c r="O614" s="189"/>
      <c r="Q614" s="47" t="s">
        <v>833</v>
      </c>
      <c r="T614" s="46"/>
      <c r="U614" s="46"/>
      <c r="V614" s="46"/>
    </row>
    <row r="615" spans="1:22" s="47" customFormat="1" ht="15.75" x14ac:dyDescent="0.25">
      <c r="A615" s="61"/>
      <c r="C615" s="46"/>
      <c r="D615" s="46"/>
      <c r="E615" s="46"/>
      <c r="F615" s="46"/>
      <c r="G615" s="46"/>
      <c r="H615" s="46"/>
      <c r="I615" s="46"/>
      <c r="J615" s="46"/>
      <c r="K615" s="218"/>
      <c r="L615" s="185"/>
      <c r="M615" s="91"/>
      <c r="N615" s="91"/>
      <c r="O615" s="189"/>
      <c r="Q615" s="47" t="s">
        <v>833</v>
      </c>
      <c r="T615" s="46"/>
      <c r="U615" s="46"/>
      <c r="V615" s="46"/>
    </row>
    <row r="616" spans="1:22" s="47" customFormat="1" ht="15.75" x14ac:dyDescent="0.25">
      <c r="A616" s="61"/>
      <c r="C616" s="46"/>
      <c r="D616" s="46"/>
      <c r="E616" s="46"/>
      <c r="F616" s="46"/>
      <c r="G616" s="46"/>
      <c r="H616" s="46"/>
      <c r="I616" s="46"/>
      <c r="J616" s="46"/>
      <c r="K616" s="218"/>
      <c r="L616" s="185"/>
      <c r="M616" s="91"/>
      <c r="N616" s="91"/>
      <c r="O616" s="189"/>
      <c r="Q616" s="47" t="s">
        <v>833</v>
      </c>
      <c r="T616" s="46"/>
      <c r="U616" s="46"/>
      <c r="V616" s="46"/>
    </row>
    <row r="617" spans="1:22" s="47" customFormat="1" ht="15.75" x14ac:dyDescent="0.25">
      <c r="A617" s="61"/>
      <c r="C617" s="46"/>
      <c r="D617" s="46"/>
      <c r="E617" s="46"/>
      <c r="F617" s="46"/>
      <c r="G617" s="46"/>
      <c r="H617" s="46"/>
      <c r="I617" s="46"/>
      <c r="J617" s="46"/>
      <c r="K617" s="218"/>
      <c r="L617" s="185"/>
      <c r="M617" s="91"/>
      <c r="N617" s="91"/>
      <c r="O617" s="189"/>
      <c r="Q617" s="47" t="s">
        <v>833</v>
      </c>
      <c r="T617" s="46"/>
      <c r="U617" s="46"/>
      <c r="V617" s="46"/>
    </row>
    <row r="618" spans="1:22" s="47" customFormat="1" ht="15.75" x14ac:dyDescent="0.25">
      <c r="A618" s="61"/>
      <c r="C618" s="46"/>
      <c r="D618" s="46"/>
      <c r="E618" s="46"/>
      <c r="F618" s="46"/>
      <c r="G618" s="46"/>
      <c r="H618" s="46"/>
      <c r="I618" s="46"/>
      <c r="J618" s="46"/>
      <c r="K618" s="218"/>
      <c r="L618" s="185"/>
      <c r="M618" s="91"/>
      <c r="N618" s="91"/>
      <c r="O618" s="189"/>
      <c r="Q618" s="47" t="s">
        <v>833</v>
      </c>
      <c r="T618" s="46"/>
      <c r="U618" s="46"/>
      <c r="V618" s="46"/>
    </row>
    <row r="619" spans="1:22" s="47" customFormat="1" ht="15.75" x14ac:dyDescent="0.25">
      <c r="A619" s="61"/>
      <c r="C619" s="46"/>
      <c r="D619" s="46"/>
      <c r="E619" s="46"/>
      <c r="F619" s="46"/>
      <c r="G619" s="46"/>
      <c r="H619" s="46"/>
      <c r="I619" s="46"/>
      <c r="J619" s="46"/>
      <c r="K619" s="218"/>
      <c r="L619" s="185"/>
      <c r="M619" s="91"/>
      <c r="N619" s="91"/>
      <c r="O619" s="189"/>
      <c r="Q619" s="47" t="s">
        <v>833</v>
      </c>
      <c r="T619" s="46"/>
      <c r="U619" s="46"/>
      <c r="V619" s="46"/>
    </row>
    <row r="620" spans="1:22" s="47" customFormat="1" ht="15.75" x14ac:dyDescent="0.25">
      <c r="A620" s="61"/>
      <c r="C620" s="46"/>
      <c r="D620" s="46"/>
      <c r="E620" s="46"/>
      <c r="F620" s="46"/>
      <c r="G620" s="46"/>
      <c r="H620" s="46"/>
      <c r="I620" s="46"/>
      <c r="J620" s="46"/>
      <c r="K620" s="218"/>
      <c r="L620" s="185"/>
      <c r="M620" s="91"/>
      <c r="N620" s="91"/>
      <c r="O620" s="189"/>
      <c r="Q620" s="47" t="s">
        <v>833</v>
      </c>
      <c r="T620" s="46"/>
      <c r="U620" s="46"/>
      <c r="V620" s="46"/>
    </row>
    <row r="621" spans="1:22" s="47" customFormat="1" ht="15.75" x14ac:dyDescent="0.25">
      <c r="A621" s="61"/>
      <c r="C621" s="46"/>
      <c r="D621" s="46"/>
      <c r="E621" s="46"/>
      <c r="F621" s="46"/>
      <c r="G621" s="46"/>
      <c r="H621" s="46"/>
      <c r="I621" s="46"/>
      <c r="J621" s="46"/>
      <c r="K621" s="218"/>
      <c r="L621" s="185"/>
      <c r="M621" s="91"/>
      <c r="N621" s="91"/>
      <c r="O621" s="189"/>
      <c r="Q621" s="47" t="s">
        <v>833</v>
      </c>
      <c r="T621" s="46"/>
      <c r="U621" s="46"/>
      <c r="V621" s="46"/>
    </row>
    <row r="622" spans="1:22" s="47" customFormat="1" ht="15.75" x14ac:dyDescent="0.25">
      <c r="A622" s="61"/>
      <c r="C622" s="46"/>
      <c r="D622" s="46"/>
      <c r="E622" s="46"/>
      <c r="F622" s="46"/>
      <c r="G622" s="46"/>
      <c r="H622" s="46"/>
      <c r="I622" s="46"/>
      <c r="J622" s="46"/>
      <c r="K622" s="218"/>
      <c r="L622" s="185"/>
      <c r="M622" s="91"/>
      <c r="N622" s="91"/>
      <c r="O622" s="189"/>
      <c r="Q622" s="47" t="s">
        <v>833</v>
      </c>
      <c r="T622" s="46"/>
      <c r="U622" s="46"/>
      <c r="V622" s="46"/>
    </row>
    <row r="623" spans="1:22" s="47" customFormat="1" ht="15.75" x14ac:dyDescent="0.25">
      <c r="A623" s="61"/>
      <c r="C623" s="46"/>
      <c r="D623" s="46"/>
      <c r="E623" s="46"/>
      <c r="F623" s="46"/>
      <c r="G623" s="46"/>
      <c r="H623" s="46"/>
      <c r="I623" s="46"/>
      <c r="J623" s="46"/>
      <c r="K623" s="218"/>
      <c r="L623" s="185"/>
      <c r="M623" s="91"/>
      <c r="N623" s="91"/>
      <c r="O623" s="189"/>
      <c r="Q623" s="47" t="s">
        <v>833</v>
      </c>
      <c r="T623" s="46"/>
      <c r="U623" s="46"/>
      <c r="V623" s="46"/>
    </row>
    <row r="624" spans="1:22" s="47" customFormat="1" ht="15.75" x14ac:dyDescent="0.25">
      <c r="A624" s="61"/>
      <c r="C624" s="46"/>
      <c r="D624" s="46"/>
      <c r="E624" s="46"/>
      <c r="F624" s="46"/>
      <c r="G624" s="46"/>
      <c r="H624" s="46"/>
      <c r="I624" s="46"/>
      <c r="J624" s="46"/>
      <c r="K624" s="218"/>
      <c r="L624" s="185"/>
      <c r="M624" s="91"/>
      <c r="N624" s="91"/>
      <c r="O624" s="189"/>
      <c r="Q624" s="47" t="s">
        <v>833</v>
      </c>
      <c r="T624" s="46"/>
      <c r="U624" s="46"/>
      <c r="V624" s="46"/>
    </row>
    <row r="625" spans="1:22" s="47" customFormat="1" ht="15.75" x14ac:dyDescent="0.25">
      <c r="A625" s="61"/>
      <c r="C625" s="46"/>
      <c r="D625" s="46"/>
      <c r="E625" s="46"/>
      <c r="F625" s="46"/>
      <c r="G625" s="46"/>
      <c r="H625" s="46"/>
      <c r="I625" s="46"/>
      <c r="J625" s="46"/>
      <c r="K625" s="218"/>
      <c r="L625" s="185"/>
      <c r="M625" s="91"/>
      <c r="N625" s="91"/>
      <c r="O625" s="189"/>
      <c r="Q625" s="47" t="s">
        <v>833</v>
      </c>
      <c r="T625" s="46"/>
      <c r="U625" s="46"/>
      <c r="V625" s="46"/>
    </row>
    <row r="626" spans="1:22" s="47" customFormat="1" ht="15.75" x14ac:dyDescent="0.25">
      <c r="A626" s="61"/>
      <c r="C626" s="46"/>
      <c r="D626" s="46"/>
      <c r="E626" s="46"/>
      <c r="F626" s="46"/>
      <c r="G626" s="46"/>
      <c r="H626" s="46"/>
      <c r="I626" s="46"/>
      <c r="J626" s="46"/>
      <c r="K626" s="218"/>
      <c r="L626" s="185"/>
      <c r="M626" s="91"/>
      <c r="N626" s="91"/>
      <c r="O626" s="189"/>
      <c r="Q626" s="47" t="s">
        <v>833</v>
      </c>
      <c r="T626" s="46"/>
      <c r="U626" s="46"/>
      <c r="V626" s="46"/>
    </row>
    <row r="627" spans="1:22" s="47" customFormat="1" ht="15.75" x14ac:dyDescent="0.25">
      <c r="A627" s="61"/>
      <c r="C627" s="46"/>
      <c r="D627" s="46"/>
      <c r="E627" s="46"/>
      <c r="F627" s="46"/>
      <c r="G627" s="46"/>
      <c r="H627" s="46"/>
      <c r="I627" s="46"/>
      <c r="J627" s="46"/>
      <c r="K627" s="218"/>
      <c r="L627" s="185"/>
      <c r="M627" s="91"/>
      <c r="N627" s="91"/>
      <c r="O627" s="189"/>
      <c r="Q627" s="47" t="s">
        <v>833</v>
      </c>
      <c r="T627" s="46"/>
      <c r="U627" s="46"/>
      <c r="V627" s="46"/>
    </row>
    <row r="628" spans="1:22" s="47" customFormat="1" ht="15.75" x14ac:dyDescent="0.25">
      <c r="A628" s="61"/>
      <c r="C628" s="46"/>
      <c r="D628" s="46"/>
      <c r="E628" s="46"/>
      <c r="F628" s="46"/>
      <c r="G628" s="46"/>
      <c r="H628" s="46"/>
      <c r="I628" s="46"/>
      <c r="J628" s="46"/>
      <c r="K628" s="218"/>
      <c r="L628" s="185"/>
      <c r="M628" s="91"/>
      <c r="N628" s="91"/>
      <c r="O628" s="189"/>
      <c r="Q628" s="47" t="s">
        <v>833</v>
      </c>
      <c r="T628" s="46"/>
      <c r="U628" s="46"/>
      <c r="V628" s="46"/>
    </row>
    <row r="629" spans="1:22" s="47" customFormat="1" ht="15.75" x14ac:dyDescent="0.25">
      <c r="A629" s="61"/>
      <c r="C629" s="46"/>
      <c r="D629" s="46"/>
      <c r="E629" s="46"/>
      <c r="F629" s="46"/>
      <c r="G629" s="46"/>
      <c r="H629" s="46"/>
      <c r="I629" s="46"/>
      <c r="J629" s="46"/>
      <c r="K629" s="218"/>
      <c r="L629" s="185"/>
      <c r="M629" s="91"/>
      <c r="N629" s="91"/>
      <c r="O629" s="189"/>
      <c r="Q629" s="47" t="s">
        <v>833</v>
      </c>
      <c r="T629" s="46"/>
      <c r="U629" s="46"/>
      <c r="V629" s="46"/>
    </row>
    <row r="630" spans="1:22" s="47" customFormat="1" ht="15.75" x14ac:dyDescent="0.25">
      <c r="A630" s="61"/>
      <c r="C630" s="46"/>
      <c r="D630" s="46"/>
      <c r="E630" s="46"/>
      <c r="F630" s="46"/>
      <c r="G630" s="46"/>
      <c r="H630" s="46"/>
      <c r="I630" s="46"/>
      <c r="J630" s="46"/>
      <c r="K630" s="218"/>
      <c r="L630" s="185"/>
      <c r="M630" s="91"/>
      <c r="N630" s="91"/>
      <c r="O630" s="189"/>
      <c r="Q630" s="47" t="s">
        <v>833</v>
      </c>
      <c r="T630" s="46"/>
      <c r="U630" s="46"/>
      <c r="V630" s="46"/>
    </row>
    <row r="631" spans="1:22" s="47" customFormat="1" ht="15.75" x14ac:dyDescent="0.25">
      <c r="A631" s="61"/>
      <c r="C631" s="46"/>
      <c r="D631" s="46"/>
      <c r="E631" s="46"/>
      <c r="F631" s="46"/>
      <c r="G631" s="46"/>
      <c r="H631" s="46"/>
      <c r="I631" s="46"/>
      <c r="J631" s="46"/>
      <c r="K631" s="218"/>
      <c r="L631" s="185"/>
      <c r="M631" s="91"/>
      <c r="N631" s="91"/>
      <c r="O631" s="189"/>
      <c r="Q631" s="47" t="s">
        <v>833</v>
      </c>
      <c r="T631" s="46"/>
      <c r="U631" s="46"/>
      <c r="V631" s="46"/>
    </row>
    <row r="632" spans="1:22" s="47" customFormat="1" ht="15.75" x14ac:dyDescent="0.25">
      <c r="A632" s="61"/>
      <c r="C632" s="46"/>
      <c r="D632" s="46"/>
      <c r="E632" s="46"/>
      <c r="F632" s="46"/>
      <c r="G632" s="46"/>
      <c r="H632" s="46"/>
      <c r="I632" s="46"/>
      <c r="J632" s="46"/>
      <c r="K632" s="218"/>
      <c r="L632" s="185"/>
      <c r="M632" s="91"/>
      <c r="N632" s="91"/>
      <c r="O632" s="189"/>
      <c r="Q632" s="47" t="s">
        <v>833</v>
      </c>
      <c r="T632" s="46"/>
      <c r="U632" s="46"/>
      <c r="V632" s="46"/>
    </row>
    <row r="633" spans="1:22" s="47" customFormat="1" ht="15.75" x14ac:dyDescent="0.25">
      <c r="A633" s="61"/>
      <c r="C633" s="46"/>
      <c r="D633" s="46"/>
      <c r="E633" s="46"/>
      <c r="F633" s="46"/>
      <c r="G633" s="46"/>
      <c r="H633" s="46"/>
      <c r="I633" s="46"/>
      <c r="J633" s="46"/>
      <c r="K633" s="218"/>
      <c r="L633" s="185"/>
      <c r="M633" s="91"/>
      <c r="N633" s="91"/>
      <c r="O633" s="189"/>
      <c r="Q633" s="47" t="s">
        <v>833</v>
      </c>
      <c r="T633" s="46"/>
      <c r="U633" s="46"/>
      <c r="V633" s="46"/>
    </row>
    <row r="634" spans="1:22" s="47" customFormat="1" ht="15.75" x14ac:dyDescent="0.25">
      <c r="A634" s="61"/>
      <c r="C634" s="46"/>
      <c r="D634" s="46"/>
      <c r="E634" s="46"/>
      <c r="F634" s="46"/>
      <c r="G634" s="46"/>
      <c r="H634" s="46"/>
      <c r="I634" s="46"/>
      <c r="J634" s="46"/>
      <c r="K634" s="218"/>
      <c r="L634" s="185"/>
      <c r="M634" s="91"/>
      <c r="N634" s="91"/>
      <c r="O634" s="189"/>
      <c r="Q634" s="47" t="s">
        <v>833</v>
      </c>
      <c r="T634" s="46"/>
      <c r="U634" s="46"/>
      <c r="V634" s="46"/>
    </row>
    <row r="635" spans="1:22" s="47" customFormat="1" ht="15.75" x14ac:dyDescent="0.25">
      <c r="A635" s="61"/>
      <c r="C635" s="46"/>
      <c r="D635" s="46"/>
      <c r="E635" s="46"/>
      <c r="F635" s="46"/>
      <c r="G635" s="46"/>
      <c r="H635" s="46"/>
      <c r="I635" s="46"/>
      <c r="J635" s="46"/>
      <c r="K635" s="218"/>
      <c r="L635" s="185"/>
      <c r="M635" s="91"/>
      <c r="N635" s="91"/>
      <c r="O635" s="189"/>
      <c r="Q635" s="47" t="s">
        <v>833</v>
      </c>
      <c r="T635" s="46"/>
      <c r="U635" s="46"/>
      <c r="V635" s="46"/>
    </row>
    <row r="636" spans="1:22" s="47" customFormat="1" ht="15.75" x14ac:dyDescent="0.25">
      <c r="A636" s="61"/>
      <c r="C636" s="46"/>
      <c r="D636" s="46"/>
      <c r="E636" s="46"/>
      <c r="F636" s="46"/>
      <c r="G636" s="46"/>
      <c r="H636" s="46"/>
      <c r="I636" s="46"/>
      <c r="J636" s="46"/>
      <c r="K636" s="218"/>
      <c r="L636" s="185"/>
      <c r="M636" s="91"/>
      <c r="N636" s="91"/>
      <c r="O636" s="189"/>
      <c r="Q636" s="47" t="s">
        <v>833</v>
      </c>
      <c r="T636" s="46"/>
      <c r="U636" s="46"/>
      <c r="V636" s="46"/>
    </row>
    <row r="637" spans="1:22" s="47" customFormat="1" ht="15.75" x14ac:dyDescent="0.25">
      <c r="A637" s="61"/>
      <c r="C637" s="46"/>
      <c r="D637" s="46"/>
      <c r="E637" s="46"/>
      <c r="F637" s="46"/>
      <c r="G637" s="46"/>
      <c r="H637" s="46"/>
      <c r="I637" s="46"/>
      <c r="J637" s="46"/>
      <c r="K637" s="218"/>
      <c r="L637" s="185"/>
      <c r="M637" s="91"/>
      <c r="N637" s="91"/>
      <c r="O637" s="189"/>
      <c r="Q637" s="47" t="s">
        <v>833</v>
      </c>
      <c r="T637" s="46"/>
      <c r="U637" s="46"/>
      <c r="V637" s="46"/>
    </row>
    <row r="638" spans="1:22" s="47" customFormat="1" ht="15.75" x14ac:dyDescent="0.25">
      <c r="A638" s="61"/>
      <c r="C638" s="46"/>
      <c r="D638" s="46"/>
      <c r="E638" s="46"/>
      <c r="F638" s="46"/>
      <c r="G638" s="46"/>
      <c r="H638" s="46"/>
      <c r="I638" s="46"/>
      <c r="J638" s="46"/>
      <c r="K638" s="218"/>
      <c r="L638" s="185"/>
      <c r="M638" s="91"/>
      <c r="N638" s="91"/>
      <c r="O638" s="189"/>
      <c r="Q638" s="47" t="s">
        <v>833</v>
      </c>
      <c r="T638" s="46"/>
      <c r="U638" s="46"/>
      <c r="V638" s="46"/>
    </row>
    <row r="639" spans="1:22" s="47" customFormat="1" ht="15.75" x14ac:dyDescent="0.25">
      <c r="A639" s="61"/>
      <c r="C639" s="46"/>
      <c r="D639" s="46"/>
      <c r="E639" s="46"/>
      <c r="F639" s="46"/>
      <c r="G639" s="46"/>
      <c r="H639" s="46"/>
      <c r="I639" s="46"/>
      <c r="J639" s="46"/>
      <c r="K639" s="218"/>
      <c r="L639" s="185"/>
      <c r="M639" s="91"/>
      <c r="N639" s="91"/>
      <c r="O639" s="189"/>
      <c r="Q639" s="47" t="s">
        <v>833</v>
      </c>
      <c r="T639" s="46"/>
      <c r="U639" s="46"/>
      <c r="V639" s="46"/>
    </row>
    <row r="640" spans="1:22" s="47" customFormat="1" ht="15.75" x14ac:dyDescent="0.25">
      <c r="A640" s="61"/>
      <c r="C640" s="46"/>
      <c r="D640" s="46"/>
      <c r="E640" s="46"/>
      <c r="F640" s="46"/>
      <c r="G640" s="46"/>
      <c r="H640" s="46"/>
      <c r="I640" s="46"/>
      <c r="J640" s="46"/>
      <c r="K640" s="218"/>
      <c r="L640" s="185"/>
      <c r="M640" s="91"/>
      <c r="N640" s="91"/>
      <c r="O640" s="189"/>
      <c r="Q640" s="47" t="s">
        <v>833</v>
      </c>
      <c r="T640" s="46"/>
      <c r="U640" s="46"/>
      <c r="V640" s="46"/>
    </row>
    <row r="641" spans="1:22" s="47" customFormat="1" ht="15.75" x14ac:dyDescent="0.25">
      <c r="A641" s="61"/>
      <c r="C641" s="46"/>
      <c r="D641" s="46"/>
      <c r="E641" s="46"/>
      <c r="F641" s="46"/>
      <c r="G641" s="46"/>
      <c r="H641" s="46"/>
      <c r="I641" s="46"/>
      <c r="J641" s="46"/>
      <c r="K641" s="218"/>
      <c r="L641" s="185"/>
      <c r="M641" s="91"/>
      <c r="N641" s="91"/>
      <c r="O641" s="189"/>
      <c r="Q641" s="47" t="s">
        <v>833</v>
      </c>
      <c r="T641" s="46"/>
      <c r="U641" s="46"/>
      <c r="V641" s="46"/>
    </row>
    <row r="642" spans="1:22" s="47" customFormat="1" ht="15.75" x14ac:dyDescent="0.25">
      <c r="A642" s="61"/>
      <c r="C642" s="46"/>
      <c r="D642" s="46"/>
      <c r="E642" s="46"/>
      <c r="F642" s="46"/>
      <c r="G642" s="46"/>
      <c r="H642" s="46"/>
      <c r="I642" s="46"/>
      <c r="J642" s="46"/>
      <c r="K642" s="218"/>
      <c r="L642" s="185"/>
      <c r="M642" s="91"/>
      <c r="N642" s="91"/>
      <c r="O642" s="189"/>
      <c r="Q642" s="47" t="s">
        <v>833</v>
      </c>
      <c r="T642" s="46"/>
      <c r="U642" s="46"/>
      <c r="V642" s="46"/>
    </row>
    <row r="643" spans="1:22" s="47" customFormat="1" ht="15.75" x14ac:dyDescent="0.25">
      <c r="A643" s="61"/>
      <c r="C643" s="46"/>
      <c r="D643" s="46"/>
      <c r="E643" s="46"/>
      <c r="F643" s="46"/>
      <c r="G643" s="46"/>
      <c r="H643" s="46"/>
      <c r="I643" s="46"/>
      <c r="J643" s="46"/>
      <c r="K643" s="218"/>
      <c r="L643" s="185"/>
      <c r="M643" s="91"/>
      <c r="N643" s="91"/>
      <c r="O643" s="189"/>
      <c r="Q643" s="47" t="s">
        <v>833</v>
      </c>
      <c r="T643" s="46"/>
      <c r="U643" s="46"/>
      <c r="V643" s="46"/>
    </row>
    <row r="644" spans="1:22" s="47" customFormat="1" ht="15.75" x14ac:dyDescent="0.25">
      <c r="A644" s="61"/>
      <c r="C644" s="46"/>
      <c r="D644" s="46"/>
      <c r="E644" s="46"/>
      <c r="F644" s="46"/>
      <c r="G644" s="46"/>
      <c r="H644" s="46"/>
      <c r="I644" s="46"/>
      <c r="J644" s="46"/>
      <c r="K644" s="218"/>
      <c r="L644" s="185"/>
      <c r="M644" s="91"/>
      <c r="N644" s="91"/>
      <c r="O644" s="189"/>
      <c r="Q644" s="47" t="s">
        <v>833</v>
      </c>
      <c r="T644" s="46"/>
      <c r="U644" s="46"/>
      <c r="V644" s="46"/>
    </row>
    <row r="645" spans="1:22" s="47" customFormat="1" ht="15.75" x14ac:dyDescent="0.25">
      <c r="A645" s="61"/>
      <c r="C645" s="46"/>
      <c r="D645" s="46"/>
      <c r="E645" s="46"/>
      <c r="F645" s="46"/>
      <c r="G645" s="46"/>
      <c r="H645" s="46"/>
      <c r="I645" s="46"/>
      <c r="J645" s="46"/>
      <c r="K645" s="218"/>
      <c r="L645" s="185"/>
      <c r="M645" s="91"/>
      <c r="N645" s="91"/>
      <c r="O645" s="189"/>
      <c r="Q645" s="47" t="s">
        <v>833</v>
      </c>
      <c r="T645" s="46"/>
      <c r="U645" s="46"/>
      <c r="V645" s="46"/>
    </row>
    <row r="646" spans="1:22" s="47" customFormat="1" ht="15.75" x14ac:dyDescent="0.25">
      <c r="A646" s="61"/>
      <c r="C646" s="46"/>
      <c r="D646" s="46"/>
      <c r="E646" s="46"/>
      <c r="F646" s="46"/>
      <c r="G646" s="46"/>
      <c r="H646" s="46"/>
      <c r="I646" s="46"/>
      <c r="J646" s="46"/>
      <c r="K646" s="218"/>
      <c r="L646" s="185"/>
      <c r="M646" s="91"/>
      <c r="N646" s="91"/>
      <c r="O646" s="189"/>
      <c r="Q646" s="47" t="s">
        <v>833</v>
      </c>
      <c r="T646" s="46"/>
      <c r="U646" s="46"/>
      <c r="V646" s="46"/>
    </row>
    <row r="647" spans="1:22" s="47" customFormat="1" ht="15.75" x14ac:dyDescent="0.25">
      <c r="A647" s="61"/>
      <c r="C647" s="46"/>
      <c r="D647" s="46"/>
      <c r="E647" s="46"/>
      <c r="F647" s="46"/>
      <c r="G647" s="46"/>
      <c r="H647" s="46"/>
      <c r="I647" s="46"/>
      <c r="J647" s="46"/>
      <c r="K647" s="218"/>
      <c r="L647" s="185"/>
      <c r="M647" s="91"/>
      <c r="N647" s="91"/>
      <c r="O647" s="189"/>
      <c r="Q647" s="47" t="s">
        <v>833</v>
      </c>
      <c r="T647" s="46"/>
      <c r="U647" s="46"/>
      <c r="V647" s="46"/>
    </row>
    <row r="648" spans="1:22" s="47" customFormat="1" ht="15.75" x14ac:dyDescent="0.25">
      <c r="A648" s="61"/>
      <c r="C648" s="46"/>
      <c r="D648" s="46"/>
      <c r="E648" s="46"/>
      <c r="F648" s="46"/>
      <c r="G648" s="46"/>
      <c r="H648" s="46"/>
      <c r="I648" s="46"/>
      <c r="J648" s="46"/>
      <c r="K648" s="218"/>
      <c r="L648" s="185"/>
      <c r="M648" s="91"/>
      <c r="N648" s="91"/>
      <c r="O648" s="189"/>
      <c r="Q648" s="47" t="s">
        <v>833</v>
      </c>
      <c r="T648" s="46"/>
      <c r="U648" s="46"/>
      <c r="V648" s="46"/>
    </row>
    <row r="649" spans="1:22" s="47" customFormat="1" ht="15.75" x14ac:dyDescent="0.25">
      <c r="A649" s="61"/>
      <c r="C649" s="46"/>
      <c r="D649" s="46"/>
      <c r="E649" s="46"/>
      <c r="F649" s="46"/>
      <c r="G649" s="46"/>
      <c r="H649" s="46"/>
      <c r="I649" s="46"/>
      <c r="J649" s="46"/>
      <c r="K649" s="218"/>
      <c r="L649" s="185"/>
      <c r="M649" s="91"/>
      <c r="N649" s="91"/>
      <c r="O649" s="189"/>
      <c r="Q649" s="47" t="s">
        <v>833</v>
      </c>
      <c r="T649" s="46"/>
      <c r="U649" s="46"/>
      <c r="V649" s="46"/>
    </row>
    <row r="650" spans="1:22" s="47" customFormat="1" ht="15.75" x14ac:dyDescent="0.25">
      <c r="A650" s="61"/>
      <c r="C650" s="46"/>
      <c r="D650" s="46"/>
      <c r="E650" s="46"/>
      <c r="F650" s="46"/>
      <c r="G650" s="46"/>
      <c r="H650" s="46"/>
      <c r="I650" s="46"/>
      <c r="J650" s="46"/>
      <c r="K650" s="218"/>
      <c r="L650" s="185"/>
      <c r="M650" s="91"/>
      <c r="N650" s="91"/>
      <c r="O650" s="189"/>
      <c r="Q650" s="47" t="s">
        <v>833</v>
      </c>
      <c r="T650" s="46"/>
      <c r="U650" s="46"/>
      <c r="V650" s="46"/>
    </row>
    <row r="651" spans="1:22" s="47" customFormat="1" ht="15.75" x14ac:dyDescent="0.25">
      <c r="A651" s="61"/>
      <c r="C651" s="46"/>
      <c r="D651" s="46"/>
      <c r="E651" s="46"/>
      <c r="F651" s="46"/>
      <c r="G651" s="46"/>
      <c r="H651" s="46"/>
      <c r="I651" s="46"/>
      <c r="J651" s="46"/>
      <c r="K651" s="218"/>
      <c r="L651" s="185"/>
      <c r="M651" s="91"/>
      <c r="N651" s="91"/>
      <c r="O651" s="189"/>
      <c r="Q651" s="47" t="s">
        <v>833</v>
      </c>
      <c r="T651" s="46"/>
      <c r="U651" s="46"/>
      <c r="V651" s="46"/>
    </row>
    <row r="652" spans="1:22" s="47" customFormat="1" ht="15.75" x14ac:dyDescent="0.25">
      <c r="A652" s="61"/>
      <c r="C652" s="46"/>
      <c r="D652" s="46"/>
      <c r="E652" s="46"/>
      <c r="F652" s="46"/>
      <c r="G652" s="46"/>
      <c r="H652" s="46"/>
      <c r="I652" s="46"/>
      <c r="J652" s="46"/>
      <c r="K652" s="218"/>
      <c r="L652" s="185"/>
      <c r="M652" s="91"/>
      <c r="N652" s="91"/>
      <c r="O652" s="189"/>
      <c r="Q652" s="47" t="s">
        <v>833</v>
      </c>
      <c r="T652" s="46"/>
      <c r="U652" s="46"/>
      <c r="V652" s="46"/>
    </row>
    <row r="653" spans="1:22" s="47" customFormat="1" ht="15.75" x14ac:dyDescent="0.25">
      <c r="A653" s="61"/>
      <c r="C653" s="46"/>
      <c r="D653" s="46"/>
      <c r="E653" s="46"/>
      <c r="F653" s="46"/>
      <c r="G653" s="46"/>
      <c r="H653" s="46"/>
      <c r="I653" s="46"/>
      <c r="J653" s="46"/>
      <c r="K653" s="218"/>
      <c r="L653" s="185"/>
      <c r="M653" s="91"/>
      <c r="N653" s="91"/>
      <c r="O653" s="189"/>
      <c r="Q653" s="47" t="s">
        <v>833</v>
      </c>
      <c r="T653" s="46"/>
      <c r="U653" s="46"/>
      <c r="V653" s="46"/>
    </row>
    <row r="654" spans="1:22" s="47" customFormat="1" ht="15.75" x14ac:dyDescent="0.25">
      <c r="A654" s="61"/>
      <c r="C654" s="46"/>
      <c r="D654" s="46"/>
      <c r="E654" s="46"/>
      <c r="F654" s="46"/>
      <c r="G654" s="46"/>
      <c r="H654" s="46"/>
      <c r="I654" s="46"/>
      <c r="J654" s="46"/>
      <c r="K654" s="218"/>
      <c r="L654" s="185"/>
      <c r="M654" s="91"/>
      <c r="N654" s="91"/>
      <c r="O654" s="189"/>
      <c r="Q654" s="47" t="s">
        <v>833</v>
      </c>
      <c r="T654" s="46"/>
      <c r="U654" s="46"/>
      <c r="V654" s="46"/>
    </row>
    <row r="655" spans="1:22" s="47" customFormat="1" ht="15.75" x14ac:dyDescent="0.25">
      <c r="A655" s="61"/>
      <c r="C655" s="46"/>
      <c r="D655" s="46"/>
      <c r="E655" s="46"/>
      <c r="F655" s="46"/>
      <c r="G655" s="46"/>
      <c r="H655" s="46"/>
      <c r="I655" s="46"/>
      <c r="J655" s="46"/>
      <c r="K655" s="218"/>
      <c r="L655" s="185"/>
      <c r="M655" s="91"/>
      <c r="N655" s="91"/>
      <c r="O655" s="189"/>
      <c r="Q655" s="47" t="s">
        <v>833</v>
      </c>
      <c r="T655" s="46"/>
      <c r="U655" s="46"/>
      <c r="V655" s="46"/>
    </row>
    <row r="656" spans="1:22" s="47" customFormat="1" ht="15.75" x14ac:dyDescent="0.25">
      <c r="A656" s="61"/>
      <c r="C656" s="46"/>
      <c r="D656" s="46"/>
      <c r="E656" s="46"/>
      <c r="F656" s="46"/>
      <c r="G656" s="46"/>
      <c r="H656" s="46"/>
      <c r="I656" s="46"/>
      <c r="J656" s="46"/>
      <c r="K656" s="218"/>
      <c r="L656" s="185"/>
      <c r="M656" s="91"/>
      <c r="N656" s="91"/>
      <c r="O656" s="189"/>
      <c r="Q656" s="47" t="s">
        <v>833</v>
      </c>
      <c r="T656" s="46"/>
      <c r="U656" s="46"/>
      <c r="V656" s="46"/>
    </row>
    <row r="657" spans="1:22" s="47" customFormat="1" ht="15.75" x14ac:dyDescent="0.25">
      <c r="A657" s="61"/>
      <c r="C657" s="46"/>
      <c r="D657" s="46"/>
      <c r="E657" s="46"/>
      <c r="F657" s="46"/>
      <c r="G657" s="46"/>
      <c r="H657" s="46"/>
      <c r="I657" s="46"/>
      <c r="J657" s="46"/>
      <c r="K657" s="218"/>
      <c r="L657" s="185"/>
      <c r="M657" s="91"/>
      <c r="N657" s="91"/>
      <c r="O657" s="189"/>
      <c r="Q657" s="47" t="s">
        <v>833</v>
      </c>
      <c r="T657" s="46"/>
      <c r="U657" s="46"/>
      <c r="V657" s="46"/>
    </row>
    <row r="658" spans="1:22" s="47" customFormat="1" ht="15.75" x14ac:dyDescent="0.25">
      <c r="A658" s="61"/>
      <c r="C658" s="46"/>
      <c r="D658" s="46"/>
      <c r="E658" s="46"/>
      <c r="F658" s="46"/>
      <c r="G658" s="46"/>
      <c r="H658" s="46"/>
      <c r="I658" s="46"/>
      <c r="J658" s="46"/>
      <c r="K658" s="218"/>
      <c r="L658" s="185"/>
      <c r="M658" s="91"/>
      <c r="N658" s="91"/>
      <c r="O658" s="189"/>
      <c r="Q658" s="47" t="s">
        <v>833</v>
      </c>
      <c r="T658" s="46"/>
      <c r="U658" s="46"/>
      <c r="V658" s="46"/>
    </row>
    <row r="659" spans="1:22" s="47" customFormat="1" ht="15.75" x14ac:dyDescent="0.25">
      <c r="A659" s="61"/>
      <c r="C659" s="46"/>
      <c r="D659" s="46"/>
      <c r="E659" s="46"/>
      <c r="F659" s="46"/>
      <c r="G659" s="46"/>
      <c r="H659" s="46"/>
      <c r="I659" s="46"/>
      <c r="J659" s="46"/>
      <c r="K659" s="218"/>
      <c r="L659" s="185"/>
      <c r="M659" s="91"/>
      <c r="N659" s="91"/>
      <c r="O659" s="189"/>
      <c r="Q659" s="47" t="s">
        <v>833</v>
      </c>
      <c r="T659" s="46"/>
      <c r="U659" s="46"/>
      <c r="V659" s="46"/>
    </row>
    <row r="660" spans="1:22" s="47" customFormat="1" ht="15.75" x14ac:dyDescent="0.25">
      <c r="A660" s="61"/>
      <c r="C660" s="46"/>
      <c r="D660" s="46"/>
      <c r="E660" s="46"/>
      <c r="F660" s="46"/>
      <c r="G660" s="46"/>
      <c r="H660" s="46"/>
      <c r="I660" s="46"/>
      <c r="J660" s="46"/>
      <c r="K660" s="218"/>
      <c r="L660" s="185"/>
      <c r="M660" s="91"/>
      <c r="N660" s="91"/>
      <c r="O660" s="189"/>
      <c r="Q660" s="47" t="s">
        <v>833</v>
      </c>
      <c r="T660" s="46"/>
      <c r="U660" s="46"/>
      <c r="V660" s="46"/>
    </row>
    <row r="661" spans="1:22" s="47" customFormat="1" ht="15.75" x14ac:dyDescent="0.25">
      <c r="A661" s="61"/>
      <c r="C661" s="46"/>
      <c r="D661" s="46"/>
      <c r="E661" s="46"/>
      <c r="F661" s="46"/>
      <c r="G661" s="46"/>
      <c r="H661" s="46"/>
      <c r="I661" s="46"/>
      <c r="J661" s="46"/>
      <c r="K661" s="218"/>
      <c r="L661" s="185"/>
      <c r="M661" s="91"/>
      <c r="N661" s="91"/>
      <c r="O661" s="189"/>
      <c r="Q661" s="47" t="s">
        <v>833</v>
      </c>
      <c r="T661" s="46"/>
      <c r="U661" s="46"/>
      <c r="V661" s="46"/>
    </row>
    <row r="662" spans="1:22" s="47" customFormat="1" ht="15.75" x14ac:dyDescent="0.25">
      <c r="A662" s="61"/>
      <c r="C662" s="46"/>
      <c r="D662" s="46"/>
      <c r="E662" s="46"/>
      <c r="F662" s="46"/>
      <c r="G662" s="46"/>
      <c r="H662" s="46"/>
      <c r="I662" s="46"/>
      <c r="J662" s="46"/>
      <c r="K662" s="218"/>
      <c r="L662" s="185"/>
      <c r="M662" s="91"/>
      <c r="N662" s="91"/>
      <c r="O662" s="189"/>
      <c r="Q662" s="47" t="s">
        <v>833</v>
      </c>
      <c r="T662" s="46"/>
      <c r="U662" s="46"/>
      <c r="V662" s="46"/>
    </row>
    <row r="663" spans="1:22" s="47" customFormat="1" ht="15.75" x14ac:dyDescent="0.25">
      <c r="A663" s="61"/>
      <c r="C663" s="46"/>
      <c r="D663" s="46"/>
      <c r="E663" s="46"/>
      <c r="F663" s="46"/>
      <c r="G663" s="46"/>
      <c r="H663" s="46"/>
      <c r="I663" s="46"/>
      <c r="J663" s="46"/>
      <c r="K663" s="218"/>
      <c r="L663" s="185"/>
      <c r="M663" s="91"/>
      <c r="N663" s="91"/>
      <c r="O663" s="189"/>
      <c r="Q663" s="47" t="s">
        <v>833</v>
      </c>
      <c r="T663" s="46"/>
      <c r="U663" s="46"/>
      <c r="V663" s="46"/>
    </row>
    <row r="664" spans="1:22" s="47" customFormat="1" ht="15.75" x14ac:dyDescent="0.25">
      <c r="A664" s="61"/>
      <c r="C664" s="46"/>
      <c r="D664" s="46"/>
      <c r="E664" s="46"/>
      <c r="F664" s="46"/>
      <c r="G664" s="46"/>
      <c r="H664" s="46"/>
      <c r="I664" s="46"/>
      <c r="J664" s="46"/>
      <c r="K664" s="218"/>
      <c r="L664" s="185"/>
      <c r="M664" s="91"/>
      <c r="N664" s="91"/>
      <c r="O664" s="189"/>
      <c r="Q664" s="47" t="s">
        <v>833</v>
      </c>
      <c r="T664" s="46"/>
      <c r="U664" s="46"/>
      <c r="V664" s="46"/>
    </row>
    <row r="665" spans="1:22" s="47" customFormat="1" ht="15.75" x14ac:dyDescent="0.25">
      <c r="A665" s="61"/>
      <c r="C665" s="46"/>
      <c r="D665" s="46"/>
      <c r="E665" s="46"/>
      <c r="F665" s="46"/>
      <c r="G665" s="46"/>
      <c r="H665" s="46"/>
      <c r="I665" s="46"/>
      <c r="J665" s="46"/>
      <c r="K665" s="218"/>
      <c r="L665" s="185"/>
      <c r="M665" s="91"/>
      <c r="N665" s="91"/>
      <c r="O665" s="189"/>
      <c r="Q665" s="47" t="s">
        <v>833</v>
      </c>
      <c r="T665" s="46"/>
      <c r="U665" s="46"/>
      <c r="V665" s="46"/>
    </row>
    <row r="666" spans="1:22" s="47" customFormat="1" ht="15.75" x14ac:dyDescent="0.25">
      <c r="A666" s="61"/>
      <c r="C666" s="46"/>
      <c r="D666" s="46"/>
      <c r="E666" s="46"/>
      <c r="F666" s="46"/>
      <c r="G666" s="46"/>
      <c r="H666" s="46"/>
      <c r="I666" s="46"/>
      <c r="J666" s="46"/>
      <c r="K666" s="218"/>
      <c r="L666" s="185"/>
      <c r="M666" s="91"/>
      <c r="N666" s="91"/>
      <c r="O666" s="189"/>
      <c r="Q666" s="47" t="s">
        <v>833</v>
      </c>
      <c r="T666" s="46"/>
      <c r="U666" s="46"/>
      <c r="V666" s="46"/>
    </row>
    <row r="667" spans="1:22" s="47" customFormat="1" ht="15.75" x14ac:dyDescent="0.25">
      <c r="A667" s="61"/>
      <c r="C667" s="46"/>
      <c r="D667" s="46"/>
      <c r="E667" s="46"/>
      <c r="F667" s="46"/>
      <c r="G667" s="46"/>
      <c r="H667" s="46"/>
      <c r="I667" s="46"/>
      <c r="J667" s="46"/>
      <c r="K667" s="218"/>
      <c r="L667" s="185"/>
      <c r="M667" s="91"/>
      <c r="N667" s="91"/>
      <c r="O667" s="189"/>
      <c r="Q667" s="47" t="s">
        <v>833</v>
      </c>
      <c r="T667" s="46"/>
      <c r="U667" s="46"/>
      <c r="V667" s="46"/>
    </row>
    <row r="668" spans="1:22" s="47" customFormat="1" ht="15.75" x14ac:dyDescent="0.25">
      <c r="A668" s="61"/>
      <c r="C668" s="46"/>
      <c r="D668" s="46"/>
      <c r="E668" s="46"/>
      <c r="F668" s="46"/>
      <c r="G668" s="46"/>
      <c r="H668" s="46"/>
      <c r="I668" s="46"/>
      <c r="J668" s="46"/>
      <c r="K668" s="218"/>
      <c r="L668" s="185"/>
      <c r="M668" s="91"/>
      <c r="N668" s="91"/>
      <c r="O668" s="189"/>
      <c r="Q668" s="47" t="s">
        <v>833</v>
      </c>
      <c r="T668" s="46"/>
      <c r="U668" s="46"/>
      <c r="V668" s="46"/>
    </row>
    <row r="669" spans="1:22" s="47" customFormat="1" ht="15.75" x14ac:dyDescent="0.25">
      <c r="A669" s="61"/>
      <c r="C669" s="46"/>
      <c r="D669" s="46"/>
      <c r="E669" s="46"/>
      <c r="F669" s="46"/>
      <c r="G669" s="46"/>
      <c r="H669" s="46"/>
      <c r="I669" s="46"/>
      <c r="J669" s="46"/>
      <c r="K669" s="218"/>
      <c r="L669" s="185"/>
      <c r="M669" s="91"/>
      <c r="N669" s="91"/>
      <c r="O669" s="189"/>
      <c r="Q669" s="47" t="s">
        <v>833</v>
      </c>
      <c r="T669" s="46"/>
      <c r="U669" s="46"/>
      <c r="V669" s="46"/>
    </row>
    <row r="670" spans="1:22" s="47" customFormat="1" ht="15.75" x14ac:dyDescent="0.25">
      <c r="A670" s="61"/>
      <c r="C670" s="46"/>
      <c r="D670" s="46"/>
      <c r="E670" s="46"/>
      <c r="F670" s="46"/>
      <c r="G670" s="46"/>
      <c r="H670" s="46"/>
      <c r="I670" s="46"/>
      <c r="J670" s="46"/>
      <c r="K670" s="218"/>
      <c r="L670" s="185"/>
      <c r="M670" s="91"/>
      <c r="N670" s="91"/>
      <c r="O670" s="189"/>
      <c r="Q670" s="47" t="s">
        <v>833</v>
      </c>
      <c r="T670" s="46"/>
      <c r="U670" s="46"/>
      <c r="V670" s="46"/>
    </row>
    <row r="671" spans="1:22" s="47" customFormat="1" ht="15.75" x14ac:dyDescent="0.25">
      <c r="A671" s="61"/>
      <c r="C671" s="46"/>
      <c r="D671" s="46"/>
      <c r="E671" s="46"/>
      <c r="F671" s="46"/>
      <c r="G671" s="46"/>
      <c r="H671" s="46"/>
      <c r="I671" s="46"/>
      <c r="J671" s="46"/>
      <c r="K671" s="218"/>
      <c r="L671" s="185"/>
      <c r="M671" s="91"/>
      <c r="N671" s="91"/>
      <c r="O671" s="189"/>
      <c r="Q671" s="47" t="s">
        <v>833</v>
      </c>
      <c r="T671" s="46"/>
      <c r="U671" s="46"/>
      <c r="V671" s="46"/>
    </row>
    <row r="672" spans="1:22" s="47" customFormat="1" ht="15.75" x14ac:dyDescent="0.25">
      <c r="A672" s="61"/>
      <c r="C672" s="46"/>
      <c r="D672" s="46"/>
      <c r="E672" s="46"/>
      <c r="F672" s="46"/>
      <c r="G672" s="46"/>
      <c r="H672" s="46"/>
      <c r="I672" s="46"/>
      <c r="J672" s="46"/>
      <c r="K672" s="218"/>
      <c r="L672" s="185"/>
      <c r="M672" s="91"/>
      <c r="N672" s="91"/>
      <c r="O672" s="189"/>
      <c r="Q672" s="47" t="s">
        <v>833</v>
      </c>
      <c r="T672" s="46"/>
      <c r="U672" s="46"/>
      <c r="V672" s="46"/>
    </row>
    <row r="673" spans="1:22" s="47" customFormat="1" ht="15.75" x14ac:dyDescent="0.25">
      <c r="A673" s="61"/>
      <c r="C673" s="46"/>
      <c r="D673" s="46"/>
      <c r="E673" s="46"/>
      <c r="F673" s="46"/>
      <c r="G673" s="46"/>
      <c r="H673" s="46"/>
      <c r="I673" s="46"/>
      <c r="J673" s="46"/>
      <c r="K673" s="218"/>
      <c r="L673" s="185"/>
      <c r="M673" s="91"/>
      <c r="N673" s="91"/>
      <c r="O673" s="189"/>
      <c r="Q673" s="47" t="s">
        <v>833</v>
      </c>
      <c r="T673" s="46"/>
      <c r="U673" s="46"/>
      <c r="V673" s="46"/>
    </row>
    <row r="674" spans="1:22" s="47" customFormat="1" ht="15.75" x14ac:dyDescent="0.25">
      <c r="A674" s="61"/>
      <c r="C674" s="46"/>
      <c r="D674" s="46"/>
      <c r="E674" s="46"/>
      <c r="F674" s="46"/>
      <c r="G674" s="46"/>
      <c r="H674" s="46"/>
      <c r="I674" s="46"/>
      <c r="J674" s="46"/>
      <c r="K674" s="218"/>
      <c r="L674" s="185"/>
      <c r="M674" s="91"/>
      <c r="N674" s="91"/>
      <c r="O674" s="189"/>
      <c r="Q674" s="47" t="s">
        <v>833</v>
      </c>
      <c r="T674" s="46"/>
      <c r="U674" s="46"/>
      <c r="V674" s="46"/>
    </row>
    <row r="675" spans="1:22" s="47" customFormat="1" ht="15.75" x14ac:dyDescent="0.25">
      <c r="A675" s="61"/>
      <c r="C675" s="46"/>
      <c r="D675" s="46"/>
      <c r="E675" s="46"/>
      <c r="F675" s="46"/>
      <c r="G675" s="46"/>
      <c r="H675" s="46"/>
      <c r="I675" s="46"/>
      <c r="J675" s="46"/>
      <c r="K675" s="218"/>
      <c r="L675" s="185"/>
      <c r="M675" s="91"/>
      <c r="N675" s="91"/>
      <c r="O675" s="189"/>
      <c r="Q675" s="47" t="s">
        <v>833</v>
      </c>
      <c r="T675" s="46"/>
      <c r="U675" s="46"/>
      <c r="V675" s="46"/>
    </row>
    <row r="676" spans="1:22" s="47" customFormat="1" ht="15.75" x14ac:dyDescent="0.25">
      <c r="A676" s="61"/>
      <c r="C676" s="46"/>
      <c r="D676" s="46"/>
      <c r="E676" s="46"/>
      <c r="F676" s="46"/>
      <c r="G676" s="46"/>
      <c r="H676" s="46"/>
      <c r="I676" s="46"/>
      <c r="J676" s="46"/>
      <c r="K676" s="218"/>
      <c r="L676" s="185"/>
      <c r="M676" s="91"/>
      <c r="N676" s="91"/>
      <c r="O676" s="189"/>
      <c r="Q676" s="47" t="s">
        <v>833</v>
      </c>
      <c r="T676" s="46"/>
      <c r="U676" s="46"/>
      <c r="V676" s="46"/>
    </row>
    <row r="677" spans="1:22" s="47" customFormat="1" ht="15.75" x14ac:dyDescent="0.25">
      <c r="A677" s="61"/>
      <c r="C677" s="46"/>
      <c r="D677" s="46"/>
      <c r="E677" s="46"/>
      <c r="F677" s="46"/>
      <c r="G677" s="46"/>
      <c r="H677" s="46"/>
      <c r="I677" s="46"/>
      <c r="J677" s="46"/>
      <c r="K677" s="218"/>
      <c r="L677" s="185"/>
      <c r="M677" s="91"/>
      <c r="N677" s="91"/>
      <c r="O677" s="189"/>
      <c r="Q677" s="47" t="s">
        <v>833</v>
      </c>
      <c r="T677" s="46"/>
      <c r="U677" s="46"/>
      <c r="V677" s="46"/>
    </row>
    <row r="678" spans="1:22" s="47" customFormat="1" ht="15.75" x14ac:dyDescent="0.25">
      <c r="A678" s="61"/>
      <c r="C678" s="46"/>
      <c r="D678" s="46"/>
      <c r="E678" s="46"/>
      <c r="F678" s="46"/>
      <c r="G678" s="46"/>
      <c r="H678" s="46"/>
      <c r="I678" s="46"/>
      <c r="J678" s="46"/>
      <c r="K678" s="218"/>
      <c r="L678" s="185"/>
      <c r="M678" s="91"/>
      <c r="N678" s="91"/>
      <c r="O678" s="189"/>
      <c r="Q678" s="47" t="s">
        <v>833</v>
      </c>
      <c r="T678" s="46"/>
      <c r="U678" s="46"/>
      <c r="V678" s="46"/>
    </row>
    <row r="679" spans="1:22" s="47" customFormat="1" ht="15.75" x14ac:dyDescent="0.25">
      <c r="A679" s="61"/>
      <c r="C679" s="46"/>
      <c r="D679" s="46"/>
      <c r="E679" s="46"/>
      <c r="F679" s="46"/>
      <c r="G679" s="46"/>
      <c r="H679" s="46"/>
      <c r="I679" s="46"/>
      <c r="J679" s="46"/>
      <c r="K679" s="218"/>
      <c r="L679" s="185"/>
      <c r="M679" s="91"/>
      <c r="N679" s="91"/>
      <c r="O679" s="189"/>
      <c r="Q679" s="47" t="s">
        <v>833</v>
      </c>
      <c r="T679" s="46"/>
      <c r="U679" s="46"/>
      <c r="V679" s="46"/>
    </row>
    <row r="680" spans="1:22" s="47" customFormat="1" ht="15.75" x14ac:dyDescent="0.25">
      <c r="A680" s="61"/>
      <c r="C680" s="46"/>
      <c r="D680" s="46"/>
      <c r="E680" s="46"/>
      <c r="F680" s="46"/>
      <c r="G680" s="46"/>
      <c r="H680" s="46"/>
      <c r="I680" s="46"/>
      <c r="J680" s="46"/>
      <c r="K680" s="218"/>
      <c r="L680" s="185"/>
      <c r="M680" s="91"/>
      <c r="N680" s="91"/>
      <c r="O680" s="189"/>
      <c r="Q680" s="47" t="s">
        <v>833</v>
      </c>
      <c r="T680" s="46"/>
      <c r="U680" s="46"/>
      <c r="V680" s="46"/>
    </row>
    <row r="681" spans="1:22" s="47" customFormat="1" ht="15.75" x14ac:dyDescent="0.25">
      <c r="A681" s="61"/>
      <c r="C681" s="46"/>
      <c r="D681" s="46"/>
      <c r="E681" s="46"/>
      <c r="F681" s="46"/>
      <c r="G681" s="46"/>
      <c r="H681" s="46"/>
      <c r="I681" s="46"/>
      <c r="J681" s="46"/>
      <c r="K681" s="218"/>
      <c r="L681" s="185"/>
      <c r="M681" s="91"/>
      <c r="N681" s="91"/>
      <c r="O681" s="189"/>
      <c r="Q681" s="47" t="s">
        <v>833</v>
      </c>
      <c r="T681" s="46"/>
      <c r="U681" s="46"/>
      <c r="V681" s="46"/>
    </row>
    <row r="682" spans="1:22" s="47" customFormat="1" ht="15.75" x14ac:dyDescent="0.25">
      <c r="A682" s="61"/>
      <c r="C682" s="46"/>
      <c r="D682" s="46"/>
      <c r="E682" s="46"/>
      <c r="F682" s="46"/>
      <c r="G682" s="46"/>
      <c r="H682" s="46"/>
      <c r="I682" s="46"/>
      <c r="J682" s="46"/>
      <c r="K682" s="218"/>
      <c r="L682" s="185"/>
      <c r="M682" s="91"/>
      <c r="N682" s="91"/>
      <c r="O682" s="189"/>
      <c r="Q682" s="47" t="s">
        <v>833</v>
      </c>
      <c r="T682" s="46"/>
      <c r="U682" s="46"/>
      <c r="V682" s="46"/>
    </row>
    <row r="683" spans="1:22" s="47" customFormat="1" ht="15.75" x14ac:dyDescent="0.25">
      <c r="A683" s="61"/>
      <c r="C683" s="46"/>
      <c r="D683" s="46"/>
      <c r="E683" s="46"/>
      <c r="F683" s="46"/>
      <c r="G683" s="46"/>
      <c r="H683" s="46"/>
      <c r="I683" s="46"/>
      <c r="J683" s="46"/>
      <c r="K683" s="218"/>
      <c r="L683" s="185"/>
      <c r="M683" s="91"/>
      <c r="N683" s="91"/>
      <c r="O683" s="189"/>
      <c r="Q683" s="47" t="s">
        <v>833</v>
      </c>
      <c r="T683" s="46"/>
      <c r="U683" s="46"/>
      <c r="V683" s="46"/>
    </row>
    <row r="684" spans="1:22" s="47" customFormat="1" ht="15.75" x14ac:dyDescent="0.25">
      <c r="A684" s="61"/>
      <c r="C684" s="46"/>
      <c r="D684" s="46"/>
      <c r="E684" s="46"/>
      <c r="F684" s="46"/>
      <c r="G684" s="46"/>
      <c r="H684" s="46"/>
      <c r="I684" s="46"/>
      <c r="J684" s="46"/>
      <c r="K684" s="218"/>
      <c r="L684" s="185"/>
      <c r="M684" s="91"/>
      <c r="N684" s="91"/>
      <c r="O684" s="189"/>
      <c r="Q684" s="47" t="s">
        <v>833</v>
      </c>
      <c r="T684" s="46"/>
      <c r="U684" s="46"/>
      <c r="V684" s="46"/>
    </row>
    <row r="685" spans="1:22" s="47" customFormat="1" ht="15.75" x14ac:dyDescent="0.25">
      <c r="A685" s="61"/>
      <c r="C685" s="46"/>
      <c r="D685" s="46"/>
      <c r="E685" s="46"/>
      <c r="F685" s="46"/>
      <c r="G685" s="46"/>
      <c r="H685" s="46"/>
      <c r="I685" s="46"/>
      <c r="J685" s="46"/>
      <c r="K685" s="218"/>
      <c r="L685" s="185"/>
      <c r="M685" s="91"/>
      <c r="N685" s="91"/>
      <c r="O685" s="189"/>
      <c r="Q685" s="47" t="s">
        <v>833</v>
      </c>
      <c r="T685" s="46"/>
      <c r="U685" s="46"/>
      <c r="V685" s="46"/>
    </row>
    <row r="686" spans="1:22" s="47" customFormat="1" ht="15.75" x14ac:dyDescent="0.25">
      <c r="A686" s="61"/>
      <c r="C686" s="46"/>
      <c r="D686" s="46"/>
      <c r="E686" s="46"/>
      <c r="F686" s="46"/>
      <c r="G686" s="46"/>
      <c r="H686" s="46"/>
      <c r="I686" s="46"/>
      <c r="J686" s="46"/>
      <c r="K686" s="218"/>
      <c r="L686" s="185"/>
      <c r="M686" s="91"/>
      <c r="N686" s="91"/>
      <c r="O686" s="189"/>
      <c r="Q686" s="47" t="s">
        <v>833</v>
      </c>
      <c r="T686" s="46"/>
      <c r="U686" s="46"/>
      <c r="V686" s="46"/>
    </row>
    <row r="687" spans="1:22" s="47" customFormat="1" ht="15.75" x14ac:dyDescent="0.25">
      <c r="A687" s="61"/>
      <c r="C687" s="46"/>
      <c r="D687" s="46"/>
      <c r="E687" s="46"/>
      <c r="F687" s="46"/>
      <c r="G687" s="46"/>
      <c r="H687" s="46"/>
      <c r="I687" s="46"/>
      <c r="J687" s="46"/>
      <c r="K687" s="218"/>
      <c r="L687" s="185"/>
      <c r="M687" s="91"/>
      <c r="N687" s="91"/>
      <c r="O687" s="189"/>
      <c r="Q687" s="47" t="s">
        <v>833</v>
      </c>
      <c r="T687" s="46"/>
      <c r="U687" s="46"/>
      <c r="V687" s="46"/>
    </row>
    <row r="688" spans="1:22" s="47" customFormat="1" ht="15.75" x14ac:dyDescent="0.25">
      <c r="A688" s="61"/>
      <c r="C688" s="46"/>
      <c r="D688" s="46"/>
      <c r="E688" s="46"/>
      <c r="F688" s="46"/>
      <c r="G688" s="46"/>
      <c r="H688" s="46"/>
      <c r="I688" s="46"/>
      <c r="J688" s="46"/>
      <c r="K688" s="218"/>
      <c r="L688" s="185"/>
      <c r="M688" s="91"/>
      <c r="N688" s="91"/>
      <c r="O688" s="189"/>
      <c r="Q688" s="47" t="s">
        <v>833</v>
      </c>
      <c r="T688" s="46"/>
      <c r="U688" s="46"/>
      <c r="V688" s="46"/>
    </row>
    <row r="689" spans="1:22" s="47" customFormat="1" ht="15.75" x14ac:dyDescent="0.25">
      <c r="A689" s="61"/>
      <c r="C689" s="46"/>
      <c r="D689" s="46"/>
      <c r="E689" s="46"/>
      <c r="F689" s="46"/>
      <c r="G689" s="46"/>
      <c r="H689" s="46"/>
      <c r="I689" s="46"/>
      <c r="J689" s="46"/>
      <c r="K689" s="218"/>
      <c r="L689" s="185"/>
      <c r="M689" s="91"/>
      <c r="N689" s="91"/>
      <c r="O689" s="189"/>
      <c r="Q689" s="47" t="s">
        <v>833</v>
      </c>
      <c r="T689" s="46"/>
      <c r="U689" s="46"/>
      <c r="V689" s="46"/>
    </row>
    <row r="690" spans="1:22" s="47" customFormat="1" ht="15.75" x14ac:dyDescent="0.25">
      <c r="A690" s="61"/>
      <c r="C690" s="46"/>
      <c r="D690" s="46"/>
      <c r="E690" s="46"/>
      <c r="F690" s="46"/>
      <c r="G690" s="46"/>
      <c r="H690" s="46"/>
      <c r="I690" s="46"/>
      <c r="J690" s="46"/>
      <c r="K690" s="218"/>
      <c r="L690" s="185"/>
      <c r="M690" s="91"/>
      <c r="N690" s="91"/>
      <c r="O690" s="189"/>
      <c r="Q690" s="47" t="s">
        <v>833</v>
      </c>
      <c r="T690" s="46"/>
      <c r="U690" s="46"/>
      <c r="V690" s="46"/>
    </row>
    <row r="691" spans="1:22" s="47" customFormat="1" ht="15.75" x14ac:dyDescent="0.25">
      <c r="A691" s="61"/>
      <c r="C691" s="46"/>
      <c r="D691" s="46"/>
      <c r="E691" s="46"/>
      <c r="F691" s="46"/>
      <c r="G691" s="46"/>
      <c r="H691" s="46"/>
      <c r="I691" s="46"/>
      <c r="J691" s="46"/>
      <c r="K691" s="218"/>
      <c r="L691" s="185"/>
      <c r="M691" s="91"/>
      <c r="N691" s="91"/>
      <c r="O691" s="189"/>
      <c r="Q691" s="47" t="s">
        <v>833</v>
      </c>
      <c r="T691" s="46"/>
      <c r="U691" s="46"/>
      <c r="V691" s="46"/>
    </row>
    <row r="692" spans="1:22" s="47" customFormat="1" ht="15.75" x14ac:dyDescent="0.25">
      <c r="A692" s="61"/>
      <c r="C692" s="46"/>
      <c r="D692" s="46"/>
      <c r="E692" s="46"/>
      <c r="F692" s="46"/>
      <c r="G692" s="46"/>
      <c r="H692" s="46"/>
      <c r="I692" s="46"/>
      <c r="J692" s="46"/>
      <c r="K692" s="218"/>
      <c r="L692" s="185"/>
      <c r="M692" s="91"/>
      <c r="N692" s="91"/>
      <c r="O692" s="189"/>
      <c r="Q692" s="47" t="s">
        <v>833</v>
      </c>
      <c r="T692" s="46"/>
      <c r="U692" s="46"/>
      <c r="V692" s="46"/>
    </row>
    <row r="693" spans="1:22" s="47" customFormat="1" ht="15.75" x14ac:dyDescent="0.25">
      <c r="A693" s="61"/>
      <c r="C693" s="46"/>
      <c r="D693" s="46"/>
      <c r="E693" s="46"/>
      <c r="F693" s="46"/>
      <c r="G693" s="46"/>
      <c r="H693" s="46"/>
      <c r="I693" s="46"/>
      <c r="J693" s="46"/>
      <c r="K693" s="218"/>
      <c r="L693" s="185"/>
      <c r="M693" s="91"/>
      <c r="N693" s="91"/>
      <c r="O693" s="189"/>
      <c r="Q693" s="47" t="s">
        <v>833</v>
      </c>
      <c r="T693" s="46"/>
      <c r="U693" s="46"/>
      <c r="V693" s="46"/>
    </row>
    <row r="694" spans="1:22" s="47" customFormat="1" ht="15.75" x14ac:dyDescent="0.25">
      <c r="A694" s="61"/>
      <c r="C694" s="46"/>
      <c r="D694" s="46"/>
      <c r="E694" s="46"/>
      <c r="F694" s="46"/>
      <c r="G694" s="46"/>
      <c r="H694" s="46"/>
      <c r="I694" s="46"/>
      <c r="J694" s="46"/>
      <c r="K694" s="218"/>
      <c r="L694" s="185"/>
      <c r="M694" s="91"/>
      <c r="N694" s="91"/>
      <c r="O694" s="189"/>
      <c r="Q694" s="47" t="s">
        <v>833</v>
      </c>
      <c r="T694" s="46"/>
      <c r="U694" s="46"/>
      <c r="V694" s="46"/>
    </row>
    <row r="695" spans="1:22" s="47" customFormat="1" ht="15.75" x14ac:dyDescent="0.25">
      <c r="A695" s="61"/>
      <c r="C695" s="46"/>
      <c r="D695" s="46"/>
      <c r="E695" s="46"/>
      <c r="F695" s="46"/>
      <c r="G695" s="46"/>
      <c r="H695" s="46"/>
      <c r="I695" s="46"/>
      <c r="J695" s="46"/>
      <c r="K695" s="218"/>
      <c r="L695" s="185"/>
      <c r="M695" s="91"/>
      <c r="N695" s="91"/>
      <c r="O695" s="189"/>
      <c r="Q695" s="47" t="s">
        <v>833</v>
      </c>
      <c r="T695" s="46"/>
      <c r="U695" s="46"/>
      <c r="V695" s="46"/>
    </row>
    <row r="696" spans="1:22" s="47" customFormat="1" ht="15.75" x14ac:dyDescent="0.25">
      <c r="A696" s="61"/>
      <c r="C696" s="46"/>
      <c r="D696" s="46"/>
      <c r="E696" s="46"/>
      <c r="F696" s="46"/>
      <c r="G696" s="46"/>
      <c r="H696" s="46"/>
      <c r="I696" s="46"/>
      <c r="J696" s="46"/>
      <c r="K696" s="218"/>
      <c r="L696" s="185"/>
      <c r="M696" s="91"/>
      <c r="N696" s="91"/>
      <c r="O696" s="189"/>
      <c r="Q696" s="47" t="s">
        <v>833</v>
      </c>
      <c r="T696" s="46"/>
      <c r="U696" s="46"/>
      <c r="V696" s="46"/>
    </row>
    <row r="697" spans="1:22" s="47" customFormat="1" ht="15.75" x14ac:dyDescent="0.25">
      <c r="A697" s="61"/>
      <c r="C697" s="46"/>
      <c r="D697" s="46"/>
      <c r="E697" s="46"/>
      <c r="F697" s="46"/>
      <c r="G697" s="46"/>
      <c r="H697" s="46"/>
      <c r="I697" s="46"/>
      <c r="J697" s="46"/>
      <c r="K697" s="218"/>
      <c r="L697" s="185"/>
      <c r="M697" s="91"/>
      <c r="N697" s="91"/>
      <c r="O697" s="189"/>
      <c r="Q697" s="47" t="s">
        <v>833</v>
      </c>
      <c r="T697" s="46"/>
      <c r="U697" s="46"/>
      <c r="V697" s="46"/>
    </row>
    <row r="698" spans="1:22" s="47" customFormat="1" ht="15.75" x14ac:dyDescent="0.25">
      <c r="A698" s="61"/>
      <c r="C698" s="46"/>
      <c r="D698" s="46"/>
      <c r="E698" s="46"/>
      <c r="F698" s="46"/>
      <c r="G698" s="46"/>
      <c r="H698" s="46"/>
      <c r="I698" s="46"/>
      <c r="J698" s="46"/>
      <c r="K698" s="218"/>
      <c r="L698" s="185"/>
      <c r="M698" s="91"/>
      <c r="N698" s="91"/>
      <c r="O698" s="189"/>
      <c r="Q698" s="47" t="s">
        <v>833</v>
      </c>
      <c r="T698" s="46"/>
      <c r="U698" s="46"/>
      <c r="V698" s="46"/>
    </row>
    <row r="699" spans="1:22" s="47" customFormat="1" ht="15.75" x14ac:dyDescent="0.25">
      <c r="A699" s="61"/>
      <c r="C699" s="46"/>
      <c r="D699" s="46"/>
      <c r="E699" s="46"/>
      <c r="F699" s="46"/>
      <c r="G699" s="46"/>
      <c r="H699" s="46"/>
      <c r="I699" s="46"/>
      <c r="J699" s="46"/>
      <c r="K699" s="218"/>
      <c r="L699" s="185"/>
      <c r="M699" s="91"/>
      <c r="N699" s="91"/>
      <c r="O699" s="189"/>
      <c r="Q699" s="47" t="s">
        <v>833</v>
      </c>
      <c r="T699" s="46"/>
      <c r="U699" s="46"/>
      <c r="V699" s="46"/>
    </row>
    <row r="700" spans="1:22" s="47" customFormat="1" ht="15.75" x14ac:dyDescent="0.25">
      <c r="A700" s="61"/>
      <c r="C700" s="46"/>
      <c r="D700" s="46"/>
      <c r="E700" s="46"/>
      <c r="F700" s="46"/>
      <c r="G700" s="46"/>
      <c r="H700" s="46"/>
      <c r="I700" s="46"/>
      <c r="J700" s="46"/>
      <c r="K700" s="218"/>
      <c r="L700" s="185"/>
      <c r="M700" s="91"/>
      <c r="N700" s="91"/>
      <c r="O700" s="189"/>
      <c r="Q700" s="47" t="s">
        <v>833</v>
      </c>
      <c r="T700" s="46"/>
      <c r="U700" s="46"/>
      <c r="V700" s="46"/>
    </row>
    <row r="701" spans="1:22" s="47" customFormat="1" ht="15.75" x14ac:dyDescent="0.25">
      <c r="A701" s="61"/>
      <c r="C701" s="46"/>
      <c r="D701" s="46"/>
      <c r="E701" s="46"/>
      <c r="F701" s="46"/>
      <c r="G701" s="46"/>
      <c r="H701" s="46"/>
      <c r="I701" s="46"/>
      <c r="J701" s="46"/>
      <c r="K701" s="218"/>
      <c r="L701" s="185"/>
      <c r="M701" s="91"/>
      <c r="N701" s="91"/>
      <c r="O701" s="189"/>
      <c r="Q701" s="47" t="s">
        <v>833</v>
      </c>
      <c r="T701" s="46"/>
      <c r="U701" s="46"/>
      <c r="V701" s="46"/>
    </row>
    <row r="702" spans="1:22" s="47" customFormat="1" ht="15.75" x14ac:dyDescent="0.25">
      <c r="A702" s="61"/>
      <c r="C702" s="46"/>
      <c r="D702" s="46"/>
      <c r="E702" s="46"/>
      <c r="F702" s="46"/>
      <c r="G702" s="46"/>
      <c r="H702" s="46"/>
      <c r="I702" s="46"/>
      <c r="J702" s="46"/>
      <c r="K702" s="218"/>
      <c r="L702" s="185"/>
      <c r="M702" s="91"/>
      <c r="N702" s="91"/>
      <c r="O702" s="189"/>
      <c r="Q702" s="47" t="s">
        <v>833</v>
      </c>
      <c r="T702" s="46"/>
      <c r="U702" s="46"/>
      <c r="V702" s="46"/>
    </row>
    <row r="703" spans="1:22" s="47" customFormat="1" ht="15.75" x14ac:dyDescent="0.25">
      <c r="A703" s="61"/>
      <c r="C703" s="46"/>
      <c r="D703" s="46"/>
      <c r="E703" s="46"/>
      <c r="F703" s="46"/>
      <c r="G703" s="46"/>
      <c r="H703" s="46"/>
      <c r="I703" s="46"/>
      <c r="J703" s="46"/>
      <c r="K703" s="218"/>
      <c r="L703" s="185"/>
      <c r="M703" s="91"/>
      <c r="N703" s="91"/>
      <c r="O703" s="189"/>
      <c r="Q703" s="47" t="s">
        <v>833</v>
      </c>
      <c r="T703" s="46"/>
      <c r="U703" s="46"/>
      <c r="V703" s="46"/>
    </row>
    <row r="704" spans="1:22" s="47" customFormat="1" ht="15.75" x14ac:dyDescent="0.25">
      <c r="A704" s="61"/>
      <c r="C704" s="46"/>
      <c r="D704" s="46"/>
      <c r="E704" s="46"/>
      <c r="F704" s="46"/>
      <c r="G704" s="46"/>
      <c r="H704" s="46"/>
      <c r="I704" s="46"/>
      <c r="J704" s="46"/>
      <c r="K704" s="218"/>
      <c r="L704" s="185"/>
      <c r="M704" s="91"/>
      <c r="N704" s="91"/>
      <c r="O704" s="189"/>
      <c r="Q704" s="47" t="s">
        <v>833</v>
      </c>
      <c r="T704" s="46"/>
      <c r="U704" s="46"/>
      <c r="V704" s="46"/>
    </row>
    <row r="705" spans="1:22" s="47" customFormat="1" ht="15.75" x14ac:dyDescent="0.25">
      <c r="A705" s="61"/>
      <c r="C705" s="46"/>
      <c r="D705" s="46"/>
      <c r="E705" s="46"/>
      <c r="F705" s="46"/>
      <c r="G705" s="46"/>
      <c r="H705" s="46"/>
      <c r="I705" s="46"/>
      <c r="J705" s="46"/>
      <c r="K705" s="218"/>
      <c r="L705" s="185"/>
      <c r="M705" s="91"/>
      <c r="N705" s="91"/>
      <c r="O705" s="189"/>
      <c r="Q705" s="47" t="s">
        <v>833</v>
      </c>
      <c r="T705" s="46"/>
      <c r="U705" s="46"/>
      <c r="V705" s="46"/>
    </row>
    <row r="706" spans="1:22" s="47" customFormat="1" ht="15.75" x14ac:dyDescent="0.25">
      <c r="A706" s="61"/>
      <c r="C706" s="46"/>
      <c r="D706" s="46"/>
      <c r="E706" s="46"/>
      <c r="F706" s="46"/>
      <c r="G706" s="46"/>
      <c r="H706" s="46"/>
      <c r="I706" s="46"/>
      <c r="J706" s="46"/>
      <c r="K706" s="218"/>
      <c r="L706" s="185"/>
      <c r="M706" s="91"/>
      <c r="N706" s="91"/>
      <c r="O706" s="189"/>
      <c r="Q706" s="47" t="s">
        <v>833</v>
      </c>
      <c r="T706" s="46"/>
      <c r="U706" s="46"/>
      <c r="V706" s="46"/>
    </row>
    <row r="707" spans="1:22" s="47" customFormat="1" ht="15.75" x14ac:dyDescent="0.25">
      <c r="A707" s="61"/>
      <c r="C707" s="46"/>
      <c r="D707" s="46"/>
      <c r="E707" s="46"/>
      <c r="F707" s="46"/>
      <c r="G707" s="46"/>
      <c r="H707" s="46"/>
      <c r="I707" s="46"/>
      <c r="J707" s="46"/>
      <c r="K707" s="218"/>
      <c r="L707" s="185"/>
      <c r="M707" s="91"/>
      <c r="N707" s="91"/>
      <c r="O707" s="189"/>
      <c r="Q707" s="47" t="s">
        <v>833</v>
      </c>
      <c r="T707" s="46"/>
      <c r="U707" s="46"/>
      <c r="V707" s="46"/>
    </row>
    <row r="708" spans="1:22" s="47" customFormat="1" ht="15.75" x14ac:dyDescent="0.25">
      <c r="A708" s="61"/>
      <c r="C708" s="46"/>
      <c r="D708" s="46"/>
      <c r="E708" s="46"/>
      <c r="F708" s="46"/>
      <c r="G708" s="46"/>
      <c r="H708" s="46"/>
      <c r="I708" s="46"/>
      <c r="J708" s="46"/>
      <c r="K708" s="218"/>
      <c r="L708" s="185"/>
      <c r="M708" s="91"/>
      <c r="N708" s="91"/>
      <c r="O708" s="189"/>
      <c r="Q708" s="47" t="s">
        <v>833</v>
      </c>
      <c r="T708" s="46"/>
      <c r="U708" s="46"/>
      <c r="V708" s="46"/>
    </row>
    <row r="709" spans="1:22" s="47" customFormat="1" ht="15.75" x14ac:dyDescent="0.25">
      <c r="A709" s="61"/>
      <c r="C709" s="46"/>
      <c r="D709" s="46"/>
      <c r="E709" s="46"/>
      <c r="F709" s="46"/>
      <c r="G709" s="46"/>
      <c r="H709" s="46"/>
      <c r="I709" s="46"/>
      <c r="J709" s="46"/>
      <c r="K709" s="218"/>
      <c r="L709" s="185"/>
      <c r="M709" s="91"/>
      <c r="N709" s="91"/>
      <c r="O709" s="189"/>
      <c r="Q709" s="47" t="s">
        <v>833</v>
      </c>
      <c r="T709" s="46"/>
      <c r="U709" s="46"/>
      <c r="V709" s="46"/>
    </row>
    <row r="710" spans="1:22" s="47" customFormat="1" ht="15.75" x14ac:dyDescent="0.25">
      <c r="A710" s="61"/>
      <c r="C710" s="46"/>
      <c r="D710" s="46"/>
      <c r="E710" s="46"/>
      <c r="F710" s="46"/>
      <c r="G710" s="46"/>
      <c r="H710" s="46"/>
      <c r="I710" s="46"/>
      <c r="J710" s="46"/>
      <c r="K710" s="218"/>
      <c r="L710" s="185"/>
      <c r="M710" s="91"/>
      <c r="N710" s="91"/>
      <c r="O710" s="189"/>
      <c r="Q710" s="47" t="s">
        <v>833</v>
      </c>
      <c r="T710" s="46"/>
      <c r="U710" s="46"/>
      <c r="V710" s="46"/>
    </row>
    <row r="711" spans="1:22" s="47" customFormat="1" ht="15.75" x14ac:dyDescent="0.25">
      <c r="A711" s="61"/>
      <c r="C711" s="46"/>
      <c r="D711" s="46"/>
      <c r="E711" s="46"/>
      <c r="F711" s="46"/>
      <c r="G711" s="46"/>
      <c r="H711" s="46"/>
      <c r="I711" s="46"/>
      <c r="J711" s="46"/>
      <c r="K711" s="218"/>
      <c r="L711" s="185"/>
      <c r="M711" s="91"/>
      <c r="N711" s="91"/>
      <c r="O711" s="189"/>
      <c r="Q711" s="47" t="s">
        <v>833</v>
      </c>
      <c r="T711" s="46"/>
      <c r="U711" s="46"/>
      <c r="V711" s="46"/>
    </row>
    <row r="712" spans="1:22" s="47" customFormat="1" ht="15.75" x14ac:dyDescent="0.25">
      <c r="A712" s="61"/>
      <c r="C712" s="46"/>
      <c r="D712" s="46"/>
      <c r="E712" s="46"/>
      <c r="F712" s="46"/>
      <c r="G712" s="46"/>
      <c r="H712" s="46"/>
      <c r="I712" s="46"/>
      <c r="J712" s="46"/>
      <c r="K712" s="218"/>
      <c r="L712" s="185"/>
      <c r="M712" s="91"/>
      <c r="N712" s="91"/>
      <c r="O712" s="189"/>
      <c r="Q712" s="47" t="s">
        <v>833</v>
      </c>
      <c r="T712" s="46"/>
      <c r="U712" s="46"/>
      <c r="V712" s="46"/>
    </row>
    <row r="713" spans="1:22" s="47" customFormat="1" ht="15.75" x14ac:dyDescent="0.25">
      <c r="A713" s="61"/>
      <c r="C713" s="46"/>
      <c r="D713" s="46"/>
      <c r="E713" s="46"/>
      <c r="F713" s="46"/>
      <c r="G713" s="46"/>
      <c r="H713" s="46"/>
      <c r="I713" s="46"/>
      <c r="J713" s="46"/>
      <c r="K713" s="218"/>
      <c r="L713" s="185"/>
      <c r="M713" s="91"/>
      <c r="N713" s="91"/>
      <c r="O713" s="189"/>
      <c r="Q713" s="47" t="s">
        <v>833</v>
      </c>
      <c r="T713" s="46"/>
      <c r="U713" s="46"/>
      <c r="V713" s="46"/>
    </row>
    <row r="714" spans="1:22" s="47" customFormat="1" ht="15.75" x14ac:dyDescent="0.25">
      <c r="A714" s="61"/>
      <c r="C714" s="46"/>
      <c r="D714" s="46"/>
      <c r="E714" s="46"/>
      <c r="F714" s="46"/>
      <c r="G714" s="46"/>
      <c r="H714" s="46"/>
      <c r="I714" s="46"/>
      <c r="J714" s="46"/>
      <c r="K714" s="218"/>
      <c r="L714" s="185"/>
      <c r="M714" s="91"/>
      <c r="N714" s="91"/>
      <c r="O714" s="189"/>
      <c r="Q714" s="47" t="s">
        <v>833</v>
      </c>
      <c r="T714" s="46"/>
      <c r="U714" s="46"/>
      <c r="V714" s="46"/>
    </row>
    <row r="715" spans="1:22" s="47" customFormat="1" ht="15.75" x14ac:dyDescent="0.25">
      <c r="A715" s="61"/>
      <c r="C715" s="46"/>
      <c r="D715" s="46"/>
      <c r="E715" s="46"/>
      <c r="F715" s="46"/>
      <c r="G715" s="46"/>
      <c r="H715" s="46"/>
      <c r="I715" s="46"/>
      <c r="J715" s="46"/>
      <c r="K715" s="218"/>
      <c r="L715" s="185"/>
      <c r="M715" s="91"/>
      <c r="N715" s="91"/>
      <c r="O715" s="189"/>
      <c r="Q715" s="47" t="s">
        <v>833</v>
      </c>
      <c r="T715" s="46"/>
      <c r="U715" s="46"/>
      <c r="V715" s="46"/>
    </row>
    <row r="716" spans="1:22" s="47" customFormat="1" ht="15.75" x14ac:dyDescent="0.25">
      <c r="A716" s="61"/>
      <c r="C716" s="46"/>
      <c r="D716" s="46"/>
      <c r="E716" s="46"/>
      <c r="F716" s="46"/>
      <c r="G716" s="46"/>
      <c r="H716" s="46"/>
      <c r="I716" s="46"/>
      <c r="J716" s="46"/>
      <c r="K716" s="218"/>
      <c r="L716" s="185"/>
      <c r="M716" s="91"/>
      <c r="N716" s="91"/>
      <c r="O716" s="189"/>
      <c r="Q716" s="47" t="s">
        <v>833</v>
      </c>
      <c r="T716" s="46"/>
      <c r="U716" s="46"/>
      <c r="V716" s="46"/>
    </row>
    <row r="717" spans="1:22" s="47" customFormat="1" ht="15.75" x14ac:dyDescent="0.25">
      <c r="A717" s="61"/>
      <c r="C717" s="46"/>
      <c r="D717" s="46"/>
      <c r="E717" s="46"/>
      <c r="F717" s="46"/>
      <c r="G717" s="46"/>
      <c r="H717" s="46"/>
      <c r="I717" s="46"/>
      <c r="J717" s="46"/>
      <c r="K717" s="218"/>
      <c r="L717" s="185"/>
      <c r="M717" s="91"/>
      <c r="N717" s="91"/>
      <c r="O717" s="189"/>
      <c r="Q717" s="47" t="s">
        <v>833</v>
      </c>
      <c r="T717" s="46"/>
      <c r="U717" s="46"/>
      <c r="V717" s="46"/>
    </row>
    <row r="718" spans="1:22" s="47" customFormat="1" ht="15.75" x14ac:dyDescent="0.25">
      <c r="A718" s="61"/>
      <c r="C718" s="46"/>
      <c r="D718" s="46"/>
      <c r="E718" s="46"/>
      <c r="F718" s="46"/>
      <c r="G718" s="46"/>
      <c r="H718" s="46"/>
      <c r="I718" s="46"/>
      <c r="J718" s="46"/>
      <c r="K718" s="218"/>
      <c r="L718" s="185"/>
      <c r="M718" s="91"/>
      <c r="N718" s="91"/>
      <c r="O718" s="189"/>
      <c r="Q718" s="47" t="s">
        <v>833</v>
      </c>
      <c r="T718" s="46"/>
      <c r="U718" s="46"/>
      <c r="V718" s="46"/>
    </row>
    <row r="719" spans="1:22" s="47" customFormat="1" ht="15.75" x14ac:dyDescent="0.25">
      <c r="A719" s="61"/>
      <c r="C719" s="46"/>
      <c r="D719" s="46"/>
      <c r="E719" s="46"/>
      <c r="F719" s="46"/>
      <c r="G719" s="46"/>
      <c r="H719" s="46"/>
      <c r="I719" s="46"/>
      <c r="J719" s="46"/>
      <c r="K719" s="218"/>
      <c r="L719" s="185"/>
      <c r="M719" s="91"/>
      <c r="N719" s="91"/>
      <c r="O719" s="189"/>
      <c r="Q719" s="47" t="s">
        <v>833</v>
      </c>
      <c r="T719" s="46"/>
      <c r="U719" s="46"/>
      <c r="V719" s="46"/>
    </row>
    <row r="720" spans="1:22" s="47" customFormat="1" ht="15.75" x14ac:dyDescent="0.25">
      <c r="A720" s="61"/>
      <c r="C720" s="46"/>
      <c r="D720" s="46"/>
      <c r="E720" s="46"/>
      <c r="F720" s="46"/>
      <c r="G720" s="46"/>
      <c r="H720" s="46"/>
      <c r="I720" s="46"/>
      <c r="J720" s="46"/>
      <c r="K720" s="218"/>
      <c r="L720" s="185"/>
      <c r="M720" s="91"/>
      <c r="N720" s="91"/>
      <c r="O720" s="189"/>
      <c r="Q720" s="47" t="s">
        <v>833</v>
      </c>
      <c r="T720" s="46"/>
      <c r="U720" s="46"/>
      <c r="V720" s="46"/>
    </row>
    <row r="721" spans="1:22" s="47" customFormat="1" ht="15.75" x14ac:dyDescent="0.25">
      <c r="A721" s="61"/>
      <c r="C721" s="46"/>
      <c r="D721" s="46"/>
      <c r="E721" s="46"/>
      <c r="F721" s="46"/>
      <c r="G721" s="46"/>
      <c r="H721" s="46"/>
      <c r="I721" s="46"/>
      <c r="J721" s="46"/>
      <c r="K721" s="218"/>
      <c r="L721" s="185"/>
      <c r="M721" s="91"/>
      <c r="N721" s="91"/>
      <c r="O721" s="189"/>
      <c r="Q721" s="47" t="s">
        <v>833</v>
      </c>
      <c r="T721" s="46"/>
      <c r="U721" s="46"/>
      <c r="V721" s="46"/>
    </row>
    <row r="722" spans="1:22" s="47" customFormat="1" ht="15.75" x14ac:dyDescent="0.25">
      <c r="A722" s="61"/>
      <c r="C722" s="46"/>
      <c r="D722" s="46"/>
      <c r="E722" s="46"/>
      <c r="F722" s="46"/>
      <c r="G722" s="46"/>
      <c r="H722" s="46"/>
      <c r="I722" s="46"/>
      <c r="J722" s="46"/>
      <c r="K722" s="218"/>
      <c r="L722" s="185"/>
      <c r="M722" s="91"/>
      <c r="N722" s="91"/>
      <c r="O722" s="189"/>
      <c r="Q722" s="47" t="s">
        <v>833</v>
      </c>
      <c r="T722" s="46"/>
      <c r="U722" s="46"/>
      <c r="V722" s="46"/>
    </row>
    <row r="723" spans="1:22" s="47" customFormat="1" ht="15.75" x14ac:dyDescent="0.25">
      <c r="A723" s="61"/>
      <c r="C723" s="46"/>
      <c r="D723" s="46"/>
      <c r="E723" s="46"/>
      <c r="F723" s="46"/>
      <c r="G723" s="46"/>
      <c r="H723" s="46"/>
      <c r="I723" s="46"/>
      <c r="J723" s="46"/>
      <c r="K723" s="218"/>
      <c r="L723" s="185"/>
      <c r="M723" s="91"/>
      <c r="N723" s="91"/>
      <c r="O723" s="189"/>
      <c r="Q723" s="47" t="s">
        <v>833</v>
      </c>
      <c r="T723" s="46"/>
      <c r="U723" s="46"/>
      <c r="V723" s="46"/>
    </row>
    <row r="724" spans="1:22" s="47" customFormat="1" ht="15.75" x14ac:dyDescent="0.25">
      <c r="A724" s="61"/>
      <c r="C724" s="46"/>
      <c r="D724" s="46"/>
      <c r="E724" s="46"/>
      <c r="F724" s="46"/>
      <c r="G724" s="46"/>
      <c r="H724" s="46"/>
      <c r="I724" s="46"/>
      <c r="J724" s="46"/>
      <c r="K724" s="218"/>
      <c r="L724" s="185"/>
      <c r="M724" s="91"/>
      <c r="N724" s="91"/>
      <c r="O724" s="189"/>
      <c r="Q724" s="47" t="s">
        <v>833</v>
      </c>
      <c r="T724" s="46"/>
      <c r="U724" s="46"/>
      <c r="V724" s="46"/>
    </row>
    <row r="725" spans="1:22" s="47" customFormat="1" ht="15.75" x14ac:dyDescent="0.25">
      <c r="A725" s="61"/>
      <c r="C725" s="46"/>
      <c r="D725" s="46"/>
      <c r="E725" s="46"/>
      <c r="F725" s="46"/>
      <c r="G725" s="46"/>
      <c r="H725" s="46"/>
      <c r="I725" s="46"/>
      <c r="J725" s="46"/>
      <c r="K725" s="218"/>
      <c r="L725" s="185"/>
      <c r="M725" s="91"/>
      <c r="N725" s="91"/>
      <c r="O725" s="189"/>
      <c r="Q725" s="47" t="s">
        <v>833</v>
      </c>
      <c r="T725" s="46"/>
      <c r="U725" s="46"/>
      <c r="V725" s="46"/>
    </row>
    <row r="726" spans="1:22" s="47" customFormat="1" ht="15.75" x14ac:dyDescent="0.25">
      <c r="A726" s="61"/>
      <c r="C726" s="46"/>
      <c r="D726" s="46"/>
      <c r="E726" s="46"/>
      <c r="F726" s="46"/>
      <c r="G726" s="46"/>
      <c r="H726" s="46"/>
      <c r="I726" s="46"/>
      <c r="J726" s="46"/>
      <c r="K726" s="218"/>
      <c r="L726" s="185"/>
      <c r="M726" s="91"/>
      <c r="N726" s="91"/>
      <c r="O726" s="189"/>
      <c r="Q726" s="47" t="s">
        <v>833</v>
      </c>
      <c r="T726" s="46"/>
      <c r="U726" s="46"/>
      <c r="V726" s="46"/>
    </row>
    <row r="727" spans="1:22" s="47" customFormat="1" ht="15.75" x14ac:dyDescent="0.25">
      <c r="A727" s="61"/>
      <c r="C727" s="46"/>
      <c r="D727" s="46"/>
      <c r="E727" s="46"/>
      <c r="F727" s="46"/>
      <c r="G727" s="46"/>
      <c r="H727" s="46"/>
      <c r="I727" s="46"/>
      <c r="J727" s="46"/>
      <c r="K727" s="218"/>
      <c r="L727" s="185"/>
      <c r="M727" s="91"/>
      <c r="N727" s="91"/>
      <c r="O727" s="189"/>
      <c r="Q727" s="47" t="s">
        <v>833</v>
      </c>
      <c r="T727" s="46"/>
      <c r="U727" s="46"/>
      <c r="V727" s="46"/>
    </row>
    <row r="728" spans="1:22" s="47" customFormat="1" ht="15.75" x14ac:dyDescent="0.25">
      <c r="A728" s="61"/>
      <c r="C728" s="46"/>
      <c r="D728" s="46"/>
      <c r="E728" s="46"/>
      <c r="F728" s="46"/>
      <c r="G728" s="46"/>
      <c r="H728" s="46"/>
      <c r="I728" s="46"/>
      <c r="J728" s="46"/>
      <c r="K728" s="218"/>
      <c r="L728" s="185"/>
      <c r="M728" s="91"/>
      <c r="N728" s="91"/>
      <c r="O728" s="189"/>
      <c r="Q728" s="47" t="s">
        <v>833</v>
      </c>
      <c r="T728" s="46"/>
      <c r="U728" s="46"/>
      <c r="V728" s="46"/>
    </row>
    <row r="729" spans="1:22" s="47" customFormat="1" ht="15.75" x14ac:dyDescent="0.25">
      <c r="A729" s="61"/>
      <c r="C729" s="46"/>
      <c r="D729" s="46"/>
      <c r="E729" s="46"/>
      <c r="F729" s="46"/>
      <c r="G729" s="46"/>
      <c r="H729" s="46"/>
      <c r="I729" s="46"/>
      <c r="J729" s="46"/>
      <c r="K729" s="218"/>
      <c r="L729" s="185"/>
      <c r="M729" s="91"/>
      <c r="N729" s="91"/>
      <c r="O729" s="189"/>
      <c r="Q729" s="47" t="s">
        <v>833</v>
      </c>
      <c r="T729" s="46"/>
      <c r="U729" s="46"/>
      <c r="V729" s="46"/>
    </row>
    <row r="730" spans="1:22" s="47" customFormat="1" ht="15.75" x14ac:dyDescent="0.25">
      <c r="A730" s="61"/>
      <c r="C730" s="46"/>
      <c r="D730" s="46"/>
      <c r="E730" s="46"/>
      <c r="F730" s="46"/>
      <c r="G730" s="46"/>
      <c r="H730" s="46"/>
      <c r="I730" s="46"/>
      <c r="J730" s="46"/>
      <c r="K730" s="218"/>
      <c r="L730" s="185"/>
      <c r="M730" s="91"/>
      <c r="N730" s="91"/>
      <c r="O730" s="189"/>
      <c r="Q730" s="47" t="s">
        <v>833</v>
      </c>
      <c r="T730" s="46"/>
      <c r="U730" s="46"/>
      <c r="V730" s="46"/>
    </row>
    <row r="731" spans="1:22" s="47" customFormat="1" ht="15.75" x14ac:dyDescent="0.25">
      <c r="A731" s="61"/>
      <c r="C731" s="46"/>
      <c r="D731" s="46"/>
      <c r="E731" s="46"/>
      <c r="F731" s="46"/>
      <c r="G731" s="46"/>
      <c r="H731" s="46"/>
      <c r="I731" s="46"/>
      <c r="J731" s="46"/>
      <c r="K731" s="218"/>
      <c r="L731" s="185"/>
      <c r="M731" s="91"/>
      <c r="N731" s="91"/>
      <c r="O731" s="189"/>
      <c r="Q731" s="47" t="s">
        <v>833</v>
      </c>
      <c r="T731" s="46"/>
      <c r="U731" s="46"/>
      <c r="V731" s="46"/>
    </row>
    <row r="732" spans="1:22" s="47" customFormat="1" ht="15.75" x14ac:dyDescent="0.25">
      <c r="A732" s="61"/>
      <c r="C732" s="46"/>
      <c r="D732" s="46"/>
      <c r="E732" s="46"/>
      <c r="F732" s="46"/>
      <c r="G732" s="46"/>
      <c r="H732" s="46"/>
      <c r="I732" s="46"/>
      <c r="J732" s="46"/>
      <c r="K732" s="218"/>
      <c r="L732" s="185"/>
      <c r="M732" s="91"/>
      <c r="N732" s="91"/>
      <c r="O732" s="189"/>
      <c r="Q732" s="47" t="s">
        <v>833</v>
      </c>
      <c r="T732" s="46"/>
      <c r="U732" s="46"/>
      <c r="V732" s="46"/>
    </row>
    <row r="733" spans="1:22" s="47" customFormat="1" ht="15.75" x14ac:dyDescent="0.25">
      <c r="A733" s="61"/>
      <c r="C733" s="46"/>
      <c r="D733" s="46"/>
      <c r="E733" s="46"/>
      <c r="F733" s="46"/>
      <c r="G733" s="46"/>
      <c r="H733" s="46"/>
      <c r="I733" s="46"/>
      <c r="J733" s="46"/>
      <c r="K733" s="218"/>
      <c r="L733" s="185"/>
      <c r="M733" s="91"/>
      <c r="N733" s="91"/>
      <c r="O733" s="189"/>
      <c r="Q733" s="47" t="s">
        <v>833</v>
      </c>
      <c r="T733" s="46"/>
      <c r="U733" s="46"/>
      <c r="V733" s="46"/>
    </row>
    <row r="734" spans="1:22" s="47" customFormat="1" ht="15.75" x14ac:dyDescent="0.25">
      <c r="A734" s="61"/>
      <c r="C734" s="46"/>
      <c r="D734" s="46"/>
      <c r="E734" s="46"/>
      <c r="F734" s="46"/>
      <c r="G734" s="46"/>
      <c r="H734" s="46"/>
      <c r="I734" s="46"/>
      <c r="J734" s="46"/>
      <c r="K734" s="218"/>
      <c r="L734" s="185"/>
      <c r="M734" s="91"/>
      <c r="N734" s="91"/>
      <c r="O734" s="189"/>
      <c r="Q734" s="47" t="s">
        <v>833</v>
      </c>
      <c r="T734" s="46"/>
      <c r="U734" s="46"/>
      <c r="V734" s="46"/>
    </row>
    <row r="735" spans="1:22" s="47" customFormat="1" ht="15.75" x14ac:dyDescent="0.25">
      <c r="A735" s="61"/>
      <c r="C735" s="46"/>
      <c r="D735" s="46"/>
      <c r="E735" s="46"/>
      <c r="F735" s="46"/>
      <c r="G735" s="46"/>
      <c r="H735" s="46"/>
      <c r="I735" s="46"/>
      <c r="J735" s="46"/>
      <c r="K735" s="218"/>
      <c r="L735" s="185"/>
      <c r="M735" s="91"/>
      <c r="N735" s="91"/>
      <c r="O735" s="189"/>
      <c r="Q735" s="47" t="s">
        <v>833</v>
      </c>
      <c r="T735" s="46"/>
      <c r="U735" s="46"/>
      <c r="V735" s="46"/>
    </row>
    <row r="736" spans="1:22" s="47" customFormat="1" ht="15.75" x14ac:dyDescent="0.25">
      <c r="A736" s="61"/>
      <c r="C736" s="46"/>
      <c r="D736" s="46"/>
      <c r="E736" s="46"/>
      <c r="F736" s="46"/>
      <c r="G736" s="46"/>
      <c r="H736" s="46"/>
      <c r="I736" s="46"/>
      <c r="J736" s="46"/>
      <c r="K736" s="218"/>
      <c r="L736" s="185"/>
      <c r="M736" s="91"/>
      <c r="N736" s="91"/>
      <c r="O736" s="189"/>
      <c r="Q736" s="47" t="s">
        <v>833</v>
      </c>
      <c r="T736" s="46"/>
      <c r="U736" s="46"/>
      <c r="V736" s="46"/>
    </row>
    <row r="737" spans="1:22" s="47" customFormat="1" ht="15.75" x14ac:dyDescent="0.25">
      <c r="A737" s="61"/>
      <c r="C737" s="46"/>
      <c r="D737" s="46"/>
      <c r="E737" s="46"/>
      <c r="F737" s="46"/>
      <c r="G737" s="46"/>
      <c r="H737" s="46"/>
      <c r="I737" s="46"/>
      <c r="J737" s="46"/>
      <c r="K737" s="218"/>
      <c r="L737" s="185"/>
      <c r="M737" s="91"/>
      <c r="N737" s="91"/>
      <c r="O737" s="189"/>
      <c r="Q737" s="47" t="s">
        <v>833</v>
      </c>
      <c r="T737" s="46"/>
      <c r="U737" s="46"/>
      <c r="V737" s="46"/>
    </row>
    <row r="738" spans="1:22" s="47" customFormat="1" ht="15.75" x14ac:dyDescent="0.25">
      <c r="A738" s="61"/>
      <c r="C738" s="46"/>
      <c r="D738" s="46"/>
      <c r="E738" s="46"/>
      <c r="F738" s="46"/>
      <c r="G738" s="46"/>
      <c r="H738" s="46"/>
      <c r="I738" s="46"/>
      <c r="J738" s="46"/>
      <c r="K738" s="218"/>
      <c r="L738" s="185"/>
      <c r="M738" s="91"/>
      <c r="N738" s="91"/>
      <c r="O738" s="189"/>
      <c r="Q738" s="47" t="s">
        <v>833</v>
      </c>
      <c r="T738" s="46"/>
      <c r="U738" s="46"/>
      <c r="V738" s="46"/>
    </row>
    <row r="739" spans="1:22" s="47" customFormat="1" ht="15.75" x14ac:dyDescent="0.25">
      <c r="A739" s="61"/>
      <c r="C739" s="46"/>
      <c r="D739" s="46"/>
      <c r="E739" s="46"/>
      <c r="F739" s="46"/>
      <c r="G739" s="46"/>
      <c r="H739" s="46"/>
      <c r="I739" s="46"/>
      <c r="J739" s="46"/>
      <c r="K739" s="218"/>
      <c r="L739" s="185"/>
      <c r="M739" s="91"/>
      <c r="N739" s="91"/>
      <c r="O739" s="189"/>
      <c r="Q739" s="47" t="s">
        <v>833</v>
      </c>
      <c r="T739" s="46"/>
      <c r="U739" s="46"/>
      <c r="V739" s="46"/>
    </row>
    <row r="740" spans="1:22" s="47" customFormat="1" ht="15.75" x14ac:dyDescent="0.25">
      <c r="A740" s="61"/>
      <c r="C740" s="46"/>
      <c r="D740" s="46"/>
      <c r="E740" s="46"/>
      <c r="F740" s="46"/>
      <c r="G740" s="46"/>
      <c r="H740" s="46"/>
      <c r="I740" s="46"/>
      <c r="J740" s="46"/>
      <c r="K740" s="218"/>
      <c r="L740" s="185"/>
      <c r="M740" s="91"/>
      <c r="N740" s="91"/>
      <c r="O740" s="189"/>
      <c r="Q740" s="47" t="s">
        <v>833</v>
      </c>
      <c r="T740" s="46"/>
      <c r="U740" s="46"/>
      <c r="V740" s="46"/>
    </row>
    <row r="741" spans="1:22" s="47" customFormat="1" ht="15.75" x14ac:dyDescent="0.25">
      <c r="A741" s="61"/>
      <c r="C741" s="46"/>
      <c r="D741" s="46"/>
      <c r="E741" s="46"/>
      <c r="F741" s="46"/>
      <c r="G741" s="46"/>
      <c r="H741" s="46"/>
      <c r="I741" s="46"/>
      <c r="J741" s="46"/>
      <c r="K741" s="218"/>
      <c r="L741" s="185"/>
      <c r="M741" s="91"/>
      <c r="N741" s="91"/>
      <c r="O741" s="189"/>
      <c r="Q741" s="47" t="s">
        <v>833</v>
      </c>
      <c r="T741" s="46"/>
      <c r="U741" s="46"/>
      <c r="V741" s="46"/>
    </row>
    <row r="742" spans="1:22" s="47" customFormat="1" ht="15.75" x14ac:dyDescent="0.25">
      <c r="A742" s="61"/>
      <c r="C742" s="46"/>
      <c r="D742" s="46"/>
      <c r="E742" s="46"/>
      <c r="F742" s="46"/>
      <c r="G742" s="46"/>
      <c r="H742" s="46"/>
      <c r="I742" s="46"/>
      <c r="J742" s="46"/>
      <c r="K742" s="218"/>
      <c r="L742" s="185"/>
      <c r="M742" s="91"/>
      <c r="N742" s="91"/>
      <c r="O742" s="189"/>
      <c r="Q742" s="47" t="s">
        <v>833</v>
      </c>
      <c r="T742" s="46"/>
      <c r="U742" s="46"/>
      <c r="V742" s="46"/>
    </row>
    <row r="743" spans="1:22" s="47" customFormat="1" ht="15.75" x14ac:dyDescent="0.25">
      <c r="A743" s="61"/>
      <c r="C743" s="46"/>
      <c r="D743" s="46"/>
      <c r="E743" s="46"/>
      <c r="F743" s="46"/>
      <c r="G743" s="46"/>
      <c r="H743" s="46"/>
      <c r="I743" s="46"/>
      <c r="J743" s="46"/>
      <c r="K743" s="218"/>
      <c r="L743" s="185"/>
      <c r="M743" s="91"/>
      <c r="N743" s="91"/>
      <c r="O743" s="189"/>
      <c r="Q743" s="47" t="s">
        <v>833</v>
      </c>
      <c r="T743" s="46"/>
      <c r="U743" s="46"/>
      <c r="V743" s="46"/>
    </row>
    <row r="744" spans="1:22" s="47" customFormat="1" ht="15.75" x14ac:dyDescent="0.25">
      <c r="A744" s="61"/>
      <c r="C744" s="46"/>
      <c r="D744" s="46"/>
      <c r="E744" s="46"/>
      <c r="F744" s="46"/>
      <c r="G744" s="46"/>
      <c r="H744" s="46"/>
      <c r="I744" s="46"/>
      <c r="J744" s="46"/>
      <c r="K744" s="218"/>
      <c r="L744" s="185"/>
      <c r="M744" s="91"/>
      <c r="N744" s="91"/>
      <c r="O744" s="189"/>
      <c r="Q744" s="47" t="s">
        <v>833</v>
      </c>
      <c r="T744" s="46"/>
      <c r="U744" s="46"/>
      <c r="V744" s="46"/>
    </row>
    <row r="745" spans="1:22" s="47" customFormat="1" ht="15.75" x14ac:dyDescent="0.25">
      <c r="A745" s="61"/>
      <c r="C745" s="46"/>
      <c r="D745" s="46"/>
      <c r="E745" s="46"/>
      <c r="F745" s="46"/>
      <c r="G745" s="46"/>
      <c r="H745" s="46"/>
      <c r="I745" s="46"/>
      <c r="J745" s="46"/>
      <c r="K745" s="218"/>
      <c r="L745" s="185"/>
      <c r="M745" s="91"/>
      <c r="N745" s="91"/>
      <c r="O745" s="189"/>
      <c r="Q745" s="47" t="s">
        <v>833</v>
      </c>
      <c r="T745" s="46"/>
      <c r="U745" s="46"/>
      <c r="V745" s="46"/>
    </row>
    <row r="746" spans="1:22" s="47" customFormat="1" ht="15.75" x14ac:dyDescent="0.25">
      <c r="A746" s="61"/>
      <c r="C746" s="46"/>
      <c r="D746" s="46"/>
      <c r="E746" s="46"/>
      <c r="F746" s="46"/>
      <c r="G746" s="46"/>
      <c r="H746" s="46"/>
      <c r="I746" s="46"/>
      <c r="J746" s="46"/>
      <c r="K746" s="218"/>
      <c r="L746" s="185"/>
      <c r="M746" s="91"/>
      <c r="N746" s="91"/>
      <c r="O746" s="189"/>
      <c r="Q746" s="47" t="s">
        <v>833</v>
      </c>
      <c r="T746" s="46"/>
      <c r="U746" s="46"/>
      <c r="V746" s="46"/>
    </row>
    <row r="747" spans="1:22" s="47" customFormat="1" ht="15.75" x14ac:dyDescent="0.25">
      <c r="A747" s="61"/>
      <c r="C747" s="46"/>
      <c r="D747" s="46"/>
      <c r="E747" s="46"/>
      <c r="F747" s="46"/>
      <c r="G747" s="46"/>
      <c r="H747" s="46"/>
      <c r="I747" s="46"/>
      <c r="J747" s="46"/>
      <c r="K747" s="218"/>
      <c r="L747" s="185"/>
      <c r="M747" s="91"/>
      <c r="N747" s="91"/>
      <c r="O747" s="189"/>
      <c r="Q747" s="47" t="s">
        <v>833</v>
      </c>
      <c r="T747" s="46"/>
      <c r="U747" s="46"/>
      <c r="V747" s="46"/>
    </row>
    <row r="748" spans="1:22" s="47" customFormat="1" ht="15.75" x14ac:dyDescent="0.25">
      <c r="A748" s="61"/>
      <c r="C748" s="46"/>
      <c r="D748" s="46"/>
      <c r="E748" s="46"/>
      <c r="F748" s="46"/>
      <c r="G748" s="46"/>
      <c r="H748" s="46"/>
      <c r="I748" s="46"/>
      <c r="J748" s="46"/>
      <c r="K748" s="218"/>
      <c r="L748" s="185"/>
      <c r="M748" s="91"/>
      <c r="N748" s="91"/>
      <c r="O748" s="189"/>
      <c r="Q748" s="47" t="s">
        <v>833</v>
      </c>
      <c r="T748" s="46"/>
      <c r="U748" s="46"/>
      <c r="V748" s="46"/>
    </row>
    <row r="749" spans="1:22" s="47" customFormat="1" ht="15.75" x14ac:dyDescent="0.25">
      <c r="A749" s="61"/>
      <c r="C749" s="46"/>
      <c r="D749" s="46"/>
      <c r="E749" s="46"/>
      <c r="F749" s="46"/>
      <c r="G749" s="46"/>
      <c r="H749" s="46"/>
      <c r="I749" s="46"/>
      <c r="J749" s="46"/>
      <c r="K749" s="218"/>
      <c r="L749" s="185"/>
      <c r="M749" s="91"/>
      <c r="N749" s="91"/>
      <c r="O749" s="189"/>
      <c r="Q749" s="47" t="s">
        <v>833</v>
      </c>
      <c r="T749" s="46"/>
      <c r="U749" s="46"/>
      <c r="V749" s="46"/>
    </row>
    <row r="750" spans="1:22" s="47" customFormat="1" ht="15.75" x14ac:dyDescent="0.25">
      <c r="A750" s="61"/>
      <c r="C750" s="46"/>
      <c r="D750" s="46"/>
      <c r="E750" s="46"/>
      <c r="F750" s="46"/>
      <c r="G750" s="46"/>
      <c r="H750" s="46"/>
      <c r="I750" s="46"/>
      <c r="J750" s="46"/>
      <c r="K750" s="218"/>
      <c r="L750" s="185"/>
      <c r="M750" s="91"/>
      <c r="N750" s="91"/>
      <c r="O750" s="189"/>
      <c r="Q750" s="47" t="s">
        <v>833</v>
      </c>
      <c r="T750" s="46"/>
      <c r="U750" s="46"/>
      <c r="V750" s="46"/>
    </row>
    <row r="751" spans="1:22" s="47" customFormat="1" ht="15.75" x14ac:dyDescent="0.25">
      <c r="A751" s="61"/>
      <c r="C751" s="46"/>
      <c r="D751" s="46"/>
      <c r="E751" s="46"/>
      <c r="F751" s="46"/>
      <c r="G751" s="46"/>
      <c r="H751" s="46"/>
      <c r="I751" s="46"/>
      <c r="J751" s="46"/>
      <c r="K751" s="218"/>
      <c r="L751" s="185"/>
      <c r="M751" s="91"/>
      <c r="N751" s="91"/>
      <c r="O751" s="189"/>
      <c r="Q751" s="47" t="s">
        <v>833</v>
      </c>
      <c r="T751" s="46"/>
      <c r="U751" s="46"/>
      <c r="V751" s="46"/>
    </row>
    <row r="752" spans="1:22" s="47" customFormat="1" ht="15.75" x14ac:dyDescent="0.25">
      <c r="A752" s="61"/>
      <c r="C752" s="46"/>
      <c r="D752" s="46"/>
      <c r="E752" s="46"/>
      <c r="F752" s="46"/>
      <c r="G752" s="46"/>
      <c r="H752" s="46"/>
      <c r="I752" s="46"/>
      <c r="J752" s="46"/>
      <c r="K752" s="218"/>
      <c r="L752" s="185"/>
      <c r="M752" s="91"/>
      <c r="N752" s="91"/>
      <c r="O752" s="189"/>
      <c r="Q752" s="47" t="s">
        <v>833</v>
      </c>
      <c r="T752" s="46"/>
      <c r="U752" s="46"/>
      <c r="V752" s="46"/>
    </row>
    <row r="753" spans="1:22" s="47" customFormat="1" ht="15.75" x14ac:dyDescent="0.25">
      <c r="A753" s="61"/>
      <c r="C753" s="46"/>
      <c r="D753" s="46"/>
      <c r="E753" s="46"/>
      <c r="F753" s="46"/>
      <c r="G753" s="46"/>
      <c r="H753" s="46"/>
      <c r="I753" s="46"/>
      <c r="J753" s="46"/>
      <c r="K753" s="218"/>
      <c r="L753" s="185"/>
      <c r="M753" s="91"/>
      <c r="N753" s="91"/>
      <c r="O753" s="189"/>
      <c r="Q753" s="47" t="s">
        <v>833</v>
      </c>
      <c r="T753" s="46"/>
      <c r="U753" s="46"/>
      <c r="V753" s="46"/>
    </row>
    <row r="754" spans="1:22" s="47" customFormat="1" ht="15.75" x14ac:dyDescent="0.25">
      <c r="A754" s="61"/>
      <c r="C754" s="46"/>
      <c r="D754" s="46"/>
      <c r="E754" s="46"/>
      <c r="F754" s="46"/>
      <c r="G754" s="46"/>
      <c r="H754" s="46"/>
      <c r="I754" s="46"/>
      <c r="J754" s="46"/>
      <c r="K754" s="218"/>
      <c r="L754" s="185"/>
      <c r="M754" s="91"/>
      <c r="N754" s="91"/>
      <c r="O754" s="189"/>
      <c r="Q754" s="47" t="s">
        <v>833</v>
      </c>
      <c r="T754" s="46"/>
      <c r="U754" s="46"/>
      <c r="V754" s="46"/>
    </row>
    <row r="755" spans="1:22" s="47" customFormat="1" ht="15.75" x14ac:dyDescent="0.25">
      <c r="A755" s="61"/>
      <c r="C755" s="46"/>
      <c r="D755" s="46"/>
      <c r="E755" s="46"/>
      <c r="F755" s="46"/>
      <c r="G755" s="46"/>
      <c r="H755" s="46"/>
      <c r="I755" s="46"/>
      <c r="J755" s="46"/>
      <c r="K755" s="218"/>
      <c r="L755" s="185"/>
      <c r="M755" s="91"/>
      <c r="N755" s="91"/>
      <c r="O755" s="189"/>
      <c r="Q755" s="47" t="s">
        <v>833</v>
      </c>
      <c r="T755" s="46"/>
      <c r="U755" s="46"/>
      <c r="V755" s="46"/>
    </row>
    <row r="756" spans="1:22" s="47" customFormat="1" ht="15.75" x14ac:dyDescent="0.25">
      <c r="A756" s="61"/>
      <c r="C756" s="46"/>
      <c r="D756" s="46"/>
      <c r="E756" s="46"/>
      <c r="F756" s="46"/>
      <c r="G756" s="46"/>
      <c r="H756" s="46"/>
      <c r="I756" s="46"/>
      <c r="J756" s="46"/>
      <c r="K756" s="218"/>
      <c r="L756" s="185"/>
      <c r="M756" s="91"/>
      <c r="N756" s="91"/>
      <c r="O756" s="189"/>
      <c r="Q756" s="47" t="s">
        <v>833</v>
      </c>
      <c r="T756" s="46"/>
      <c r="U756" s="46"/>
      <c r="V756" s="46"/>
    </row>
    <row r="757" spans="1:22" s="47" customFormat="1" ht="15.75" x14ac:dyDescent="0.25">
      <c r="A757" s="61"/>
      <c r="C757" s="46"/>
      <c r="D757" s="46"/>
      <c r="E757" s="46"/>
      <c r="F757" s="46"/>
      <c r="G757" s="46"/>
      <c r="H757" s="46"/>
      <c r="I757" s="46"/>
      <c r="J757" s="46"/>
      <c r="K757" s="218"/>
      <c r="L757" s="185"/>
      <c r="M757" s="91"/>
      <c r="N757" s="91"/>
      <c r="O757" s="189"/>
      <c r="Q757" s="47" t="s">
        <v>833</v>
      </c>
      <c r="T757" s="46"/>
      <c r="U757" s="46"/>
      <c r="V757" s="46"/>
    </row>
    <row r="758" spans="1:22" s="47" customFormat="1" ht="15.75" x14ac:dyDescent="0.25">
      <c r="A758" s="61"/>
      <c r="C758" s="46"/>
      <c r="D758" s="46"/>
      <c r="E758" s="46"/>
      <c r="F758" s="46"/>
      <c r="G758" s="46"/>
      <c r="H758" s="46"/>
      <c r="I758" s="46"/>
      <c r="J758" s="46"/>
      <c r="K758" s="218"/>
      <c r="L758" s="185"/>
      <c r="M758" s="91"/>
      <c r="N758" s="91"/>
      <c r="O758" s="189"/>
      <c r="Q758" s="47" t="s">
        <v>833</v>
      </c>
      <c r="T758" s="46"/>
      <c r="U758" s="46"/>
      <c r="V758" s="46"/>
    </row>
    <row r="759" spans="1:22" s="47" customFormat="1" ht="15.75" x14ac:dyDescent="0.25">
      <c r="A759" s="61"/>
      <c r="C759" s="46"/>
      <c r="D759" s="46"/>
      <c r="E759" s="46"/>
      <c r="F759" s="46"/>
      <c r="G759" s="46"/>
      <c r="H759" s="46"/>
      <c r="I759" s="46"/>
      <c r="J759" s="46"/>
      <c r="K759" s="218"/>
      <c r="L759" s="185"/>
      <c r="M759" s="91"/>
      <c r="N759" s="91"/>
      <c r="O759" s="189"/>
      <c r="Q759" s="47" t="s">
        <v>833</v>
      </c>
      <c r="T759" s="46"/>
      <c r="U759" s="46"/>
      <c r="V759" s="46"/>
    </row>
    <row r="760" spans="1:22" s="47" customFormat="1" ht="15.75" x14ac:dyDescent="0.25">
      <c r="A760" s="61"/>
      <c r="C760" s="46"/>
      <c r="D760" s="46"/>
      <c r="E760" s="46"/>
      <c r="F760" s="46"/>
      <c r="G760" s="46"/>
      <c r="H760" s="46"/>
      <c r="I760" s="46"/>
      <c r="J760" s="46"/>
      <c r="K760" s="218"/>
      <c r="L760" s="185"/>
      <c r="M760" s="91"/>
      <c r="N760" s="91"/>
      <c r="O760" s="189"/>
      <c r="Q760" s="47" t="s">
        <v>833</v>
      </c>
      <c r="T760" s="46"/>
      <c r="U760" s="46"/>
      <c r="V760" s="46"/>
    </row>
    <row r="761" spans="1:22" s="47" customFormat="1" ht="15.75" x14ac:dyDescent="0.25">
      <c r="A761" s="61"/>
      <c r="C761" s="46"/>
      <c r="D761" s="46"/>
      <c r="E761" s="46"/>
      <c r="F761" s="46"/>
      <c r="G761" s="46"/>
      <c r="H761" s="46"/>
      <c r="I761" s="46"/>
      <c r="J761" s="46"/>
      <c r="K761" s="218"/>
      <c r="L761" s="185"/>
      <c r="M761" s="91"/>
      <c r="N761" s="91"/>
      <c r="O761" s="189"/>
      <c r="Q761" s="47" t="s">
        <v>833</v>
      </c>
      <c r="T761" s="46"/>
      <c r="U761" s="46"/>
      <c r="V761" s="46"/>
    </row>
    <row r="762" spans="1:22" s="47" customFormat="1" ht="15.75" x14ac:dyDescent="0.25">
      <c r="A762" s="61"/>
      <c r="C762" s="46"/>
      <c r="D762" s="46"/>
      <c r="E762" s="46"/>
      <c r="F762" s="46"/>
      <c r="G762" s="46"/>
      <c r="H762" s="46"/>
      <c r="I762" s="46"/>
      <c r="J762" s="46"/>
      <c r="K762" s="218"/>
      <c r="L762" s="185"/>
      <c r="M762" s="91"/>
      <c r="N762" s="91"/>
      <c r="O762" s="189"/>
      <c r="Q762" s="47" t="s">
        <v>833</v>
      </c>
      <c r="T762" s="46"/>
      <c r="U762" s="46"/>
      <c r="V762" s="46"/>
    </row>
    <row r="763" spans="1:22" s="47" customFormat="1" ht="15.75" x14ac:dyDescent="0.25">
      <c r="A763" s="61"/>
      <c r="C763" s="46"/>
      <c r="D763" s="46"/>
      <c r="E763" s="46"/>
      <c r="F763" s="46"/>
      <c r="G763" s="46"/>
      <c r="H763" s="46"/>
      <c r="I763" s="46"/>
      <c r="J763" s="46"/>
      <c r="K763" s="218"/>
      <c r="L763" s="185"/>
      <c r="M763" s="91"/>
      <c r="N763" s="91"/>
      <c r="O763" s="189"/>
      <c r="Q763" s="47" t="s">
        <v>833</v>
      </c>
      <c r="T763" s="46"/>
      <c r="U763" s="46"/>
      <c r="V763" s="46"/>
    </row>
    <row r="764" spans="1:22" s="47" customFormat="1" ht="15.75" x14ac:dyDescent="0.25">
      <c r="A764" s="61"/>
      <c r="C764" s="46"/>
      <c r="D764" s="46"/>
      <c r="E764" s="46"/>
      <c r="F764" s="46"/>
      <c r="G764" s="46"/>
      <c r="H764" s="46"/>
      <c r="I764" s="46"/>
      <c r="J764" s="46"/>
      <c r="K764" s="218"/>
      <c r="L764" s="185"/>
      <c r="M764" s="91"/>
      <c r="N764" s="91"/>
      <c r="O764" s="189"/>
      <c r="Q764" s="47" t="s">
        <v>833</v>
      </c>
      <c r="T764" s="46"/>
      <c r="U764" s="46"/>
      <c r="V764" s="46"/>
    </row>
    <row r="765" spans="1:22" s="47" customFormat="1" ht="15.75" x14ac:dyDescent="0.25">
      <c r="A765" s="61"/>
      <c r="C765" s="46"/>
      <c r="D765" s="46"/>
      <c r="E765" s="46"/>
      <c r="F765" s="46"/>
      <c r="G765" s="46"/>
      <c r="H765" s="46"/>
      <c r="I765" s="46"/>
      <c r="J765" s="46"/>
      <c r="K765" s="218"/>
      <c r="L765" s="185"/>
      <c r="M765" s="91"/>
      <c r="N765" s="91"/>
      <c r="O765" s="189"/>
      <c r="Q765" s="47" t="s">
        <v>833</v>
      </c>
      <c r="T765" s="46"/>
      <c r="U765" s="46"/>
      <c r="V765" s="46"/>
    </row>
    <row r="766" spans="1:22" s="47" customFormat="1" ht="15.75" x14ac:dyDescent="0.25">
      <c r="A766" s="61"/>
      <c r="C766" s="46"/>
      <c r="D766" s="46"/>
      <c r="E766" s="46"/>
      <c r="F766" s="46"/>
      <c r="G766" s="46"/>
      <c r="H766" s="46"/>
      <c r="I766" s="46"/>
      <c r="J766" s="46"/>
      <c r="K766" s="218"/>
      <c r="L766" s="185"/>
      <c r="M766" s="91"/>
      <c r="N766" s="91"/>
      <c r="O766" s="189"/>
      <c r="Q766" s="47" t="s">
        <v>833</v>
      </c>
      <c r="T766" s="46"/>
      <c r="U766" s="46"/>
      <c r="V766" s="46"/>
    </row>
    <row r="767" spans="1:22" s="47" customFormat="1" ht="15.75" x14ac:dyDescent="0.25">
      <c r="A767" s="61"/>
      <c r="C767" s="46"/>
      <c r="D767" s="46"/>
      <c r="E767" s="46"/>
      <c r="F767" s="46"/>
      <c r="G767" s="46"/>
      <c r="H767" s="46"/>
      <c r="I767" s="46"/>
      <c r="J767" s="46"/>
      <c r="K767" s="218"/>
      <c r="L767" s="185"/>
      <c r="M767" s="91"/>
      <c r="N767" s="91"/>
      <c r="O767" s="189"/>
      <c r="Q767" s="47" t="s">
        <v>833</v>
      </c>
      <c r="T767" s="46"/>
      <c r="U767" s="46"/>
      <c r="V767" s="46"/>
    </row>
    <row r="768" spans="1:22" s="47" customFormat="1" ht="15.75" x14ac:dyDescent="0.25">
      <c r="A768" s="61"/>
      <c r="C768" s="46"/>
      <c r="D768" s="46"/>
      <c r="E768" s="46"/>
      <c r="F768" s="46"/>
      <c r="G768" s="46"/>
      <c r="H768" s="46"/>
      <c r="I768" s="46"/>
      <c r="J768" s="46"/>
      <c r="K768" s="218"/>
      <c r="L768" s="185"/>
      <c r="M768" s="91"/>
      <c r="N768" s="91"/>
      <c r="O768" s="189"/>
      <c r="Q768" s="47" t="s">
        <v>833</v>
      </c>
      <c r="T768" s="46"/>
      <c r="U768" s="46"/>
      <c r="V768" s="46"/>
    </row>
    <row r="769" spans="1:22" s="47" customFormat="1" ht="15.75" x14ac:dyDescent="0.25">
      <c r="A769" s="61"/>
      <c r="C769" s="46"/>
      <c r="D769" s="46"/>
      <c r="E769" s="46"/>
      <c r="F769" s="46"/>
      <c r="G769" s="46"/>
      <c r="H769" s="46"/>
      <c r="I769" s="46"/>
      <c r="J769" s="46"/>
      <c r="K769" s="218"/>
      <c r="L769" s="185"/>
      <c r="M769" s="91"/>
      <c r="N769" s="91"/>
      <c r="O769" s="189"/>
      <c r="Q769" s="47" t="s">
        <v>833</v>
      </c>
      <c r="T769" s="46"/>
      <c r="U769" s="46"/>
      <c r="V769" s="46"/>
    </row>
    <row r="770" spans="1:22" s="47" customFormat="1" ht="15.75" x14ac:dyDescent="0.25">
      <c r="A770" s="61"/>
      <c r="C770" s="46"/>
      <c r="D770" s="46"/>
      <c r="E770" s="46"/>
      <c r="F770" s="46"/>
      <c r="G770" s="46"/>
      <c r="H770" s="46"/>
      <c r="I770" s="46"/>
      <c r="J770" s="46"/>
      <c r="K770" s="218"/>
      <c r="L770" s="185"/>
      <c r="M770" s="91"/>
      <c r="N770" s="91"/>
      <c r="O770" s="189"/>
      <c r="Q770" s="47" t="s">
        <v>833</v>
      </c>
      <c r="T770" s="46"/>
      <c r="U770" s="46"/>
      <c r="V770" s="46"/>
    </row>
    <row r="771" spans="1:22" s="47" customFormat="1" ht="15.75" x14ac:dyDescent="0.25">
      <c r="A771" s="61"/>
      <c r="C771" s="46"/>
      <c r="D771" s="46"/>
      <c r="E771" s="46"/>
      <c r="F771" s="46"/>
      <c r="G771" s="46"/>
      <c r="H771" s="46"/>
      <c r="I771" s="46"/>
      <c r="J771" s="46"/>
      <c r="K771" s="218"/>
      <c r="L771" s="185"/>
      <c r="M771" s="91"/>
      <c r="N771" s="91"/>
      <c r="O771" s="189"/>
      <c r="Q771" s="47" t="s">
        <v>833</v>
      </c>
      <c r="T771" s="46"/>
      <c r="U771" s="46"/>
      <c r="V771" s="46"/>
    </row>
    <row r="772" spans="1:22" s="47" customFormat="1" ht="15.75" x14ac:dyDescent="0.25">
      <c r="A772" s="61"/>
      <c r="C772" s="46"/>
      <c r="D772" s="46"/>
      <c r="E772" s="46"/>
      <c r="F772" s="46"/>
      <c r="G772" s="46"/>
      <c r="H772" s="46"/>
      <c r="I772" s="46"/>
      <c r="J772" s="46"/>
      <c r="K772" s="218"/>
      <c r="L772" s="185"/>
      <c r="M772" s="91"/>
      <c r="N772" s="91"/>
      <c r="O772" s="189"/>
      <c r="Q772" s="47" t="s">
        <v>833</v>
      </c>
      <c r="T772" s="46"/>
      <c r="U772" s="46"/>
      <c r="V772" s="46"/>
    </row>
    <row r="773" spans="1:22" s="47" customFormat="1" ht="15.75" x14ac:dyDescent="0.25">
      <c r="A773" s="61"/>
      <c r="C773" s="46"/>
      <c r="D773" s="46"/>
      <c r="E773" s="46"/>
      <c r="F773" s="46"/>
      <c r="G773" s="46"/>
      <c r="H773" s="46"/>
      <c r="I773" s="46"/>
      <c r="J773" s="46"/>
      <c r="K773" s="218"/>
      <c r="L773" s="185"/>
      <c r="M773" s="91"/>
      <c r="N773" s="91"/>
      <c r="O773" s="189"/>
      <c r="Q773" s="47" t="s">
        <v>833</v>
      </c>
      <c r="T773" s="46"/>
      <c r="U773" s="46"/>
      <c r="V773" s="46"/>
    </row>
    <row r="774" spans="1:22" s="47" customFormat="1" ht="15.75" x14ac:dyDescent="0.25">
      <c r="A774" s="61"/>
      <c r="C774" s="46"/>
      <c r="D774" s="46"/>
      <c r="E774" s="46"/>
      <c r="F774" s="46"/>
      <c r="G774" s="46"/>
      <c r="H774" s="46"/>
      <c r="I774" s="46"/>
      <c r="J774" s="46"/>
      <c r="K774" s="218"/>
      <c r="L774" s="185"/>
      <c r="M774" s="91"/>
      <c r="N774" s="91"/>
      <c r="O774" s="189"/>
      <c r="Q774" s="47" t="s">
        <v>833</v>
      </c>
      <c r="T774" s="46"/>
      <c r="U774" s="46"/>
      <c r="V774" s="46"/>
    </row>
    <row r="775" spans="1:22" s="47" customFormat="1" ht="15.75" x14ac:dyDescent="0.25">
      <c r="A775" s="61"/>
      <c r="C775" s="46"/>
      <c r="D775" s="46"/>
      <c r="E775" s="46"/>
      <c r="F775" s="46"/>
      <c r="G775" s="46"/>
      <c r="H775" s="46"/>
      <c r="I775" s="46"/>
      <c r="J775" s="46"/>
      <c r="K775" s="218"/>
      <c r="L775" s="185"/>
      <c r="M775" s="91"/>
      <c r="N775" s="91"/>
      <c r="O775" s="189"/>
      <c r="Q775" s="47" t="s">
        <v>833</v>
      </c>
      <c r="T775" s="46"/>
      <c r="U775" s="46"/>
      <c r="V775" s="46"/>
    </row>
    <row r="776" spans="1:22" s="47" customFormat="1" ht="15.75" x14ac:dyDescent="0.25">
      <c r="A776" s="61"/>
      <c r="C776" s="46"/>
      <c r="D776" s="46"/>
      <c r="E776" s="46"/>
      <c r="F776" s="46"/>
      <c r="G776" s="46"/>
      <c r="H776" s="46"/>
      <c r="I776" s="46"/>
      <c r="J776" s="46"/>
      <c r="K776" s="218"/>
      <c r="L776" s="185"/>
      <c r="M776" s="91"/>
      <c r="N776" s="91"/>
      <c r="O776" s="189"/>
      <c r="Q776" s="47" t="s">
        <v>833</v>
      </c>
      <c r="T776" s="46"/>
      <c r="U776" s="46"/>
      <c r="V776" s="46"/>
    </row>
    <row r="777" spans="1:22" s="47" customFormat="1" ht="15.75" x14ac:dyDescent="0.25">
      <c r="A777" s="61"/>
      <c r="C777" s="46"/>
      <c r="D777" s="46"/>
      <c r="E777" s="46"/>
      <c r="F777" s="46"/>
      <c r="G777" s="46"/>
      <c r="H777" s="46"/>
      <c r="I777" s="46"/>
      <c r="J777" s="46"/>
      <c r="K777" s="218"/>
      <c r="L777" s="185"/>
      <c r="M777" s="91"/>
      <c r="N777" s="91"/>
      <c r="O777" s="189"/>
      <c r="Q777" s="47" t="s">
        <v>833</v>
      </c>
      <c r="T777" s="46"/>
      <c r="U777" s="46"/>
      <c r="V777" s="46"/>
    </row>
    <row r="778" spans="1:22" s="47" customFormat="1" ht="15.75" x14ac:dyDescent="0.25">
      <c r="A778" s="61"/>
      <c r="C778" s="46"/>
      <c r="D778" s="46"/>
      <c r="E778" s="46"/>
      <c r="F778" s="46"/>
      <c r="G778" s="46"/>
      <c r="H778" s="46"/>
      <c r="I778" s="46"/>
      <c r="J778" s="46"/>
      <c r="K778" s="218"/>
      <c r="L778" s="185"/>
      <c r="M778" s="91"/>
      <c r="N778" s="91"/>
      <c r="O778" s="189"/>
      <c r="Q778" s="47" t="s">
        <v>833</v>
      </c>
      <c r="T778" s="46"/>
      <c r="U778" s="46"/>
      <c r="V778" s="46"/>
    </row>
    <row r="779" spans="1:22" s="47" customFormat="1" ht="15.75" x14ac:dyDescent="0.25">
      <c r="A779" s="61"/>
      <c r="C779" s="46"/>
      <c r="D779" s="46"/>
      <c r="E779" s="46"/>
      <c r="F779" s="46"/>
      <c r="G779" s="46"/>
      <c r="H779" s="46"/>
      <c r="I779" s="46"/>
      <c r="J779" s="46"/>
      <c r="K779" s="218"/>
      <c r="L779" s="185"/>
      <c r="M779" s="91"/>
      <c r="N779" s="91"/>
      <c r="O779" s="189"/>
      <c r="Q779" s="47" t="s">
        <v>833</v>
      </c>
      <c r="T779" s="46"/>
      <c r="U779" s="46"/>
      <c r="V779" s="46"/>
    </row>
    <row r="780" spans="1:22" s="47" customFormat="1" ht="15.75" x14ac:dyDescent="0.25">
      <c r="A780" s="61"/>
      <c r="C780" s="46"/>
      <c r="D780" s="46"/>
      <c r="E780" s="46"/>
      <c r="F780" s="46"/>
      <c r="G780" s="46"/>
      <c r="H780" s="46"/>
      <c r="I780" s="46"/>
      <c r="J780" s="46"/>
      <c r="K780" s="218"/>
      <c r="L780" s="185"/>
      <c r="M780" s="91"/>
      <c r="N780" s="91"/>
      <c r="O780" s="189"/>
      <c r="Q780" s="47" t="s">
        <v>833</v>
      </c>
      <c r="T780" s="46"/>
      <c r="U780" s="46"/>
      <c r="V780" s="46"/>
    </row>
    <row r="781" spans="1:22" s="47" customFormat="1" ht="15.75" x14ac:dyDescent="0.25">
      <c r="A781" s="61"/>
      <c r="C781" s="46"/>
      <c r="D781" s="46"/>
      <c r="E781" s="46"/>
      <c r="F781" s="46"/>
      <c r="G781" s="46"/>
      <c r="H781" s="46"/>
      <c r="I781" s="46"/>
      <c r="J781" s="46"/>
      <c r="K781" s="218"/>
      <c r="L781" s="185"/>
      <c r="M781" s="91"/>
      <c r="N781" s="91"/>
      <c r="O781" s="189"/>
      <c r="Q781" s="47" t="s">
        <v>833</v>
      </c>
      <c r="T781" s="46"/>
      <c r="U781" s="46"/>
      <c r="V781" s="46"/>
    </row>
    <row r="782" spans="1:22" s="47" customFormat="1" ht="15.75" x14ac:dyDescent="0.25">
      <c r="A782" s="61"/>
      <c r="C782" s="46"/>
      <c r="D782" s="46"/>
      <c r="E782" s="46"/>
      <c r="F782" s="46"/>
      <c r="G782" s="46"/>
      <c r="H782" s="46"/>
      <c r="I782" s="46"/>
      <c r="J782" s="46"/>
      <c r="K782" s="218"/>
      <c r="L782" s="185"/>
      <c r="M782" s="91"/>
      <c r="N782" s="91"/>
      <c r="O782" s="189"/>
      <c r="Q782" s="47" t="s">
        <v>833</v>
      </c>
      <c r="T782" s="46"/>
      <c r="U782" s="46"/>
      <c r="V782" s="46"/>
    </row>
    <row r="783" spans="1:22" s="47" customFormat="1" ht="15.75" x14ac:dyDescent="0.25">
      <c r="A783" s="61"/>
      <c r="C783" s="46"/>
      <c r="D783" s="46"/>
      <c r="E783" s="46"/>
      <c r="F783" s="46"/>
      <c r="G783" s="46"/>
      <c r="H783" s="46"/>
      <c r="I783" s="46"/>
      <c r="J783" s="46"/>
      <c r="K783" s="218"/>
      <c r="L783" s="185"/>
      <c r="M783" s="91"/>
      <c r="N783" s="91"/>
      <c r="O783" s="189"/>
      <c r="Q783" s="47" t="s">
        <v>833</v>
      </c>
      <c r="T783" s="46"/>
      <c r="U783" s="46"/>
      <c r="V783" s="46"/>
    </row>
    <row r="784" spans="1:22" s="47" customFormat="1" ht="15.75" x14ac:dyDescent="0.25">
      <c r="A784" s="61"/>
      <c r="C784" s="46"/>
      <c r="D784" s="46"/>
      <c r="E784" s="46"/>
      <c r="F784" s="46"/>
      <c r="G784" s="46"/>
      <c r="H784" s="46"/>
      <c r="I784" s="46"/>
      <c r="J784" s="46"/>
      <c r="K784" s="218"/>
      <c r="L784" s="185"/>
      <c r="M784" s="91"/>
      <c r="N784" s="91"/>
      <c r="O784" s="189"/>
      <c r="Q784" s="47" t="s">
        <v>833</v>
      </c>
      <c r="T784" s="46"/>
      <c r="U784" s="46"/>
      <c r="V784" s="46"/>
    </row>
    <row r="785" spans="1:22" s="47" customFormat="1" ht="15.75" x14ac:dyDescent="0.25">
      <c r="A785" s="61"/>
      <c r="C785" s="46"/>
      <c r="D785" s="46"/>
      <c r="E785" s="46"/>
      <c r="F785" s="46"/>
      <c r="G785" s="46"/>
      <c r="H785" s="46"/>
      <c r="I785" s="46"/>
      <c r="J785" s="46"/>
      <c r="K785" s="218"/>
      <c r="L785" s="185"/>
      <c r="M785" s="91"/>
      <c r="N785" s="91"/>
      <c r="O785" s="189"/>
      <c r="Q785" s="47" t="s">
        <v>833</v>
      </c>
      <c r="T785" s="46"/>
      <c r="U785" s="46"/>
      <c r="V785" s="46"/>
    </row>
    <row r="786" spans="1:22" s="47" customFormat="1" ht="15.75" x14ac:dyDescent="0.25">
      <c r="A786" s="61"/>
      <c r="C786" s="46"/>
      <c r="D786" s="46"/>
      <c r="E786" s="46"/>
      <c r="F786" s="46"/>
      <c r="G786" s="46"/>
      <c r="H786" s="46"/>
      <c r="I786" s="46"/>
      <c r="J786" s="46"/>
      <c r="K786" s="218"/>
      <c r="L786" s="185"/>
      <c r="M786" s="91"/>
      <c r="N786" s="91"/>
      <c r="O786" s="189"/>
      <c r="Q786" s="47" t="s">
        <v>833</v>
      </c>
      <c r="T786" s="46"/>
      <c r="U786" s="46"/>
      <c r="V786" s="46"/>
    </row>
    <row r="787" spans="1:22" s="47" customFormat="1" ht="15.75" x14ac:dyDescent="0.25">
      <c r="A787" s="61"/>
      <c r="C787" s="46"/>
      <c r="D787" s="46"/>
      <c r="E787" s="46"/>
      <c r="F787" s="46"/>
      <c r="G787" s="46"/>
      <c r="H787" s="46"/>
      <c r="I787" s="46"/>
      <c r="J787" s="46"/>
      <c r="K787" s="218"/>
      <c r="L787" s="185"/>
      <c r="M787" s="91"/>
      <c r="N787" s="91"/>
      <c r="O787" s="189"/>
      <c r="Q787" s="47" t="s">
        <v>833</v>
      </c>
      <c r="T787" s="46"/>
      <c r="U787" s="46"/>
      <c r="V787" s="46"/>
    </row>
    <row r="788" spans="1:22" s="47" customFormat="1" ht="15.75" x14ac:dyDescent="0.25">
      <c r="A788" s="61"/>
      <c r="C788" s="46"/>
      <c r="D788" s="46"/>
      <c r="E788" s="46"/>
      <c r="F788" s="46"/>
      <c r="G788" s="46"/>
      <c r="H788" s="46"/>
      <c r="I788" s="46"/>
      <c r="J788" s="46"/>
      <c r="K788" s="218"/>
      <c r="L788" s="185"/>
      <c r="M788" s="91"/>
      <c r="N788" s="91"/>
      <c r="O788" s="189"/>
      <c r="Q788" s="47" t="s">
        <v>833</v>
      </c>
      <c r="T788" s="46"/>
      <c r="U788" s="46"/>
      <c r="V788" s="46"/>
    </row>
    <row r="789" spans="1:22" s="47" customFormat="1" ht="15.75" x14ac:dyDescent="0.25">
      <c r="A789" s="61"/>
      <c r="C789" s="46"/>
      <c r="D789" s="46"/>
      <c r="E789" s="46"/>
      <c r="F789" s="46"/>
      <c r="G789" s="46"/>
      <c r="H789" s="46"/>
      <c r="I789" s="46"/>
      <c r="J789" s="46"/>
      <c r="K789" s="218"/>
      <c r="L789" s="185"/>
      <c r="M789" s="91"/>
      <c r="N789" s="91"/>
      <c r="O789" s="189"/>
      <c r="Q789" s="47" t="s">
        <v>833</v>
      </c>
      <c r="T789" s="46"/>
      <c r="U789" s="46"/>
      <c r="V789" s="46"/>
    </row>
    <row r="790" spans="1:22" s="47" customFormat="1" ht="15.75" x14ac:dyDescent="0.25">
      <c r="A790" s="61"/>
      <c r="C790" s="46"/>
      <c r="D790" s="46"/>
      <c r="E790" s="46"/>
      <c r="F790" s="46"/>
      <c r="G790" s="46"/>
      <c r="H790" s="46"/>
      <c r="I790" s="46"/>
      <c r="J790" s="46"/>
      <c r="K790" s="218"/>
      <c r="L790" s="185"/>
      <c r="M790" s="91"/>
      <c r="N790" s="91"/>
      <c r="O790" s="189"/>
      <c r="Q790" s="47" t="s">
        <v>833</v>
      </c>
      <c r="T790" s="46"/>
      <c r="U790" s="46"/>
      <c r="V790" s="46"/>
    </row>
    <row r="791" spans="1:22" s="47" customFormat="1" ht="15.75" x14ac:dyDescent="0.25">
      <c r="A791" s="61"/>
      <c r="C791" s="46"/>
      <c r="D791" s="46"/>
      <c r="E791" s="46"/>
      <c r="F791" s="46"/>
      <c r="G791" s="46"/>
      <c r="H791" s="46"/>
      <c r="I791" s="46"/>
      <c r="J791" s="46"/>
      <c r="K791" s="218"/>
      <c r="L791" s="185"/>
      <c r="M791" s="91"/>
      <c r="N791" s="91"/>
      <c r="O791" s="189"/>
      <c r="Q791" s="47" t="s">
        <v>833</v>
      </c>
      <c r="T791" s="46"/>
      <c r="U791" s="46"/>
      <c r="V791" s="46"/>
    </row>
    <row r="792" spans="1:22" s="47" customFormat="1" ht="15.75" x14ac:dyDescent="0.25">
      <c r="A792" s="61"/>
      <c r="C792" s="46"/>
      <c r="D792" s="46"/>
      <c r="E792" s="46"/>
      <c r="F792" s="46"/>
      <c r="G792" s="46"/>
      <c r="H792" s="46"/>
      <c r="I792" s="46"/>
      <c r="J792" s="46"/>
      <c r="K792" s="218"/>
      <c r="L792" s="185"/>
      <c r="M792" s="91"/>
      <c r="N792" s="91"/>
      <c r="O792" s="189"/>
      <c r="Q792" s="47" t="s">
        <v>833</v>
      </c>
      <c r="T792" s="46"/>
      <c r="U792" s="46"/>
      <c r="V792" s="46"/>
    </row>
    <row r="793" spans="1:22" s="47" customFormat="1" ht="15.75" x14ac:dyDescent="0.25">
      <c r="A793" s="61"/>
      <c r="C793" s="46"/>
      <c r="D793" s="46"/>
      <c r="E793" s="46"/>
      <c r="F793" s="46"/>
      <c r="G793" s="46"/>
      <c r="H793" s="46"/>
      <c r="I793" s="46"/>
      <c r="J793" s="46"/>
      <c r="K793" s="218"/>
      <c r="L793" s="185"/>
      <c r="M793" s="91"/>
      <c r="N793" s="91"/>
      <c r="O793" s="189"/>
      <c r="Q793" s="47" t="s">
        <v>833</v>
      </c>
      <c r="T793" s="46"/>
      <c r="U793" s="46"/>
      <c r="V793" s="46"/>
    </row>
    <row r="794" spans="1:22" s="47" customFormat="1" ht="15.75" x14ac:dyDescent="0.25">
      <c r="A794" s="61"/>
      <c r="C794" s="46"/>
      <c r="D794" s="46"/>
      <c r="E794" s="46"/>
      <c r="F794" s="46"/>
      <c r="G794" s="46"/>
      <c r="H794" s="46"/>
      <c r="I794" s="46"/>
      <c r="J794" s="46"/>
      <c r="K794" s="218"/>
      <c r="L794" s="185"/>
      <c r="M794" s="91"/>
      <c r="N794" s="91"/>
      <c r="O794" s="189"/>
      <c r="Q794" s="47" t="s">
        <v>833</v>
      </c>
      <c r="T794" s="46"/>
      <c r="U794" s="46"/>
      <c r="V794" s="46"/>
    </row>
    <row r="795" spans="1:22" s="47" customFormat="1" ht="15.75" x14ac:dyDescent="0.25">
      <c r="A795" s="61"/>
      <c r="C795" s="46"/>
      <c r="D795" s="46"/>
      <c r="E795" s="46"/>
      <c r="F795" s="46"/>
      <c r="G795" s="46"/>
      <c r="H795" s="46"/>
      <c r="I795" s="46"/>
      <c r="J795" s="46"/>
      <c r="K795" s="218"/>
      <c r="L795" s="185"/>
      <c r="M795" s="91"/>
      <c r="N795" s="91"/>
      <c r="O795" s="189"/>
      <c r="Q795" s="47" t="s">
        <v>833</v>
      </c>
      <c r="T795" s="46"/>
      <c r="U795" s="46"/>
      <c r="V795" s="46"/>
    </row>
    <row r="796" spans="1:22" s="47" customFormat="1" ht="15.75" x14ac:dyDescent="0.25">
      <c r="A796" s="61"/>
      <c r="C796" s="46"/>
      <c r="D796" s="46"/>
      <c r="E796" s="46"/>
      <c r="F796" s="46"/>
      <c r="G796" s="46"/>
      <c r="H796" s="46"/>
      <c r="I796" s="46"/>
      <c r="J796" s="46"/>
      <c r="K796" s="218"/>
      <c r="L796" s="185"/>
      <c r="M796" s="91"/>
      <c r="N796" s="91"/>
      <c r="O796" s="189"/>
      <c r="Q796" s="47" t="s">
        <v>833</v>
      </c>
      <c r="T796" s="46"/>
      <c r="U796" s="46"/>
      <c r="V796" s="46"/>
    </row>
    <row r="797" spans="1:22" s="47" customFormat="1" ht="15.75" x14ac:dyDescent="0.25">
      <c r="A797" s="61"/>
      <c r="C797" s="46"/>
      <c r="D797" s="46"/>
      <c r="E797" s="46"/>
      <c r="F797" s="46"/>
      <c r="G797" s="46"/>
      <c r="H797" s="46"/>
      <c r="I797" s="46"/>
      <c r="J797" s="46"/>
      <c r="K797" s="218"/>
      <c r="L797" s="185"/>
      <c r="M797" s="91"/>
      <c r="N797" s="91"/>
      <c r="O797" s="189"/>
      <c r="Q797" s="47" t="s">
        <v>833</v>
      </c>
      <c r="T797" s="46"/>
      <c r="U797" s="46"/>
      <c r="V797" s="46"/>
    </row>
    <row r="798" spans="1:22" s="47" customFormat="1" ht="15.75" x14ac:dyDescent="0.25">
      <c r="A798" s="61"/>
      <c r="C798" s="46"/>
      <c r="D798" s="46"/>
      <c r="E798" s="46"/>
      <c r="F798" s="46"/>
      <c r="G798" s="46"/>
      <c r="H798" s="46"/>
      <c r="I798" s="46"/>
      <c r="J798" s="46"/>
      <c r="K798" s="218"/>
      <c r="L798" s="185"/>
      <c r="M798" s="91"/>
      <c r="N798" s="91"/>
      <c r="O798" s="189"/>
      <c r="Q798" s="47" t="s">
        <v>833</v>
      </c>
      <c r="T798" s="46"/>
      <c r="U798" s="46"/>
      <c r="V798" s="46"/>
    </row>
    <row r="799" spans="1:22" s="47" customFormat="1" ht="15.75" x14ac:dyDescent="0.25">
      <c r="A799" s="61"/>
      <c r="C799" s="46"/>
      <c r="D799" s="46"/>
      <c r="E799" s="46"/>
      <c r="F799" s="46"/>
      <c r="G799" s="46"/>
      <c r="H799" s="46"/>
      <c r="I799" s="46"/>
      <c r="J799" s="46"/>
      <c r="K799" s="218"/>
      <c r="L799" s="185"/>
      <c r="M799" s="91"/>
      <c r="N799" s="91"/>
      <c r="O799" s="189"/>
      <c r="Q799" s="47" t="s">
        <v>833</v>
      </c>
      <c r="T799" s="46"/>
      <c r="U799" s="46"/>
      <c r="V799" s="46"/>
    </row>
    <row r="800" spans="1:22" s="47" customFormat="1" ht="15.75" x14ac:dyDescent="0.25">
      <c r="A800" s="61"/>
      <c r="C800" s="46"/>
      <c r="D800" s="46"/>
      <c r="E800" s="46"/>
      <c r="F800" s="46"/>
      <c r="G800" s="46"/>
      <c r="H800" s="46"/>
      <c r="I800" s="46"/>
      <c r="J800" s="46"/>
      <c r="K800" s="218"/>
      <c r="L800" s="185"/>
      <c r="M800" s="91"/>
      <c r="N800" s="91"/>
      <c r="O800" s="189"/>
      <c r="Q800" s="47" t="s">
        <v>833</v>
      </c>
      <c r="T800" s="46"/>
      <c r="U800" s="46"/>
      <c r="V800" s="46"/>
    </row>
    <row r="801" spans="1:22" s="47" customFormat="1" ht="15.75" x14ac:dyDescent="0.25">
      <c r="A801" s="61"/>
      <c r="C801" s="46"/>
      <c r="D801" s="46"/>
      <c r="E801" s="46"/>
      <c r="F801" s="46"/>
      <c r="G801" s="46"/>
      <c r="H801" s="46"/>
      <c r="I801" s="46"/>
      <c r="J801" s="46"/>
      <c r="K801" s="218"/>
      <c r="L801" s="185"/>
      <c r="M801" s="91"/>
      <c r="N801" s="91"/>
      <c r="O801" s="189"/>
      <c r="Q801" s="47" t="s">
        <v>833</v>
      </c>
      <c r="T801" s="46"/>
      <c r="U801" s="46"/>
      <c r="V801" s="46"/>
    </row>
    <row r="802" spans="1:22" s="47" customFormat="1" ht="15.75" x14ac:dyDescent="0.25">
      <c r="A802" s="61"/>
      <c r="C802" s="46"/>
      <c r="D802" s="46"/>
      <c r="E802" s="46"/>
      <c r="F802" s="46"/>
      <c r="G802" s="46"/>
      <c r="H802" s="46"/>
      <c r="I802" s="46"/>
      <c r="J802" s="46"/>
      <c r="K802" s="218"/>
      <c r="L802" s="185"/>
      <c r="M802" s="91"/>
      <c r="N802" s="91"/>
      <c r="O802" s="189"/>
      <c r="Q802" s="47" t="s">
        <v>833</v>
      </c>
      <c r="T802" s="46"/>
      <c r="U802" s="46"/>
      <c r="V802" s="46"/>
    </row>
    <row r="803" spans="1:22" s="47" customFormat="1" ht="15.75" x14ac:dyDescent="0.25">
      <c r="A803" s="61"/>
      <c r="C803" s="46"/>
      <c r="D803" s="46"/>
      <c r="E803" s="46"/>
      <c r="F803" s="46"/>
      <c r="G803" s="46"/>
      <c r="H803" s="46"/>
      <c r="I803" s="46"/>
      <c r="J803" s="46"/>
      <c r="K803" s="218"/>
      <c r="L803" s="185"/>
      <c r="M803" s="91"/>
      <c r="N803" s="91"/>
      <c r="O803" s="189"/>
      <c r="Q803" s="47" t="s">
        <v>833</v>
      </c>
      <c r="T803" s="46"/>
      <c r="U803" s="46"/>
      <c r="V803" s="46"/>
    </row>
    <row r="804" spans="1:22" s="47" customFormat="1" ht="15.75" x14ac:dyDescent="0.25">
      <c r="A804" s="61"/>
      <c r="C804" s="46"/>
      <c r="D804" s="46"/>
      <c r="E804" s="46"/>
      <c r="F804" s="46"/>
      <c r="G804" s="46"/>
      <c r="H804" s="46"/>
      <c r="I804" s="46"/>
      <c r="J804" s="46"/>
      <c r="K804" s="218"/>
      <c r="L804" s="185"/>
      <c r="M804" s="91"/>
      <c r="N804" s="91"/>
      <c r="O804" s="189"/>
      <c r="Q804" s="47" t="s">
        <v>833</v>
      </c>
      <c r="T804" s="46"/>
      <c r="U804" s="46"/>
      <c r="V804" s="46"/>
    </row>
    <row r="805" spans="1:22" s="47" customFormat="1" ht="15.75" x14ac:dyDescent="0.25">
      <c r="A805" s="61"/>
      <c r="C805" s="46"/>
      <c r="D805" s="46"/>
      <c r="E805" s="46"/>
      <c r="F805" s="46"/>
      <c r="G805" s="46"/>
      <c r="H805" s="46"/>
      <c r="I805" s="46"/>
      <c r="J805" s="46"/>
      <c r="K805" s="218"/>
      <c r="L805" s="185"/>
      <c r="M805" s="91"/>
      <c r="N805" s="91"/>
      <c r="O805" s="189"/>
      <c r="Q805" s="47" t="s">
        <v>833</v>
      </c>
      <c r="T805" s="46"/>
      <c r="U805" s="46"/>
      <c r="V805" s="46"/>
    </row>
    <row r="806" spans="1:22" s="47" customFormat="1" ht="15.75" x14ac:dyDescent="0.25">
      <c r="A806" s="61"/>
      <c r="C806" s="46"/>
      <c r="D806" s="46"/>
      <c r="E806" s="46"/>
      <c r="F806" s="46"/>
      <c r="G806" s="46"/>
      <c r="H806" s="46"/>
      <c r="I806" s="46"/>
      <c r="J806" s="46"/>
      <c r="K806" s="218"/>
      <c r="L806" s="185"/>
      <c r="M806" s="91"/>
      <c r="N806" s="91"/>
      <c r="O806" s="189"/>
      <c r="Q806" s="47" t="s">
        <v>833</v>
      </c>
      <c r="T806" s="46"/>
      <c r="U806" s="46"/>
      <c r="V806" s="46"/>
    </row>
    <row r="807" spans="1:22" s="47" customFormat="1" ht="15.75" x14ac:dyDescent="0.25">
      <c r="A807" s="61"/>
      <c r="C807" s="46"/>
      <c r="D807" s="46"/>
      <c r="E807" s="46"/>
      <c r="F807" s="46"/>
      <c r="G807" s="46"/>
      <c r="H807" s="46"/>
      <c r="I807" s="46"/>
      <c r="J807" s="46"/>
      <c r="K807" s="218"/>
      <c r="L807" s="185"/>
      <c r="M807" s="91"/>
      <c r="N807" s="91"/>
      <c r="O807" s="189"/>
      <c r="Q807" s="47" t="s">
        <v>833</v>
      </c>
      <c r="T807" s="46"/>
      <c r="U807" s="46"/>
      <c r="V807" s="46"/>
    </row>
    <row r="808" spans="1:22" s="47" customFormat="1" ht="15.75" x14ac:dyDescent="0.25">
      <c r="A808" s="61"/>
      <c r="C808" s="46"/>
      <c r="D808" s="46"/>
      <c r="E808" s="46"/>
      <c r="F808" s="46"/>
      <c r="G808" s="46"/>
      <c r="H808" s="46"/>
      <c r="I808" s="46"/>
      <c r="J808" s="46"/>
      <c r="K808" s="218"/>
      <c r="L808" s="185"/>
      <c r="M808" s="91"/>
      <c r="N808" s="91"/>
      <c r="O808" s="189"/>
      <c r="Q808" s="47" t="s">
        <v>833</v>
      </c>
      <c r="T808" s="46"/>
      <c r="U808" s="46"/>
      <c r="V808" s="46"/>
    </row>
    <row r="809" spans="1:22" s="47" customFormat="1" ht="15.75" x14ac:dyDescent="0.25">
      <c r="A809" s="61"/>
      <c r="C809" s="46"/>
      <c r="D809" s="46"/>
      <c r="E809" s="46"/>
      <c r="F809" s="46"/>
      <c r="G809" s="46"/>
      <c r="H809" s="46"/>
      <c r="I809" s="46"/>
      <c r="J809" s="46"/>
      <c r="K809" s="218"/>
      <c r="L809" s="185"/>
      <c r="M809" s="91"/>
      <c r="N809" s="91"/>
      <c r="O809" s="189"/>
      <c r="Q809" s="47" t="s">
        <v>833</v>
      </c>
      <c r="T809" s="46"/>
      <c r="U809" s="46"/>
      <c r="V809" s="46"/>
    </row>
    <row r="810" spans="1:22" s="47" customFormat="1" ht="15.75" x14ac:dyDescent="0.25">
      <c r="A810" s="61"/>
      <c r="C810" s="46"/>
      <c r="D810" s="46"/>
      <c r="E810" s="46"/>
      <c r="F810" s="46"/>
      <c r="G810" s="46"/>
      <c r="H810" s="46"/>
      <c r="I810" s="46"/>
      <c r="J810" s="46"/>
      <c r="K810" s="218"/>
      <c r="L810" s="185"/>
      <c r="M810" s="91"/>
      <c r="N810" s="91"/>
      <c r="O810" s="189"/>
      <c r="Q810" s="47" t="s">
        <v>833</v>
      </c>
      <c r="T810" s="46"/>
      <c r="U810" s="46"/>
      <c r="V810" s="46"/>
    </row>
    <row r="811" spans="1:22" s="47" customFormat="1" ht="15.75" x14ac:dyDescent="0.25">
      <c r="A811" s="61"/>
      <c r="C811" s="46"/>
      <c r="D811" s="46"/>
      <c r="E811" s="46"/>
      <c r="F811" s="46"/>
      <c r="G811" s="46"/>
      <c r="H811" s="46"/>
      <c r="I811" s="46"/>
      <c r="J811" s="46"/>
      <c r="K811" s="218"/>
      <c r="L811" s="185"/>
      <c r="M811" s="91"/>
      <c r="N811" s="91"/>
      <c r="O811" s="189"/>
      <c r="Q811" s="47" t="s">
        <v>833</v>
      </c>
      <c r="T811" s="46"/>
      <c r="U811" s="46"/>
      <c r="V811" s="46"/>
    </row>
    <row r="812" spans="1:22" s="47" customFormat="1" ht="15.75" x14ac:dyDescent="0.25">
      <c r="A812" s="61"/>
      <c r="C812" s="46"/>
      <c r="D812" s="46"/>
      <c r="E812" s="46"/>
      <c r="F812" s="46"/>
      <c r="G812" s="46"/>
      <c r="H812" s="46"/>
      <c r="I812" s="46"/>
      <c r="J812" s="46"/>
      <c r="K812" s="218"/>
      <c r="L812" s="185"/>
      <c r="M812" s="91"/>
      <c r="N812" s="91"/>
      <c r="O812" s="189"/>
      <c r="Q812" s="47" t="s">
        <v>833</v>
      </c>
      <c r="T812" s="46"/>
      <c r="U812" s="46"/>
      <c r="V812" s="46"/>
    </row>
    <row r="813" spans="1:22" s="47" customFormat="1" ht="15.75" x14ac:dyDescent="0.25">
      <c r="A813" s="61"/>
      <c r="C813" s="46"/>
      <c r="D813" s="46"/>
      <c r="E813" s="46"/>
      <c r="F813" s="46"/>
      <c r="G813" s="46"/>
      <c r="H813" s="46"/>
      <c r="I813" s="46"/>
      <c r="J813" s="46"/>
      <c r="K813" s="218"/>
      <c r="L813" s="185"/>
      <c r="M813" s="91"/>
      <c r="N813" s="91"/>
      <c r="O813" s="189"/>
      <c r="Q813" s="47" t="s">
        <v>833</v>
      </c>
      <c r="T813" s="46"/>
      <c r="U813" s="46"/>
      <c r="V813" s="46"/>
    </row>
    <row r="814" spans="1:22" s="47" customFormat="1" ht="15.75" x14ac:dyDescent="0.25">
      <c r="A814" s="61"/>
      <c r="C814" s="46"/>
      <c r="D814" s="46"/>
      <c r="E814" s="46"/>
      <c r="F814" s="46"/>
      <c r="G814" s="46"/>
      <c r="H814" s="46"/>
      <c r="I814" s="46"/>
      <c r="J814" s="46"/>
      <c r="K814" s="218"/>
      <c r="L814" s="185"/>
      <c r="M814" s="91"/>
      <c r="N814" s="91"/>
      <c r="O814" s="189"/>
      <c r="Q814" s="47" t="s">
        <v>833</v>
      </c>
      <c r="T814" s="46"/>
      <c r="U814" s="46"/>
      <c r="V814" s="46"/>
    </row>
    <row r="815" spans="1:22" s="47" customFormat="1" ht="15.75" x14ac:dyDescent="0.25">
      <c r="A815" s="61"/>
      <c r="C815" s="46"/>
      <c r="D815" s="46"/>
      <c r="E815" s="46"/>
      <c r="F815" s="46"/>
      <c r="G815" s="46"/>
      <c r="H815" s="46"/>
      <c r="I815" s="46"/>
      <c r="J815" s="46"/>
      <c r="K815" s="218"/>
      <c r="L815" s="185"/>
      <c r="M815" s="91"/>
      <c r="N815" s="91"/>
      <c r="O815" s="189"/>
      <c r="Q815" s="47" t="s">
        <v>833</v>
      </c>
      <c r="T815" s="46"/>
      <c r="U815" s="46"/>
      <c r="V815" s="46"/>
    </row>
    <row r="816" spans="1:22" s="47" customFormat="1" ht="15.75" x14ac:dyDescent="0.25">
      <c r="A816" s="61"/>
      <c r="C816" s="46"/>
      <c r="D816" s="46"/>
      <c r="E816" s="46"/>
      <c r="F816" s="46"/>
      <c r="G816" s="46"/>
      <c r="H816" s="46"/>
      <c r="I816" s="46"/>
      <c r="J816" s="46"/>
      <c r="K816" s="218"/>
      <c r="L816" s="185"/>
      <c r="M816" s="91"/>
      <c r="N816" s="91"/>
      <c r="O816" s="189"/>
      <c r="Q816" s="47" t="s">
        <v>833</v>
      </c>
      <c r="T816" s="46"/>
      <c r="U816" s="46"/>
      <c r="V816" s="46"/>
    </row>
    <row r="817" spans="1:22" s="47" customFormat="1" ht="15.75" x14ac:dyDescent="0.25">
      <c r="A817" s="61"/>
      <c r="C817" s="46"/>
      <c r="D817" s="46"/>
      <c r="E817" s="46"/>
      <c r="F817" s="46"/>
      <c r="G817" s="46"/>
      <c r="H817" s="46"/>
      <c r="I817" s="46"/>
      <c r="J817" s="46"/>
      <c r="K817" s="218"/>
      <c r="L817" s="185"/>
      <c r="M817" s="91"/>
      <c r="N817" s="91"/>
      <c r="O817" s="189"/>
      <c r="Q817" s="47" t="s">
        <v>833</v>
      </c>
      <c r="T817" s="46"/>
      <c r="U817" s="46"/>
      <c r="V817" s="46"/>
    </row>
    <row r="818" spans="1:22" s="47" customFormat="1" ht="15.75" x14ac:dyDescent="0.25">
      <c r="A818" s="61"/>
      <c r="C818" s="46"/>
      <c r="D818" s="46"/>
      <c r="E818" s="46"/>
      <c r="F818" s="46"/>
      <c r="G818" s="46"/>
      <c r="H818" s="46"/>
      <c r="I818" s="46"/>
      <c r="J818" s="46"/>
      <c r="K818" s="218"/>
      <c r="L818" s="185"/>
      <c r="M818" s="91"/>
      <c r="N818" s="91"/>
      <c r="O818" s="189"/>
      <c r="Q818" s="47" t="s">
        <v>833</v>
      </c>
      <c r="T818" s="46"/>
      <c r="U818" s="46"/>
      <c r="V818" s="46"/>
    </row>
    <row r="819" spans="1:22" s="47" customFormat="1" ht="15.75" x14ac:dyDescent="0.25">
      <c r="A819" s="61"/>
      <c r="C819" s="46"/>
      <c r="D819" s="46"/>
      <c r="E819" s="46"/>
      <c r="F819" s="46"/>
      <c r="G819" s="46"/>
      <c r="H819" s="46"/>
      <c r="I819" s="46"/>
      <c r="J819" s="46"/>
      <c r="K819" s="218"/>
      <c r="L819" s="185"/>
      <c r="M819" s="91"/>
      <c r="N819" s="91"/>
      <c r="O819" s="189"/>
      <c r="Q819" s="47" t="s">
        <v>833</v>
      </c>
      <c r="T819" s="46"/>
      <c r="U819" s="46"/>
      <c r="V819" s="46"/>
    </row>
    <row r="820" spans="1:22" s="47" customFormat="1" ht="15.75" x14ac:dyDescent="0.25">
      <c r="A820" s="61"/>
      <c r="C820" s="46"/>
      <c r="D820" s="46"/>
      <c r="E820" s="46"/>
      <c r="F820" s="46"/>
      <c r="G820" s="46"/>
      <c r="H820" s="46"/>
      <c r="I820" s="46"/>
      <c r="J820" s="46"/>
      <c r="K820" s="218"/>
      <c r="L820" s="185"/>
      <c r="M820" s="91"/>
      <c r="N820" s="91"/>
      <c r="O820" s="189"/>
      <c r="Q820" s="47" t="s">
        <v>833</v>
      </c>
      <c r="T820" s="46"/>
      <c r="U820" s="46"/>
      <c r="V820" s="46"/>
    </row>
    <row r="821" spans="1:22" s="47" customFormat="1" ht="15.75" x14ac:dyDescent="0.25">
      <c r="A821" s="61"/>
      <c r="C821" s="46"/>
      <c r="D821" s="46"/>
      <c r="E821" s="46"/>
      <c r="F821" s="46"/>
      <c r="G821" s="46"/>
      <c r="H821" s="46"/>
      <c r="I821" s="46"/>
      <c r="J821" s="46"/>
      <c r="K821" s="218"/>
      <c r="L821" s="185"/>
      <c r="M821" s="91"/>
      <c r="N821" s="91"/>
      <c r="O821" s="189"/>
      <c r="Q821" s="47" t="s">
        <v>833</v>
      </c>
      <c r="T821" s="46"/>
      <c r="U821" s="46"/>
      <c r="V821" s="46"/>
    </row>
    <row r="822" spans="1:22" s="47" customFormat="1" ht="15.75" x14ac:dyDescent="0.25">
      <c r="A822" s="61"/>
      <c r="C822" s="46"/>
      <c r="D822" s="46"/>
      <c r="E822" s="46"/>
      <c r="F822" s="46"/>
      <c r="G822" s="46"/>
      <c r="H822" s="46"/>
      <c r="I822" s="46"/>
      <c r="J822" s="46"/>
      <c r="K822" s="218"/>
      <c r="L822" s="185"/>
      <c r="M822" s="91"/>
      <c r="N822" s="91"/>
      <c r="O822" s="189"/>
      <c r="Q822" s="47" t="s">
        <v>833</v>
      </c>
      <c r="T822" s="46"/>
      <c r="U822" s="46"/>
      <c r="V822" s="46"/>
    </row>
    <row r="823" spans="1:22" s="47" customFormat="1" ht="15.75" x14ac:dyDescent="0.25">
      <c r="A823" s="61"/>
      <c r="C823" s="46"/>
      <c r="D823" s="46"/>
      <c r="E823" s="46"/>
      <c r="F823" s="46"/>
      <c r="G823" s="46"/>
      <c r="H823" s="46"/>
      <c r="I823" s="46"/>
      <c r="J823" s="46"/>
      <c r="K823" s="218"/>
      <c r="L823" s="185"/>
      <c r="M823" s="91"/>
      <c r="N823" s="91"/>
      <c r="O823" s="189"/>
      <c r="Q823" s="47" t="s">
        <v>833</v>
      </c>
      <c r="T823" s="46"/>
      <c r="U823" s="46"/>
      <c r="V823" s="46"/>
    </row>
    <row r="824" spans="1:22" s="47" customFormat="1" ht="15.75" x14ac:dyDescent="0.25">
      <c r="A824" s="61"/>
      <c r="C824" s="46"/>
      <c r="D824" s="46"/>
      <c r="E824" s="46"/>
      <c r="F824" s="46"/>
      <c r="G824" s="46"/>
      <c r="H824" s="46"/>
      <c r="I824" s="46"/>
      <c r="J824" s="46"/>
      <c r="K824" s="218"/>
      <c r="L824" s="185"/>
      <c r="M824" s="91"/>
      <c r="N824" s="91"/>
      <c r="O824" s="189"/>
      <c r="Q824" s="47" t="s">
        <v>833</v>
      </c>
      <c r="T824" s="46"/>
      <c r="U824" s="46"/>
      <c r="V824" s="46"/>
    </row>
    <row r="825" spans="1:22" s="47" customFormat="1" ht="15.75" x14ac:dyDescent="0.25">
      <c r="A825" s="61"/>
      <c r="C825" s="46"/>
      <c r="D825" s="46"/>
      <c r="E825" s="46"/>
      <c r="F825" s="46"/>
      <c r="G825" s="46"/>
      <c r="H825" s="46"/>
      <c r="I825" s="46"/>
      <c r="J825" s="46"/>
      <c r="K825" s="218"/>
      <c r="L825" s="185"/>
      <c r="M825" s="91"/>
      <c r="N825" s="91"/>
      <c r="O825" s="189"/>
      <c r="Q825" s="47" t="s">
        <v>833</v>
      </c>
      <c r="T825" s="46"/>
      <c r="U825" s="46"/>
      <c r="V825" s="46"/>
    </row>
    <row r="826" spans="1:22" s="47" customFormat="1" ht="15.75" x14ac:dyDescent="0.25">
      <c r="A826" s="61"/>
      <c r="C826" s="46"/>
      <c r="D826" s="46"/>
      <c r="E826" s="46"/>
      <c r="F826" s="46"/>
      <c r="G826" s="46"/>
      <c r="H826" s="46"/>
      <c r="I826" s="46"/>
      <c r="J826" s="46"/>
      <c r="K826" s="218"/>
      <c r="L826" s="185"/>
      <c r="M826" s="91"/>
      <c r="N826" s="91"/>
      <c r="O826" s="189"/>
      <c r="Q826" s="47" t="s">
        <v>833</v>
      </c>
      <c r="T826" s="46"/>
      <c r="U826" s="46"/>
      <c r="V826" s="46"/>
    </row>
    <row r="827" spans="1:22" s="47" customFormat="1" ht="15.75" x14ac:dyDescent="0.25">
      <c r="A827" s="61"/>
      <c r="C827" s="46"/>
      <c r="D827" s="46"/>
      <c r="E827" s="46"/>
      <c r="F827" s="46"/>
      <c r="G827" s="46"/>
      <c r="H827" s="46"/>
      <c r="I827" s="46"/>
      <c r="J827" s="46"/>
      <c r="K827" s="218"/>
      <c r="L827" s="185"/>
      <c r="M827" s="91"/>
      <c r="N827" s="91"/>
      <c r="O827" s="189"/>
      <c r="Q827" s="47" t="s">
        <v>833</v>
      </c>
      <c r="T827" s="46"/>
      <c r="U827" s="46"/>
      <c r="V827" s="46"/>
    </row>
    <row r="828" spans="1:22" s="47" customFormat="1" ht="15.75" x14ac:dyDescent="0.25">
      <c r="A828" s="61"/>
      <c r="C828" s="46"/>
      <c r="D828" s="46"/>
      <c r="E828" s="46"/>
      <c r="F828" s="46"/>
      <c r="G828" s="46"/>
      <c r="H828" s="46"/>
      <c r="I828" s="46"/>
      <c r="J828" s="46"/>
      <c r="K828" s="218"/>
      <c r="L828" s="185"/>
      <c r="M828" s="91"/>
      <c r="N828" s="91"/>
      <c r="O828" s="189"/>
      <c r="Q828" s="47" t="s">
        <v>833</v>
      </c>
      <c r="T828" s="46"/>
      <c r="U828" s="46"/>
      <c r="V828" s="46"/>
    </row>
    <row r="829" spans="1:22" s="47" customFormat="1" ht="15.75" x14ac:dyDescent="0.25">
      <c r="A829" s="61"/>
      <c r="C829" s="46"/>
      <c r="D829" s="46"/>
      <c r="E829" s="46"/>
      <c r="F829" s="46"/>
      <c r="G829" s="46"/>
      <c r="H829" s="46"/>
      <c r="I829" s="46"/>
      <c r="J829" s="46"/>
      <c r="K829" s="218"/>
      <c r="L829" s="185"/>
      <c r="M829" s="91"/>
      <c r="N829" s="91"/>
      <c r="O829" s="189"/>
      <c r="Q829" s="47" t="s">
        <v>833</v>
      </c>
      <c r="T829" s="46"/>
      <c r="U829" s="46"/>
      <c r="V829" s="46"/>
    </row>
    <row r="830" spans="1:22" s="47" customFormat="1" ht="15.75" x14ac:dyDescent="0.25">
      <c r="A830" s="61"/>
      <c r="C830" s="46"/>
      <c r="D830" s="46"/>
      <c r="E830" s="46"/>
      <c r="F830" s="46"/>
      <c r="G830" s="46"/>
      <c r="H830" s="46"/>
      <c r="I830" s="46"/>
      <c r="J830" s="46"/>
      <c r="K830" s="218"/>
      <c r="L830" s="185"/>
      <c r="M830" s="91"/>
      <c r="N830" s="91"/>
      <c r="O830" s="189"/>
      <c r="Q830" s="47" t="s">
        <v>833</v>
      </c>
      <c r="T830" s="46"/>
      <c r="U830" s="46"/>
      <c r="V830" s="46"/>
    </row>
    <row r="831" spans="1:22" s="47" customFormat="1" ht="15.75" x14ac:dyDescent="0.25">
      <c r="A831" s="61"/>
      <c r="C831" s="46"/>
      <c r="D831" s="46"/>
      <c r="E831" s="46"/>
      <c r="F831" s="46"/>
      <c r="G831" s="46"/>
      <c r="H831" s="46"/>
      <c r="I831" s="46"/>
      <c r="J831" s="46"/>
      <c r="K831" s="218"/>
      <c r="L831" s="185"/>
      <c r="M831" s="91"/>
      <c r="N831" s="91"/>
      <c r="O831" s="189"/>
      <c r="Q831" s="47" t="s">
        <v>833</v>
      </c>
      <c r="T831" s="46"/>
      <c r="U831" s="46"/>
      <c r="V831" s="46"/>
    </row>
    <row r="832" spans="1:22" s="47" customFormat="1" ht="15.75" x14ac:dyDescent="0.25">
      <c r="A832" s="61"/>
      <c r="C832" s="46"/>
      <c r="D832" s="46"/>
      <c r="E832" s="46"/>
      <c r="F832" s="46"/>
      <c r="G832" s="46"/>
      <c r="H832" s="46"/>
      <c r="I832" s="46"/>
      <c r="J832" s="46"/>
      <c r="K832" s="218"/>
      <c r="L832" s="185"/>
      <c r="M832" s="91"/>
      <c r="N832" s="91"/>
      <c r="O832" s="189"/>
      <c r="Q832" s="47" t="s">
        <v>833</v>
      </c>
      <c r="T832" s="46"/>
      <c r="U832" s="46"/>
      <c r="V832" s="46"/>
    </row>
    <row r="833" spans="1:22" s="47" customFormat="1" ht="15.75" x14ac:dyDescent="0.25">
      <c r="A833" s="61"/>
      <c r="C833" s="46"/>
      <c r="D833" s="46"/>
      <c r="E833" s="46"/>
      <c r="F833" s="46"/>
      <c r="G833" s="46"/>
      <c r="H833" s="46"/>
      <c r="I833" s="46"/>
      <c r="J833" s="46"/>
      <c r="K833" s="218"/>
      <c r="L833" s="185"/>
      <c r="M833" s="91"/>
      <c r="N833" s="91"/>
      <c r="O833" s="189"/>
      <c r="Q833" s="47" t="s">
        <v>833</v>
      </c>
      <c r="T833" s="46"/>
      <c r="U833" s="46"/>
      <c r="V833" s="46"/>
    </row>
    <row r="834" spans="1:22" s="47" customFormat="1" ht="15.75" x14ac:dyDescent="0.25">
      <c r="A834" s="61"/>
      <c r="C834" s="46"/>
      <c r="D834" s="46"/>
      <c r="E834" s="46"/>
      <c r="F834" s="46"/>
      <c r="G834" s="46"/>
      <c r="H834" s="46"/>
      <c r="I834" s="46"/>
      <c r="J834" s="46"/>
      <c r="K834" s="218"/>
      <c r="L834" s="185"/>
      <c r="M834" s="91"/>
      <c r="N834" s="91"/>
      <c r="O834" s="189"/>
      <c r="Q834" s="47" t="s">
        <v>833</v>
      </c>
      <c r="T834" s="46"/>
      <c r="U834" s="46"/>
      <c r="V834" s="46"/>
    </row>
    <row r="835" spans="1:22" s="47" customFormat="1" ht="15.75" x14ac:dyDescent="0.25">
      <c r="A835" s="61"/>
      <c r="C835" s="46"/>
      <c r="D835" s="46"/>
      <c r="E835" s="46"/>
      <c r="F835" s="46"/>
      <c r="G835" s="46"/>
      <c r="H835" s="46"/>
      <c r="I835" s="46"/>
      <c r="J835" s="46"/>
      <c r="K835" s="218"/>
      <c r="L835" s="185"/>
      <c r="M835" s="91"/>
      <c r="N835" s="91"/>
      <c r="O835" s="189"/>
      <c r="Q835" s="47" t="s">
        <v>833</v>
      </c>
      <c r="T835" s="46"/>
      <c r="U835" s="46"/>
      <c r="V835" s="46"/>
    </row>
    <row r="836" spans="1:22" s="47" customFormat="1" ht="15.75" x14ac:dyDescent="0.25">
      <c r="A836" s="61"/>
      <c r="C836" s="46"/>
      <c r="D836" s="46"/>
      <c r="E836" s="46"/>
      <c r="F836" s="46"/>
      <c r="G836" s="46"/>
      <c r="H836" s="46"/>
      <c r="I836" s="46"/>
      <c r="J836" s="46"/>
      <c r="K836" s="218"/>
      <c r="L836" s="185"/>
      <c r="M836" s="91"/>
      <c r="N836" s="91"/>
      <c r="O836" s="189"/>
      <c r="Q836" s="47" t="s">
        <v>833</v>
      </c>
      <c r="T836" s="46"/>
      <c r="U836" s="46"/>
      <c r="V836" s="46"/>
    </row>
    <row r="837" spans="1:22" s="47" customFormat="1" ht="15.75" x14ac:dyDescent="0.25">
      <c r="A837" s="61"/>
      <c r="C837" s="46"/>
      <c r="D837" s="46"/>
      <c r="E837" s="46"/>
      <c r="F837" s="46"/>
      <c r="G837" s="46"/>
      <c r="H837" s="46"/>
      <c r="I837" s="46"/>
      <c r="J837" s="46"/>
      <c r="K837" s="218"/>
      <c r="L837" s="185"/>
      <c r="M837" s="91"/>
      <c r="N837" s="91"/>
      <c r="O837" s="189"/>
      <c r="Q837" s="47" t="s">
        <v>833</v>
      </c>
      <c r="T837" s="46"/>
      <c r="U837" s="46"/>
      <c r="V837" s="46"/>
    </row>
    <row r="838" spans="1:22" s="47" customFormat="1" ht="15.75" x14ac:dyDescent="0.25">
      <c r="A838" s="61"/>
      <c r="C838" s="46"/>
      <c r="D838" s="46"/>
      <c r="E838" s="46"/>
      <c r="F838" s="46"/>
      <c r="G838" s="46"/>
      <c r="H838" s="46"/>
      <c r="I838" s="46"/>
      <c r="J838" s="46"/>
      <c r="K838" s="218"/>
      <c r="L838" s="185"/>
      <c r="M838" s="91"/>
      <c r="N838" s="91"/>
      <c r="O838" s="189"/>
      <c r="Q838" s="47" t="s">
        <v>833</v>
      </c>
      <c r="T838" s="46"/>
      <c r="U838" s="46"/>
      <c r="V838" s="46"/>
    </row>
    <row r="839" spans="1:22" s="47" customFormat="1" ht="15.75" x14ac:dyDescent="0.25">
      <c r="A839" s="61"/>
      <c r="C839" s="46"/>
      <c r="D839" s="46"/>
      <c r="E839" s="46"/>
      <c r="F839" s="46"/>
      <c r="G839" s="46"/>
      <c r="H839" s="46"/>
      <c r="I839" s="46"/>
      <c r="J839" s="46"/>
      <c r="K839" s="218"/>
      <c r="L839" s="185"/>
      <c r="M839" s="91"/>
      <c r="N839" s="91"/>
      <c r="O839" s="189"/>
      <c r="Q839" s="47" t="s">
        <v>833</v>
      </c>
      <c r="T839" s="46"/>
      <c r="U839" s="46"/>
      <c r="V839" s="46"/>
    </row>
    <row r="840" spans="1:22" s="47" customFormat="1" ht="15.75" x14ac:dyDescent="0.25">
      <c r="A840" s="61"/>
      <c r="C840" s="46"/>
      <c r="D840" s="46"/>
      <c r="E840" s="46"/>
      <c r="F840" s="46"/>
      <c r="G840" s="46"/>
      <c r="H840" s="46"/>
      <c r="I840" s="46"/>
      <c r="J840" s="46"/>
      <c r="K840" s="218"/>
      <c r="L840" s="185"/>
      <c r="M840" s="91"/>
      <c r="N840" s="91"/>
      <c r="O840" s="189"/>
      <c r="Q840" s="47" t="s">
        <v>833</v>
      </c>
      <c r="T840" s="46"/>
      <c r="U840" s="46"/>
      <c r="V840" s="46"/>
    </row>
    <row r="841" spans="1:22" s="47" customFormat="1" ht="15.75" x14ac:dyDescent="0.25">
      <c r="A841" s="61"/>
      <c r="C841" s="46"/>
      <c r="D841" s="46"/>
      <c r="E841" s="46"/>
      <c r="F841" s="46"/>
      <c r="G841" s="46"/>
      <c r="H841" s="46"/>
      <c r="I841" s="46"/>
      <c r="J841" s="46"/>
      <c r="K841" s="218"/>
      <c r="L841" s="185"/>
      <c r="M841" s="91"/>
      <c r="N841" s="91"/>
      <c r="O841" s="189"/>
      <c r="Q841" s="47" t="s">
        <v>833</v>
      </c>
      <c r="T841" s="46"/>
      <c r="U841" s="46"/>
      <c r="V841" s="46"/>
    </row>
    <row r="842" spans="1:22" s="47" customFormat="1" ht="15.75" x14ac:dyDescent="0.25">
      <c r="A842" s="61"/>
      <c r="C842" s="46"/>
      <c r="D842" s="46"/>
      <c r="E842" s="46"/>
      <c r="F842" s="46"/>
      <c r="G842" s="46"/>
      <c r="H842" s="46"/>
      <c r="I842" s="46"/>
      <c r="J842" s="46"/>
      <c r="K842" s="218"/>
      <c r="L842" s="185"/>
      <c r="M842" s="91"/>
      <c r="N842" s="91"/>
      <c r="O842" s="189"/>
      <c r="Q842" s="47" t="s">
        <v>833</v>
      </c>
      <c r="T842" s="46"/>
      <c r="U842" s="46"/>
      <c r="V842" s="46"/>
    </row>
    <row r="843" spans="1:22" s="47" customFormat="1" ht="15.75" x14ac:dyDescent="0.25">
      <c r="A843" s="61"/>
      <c r="C843" s="46"/>
      <c r="D843" s="46"/>
      <c r="E843" s="46"/>
      <c r="F843" s="46"/>
      <c r="G843" s="46"/>
      <c r="H843" s="46"/>
      <c r="I843" s="46"/>
      <c r="J843" s="46"/>
      <c r="K843" s="218"/>
      <c r="L843" s="185"/>
      <c r="M843" s="91"/>
      <c r="N843" s="91"/>
      <c r="O843" s="189"/>
      <c r="Q843" s="47" t="s">
        <v>833</v>
      </c>
      <c r="T843" s="46"/>
      <c r="U843" s="46"/>
      <c r="V843" s="46"/>
    </row>
    <row r="844" spans="1:22" s="47" customFormat="1" ht="15.75" x14ac:dyDescent="0.25">
      <c r="A844" s="61"/>
      <c r="C844" s="46"/>
      <c r="D844" s="46"/>
      <c r="E844" s="46"/>
      <c r="F844" s="46"/>
      <c r="G844" s="46"/>
      <c r="H844" s="46"/>
      <c r="I844" s="46"/>
      <c r="J844" s="46"/>
      <c r="K844" s="218"/>
      <c r="L844" s="185"/>
      <c r="M844" s="91"/>
      <c r="N844" s="91"/>
      <c r="O844" s="189"/>
      <c r="Q844" s="47" t="s">
        <v>833</v>
      </c>
      <c r="T844" s="46"/>
      <c r="U844" s="46"/>
      <c r="V844" s="46"/>
    </row>
    <row r="845" spans="1:22" s="47" customFormat="1" ht="15.75" x14ac:dyDescent="0.25">
      <c r="A845" s="61"/>
      <c r="C845" s="46"/>
      <c r="D845" s="46"/>
      <c r="E845" s="46"/>
      <c r="F845" s="46"/>
      <c r="G845" s="46"/>
      <c r="H845" s="46"/>
      <c r="I845" s="46"/>
      <c r="J845" s="46"/>
      <c r="K845" s="218"/>
      <c r="L845" s="185"/>
      <c r="M845" s="91"/>
      <c r="N845" s="91"/>
      <c r="O845" s="189"/>
      <c r="Q845" s="47" t="s">
        <v>833</v>
      </c>
      <c r="T845" s="46"/>
      <c r="U845" s="46"/>
      <c r="V845" s="46"/>
    </row>
    <row r="846" spans="1:22" s="47" customFormat="1" ht="15.75" x14ac:dyDescent="0.25">
      <c r="A846" s="61"/>
      <c r="C846" s="46"/>
      <c r="D846" s="46"/>
      <c r="E846" s="46"/>
      <c r="F846" s="46"/>
      <c r="G846" s="46"/>
      <c r="H846" s="46"/>
      <c r="I846" s="46"/>
      <c r="J846" s="46"/>
      <c r="K846" s="218"/>
      <c r="L846" s="185"/>
      <c r="M846" s="91"/>
      <c r="N846" s="91"/>
      <c r="O846" s="189"/>
      <c r="Q846" s="47" t="s">
        <v>833</v>
      </c>
      <c r="T846" s="46"/>
      <c r="U846" s="46"/>
      <c r="V846" s="46"/>
    </row>
    <row r="847" spans="1:22" s="47" customFormat="1" ht="15.75" x14ac:dyDescent="0.25">
      <c r="A847" s="61"/>
      <c r="C847" s="46"/>
      <c r="D847" s="46"/>
      <c r="E847" s="46"/>
      <c r="F847" s="46"/>
      <c r="G847" s="46"/>
      <c r="H847" s="46"/>
      <c r="I847" s="46"/>
      <c r="J847" s="46"/>
      <c r="K847" s="218"/>
      <c r="L847" s="185"/>
      <c r="M847" s="91"/>
      <c r="N847" s="91"/>
      <c r="O847" s="189"/>
      <c r="Q847" s="47" t="s">
        <v>833</v>
      </c>
      <c r="T847" s="46"/>
      <c r="U847" s="46"/>
      <c r="V847" s="46"/>
    </row>
    <row r="848" spans="1:22" s="47" customFormat="1" ht="15.75" x14ac:dyDescent="0.25">
      <c r="A848" s="61"/>
      <c r="C848" s="46"/>
      <c r="D848" s="46"/>
      <c r="E848" s="46"/>
      <c r="F848" s="46"/>
      <c r="G848" s="46"/>
      <c r="H848" s="46"/>
      <c r="I848" s="46"/>
      <c r="J848" s="46"/>
      <c r="K848" s="218"/>
      <c r="L848" s="185"/>
      <c r="M848" s="91"/>
      <c r="N848" s="91"/>
      <c r="O848" s="189"/>
      <c r="Q848" s="47" t="s">
        <v>833</v>
      </c>
      <c r="T848" s="46"/>
      <c r="U848" s="46"/>
      <c r="V848" s="46"/>
    </row>
    <row r="849" spans="1:22" s="47" customFormat="1" ht="15.75" x14ac:dyDescent="0.25">
      <c r="A849" s="61"/>
      <c r="C849" s="46"/>
      <c r="D849" s="46"/>
      <c r="E849" s="46"/>
      <c r="F849" s="46"/>
      <c r="G849" s="46"/>
      <c r="H849" s="46"/>
      <c r="I849" s="46"/>
      <c r="J849" s="46"/>
      <c r="K849" s="218"/>
      <c r="L849" s="185"/>
      <c r="M849" s="91"/>
      <c r="N849" s="91"/>
      <c r="O849" s="189"/>
      <c r="Q849" s="47" t="s">
        <v>833</v>
      </c>
      <c r="T849" s="46"/>
      <c r="U849" s="46"/>
      <c r="V849" s="46"/>
    </row>
    <row r="850" spans="1:22" s="47" customFormat="1" ht="15.75" x14ac:dyDescent="0.25">
      <c r="A850" s="61"/>
      <c r="C850" s="46"/>
      <c r="D850" s="46"/>
      <c r="E850" s="46"/>
      <c r="F850" s="46"/>
      <c r="G850" s="46"/>
      <c r="H850" s="46"/>
      <c r="I850" s="46"/>
      <c r="J850" s="46"/>
      <c r="K850" s="218"/>
      <c r="L850" s="185"/>
      <c r="M850" s="91"/>
      <c r="N850" s="91"/>
      <c r="O850" s="189"/>
      <c r="Q850" s="47" t="s">
        <v>833</v>
      </c>
      <c r="T850" s="46"/>
      <c r="U850" s="46"/>
      <c r="V850" s="46"/>
    </row>
    <row r="851" spans="1:22" s="47" customFormat="1" ht="15.75" x14ac:dyDescent="0.25">
      <c r="A851" s="61"/>
      <c r="C851" s="46"/>
      <c r="D851" s="46"/>
      <c r="E851" s="46"/>
      <c r="F851" s="46"/>
      <c r="G851" s="46"/>
      <c r="H851" s="46"/>
      <c r="I851" s="46"/>
      <c r="J851" s="46"/>
      <c r="K851" s="218"/>
      <c r="L851" s="185"/>
      <c r="M851" s="91"/>
      <c r="N851" s="91"/>
      <c r="O851" s="189"/>
      <c r="Q851" s="47" t="s">
        <v>833</v>
      </c>
      <c r="T851" s="46"/>
      <c r="U851" s="46"/>
      <c r="V851" s="46"/>
    </row>
    <row r="852" spans="1:22" s="47" customFormat="1" ht="15.75" x14ac:dyDescent="0.25">
      <c r="A852" s="61"/>
      <c r="C852" s="46"/>
      <c r="D852" s="46"/>
      <c r="E852" s="46"/>
      <c r="F852" s="46"/>
      <c r="G852" s="46"/>
      <c r="H852" s="46"/>
      <c r="I852" s="46"/>
      <c r="J852" s="46"/>
      <c r="K852" s="218"/>
      <c r="L852" s="185"/>
      <c r="M852" s="91"/>
      <c r="N852" s="91"/>
      <c r="O852" s="189"/>
      <c r="Q852" s="47" t="s">
        <v>833</v>
      </c>
      <c r="T852" s="46"/>
      <c r="U852" s="46"/>
      <c r="V852" s="46"/>
    </row>
    <row r="853" spans="1:22" s="47" customFormat="1" ht="15.75" x14ac:dyDescent="0.25">
      <c r="A853" s="61"/>
      <c r="C853" s="46"/>
      <c r="D853" s="46"/>
      <c r="E853" s="46"/>
      <c r="F853" s="46"/>
      <c r="G853" s="46"/>
      <c r="H853" s="46"/>
      <c r="I853" s="46"/>
      <c r="J853" s="46"/>
      <c r="K853" s="218"/>
      <c r="L853" s="185"/>
      <c r="M853" s="91"/>
      <c r="N853" s="91"/>
      <c r="O853" s="189"/>
      <c r="Q853" s="47" t="s">
        <v>833</v>
      </c>
      <c r="T853" s="46"/>
      <c r="U853" s="46"/>
      <c r="V853" s="46"/>
    </row>
    <row r="854" spans="1:22" s="47" customFormat="1" ht="15.75" x14ac:dyDescent="0.25">
      <c r="A854" s="61"/>
      <c r="C854" s="46"/>
      <c r="D854" s="46"/>
      <c r="E854" s="46"/>
      <c r="F854" s="46"/>
      <c r="G854" s="46"/>
      <c r="H854" s="46"/>
      <c r="I854" s="46"/>
      <c r="J854" s="46"/>
      <c r="K854" s="218"/>
      <c r="L854" s="185"/>
      <c r="M854" s="91"/>
      <c r="N854" s="91"/>
      <c r="O854" s="189"/>
      <c r="Q854" s="47" t="s">
        <v>833</v>
      </c>
      <c r="T854" s="46"/>
      <c r="U854" s="46"/>
      <c r="V854" s="46"/>
    </row>
    <row r="855" spans="1:22" s="47" customFormat="1" ht="15.75" x14ac:dyDescent="0.25">
      <c r="A855" s="61"/>
      <c r="C855" s="46"/>
      <c r="D855" s="46"/>
      <c r="E855" s="46"/>
      <c r="F855" s="46"/>
      <c r="G855" s="46"/>
      <c r="H855" s="46"/>
      <c r="I855" s="46"/>
      <c r="J855" s="46"/>
      <c r="K855" s="218"/>
      <c r="L855" s="185"/>
      <c r="M855" s="91"/>
      <c r="N855" s="91"/>
      <c r="O855" s="189"/>
      <c r="Q855" s="47" t="s">
        <v>833</v>
      </c>
      <c r="T855" s="46"/>
      <c r="U855" s="46"/>
      <c r="V855" s="46"/>
    </row>
    <row r="856" spans="1:22" s="47" customFormat="1" ht="15.75" x14ac:dyDescent="0.25">
      <c r="A856" s="61"/>
      <c r="C856" s="46"/>
      <c r="D856" s="46"/>
      <c r="E856" s="46"/>
      <c r="F856" s="46"/>
      <c r="G856" s="46"/>
      <c r="H856" s="46"/>
      <c r="I856" s="46"/>
      <c r="J856" s="46"/>
      <c r="K856" s="218"/>
      <c r="L856" s="185"/>
      <c r="M856" s="91"/>
      <c r="N856" s="91"/>
      <c r="O856" s="189"/>
      <c r="Q856" s="47" t="s">
        <v>833</v>
      </c>
      <c r="T856" s="46"/>
      <c r="U856" s="46"/>
      <c r="V856" s="46"/>
    </row>
    <row r="857" spans="1:22" s="47" customFormat="1" ht="15.75" x14ac:dyDescent="0.25">
      <c r="A857" s="61"/>
      <c r="C857" s="46"/>
      <c r="D857" s="46"/>
      <c r="E857" s="46"/>
      <c r="F857" s="46"/>
      <c r="G857" s="46"/>
      <c r="H857" s="46"/>
      <c r="I857" s="46"/>
      <c r="J857" s="46"/>
      <c r="K857" s="218"/>
      <c r="L857" s="185"/>
      <c r="M857" s="91"/>
      <c r="N857" s="91"/>
      <c r="O857" s="189"/>
      <c r="Q857" s="47" t="s">
        <v>833</v>
      </c>
      <c r="T857" s="46"/>
      <c r="U857" s="46"/>
      <c r="V857" s="46"/>
    </row>
    <row r="858" spans="1:22" s="47" customFormat="1" ht="15.75" x14ac:dyDescent="0.25">
      <c r="A858" s="61"/>
      <c r="C858" s="46"/>
      <c r="D858" s="46"/>
      <c r="E858" s="46"/>
      <c r="F858" s="46"/>
      <c r="G858" s="46"/>
      <c r="H858" s="46"/>
      <c r="I858" s="46"/>
      <c r="J858" s="46"/>
      <c r="K858" s="218"/>
      <c r="L858" s="185"/>
      <c r="M858" s="91"/>
      <c r="N858" s="91"/>
      <c r="O858" s="189"/>
      <c r="Q858" s="47" t="s">
        <v>833</v>
      </c>
      <c r="T858" s="46"/>
      <c r="U858" s="46"/>
      <c r="V858" s="46"/>
    </row>
    <row r="859" spans="1:22" s="47" customFormat="1" ht="15.75" x14ac:dyDescent="0.25">
      <c r="A859" s="61"/>
      <c r="C859" s="46"/>
      <c r="D859" s="46"/>
      <c r="E859" s="46"/>
      <c r="F859" s="46"/>
      <c r="G859" s="46"/>
      <c r="H859" s="46"/>
      <c r="I859" s="46"/>
      <c r="J859" s="46"/>
      <c r="K859" s="218"/>
      <c r="L859" s="185"/>
      <c r="M859" s="91"/>
      <c r="N859" s="91"/>
      <c r="O859" s="189"/>
      <c r="Q859" s="47" t="s">
        <v>833</v>
      </c>
      <c r="T859" s="46"/>
      <c r="U859" s="46"/>
      <c r="V859" s="46"/>
    </row>
    <row r="860" spans="1:22" s="47" customFormat="1" ht="15.75" x14ac:dyDescent="0.25">
      <c r="A860" s="61"/>
      <c r="C860" s="46"/>
      <c r="D860" s="46"/>
      <c r="E860" s="46"/>
      <c r="F860" s="46"/>
      <c r="G860" s="46"/>
      <c r="H860" s="46"/>
      <c r="I860" s="46"/>
      <c r="J860" s="46"/>
      <c r="K860" s="218"/>
      <c r="L860" s="185"/>
      <c r="M860" s="91"/>
      <c r="N860" s="91"/>
      <c r="O860" s="189"/>
      <c r="Q860" s="47" t="s">
        <v>833</v>
      </c>
      <c r="T860" s="46"/>
      <c r="U860" s="46"/>
      <c r="V860" s="46"/>
    </row>
    <row r="861" spans="1:22" s="47" customFormat="1" ht="15.75" x14ac:dyDescent="0.25">
      <c r="A861" s="61"/>
      <c r="C861" s="46"/>
      <c r="D861" s="46"/>
      <c r="E861" s="46"/>
      <c r="F861" s="46"/>
      <c r="G861" s="46"/>
      <c r="H861" s="46"/>
      <c r="I861" s="46"/>
      <c r="J861" s="46"/>
      <c r="K861" s="218"/>
      <c r="L861" s="185"/>
      <c r="M861" s="91"/>
      <c r="N861" s="91"/>
      <c r="O861" s="189"/>
      <c r="Q861" s="47" t="s">
        <v>833</v>
      </c>
      <c r="T861" s="46"/>
      <c r="U861" s="46"/>
      <c r="V861" s="46"/>
    </row>
    <row r="862" spans="1:22" s="47" customFormat="1" ht="15.75" x14ac:dyDescent="0.25">
      <c r="A862" s="61"/>
      <c r="C862" s="46"/>
      <c r="D862" s="46"/>
      <c r="E862" s="46"/>
      <c r="F862" s="46"/>
      <c r="G862" s="46"/>
      <c r="H862" s="46"/>
      <c r="I862" s="46"/>
      <c r="J862" s="46"/>
      <c r="K862" s="218"/>
      <c r="L862" s="185"/>
      <c r="M862" s="91"/>
      <c r="N862" s="91"/>
      <c r="O862" s="189"/>
      <c r="Q862" s="47" t="s">
        <v>833</v>
      </c>
      <c r="T862" s="46"/>
      <c r="U862" s="46"/>
      <c r="V862" s="46"/>
    </row>
    <row r="863" spans="1:22" s="47" customFormat="1" ht="15.75" x14ac:dyDescent="0.25">
      <c r="A863" s="61"/>
      <c r="C863" s="46"/>
      <c r="D863" s="46"/>
      <c r="E863" s="46"/>
      <c r="F863" s="46"/>
      <c r="G863" s="46"/>
      <c r="H863" s="46"/>
      <c r="I863" s="46"/>
      <c r="J863" s="46"/>
      <c r="K863" s="218"/>
      <c r="L863" s="185"/>
      <c r="M863" s="91"/>
      <c r="N863" s="91"/>
      <c r="O863" s="189"/>
      <c r="Q863" s="47" t="s">
        <v>833</v>
      </c>
      <c r="T863" s="46"/>
      <c r="U863" s="46"/>
      <c r="V863" s="46"/>
    </row>
    <row r="864" spans="1:22" s="47" customFormat="1" ht="15.75" x14ac:dyDescent="0.25">
      <c r="A864" s="61"/>
      <c r="C864" s="46"/>
      <c r="D864" s="46"/>
      <c r="E864" s="46"/>
      <c r="F864" s="46"/>
      <c r="G864" s="46"/>
      <c r="H864" s="46"/>
      <c r="I864" s="46"/>
      <c r="J864" s="46"/>
      <c r="K864" s="218"/>
      <c r="L864" s="185"/>
      <c r="M864" s="91"/>
      <c r="N864" s="91"/>
      <c r="O864" s="189"/>
      <c r="Q864" s="47" t="s">
        <v>833</v>
      </c>
      <c r="T864" s="46"/>
      <c r="U864" s="46"/>
      <c r="V864" s="46"/>
    </row>
    <row r="865" spans="1:22" s="47" customFormat="1" ht="15.75" x14ac:dyDescent="0.25">
      <c r="A865" s="61"/>
      <c r="C865" s="46"/>
      <c r="D865" s="46"/>
      <c r="E865" s="46"/>
      <c r="F865" s="46"/>
      <c r="G865" s="46"/>
      <c r="H865" s="46"/>
      <c r="I865" s="46"/>
      <c r="J865" s="46"/>
      <c r="K865" s="218"/>
      <c r="L865" s="185"/>
      <c r="M865" s="91"/>
      <c r="N865" s="91"/>
      <c r="O865" s="189"/>
      <c r="Q865" s="47" t="s">
        <v>833</v>
      </c>
      <c r="T865" s="46"/>
      <c r="U865" s="46"/>
      <c r="V865" s="46"/>
    </row>
    <row r="866" spans="1:22" s="47" customFormat="1" ht="15.75" x14ac:dyDescent="0.25">
      <c r="A866" s="61"/>
      <c r="C866" s="46"/>
      <c r="D866" s="46"/>
      <c r="E866" s="46"/>
      <c r="F866" s="46"/>
      <c r="G866" s="46"/>
      <c r="H866" s="46"/>
      <c r="I866" s="46"/>
      <c r="J866" s="46"/>
      <c r="K866" s="218"/>
      <c r="L866" s="185"/>
      <c r="M866" s="91"/>
      <c r="N866" s="91"/>
      <c r="O866" s="189"/>
      <c r="Q866" s="47" t="s">
        <v>833</v>
      </c>
      <c r="T866" s="46"/>
      <c r="U866" s="46"/>
      <c r="V866" s="46"/>
    </row>
    <row r="867" spans="1:22" s="47" customFormat="1" ht="15.75" x14ac:dyDescent="0.25">
      <c r="A867" s="61"/>
      <c r="C867" s="46"/>
      <c r="D867" s="46"/>
      <c r="E867" s="46"/>
      <c r="F867" s="46"/>
      <c r="G867" s="46"/>
      <c r="H867" s="46"/>
      <c r="I867" s="46"/>
      <c r="J867" s="46"/>
      <c r="K867" s="218"/>
      <c r="L867" s="185"/>
      <c r="M867" s="91"/>
      <c r="N867" s="91"/>
      <c r="O867" s="189"/>
      <c r="Q867" s="47" t="s">
        <v>833</v>
      </c>
      <c r="T867" s="46"/>
      <c r="U867" s="46"/>
      <c r="V867" s="46"/>
    </row>
    <row r="868" spans="1:22" s="47" customFormat="1" ht="15.75" x14ac:dyDescent="0.25">
      <c r="A868" s="61"/>
      <c r="C868" s="46"/>
      <c r="D868" s="46"/>
      <c r="E868" s="46"/>
      <c r="F868" s="46"/>
      <c r="G868" s="46"/>
      <c r="H868" s="46"/>
      <c r="I868" s="46"/>
      <c r="J868" s="46"/>
      <c r="K868" s="218"/>
      <c r="L868" s="185"/>
      <c r="M868" s="91"/>
      <c r="N868" s="91"/>
      <c r="O868" s="189"/>
      <c r="Q868" s="47" t="s">
        <v>833</v>
      </c>
      <c r="T868" s="46"/>
      <c r="U868" s="46"/>
      <c r="V868" s="46"/>
    </row>
    <row r="869" spans="1:22" s="47" customFormat="1" ht="15.75" x14ac:dyDescent="0.25">
      <c r="A869" s="61"/>
      <c r="C869" s="46"/>
      <c r="D869" s="46"/>
      <c r="E869" s="46"/>
      <c r="F869" s="46"/>
      <c r="G869" s="46"/>
      <c r="H869" s="46"/>
      <c r="I869" s="46"/>
      <c r="J869" s="46"/>
      <c r="K869" s="218"/>
      <c r="L869" s="185"/>
      <c r="M869" s="91"/>
      <c r="N869" s="91"/>
      <c r="O869" s="189"/>
      <c r="Q869" s="47" t="s">
        <v>833</v>
      </c>
      <c r="T869" s="46"/>
      <c r="U869" s="46"/>
      <c r="V869" s="46"/>
    </row>
    <row r="870" spans="1:22" s="47" customFormat="1" ht="15.75" x14ac:dyDescent="0.25">
      <c r="A870" s="61"/>
      <c r="C870" s="46"/>
      <c r="D870" s="46"/>
      <c r="E870" s="46"/>
      <c r="F870" s="46"/>
      <c r="G870" s="46"/>
      <c r="H870" s="46"/>
      <c r="I870" s="46"/>
      <c r="J870" s="46"/>
      <c r="K870" s="218"/>
      <c r="L870" s="185"/>
      <c r="M870" s="91"/>
      <c r="N870" s="91"/>
      <c r="O870" s="189"/>
      <c r="Q870" s="47" t="s">
        <v>833</v>
      </c>
      <c r="T870" s="46"/>
      <c r="U870" s="46"/>
      <c r="V870" s="46"/>
    </row>
    <row r="871" spans="1:22" s="47" customFormat="1" ht="15.75" x14ac:dyDescent="0.25">
      <c r="A871" s="61"/>
      <c r="C871" s="46"/>
      <c r="D871" s="46"/>
      <c r="E871" s="46"/>
      <c r="F871" s="46"/>
      <c r="G871" s="46"/>
      <c r="H871" s="46"/>
      <c r="I871" s="46"/>
      <c r="J871" s="46"/>
      <c r="K871" s="218"/>
      <c r="L871" s="185"/>
      <c r="M871" s="91"/>
      <c r="N871" s="91"/>
      <c r="O871" s="189"/>
      <c r="Q871" s="47" t="s">
        <v>833</v>
      </c>
      <c r="T871" s="46"/>
      <c r="U871" s="46"/>
      <c r="V871" s="46"/>
    </row>
    <row r="872" spans="1:22" s="47" customFormat="1" ht="15.75" x14ac:dyDescent="0.25">
      <c r="A872" s="61"/>
      <c r="C872" s="46"/>
      <c r="D872" s="46"/>
      <c r="E872" s="46"/>
      <c r="F872" s="46"/>
      <c r="G872" s="46"/>
      <c r="H872" s="46"/>
      <c r="I872" s="46"/>
      <c r="J872" s="46"/>
      <c r="K872" s="218"/>
      <c r="L872" s="185"/>
      <c r="M872" s="91"/>
      <c r="N872" s="91"/>
      <c r="O872" s="189"/>
      <c r="Q872" s="47" t="s">
        <v>833</v>
      </c>
      <c r="T872" s="46"/>
      <c r="U872" s="46"/>
      <c r="V872" s="46"/>
    </row>
    <row r="873" spans="1:22" s="47" customFormat="1" ht="15.75" x14ac:dyDescent="0.25">
      <c r="A873" s="61"/>
      <c r="C873" s="46"/>
      <c r="D873" s="46"/>
      <c r="E873" s="46"/>
      <c r="F873" s="46"/>
      <c r="G873" s="46"/>
      <c r="H873" s="46"/>
      <c r="I873" s="46"/>
      <c r="J873" s="46"/>
      <c r="K873" s="218"/>
      <c r="L873" s="185"/>
      <c r="M873" s="91"/>
      <c r="N873" s="91"/>
      <c r="O873" s="189"/>
      <c r="Q873" s="47" t="s">
        <v>833</v>
      </c>
      <c r="T873" s="46"/>
      <c r="U873" s="46"/>
      <c r="V873" s="46"/>
    </row>
    <row r="874" spans="1:22" s="47" customFormat="1" ht="15.75" x14ac:dyDescent="0.25">
      <c r="A874" s="61"/>
      <c r="C874" s="46"/>
      <c r="D874" s="46"/>
      <c r="E874" s="46"/>
      <c r="F874" s="46"/>
      <c r="G874" s="46"/>
      <c r="H874" s="46"/>
      <c r="I874" s="46"/>
      <c r="J874" s="46"/>
      <c r="K874" s="218"/>
      <c r="L874" s="185"/>
      <c r="M874" s="91"/>
      <c r="N874" s="91"/>
      <c r="O874" s="189"/>
      <c r="Q874" s="47" t="s">
        <v>833</v>
      </c>
      <c r="T874" s="46"/>
      <c r="U874" s="46"/>
      <c r="V874" s="46"/>
    </row>
    <row r="875" spans="1:22" s="47" customFormat="1" ht="15.75" x14ac:dyDescent="0.25">
      <c r="A875" s="61"/>
      <c r="C875" s="46"/>
      <c r="D875" s="46"/>
      <c r="E875" s="46"/>
      <c r="F875" s="46"/>
      <c r="G875" s="46"/>
      <c r="H875" s="46"/>
      <c r="I875" s="46"/>
      <c r="J875" s="46"/>
      <c r="K875" s="218"/>
      <c r="L875" s="185"/>
      <c r="M875" s="91"/>
      <c r="N875" s="91"/>
      <c r="O875" s="189"/>
      <c r="Q875" s="47" t="s">
        <v>833</v>
      </c>
      <c r="T875" s="46"/>
      <c r="U875" s="46"/>
      <c r="V875" s="46"/>
    </row>
    <row r="876" spans="1:22" s="47" customFormat="1" ht="15.75" x14ac:dyDescent="0.25">
      <c r="A876" s="61"/>
      <c r="C876" s="46"/>
      <c r="D876" s="46"/>
      <c r="E876" s="46"/>
      <c r="F876" s="46"/>
      <c r="G876" s="46"/>
      <c r="H876" s="46"/>
      <c r="I876" s="46"/>
      <c r="J876" s="46"/>
      <c r="K876" s="218"/>
      <c r="L876" s="185"/>
      <c r="M876" s="91"/>
      <c r="N876" s="91"/>
      <c r="O876" s="189"/>
      <c r="Q876" s="47" t="s">
        <v>833</v>
      </c>
      <c r="T876" s="46"/>
      <c r="U876" s="46"/>
      <c r="V876" s="46"/>
    </row>
    <row r="877" spans="1:22" s="47" customFormat="1" ht="15.75" x14ac:dyDescent="0.25">
      <c r="A877" s="61"/>
      <c r="C877" s="46"/>
      <c r="D877" s="46"/>
      <c r="E877" s="46"/>
      <c r="F877" s="46"/>
      <c r="G877" s="46"/>
      <c r="H877" s="46"/>
      <c r="I877" s="46"/>
      <c r="J877" s="46"/>
      <c r="K877" s="218"/>
      <c r="L877" s="185"/>
      <c r="M877" s="91"/>
      <c r="N877" s="91"/>
      <c r="O877" s="189"/>
      <c r="Q877" s="47" t="s">
        <v>833</v>
      </c>
      <c r="T877" s="46"/>
      <c r="U877" s="46"/>
      <c r="V877" s="46"/>
    </row>
    <row r="878" spans="1:22" s="47" customFormat="1" ht="15.75" x14ac:dyDescent="0.25">
      <c r="A878" s="61"/>
      <c r="C878" s="46"/>
      <c r="D878" s="46"/>
      <c r="E878" s="46"/>
      <c r="F878" s="46"/>
      <c r="G878" s="46"/>
      <c r="H878" s="46"/>
      <c r="I878" s="46"/>
      <c r="J878" s="46"/>
      <c r="K878" s="218"/>
      <c r="L878" s="185"/>
      <c r="M878" s="91"/>
      <c r="N878" s="91"/>
      <c r="O878" s="189"/>
      <c r="Q878" s="47" t="s">
        <v>833</v>
      </c>
      <c r="T878" s="46"/>
      <c r="U878" s="46"/>
      <c r="V878" s="46"/>
    </row>
    <row r="879" spans="1:22" s="47" customFormat="1" ht="15.75" x14ac:dyDescent="0.25">
      <c r="A879" s="61"/>
      <c r="C879" s="46"/>
      <c r="D879" s="46"/>
      <c r="E879" s="46"/>
      <c r="F879" s="46"/>
      <c r="G879" s="46"/>
      <c r="H879" s="46"/>
      <c r="I879" s="46"/>
      <c r="J879" s="46"/>
      <c r="K879" s="218"/>
      <c r="L879" s="185"/>
      <c r="M879" s="91"/>
      <c r="N879" s="91"/>
      <c r="O879" s="189"/>
      <c r="Q879" s="47" t="s">
        <v>833</v>
      </c>
      <c r="T879" s="46"/>
      <c r="U879" s="46"/>
      <c r="V879" s="46"/>
    </row>
    <row r="880" spans="1:22" s="47" customFormat="1" ht="15.75" x14ac:dyDescent="0.25">
      <c r="A880" s="61"/>
      <c r="C880" s="46"/>
      <c r="D880" s="46"/>
      <c r="E880" s="46"/>
      <c r="F880" s="46"/>
      <c r="G880" s="46"/>
      <c r="H880" s="46"/>
      <c r="I880" s="46"/>
      <c r="J880" s="46"/>
      <c r="K880" s="218"/>
      <c r="L880" s="185"/>
      <c r="M880" s="91"/>
      <c r="N880" s="91"/>
      <c r="O880" s="189"/>
      <c r="Q880" s="47" t="s">
        <v>833</v>
      </c>
      <c r="T880" s="46"/>
      <c r="U880" s="46"/>
      <c r="V880" s="46"/>
    </row>
    <row r="881" spans="1:22" s="47" customFormat="1" ht="15.75" x14ac:dyDescent="0.25">
      <c r="A881" s="61"/>
      <c r="C881" s="46"/>
      <c r="D881" s="46"/>
      <c r="E881" s="46"/>
      <c r="F881" s="46"/>
      <c r="G881" s="46"/>
      <c r="H881" s="46"/>
      <c r="I881" s="46"/>
      <c r="J881" s="46"/>
      <c r="K881" s="218"/>
      <c r="L881" s="185"/>
      <c r="M881" s="91"/>
      <c r="N881" s="91"/>
      <c r="O881" s="189"/>
      <c r="Q881" s="47" t="s">
        <v>833</v>
      </c>
      <c r="T881" s="46"/>
      <c r="U881" s="46"/>
      <c r="V881" s="46"/>
    </row>
    <row r="882" spans="1:22" s="47" customFormat="1" ht="15.75" x14ac:dyDescent="0.25">
      <c r="A882" s="61"/>
      <c r="C882" s="46"/>
      <c r="D882" s="46"/>
      <c r="E882" s="46"/>
      <c r="F882" s="46"/>
      <c r="G882" s="46"/>
      <c r="H882" s="46"/>
      <c r="I882" s="46"/>
      <c r="J882" s="46"/>
      <c r="K882" s="218"/>
      <c r="L882" s="185"/>
      <c r="M882" s="91"/>
      <c r="N882" s="91"/>
      <c r="O882" s="189"/>
      <c r="Q882" s="47" t="s">
        <v>833</v>
      </c>
      <c r="T882" s="46"/>
      <c r="U882" s="46"/>
      <c r="V882" s="46"/>
    </row>
    <row r="883" spans="1:22" s="47" customFormat="1" ht="15.75" x14ac:dyDescent="0.25">
      <c r="A883" s="61"/>
      <c r="C883" s="46"/>
      <c r="D883" s="46"/>
      <c r="E883" s="46"/>
      <c r="F883" s="46"/>
      <c r="G883" s="46"/>
      <c r="H883" s="46"/>
      <c r="I883" s="46"/>
      <c r="J883" s="46"/>
      <c r="K883" s="218"/>
      <c r="L883" s="185"/>
      <c r="M883" s="91"/>
      <c r="N883" s="91"/>
      <c r="O883" s="189"/>
      <c r="Q883" s="47" t="s">
        <v>833</v>
      </c>
      <c r="T883" s="46"/>
      <c r="U883" s="46"/>
      <c r="V883" s="46"/>
    </row>
    <row r="884" spans="1:22" s="47" customFormat="1" ht="15.75" x14ac:dyDescent="0.25">
      <c r="A884" s="61"/>
      <c r="C884" s="46"/>
      <c r="D884" s="46"/>
      <c r="E884" s="46"/>
      <c r="F884" s="46"/>
      <c r="G884" s="46"/>
      <c r="H884" s="46"/>
      <c r="I884" s="46"/>
      <c r="J884" s="46"/>
      <c r="K884" s="218"/>
      <c r="L884" s="185"/>
      <c r="M884" s="91"/>
      <c r="N884" s="91"/>
      <c r="O884" s="189"/>
      <c r="Q884" s="47" t="s">
        <v>833</v>
      </c>
      <c r="T884" s="46"/>
      <c r="U884" s="46"/>
      <c r="V884" s="46"/>
    </row>
    <row r="885" spans="1:22" s="47" customFormat="1" ht="15.75" x14ac:dyDescent="0.25">
      <c r="A885" s="61"/>
      <c r="C885" s="46"/>
      <c r="D885" s="46"/>
      <c r="E885" s="46"/>
      <c r="F885" s="46"/>
      <c r="G885" s="46"/>
      <c r="H885" s="46"/>
      <c r="I885" s="46"/>
      <c r="J885" s="46"/>
      <c r="K885" s="218"/>
      <c r="L885" s="185"/>
      <c r="M885" s="91"/>
      <c r="N885" s="91"/>
      <c r="O885" s="189"/>
      <c r="Q885" s="47" t="s">
        <v>833</v>
      </c>
      <c r="T885" s="46"/>
      <c r="U885" s="46"/>
      <c r="V885" s="46"/>
    </row>
    <row r="886" spans="1:22" s="47" customFormat="1" ht="15.75" x14ac:dyDescent="0.25">
      <c r="A886" s="61"/>
      <c r="C886" s="46"/>
      <c r="D886" s="46"/>
      <c r="E886" s="46"/>
      <c r="F886" s="46"/>
      <c r="G886" s="46"/>
      <c r="H886" s="46"/>
      <c r="I886" s="46"/>
      <c r="J886" s="46"/>
      <c r="K886" s="218"/>
      <c r="L886" s="185"/>
      <c r="M886" s="91"/>
      <c r="N886" s="91"/>
      <c r="O886" s="189"/>
      <c r="Q886" s="47" t="s">
        <v>833</v>
      </c>
      <c r="T886" s="46"/>
      <c r="U886" s="46"/>
      <c r="V886" s="46"/>
    </row>
    <row r="887" spans="1:22" s="47" customFormat="1" ht="15.75" x14ac:dyDescent="0.25">
      <c r="A887" s="61"/>
      <c r="C887" s="46"/>
      <c r="D887" s="46"/>
      <c r="E887" s="46"/>
      <c r="F887" s="46"/>
      <c r="G887" s="46"/>
      <c r="H887" s="46"/>
      <c r="I887" s="46"/>
      <c r="J887" s="46"/>
      <c r="K887" s="218"/>
      <c r="L887" s="185"/>
      <c r="M887" s="91"/>
      <c r="N887" s="91"/>
      <c r="O887" s="189"/>
      <c r="Q887" s="47" t="s">
        <v>833</v>
      </c>
      <c r="T887" s="46"/>
      <c r="U887" s="46"/>
      <c r="V887" s="46"/>
    </row>
    <row r="888" spans="1:22" s="47" customFormat="1" ht="15.75" x14ac:dyDescent="0.25">
      <c r="A888" s="61"/>
      <c r="C888" s="46"/>
      <c r="D888" s="46"/>
      <c r="E888" s="46"/>
      <c r="F888" s="46"/>
      <c r="G888" s="46"/>
      <c r="H888" s="46"/>
      <c r="I888" s="46"/>
      <c r="J888" s="46"/>
      <c r="K888" s="218"/>
      <c r="L888" s="185"/>
      <c r="M888" s="91"/>
      <c r="N888" s="91"/>
      <c r="O888" s="189"/>
      <c r="Q888" s="47" t="s">
        <v>833</v>
      </c>
      <c r="T888" s="46"/>
      <c r="U888" s="46"/>
      <c r="V888" s="46"/>
    </row>
    <row r="889" spans="1:22" s="47" customFormat="1" ht="15.75" x14ac:dyDescent="0.25">
      <c r="A889" s="61"/>
      <c r="C889" s="46"/>
      <c r="D889" s="46"/>
      <c r="E889" s="46"/>
      <c r="F889" s="46"/>
      <c r="G889" s="46"/>
      <c r="H889" s="46"/>
      <c r="I889" s="46"/>
      <c r="J889" s="46"/>
      <c r="K889" s="218"/>
      <c r="L889" s="185"/>
      <c r="M889" s="91"/>
      <c r="N889" s="91"/>
      <c r="O889" s="189"/>
      <c r="Q889" s="47" t="s">
        <v>833</v>
      </c>
      <c r="T889" s="46"/>
      <c r="U889" s="46"/>
      <c r="V889" s="46"/>
    </row>
    <row r="890" spans="1:22" s="47" customFormat="1" ht="15.75" x14ac:dyDescent="0.25">
      <c r="A890" s="61"/>
      <c r="C890" s="46"/>
      <c r="D890" s="46"/>
      <c r="E890" s="46"/>
      <c r="F890" s="46"/>
      <c r="G890" s="46"/>
      <c r="H890" s="46"/>
      <c r="I890" s="46"/>
      <c r="J890" s="46"/>
      <c r="K890" s="218"/>
      <c r="L890" s="185"/>
      <c r="M890" s="91"/>
      <c r="N890" s="91"/>
      <c r="O890" s="189"/>
      <c r="Q890" s="47" t="s">
        <v>833</v>
      </c>
      <c r="T890" s="46"/>
      <c r="U890" s="46"/>
      <c r="V890" s="46"/>
    </row>
    <row r="891" spans="1:22" s="47" customFormat="1" ht="15.75" x14ac:dyDescent="0.25">
      <c r="A891" s="61"/>
      <c r="C891" s="46"/>
      <c r="D891" s="46"/>
      <c r="E891" s="46"/>
      <c r="F891" s="46"/>
      <c r="G891" s="46"/>
      <c r="H891" s="46"/>
      <c r="I891" s="46"/>
      <c r="J891" s="46"/>
      <c r="K891" s="218"/>
      <c r="L891" s="185"/>
      <c r="M891" s="91"/>
      <c r="N891" s="91"/>
      <c r="O891" s="189"/>
      <c r="Q891" s="47" t="s">
        <v>833</v>
      </c>
      <c r="T891" s="46"/>
      <c r="U891" s="46"/>
      <c r="V891" s="46"/>
    </row>
    <row r="892" spans="1:22" s="47" customFormat="1" ht="15.75" x14ac:dyDescent="0.25">
      <c r="A892" s="61"/>
      <c r="C892" s="46"/>
      <c r="D892" s="46"/>
      <c r="E892" s="46"/>
      <c r="F892" s="46"/>
      <c r="G892" s="46"/>
      <c r="H892" s="46"/>
      <c r="I892" s="46"/>
      <c r="J892" s="46"/>
      <c r="K892" s="218"/>
      <c r="L892" s="185"/>
      <c r="M892" s="91"/>
      <c r="N892" s="91"/>
      <c r="O892" s="189"/>
      <c r="Q892" s="47" t="s">
        <v>833</v>
      </c>
      <c r="T892" s="46"/>
      <c r="U892" s="46"/>
      <c r="V892" s="46"/>
    </row>
    <row r="893" spans="1:22" s="47" customFormat="1" ht="15.75" x14ac:dyDescent="0.25">
      <c r="A893" s="61"/>
      <c r="C893" s="46"/>
      <c r="D893" s="46"/>
      <c r="E893" s="46"/>
      <c r="F893" s="46"/>
      <c r="G893" s="46"/>
      <c r="H893" s="46"/>
      <c r="I893" s="46"/>
      <c r="J893" s="46"/>
      <c r="K893" s="218"/>
      <c r="L893" s="185"/>
      <c r="M893" s="91"/>
      <c r="N893" s="91"/>
      <c r="O893" s="189"/>
      <c r="Q893" s="47" t="s">
        <v>833</v>
      </c>
      <c r="T893" s="46"/>
      <c r="U893" s="46"/>
      <c r="V893" s="46"/>
    </row>
    <row r="894" spans="1:22" s="47" customFormat="1" ht="15.75" x14ac:dyDescent="0.25">
      <c r="A894" s="61"/>
      <c r="C894" s="46"/>
      <c r="D894" s="46"/>
      <c r="E894" s="46"/>
      <c r="F894" s="46"/>
      <c r="G894" s="46"/>
      <c r="H894" s="46"/>
      <c r="I894" s="46"/>
      <c r="J894" s="46"/>
      <c r="K894" s="218"/>
      <c r="L894" s="185"/>
      <c r="M894" s="91"/>
      <c r="N894" s="91"/>
      <c r="O894" s="189"/>
      <c r="Q894" s="47" t="s">
        <v>833</v>
      </c>
      <c r="T894" s="46"/>
      <c r="U894" s="46"/>
      <c r="V894" s="46"/>
    </row>
    <row r="895" spans="1:22" s="47" customFormat="1" ht="15.75" x14ac:dyDescent="0.25">
      <c r="A895" s="61"/>
      <c r="C895" s="46"/>
      <c r="D895" s="46"/>
      <c r="E895" s="46"/>
      <c r="F895" s="46"/>
      <c r="G895" s="46"/>
      <c r="H895" s="46"/>
      <c r="I895" s="46"/>
      <c r="J895" s="46"/>
      <c r="K895" s="218"/>
      <c r="L895" s="185"/>
      <c r="M895" s="91"/>
      <c r="N895" s="91"/>
      <c r="O895" s="189"/>
      <c r="Q895" s="47" t="s">
        <v>833</v>
      </c>
      <c r="T895" s="46"/>
      <c r="U895" s="46"/>
      <c r="V895" s="46"/>
    </row>
    <row r="896" spans="1:22" s="47" customFormat="1" ht="15.75" x14ac:dyDescent="0.25">
      <c r="A896" s="61"/>
      <c r="C896" s="46"/>
      <c r="D896" s="46"/>
      <c r="E896" s="46"/>
      <c r="F896" s="46"/>
      <c r="G896" s="46"/>
      <c r="H896" s="46"/>
      <c r="I896" s="46"/>
      <c r="J896" s="46"/>
      <c r="K896" s="218"/>
      <c r="L896" s="185"/>
      <c r="M896" s="91"/>
      <c r="N896" s="91"/>
      <c r="O896" s="189"/>
      <c r="Q896" s="47" t="s">
        <v>833</v>
      </c>
      <c r="T896" s="46"/>
      <c r="U896" s="46"/>
      <c r="V896" s="46"/>
    </row>
    <row r="897" spans="1:22" s="47" customFormat="1" ht="15.75" x14ac:dyDescent="0.25">
      <c r="A897" s="61"/>
      <c r="C897" s="46"/>
      <c r="D897" s="46"/>
      <c r="E897" s="46"/>
      <c r="F897" s="46"/>
      <c r="G897" s="46"/>
      <c r="H897" s="46"/>
      <c r="I897" s="46"/>
      <c r="J897" s="46"/>
      <c r="K897" s="218"/>
      <c r="L897" s="185"/>
      <c r="M897" s="91"/>
      <c r="N897" s="91"/>
      <c r="O897" s="189"/>
      <c r="Q897" s="47" t="s">
        <v>833</v>
      </c>
      <c r="T897" s="46"/>
      <c r="U897" s="46"/>
      <c r="V897" s="46"/>
    </row>
    <row r="898" spans="1:22" s="47" customFormat="1" ht="15.75" x14ac:dyDescent="0.25">
      <c r="A898" s="61"/>
      <c r="C898" s="46"/>
      <c r="D898" s="46"/>
      <c r="E898" s="46"/>
      <c r="F898" s="46"/>
      <c r="G898" s="46"/>
      <c r="H898" s="46"/>
      <c r="I898" s="46"/>
      <c r="J898" s="46"/>
      <c r="K898" s="218"/>
      <c r="L898" s="185"/>
      <c r="M898" s="91"/>
      <c r="N898" s="91"/>
      <c r="O898" s="189"/>
      <c r="Q898" s="47" t="s">
        <v>833</v>
      </c>
      <c r="T898" s="46"/>
      <c r="U898" s="46"/>
      <c r="V898" s="46"/>
    </row>
    <row r="899" spans="1:22" s="47" customFormat="1" ht="15.75" x14ac:dyDescent="0.25">
      <c r="A899" s="61"/>
      <c r="C899" s="46"/>
      <c r="D899" s="46"/>
      <c r="E899" s="46"/>
      <c r="F899" s="46"/>
      <c r="G899" s="46"/>
      <c r="H899" s="46"/>
      <c r="I899" s="46"/>
      <c r="J899" s="46"/>
      <c r="K899" s="218"/>
      <c r="L899" s="185"/>
      <c r="M899" s="91"/>
      <c r="N899" s="91"/>
      <c r="O899" s="189"/>
      <c r="Q899" s="47" t="s">
        <v>833</v>
      </c>
      <c r="T899" s="46"/>
      <c r="U899" s="46"/>
      <c r="V899" s="46"/>
    </row>
    <row r="900" spans="1:22" s="47" customFormat="1" ht="15.75" x14ac:dyDescent="0.25">
      <c r="A900" s="61"/>
      <c r="C900" s="46"/>
      <c r="D900" s="46"/>
      <c r="E900" s="46"/>
      <c r="F900" s="46"/>
      <c r="G900" s="46"/>
      <c r="H900" s="46"/>
      <c r="I900" s="46"/>
      <c r="J900" s="46"/>
      <c r="K900" s="218"/>
      <c r="L900" s="185"/>
      <c r="M900" s="91"/>
      <c r="N900" s="91"/>
      <c r="O900" s="189"/>
      <c r="Q900" s="47" t="s">
        <v>833</v>
      </c>
      <c r="T900" s="46"/>
      <c r="U900" s="46"/>
      <c r="V900" s="46"/>
    </row>
    <row r="901" spans="1:22" s="47" customFormat="1" ht="15.75" x14ac:dyDescent="0.25">
      <c r="A901" s="61"/>
      <c r="C901" s="46"/>
      <c r="D901" s="46"/>
      <c r="E901" s="46"/>
      <c r="F901" s="46"/>
      <c r="G901" s="46"/>
      <c r="H901" s="46"/>
      <c r="I901" s="46"/>
      <c r="J901" s="46"/>
      <c r="K901" s="218"/>
      <c r="L901" s="185"/>
      <c r="M901" s="91"/>
      <c r="N901" s="91"/>
      <c r="O901" s="189"/>
      <c r="Q901" s="47" t="s">
        <v>833</v>
      </c>
      <c r="T901" s="46"/>
      <c r="U901" s="46"/>
      <c r="V901" s="46"/>
    </row>
    <row r="902" spans="1:22" s="47" customFormat="1" ht="15.75" x14ac:dyDescent="0.25">
      <c r="A902" s="61"/>
      <c r="C902" s="46"/>
      <c r="D902" s="46"/>
      <c r="E902" s="46"/>
      <c r="F902" s="46"/>
      <c r="G902" s="46"/>
      <c r="H902" s="46"/>
      <c r="I902" s="46"/>
      <c r="J902" s="46"/>
      <c r="K902" s="218"/>
      <c r="L902" s="185"/>
      <c r="M902" s="91"/>
      <c r="N902" s="91"/>
      <c r="O902" s="189"/>
      <c r="Q902" s="47" t="s">
        <v>833</v>
      </c>
      <c r="T902" s="46"/>
      <c r="U902" s="46"/>
      <c r="V902" s="46"/>
    </row>
    <row r="903" spans="1:22" s="47" customFormat="1" ht="15.75" x14ac:dyDescent="0.25">
      <c r="A903" s="61"/>
      <c r="C903" s="46"/>
      <c r="D903" s="46"/>
      <c r="E903" s="46"/>
      <c r="F903" s="46"/>
      <c r="G903" s="46"/>
      <c r="H903" s="46"/>
      <c r="I903" s="46"/>
      <c r="J903" s="46"/>
      <c r="K903" s="218"/>
      <c r="L903" s="185"/>
      <c r="M903" s="91"/>
      <c r="N903" s="91"/>
      <c r="O903" s="189"/>
      <c r="Q903" s="47" t="s">
        <v>833</v>
      </c>
      <c r="T903" s="46"/>
      <c r="U903" s="46"/>
      <c r="V903" s="46"/>
    </row>
    <row r="904" spans="1:22" s="47" customFormat="1" ht="15.75" x14ac:dyDescent="0.25">
      <c r="A904" s="61"/>
      <c r="C904" s="46"/>
      <c r="D904" s="46"/>
      <c r="E904" s="46"/>
      <c r="F904" s="46"/>
      <c r="G904" s="46"/>
      <c r="H904" s="46"/>
      <c r="I904" s="46"/>
      <c r="J904" s="46"/>
      <c r="K904" s="218"/>
      <c r="L904" s="185"/>
      <c r="M904" s="91"/>
      <c r="N904" s="91"/>
      <c r="O904" s="189"/>
      <c r="Q904" s="47" t="s">
        <v>833</v>
      </c>
      <c r="T904" s="46"/>
      <c r="U904" s="46"/>
      <c r="V904" s="46"/>
    </row>
    <row r="905" spans="1:22" s="47" customFormat="1" ht="15.75" x14ac:dyDescent="0.25">
      <c r="A905" s="61"/>
      <c r="C905" s="46"/>
      <c r="D905" s="46"/>
      <c r="E905" s="46"/>
      <c r="F905" s="46"/>
      <c r="G905" s="46"/>
      <c r="H905" s="46"/>
      <c r="I905" s="46"/>
      <c r="J905" s="46"/>
      <c r="K905" s="218"/>
      <c r="L905" s="185"/>
      <c r="M905" s="91"/>
      <c r="N905" s="91"/>
      <c r="O905" s="189"/>
      <c r="Q905" s="47" t="s">
        <v>833</v>
      </c>
      <c r="T905" s="46"/>
      <c r="U905" s="46"/>
      <c r="V905" s="46"/>
    </row>
    <row r="906" spans="1:22" s="47" customFormat="1" ht="15.75" x14ac:dyDescent="0.25">
      <c r="A906" s="61"/>
      <c r="C906" s="46"/>
      <c r="D906" s="46"/>
      <c r="E906" s="46"/>
      <c r="F906" s="46"/>
      <c r="G906" s="46"/>
      <c r="H906" s="46"/>
      <c r="I906" s="46"/>
      <c r="J906" s="46"/>
      <c r="K906" s="218"/>
      <c r="L906" s="185"/>
      <c r="M906" s="91"/>
      <c r="N906" s="91"/>
      <c r="O906" s="189"/>
      <c r="Q906" s="47" t="s">
        <v>833</v>
      </c>
      <c r="T906" s="46"/>
      <c r="U906" s="46"/>
      <c r="V906" s="46"/>
    </row>
    <row r="907" spans="1:22" s="47" customFormat="1" ht="15.75" x14ac:dyDescent="0.25">
      <c r="A907" s="61"/>
      <c r="C907" s="46"/>
      <c r="D907" s="46"/>
      <c r="E907" s="46"/>
      <c r="F907" s="46"/>
      <c r="G907" s="46"/>
      <c r="H907" s="46"/>
      <c r="I907" s="46"/>
      <c r="J907" s="46"/>
      <c r="K907" s="218"/>
      <c r="L907" s="185"/>
      <c r="M907" s="91"/>
      <c r="N907" s="91"/>
      <c r="O907" s="189"/>
      <c r="Q907" s="47" t="s">
        <v>833</v>
      </c>
      <c r="T907" s="46"/>
      <c r="U907" s="46"/>
      <c r="V907" s="46"/>
    </row>
    <row r="908" spans="1:22" s="47" customFormat="1" ht="15.75" x14ac:dyDescent="0.25">
      <c r="A908" s="61"/>
      <c r="C908" s="46"/>
      <c r="D908" s="46"/>
      <c r="E908" s="46"/>
      <c r="F908" s="46"/>
      <c r="G908" s="46"/>
      <c r="H908" s="46"/>
      <c r="I908" s="46"/>
      <c r="J908" s="46"/>
      <c r="K908" s="218"/>
      <c r="L908" s="185"/>
      <c r="M908" s="91"/>
      <c r="N908" s="91"/>
      <c r="O908" s="189"/>
      <c r="Q908" s="47" t="s">
        <v>833</v>
      </c>
      <c r="T908" s="46"/>
      <c r="U908" s="46"/>
      <c r="V908" s="46"/>
    </row>
    <row r="909" spans="1:22" s="47" customFormat="1" ht="15.75" x14ac:dyDescent="0.25">
      <c r="A909" s="61"/>
      <c r="C909" s="46"/>
      <c r="D909" s="46"/>
      <c r="E909" s="46"/>
      <c r="F909" s="46"/>
      <c r="G909" s="46"/>
      <c r="H909" s="46"/>
      <c r="I909" s="46"/>
      <c r="J909" s="46"/>
      <c r="K909" s="218"/>
      <c r="L909" s="185"/>
      <c r="M909" s="91"/>
      <c r="N909" s="91"/>
      <c r="O909" s="189"/>
      <c r="Q909" s="47" t="s">
        <v>833</v>
      </c>
      <c r="T909" s="46"/>
      <c r="U909" s="46"/>
      <c r="V909" s="46"/>
    </row>
    <row r="910" spans="1:22" s="47" customFormat="1" ht="15.75" x14ac:dyDescent="0.25">
      <c r="A910" s="61"/>
      <c r="C910" s="46"/>
      <c r="D910" s="46"/>
      <c r="E910" s="46"/>
      <c r="F910" s="46"/>
      <c r="G910" s="46"/>
      <c r="H910" s="46"/>
      <c r="I910" s="46"/>
      <c r="J910" s="46"/>
      <c r="K910" s="218"/>
      <c r="L910" s="185"/>
      <c r="M910" s="91"/>
      <c r="N910" s="91"/>
      <c r="O910" s="189"/>
      <c r="Q910" s="47" t="s">
        <v>833</v>
      </c>
      <c r="T910" s="46"/>
      <c r="U910" s="46"/>
      <c r="V910" s="46"/>
    </row>
    <row r="911" spans="1:22" s="47" customFormat="1" ht="15.75" x14ac:dyDescent="0.25">
      <c r="A911" s="61"/>
      <c r="C911" s="46"/>
      <c r="D911" s="46"/>
      <c r="E911" s="46"/>
      <c r="F911" s="46"/>
      <c r="G911" s="46"/>
      <c r="H911" s="46"/>
      <c r="I911" s="46"/>
      <c r="J911" s="46"/>
      <c r="K911" s="218"/>
      <c r="L911" s="185"/>
      <c r="M911" s="91"/>
      <c r="N911" s="91"/>
      <c r="O911" s="189"/>
      <c r="Q911" s="47" t="s">
        <v>833</v>
      </c>
      <c r="T911" s="46"/>
      <c r="U911" s="46"/>
      <c r="V911" s="46"/>
    </row>
    <row r="912" spans="1:22" s="47" customFormat="1" ht="15.75" x14ac:dyDescent="0.25">
      <c r="A912" s="61"/>
      <c r="C912" s="46"/>
      <c r="D912" s="46"/>
      <c r="E912" s="46"/>
      <c r="F912" s="46"/>
      <c r="G912" s="46"/>
      <c r="H912" s="46"/>
      <c r="I912" s="46"/>
      <c r="J912" s="46"/>
      <c r="K912" s="218"/>
      <c r="L912" s="185"/>
      <c r="M912" s="91"/>
      <c r="N912" s="91"/>
      <c r="O912" s="189"/>
      <c r="Q912" s="47" t="s">
        <v>833</v>
      </c>
      <c r="T912" s="46"/>
      <c r="U912" s="46"/>
      <c r="V912" s="46"/>
    </row>
    <row r="913" spans="1:22" s="47" customFormat="1" ht="15.75" x14ac:dyDescent="0.25">
      <c r="A913" s="61"/>
      <c r="C913" s="46"/>
      <c r="D913" s="46"/>
      <c r="E913" s="46"/>
      <c r="F913" s="46"/>
      <c r="G913" s="46"/>
      <c r="H913" s="46"/>
      <c r="I913" s="46"/>
      <c r="J913" s="46"/>
      <c r="K913" s="218"/>
      <c r="L913" s="185"/>
      <c r="M913" s="91"/>
      <c r="N913" s="91"/>
      <c r="O913" s="189"/>
      <c r="Q913" s="47" t="s">
        <v>833</v>
      </c>
      <c r="T913" s="46"/>
      <c r="U913" s="46"/>
      <c r="V913" s="46"/>
    </row>
    <row r="914" spans="1:22" s="47" customFormat="1" ht="15.75" x14ac:dyDescent="0.25">
      <c r="A914" s="61"/>
      <c r="C914" s="46"/>
      <c r="D914" s="46"/>
      <c r="E914" s="46"/>
      <c r="F914" s="46"/>
      <c r="G914" s="46"/>
      <c r="H914" s="46"/>
      <c r="I914" s="46"/>
      <c r="J914" s="46"/>
      <c r="K914" s="218"/>
      <c r="L914" s="185"/>
      <c r="M914" s="91"/>
      <c r="N914" s="91"/>
      <c r="O914" s="189"/>
      <c r="Q914" s="47" t="s">
        <v>833</v>
      </c>
      <c r="T914" s="46"/>
      <c r="U914" s="46"/>
      <c r="V914" s="46"/>
    </row>
    <row r="915" spans="1:22" s="47" customFormat="1" ht="15.75" x14ac:dyDescent="0.25">
      <c r="A915" s="61"/>
      <c r="C915" s="46"/>
      <c r="D915" s="46"/>
      <c r="E915" s="46"/>
      <c r="F915" s="46"/>
      <c r="G915" s="46"/>
      <c r="H915" s="46"/>
      <c r="I915" s="46"/>
      <c r="J915" s="46"/>
      <c r="K915" s="218"/>
      <c r="L915" s="185"/>
      <c r="M915" s="91"/>
      <c r="N915" s="91"/>
      <c r="O915" s="189"/>
      <c r="Q915" s="47" t="s">
        <v>833</v>
      </c>
      <c r="T915" s="46"/>
      <c r="U915" s="46"/>
      <c r="V915" s="46"/>
    </row>
    <row r="916" spans="1:22" s="47" customFormat="1" ht="15.75" x14ac:dyDescent="0.25">
      <c r="A916" s="61"/>
      <c r="C916" s="46"/>
      <c r="D916" s="46"/>
      <c r="E916" s="46"/>
      <c r="F916" s="46"/>
      <c r="G916" s="46"/>
      <c r="H916" s="46"/>
      <c r="I916" s="46"/>
      <c r="J916" s="46"/>
      <c r="K916" s="218"/>
      <c r="L916" s="185"/>
      <c r="M916" s="91"/>
      <c r="N916" s="91"/>
      <c r="O916" s="189"/>
      <c r="Q916" s="47" t="s">
        <v>833</v>
      </c>
      <c r="T916" s="46"/>
      <c r="U916" s="46"/>
      <c r="V916" s="46"/>
    </row>
    <row r="917" spans="1:22" s="47" customFormat="1" ht="15.75" x14ac:dyDescent="0.25">
      <c r="A917" s="61"/>
      <c r="C917" s="46"/>
      <c r="D917" s="46"/>
      <c r="E917" s="46"/>
      <c r="F917" s="46"/>
      <c r="G917" s="46"/>
      <c r="H917" s="46"/>
      <c r="I917" s="46"/>
      <c r="J917" s="46"/>
      <c r="K917" s="218"/>
      <c r="L917" s="185"/>
      <c r="M917" s="91"/>
      <c r="N917" s="91"/>
      <c r="O917" s="189"/>
      <c r="Q917" s="47" t="s">
        <v>833</v>
      </c>
      <c r="T917" s="46"/>
      <c r="U917" s="46"/>
      <c r="V917" s="46"/>
    </row>
    <row r="918" spans="1:22" s="47" customFormat="1" ht="15.75" x14ac:dyDescent="0.25">
      <c r="A918" s="61"/>
      <c r="C918" s="46"/>
      <c r="D918" s="46"/>
      <c r="E918" s="46"/>
      <c r="F918" s="46"/>
      <c r="G918" s="46"/>
      <c r="H918" s="46"/>
      <c r="I918" s="46"/>
      <c r="J918" s="46"/>
      <c r="K918" s="218"/>
      <c r="L918" s="185"/>
      <c r="M918" s="91"/>
      <c r="N918" s="91"/>
      <c r="O918" s="189"/>
      <c r="Q918" s="47" t="s">
        <v>833</v>
      </c>
      <c r="T918" s="46"/>
      <c r="U918" s="46"/>
      <c r="V918" s="46"/>
    </row>
    <row r="919" spans="1:22" s="47" customFormat="1" ht="15.75" x14ac:dyDescent="0.25">
      <c r="A919" s="61"/>
      <c r="C919" s="46"/>
      <c r="D919" s="46"/>
      <c r="E919" s="46"/>
      <c r="F919" s="46"/>
      <c r="G919" s="46"/>
      <c r="H919" s="46"/>
      <c r="I919" s="46"/>
      <c r="J919" s="46"/>
      <c r="K919" s="218"/>
      <c r="L919" s="185"/>
      <c r="M919" s="91"/>
      <c r="N919" s="91"/>
      <c r="O919" s="189"/>
      <c r="Q919" s="47" t="s">
        <v>833</v>
      </c>
      <c r="T919" s="46"/>
      <c r="U919" s="46"/>
      <c r="V919" s="46"/>
    </row>
    <row r="920" spans="1:22" s="47" customFormat="1" ht="15.75" x14ac:dyDescent="0.25">
      <c r="A920" s="61"/>
      <c r="C920" s="46"/>
      <c r="D920" s="46"/>
      <c r="E920" s="46"/>
      <c r="F920" s="46"/>
      <c r="G920" s="46"/>
      <c r="H920" s="46"/>
      <c r="I920" s="46"/>
      <c r="J920" s="46"/>
      <c r="K920" s="218"/>
      <c r="L920" s="185"/>
      <c r="M920" s="91"/>
      <c r="N920" s="91"/>
      <c r="O920" s="189"/>
      <c r="Q920" s="47" t="s">
        <v>833</v>
      </c>
      <c r="T920" s="46"/>
      <c r="U920" s="46"/>
      <c r="V920" s="46"/>
    </row>
    <row r="921" spans="1:22" s="47" customFormat="1" ht="15.75" x14ac:dyDescent="0.25">
      <c r="A921" s="61"/>
      <c r="C921" s="46"/>
      <c r="D921" s="46"/>
      <c r="E921" s="46"/>
      <c r="F921" s="46"/>
      <c r="G921" s="46"/>
      <c r="H921" s="46"/>
      <c r="I921" s="46"/>
      <c r="J921" s="46"/>
      <c r="K921" s="218"/>
      <c r="L921" s="185"/>
      <c r="M921" s="91"/>
      <c r="N921" s="91"/>
      <c r="O921" s="189"/>
      <c r="Q921" s="47" t="s">
        <v>833</v>
      </c>
      <c r="T921" s="46"/>
      <c r="U921" s="46"/>
      <c r="V921" s="46"/>
    </row>
    <row r="922" spans="1:22" s="47" customFormat="1" ht="15.75" x14ac:dyDescent="0.25">
      <c r="A922" s="61"/>
      <c r="C922" s="46"/>
      <c r="D922" s="46"/>
      <c r="E922" s="46"/>
      <c r="F922" s="46"/>
      <c r="G922" s="46"/>
      <c r="H922" s="46"/>
      <c r="I922" s="46"/>
      <c r="J922" s="46"/>
      <c r="K922" s="218"/>
      <c r="L922" s="185"/>
      <c r="M922" s="91"/>
      <c r="N922" s="91"/>
      <c r="O922" s="189"/>
      <c r="Q922" s="47" t="s">
        <v>833</v>
      </c>
      <c r="T922" s="46"/>
      <c r="U922" s="46"/>
      <c r="V922" s="46"/>
    </row>
    <row r="923" spans="1:22" s="47" customFormat="1" ht="15.75" x14ac:dyDescent="0.25">
      <c r="A923" s="61"/>
      <c r="C923" s="46"/>
      <c r="D923" s="46"/>
      <c r="E923" s="46"/>
      <c r="F923" s="46"/>
      <c r="G923" s="46"/>
      <c r="H923" s="46"/>
      <c r="I923" s="46"/>
      <c r="J923" s="46"/>
      <c r="K923" s="218"/>
      <c r="L923" s="185"/>
      <c r="M923" s="91"/>
      <c r="N923" s="91"/>
      <c r="O923" s="189"/>
      <c r="Q923" s="47" t="s">
        <v>833</v>
      </c>
      <c r="T923" s="46"/>
      <c r="U923" s="46"/>
      <c r="V923" s="46"/>
    </row>
    <row r="924" spans="1:22" s="47" customFormat="1" ht="15.75" x14ac:dyDescent="0.25">
      <c r="A924" s="61"/>
      <c r="C924" s="46"/>
      <c r="D924" s="46"/>
      <c r="E924" s="46"/>
      <c r="F924" s="46"/>
      <c r="G924" s="46"/>
      <c r="H924" s="46"/>
      <c r="I924" s="46"/>
      <c r="J924" s="46"/>
      <c r="K924" s="218"/>
      <c r="L924" s="185"/>
      <c r="M924" s="91"/>
      <c r="N924" s="91"/>
      <c r="O924" s="189"/>
      <c r="Q924" s="47" t="s">
        <v>833</v>
      </c>
      <c r="T924" s="46"/>
      <c r="U924" s="46"/>
      <c r="V924" s="46"/>
    </row>
    <row r="925" spans="1:22" s="47" customFormat="1" ht="15.75" x14ac:dyDescent="0.25">
      <c r="A925" s="61"/>
      <c r="C925" s="46"/>
      <c r="D925" s="46"/>
      <c r="E925" s="46"/>
      <c r="F925" s="46"/>
      <c r="G925" s="46"/>
      <c r="H925" s="46"/>
      <c r="I925" s="46"/>
      <c r="J925" s="46"/>
      <c r="K925" s="218"/>
      <c r="L925" s="185"/>
      <c r="M925" s="91"/>
      <c r="N925" s="91"/>
      <c r="O925" s="189"/>
      <c r="Q925" s="47" t="s">
        <v>833</v>
      </c>
      <c r="T925" s="46"/>
      <c r="U925" s="46"/>
      <c r="V925" s="46"/>
    </row>
    <row r="926" spans="1:22" s="47" customFormat="1" ht="15.75" x14ac:dyDescent="0.25">
      <c r="A926" s="61"/>
      <c r="C926" s="46"/>
      <c r="D926" s="46"/>
      <c r="E926" s="46"/>
      <c r="F926" s="46"/>
      <c r="G926" s="46"/>
      <c r="H926" s="46"/>
      <c r="I926" s="46"/>
      <c r="J926" s="46"/>
      <c r="K926" s="218"/>
      <c r="L926" s="185"/>
      <c r="M926" s="91"/>
      <c r="N926" s="91"/>
      <c r="O926" s="189"/>
      <c r="Q926" s="47" t="s">
        <v>833</v>
      </c>
      <c r="T926" s="46"/>
      <c r="U926" s="46"/>
      <c r="V926" s="46"/>
    </row>
    <row r="927" spans="1:22" s="47" customFormat="1" ht="15.75" x14ac:dyDescent="0.25">
      <c r="A927" s="61"/>
      <c r="C927" s="46"/>
      <c r="D927" s="46"/>
      <c r="E927" s="46"/>
      <c r="F927" s="46"/>
      <c r="G927" s="46"/>
      <c r="H927" s="46"/>
      <c r="I927" s="46"/>
      <c r="J927" s="46"/>
      <c r="K927" s="218"/>
      <c r="L927" s="185"/>
      <c r="M927" s="91"/>
      <c r="N927" s="91"/>
      <c r="O927" s="189"/>
      <c r="Q927" s="47" t="s">
        <v>833</v>
      </c>
      <c r="T927" s="46"/>
      <c r="U927" s="46"/>
      <c r="V927" s="46"/>
    </row>
    <row r="928" spans="1:22" s="47" customFormat="1" ht="15.75" x14ac:dyDescent="0.25">
      <c r="A928" s="61"/>
      <c r="C928" s="46"/>
      <c r="D928" s="46"/>
      <c r="E928" s="46"/>
      <c r="F928" s="46"/>
      <c r="G928" s="46"/>
      <c r="H928" s="46"/>
      <c r="I928" s="46"/>
      <c r="J928" s="46"/>
      <c r="K928" s="218"/>
      <c r="L928" s="185"/>
      <c r="M928" s="91"/>
      <c r="N928" s="91"/>
      <c r="O928" s="189"/>
      <c r="Q928" s="47" t="s">
        <v>833</v>
      </c>
      <c r="T928" s="46"/>
      <c r="U928" s="46"/>
      <c r="V928" s="46"/>
    </row>
    <row r="929" spans="1:22" s="47" customFormat="1" ht="15.75" x14ac:dyDescent="0.25">
      <c r="A929" s="61"/>
      <c r="C929" s="46"/>
      <c r="D929" s="46"/>
      <c r="E929" s="46"/>
      <c r="F929" s="46"/>
      <c r="G929" s="46"/>
      <c r="H929" s="46"/>
      <c r="I929" s="46"/>
      <c r="J929" s="46"/>
      <c r="K929" s="218"/>
      <c r="L929" s="185"/>
      <c r="M929" s="91"/>
      <c r="N929" s="91"/>
      <c r="O929" s="189"/>
      <c r="Q929" s="47" t="s">
        <v>833</v>
      </c>
      <c r="T929" s="46"/>
      <c r="U929" s="46"/>
      <c r="V929" s="46"/>
    </row>
    <row r="930" spans="1:22" s="47" customFormat="1" ht="15.75" x14ac:dyDescent="0.25">
      <c r="A930" s="61"/>
      <c r="C930" s="46"/>
      <c r="D930" s="46"/>
      <c r="E930" s="46"/>
      <c r="F930" s="46"/>
      <c r="G930" s="46"/>
      <c r="H930" s="46"/>
      <c r="I930" s="46"/>
      <c r="J930" s="46"/>
      <c r="K930" s="218"/>
      <c r="L930" s="185"/>
      <c r="M930" s="91"/>
      <c r="N930" s="91"/>
      <c r="O930" s="189"/>
      <c r="Q930" s="47" t="s">
        <v>833</v>
      </c>
      <c r="T930" s="46"/>
      <c r="U930" s="46"/>
      <c r="V930" s="46"/>
    </row>
    <row r="931" spans="1:22" s="47" customFormat="1" ht="15.75" x14ac:dyDescent="0.25">
      <c r="A931" s="61"/>
      <c r="C931" s="46"/>
      <c r="D931" s="46"/>
      <c r="E931" s="46"/>
      <c r="F931" s="46"/>
      <c r="G931" s="46"/>
      <c r="H931" s="46"/>
      <c r="I931" s="46"/>
      <c r="J931" s="46"/>
      <c r="K931" s="218"/>
      <c r="L931" s="185"/>
      <c r="M931" s="91"/>
      <c r="N931" s="91"/>
      <c r="O931" s="189"/>
      <c r="Q931" s="47" t="s">
        <v>833</v>
      </c>
      <c r="T931" s="46"/>
      <c r="U931" s="46"/>
      <c r="V931" s="46"/>
    </row>
    <row r="932" spans="1:22" s="47" customFormat="1" ht="15.75" x14ac:dyDescent="0.25">
      <c r="A932" s="61"/>
      <c r="C932" s="46"/>
      <c r="D932" s="46"/>
      <c r="E932" s="46"/>
      <c r="F932" s="46"/>
      <c r="G932" s="46"/>
      <c r="H932" s="46"/>
      <c r="I932" s="46"/>
      <c r="J932" s="46"/>
      <c r="K932" s="218"/>
      <c r="L932" s="185"/>
      <c r="M932" s="91"/>
      <c r="N932" s="91"/>
      <c r="O932" s="189"/>
      <c r="Q932" s="47" t="s">
        <v>833</v>
      </c>
      <c r="T932" s="46"/>
      <c r="U932" s="46"/>
      <c r="V932" s="46"/>
    </row>
    <row r="933" spans="1:22" s="47" customFormat="1" ht="15.75" x14ac:dyDescent="0.25">
      <c r="A933" s="61"/>
      <c r="C933" s="46"/>
      <c r="D933" s="46"/>
      <c r="E933" s="46"/>
      <c r="F933" s="46"/>
      <c r="G933" s="46"/>
      <c r="H933" s="46"/>
      <c r="I933" s="46"/>
      <c r="J933" s="46"/>
      <c r="K933" s="218"/>
      <c r="L933" s="185"/>
      <c r="M933" s="91"/>
      <c r="N933" s="91"/>
      <c r="O933" s="189"/>
      <c r="Q933" s="47" t="s">
        <v>833</v>
      </c>
      <c r="T933" s="46"/>
      <c r="U933" s="46"/>
      <c r="V933" s="46"/>
    </row>
    <row r="934" spans="1:22" s="47" customFormat="1" ht="15.75" x14ac:dyDescent="0.25">
      <c r="A934" s="61"/>
      <c r="C934" s="46"/>
      <c r="D934" s="46"/>
      <c r="E934" s="46"/>
      <c r="F934" s="46"/>
      <c r="G934" s="46"/>
      <c r="H934" s="46"/>
      <c r="I934" s="46"/>
      <c r="J934" s="46"/>
      <c r="K934" s="218"/>
      <c r="L934" s="185"/>
      <c r="M934" s="91"/>
      <c r="N934" s="91"/>
      <c r="O934" s="189"/>
      <c r="Q934" s="47" t="s">
        <v>833</v>
      </c>
      <c r="T934" s="46"/>
      <c r="U934" s="46"/>
      <c r="V934" s="46"/>
    </row>
    <row r="935" spans="1:22" s="47" customFormat="1" ht="15.75" x14ac:dyDescent="0.25">
      <c r="A935" s="61"/>
      <c r="C935" s="46"/>
      <c r="D935" s="46"/>
      <c r="E935" s="46"/>
      <c r="F935" s="46"/>
      <c r="G935" s="46"/>
      <c r="H935" s="46"/>
      <c r="I935" s="46"/>
      <c r="J935" s="46"/>
      <c r="K935" s="218"/>
      <c r="L935" s="185"/>
      <c r="M935" s="91"/>
      <c r="N935" s="91"/>
      <c r="O935" s="189"/>
      <c r="Q935" s="47" t="s">
        <v>833</v>
      </c>
      <c r="T935" s="46"/>
      <c r="U935" s="46"/>
      <c r="V935" s="46"/>
    </row>
    <row r="936" spans="1:22" s="47" customFormat="1" ht="15.75" x14ac:dyDescent="0.25">
      <c r="A936" s="61"/>
      <c r="C936" s="46"/>
      <c r="D936" s="46"/>
      <c r="E936" s="46"/>
      <c r="F936" s="46"/>
      <c r="G936" s="46"/>
      <c r="H936" s="46"/>
      <c r="I936" s="46"/>
      <c r="J936" s="46"/>
      <c r="K936" s="218"/>
      <c r="L936" s="185"/>
      <c r="M936" s="91"/>
      <c r="N936" s="91"/>
      <c r="O936" s="189"/>
      <c r="Q936" s="47" t="s">
        <v>833</v>
      </c>
      <c r="T936" s="46"/>
      <c r="U936" s="46"/>
      <c r="V936" s="46"/>
    </row>
    <row r="937" spans="1:22" s="47" customFormat="1" ht="15.75" x14ac:dyDescent="0.25">
      <c r="A937" s="61"/>
      <c r="C937" s="46"/>
      <c r="D937" s="46"/>
      <c r="E937" s="46"/>
      <c r="F937" s="46"/>
      <c r="G937" s="46"/>
      <c r="H937" s="46"/>
      <c r="I937" s="46"/>
      <c r="J937" s="46"/>
      <c r="K937" s="218"/>
      <c r="L937" s="185"/>
      <c r="M937" s="91"/>
      <c r="N937" s="91"/>
      <c r="O937" s="189"/>
      <c r="Q937" s="47" t="s">
        <v>833</v>
      </c>
      <c r="T937" s="46"/>
      <c r="U937" s="46"/>
      <c r="V937" s="46"/>
    </row>
    <row r="938" spans="1:22" s="47" customFormat="1" ht="15.75" x14ac:dyDescent="0.25">
      <c r="A938" s="61"/>
      <c r="C938" s="46"/>
      <c r="D938" s="46"/>
      <c r="E938" s="46"/>
      <c r="F938" s="46"/>
      <c r="G938" s="46"/>
      <c r="H938" s="46"/>
      <c r="I938" s="46"/>
      <c r="J938" s="46"/>
      <c r="K938" s="218"/>
      <c r="L938" s="185"/>
      <c r="M938" s="91"/>
      <c r="N938" s="91"/>
      <c r="O938" s="189"/>
      <c r="Q938" s="47" t="s">
        <v>833</v>
      </c>
      <c r="T938" s="46"/>
      <c r="U938" s="46"/>
      <c r="V938" s="46"/>
    </row>
    <row r="939" spans="1:22" s="47" customFormat="1" ht="15.75" x14ac:dyDescent="0.25">
      <c r="A939" s="61"/>
      <c r="C939" s="46"/>
      <c r="D939" s="46"/>
      <c r="E939" s="46"/>
      <c r="F939" s="46"/>
      <c r="G939" s="46"/>
      <c r="H939" s="46"/>
      <c r="I939" s="46"/>
      <c r="J939" s="46"/>
      <c r="K939" s="218"/>
      <c r="L939" s="185"/>
      <c r="M939" s="91"/>
      <c r="N939" s="91"/>
      <c r="O939" s="189"/>
      <c r="Q939" s="47" t="s">
        <v>833</v>
      </c>
      <c r="T939" s="46"/>
      <c r="U939" s="46"/>
      <c r="V939" s="46"/>
    </row>
    <row r="940" spans="1:22" s="47" customFormat="1" ht="15.75" x14ac:dyDescent="0.25">
      <c r="A940" s="61"/>
      <c r="C940" s="46"/>
      <c r="D940" s="46"/>
      <c r="E940" s="46"/>
      <c r="F940" s="46"/>
      <c r="G940" s="46"/>
      <c r="H940" s="46"/>
      <c r="I940" s="46"/>
      <c r="J940" s="46"/>
      <c r="K940" s="218"/>
      <c r="L940" s="185"/>
      <c r="M940" s="91"/>
      <c r="N940" s="91"/>
      <c r="O940" s="189"/>
      <c r="Q940" s="47" t="s">
        <v>833</v>
      </c>
      <c r="T940" s="46"/>
      <c r="U940" s="46"/>
      <c r="V940" s="46"/>
    </row>
    <row r="941" spans="1:22" s="47" customFormat="1" ht="15.75" x14ac:dyDescent="0.25">
      <c r="A941" s="61"/>
      <c r="C941" s="46"/>
      <c r="D941" s="46"/>
      <c r="E941" s="46"/>
      <c r="F941" s="46"/>
      <c r="G941" s="46"/>
      <c r="H941" s="46"/>
      <c r="I941" s="46"/>
      <c r="J941" s="46"/>
      <c r="K941" s="218"/>
      <c r="L941" s="185"/>
      <c r="M941" s="91"/>
      <c r="N941" s="91"/>
      <c r="O941" s="189"/>
      <c r="Q941" s="47" t="s">
        <v>833</v>
      </c>
      <c r="T941" s="46"/>
      <c r="U941" s="46"/>
      <c r="V941" s="46"/>
    </row>
    <row r="942" spans="1:22" s="47" customFormat="1" ht="15.75" x14ac:dyDescent="0.25">
      <c r="A942" s="61"/>
      <c r="C942" s="46"/>
      <c r="D942" s="46"/>
      <c r="E942" s="46"/>
      <c r="F942" s="46"/>
      <c r="G942" s="46"/>
      <c r="H942" s="46"/>
      <c r="I942" s="46"/>
      <c r="J942" s="46"/>
      <c r="K942" s="218"/>
      <c r="L942" s="185"/>
      <c r="M942" s="91"/>
      <c r="N942" s="91"/>
      <c r="O942" s="189"/>
      <c r="Q942" s="47" t="s">
        <v>833</v>
      </c>
      <c r="T942" s="46"/>
      <c r="U942" s="46"/>
      <c r="V942" s="46"/>
    </row>
    <row r="943" spans="1:22" s="47" customFormat="1" ht="15.75" x14ac:dyDescent="0.25">
      <c r="A943" s="61"/>
      <c r="C943" s="46"/>
      <c r="D943" s="46"/>
      <c r="E943" s="46"/>
      <c r="F943" s="46"/>
      <c r="G943" s="46"/>
      <c r="H943" s="46"/>
      <c r="I943" s="46"/>
      <c r="J943" s="46"/>
      <c r="K943" s="218"/>
      <c r="L943" s="185"/>
      <c r="M943" s="91"/>
      <c r="N943" s="91"/>
      <c r="O943" s="189"/>
      <c r="Q943" s="47" t="s">
        <v>833</v>
      </c>
      <c r="T943" s="46"/>
      <c r="U943" s="46"/>
      <c r="V943" s="46"/>
    </row>
    <row r="944" spans="1:22" s="47" customFormat="1" ht="15.75" x14ac:dyDescent="0.25">
      <c r="A944" s="61"/>
      <c r="C944" s="46"/>
      <c r="D944" s="46"/>
      <c r="E944" s="46"/>
      <c r="F944" s="46"/>
      <c r="G944" s="46"/>
      <c r="H944" s="46"/>
      <c r="I944" s="46"/>
      <c r="J944" s="46"/>
      <c r="K944" s="218"/>
      <c r="L944" s="185"/>
      <c r="M944" s="91"/>
      <c r="N944" s="91"/>
      <c r="O944" s="189"/>
      <c r="Q944" s="47" t="s">
        <v>833</v>
      </c>
      <c r="T944" s="46"/>
      <c r="U944" s="46"/>
      <c r="V944" s="46"/>
    </row>
    <row r="945" spans="1:22" s="47" customFormat="1" ht="15.75" x14ac:dyDescent="0.25">
      <c r="A945" s="61"/>
      <c r="C945" s="46"/>
      <c r="D945" s="46"/>
      <c r="E945" s="46"/>
      <c r="F945" s="46"/>
      <c r="G945" s="46"/>
      <c r="H945" s="46"/>
      <c r="I945" s="46"/>
      <c r="J945" s="46"/>
      <c r="K945" s="218"/>
      <c r="L945" s="185"/>
      <c r="M945" s="91"/>
      <c r="N945" s="91"/>
      <c r="O945" s="189"/>
      <c r="Q945" s="47" t="s">
        <v>833</v>
      </c>
      <c r="T945" s="46"/>
      <c r="U945" s="46"/>
      <c r="V945" s="46"/>
    </row>
    <row r="946" spans="1:22" s="47" customFormat="1" ht="15.75" x14ac:dyDescent="0.25">
      <c r="A946" s="61"/>
      <c r="C946" s="46"/>
      <c r="D946" s="46"/>
      <c r="E946" s="46"/>
      <c r="F946" s="46"/>
      <c r="G946" s="46"/>
      <c r="H946" s="46"/>
      <c r="I946" s="46"/>
      <c r="J946" s="46"/>
      <c r="K946" s="218"/>
      <c r="L946" s="185"/>
      <c r="M946" s="91"/>
      <c r="N946" s="91"/>
      <c r="O946" s="189"/>
      <c r="Q946" s="47" t="s">
        <v>833</v>
      </c>
      <c r="T946" s="46"/>
      <c r="U946" s="46"/>
      <c r="V946" s="46"/>
    </row>
    <row r="947" spans="1:22" s="47" customFormat="1" ht="15.75" x14ac:dyDescent="0.25">
      <c r="A947" s="61"/>
      <c r="C947" s="46"/>
      <c r="D947" s="46"/>
      <c r="E947" s="46"/>
      <c r="F947" s="46"/>
      <c r="G947" s="46"/>
      <c r="H947" s="46"/>
      <c r="I947" s="46"/>
      <c r="J947" s="46"/>
      <c r="K947" s="218"/>
      <c r="L947" s="185"/>
      <c r="M947" s="91"/>
      <c r="N947" s="91"/>
      <c r="O947" s="189"/>
      <c r="Q947" s="47" t="s">
        <v>833</v>
      </c>
      <c r="T947" s="46"/>
      <c r="U947" s="46"/>
      <c r="V947" s="46"/>
    </row>
    <row r="948" spans="1:22" s="47" customFormat="1" ht="15.75" x14ac:dyDescent="0.25">
      <c r="A948" s="61"/>
      <c r="C948" s="46"/>
      <c r="D948" s="46"/>
      <c r="E948" s="46"/>
      <c r="F948" s="46"/>
      <c r="G948" s="46"/>
      <c r="H948" s="46"/>
      <c r="I948" s="46"/>
      <c r="J948" s="46"/>
      <c r="K948" s="218"/>
      <c r="L948" s="185"/>
      <c r="M948" s="91"/>
      <c r="N948" s="91"/>
      <c r="O948" s="189"/>
      <c r="Q948" s="47" t="s">
        <v>833</v>
      </c>
      <c r="T948" s="46"/>
      <c r="U948" s="46"/>
      <c r="V948" s="46"/>
    </row>
    <row r="949" spans="1:22" s="47" customFormat="1" ht="15.75" x14ac:dyDescent="0.25">
      <c r="A949" s="61"/>
      <c r="C949" s="46"/>
      <c r="D949" s="46"/>
      <c r="E949" s="46"/>
      <c r="F949" s="46"/>
      <c r="G949" s="46"/>
      <c r="H949" s="46"/>
      <c r="I949" s="46"/>
      <c r="J949" s="46"/>
      <c r="K949" s="218"/>
      <c r="L949" s="185"/>
      <c r="M949" s="91"/>
      <c r="N949" s="91"/>
      <c r="O949" s="189"/>
      <c r="Q949" s="47" t="s">
        <v>833</v>
      </c>
      <c r="T949" s="46"/>
      <c r="U949" s="46"/>
      <c r="V949" s="46"/>
    </row>
    <row r="950" spans="1:22" s="47" customFormat="1" ht="15.75" x14ac:dyDescent="0.25">
      <c r="A950" s="61"/>
      <c r="C950" s="46"/>
      <c r="D950" s="46"/>
      <c r="E950" s="46"/>
      <c r="F950" s="46"/>
      <c r="G950" s="46"/>
      <c r="H950" s="46"/>
      <c r="I950" s="46"/>
      <c r="J950" s="46"/>
      <c r="K950" s="218"/>
      <c r="L950" s="185"/>
      <c r="M950" s="91"/>
      <c r="N950" s="91"/>
      <c r="O950" s="189"/>
      <c r="Q950" s="47" t="s">
        <v>833</v>
      </c>
      <c r="T950" s="46"/>
      <c r="U950" s="46"/>
      <c r="V950" s="46"/>
    </row>
    <row r="951" spans="1:22" s="47" customFormat="1" ht="15.75" x14ac:dyDescent="0.25">
      <c r="A951" s="61"/>
      <c r="C951" s="46"/>
      <c r="D951" s="46"/>
      <c r="E951" s="46"/>
      <c r="F951" s="46"/>
      <c r="G951" s="46"/>
      <c r="H951" s="46"/>
      <c r="I951" s="46"/>
      <c r="J951" s="46"/>
      <c r="K951" s="218"/>
      <c r="L951" s="185"/>
      <c r="M951" s="91"/>
      <c r="N951" s="91"/>
      <c r="O951" s="189"/>
      <c r="Q951" s="47" t="s">
        <v>833</v>
      </c>
      <c r="T951" s="46"/>
      <c r="U951" s="46"/>
      <c r="V951" s="46"/>
    </row>
    <row r="952" spans="1:22" s="47" customFormat="1" ht="15.75" x14ac:dyDescent="0.25">
      <c r="A952" s="61"/>
      <c r="C952" s="46"/>
      <c r="D952" s="46"/>
      <c r="E952" s="46"/>
      <c r="F952" s="46"/>
      <c r="G952" s="46"/>
      <c r="H952" s="46"/>
      <c r="I952" s="46"/>
      <c r="J952" s="46"/>
      <c r="K952" s="218"/>
      <c r="L952" s="185"/>
      <c r="M952" s="91"/>
      <c r="N952" s="91"/>
      <c r="O952" s="189"/>
      <c r="Q952" s="47" t="s">
        <v>833</v>
      </c>
      <c r="T952" s="46"/>
      <c r="U952" s="46"/>
      <c r="V952" s="46"/>
    </row>
    <row r="953" spans="1:22" s="47" customFormat="1" ht="15.75" x14ac:dyDescent="0.25">
      <c r="A953" s="61"/>
      <c r="C953" s="46"/>
      <c r="D953" s="46"/>
      <c r="E953" s="46"/>
      <c r="F953" s="46"/>
      <c r="G953" s="46"/>
      <c r="H953" s="46"/>
      <c r="I953" s="46"/>
      <c r="J953" s="46"/>
      <c r="K953" s="218"/>
      <c r="L953" s="185"/>
      <c r="M953" s="91"/>
      <c r="N953" s="91"/>
      <c r="O953" s="189"/>
      <c r="Q953" s="47" t="s">
        <v>833</v>
      </c>
      <c r="T953" s="46"/>
      <c r="U953" s="46"/>
      <c r="V953" s="46"/>
    </row>
    <row r="954" spans="1:22" s="47" customFormat="1" ht="15.75" x14ac:dyDescent="0.25">
      <c r="A954" s="61"/>
      <c r="C954" s="46"/>
      <c r="D954" s="46"/>
      <c r="E954" s="46"/>
      <c r="F954" s="46"/>
      <c r="G954" s="46"/>
      <c r="H954" s="46"/>
      <c r="I954" s="46"/>
      <c r="J954" s="46"/>
      <c r="K954" s="218"/>
      <c r="L954" s="185"/>
      <c r="M954" s="91"/>
      <c r="N954" s="91"/>
      <c r="O954" s="189"/>
      <c r="Q954" s="47" t="s">
        <v>833</v>
      </c>
      <c r="T954" s="46"/>
      <c r="U954" s="46"/>
      <c r="V954" s="46"/>
    </row>
    <row r="955" spans="1:22" s="47" customFormat="1" ht="15.75" x14ac:dyDescent="0.25">
      <c r="A955" s="61"/>
      <c r="C955" s="46"/>
      <c r="D955" s="46"/>
      <c r="E955" s="46"/>
      <c r="F955" s="46"/>
      <c r="G955" s="46"/>
      <c r="H955" s="46"/>
      <c r="I955" s="46"/>
      <c r="J955" s="46"/>
      <c r="K955" s="218"/>
      <c r="L955" s="185"/>
      <c r="M955" s="91"/>
      <c r="N955" s="91"/>
      <c r="O955" s="189"/>
      <c r="Q955" s="47" t="s">
        <v>833</v>
      </c>
      <c r="T955" s="46"/>
      <c r="U955" s="46"/>
      <c r="V955" s="46"/>
    </row>
    <row r="956" spans="1:22" s="47" customFormat="1" ht="15.75" x14ac:dyDescent="0.25">
      <c r="A956" s="61"/>
      <c r="C956" s="46"/>
      <c r="D956" s="46"/>
      <c r="E956" s="46"/>
      <c r="F956" s="46"/>
      <c r="G956" s="46"/>
      <c r="H956" s="46"/>
      <c r="I956" s="46"/>
      <c r="J956" s="46"/>
      <c r="K956" s="218"/>
      <c r="L956" s="185"/>
      <c r="M956" s="91"/>
      <c r="N956" s="91"/>
      <c r="O956" s="189"/>
      <c r="Q956" s="47" t="s">
        <v>833</v>
      </c>
      <c r="T956" s="46"/>
      <c r="U956" s="46"/>
      <c r="V956" s="46"/>
    </row>
    <row r="957" spans="1:22" s="47" customFormat="1" ht="15.75" x14ac:dyDescent="0.25">
      <c r="A957" s="61"/>
      <c r="C957" s="46"/>
      <c r="D957" s="46"/>
      <c r="E957" s="46"/>
      <c r="F957" s="46"/>
      <c r="G957" s="46"/>
      <c r="H957" s="46"/>
      <c r="I957" s="46"/>
      <c r="J957" s="46"/>
      <c r="K957" s="218"/>
      <c r="L957" s="185"/>
      <c r="M957" s="91"/>
      <c r="N957" s="91"/>
      <c r="O957" s="189"/>
      <c r="Q957" s="47" t="s">
        <v>833</v>
      </c>
      <c r="T957" s="46"/>
      <c r="U957" s="46"/>
      <c r="V957" s="46"/>
    </row>
    <row r="958" spans="1:22" s="47" customFormat="1" ht="15.75" x14ac:dyDescent="0.25">
      <c r="A958" s="61"/>
      <c r="C958" s="46"/>
      <c r="D958" s="46"/>
      <c r="E958" s="46"/>
      <c r="F958" s="46"/>
      <c r="G958" s="46"/>
      <c r="H958" s="46"/>
      <c r="I958" s="46"/>
      <c r="J958" s="46"/>
      <c r="K958" s="218"/>
      <c r="L958" s="185"/>
      <c r="M958" s="91"/>
      <c r="N958" s="91"/>
      <c r="O958" s="189"/>
      <c r="Q958" s="47" t="s">
        <v>833</v>
      </c>
      <c r="T958" s="46"/>
      <c r="U958" s="46"/>
      <c r="V958" s="46"/>
    </row>
    <row r="959" spans="1:22" s="47" customFormat="1" ht="15.75" x14ac:dyDescent="0.25">
      <c r="A959" s="61"/>
      <c r="C959" s="46"/>
      <c r="D959" s="46"/>
      <c r="E959" s="46"/>
      <c r="F959" s="46"/>
      <c r="G959" s="46"/>
      <c r="H959" s="46"/>
      <c r="I959" s="46"/>
      <c r="J959" s="46"/>
      <c r="K959" s="218"/>
      <c r="L959" s="185"/>
      <c r="M959" s="91"/>
      <c r="N959" s="91"/>
      <c r="O959" s="189"/>
      <c r="Q959" s="47" t="s">
        <v>833</v>
      </c>
      <c r="T959" s="46"/>
      <c r="U959" s="46"/>
      <c r="V959" s="46"/>
    </row>
    <row r="960" spans="1:22" s="47" customFormat="1" ht="15.75" x14ac:dyDescent="0.25">
      <c r="A960" s="61"/>
      <c r="C960" s="46"/>
      <c r="D960" s="46"/>
      <c r="E960" s="46"/>
      <c r="F960" s="46"/>
      <c r="G960" s="46"/>
      <c r="H960" s="46"/>
      <c r="I960" s="46"/>
      <c r="J960" s="46"/>
      <c r="K960" s="218"/>
      <c r="L960" s="185"/>
      <c r="M960" s="91"/>
      <c r="N960" s="91"/>
      <c r="O960" s="189"/>
      <c r="Q960" s="47" t="s">
        <v>833</v>
      </c>
      <c r="T960" s="46"/>
      <c r="U960" s="46"/>
      <c r="V960" s="46"/>
    </row>
    <row r="961" spans="1:22" s="47" customFormat="1" ht="15.75" x14ac:dyDescent="0.25">
      <c r="A961" s="61"/>
      <c r="C961" s="46"/>
      <c r="D961" s="46"/>
      <c r="E961" s="46"/>
      <c r="F961" s="46"/>
      <c r="G961" s="46"/>
      <c r="H961" s="46"/>
      <c r="I961" s="46"/>
      <c r="J961" s="46"/>
      <c r="K961" s="218"/>
      <c r="L961" s="185"/>
      <c r="M961" s="91"/>
      <c r="N961" s="91"/>
      <c r="O961" s="189"/>
      <c r="Q961" s="47" t="s">
        <v>833</v>
      </c>
      <c r="T961" s="46"/>
      <c r="U961" s="46"/>
      <c r="V961" s="46"/>
    </row>
    <row r="962" spans="1:22" s="47" customFormat="1" ht="15.75" x14ac:dyDescent="0.25">
      <c r="A962" s="61"/>
      <c r="C962" s="46"/>
      <c r="D962" s="46"/>
      <c r="E962" s="46"/>
      <c r="F962" s="46"/>
      <c r="G962" s="46"/>
      <c r="H962" s="46"/>
      <c r="I962" s="46"/>
      <c r="J962" s="46"/>
      <c r="K962" s="218"/>
      <c r="L962" s="185"/>
      <c r="M962" s="91"/>
      <c r="N962" s="91"/>
      <c r="O962" s="189"/>
      <c r="Q962" s="47" t="s">
        <v>833</v>
      </c>
      <c r="T962" s="46"/>
      <c r="U962" s="46"/>
      <c r="V962" s="46"/>
    </row>
    <row r="963" spans="1:22" s="47" customFormat="1" ht="15.75" x14ac:dyDescent="0.25">
      <c r="A963" s="61"/>
      <c r="C963" s="46"/>
      <c r="D963" s="46"/>
      <c r="E963" s="46"/>
      <c r="F963" s="46"/>
      <c r="G963" s="46"/>
      <c r="H963" s="46"/>
      <c r="I963" s="46"/>
      <c r="J963" s="46"/>
      <c r="K963" s="218"/>
      <c r="L963" s="185"/>
      <c r="M963" s="91"/>
      <c r="N963" s="91"/>
      <c r="O963" s="189"/>
      <c r="Q963" s="47" t="s">
        <v>833</v>
      </c>
      <c r="T963" s="46"/>
      <c r="U963" s="46"/>
      <c r="V963" s="46"/>
    </row>
    <row r="964" spans="1:22" s="47" customFormat="1" ht="15.75" x14ac:dyDescent="0.25">
      <c r="A964" s="61"/>
      <c r="C964" s="46"/>
      <c r="D964" s="46"/>
      <c r="E964" s="46"/>
      <c r="F964" s="46"/>
      <c r="G964" s="46"/>
      <c r="H964" s="46"/>
      <c r="I964" s="46"/>
      <c r="J964" s="46"/>
      <c r="K964" s="218"/>
      <c r="L964" s="185"/>
      <c r="M964" s="91"/>
      <c r="N964" s="91"/>
      <c r="O964" s="189"/>
      <c r="Q964" s="47" t="s">
        <v>833</v>
      </c>
      <c r="T964" s="46"/>
      <c r="U964" s="46"/>
      <c r="V964" s="46"/>
    </row>
    <row r="965" spans="1:22" s="47" customFormat="1" ht="15.75" x14ac:dyDescent="0.25">
      <c r="A965" s="61"/>
      <c r="C965" s="46"/>
      <c r="D965" s="46"/>
      <c r="E965" s="46"/>
      <c r="F965" s="46"/>
      <c r="G965" s="46"/>
      <c r="H965" s="46"/>
      <c r="I965" s="46"/>
      <c r="J965" s="46"/>
      <c r="K965" s="218"/>
      <c r="L965" s="185"/>
      <c r="M965" s="91"/>
      <c r="N965" s="91"/>
      <c r="O965" s="189"/>
      <c r="Q965" s="47" t="s">
        <v>833</v>
      </c>
      <c r="T965" s="46"/>
      <c r="U965" s="46"/>
      <c r="V965" s="46"/>
    </row>
    <row r="966" spans="1:22" s="47" customFormat="1" ht="15.75" x14ac:dyDescent="0.25">
      <c r="A966" s="61"/>
      <c r="C966" s="46"/>
      <c r="D966" s="46"/>
      <c r="E966" s="46"/>
      <c r="F966" s="46"/>
      <c r="G966" s="46"/>
      <c r="H966" s="46"/>
      <c r="I966" s="46"/>
      <c r="J966" s="46"/>
      <c r="K966" s="218"/>
      <c r="L966" s="185"/>
      <c r="M966" s="91"/>
      <c r="N966" s="91"/>
      <c r="O966" s="189"/>
      <c r="Q966" s="47" t="s">
        <v>833</v>
      </c>
      <c r="T966" s="46"/>
      <c r="U966" s="46"/>
      <c r="V966" s="46"/>
    </row>
    <row r="967" spans="1:22" s="47" customFormat="1" ht="15.75" x14ac:dyDescent="0.25">
      <c r="A967" s="61"/>
      <c r="C967" s="46"/>
      <c r="D967" s="46"/>
      <c r="E967" s="46"/>
      <c r="F967" s="46"/>
      <c r="G967" s="46"/>
      <c r="H967" s="46"/>
      <c r="I967" s="46"/>
      <c r="J967" s="46"/>
      <c r="K967" s="218"/>
      <c r="L967" s="185"/>
      <c r="M967" s="91"/>
      <c r="N967" s="91"/>
      <c r="O967" s="189"/>
      <c r="Q967" s="47" t="s">
        <v>833</v>
      </c>
      <c r="T967" s="46"/>
      <c r="U967" s="46"/>
      <c r="V967" s="46"/>
    </row>
    <row r="968" spans="1:22" s="47" customFormat="1" ht="15.75" x14ac:dyDescent="0.25">
      <c r="A968" s="61"/>
      <c r="C968" s="46"/>
      <c r="D968" s="46"/>
      <c r="E968" s="46"/>
      <c r="F968" s="46"/>
      <c r="G968" s="46"/>
      <c r="H968" s="46"/>
      <c r="I968" s="46"/>
      <c r="J968" s="46"/>
      <c r="K968" s="218"/>
      <c r="L968" s="185"/>
      <c r="M968" s="91"/>
      <c r="N968" s="91"/>
      <c r="O968" s="189"/>
      <c r="Q968" s="47" t="s">
        <v>833</v>
      </c>
      <c r="T968" s="46"/>
      <c r="U968" s="46"/>
      <c r="V968" s="46"/>
    </row>
    <row r="969" spans="1:22" s="47" customFormat="1" ht="15.75" x14ac:dyDescent="0.25">
      <c r="A969" s="61"/>
      <c r="C969" s="46"/>
      <c r="D969" s="46"/>
      <c r="E969" s="46"/>
      <c r="F969" s="46"/>
      <c r="G969" s="46"/>
      <c r="H969" s="46"/>
      <c r="I969" s="46"/>
      <c r="J969" s="46"/>
      <c r="K969" s="218"/>
      <c r="L969" s="185"/>
      <c r="M969" s="91"/>
      <c r="N969" s="91"/>
      <c r="O969" s="189"/>
      <c r="Q969" s="47" t="s">
        <v>833</v>
      </c>
      <c r="T969" s="46"/>
      <c r="U969" s="46"/>
      <c r="V969" s="46"/>
    </row>
    <row r="970" spans="1:22" s="47" customFormat="1" ht="15.75" x14ac:dyDescent="0.25">
      <c r="A970" s="61"/>
      <c r="C970" s="46"/>
      <c r="D970" s="46"/>
      <c r="E970" s="46"/>
      <c r="F970" s="46"/>
      <c r="G970" s="46"/>
      <c r="H970" s="46"/>
      <c r="I970" s="46"/>
      <c r="J970" s="46"/>
      <c r="K970" s="218"/>
      <c r="L970" s="185"/>
      <c r="M970" s="91"/>
      <c r="N970" s="91"/>
      <c r="O970" s="189"/>
      <c r="Q970" s="47" t="s">
        <v>833</v>
      </c>
      <c r="T970" s="46"/>
      <c r="U970" s="46"/>
      <c r="V970" s="46"/>
    </row>
    <row r="971" spans="1:22" s="47" customFormat="1" ht="15.75" x14ac:dyDescent="0.25">
      <c r="A971" s="61"/>
      <c r="C971" s="46"/>
      <c r="D971" s="46"/>
      <c r="E971" s="46"/>
      <c r="F971" s="46"/>
      <c r="G971" s="46"/>
      <c r="H971" s="46"/>
      <c r="I971" s="46"/>
      <c r="J971" s="46"/>
      <c r="K971" s="218"/>
      <c r="L971" s="185"/>
      <c r="M971" s="91"/>
      <c r="N971" s="91"/>
      <c r="O971" s="189"/>
      <c r="Q971" s="47" t="s">
        <v>833</v>
      </c>
      <c r="T971" s="46"/>
      <c r="U971" s="46"/>
      <c r="V971" s="46"/>
    </row>
    <row r="972" spans="1:22" s="47" customFormat="1" ht="15.75" x14ac:dyDescent="0.25">
      <c r="A972" s="61"/>
      <c r="C972" s="46"/>
      <c r="D972" s="46"/>
      <c r="E972" s="46"/>
      <c r="F972" s="46"/>
      <c r="G972" s="46"/>
      <c r="H972" s="46"/>
      <c r="I972" s="46"/>
      <c r="J972" s="46"/>
      <c r="K972" s="218"/>
      <c r="L972" s="185"/>
      <c r="M972" s="91"/>
      <c r="N972" s="91"/>
      <c r="O972" s="189"/>
      <c r="Q972" s="47" t="s">
        <v>833</v>
      </c>
      <c r="T972" s="46"/>
      <c r="U972" s="46"/>
      <c r="V972" s="46"/>
    </row>
    <row r="973" spans="1:22" s="47" customFormat="1" ht="15.75" x14ac:dyDescent="0.25">
      <c r="A973" s="61"/>
      <c r="C973" s="46"/>
      <c r="D973" s="46"/>
      <c r="E973" s="46"/>
      <c r="F973" s="46"/>
      <c r="G973" s="46"/>
      <c r="H973" s="46"/>
      <c r="I973" s="46"/>
      <c r="J973" s="46"/>
      <c r="K973" s="218"/>
      <c r="L973" s="185"/>
      <c r="M973" s="91"/>
      <c r="N973" s="91"/>
      <c r="O973" s="189"/>
      <c r="Q973" s="47" t="s">
        <v>833</v>
      </c>
      <c r="T973" s="46"/>
      <c r="U973" s="46"/>
      <c r="V973" s="46"/>
    </row>
    <row r="974" spans="1:22" s="47" customFormat="1" ht="15.75" x14ac:dyDescent="0.25">
      <c r="A974" s="61"/>
      <c r="C974" s="46"/>
      <c r="D974" s="46"/>
      <c r="E974" s="46"/>
      <c r="F974" s="46"/>
      <c r="G974" s="46"/>
      <c r="H974" s="46"/>
      <c r="I974" s="46"/>
      <c r="J974" s="46"/>
      <c r="K974" s="218"/>
      <c r="L974" s="185"/>
      <c r="M974" s="91"/>
      <c r="N974" s="91"/>
      <c r="O974" s="189"/>
      <c r="Q974" s="47" t="s">
        <v>833</v>
      </c>
      <c r="T974" s="46"/>
      <c r="U974" s="46"/>
      <c r="V974" s="46"/>
    </row>
    <row r="975" spans="1:22" s="47" customFormat="1" ht="15.75" x14ac:dyDescent="0.25">
      <c r="A975" s="61"/>
      <c r="C975" s="46"/>
      <c r="D975" s="46"/>
      <c r="E975" s="46"/>
      <c r="F975" s="46"/>
      <c r="G975" s="46"/>
      <c r="H975" s="46"/>
      <c r="I975" s="46"/>
      <c r="J975" s="46"/>
      <c r="K975" s="218"/>
      <c r="L975" s="185"/>
      <c r="M975" s="91"/>
      <c r="N975" s="91"/>
      <c r="O975" s="189"/>
      <c r="Q975" s="47" t="s">
        <v>833</v>
      </c>
      <c r="T975" s="46"/>
      <c r="U975" s="46"/>
      <c r="V975" s="46"/>
    </row>
    <row r="976" spans="1:22" s="47" customFormat="1" ht="15.75" x14ac:dyDescent="0.25">
      <c r="A976" s="61"/>
      <c r="C976" s="46"/>
      <c r="D976" s="46"/>
      <c r="E976" s="46"/>
      <c r="F976" s="46"/>
      <c r="G976" s="46"/>
      <c r="H976" s="46"/>
      <c r="I976" s="46"/>
      <c r="J976" s="46"/>
      <c r="K976" s="218"/>
      <c r="L976" s="185"/>
      <c r="M976" s="91"/>
      <c r="N976" s="91"/>
      <c r="O976" s="189"/>
      <c r="Q976" s="47" t="s">
        <v>833</v>
      </c>
      <c r="T976" s="46"/>
      <c r="U976" s="46"/>
      <c r="V976" s="46"/>
    </row>
    <row r="977" spans="1:22" s="47" customFormat="1" ht="15.75" x14ac:dyDescent="0.25">
      <c r="A977" s="61"/>
      <c r="C977" s="46"/>
      <c r="D977" s="46"/>
      <c r="E977" s="46"/>
      <c r="F977" s="46"/>
      <c r="G977" s="46"/>
      <c r="H977" s="46"/>
      <c r="I977" s="46"/>
      <c r="J977" s="46"/>
      <c r="K977" s="218"/>
      <c r="L977" s="185"/>
      <c r="M977" s="91"/>
      <c r="N977" s="91"/>
      <c r="O977" s="189"/>
      <c r="Q977" s="47" t="s">
        <v>833</v>
      </c>
      <c r="T977" s="46"/>
      <c r="U977" s="46"/>
      <c r="V977" s="46"/>
    </row>
    <row r="978" spans="1:22" s="47" customFormat="1" ht="15.75" x14ac:dyDescent="0.25">
      <c r="A978" s="61"/>
      <c r="C978" s="46"/>
      <c r="D978" s="46"/>
      <c r="E978" s="46"/>
      <c r="F978" s="46"/>
      <c r="G978" s="46"/>
      <c r="H978" s="46"/>
      <c r="I978" s="46"/>
      <c r="J978" s="46"/>
      <c r="K978" s="218"/>
      <c r="L978" s="185"/>
      <c r="M978" s="91"/>
      <c r="N978" s="91"/>
      <c r="O978" s="189"/>
      <c r="Q978" s="47" t="s">
        <v>833</v>
      </c>
      <c r="T978" s="46"/>
      <c r="U978" s="46"/>
      <c r="V978" s="46"/>
    </row>
    <row r="979" spans="1:22" s="47" customFormat="1" ht="15.75" x14ac:dyDescent="0.25">
      <c r="A979" s="61"/>
      <c r="C979" s="46"/>
      <c r="D979" s="46"/>
      <c r="E979" s="46"/>
      <c r="F979" s="46"/>
      <c r="G979" s="46"/>
      <c r="H979" s="46"/>
      <c r="I979" s="46"/>
      <c r="J979" s="46"/>
      <c r="K979" s="218"/>
      <c r="L979" s="185"/>
      <c r="M979" s="91"/>
      <c r="N979" s="91"/>
      <c r="O979" s="189"/>
      <c r="Q979" s="47" t="s">
        <v>833</v>
      </c>
      <c r="T979" s="46"/>
      <c r="U979" s="46"/>
      <c r="V979" s="46"/>
    </row>
    <row r="980" spans="1:22" s="47" customFormat="1" ht="15.75" x14ac:dyDescent="0.25">
      <c r="A980" s="61"/>
      <c r="C980" s="46"/>
      <c r="D980" s="46"/>
      <c r="E980" s="46"/>
      <c r="F980" s="46"/>
      <c r="G980" s="46"/>
      <c r="H980" s="46"/>
      <c r="I980" s="46"/>
      <c r="J980" s="46"/>
      <c r="K980" s="218"/>
      <c r="L980" s="185"/>
      <c r="M980" s="91"/>
      <c r="N980" s="91"/>
      <c r="O980" s="189"/>
      <c r="Q980" s="47" t="s">
        <v>833</v>
      </c>
      <c r="T980" s="46"/>
      <c r="U980" s="46"/>
      <c r="V980" s="46"/>
    </row>
    <row r="981" spans="1:22" s="47" customFormat="1" ht="15.75" x14ac:dyDescent="0.25">
      <c r="A981" s="61"/>
      <c r="C981" s="46"/>
      <c r="D981" s="46"/>
      <c r="E981" s="46"/>
      <c r="F981" s="46"/>
      <c r="G981" s="46"/>
      <c r="H981" s="46"/>
      <c r="I981" s="46"/>
      <c r="J981" s="46"/>
      <c r="K981" s="218"/>
      <c r="L981" s="185"/>
      <c r="M981" s="91"/>
      <c r="N981" s="91"/>
      <c r="O981" s="189"/>
      <c r="Q981" s="47" t="s">
        <v>833</v>
      </c>
      <c r="T981" s="46"/>
      <c r="U981" s="46"/>
      <c r="V981" s="46"/>
    </row>
    <row r="982" spans="1:22" s="47" customFormat="1" ht="15.75" x14ac:dyDescent="0.25">
      <c r="A982" s="61"/>
      <c r="C982" s="46"/>
      <c r="D982" s="46"/>
      <c r="E982" s="46"/>
      <c r="F982" s="46"/>
      <c r="G982" s="46"/>
      <c r="H982" s="46"/>
      <c r="I982" s="46"/>
      <c r="J982" s="46"/>
      <c r="K982" s="218"/>
      <c r="L982" s="185"/>
      <c r="M982" s="91"/>
      <c r="N982" s="91"/>
      <c r="O982" s="189"/>
      <c r="Q982" s="47" t="s">
        <v>833</v>
      </c>
      <c r="T982" s="46"/>
      <c r="U982" s="46"/>
      <c r="V982" s="46"/>
    </row>
    <row r="983" spans="1:22" s="47" customFormat="1" ht="15.75" x14ac:dyDescent="0.25">
      <c r="A983" s="61"/>
      <c r="C983" s="46"/>
      <c r="D983" s="46"/>
      <c r="E983" s="46"/>
      <c r="F983" s="46"/>
      <c r="G983" s="46"/>
      <c r="H983" s="46"/>
      <c r="I983" s="46"/>
      <c r="J983" s="46"/>
      <c r="K983" s="218"/>
      <c r="L983" s="185"/>
      <c r="M983" s="91"/>
      <c r="N983" s="91"/>
      <c r="O983" s="189"/>
      <c r="Q983" s="47" t="s">
        <v>833</v>
      </c>
      <c r="T983" s="46"/>
      <c r="U983" s="46"/>
      <c r="V983" s="46"/>
    </row>
    <row r="984" spans="1:22" s="47" customFormat="1" ht="15.75" x14ac:dyDescent="0.25">
      <c r="A984" s="61"/>
      <c r="C984" s="46"/>
      <c r="D984" s="46"/>
      <c r="E984" s="46"/>
      <c r="F984" s="46"/>
      <c r="G984" s="46"/>
      <c r="H984" s="46"/>
      <c r="I984" s="46"/>
      <c r="J984" s="46"/>
      <c r="K984" s="218"/>
      <c r="L984" s="185"/>
      <c r="M984" s="91"/>
      <c r="N984" s="91"/>
      <c r="O984" s="189"/>
      <c r="Q984" s="47" t="s">
        <v>833</v>
      </c>
      <c r="T984" s="46"/>
      <c r="U984" s="46"/>
      <c r="V984" s="46"/>
    </row>
    <row r="985" spans="1:22" ht="15.75" x14ac:dyDescent="0.25">
      <c r="B985" s="47"/>
      <c r="O985" s="189"/>
      <c r="Q985" s="47" t="s">
        <v>833</v>
      </c>
    </row>
    <row r="986" spans="1:22" ht="15.75" x14ac:dyDescent="0.25">
      <c r="B986" s="47"/>
      <c r="O986" s="189"/>
      <c r="Q986" s="47" t="s">
        <v>833</v>
      </c>
    </row>
    <row r="987" spans="1:22" ht="15.75" x14ac:dyDescent="0.25">
      <c r="B987" s="47"/>
      <c r="O987" s="189"/>
      <c r="Q987" s="47" t="s">
        <v>833</v>
      </c>
    </row>
    <row r="988" spans="1:22" ht="15.75" x14ac:dyDescent="0.25">
      <c r="B988" s="47"/>
      <c r="O988" s="189"/>
      <c r="Q988" s="47" t="s">
        <v>833</v>
      </c>
    </row>
    <row r="989" spans="1:22" ht="15.75" x14ac:dyDescent="0.25">
      <c r="B989" s="47"/>
      <c r="O989" s="189"/>
      <c r="Q989" s="47" t="s">
        <v>833</v>
      </c>
    </row>
    <row r="990" spans="1:22" ht="15.75" x14ac:dyDescent="0.25">
      <c r="B990" s="47"/>
      <c r="O990" s="189"/>
      <c r="Q990" s="47" t="s">
        <v>833</v>
      </c>
    </row>
    <row r="991" spans="1:22" ht="15.75" x14ac:dyDescent="0.25">
      <c r="B991" s="47"/>
      <c r="O991" s="189"/>
      <c r="Q991" s="47" t="s">
        <v>833</v>
      </c>
    </row>
    <row r="992" spans="1:22" ht="15.75" x14ac:dyDescent="0.25">
      <c r="B992" s="47"/>
      <c r="O992" s="189"/>
      <c r="Q992" s="47" t="s">
        <v>833</v>
      </c>
    </row>
    <row r="993" spans="2:19" ht="15.75" x14ac:dyDescent="0.25">
      <c r="B993" s="47"/>
      <c r="O993" s="189"/>
      <c r="Q993" s="47" t="s">
        <v>833</v>
      </c>
    </row>
    <row r="994" spans="2:19" ht="15.75" x14ac:dyDescent="0.25">
      <c r="B994" s="47"/>
      <c r="O994" s="189"/>
      <c r="Q994" s="47" t="s">
        <v>833</v>
      </c>
    </row>
    <row r="995" spans="2:19" ht="15.75" x14ac:dyDescent="0.25">
      <c r="B995" s="47"/>
      <c r="O995" s="189"/>
      <c r="Q995" s="47" t="s">
        <v>833</v>
      </c>
      <c r="R995" s="46"/>
      <c r="S995" s="46"/>
    </row>
    <row r="996" spans="2:19" ht="15.75" x14ac:dyDescent="0.25">
      <c r="B996" s="47"/>
      <c r="O996" s="189"/>
      <c r="Q996" s="47" t="s">
        <v>833</v>
      </c>
      <c r="R996" s="46"/>
      <c r="S996" s="46"/>
    </row>
    <row r="997" spans="2:19" ht="15.75" x14ac:dyDescent="0.25">
      <c r="B997" s="47"/>
      <c r="O997" s="189"/>
      <c r="Q997" s="47" t="s">
        <v>833</v>
      </c>
      <c r="R997" s="46"/>
      <c r="S997" s="46"/>
    </row>
    <row r="998" spans="2:19" ht="15.75" x14ac:dyDescent="0.25">
      <c r="B998" s="47"/>
      <c r="O998" s="189"/>
      <c r="Q998" s="47" t="s">
        <v>833</v>
      </c>
      <c r="R998" s="46"/>
      <c r="S998" s="46"/>
    </row>
    <row r="999" spans="2:19" ht="15.75" x14ac:dyDescent="0.25">
      <c r="B999" s="47"/>
      <c r="O999" s="189"/>
      <c r="Q999" s="47" t="s">
        <v>833</v>
      </c>
      <c r="R999" s="46"/>
      <c r="S999" s="46"/>
    </row>
    <row r="1000" spans="2:19" ht="15.75" x14ac:dyDescent="0.25">
      <c r="B1000" s="47"/>
      <c r="O1000" s="189"/>
      <c r="Q1000" s="47" t="s">
        <v>833</v>
      </c>
      <c r="R1000" s="46"/>
      <c r="S1000" s="46"/>
    </row>
    <row r="1001" spans="2:19" ht="15.75" x14ac:dyDescent="0.25">
      <c r="B1001" s="47"/>
      <c r="O1001" s="189"/>
      <c r="Q1001" s="47" t="s">
        <v>833</v>
      </c>
      <c r="R1001" s="46"/>
      <c r="S1001" s="46"/>
    </row>
    <row r="1002" spans="2:19" ht="15.75" x14ac:dyDescent="0.25">
      <c r="B1002" s="47"/>
      <c r="O1002" s="189"/>
      <c r="Q1002" s="47" t="s">
        <v>833</v>
      </c>
      <c r="R1002" s="46"/>
      <c r="S1002" s="46"/>
    </row>
    <row r="1003" spans="2:19" ht="15.75" x14ac:dyDescent="0.25">
      <c r="B1003" s="47"/>
      <c r="O1003" s="189"/>
      <c r="Q1003" s="47" t="s">
        <v>833</v>
      </c>
      <c r="R1003" s="46"/>
      <c r="S1003" s="46"/>
    </row>
    <row r="1004" spans="2:19" ht="15.75" x14ac:dyDescent="0.25">
      <c r="B1004" s="47"/>
      <c r="O1004" s="189"/>
      <c r="Q1004" s="47" t="s">
        <v>833</v>
      </c>
      <c r="R1004" s="46"/>
      <c r="S1004" s="46"/>
    </row>
    <row r="1005" spans="2:19" ht="15.75" x14ac:dyDescent="0.25">
      <c r="B1005" s="47"/>
      <c r="O1005" s="189"/>
      <c r="Q1005" s="47" t="s">
        <v>833</v>
      </c>
      <c r="R1005" s="46"/>
      <c r="S1005" s="46"/>
    </row>
    <row r="1006" spans="2:19" ht="15.75" x14ac:dyDescent="0.25">
      <c r="B1006" s="47"/>
      <c r="O1006" s="189"/>
      <c r="Q1006" s="47" t="s">
        <v>833</v>
      </c>
    </row>
    <row r="1007" spans="2:19" ht="15.75" x14ac:dyDescent="0.25">
      <c r="B1007" s="47"/>
      <c r="O1007" s="189"/>
      <c r="Q1007" s="47" t="s">
        <v>833</v>
      </c>
    </row>
    <row r="1008" spans="2:19" ht="15.75" x14ac:dyDescent="0.25">
      <c r="B1008" s="47"/>
      <c r="O1008" s="189"/>
      <c r="Q1008" s="47" t="s">
        <v>833</v>
      </c>
    </row>
    <row r="1009" spans="1:22" ht="15.75" x14ac:dyDescent="0.25">
      <c r="B1009" s="47"/>
      <c r="O1009" s="189"/>
      <c r="Q1009" s="47" t="s">
        <v>833</v>
      </c>
    </row>
    <row r="1010" spans="1:22" ht="15.75" x14ac:dyDescent="0.25">
      <c r="B1010" s="47"/>
      <c r="O1010" s="189"/>
      <c r="Q1010" s="47" t="s">
        <v>833</v>
      </c>
    </row>
    <row r="1011" spans="1:22" ht="15.75" x14ac:dyDescent="0.25">
      <c r="B1011" s="47"/>
      <c r="O1011" s="189"/>
      <c r="Q1011" s="47" t="s">
        <v>833</v>
      </c>
    </row>
    <row r="1012" spans="1:22" ht="15.75" x14ac:dyDescent="0.25">
      <c r="B1012" s="47"/>
      <c r="O1012" s="189"/>
      <c r="Q1012" s="47" t="s">
        <v>833</v>
      </c>
    </row>
    <row r="1013" spans="1:22" ht="15.75" x14ac:dyDescent="0.25">
      <c r="B1013" s="47"/>
      <c r="O1013" s="189"/>
      <c r="Q1013" s="47" t="s">
        <v>833</v>
      </c>
    </row>
    <row r="1014" spans="1:22" ht="15.75" x14ac:dyDescent="0.25">
      <c r="B1014" s="47"/>
      <c r="O1014" s="189"/>
      <c r="Q1014" s="47" t="s">
        <v>833</v>
      </c>
    </row>
    <row r="1015" spans="1:22" ht="15.75" x14ac:dyDescent="0.25">
      <c r="B1015" s="47"/>
      <c r="O1015" s="189"/>
      <c r="Q1015" s="47" t="s">
        <v>833</v>
      </c>
    </row>
    <row r="1016" spans="1:22" ht="15.75" x14ac:dyDescent="0.25">
      <c r="B1016" s="47"/>
      <c r="O1016" s="189"/>
      <c r="Q1016" s="47" t="s">
        <v>833</v>
      </c>
    </row>
    <row r="1017" spans="1:22" s="47" customFormat="1" ht="15.75" x14ac:dyDescent="0.25">
      <c r="A1017" s="61"/>
      <c r="C1017" s="46"/>
      <c r="D1017" s="46"/>
      <c r="E1017" s="46"/>
      <c r="F1017" s="46"/>
      <c r="G1017" s="46"/>
      <c r="H1017" s="46"/>
      <c r="I1017" s="46"/>
      <c r="J1017" s="46"/>
      <c r="K1017" s="218"/>
      <c r="L1017" s="185"/>
      <c r="M1017" s="91"/>
      <c r="N1017" s="91"/>
      <c r="O1017" s="189"/>
      <c r="Q1017" s="47" t="s">
        <v>833</v>
      </c>
      <c r="T1017" s="46"/>
      <c r="U1017" s="46"/>
      <c r="V1017" s="46"/>
    </row>
    <row r="1018" spans="1:22" s="47" customFormat="1" ht="15.75" x14ac:dyDescent="0.25">
      <c r="A1018" s="61"/>
      <c r="C1018" s="46"/>
      <c r="D1018" s="46"/>
      <c r="E1018" s="46"/>
      <c r="F1018" s="46"/>
      <c r="G1018" s="46"/>
      <c r="H1018" s="46"/>
      <c r="I1018" s="46"/>
      <c r="J1018" s="46"/>
      <c r="K1018" s="218"/>
      <c r="L1018" s="185"/>
      <c r="M1018" s="91"/>
      <c r="N1018" s="91"/>
      <c r="O1018" s="189"/>
      <c r="Q1018" s="47" t="s">
        <v>833</v>
      </c>
      <c r="T1018" s="46"/>
      <c r="U1018" s="46"/>
      <c r="V1018" s="46"/>
    </row>
    <row r="1019" spans="1:22" s="47" customFormat="1" ht="15.75" x14ac:dyDescent="0.25">
      <c r="A1019" s="61"/>
      <c r="C1019" s="46"/>
      <c r="D1019" s="46"/>
      <c r="E1019" s="46"/>
      <c r="F1019" s="46"/>
      <c r="G1019" s="46"/>
      <c r="H1019" s="46"/>
      <c r="I1019" s="46"/>
      <c r="J1019" s="46"/>
      <c r="K1019" s="218"/>
      <c r="L1019" s="185"/>
      <c r="M1019" s="91"/>
      <c r="N1019" s="91"/>
      <c r="O1019" s="189"/>
      <c r="Q1019" s="47" t="s">
        <v>833</v>
      </c>
      <c r="T1019" s="46"/>
      <c r="U1019" s="46"/>
      <c r="V1019" s="46"/>
    </row>
    <row r="1020" spans="1:22" s="47" customFormat="1" ht="15.75" x14ac:dyDescent="0.25">
      <c r="A1020" s="61"/>
      <c r="C1020" s="46"/>
      <c r="D1020" s="46"/>
      <c r="E1020" s="46"/>
      <c r="F1020" s="46"/>
      <c r="G1020" s="46"/>
      <c r="H1020" s="46"/>
      <c r="I1020" s="46"/>
      <c r="J1020" s="46"/>
      <c r="K1020" s="218"/>
      <c r="L1020" s="185"/>
      <c r="M1020" s="91"/>
      <c r="N1020" s="91"/>
      <c r="O1020" s="189"/>
      <c r="Q1020" s="47" t="s">
        <v>833</v>
      </c>
      <c r="T1020" s="46"/>
      <c r="U1020" s="46"/>
      <c r="V1020" s="46"/>
    </row>
    <row r="1021" spans="1:22" s="47" customFormat="1" ht="15.75" x14ac:dyDescent="0.25">
      <c r="A1021" s="61"/>
      <c r="C1021" s="46"/>
      <c r="D1021" s="46"/>
      <c r="E1021" s="46"/>
      <c r="F1021" s="46"/>
      <c r="G1021" s="46"/>
      <c r="H1021" s="46"/>
      <c r="I1021" s="46"/>
      <c r="J1021" s="46"/>
      <c r="K1021" s="218"/>
      <c r="L1021" s="185"/>
      <c r="M1021" s="91"/>
      <c r="N1021" s="91"/>
      <c r="O1021" s="189"/>
      <c r="Q1021" s="47" t="s">
        <v>833</v>
      </c>
      <c r="T1021" s="46"/>
      <c r="U1021" s="46"/>
      <c r="V1021" s="46"/>
    </row>
    <row r="1022" spans="1:22" s="47" customFormat="1" ht="15.75" x14ac:dyDescent="0.25">
      <c r="A1022" s="61"/>
      <c r="C1022" s="46"/>
      <c r="D1022" s="46"/>
      <c r="E1022" s="46"/>
      <c r="F1022" s="46"/>
      <c r="G1022" s="46"/>
      <c r="H1022" s="46"/>
      <c r="I1022" s="46"/>
      <c r="J1022" s="46"/>
      <c r="K1022" s="218"/>
      <c r="L1022" s="185"/>
      <c r="M1022" s="91"/>
      <c r="N1022" s="91"/>
      <c r="O1022" s="189"/>
      <c r="Q1022" s="47" t="s">
        <v>833</v>
      </c>
      <c r="T1022" s="46"/>
      <c r="U1022" s="46"/>
      <c r="V1022" s="46"/>
    </row>
    <row r="1023" spans="1:22" s="47" customFormat="1" ht="15.75" x14ac:dyDescent="0.25">
      <c r="A1023" s="61"/>
      <c r="C1023" s="46"/>
      <c r="D1023" s="46"/>
      <c r="E1023" s="46"/>
      <c r="F1023" s="46"/>
      <c r="G1023" s="46"/>
      <c r="H1023" s="46"/>
      <c r="I1023" s="46"/>
      <c r="J1023" s="46"/>
      <c r="K1023" s="218"/>
      <c r="L1023" s="185"/>
      <c r="M1023" s="91"/>
      <c r="N1023" s="91"/>
      <c r="O1023" s="189"/>
      <c r="Q1023" s="47" t="s">
        <v>833</v>
      </c>
      <c r="T1023" s="46"/>
      <c r="U1023" s="46"/>
      <c r="V1023" s="46"/>
    </row>
    <row r="1024" spans="1:22" s="47" customFormat="1" ht="15.75" x14ac:dyDescent="0.25">
      <c r="A1024" s="61"/>
      <c r="B1024" s="46"/>
      <c r="C1024" s="46"/>
      <c r="D1024" s="46"/>
      <c r="E1024" s="46"/>
      <c r="F1024" s="46"/>
      <c r="G1024" s="46"/>
      <c r="H1024" s="46"/>
      <c r="I1024" s="46"/>
      <c r="J1024" s="46"/>
      <c r="K1024" s="218"/>
      <c r="L1024" s="185"/>
      <c r="M1024" s="91"/>
      <c r="N1024" s="91"/>
      <c r="O1024" s="189"/>
      <c r="Q1024" s="47" t="s">
        <v>833</v>
      </c>
      <c r="T1024" s="46"/>
      <c r="U1024" s="46"/>
      <c r="V1024" s="46"/>
    </row>
    <row r="1025" spans="1:22" s="47" customFormat="1" ht="15.75" x14ac:dyDescent="0.25">
      <c r="A1025" s="61"/>
      <c r="B1025" s="46"/>
      <c r="C1025" s="46"/>
      <c r="D1025" s="46"/>
      <c r="E1025" s="46"/>
      <c r="F1025" s="46"/>
      <c r="G1025" s="46"/>
      <c r="H1025" s="46"/>
      <c r="I1025" s="46"/>
      <c r="J1025" s="46"/>
      <c r="K1025" s="218"/>
      <c r="L1025" s="185"/>
      <c r="M1025" s="91"/>
      <c r="N1025" s="91"/>
      <c r="O1025" s="189"/>
      <c r="Q1025" s="47" t="s">
        <v>833</v>
      </c>
      <c r="T1025" s="46"/>
      <c r="U1025" s="46"/>
      <c r="V1025" s="46"/>
    </row>
    <row r="1026" spans="1:22" s="47" customFormat="1" ht="15.75" x14ac:dyDescent="0.25">
      <c r="A1026" s="61"/>
      <c r="B1026" s="46"/>
      <c r="C1026" s="46"/>
      <c r="D1026" s="46"/>
      <c r="E1026" s="46"/>
      <c r="F1026" s="46"/>
      <c r="G1026" s="46"/>
      <c r="H1026" s="46"/>
      <c r="I1026" s="46"/>
      <c r="J1026" s="46"/>
      <c r="K1026" s="218"/>
      <c r="L1026" s="185"/>
      <c r="M1026" s="91"/>
      <c r="N1026" s="91"/>
      <c r="O1026" s="189"/>
      <c r="Q1026" s="47" t="s">
        <v>833</v>
      </c>
      <c r="T1026" s="46"/>
      <c r="U1026" s="46"/>
      <c r="V1026" s="46"/>
    </row>
    <row r="1027" spans="1:22" s="47" customFormat="1" ht="15.75" x14ac:dyDescent="0.25">
      <c r="A1027" s="61"/>
      <c r="B1027" s="46"/>
      <c r="C1027" s="46"/>
      <c r="D1027" s="46"/>
      <c r="E1027" s="46"/>
      <c r="F1027" s="46"/>
      <c r="G1027" s="46"/>
      <c r="H1027" s="46"/>
      <c r="I1027" s="46"/>
      <c r="J1027" s="46"/>
      <c r="K1027" s="218"/>
      <c r="L1027" s="185"/>
      <c r="M1027" s="91"/>
      <c r="N1027" s="91"/>
      <c r="O1027" s="189"/>
      <c r="Q1027" s="47" t="s">
        <v>833</v>
      </c>
      <c r="T1027" s="46"/>
      <c r="U1027" s="46"/>
      <c r="V1027" s="46"/>
    </row>
    <row r="1028" spans="1:22" s="47" customFormat="1" ht="15.75" x14ac:dyDescent="0.25">
      <c r="A1028" s="61"/>
      <c r="B1028" s="46"/>
      <c r="C1028" s="46"/>
      <c r="D1028" s="46"/>
      <c r="E1028" s="46"/>
      <c r="F1028" s="46"/>
      <c r="G1028" s="46"/>
      <c r="H1028" s="46"/>
      <c r="I1028" s="46"/>
      <c r="J1028" s="46"/>
      <c r="K1028" s="218"/>
      <c r="L1028" s="185"/>
      <c r="M1028" s="91"/>
      <c r="N1028" s="91"/>
      <c r="O1028" s="189"/>
      <c r="Q1028" s="47" t="s">
        <v>833</v>
      </c>
      <c r="T1028" s="46"/>
      <c r="U1028" s="46"/>
      <c r="V1028" s="46"/>
    </row>
    <row r="1029" spans="1:22" s="47" customFormat="1" ht="15.75" x14ac:dyDescent="0.25">
      <c r="A1029" s="61"/>
      <c r="B1029" s="46"/>
      <c r="C1029" s="46"/>
      <c r="D1029" s="46"/>
      <c r="E1029" s="46"/>
      <c r="F1029" s="46"/>
      <c r="G1029" s="46"/>
      <c r="H1029" s="46"/>
      <c r="I1029" s="46"/>
      <c r="J1029" s="46"/>
      <c r="K1029" s="218"/>
      <c r="L1029" s="185"/>
      <c r="M1029" s="91"/>
      <c r="N1029" s="91"/>
      <c r="O1029" s="189"/>
      <c r="Q1029" s="47" t="s">
        <v>833</v>
      </c>
      <c r="T1029" s="46"/>
      <c r="U1029" s="46"/>
      <c r="V1029" s="46"/>
    </row>
    <row r="1030" spans="1:22" s="47" customFormat="1" ht="15.75" x14ac:dyDescent="0.25">
      <c r="A1030" s="61"/>
      <c r="B1030" s="46"/>
      <c r="C1030" s="46"/>
      <c r="D1030" s="46"/>
      <c r="E1030" s="46"/>
      <c r="F1030" s="46"/>
      <c r="G1030" s="46"/>
      <c r="H1030" s="46"/>
      <c r="I1030" s="46"/>
      <c r="J1030" s="46"/>
      <c r="K1030" s="218"/>
      <c r="L1030" s="185"/>
      <c r="M1030" s="91"/>
      <c r="N1030" s="91"/>
      <c r="O1030" s="189"/>
      <c r="Q1030" s="47" t="s">
        <v>833</v>
      </c>
      <c r="T1030" s="46"/>
      <c r="U1030" s="46"/>
      <c r="V1030" s="46"/>
    </row>
    <row r="1031" spans="1:22" s="47" customFormat="1" ht="15.75" x14ac:dyDescent="0.25">
      <c r="A1031" s="61"/>
      <c r="B1031" s="46"/>
      <c r="C1031" s="46"/>
      <c r="D1031" s="46"/>
      <c r="E1031" s="46"/>
      <c r="F1031" s="46"/>
      <c r="G1031" s="46"/>
      <c r="H1031" s="46"/>
      <c r="I1031" s="46"/>
      <c r="J1031" s="46"/>
      <c r="K1031" s="218"/>
      <c r="L1031" s="185"/>
      <c r="M1031" s="91"/>
      <c r="N1031" s="91"/>
      <c r="O1031" s="189"/>
      <c r="T1031" s="46"/>
      <c r="U1031" s="46"/>
      <c r="V1031" s="46"/>
    </row>
    <row r="1034" spans="1:22" x14ac:dyDescent="0.25">
      <c r="B1034" s="47"/>
    </row>
    <row r="1035" spans="1:22" x14ac:dyDescent="0.25">
      <c r="B1035" s="47"/>
    </row>
    <row r="1036" spans="1:22" x14ac:dyDescent="0.25">
      <c r="B1036" s="47"/>
    </row>
    <row r="1037" spans="1:22" x14ac:dyDescent="0.25">
      <c r="B1037" s="47"/>
    </row>
    <row r="1038" spans="1:22" x14ac:dyDescent="0.25">
      <c r="B1038" s="47"/>
    </row>
    <row r="1039" spans="1:22" x14ac:dyDescent="0.25">
      <c r="B1039" s="47"/>
    </row>
    <row r="1040" spans="1:22" x14ac:dyDescent="0.25">
      <c r="B1040" s="47"/>
    </row>
    <row r="1041" spans="2:2" x14ac:dyDescent="0.25">
      <c r="B1041" s="47"/>
    </row>
    <row r="1042" spans="2:2" x14ac:dyDescent="0.25">
      <c r="B1042" s="47"/>
    </row>
    <row r="1043" spans="2:2" x14ac:dyDescent="0.25">
      <c r="B1043" s="47"/>
    </row>
    <row r="1044" spans="2:2" x14ac:dyDescent="0.25">
      <c r="B1044" s="47"/>
    </row>
    <row r="1045" spans="2:2" x14ac:dyDescent="0.25">
      <c r="B1045" s="47"/>
    </row>
    <row r="1046" spans="2:2" x14ac:dyDescent="0.25">
      <c r="B1046" s="47"/>
    </row>
    <row r="1047" spans="2:2" x14ac:dyDescent="0.25">
      <c r="B1047" s="47"/>
    </row>
    <row r="1048" spans="2:2" x14ac:dyDescent="0.25">
      <c r="B1048" s="47"/>
    </row>
    <row r="1049" spans="2:2" x14ac:dyDescent="0.25">
      <c r="B1049" s="47"/>
    </row>
    <row r="1050" spans="2:2" x14ac:dyDescent="0.25">
      <c r="B1050" s="47"/>
    </row>
    <row r="1051" spans="2:2" x14ac:dyDescent="0.25">
      <c r="B1051" s="47"/>
    </row>
    <row r="1052" spans="2:2" x14ac:dyDescent="0.25">
      <c r="B1052" s="47"/>
    </row>
    <row r="1053" spans="2:2" x14ac:dyDescent="0.25">
      <c r="B1053" s="47"/>
    </row>
    <row r="1054" spans="2:2" x14ac:dyDescent="0.25">
      <c r="B1054" s="47"/>
    </row>
    <row r="1055" spans="2:2" x14ac:dyDescent="0.25">
      <c r="B1055" s="47"/>
    </row>
    <row r="1056" spans="2:2" x14ac:dyDescent="0.25">
      <c r="B1056" s="47"/>
    </row>
    <row r="1057" spans="2:2" x14ac:dyDescent="0.25">
      <c r="B1057" s="47"/>
    </row>
    <row r="1058" spans="2:2" x14ac:dyDescent="0.25">
      <c r="B1058" s="47"/>
    </row>
    <row r="1059" spans="2:2" x14ac:dyDescent="0.25">
      <c r="B1059" s="47"/>
    </row>
    <row r="1060" spans="2:2" x14ac:dyDescent="0.25">
      <c r="B1060" s="47"/>
    </row>
    <row r="1061" spans="2:2" x14ac:dyDescent="0.25">
      <c r="B1061" s="47"/>
    </row>
    <row r="1062" spans="2:2" x14ac:dyDescent="0.25">
      <c r="B1062" s="47"/>
    </row>
    <row r="1063" spans="2:2" x14ac:dyDescent="0.25">
      <c r="B1063" s="47"/>
    </row>
    <row r="1064" spans="2:2" x14ac:dyDescent="0.25">
      <c r="B1064" s="47"/>
    </row>
    <row r="1065" spans="2:2" x14ac:dyDescent="0.25">
      <c r="B1065" s="47"/>
    </row>
    <row r="1066" spans="2:2" x14ac:dyDescent="0.25">
      <c r="B1066" s="47"/>
    </row>
    <row r="1067" spans="2:2" x14ac:dyDescent="0.25">
      <c r="B1067" s="47"/>
    </row>
    <row r="1068" spans="2:2" x14ac:dyDescent="0.25">
      <c r="B1068" s="47"/>
    </row>
    <row r="1069" spans="2:2" x14ac:dyDescent="0.25">
      <c r="B1069" s="47"/>
    </row>
    <row r="1070" spans="2:2" x14ac:dyDescent="0.25">
      <c r="B1070" s="47"/>
    </row>
    <row r="1071" spans="2:2" x14ac:dyDescent="0.25">
      <c r="B1071" s="47"/>
    </row>
    <row r="1072" spans="2:2" x14ac:dyDescent="0.25">
      <c r="B1072" s="47"/>
    </row>
    <row r="1073" spans="2:2" x14ac:dyDescent="0.25">
      <c r="B1073" s="47"/>
    </row>
    <row r="1074" spans="2:2" x14ac:dyDescent="0.25">
      <c r="B1074" s="47"/>
    </row>
    <row r="1075" spans="2:2" x14ac:dyDescent="0.25">
      <c r="B1075" s="47"/>
    </row>
    <row r="1076" spans="2:2" x14ac:dyDescent="0.25">
      <c r="B1076" s="47"/>
    </row>
    <row r="1077" spans="2:2" x14ac:dyDescent="0.25">
      <c r="B1077" s="47"/>
    </row>
    <row r="1078" spans="2:2" x14ac:dyDescent="0.25">
      <c r="B1078" s="47"/>
    </row>
    <row r="1079" spans="2:2" x14ac:dyDescent="0.25">
      <c r="B1079" s="47"/>
    </row>
    <row r="1080" spans="2:2" x14ac:dyDescent="0.25">
      <c r="B1080" s="47"/>
    </row>
    <row r="1081" spans="2:2" x14ac:dyDescent="0.25">
      <c r="B1081" s="47"/>
    </row>
    <row r="1082" spans="2:2" x14ac:dyDescent="0.25">
      <c r="B1082" s="47"/>
    </row>
    <row r="1083" spans="2:2" x14ac:dyDescent="0.25">
      <c r="B1083" s="47"/>
    </row>
    <row r="1084" spans="2:2" x14ac:dyDescent="0.25">
      <c r="B1084" s="47"/>
    </row>
    <row r="1085" spans="2:2" x14ac:dyDescent="0.25">
      <c r="B1085" s="47"/>
    </row>
    <row r="1086" spans="2:2" x14ac:dyDescent="0.25">
      <c r="B1086" s="47"/>
    </row>
    <row r="1087" spans="2:2" x14ac:dyDescent="0.25">
      <c r="B1087" s="47"/>
    </row>
    <row r="1088" spans="2:2" x14ac:dyDescent="0.25">
      <c r="B1088" s="47"/>
    </row>
    <row r="1089" spans="2:2" x14ac:dyDescent="0.25">
      <c r="B1089" s="47"/>
    </row>
    <row r="1090" spans="2:2" x14ac:dyDescent="0.25">
      <c r="B1090" s="47"/>
    </row>
    <row r="1091" spans="2:2" x14ac:dyDescent="0.25">
      <c r="B1091" s="47"/>
    </row>
    <row r="1092" spans="2:2" x14ac:dyDescent="0.25">
      <c r="B1092" s="47"/>
    </row>
    <row r="1093" spans="2:2" x14ac:dyDescent="0.25">
      <c r="B1093" s="47"/>
    </row>
    <row r="1094" spans="2:2" x14ac:dyDescent="0.25">
      <c r="B1094" s="47"/>
    </row>
    <row r="1095" spans="2:2" x14ac:dyDescent="0.25">
      <c r="B1095" s="47"/>
    </row>
    <row r="1096" spans="2:2" x14ac:dyDescent="0.25">
      <c r="B1096" s="47"/>
    </row>
    <row r="1097" spans="2:2" x14ac:dyDescent="0.25">
      <c r="B1097" s="47"/>
    </row>
    <row r="1098" spans="2:2" x14ac:dyDescent="0.25">
      <c r="B1098" s="47"/>
    </row>
    <row r="1099" spans="2:2" x14ac:dyDescent="0.25">
      <c r="B1099" s="47"/>
    </row>
    <row r="1100" spans="2:2" x14ac:dyDescent="0.25">
      <c r="B1100" s="47"/>
    </row>
    <row r="1101" spans="2:2" x14ac:dyDescent="0.25">
      <c r="B1101" s="47"/>
    </row>
    <row r="1102" spans="2:2" x14ac:dyDescent="0.25">
      <c r="B1102" s="47"/>
    </row>
    <row r="1103" spans="2:2" x14ac:dyDescent="0.25">
      <c r="B1103" s="47"/>
    </row>
    <row r="1104" spans="2:2" x14ac:dyDescent="0.25">
      <c r="B1104" s="47"/>
    </row>
    <row r="1105" spans="2:2" x14ac:dyDescent="0.25">
      <c r="B1105" s="47"/>
    </row>
    <row r="1106" spans="2:2" x14ac:dyDescent="0.25">
      <c r="B1106" s="47"/>
    </row>
    <row r="1107" spans="2:2" x14ac:dyDescent="0.25">
      <c r="B1107" s="47"/>
    </row>
    <row r="1108" spans="2:2" x14ac:dyDescent="0.25">
      <c r="B1108" s="47"/>
    </row>
    <row r="1109" spans="2:2" x14ac:dyDescent="0.25">
      <c r="B1109" s="47"/>
    </row>
    <row r="1110" spans="2:2" x14ac:dyDescent="0.25">
      <c r="B1110" s="47"/>
    </row>
    <row r="1111" spans="2:2" x14ac:dyDescent="0.25">
      <c r="B1111" s="47"/>
    </row>
    <row r="1112" spans="2:2" x14ac:dyDescent="0.25">
      <c r="B1112" s="47"/>
    </row>
    <row r="1113" spans="2:2" x14ac:dyDescent="0.25">
      <c r="B1113" s="47"/>
    </row>
    <row r="1114" spans="2:2" x14ac:dyDescent="0.25">
      <c r="B1114" s="47"/>
    </row>
    <row r="1115" spans="2:2" x14ac:dyDescent="0.25">
      <c r="B1115" s="47"/>
    </row>
    <row r="1116" spans="2:2" x14ac:dyDescent="0.25">
      <c r="B1116" s="47"/>
    </row>
    <row r="1117" spans="2:2" x14ac:dyDescent="0.25">
      <c r="B1117" s="47"/>
    </row>
    <row r="1118" spans="2:2" x14ac:dyDescent="0.25">
      <c r="B1118" s="47"/>
    </row>
    <row r="1119" spans="2:2" x14ac:dyDescent="0.25">
      <c r="B1119" s="47"/>
    </row>
    <row r="1120" spans="2:2" x14ac:dyDescent="0.25">
      <c r="B1120" s="47"/>
    </row>
    <row r="1121" spans="2:2" x14ac:dyDescent="0.25">
      <c r="B1121" s="47"/>
    </row>
    <row r="1122" spans="2:2" x14ac:dyDescent="0.25">
      <c r="B1122" s="47"/>
    </row>
    <row r="1123" spans="2:2" x14ac:dyDescent="0.25">
      <c r="B1123" s="47"/>
    </row>
    <row r="1124" spans="2:2" x14ac:dyDescent="0.25">
      <c r="B1124" s="47"/>
    </row>
    <row r="1125" spans="2:2" x14ac:dyDescent="0.25">
      <c r="B1125" s="47"/>
    </row>
    <row r="1126" spans="2:2" x14ac:dyDescent="0.25">
      <c r="B1126" s="47"/>
    </row>
    <row r="1127" spans="2:2" x14ac:dyDescent="0.25">
      <c r="B1127" s="47"/>
    </row>
    <row r="1128" spans="2:2" x14ac:dyDescent="0.25">
      <c r="B1128" s="47"/>
    </row>
    <row r="1129" spans="2:2" x14ac:dyDescent="0.25">
      <c r="B1129" s="47"/>
    </row>
    <row r="1130" spans="2:2" x14ac:dyDescent="0.25">
      <c r="B1130" s="47"/>
    </row>
    <row r="1131" spans="2:2" x14ac:dyDescent="0.25">
      <c r="B1131" s="47"/>
    </row>
    <row r="1132" spans="2:2" x14ac:dyDescent="0.25">
      <c r="B1132" s="47"/>
    </row>
    <row r="1133" spans="2:2" x14ac:dyDescent="0.25">
      <c r="B1133" s="47"/>
    </row>
    <row r="1134" spans="2:2" x14ac:dyDescent="0.25">
      <c r="B1134" s="47"/>
    </row>
    <row r="1135" spans="2:2" x14ac:dyDescent="0.25">
      <c r="B1135" s="47"/>
    </row>
    <row r="1136" spans="2:2" x14ac:dyDescent="0.25">
      <c r="B1136" s="47"/>
    </row>
    <row r="1137" spans="2:2" x14ac:dyDescent="0.25">
      <c r="B1137" s="47"/>
    </row>
    <row r="1138" spans="2:2" x14ac:dyDescent="0.25">
      <c r="B1138" s="47"/>
    </row>
    <row r="1139" spans="2:2" x14ac:dyDescent="0.25">
      <c r="B1139" s="47"/>
    </row>
    <row r="1140" spans="2:2" x14ac:dyDescent="0.25">
      <c r="B1140" s="47"/>
    </row>
    <row r="1141" spans="2:2" x14ac:dyDescent="0.25">
      <c r="B1141" s="47"/>
    </row>
    <row r="1142" spans="2:2" x14ac:dyDescent="0.25">
      <c r="B1142" s="47"/>
    </row>
    <row r="1143" spans="2:2" x14ac:dyDescent="0.25">
      <c r="B1143" s="47"/>
    </row>
    <row r="1144" spans="2:2" x14ac:dyDescent="0.25">
      <c r="B1144" s="47"/>
    </row>
    <row r="1145" spans="2:2" x14ac:dyDescent="0.25">
      <c r="B1145" s="47"/>
    </row>
    <row r="1146" spans="2:2" x14ac:dyDescent="0.25">
      <c r="B1146" s="47"/>
    </row>
    <row r="1147" spans="2:2" x14ac:dyDescent="0.25">
      <c r="B1147" s="47"/>
    </row>
    <row r="1148" spans="2:2" x14ac:dyDescent="0.25">
      <c r="B1148" s="47"/>
    </row>
    <row r="1149" spans="2:2" x14ac:dyDescent="0.25">
      <c r="B1149" s="47"/>
    </row>
    <row r="1150" spans="2:2" x14ac:dyDescent="0.25">
      <c r="B1150" s="47"/>
    </row>
    <row r="1151" spans="2:2" x14ac:dyDescent="0.25">
      <c r="B1151" s="47"/>
    </row>
    <row r="1152" spans="2:2" x14ac:dyDescent="0.25">
      <c r="B1152" s="47"/>
    </row>
    <row r="1153" spans="2:2" x14ac:dyDescent="0.25">
      <c r="B1153" s="47"/>
    </row>
    <row r="1154" spans="2:2" x14ac:dyDescent="0.25">
      <c r="B1154" s="47"/>
    </row>
    <row r="1155" spans="2:2" x14ac:dyDescent="0.25">
      <c r="B1155" s="47"/>
    </row>
    <row r="1156" spans="2:2" x14ac:dyDescent="0.25">
      <c r="B1156" s="47"/>
    </row>
    <row r="1157" spans="2:2" x14ac:dyDescent="0.25">
      <c r="B1157" s="47"/>
    </row>
    <row r="1158" spans="2:2" x14ac:dyDescent="0.25">
      <c r="B1158" s="47"/>
    </row>
    <row r="1159" spans="2:2" x14ac:dyDescent="0.25">
      <c r="B1159" s="47"/>
    </row>
    <row r="1160" spans="2:2" x14ac:dyDescent="0.25">
      <c r="B1160" s="47"/>
    </row>
    <row r="1161" spans="2:2" x14ac:dyDescent="0.25">
      <c r="B1161" s="47"/>
    </row>
    <row r="1162" spans="2:2" x14ac:dyDescent="0.25">
      <c r="B1162" s="47"/>
    </row>
    <row r="1163" spans="2:2" x14ac:dyDescent="0.25">
      <c r="B1163" s="47"/>
    </row>
    <row r="1164" spans="2:2" x14ac:dyDescent="0.25">
      <c r="B1164" s="47"/>
    </row>
    <row r="1165" spans="2:2" x14ac:dyDescent="0.25">
      <c r="B1165" s="47"/>
    </row>
    <row r="1166" spans="2:2" x14ac:dyDescent="0.25">
      <c r="B1166" s="47"/>
    </row>
    <row r="1167" spans="2:2" x14ac:dyDescent="0.25">
      <c r="B1167" s="47"/>
    </row>
    <row r="1168" spans="2:2" x14ac:dyDescent="0.25">
      <c r="B1168" s="47"/>
    </row>
    <row r="1169" spans="2:2" x14ac:dyDescent="0.25">
      <c r="B1169" s="47"/>
    </row>
    <row r="1170" spans="2:2" x14ac:dyDescent="0.25">
      <c r="B1170" s="47"/>
    </row>
    <row r="1171" spans="2:2" x14ac:dyDescent="0.25">
      <c r="B1171" s="47"/>
    </row>
    <row r="1172" spans="2:2" x14ac:dyDescent="0.25">
      <c r="B1172" s="47"/>
    </row>
    <row r="1173" spans="2:2" x14ac:dyDescent="0.25">
      <c r="B1173" s="47"/>
    </row>
    <row r="1174" spans="2:2" x14ac:dyDescent="0.25">
      <c r="B1174" s="47"/>
    </row>
    <row r="1175" spans="2:2" x14ac:dyDescent="0.25">
      <c r="B1175" s="47"/>
    </row>
    <row r="1176" spans="2:2" x14ac:dyDescent="0.25">
      <c r="B1176" s="47"/>
    </row>
    <row r="1177" spans="2:2" x14ac:dyDescent="0.25">
      <c r="B1177" s="47"/>
    </row>
    <row r="1178" spans="2:2" x14ac:dyDescent="0.25">
      <c r="B1178" s="47"/>
    </row>
    <row r="1179" spans="2:2" x14ac:dyDescent="0.25">
      <c r="B1179" s="47"/>
    </row>
    <row r="1180" spans="2:2" x14ac:dyDescent="0.25">
      <c r="B1180" s="47"/>
    </row>
    <row r="1181" spans="2:2" x14ac:dyDescent="0.25">
      <c r="B1181" s="47"/>
    </row>
    <row r="1182" spans="2:2" x14ac:dyDescent="0.25">
      <c r="B1182" s="47"/>
    </row>
    <row r="1183" spans="2:2" x14ac:dyDescent="0.25">
      <c r="B1183" s="47"/>
    </row>
    <row r="1184" spans="2:2" x14ac:dyDescent="0.25">
      <c r="B1184" s="47"/>
    </row>
    <row r="1185" spans="2:2" x14ac:dyDescent="0.25">
      <c r="B1185" s="47"/>
    </row>
    <row r="1186" spans="2:2" x14ac:dyDescent="0.25">
      <c r="B1186" s="47"/>
    </row>
    <row r="1187" spans="2:2" x14ac:dyDescent="0.25">
      <c r="B1187" s="47"/>
    </row>
    <row r="1188" spans="2:2" x14ac:dyDescent="0.25">
      <c r="B1188" s="47"/>
    </row>
    <row r="1189" spans="2:2" x14ac:dyDescent="0.25">
      <c r="B1189" s="47"/>
    </row>
    <row r="1190" spans="2:2" x14ac:dyDescent="0.25">
      <c r="B1190" s="47"/>
    </row>
    <row r="1191" spans="2:2" x14ac:dyDescent="0.25">
      <c r="B1191" s="47"/>
    </row>
    <row r="1192" spans="2:2" x14ac:dyDescent="0.25">
      <c r="B1192" s="47"/>
    </row>
    <row r="1193" spans="2:2" x14ac:dyDescent="0.25">
      <c r="B1193" s="47"/>
    </row>
    <row r="1194" spans="2:2" x14ac:dyDescent="0.25">
      <c r="B1194" s="47"/>
    </row>
    <row r="1195" spans="2:2" x14ac:dyDescent="0.25">
      <c r="B1195" s="47"/>
    </row>
    <row r="1196" spans="2:2" x14ac:dyDescent="0.25">
      <c r="B1196" s="47"/>
    </row>
    <row r="1197" spans="2:2" x14ac:dyDescent="0.25">
      <c r="B1197" s="47"/>
    </row>
    <row r="1198" spans="2:2" x14ac:dyDescent="0.25">
      <c r="B1198" s="47"/>
    </row>
    <row r="1199" spans="2:2" x14ac:dyDescent="0.25">
      <c r="B1199" s="47"/>
    </row>
    <row r="1200" spans="2:2" x14ac:dyDescent="0.25">
      <c r="B1200" s="47"/>
    </row>
    <row r="1201" spans="2:2" x14ac:dyDescent="0.25">
      <c r="B1201" s="47"/>
    </row>
    <row r="1202" spans="2:2" x14ac:dyDescent="0.25">
      <c r="B1202" s="47"/>
    </row>
    <row r="1203" spans="2:2" x14ac:dyDescent="0.25">
      <c r="B1203" s="47"/>
    </row>
    <row r="1204" spans="2:2" x14ac:dyDescent="0.25">
      <c r="B1204" s="47"/>
    </row>
    <row r="1205" spans="2:2" x14ac:dyDescent="0.25">
      <c r="B1205" s="47"/>
    </row>
    <row r="1206" spans="2:2" x14ac:dyDescent="0.25">
      <c r="B1206" s="47"/>
    </row>
    <row r="1207" spans="2:2" x14ac:dyDescent="0.25">
      <c r="B1207" s="47"/>
    </row>
    <row r="1208" spans="2:2" x14ac:dyDescent="0.25">
      <c r="B1208" s="47"/>
    </row>
    <row r="1209" spans="2:2" x14ac:dyDescent="0.25">
      <c r="B1209" s="47"/>
    </row>
    <row r="1210" spans="2:2" x14ac:dyDescent="0.25">
      <c r="B1210" s="47"/>
    </row>
    <row r="1211" spans="2:2" x14ac:dyDescent="0.25">
      <c r="B1211" s="47"/>
    </row>
    <row r="1212" spans="2:2" x14ac:dyDescent="0.25">
      <c r="B1212" s="47"/>
    </row>
    <row r="1213" spans="2:2" x14ac:dyDescent="0.25">
      <c r="B1213" s="47"/>
    </row>
    <row r="1214" spans="2:2" x14ac:dyDescent="0.25">
      <c r="B1214" s="47"/>
    </row>
    <row r="1215" spans="2:2" x14ac:dyDescent="0.25">
      <c r="B1215" s="47"/>
    </row>
    <row r="1216" spans="2:2" x14ac:dyDescent="0.25">
      <c r="B1216" s="47"/>
    </row>
    <row r="1217" spans="2:2" x14ac:dyDescent="0.25">
      <c r="B1217" s="47"/>
    </row>
    <row r="1218" spans="2:2" x14ac:dyDescent="0.25">
      <c r="B1218" s="47"/>
    </row>
    <row r="1219" spans="2:2" x14ac:dyDescent="0.25">
      <c r="B1219" s="47"/>
    </row>
    <row r="1220" spans="2:2" x14ac:dyDescent="0.25">
      <c r="B1220" s="47"/>
    </row>
    <row r="1221" spans="2:2" x14ac:dyDescent="0.25">
      <c r="B1221" s="47"/>
    </row>
    <row r="1222" spans="2:2" x14ac:dyDescent="0.25">
      <c r="B1222" s="47"/>
    </row>
    <row r="1223" spans="2:2" x14ac:dyDescent="0.25">
      <c r="B1223" s="47"/>
    </row>
    <row r="1224" spans="2:2" x14ac:dyDescent="0.25">
      <c r="B1224" s="47"/>
    </row>
    <row r="1225" spans="2:2" x14ac:dyDescent="0.25">
      <c r="B1225" s="47"/>
    </row>
    <row r="1226" spans="2:2" x14ac:dyDescent="0.25">
      <c r="B1226" s="47"/>
    </row>
    <row r="1227" spans="2:2" x14ac:dyDescent="0.25">
      <c r="B1227" s="47"/>
    </row>
    <row r="1228" spans="2:2" x14ac:dyDescent="0.25">
      <c r="B1228" s="47"/>
    </row>
    <row r="1229" spans="2:2" x14ac:dyDescent="0.25">
      <c r="B1229" s="47"/>
    </row>
    <row r="1230" spans="2:2" x14ac:dyDescent="0.25">
      <c r="B1230" s="47"/>
    </row>
    <row r="1231" spans="2:2" x14ac:dyDescent="0.25">
      <c r="B1231" s="47"/>
    </row>
    <row r="1232" spans="2:2" x14ac:dyDescent="0.25">
      <c r="B1232" s="47"/>
    </row>
    <row r="1233" spans="2:2" x14ac:dyDescent="0.25">
      <c r="B1233" s="47"/>
    </row>
    <row r="1234" spans="2:2" x14ac:dyDescent="0.25">
      <c r="B1234" s="47"/>
    </row>
    <row r="1235" spans="2:2" x14ac:dyDescent="0.25">
      <c r="B1235" s="47"/>
    </row>
    <row r="1236" spans="2:2" x14ac:dyDescent="0.25">
      <c r="B1236" s="47"/>
    </row>
    <row r="1237" spans="2:2" x14ac:dyDescent="0.25">
      <c r="B1237" s="47"/>
    </row>
    <row r="1238" spans="2:2" x14ac:dyDescent="0.25">
      <c r="B1238" s="47"/>
    </row>
    <row r="1239" spans="2:2" x14ac:dyDescent="0.25">
      <c r="B1239" s="47"/>
    </row>
    <row r="1240" spans="2:2" x14ac:dyDescent="0.25">
      <c r="B1240" s="47"/>
    </row>
    <row r="1241" spans="2:2" x14ac:dyDescent="0.25">
      <c r="B1241" s="47"/>
    </row>
    <row r="1242" spans="2:2" x14ac:dyDescent="0.25">
      <c r="B1242" s="47"/>
    </row>
    <row r="1243" spans="2:2" x14ac:dyDescent="0.25">
      <c r="B1243" s="47"/>
    </row>
    <row r="1244" spans="2:2" x14ac:dyDescent="0.25">
      <c r="B1244" s="47"/>
    </row>
    <row r="1245" spans="2:2" x14ac:dyDescent="0.25">
      <c r="B1245" s="47"/>
    </row>
    <row r="1246" spans="2:2" x14ac:dyDescent="0.25">
      <c r="B1246" s="47"/>
    </row>
    <row r="1247" spans="2:2" x14ac:dyDescent="0.25">
      <c r="B1247" s="47"/>
    </row>
    <row r="1248" spans="2:2" x14ac:dyDescent="0.25">
      <c r="B1248" s="47"/>
    </row>
    <row r="1249" spans="2:2" x14ac:dyDescent="0.25">
      <c r="B1249" s="47"/>
    </row>
  </sheetData>
  <dataValidations count="7">
    <dataValidation type="list" allowBlank="1" showInputMessage="1" showErrorMessage="1" sqref="B1034:B1249 B2:B302 B304:B346 B348:B1023">
      <formula1>"ASL, All Risks, AmWINS, Appalachian, Bolton, Burns, Burns NC, Hull Horsham, Hull Charlotte, Hull Irvine, Hull Stockton, JM Wilson, J &amp; J, Jimcor, Quaker, RPS Covington, RPS Scottsdale, SCU, TPI, XS Brokers"</formula1>
    </dataValidation>
    <dataValidation type="list" allowBlank="1" showInputMessage="1" showErrorMessage="1" sqref="O1018:O1031 O1034:O1048576">
      <formula1>"Builders Risk, Business on Premises, Condition, Heat Source, High Profile, Losses, Occupancy/Use, Other UW Reason, PC, Prior Lapse/NRN, Rate, TIV"</formula1>
    </dataValidation>
    <dataValidation type="list" allowBlank="1" showInputMessage="1" showErrorMessage="1" sqref="B1 B1024:B1030 B303 B347">
      <formula1>"ASL, All Risks, Bolton, Burns, Burns NC, Hull Horsham, Hull Charlotte, Hull Irvine, Hull Stockton, JM Wilson, J &amp; J, Jimcor, Quaker, RPS Covington, RPS Scottsdale, SCU, TPI, XS Brokers"</formula1>
    </dataValidation>
    <dataValidation type="list" allowBlank="1" showInputMessage="1" showErrorMessage="1" sqref="H2:H243 H303 H347">
      <formula1>"HO3 Primary, HO3 Primary w/Rental, HO3 Seas/Sec, HO3 Seas/Sec w/Rental, HO3 Builders Risk, HO6, HO8, DP3 Rental, DP3 Builders Risk, DP3 Vacant, DP1"</formula1>
    </dataValidation>
    <dataValidation type="list" allowBlank="1" showInputMessage="1" showErrorMessage="1" sqref="H244:H302 H304:H346 H348:H1243">
      <formula1>"HO3 Primary, HO3 Primary w/Rental, HO3 Rental, HO3 Seas/Sec, HO3 Seas/Sec w/Rental, HO3 Builders Risk, HO6, HO8, DP3 Rental, DP3 Builders Risk, DP3 Vacant, DP1"</formula1>
    </dataValidation>
    <dataValidation type="list" allowBlank="1" showInputMessage="1" showErrorMessage="1" sqref="Q1:Q1031">
      <formula1>"Approve, Approve/Subj, Converted, Pend, Decline"</formula1>
    </dataValidation>
    <dataValidation type="list" allowBlank="1" showInputMessage="1" showErrorMessage="1" sqref="O2:O1017">
      <formula1>"Age of Home, Builders Risk, Business on Premises, Condition, Heat Source, High Profile, Losses, Occupancy/Use, Other UW Reason, PC, Prior Lapse/NRN, Rate, TIV"</formula1>
    </dataValidation>
  </dataValidations>
  <pageMargins left="0.7" right="0.7" top="0.75" bottom="0.75" header="0.3" footer="0.3"/>
  <pageSetup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W2217"/>
  <sheetViews>
    <sheetView topLeftCell="O1" zoomScale="85" zoomScaleNormal="85" zoomScaleSheetLayoutView="80" workbookViewId="0">
      <pane ySplit="1" topLeftCell="A1005" activePane="bottomLeft" state="frozen"/>
      <selection pane="bottomLeft" activeCell="A2" sqref="A2:W1013"/>
    </sheetView>
  </sheetViews>
  <sheetFormatPr defaultRowHeight="15" x14ac:dyDescent="0.25"/>
  <cols>
    <col min="1" max="1" width="16.42578125" style="56" customWidth="1"/>
    <col min="2" max="2" width="15.28515625" style="29" customWidth="1"/>
    <col min="3" max="3" width="16.42578125" style="29" customWidth="1"/>
    <col min="4" max="4" width="15.5703125" style="29" customWidth="1"/>
    <col min="5" max="5" width="20" style="29" hidden="1" customWidth="1"/>
    <col min="6" max="7" width="34.5703125" style="29" bestFit="1" customWidth="1"/>
    <col min="8" max="8" width="25.42578125" style="29" customWidth="1"/>
    <col min="9" max="9" width="19.5703125" style="29" customWidth="1"/>
    <col min="10" max="10" width="9.140625" style="29" customWidth="1"/>
    <col min="11" max="11" width="9.140625" style="216" customWidth="1"/>
    <col min="12" max="12" width="11.5703125" style="182" customWidth="1"/>
    <col min="13" max="13" width="18.7109375" style="113" bestFit="1" customWidth="1"/>
    <col min="14" max="14" width="15.85546875" style="113" bestFit="1" customWidth="1"/>
    <col min="15" max="15" width="34.28515625" style="190" customWidth="1"/>
    <col min="16" max="16" width="53.140625" style="53" customWidth="1"/>
    <col min="17" max="17" width="22.7109375" style="29" customWidth="1"/>
    <col min="18" max="18" width="49" style="53" customWidth="1"/>
    <col min="19" max="19" width="54.85546875" style="53" customWidth="1"/>
    <col min="20" max="20" width="15.42578125" style="29" hidden="1" customWidth="1"/>
    <col min="21" max="21" width="18.85546875" style="29" bestFit="1" customWidth="1"/>
    <col min="22" max="22" width="9.140625" style="29"/>
    <col min="23" max="23" width="36.42578125" style="53" customWidth="1"/>
    <col min="24" max="16384" width="9.140625" style="29"/>
  </cols>
  <sheetData>
    <row r="1" spans="1:23" s="108" customFormat="1" ht="47.25" x14ac:dyDescent="0.25">
      <c r="A1" s="176" t="s">
        <v>555</v>
      </c>
      <c r="B1" s="103" t="s">
        <v>556</v>
      </c>
      <c r="C1" s="104" t="s">
        <v>586</v>
      </c>
      <c r="D1" s="105" t="s">
        <v>557</v>
      </c>
      <c r="E1" s="103" t="s">
        <v>558</v>
      </c>
      <c r="F1" s="103" t="s">
        <v>7695</v>
      </c>
      <c r="G1" s="103" t="s">
        <v>7696</v>
      </c>
      <c r="H1" s="103" t="s">
        <v>4140</v>
      </c>
      <c r="I1" s="103" t="s">
        <v>3366</v>
      </c>
      <c r="J1" s="103" t="s">
        <v>3364</v>
      </c>
      <c r="K1" s="215" t="s">
        <v>12954</v>
      </c>
      <c r="L1" s="106" t="s">
        <v>3365</v>
      </c>
      <c r="M1" s="188" t="s">
        <v>559</v>
      </c>
      <c r="N1" s="188" t="s">
        <v>560</v>
      </c>
      <c r="O1" s="107" t="s">
        <v>10767</v>
      </c>
      <c r="P1" s="107" t="s">
        <v>615</v>
      </c>
      <c r="Q1" s="103" t="s">
        <v>1939</v>
      </c>
      <c r="R1" s="103" t="s">
        <v>561</v>
      </c>
      <c r="S1" s="103" t="s">
        <v>6321</v>
      </c>
      <c r="T1" s="103" t="s">
        <v>7785</v>
      </c>
      <c r="U1" s="105" t="s">
        <v>64</v>
      </c>
      <c r="V1" s="103" t="s">
        <v>3984</v>
      </c>
      <c r="W1" s="103" t="s">
        <v>4303</v>
      </c>
    </row>
    <row r="2" spans="1:23" ht="30" x14ac:dyDescent="0.25">
      <c r="A2" s="56">
        <v>43102</v>
      </c>
      <c r="B2" s="29" t="s">
        <v>328</v>
      </c>
      <c r="C2" s="29" t="s">
        <v>603</v>
      </c>
      <c r="D2" s="29" t="s">
        <v>649</v>
      </c>
      <c r="E2" s="29" t="s">
        <v>588</v>
      </c>
      <c r="F2" s="29" t="s">
        <v>9931</v>
      </c>
      <c r="G2" s="29" t="s">
        <v>7757</v>
      </c>
      <c r="H2" s="29" t="s">
        <v>607</v>
      </c>
      <c r="I2" s="29" t="s">
        <v>9932</v>
      </c>
      <c r="J2" s="29" t="s">
        <v>899</v>
      </c>
      <c r="L2" s="182">
        <v>9</v>
      </c>
      <c r="M2" s="113">
        <v>1113000</v>
      </c>
      <c r="N2" s="113">
        <v>2003400</v>
      </c>
      <c r="O2" s="189" t="s">
        <v>560</v>
      </c>
      <c r="P2" s="53" t="s">
        <v>9933</v>
      </c>
      <c r="Q2" s="53" t="s">
        <v>1939</v>
      </c>
      <c r="R2" s="53" t="s">
        <v>9934</v>
      </c>
      <c r="U2" s="29" t="s">
        <v>1327</v>
      </c>
    </row>
    <row r="3" spans="1:23" ht="60" x14ac:dyDescent="0.25">
      <c r="A3" s="56">
        <v>43102</v>
      </c>
      <c r="B3" s="29" t="s">
        <v>110</v>
      </c>
      <c r="C3" s="29" t="s">
        <v>761</v>
      </c>
      <c r="D3" s="29" t="s">
        <v>715</v>
      </c>
      <c r="E3" s="29" t="s">
        <v>588</v>
      </c>
      <c r="F3" s="29" t="s">
        <v>9935</v>
      </c>
      <c r="G3" s="29" t="s">
        <v>7757</v>
      </c>
      <c r="H3" s="29" t="s">
        <v>607</v>
      </c>
      <c r="I3" s="29" t="s">
        <v>9936</v>
      </c>
      <c r="J3" s="29" t="s">
        <v>761</v>
      </c>
      <c r="L3" s="182">
        <v>5</v>
      </c>
      <c r="M3" s="113">
        <v>953000</v>
      </c>
      <c r="N3" s="113">
        <v>1620100</v>
      </c>
      <c r="O3" s="189" t="s">
        <v>10766</v>
      </c>
      <c r="P3" s="53" t="s">
        <v>9937</v>
      </c>
      <c r="Q3" s="53" t="s">
        <v>592</v>
      </c>
      <c r="R3" s="53" t="s">
        <v>9994</v>
      </c>
      <c r="U3" s="29" t="s">
        <v>1327</v>
      </c>
    </row>
    <row r="4" spans="1:23" ht="30" x14ac:dyDescent="0.25">
      <c r="A4" s="56">
        <v>43102</v>
      </c>
      <c r="B4" s="29" t="s">
        <v>569</v>
      </c>
      <c r="C4" s="29" t="s">
        <v>899</v>
      </c>
      <c r="D4" s="29" t="s">
        <v>625</v>
      </c>
      <c r="E4" s="29" t="s">
        <v>588</v>
      </c>
      <c r="F4" s="29" t="s">
        <v>8966</v>
      </c>
      <c r="H4" s="29" t="s">
        <v>905</v>
      </c>
      <c r="I4" s="29" t="s">
        <v>3557</v>
      </c>
      <c r="J4" s="29" t="s">
        <v>899</v>
      </c>
      <c r="M4" s="113">
        <v>505000</v>
      </c>
      <c r="O4" s="189" t="s">
        <v>10762</v>
      </c>
      <c r="P4" s="53" t="s">
        <v>10191</v>
      </c>
      <c r="Q4" s="53" t="s">
        <v>29</v>
      </c>
      <c r="R4" s="53" t="s">
        <v>10192</v>
      </c>
      <c r="U4" s="29" t="s">
        <v>491</v>
      </c>
    </row>
    <row r="5" spans="1:23" ht="15.75" x14ac:dyDescent="0.25">
      <c r="A5" s="56">
        <v>43103</v>
      </c>
      <c r="B5" s="29" t="s">
        <v>328</v>
      </c>
      <c r="C5" s="29" t="s">
        <v>603</v>
      </c>
      <c r="D5" s="29" t="s">
        <v>1401</v>
      </c>
      <c r="E5" s="29" t="s">
        <v>588</v>
      </c>
      <c r="F5" s="29" t="s">
        <v>9938</v>
      </c>
      <c r="G5" s="29" t="s">
        <v>9939</v>
      </c>
      <c r="H5" s="29" t="s">
        <v>607</v>
      </c>
      <c r="I5" s="29" t="s">
        <v>4674</v>
      </c>
      <c r="J5" s="29" t="s">
        <v>899</v>
      </c>
      <c r="M5" s="113">
        <v>480000</v>
      </c>
      <c r="N5" s="113">
        <v>864000</v>
      </c>
      <c r="O5" s="189" t="s">
        <v>7564</v>
      </c>
      <c r="P5" s="53" t="s">
        <v>9940</v>
      </c>
      <c r="Q5" s="53" t="s">
        <v>592</v>
      </c>
      <c r="R5" s="53" t="s">
        <v>9941</v>
      </c>
      <c r="U5" s="29" t="s">
        <v>1327</v>
      </c>
    </row>
    <row r="6" spans="1:23" ht="30" x14ac:dyDescent="0.25">
      <c r="A6" s="56">
        <v>43103</v>
      </c>
      <c r="B6" s="29" t="s">
        <v>5956</v>
      </c>
      <c r="C6" s="29" t="s">
        <v>3369</v>
      </c>
      <c r="D6" s="29" t="s">
        <v>9234</v>
      </c>
      <c r="E6" s="29" t="s">
        <v>588</v>
      </c>
      <c r="F6" s="29" t="s">
        <v>9927</v>
      </c>
      <c r="G6" s="29" t="s">
        <v>7714</v>
      </c>
      <c r="H6" s="29" t="s">
        <v>905</v>
      </c>
      <c r="I6" s="29" t="s">
        <v>9928</v>
      </c>
      <c r="J6" s="29" t="s">
        <v>4825</v>
      </c>
      <c r="L6" s="182">
        <v>4</v>
      </c>
      <c r="M6" s="113">
        <v>600000</v>
      </c>
      <c r="N6" s="113">
        <v>660000</v>
      </c>
      <c r="O6" s="189" t="s">
        <v>10879</v>
      </c>
      <c r="P6" s="53" t="s">
        <v>9929</v>
      </c>
      <c r="Q6" s="53" t="s">
        <v>1939</v>
      </c>
      <c r="R6" s="53" t="s">
        <v>9930</v>
      </c>
      <c r="U6" s="29" t="s">
        <v>491</v>
      </c>
    </row>
    <row r="7" spans="1:23" ht="30" x14ac:dyDescent="0.25">
      <c r="A7" s="56">
        <v>43104</v>
      </c>
      <c r="B7" s="29" t="s">
        <v>569</v>
      </c>
      <c r="C7" s="29" t="s">
        <v>899</v>
      </c>
      <c r="D7" s="29" t="s">
        <v>930</v>
      </c>
      <c r="E7" s="29" t="s">
        <v>1707</v>
      </c>
      <c r="F7" s="29" t="s">
        <v>10193</v>
      </c>
      <c r="G7" s="29" t="s">
        <v>10194</v>
      </c>
      <c r="H7" s="29" t="s">
        <v>607</v>
      </c>
      <c r="J7" s="29" t="s">
        <v>899</v>
      </c>
      <c r="O7" s="189" t="s">
        <v>4533</v>
      </c>
      <c r="P7" s="53" t="s">
        <v>10195</v>
      </c>
      <c r="Q7" s="53" t="s">
        <v>1939</v>
      </c>
      <c r="R7" s="53" t="s">
        <v>10196</v>
      </c>
      <c r="S7" s="53" t="s">
        <v>833</v>
      </c>
      <c r="U7" s="29" t="s">
        <v>491</v>
      </c>
    </row>
    <row r="8" spans="1:23" ht="105" x14ac:dyDescent="0.25">
      <c r="A8" s="56">
        <v>43105</v>
      </c>
      <c r="B8" s="29" t="s">
        <v>1788</v>
      </c>
      <c r="C8" s="29" t="s">
        <v>3369</v>
      </c>
      <c r="D8" s="29" t="s">
        <v>6360</v>
      </c>
      <c r="E8" s="29" t="s">
        <v>588</v>
      </c>
      <c r="F8" s="29" t="s">
        <v>9942</v>
      </c>
      <c r="G8" s="29" t="s">
        <v>9943</v>
      </c>
      <c r="H8" s="29" t="s">
        <v>607</v>
      </c>
      <c r="I8" s="29" t="s">
        <v>9946</v>
      </c>
      <c r="J8" s="29" t="s">
        <v>3369</v>
      </c>
      <c r="M8" s="113">
        <v>2925000</v>
      </c>
      <c r="N8" s="113">
        <v>4005000</v>
      </c>
      <c r="O8" s="189" t="s">
        <v>10765</v>
      </c>
      <c r="P8" s="53" t="s">
        <v>9947</v>
      </c>
      <c r="Q8" s="53" t="s">
        <v>1939</v>
      </c>
      <c r="R8" s="53" t="s">
        <v>9949</v>
      </c>
      <c r="S8" s="53" t="s">
        <v>9948</v>
      </c>
      <c r="U8" s="29" t="s">
        <v>491</v>
      </c>
    </row>
    <row r="9" spans="1:23" ht="105" x14ac:dyDescent="0.25">
      <c r="A9" s="56">
        <v>43105</v>
      </c>
      <c r="B9" s="29" t="s">
        <v>1788</v>
      </c>
      <c r="C9" s="29" t="s">
        <v>3369</v>
      </c>
      <c r="D9" s="29" t="s">
        <v>6360</v>
      </c>
      <c r="E9" s="29" t="s">
        <v>588</v>
      </c>
      <c r="F9" s="29" t="s">
        <v>9942</v>
      </c>
      <c r="G9" s="29" t="s">
        <v>9943</v>
      </c>
      <c r="H9" s="29" t="s">
        <v>10831</v>
      </c>
      <c r="I9" s="29" t="s">
        <v>9945</v>
      </c>
      <c r="J9" s="29" t="s">
        <v>3369</v>
      </c>
      <c r="M9" s="113">
        <v>895000</v>
      </c>
      <c r="N9" s="113">
        <v>1503500</v>
      </c>
      <c r="O9" s="189" t="s">
        <v>10765</v>
      </c>
      <c r="P9" s="53" t="s">
        <v>9947</v>
      </c>
      <c r="Q9" s="53" t="s">
        <v>1939</v>
      </c>
      <c r="R9" s="53" t="s">
        <v>9949</v>
      </c>
      <c r="S9" s="53" t="s">
        <v>9948</v>
      </c>
      <c r="U9" s="29" t="s">
        <v>491</v>
      </c>
    </row>
    <row r="10" spans="1:23" ht="45" x14ac:dyDescent="0.25">
      <c r="A10" s="56">
        <v>43105</v>
      </c>
      <c r="B10" s="29" t="s">
        <v>1788</v>
      </c>
      <c r="C10" s="29" t="s">
        <v>3369</v>
      </c>
      <c r="D10" s="29" t="s">
        <v>2678</v>
      </c>
      <c r="E10" s="29" t="s">
        <v>588</v>
      </c>
      <c r="F10" s="29" t="s">
        <v>9942</v>
      </c>
      <c r="G10" s="29" t="s">
        <v>9944</v>
      </c>
      <c r="H10" s="29" t="s">
        <v>607</v>
      </c>
      <c r="I10" s="29" t="s">
        <v>9950</v>
      </c>
      <c r="J10" s="29" t="s">
        <v>3369</v>
      </c>
      <c r="N10" s="113">
        <v>6000000</v>
      </c>
      <c r="O10" s="189" t="s">
        <v>10765</v>
      </c>
      <c r="P10" s="53" t="s">
        <v>9947</v>
      </c>
      <c r="Q10" s="53" t="s">
        <v>29</v>
      </c>
      <c r="R10" s="53" t="s">
        <v>9951</v>
      </c>
      <c r="U10" s="29" t="s">
        <v>491</v>
      </c>
    </row>
    <row r="11" spans="1:23" ht="45" x14ac:dyDescent="0.25">
      <c r="A11" s="56">
        <v>43105</v>
      </c>
      <c r="B11" s="29" t="s">
        <v>569</v>
      </c>
      <c r="C11" s="29" t="s">
        <v>899</v>
      </c>
      <c r="D11" s="29" t="s">
        <v>625</v>
      </c>
      <c r="E11" s="29" t="s">
        <v>588</v>
      </c>
      <c r="F11" s="29" t="s">
        <v>9952</v>
      </c>
      <c r="G11" s="29" t="s">
        <v>7792</v>
      </c>
      <c r="H11" s="29" t="s">
        <v>607</v>
      </c>
      <c r="I11" s="29" t="s">
        <v>3649</v>
      </c>
      <c r="J11" s="29" t="s">
        <v>899</v>
      </c>
      <c r="L11" s="182">
        <v>4</v>
      </c>
      <c r="M11" s="113">
        <v>1526000</v>
      </c>
      <c r="N11" s="113">
        <v>2151000</v>
      </c>
      <c r="O11" s="189" t="s">
        <v>560</v>
      </c>
      <c r="P11" s="53" t="s">
        <v>9953</v>
      </c>
      <c r="Q11" s="53" t="s">
        <v>29</v>
      </c>
      <c r="R11" s="53" t="s">
        <v>9954</v>
      </c>
      <c r="U11" s="29" t="s">
        <v>1327</v>
      </c>
    </row>
    <row r="12" spans="1:23" ht="30" x14ac:dyDescent="0.25">
      <c r="A12" s="56">
        <v>43105</v>
      </c>
      <c r="B12" s="29" t="s">
        <v>328</v>
      </c>
      <c r="C12" s="29" t="s">
        <v>603</v>
      </c>
      <c r="D12" s="29" t="s">
        <v>649</v>
      </c>
      <c r="E12" s="29" t="s">
        <v>588</v>
      </c>
      <c r="F12" s="29" t="s">
        <v>9955</v>
      </c>
      <c r="G12" s="29" t="s">
        <v>7792</v>
      </c>
      <c r="H12" s="29" t="s">
        <v>607</v>
      </c>
      <c r="I12" s="29" t="s">
        <v>5914</v>
      </c>
      <c r="J12" s="29" t="s">
        <v>899</v>
      </c>
      <c r="L12" s="182">
        <v>1</v>
      </c>
      <c r="M12" s="202">
        <v>2000000</v>
      </c>
      <c r="N12" s="113">
        <v>3700000</v>
      </c>
      <c r="O12" s="189" t="s">
        <v>560</v>
      </c>
      <c r="P12" s="53" t="s">
        <v>9956</v>
      </c>
      <c r="Q12" s="53" t="s">
        <v>592</v>
      </c>
      <c r="R12" s="53" t="s">
        <v>9957</v>
      </c>
      <c r="U12" s="29" t="s">
        <v>1327</v>
      </c>
    </row>
    <row r="13" spans="1:23" ht="75" x14ac:dyDescent="0.25">
      <c r="A13" s="56">
        <v>43105</v>
      </c>
      <c r="B13" s="29" t="s">
        <v>328</v>
      </c>
      <c r="C13" s="29" t="s">
        <v>603</v>
      </c>
      <c r="D13" s="29" t="s">
        <v>649</v>
      </c>
      <c r="E13" s="29" t="s">
        <v>588</v>
      </c>
      <c r="F13" s="29" t="s">
        <v>9960</v>
      </c>
      <c r="G13" s="29" t="s">
        <v>9960</v>
      </c>
      <c r="H13" s="29" t="s">
        <v>607</v>
      </c>
      <c r="J13" s="29" t="s">
        <v>3751</v>
      </c>
      <c r="L13" s="182">
        <v>4</v>
      </c>
      <c r="M13" s="113">
        <v>495000</v>
      </c>
      <c r="N13" s="113">
        <v>565000</v>
      </c>
      <c r="O13" s="189" t="s">
        <v>4533</v>
      </c>
      <c r="P13" s="53" t="s">
        <v>9959</v>
      </c>
      <c r="Q13" s="53" t="s">
        <v>1939</v>
      </c>
      <c r="R13" s="53" t="s">
        <v>9958</v>
      </c>
      <c r="U13" s="29" t="s">
        <v>1327</v>
      </c>
    </row>
    <row r="14" spans="1:23" ht="75" x14ac:dyDescent="0.25">
      <c r="A14" s="56">
        <v>43105</v>
      </c>
      <c r="B14" s="29" t="s">
        <v>328</v>
      </c>
      <c r="C14" s="29" t="s">
        <v>603</v>
      </c>
      <c r="D14" s="29" t="s">
        <v>2397</v>
      </c>
      <c r="E14" s="29" t="s">
        <v>588</v>
      </c>
      <c r="F14" s="29" t="s">
        <v>9961</v>
      </c>
      <c r="G14" s="29" t="s">
        <v>9962</v>
      </c>
      <c r="H14" s="29" t="s">
        <v>607</v>
      </c>
      <c r="I14" s="29" t="s">
        <v>9963</v>
      </c>
      <c r="J14" s="29" t="s">
        <v>3751</v>
      </c>
      <c r="L14" s="182">
        <v>10</v>
      </c>
      <c r="M14" s="113">
        <v>360000</v>
      </c>
      <c r="N14" s="113">
        <v>755000</v>
      </c>
      <c r="O14" s="189" t="s">
        <v>4533</v>
      </c>
      <c r="P14" s="53" t="s">
        <v>10207</v>
      </c>
      <c r="Q14" s="53" t="s">
        <v>29</v>
      </c>
      <c r="R14" s="53" t="s">
        <v>9964</v>
      </c>
      <c r="U14" s="29" t="s">
        <v>1327</v>
      </c>
    </row>
    <row r="15" spans="1:23" ht="15.75" x14ac:dyDescent="0.25">
      <c r="A15" s="56">
        <v>43105</v>
      </c>
      <c r="B15" s="29" t="s">
        <v>569</v>
      </c>
      <c r="C15" s="29" t="s">
        <v>899</v>
      </c>
      <c r="D15" s="29" t="s">
        <v>625</v>
      </c>
      <c r="E15" s="29" t="s">
        <v>588</v>
      </c>
      <c r="F15" s="29" t="s">
        <v>9966</v>
      </c>
      <c r="G15" s="29" t="s">
        <v>7172</v>
      </c>
      <c r="H15" s="29" t="s">
        <v>607</v>
      </c>
      <c r="I15" s="29" t="s">
        <v>2054</v>
      </c>
      <c r="J15" s="29" t="s">
        <v>899</v>
      </c>
      <c r="L15" s="182">
        <v>4</v>
      </c>
      <c r="M15" s="113">
        <v>1800000</v>
      </c>
      <c r="N15" s="113">
        <v>3240000</v>
      </c>
      <c r="O15" s="189" t="s">
        <v>560</v>
      </c>
      <c r="P15" s="53" t="s">
        <v>9965</v>
      </c>
      <c r="Q15" s="53" t="s">
        <v>592</v>
      </c>
      <c r="R15" s="53" t="s">
        <v>9705</v>
      </c>
      <c r="U15" s="29" t="s">
        <v>1327</v>
      </c>
    </row>
    <row r="16" spans="1:23" ht="30" x14ac:dyDescent="0.25">
      <c r="A16" s="56">
        <v>43105</v>
      </c>
      <c r="B16" s="29" t="s">
        <v>328</v>
      </c>
      <c r="C16" s="29" t="s">
        <v>603</v>
      </c>
      <c r="D16" s="29" t="s">
        <v>649</v>
      </c>
      <c r="E16" s="29" t="s">
        <v>588</v>
      </c>
      <c r="F16" s="29" t="s">
        <v>9967</v>
      </c>
      <c r="G16" s="29" t="s">
        <v>8490</v>
      </c>
      <c r="H16" s="29" t="s">
        <v>10831</v>
      </c>
      <c r="I16" s="29" t="s">
        <v>4598</v>
      </c>
      <c r="J16" s="29" t="s">
        <v>3373</v>
      </c>
      <c r="L16" s="182">
        <v>9</v>
      </c>
      <c r="M16" s="113">
        <v>1600000</v>
      </c>
      <c r="N16" s="113">
        <v>2960000</v>
      </c>
      <c r="O16" s="189" t="s">
        <v>560</v>
      </c>
      <c r="P16" s="53" t="s">
        <v>9968</v>
      </c>
      <c r="Q16" s="53" t="s">
        <v>592</v>
      </c>
      <c r="R16" s="53" t="s">
        <v>9969</v>
      </c>
      <c r="U16" s="29" t="s">
        <v>1327</v>
      </c>
    </row>
    <row r="17" spans="1:21" ht="45" x14ac:dyDescent="0.25">
      <c r="A17" s="56">
        <v>43109</v>
      </c>
      <c r="B17" s="29" t="s">
        <v>328</v>
      </c>
      <c r="C17" s="29" t="s">
        <v>603</v>
      </c>
      <c r="D17" s="29" t="s">
        <v>8941</v>
      </c>
      <c r="E17" s="29" t="s">
        <v>588</v>
      </c>
      <c r="F17" s="29" t="s">
        <v>9989</v>
      </c>
      <c r="G17" s="29" t="s">
        <v>6161</v>
      </c>
      <c r="H17" s="29" t="s">
        <v>607</v>
      </c>
      <c r="I17" s="29" t="s">
        <v>8298</v>
      </c>
      <c r="J17" s="29" t="s">
        <v>899</v>
      </c>
      <c r="L17" s="182">
        <v>5</v>
      </c>
      <c r="M17" s="113">
        <v>530000</v>
      </c>
      <c r="N17" s="113">
        <v>954000</v>
      </c>
      <c r="O17" s="189" t="s">
        <v>10763</v>
      </c>
      <c r="P17" s="53" t="s">
        <v>10208</v>
      </c>
      <c r="Q17" s="53" t="s">
        <v>1939</v>
      </c>
      <c r="R17" s="53" t="s">
        <v>10209</v>
      </c>
      <c r="U17" s="29" t="s">
        <v>1327</v>
      </c>
    </row>
    <row r="18" spans="1:21" ht="15.75" x14ac:dyDescent="0.25">
      <c r="A18" s="56">
        <v>43109</v>
      </c>
      <c r="B18" s="29" t="s">
        <v>5176</v>
      </c>
      <c r="C18" s="29" t="s">
        <v>959</v>
      </c>
      <c r="D18" s="29" t="s">
        <v>732</v>
      </c>
      <c r="E18" s="29" t="s">
        <v>588</v>
      </c>
      <c r="F18" s="29" t="s">
        <v>9993</v>
      </c>
      <c r="G18" s="29" t="s">
        <v>9992</v>
      </c>
      <c r="H18" s="29" t="s">
        <v>905</v>
      </c>
      <c r="I18" s="29" t="s">
        <v>6329</v>
      </c>
      <c r="J18" s="29" t="s">
        <v>6329</v>
      </c>
      <c r="L18" s="182">
        <v>3</v>
      </c>
      <c r="M18" s="113">
        <v>4000000</v>
      </c>
      <c r="N18" s="113">
        <v>4400000</v>
      </c>
      <c r="O18" s="189" t="s">
        <v>560</v>
      </c>
      <c r="P18" s="53" t="s">
        <v>9991</v>
      </c>
      <c r="Q18" s="53" t="s">
        <v>592</v>
      </c>
      <c r="R18" s="53" t="s">
        <v>9990</v>
      </c>
      <c r="U18" s="29" t="s">
        <v>1327</v>
      </c>
    </row>
    <row r="19" spans="1:21" ht="75" x14ac:dyDescent="0.25">
      <c r="A19" s="56">
        <v>43110</v>
      </c>
      <c r="B19" s="29" t="s">
        <v>569</v>
      </c>
      <c r="C19" s="29" t="s">
        <v>899</v>
      </c>
      <c r="D19" s="29" t="s">
        <v>930</v>
      </c>
      <c r="E19" s="29" t="s">
        <v>588</v>
      </c>
      <c r="F19" s="29" t="s">
        <v>9970</v>
      </c>
      <c r="H19" s="29" t="s">
        <v>809</v>
      </c>
      <c r="I19" s="29" t="s">
        <v>2054</v>
      </c>
      <c r="J19" s="29" t="s">
        <v>899</v>
      </c>
      <c r="L19" s="182">
        <v>2</v>
      </c>
      <c r="M19" s="113">
        <v>5000000</v>
      </c>
      <c r="N19" s="113">
        <v>5000000</v>
      </c>
      <c r="O19" s="189" t="s">
        <v>560</v>
      </c>
      <c r="P19" s="53" t="s">
        <v>9971</v>
      </c>
      <c r="Q19" s="53" t="s">
        <v>1939</v>
      </c>
      <c r="R19" s="53" t="s">
        <v>9972</v>
      </c>
      <c r="U19" s="29" t="s">
        <v>491</v>
      </c>
    </row>
    <row r="20" spans="1:21" ht="60" x14ac:dyDescent="0.25">
      <c r="A20" s="56">
        <v>43110</v>
      </c>
      <c r="B20" s="29" t="s">
        <v>643</v>
      </c>
      <c r="C20" s="29" t="s">
        <v>644</v>
      </c>
      <c r="D20" s="29" t="s">
        <v>645</v>
      </c>
      <c r="E20" s="29" t="s">
        <v>588</v>
      </c>
      <c r="F20" s="29" t="s">
        <v>9995</v>
      </c>
      <c r="G20" s="29" t="s">
        <v>9996</v>
      </c>
      <c r="H20" s="29" t="s">
        <v>607</v>
      </c>
      <c r="I20" s="29" t="s">
        <v>7022</v>
      </c>
      <c r="J20" s="29" t="s">
        <v>644</v>
      </c>
      <c r="L20" s="182">
        <v>5</v>
      </c>
      <c r="M20" s="113">
        <v>2150000</v>
      </c>
      <c r="N20" s="113">
        <v>4290000</v>
      </c>
      <c r="O20" s="189" t="s">
        <v>560</v>
      </c>
      <c r="P20" s="53" t="s">
        <v>9997</v>
      </c>
      <c r="Q20" s="53" t="s">
        <v>1939</v>
      </c>
      <c r="R20" s="53" t="s">
        <v>9998</v>
      </c>
      <c r="U20" s="29" t="s">
        <v>1327</v>
      </c>
    </row>
    <row r="21" spans="1:21" ht="30" x14ac:dyDescent="0.25">
      <c r="A21" s="56">
        <v>43110</v>
      </c>
      <c r="B21" s="29" t="s">
        <v>110</v>
      </c>
      <c r="C21" s="29" t="s">
        <v>761</v>
      </c>
      <c r="D21" s="29" t="s">
        <v>715</v>
      </c>
      <c r="E21" s="29" t="s">
        <v>588</v>
      </c>
      <c r="F21" s="29" t="s">
        <v>9999</v>
      </c>
      <c r="G21" s="29" t="s">
        <v>8198</v>
      </c>
      <c r="H21" s="29" t="s">
        <v>607</v>
      </c>
      <c r="I21" s="29" t="s">
        <v>10000</v>
      </c>
      <c r="J21" s="29" t="s">
        <v>3523</v>
      </c>
      <c r="L21" s="182">
        <v>5</v>
      </c>
      <c r="M21" s="113">
        <v>400000</v>
      </c>
      <c r="N21" s="113">
        <v>680000</v>
      </c>
      <c r="O21" s="189" t="s">
        <v>560</v>
      </c>
      <c r="P21" s="53" t="s">
        <v>10001</v>
      </c>
      <c r="Q21" s="53" t="s">
        <v>1939</v>
      </c>
      <c r="R21" s="53" t="s">
        <v>10002</v>
      </c>
      <c r="U21" s="29" t="s">
        <v>1327</v>
      </c>
    </row>
    <row r="22" spans="1:21" ht="135" x14ac:dyDescent="0.25">
      <c r="A22" s="56">
        <v>43110</v>
      </c>
      <c r="B22" s="29" t="s">
        <v>643</v>
      </c>
      <c r="C22" s="29" t="s">
        <v>644</v>
      </c>
      <c r="D22" s="29" t="s">
        <v>645</v>
      </c>
      <c r="E22" s="29" t="s">
        <v>588</v>
      </c>
      <c r="F22" s="29" t="s">
        <v>10003</v>
      </c>
      <c r="G22" s="29" t="s">
        <v>8156</v>
      </c>
      <c r="H22" s="29" t="s">
        <v>905</v>
      </c>
      <c r="I22" s="29" t="s">
        <v>5212</v>
      </c>
      <c r="J22" s="29" t="s">
        <v>644</v>
      </c>
      <c r="L22" s="182">
        <v>2</v>
      </c>
      <c r="M22" s="113">
        <v>175000</v>
      </c>
      <c r="N22" s="113">
        <v>180000</v>
      </c>
      <c r="O22" s="189" t="s">
        <v>10765</v>
      </c>
      <c r="P22" s="53" t="s">
        <v>10004</v>
      </c>
      <c r="Q22" s="53" t="s">
        <v>1939</v>
      </c>
      <c r="R22" s="53" t="s">
        <v>10005</v>
      </c>
      <c r="U22" s="29" t="s">
        <v>1327</v>
      </c>
    </row>
    <row r="23" spans="1:21" ht="60" x14ac:dyDescent="0.25">
      <c r="A23" s="56">
        <v>43111</v>
      </c>
      <c r="B23" s="29" t="s">
        <v>328</v>
      </c>
      <c r="C23" s="29" t="s">
        <v>603</v>
      </c>
      <c r="D23" s="29" t="s">
        <v>2204</v>
      </c>
      <c r="E23" s="29" t="s">
        <v>588</v>
      </c>
      <c r="F23" s="29" t="s">
        <v>10006</v>
      </c>
      <c r="G23" s="29" t="s">
        <v>10007</v>
      </c>
      <c r="H23" s="29" t="s">
        <v>607</v>
      </c>
      <c r="I23" s="29" t="s">
        <v>3758</v>
      </c>
      <c r="J23" s="29" t="s">
        <v>899</v>
      </c>
      <c r="L23" s="182">
        <v>10</v>
      </c>
      <c r="M23" s="113">
        <v>999574</v>
      </c>
      <c r="N23" s="113">
        <v>2449531</v>
      </c>
      <c r="O23" s="189" t="s">
        <v>10765</v>
      </c>
      <c r="P23" s="53" t="s">
        <v>10008</v>
      </c>
      <c r="Q23" s="53" t="s">
        <v>592</v>
      </c>
      <c r="R23" s="53" t="s">
        <v>10012</v>
      </c>
      <c r="U23" s="29" t="s">
        <v>1327</v>
      </c>
    </row>
    <row r="24" spans="1:21" ht="60" x14ac:dyDescent="0.25">
      <c r="A24" s="56">
        <v>43111</v>
      </c>
      <c r="B24" s="29" t="s">
        <v>643</v>
      </c>
      <c r="C24" s="29" t="s">
        <v>644</v>
      </c>
      <c r="D24" s="29" t="s">
        <v>3132</v>
      </c>
      <c r="E24" s="29" t="s">
        <v>588</v>
      </c>
      <c r="F24" s="29" t="s">
        <v>10009</v>
      </c>
      <c r="G24" s="29" t="s">
        <v>10010</v>
      </c>
      <c r="H24" s="29" t="s">
        <v>5321</v>
      </c>
      <c r="L24" s="182">
        <v>3</v>
      </c>
      <c r="N24" s="113">
        <v>848000</v>
      </c>
      <c r="O24" s="189" t="s">
        <v>10762</v>
      </c>
      <c r="P24" s="53" t="s">
        <v>10011</v>
      </c>
      <c r="Q24" s="53" t="s">
        <v>592</v>
      </c>
      <c r="R24" s="53" t="s">
        <v>10180</v>
      </c>
      <c r="U24" s="29" t="s">
        <v>1327</v>
      </c>
    </row>
    <row r="25" spans="1:21" ht="30" x14ac:dyDescent="0.25">
      <c r="A25" s="56">
        <v>43111</v>
      </c>
      <c r="B25" s="29" t="s">
        <v>328</v>
      </c>
      <c r="C25" s="29" t="s">
        <v>603</v>
      </c>
      <c r="D25" s="29" t="s">
        <v>649</v>
      </c>
      <c r="E25" s="29" t="s">
        <v>588</v>
      </c>
      <c r="F25" s="29" t="s">
        <v>10013</v>
      </c>
      <c r="G25" s="29" t="s">
        <v>10013</v>
      </c>
      <c r="H25" s="29" t="s">
        <v>10831</v>
      </c>
      <c r="I25" s="29" t="s">
        <v>10014</v>
      </c>
      <c r="J25" s="29" t="s">
        <v>3733</v>
      </c>
      <c r="L25" s="182">
        <v>10</v>
      </c>
      <c r="M25" s="113">
        <v>138567</v>
      </c>
      <c r="N25" s="113">
        <v>443994</v>
      </c>
      <c r="O25" s="189" t="s">
        <v>7124</v>
      </c>
      <c r="P25" s="53" t="s">
        <v>10015</v>
      </c>
      <c r="Q25" s="53" t="s">
        <v>1939</v>
      </c>
      <c r="R25" s="53" t="s">
        <v>10016</v>
      </c>
      <c r="S25" s="53" t="s">
        <v>10210</v>
      </c>
      <c r="U25" s="29" t="s">
        <v>1327</v>
      </c>
    </row>
    <row r="26" spans="1:21" ht="60" x14ac:dyDescent="0.25">
      <c r="A26" s="56">
        <v>43111</v>
      </c>
      <c r="B26" s="29" t="s">
        <v>328</v>
      </c>
      <c r="C26" s="29" t="s">
        <v>603</v>
      </c>
      <c r="D26" s="29" t="s">
        <v>649</v>
      </c>
      <c r="E26" s="29" t="s">
        <v>588</v>
      </c>
      <c r="F26" s="29" t="s">
        <v>10017</v>
      </c>
      <c r="G26" s="29" t="s">
        <v>10018</v>
      </c>
      <c r="H26" s="29" t="s">
        <v>607</v>
      </c>
      <c r="I26" s="29" t="s">
        <v>10019</v>
      </c>
      <c r="J26" s="29" t="s">
        <v>959</v>
      </c>
      <c r="L26" s="182">
        <v>4</v>
      </c>
      <c r="M26" s="113">
        <v>273360</v>
      </c>
      <c r="N26" s="113">
        <v>539960</v>
      </c>
      <c r="O26" s="189" t="s">
        <v>4533</v>
      </c>
      <c r="P26" s="53" t="s">
        <v>10181</v>
      </c>
      <c r="Q26" s="53" t="s">
        <v>1939</v>
      </c>
      <c r="R26" s="53" t="s">
        <v>10020</v>
      </c>
      <c r="U26" s="29" t="s">
        <v>1327</v>
      </c>
    </row>
    <row r="27" spans="1:21" ht="105" x14ac:dyDescent="0.25">
      <c r="A27" s="56">
        <v>43112</v>
      </c>
      <c r="B27" s="29" t="s">
        <v>328</v>
      </c>
      <c r="C27" s="29" t="s">
        <v>603</v>
      </c>
      <c r="D27" s="29" t="s">
        <v>1401</v>
      </c>
      <c r="E27" s="29" t="s">
        <v>588</v>
      </c>
      <c r="F27" s="29" t="s">
        <v>8366</v>
      </c>
      <c r="G27" s="29" t="s">
        <v>9973</v>
      </c>
      <c r="H27" s="29" t="s">
        <v>905</v>
      </c>
      <c r="I27" s="29" t="s">
        <v>9974</v>
      </c>
      <c r="J27" s="29" t="s">
        <v>3371</v>
      </c>
      <c r="M27" s="113">
        <v>100000</v>
      </c>
      <c r="N27" s="113">
        <v>185000</v>
      </c>
      <c r="O27" s="189" t="s">
        <v>4533</v>
      </c>
      <c r="P27" s="53" t="s">
        <v>9975</v>
      </c>
      <c r="Q27" s="53" t="s">
        <v>1939</v>
      </c>
      <c r="R27" s="53" t="s">
        <v>9976</v>
      </c>
      <c r="U27" s="29" t="s">
        <v>491</v>
      </c>
    </row>
    <row r="28" spans="1:21" ht="105" x14ac:dyDescent="0.25">
      <c r="A28" s="56">
        <v>43112</v>
      </c>
      <c r="B28" s="29" t="s">
        <v>5956</v>
      </c>
      <c r="C28" s="29" t="s">
        <v>3369</v>
      </c>
      <c r="D28" s="29" t="s">
        <v>9977</v>
      </c>
      <c r="E28" s="29" t="s">
        <v>588</v>
      </c>
      <c r="F28" s="29" t="s">
        <v>9978</v>
      </c>
      <c r="H28" s="29" t="s">
        <v>10831</v>
      </c>
      <c r="I28" s="29" t="s">
        <v>9979</v>
      </c>
      <c r="J28" s="29" t="s">
        <v>3369</v>
      </c>
      <c r="L28" s="182">
        <v>5</v>
      </c>
      <c r="M28" s="113">
        <v>1204000</v>
      </c>
      <c r="N28" s="113">
        <v>1756000</v>
      </c>
      <c r="O28" s="189" t="s">
        <v>10766</v>
      </c>
      <c r="P28" s="53" t="s">
        <v>9980</v>
      </c>
      <c r="Q28" s="53" t="s">
        <v>1939</v>
      </c>
      <c r="R28" s="53" t="s">
        <v>10021</v>
      </c>
      <c r="T28" s="29" t="s">
        <v>833</v>
      </c>
      <c r="U28" s="29" t="s">
        <v>491</v>
      </c>
    </row>
    <row r="29" spans="1:21" ht="75" x14ac:dyDescent="0.25">
      <c r="A29" s="56">
        <v>43112</v>
      </c>
      <c r="B29" s="29" t="s">
        <v>569</v>
      </c>
      <c r="C29" s="29" t="s">
        <v>899</v>
      </c>
      <c r="D29" s="29" t="s">
        <v>9981</v>
      </c>
      <c r="E29" s="29" t="s">
        <v>588</v>
      </c>
      <c r="F29" s="29" t="s">
        <v>9982</v>
      </c>
      <c r="G29" s="29" t="s">
        <v>7953</v>
      </c>
      <c r="H29" s="29" t="s">
        <v>607</v>
      </c>
      <c r="I29" s="29" t="s">
        <v>8952</v>
      </c>
      <c r="J29" s="29" t="s">
        <v>899</v>
      </c>
      <c r="L29" s="182">
        <v>3</v>
      </c>
      <c r="M29" s="113">
        <v>912816</v>
      </c>
      <c r="N29" s="113">
        <v>1312816</v>
      </c>
      <c r="O29" s="189" t="s">
        <v>10766</v>
      </c>
      <c r="P29" s="53" t="s">
        <v>9984</v>
      </c>
      <c r="Q29" s="53" t="s">
        <v>29</v>
      </c>
      <c r="R29" s="53" t="s">
        <v>9983</v>
      </c>
      <c r="U29" s="29" t="s">
        <v>491</v>
      </c>
    </row>
    <row r="30" spans="1:21" ht="60" x14ac:dyDescent="0.25">
      <c r="A30" s="56">
        <v>43115</v>
      </c>
      <c r="B30" s="29" t="s">
        <v>9240</v>
      </c>
      <c r="C30" s="29" t="s">
        <v>603</v>
      </c>
      <c r="D30" s="29" t="s">
        <v>9241</v>
      </c>
      <c r="E30" s="29" t="s">
        <v>588</v>
      </c>
      <c r="F30" s="29" t="s">
        <v>272</v>
      </c>
      <c r="G30" s="29" t="s">
        <v>2346</v>
      </c>
      <c r="H30" s="29" t="s">
        <v>10832</v>
      </c>
      <c r="I30" s="29" t="s">
        <v>9985</v>
      </c>
      <c r="J30" s="29" t="s">
        <v>603</v>
      </c>
      <c r="L30" s="182" t="s">
        <v>9986</v>
      </c>
      <c r="M30" s="113">
        <v>592577</v>
      </c>
      <c r="N30" s="113">
        <v>1200000</v>
      </c>
      <c r="O30" s="189" t="s">
        <v>10766</v>
      </c>
      <c r="P30" s="53" t="s">
        <v>9987</v>
      </c>
      <c r="Q30" s="53" t="s">
        <v>1939</v>
      </c>
      <c r="R30" s="53" t="s">
        <v>9988</v>
      </c>
      <c r="U30" s="29" t="s">
        <v>491</v>
      </c>
    </row>
    <row r="31" spans="1:21" ht="90" x14ac:dyDescent="0.25">
      <c r="A31" s="56">
        <v>43116</v>
      </c>
      <c r="B31" s="29" t="s">
        <v>5176</v>
      </c>
      <c r="C31" s="29" t="s">
        <v>604</v>
      </c>
      <c r="D31" s="29" t="s">
        <v>595</v>
      </c>
      <c r="E31" s="29" t="s">
        <v>588</v>
      </c>
      <c r="F31" s="29" t="s">
        <v>10022</v>
      </c>
      <c r="H31" s="29" t="s">
        <v>886</v>
      </c>
      <c r="I31" s="29" t="s">
        <v>10023</v>
      </c>
      <c r="J31" s="29" t="s">
        <v>604</v>
      </c>
      <c r="M31" s="113">
        <v>625000</v>
      </c>
      <c r="N31" s="113">
        <v>1000000</v>
      </c>
      <c r="O31" s="189" t="s">
        <v>10879</v>
      </c>
      <c r="P31" s="53" t="s">
        <v>10024</v>
      </c>
      <c r="Q31" s="53" t="s">
        <v>1612</v>
      </c>
      <c r="R31" s="53" t="s">
        <v>10025</v>
      </c>
      <c r="U31" s="29" t="s">
        <v>491</v>
      </c>
    </row>
    <row r="32" spans="1:21" ht="60" x14ac:dyDescent="0.25">
      <c r="A32" s="56">
        <v>43116</v>
      </c>
      <c r="B32" s="29" t="s">
        <v>328</v>
      </c>
      <c r="C32" s="29" t="s">
        <v>603</v>
      </c>
      <c r="D32" s="29" t="s">
        <v>8941</v>
      </c>
      <c r="E32" s="29" t="s">
        <v>588</v>
      </c>
      <c r="F32" s="29" t="s">
        <v>10042</v>
      </c>
      <c r="G32" s="29" t="s">
        <v>7457</v>
      </c>
      <c r="H32" s="29" t="s">
        <v>10831</v>
      </c>
      <c r="I32" s="29" t="s">
        <v>10043</v>
      </c>
      <c r="J32" s="29" t="s">
        <v>3733</v>
      </c>
      <c r="L32" s="182">
        <v>10</v>
      </c>
      <c r="M32" s="113">
        <v>139000</v>
      </c>
      <c r="N32" s="113">
        <v>222400</v>
      </c>
      <c r="O32" s="189" t="s">
        <v>7124</v>
      </c>
      <c r="P32" s="53" t="s">
        <v>10044</v>
      </c>
      <c r="Q32" s="53" t="s">
        <v>1939</v>
      </c>
      <c r="R32" s="53" t="s">
        <v>10045</v>
      </c>
      <c r="U32" s="29" t="s">
        <v>1327</v>
      </c>
    </row>
    <row r="33" spans="1:21" ht="60" x14ac:dyDescent="0.25">
      <c r="A33" s="56">
        <v>43117</v>
      </c>
      <c r="B33" s="29" t="s">
        <v>328</v>
      </c>
      <c r="C33" s="29" t="s">
        <v>603</v>
      </c>
      <c r="D33" s="29" t="s">
        <v>5701</v>
      </c>
      <c r="E33" s="29" t="s">
        <v>588</v>
      </c>
      <c r="F33" s="29" t="s">
        <v>10042</v>
      </c>
      <c r="G33" s="29" t="s">
        <v>9000</v>
      </c>
      <c r="H33" s="29" t="s">
        <v>607</v>
      </c>
      <c r="I33" s="29" t="s">
        <v>10026</v>
      </c>
      <c r="J33" s="29" t="s">
        <v>3733</v>
      </c>
      <c r="L33" s="182">
        <v>10</v>
      </c>
      <c r="M33" s="113">
        <v>275000</v>
      </c>
      <c r="N33" s="113">
        <v>522500</v>
      </c>
      <c r="O33" s="189" t="s">
        <v>10765</v>
      </c>
      <c r="P33" s="53" t="s">
        <v>10027</v>
      </c>
      <c r="Q33" s="53" t="s">
        <v>29</v>
      </c>
      <c r="R33" s="53" t="s">
        <v>10202</v>
      </c>
      <c r="S33" s="53" t="s">
        <v>10028</v>
      </c>
      <c r="U33" s="29" t="s">
        <v>491</v>
      </c>
    </row>
    <row r="34" spans="1:21" ht="45" x14ac:dyDescent="0.25">
      <c r="A34" s="56">
        <v>43117</v>
      </c>
      <c r="B34" s="29" t="s">
        <v>328</v>
      </c>
      <c r="C34" s="29" t="s">
        <v>603</v>
      </c>
      <c r="D34" s="29" t="s">
        <v>649</v>
      </c>
      <c r="E34" s="29" t="s">
        <v>588</v>
      </c>
      <c r="F34" s="29" t="s">
        <v>8193</v>
      </c>
      <c r="G34" s="29" t="s">
        <v>10046</v>
      </c>
      <c r="H34" s="29" t="s">
        <v>607</v>
      </c>
      <c r="I34" s="29" t="s">
        <v>10047</v>
      </c>
      <c r="J34" s="29" t="s">
        <v>899</v>
      </c>
      <c r="L34" s="182">
        <v>2</v>
      </c>
      <c r="M34" s="113">
        <v>5000000</v>
      </c>
      <c r="N34" s="113">
        <v>3100000</v>
      </c>
      <c r="O34" s="189" t="s">
        <v>560</v>
      </c>
      <c r="P34" s="53" t="s">
        <v>10048</v>
      </c>
      <c r="Q34" s="53" t="s">
        <v>1939</v>
      </c>
      <c r="R34" s="53" t="s">
        <v>10049</v>
      </c>
      <c r="U34" s="29" t="s">
        <v>1327</v>
      </c>
    </row>
    <row r="35" spans="1:21" ht="75" x14ac:dyDescent="0.25">
      <c r="A35" s="56">
        <v>43117</v>
      </c>
      <c r="B35" s="29" t="s">
        <v>328</v>
      </c>
      <c r="C35" s="29" t="s">
        <v>603</v>
      </c>
      <c r="D35" s="29" t="s">
        <v>1401</v>
      </c>
      <c r="E35" s="29" t="s">
        <v>588</v>
      </c>
      <c r="F35" s="29" t="s">
        <v>8226</v>
      </c>
      <c r="G35" s="29" t="s">
        <v>10053</v>
      </c>
      <c r="H35" s="29" t="s">
        <v>809</v>
      </c>
      <c r="I35" s="29" t="s">
        <v>10052</v>
      </c>
      <c r="J35" s="29" t="s">
        <v>959</v>
      </c>
      <c r="L35" s="182">
        <v>3</v>
      </c>
      <c r="M35" s="113">
        <v>3333900</v>
      </c>
      <c r="N35" s="113">
        <v>3667800</v>
      </c>
      <c r="O35" s="189" t="s">
        <v>560</v>
      </c>
      <c r="P35" s="53" t="s">
        <v>10050</v>
      </c>
      <c r="Q35" s="53" t="s">
        <v>592</v>
      </c>
      <c r="R35" s="53" t="s">
        <v>10051</v>
      </c>
      <c r="U35" s="29" t="s">
        <v>1327</v>
      </c>
    </row>
    <row r="36" spans="1:21" ht="45" x14ac:dyDescent="0.25">
      <c r="A36" s="56">
        <v>43117</v>
      </c>
      <c r="B36" s="29" t="s">
        <v>569</v>
      </c>
      <c r="C36" s="29" t="s">
        <v>899</v>
      </c>
      <c r="D36" s="29" t="s">
        <v>624</v>
      </c>
      <c r="E36" s="29" t="s">
        <v>2200</v>
      </c>
      <c r="F36" s="29" t="s">
        <v>10054</v>
      </c>
      <c r="G36" s="29" t="s">
        <v>10055</v>
      </c>
      <c r="H36" s="29" t="s">
        <v>809</v>
      </c>
      <c r="I36" s="29" t="s">
        <v>2054</v>
      </c>
      <c r="J36" s="29" t="s">
        <v>899</v>
      </c>
      <c r="L36" s="182">
        <v>2</v>
      </c>
      <c r="M36" s="113">
        <v>1000000</v>
      </c>
      <c r="N36" s="113">
        <v>1150000</v>
      </c>
      <c r="O36" s="189" t="s">
        <v>10762</v>
      </c>
      <c r="P36" s="175" t="s">
        <v>10056</v>
      </c>
      <c r="Q36" s="53" t="s">
        <v>1939</v>
      </c>
      <c r="R36" s="53" t="s">
        <v>10057</v>
      </c>
      <c r="U36" s="29" t="s">
        <v>1327</v>
      </c>
    </row>
    <row r="37" spans="1:21" ht="75" x14ac:dyDescent="0.25">
      <c r="A37" s="56">
        <v>43118</v>
      </c>
      <c r="B37" s="29" t="s">
        <v>569</v>
      </c>
      <c r="C37" s="29" t="s">
        <v>899</v>
      </c>
      <c r="D37" s="29" t="s">
        <v>930</v>
      </c>
      <c r="E37" s="29" t="s">
        <v>588</v>
      </c>
      <c r="F37" s="29" t="s">
        <v>461</v>
      </c>
      <c r="G37" s="29" t="s">
        <v>8331</v>
      </c>
      <c r="H37" s="29" t="s">
        <v>886</v>
      </c>
      <c r="O37" s="189" t="s">
        <v>10762</v>
      </c>
      <c r="P37" s="53" t="s">
        <v>10029</v>
      </c>
      <c r="Q37" s="53" t="s">
        <v>1939</v>
      </c>
      <c r="R37" s="53" t="s">
        <v>10030</v>
      </c>
      <c r="U37" s="29" t="s">
        <v>491</v>
      </c>
    </row>
    <row r="38" spans="1:21" ht="45" x14ac:dyDescent="0.25">
      <c r="A38" s="56">
        <v>43118</v>
      </c>
      <c r="B38" s="29" t="s">
        <v>5956</v>
      </c>
      <c r="C38" s="29" t="s">
        <v>959</v>
      </c>
      <c r="D38" s="29" t="s">
        <v>9234</v>
      </c>
      <c r="E38" s="29" t="s">
        <v>588</v>
      </c>
      <c r="F38" s="29" t="s">
        <v>10031</v>
      </c>
      <c r="H38" s="29" t="s">
        <v>905</v>
      </c>
      <c r="I38" s="29" t="s">
        <v>10032</v>
      </c>
      <c r="J38" s="29" t="s">
        <v>959</v>
      </c>
      <c r="L38" s="182">
        <v>2</v>
      </c>
      <c r="M38" s="113">
        <v>474000</v>
      </c>
      <c r="N38" s="113">
        <v>100000</v>
      </c>
      <c r="O38" s="189" t="s">
        <v>10763</v>
      </c>
      <c r="P38" s="53" t="s">
        <v>10033</v>
      </c>
      <c r="Q38" s="53" t="s">
        <v>592</v>
      </c>
      <c r="R38" s="53" t="s">
        <v>10034</v>
      </c>
      <c r="U38" s="29" t="s">
        <v>491</v>
      </c>
    </row>
    <row r="39" spans="1:21" ht="90" x14ac:dyDescent="0.25">
      <c r="A39" s="56">
        <v>43118</v>
      </c>
      <c r="B39" s="29" t="s">
        <v>5473</v>
      </c>
      <c r="C39" s="29" t="s">
        <v>608</v>
      </c>
      <c r="D39" s="29" t="s">
        <v>1495</v>
      </c>
      <c r="E39" s="29" t="s">
        <v>588</v>
      </c>
      <c r="F39" s="29" t="s">
        <v>10035</v>
      </c>
      <c r="G39" s="29" t="s">
        <v>2678</v>
      </c>
      <c r="H39" s="29" t="s">
        <v>809</v>
      </c>
      <c r="I39" s="29" t="s">
        <v>10036</v>
      </c>
      <c r="J39" s="29" t="s">
        <v>602</v>
      </c>
      <c r="M39" s="113">
        <v>646200</v>
      </c>
      <c r="N39" s="113">
        <v>716200</v>
      </c>
      <c r="O39" s="189" t="s">
        <v>10762</v>
      </c>
      <c r="P39" s="53" t="s">
        <v>10037</v>
      </c>
      <c r="Q39" s="53" t="s">
        <v>1939</v>
      </c>
      <c r="R39" s="53" t="s">
        <v>10067</v>
      </c>
      <c r="U39" s="29" t="s">
        <v>491</v>
      </c>
    </row>
    <row r="40" spans="1:21" ht="75" x14ac:dyDescent="0.25">
      <c r="A40" s="56">
        <v>43118</v>
      </c>
      <c r="B40" s="29" t="s">
        <v>569</v>
      </c>
      <c r="C40" s="29" t="s">
        <v>899</v>
      </c>
      <c r="D40" s="29" t="s">
        <v>624</v>
      </c>
      <c r="E40" s="29" t="s">
        <v>588</v>
      </c>
      <c r="F40" s="29" t="s">
        <v>10038</v>
      </c>
      <c r="G40" s="29" t="s">
        <v>10039</v>
      </c>
      <c r="H40" s="29" t="s">
        <v>905</v>
      </c>
      <c r="I40" s="29" t="s">
        <v>7517</v>
      </c>
      <c r="J40" s="29" t="s">
        <v>899</v>
      </c>
      <c r="L40" s="182">
        <v>4</v>
      </c>
      <c r="M40" s="113">
        <v>307000</v>
      </c>
      <c r="N40" s="113">
        <v>397000</v>
      </c>
      <c r="O40" s="189" t="s">
        <v>49</v>
      </c>
      <c r="P40" s="53" t="s">
        <v>10040</v>
      </c>
      <c r="Q40" s="53" t="s">
        <v>1939</v>
      </c>
      <c r="R40" s="53" t="s">
        <v>10041</v>
      </c>
      <c r="U40" s="29" t="s">
        <v>491</v>
      </c>
    </row>
    <row r="41" spans="1:21" ht="90" x14ac:dyDescent="0.25">
      <c r="A41" s="56">
        <v>43118</v>
      </c>
      <c r="B41" s="29" t="s">
        <v>328</v>
      </c>
      <c r="C41" s="29" t="s">
        <v>603</v>
      </c>
      <c r="D41" s="29" t="s">
        <v>2500</v>
      </c>
      <c r="E41" s="29" t="s">
        <v>588</v>
      </c>
      <c r="F41" s="29" t="s">
        <v>10060</v>
      </c>
      <c r="G41" s="29" t="s">
        <v>10061</v>
      </c>
      <c r="H41" s="29" t="s">
        <v>607</v>
      </c>
      <c r="I41" s="29" t="s">
        <v>5076</v>
      </c>
      <c r="J41" s="29" t="s">
        <v>3368</v>
      </c>
      <c r="L41" s="182">
        <v>5</v>
      </c>
      <c r="M41" s="113">
        <v>145000</v>
      </c>
      <c r="N41" s="113">
        <v>311000</v>
      </c>
      <c r="O41" s="189" t="s">
        <v>4533</v>
      </c>
      <c r="P41" s="53" t="s">
        <v>10062</v>
      </c>
      <c r="Q41" s="53" t="s">
        <v>1939</v>
      </c>
      <c r="R41" s="53" t="s">
        <v>10064</v>
      </c>
      <c r="U41" s="29" t="s">
        <v>1327</v>
      </c>
    </row>
    <row r="42" spans="1:21" ht="75" x14ac:dyDescent="0.25">
      <c r="A42" s="56">
        <v>43118</v>
      </c>
      <c r="B42" s="29" t="s">
        <v>328</v>
      </c>
      <c r="C42" s="29" t="s">
        <v>603</v>
      </c>
      <c r="D42" s="29" t="s">
        <v>649</v>
      </c>
      <c r="E42" s="29" t="s">
        <v>588</v>
      </c>
      <c r="F42" s="29" t="s">
        <v>9389</v>
      </c>
      <c r="G42" s="29" t="s">
        <v>10065</v>
      </c>
      <c r="H42" s="29" t="s">
        <v>607</v>
      </c>
      <c r="I42" s="29" t="s">
        <v>10066</v>
      </c>
      <c r="J42" s="29" t="s">
        <v>5509</v>
      </c>
      <c r="L42" s="182">
        <v>3</v>
      </c>
      <c r="M42" s="113">
        <v>895423</v>
      </c>
      <c r="N42" s="113">
        <v>1546623</v>
      </c>
      <c r="O42" s="189" t="s">
        <v>560</v>
      </c>
      <c r="P42" s="53" t="s">
        <v>10211</v>
      </c>
      <c r="Q42" s="53" t="s">
        <v>29</v>
      </c>
      <c r="R42" s="53" t="s">
        <v>10203</v>
      </c>
      <c r="S42" s="53" t="s">
        <v>10204</v>
      </c>
      <c r="U42" s="29" t="s">
        <v>1327</v>
      </c>
    </row>
    <row r="43" spans="1:21" ht="30" x14ac:dyDescent="0.25">
      <c r="A43" s="56">
        <v>43119</v>
      </c>
      <c r="B43" s="29" t="s">
        <v>328</v>
      </c>
      <c r="C43" s="29" t="s">
        <v>603</v>
      </c>
      <c r="D43" s="29" t="s">
        <v>1401</v>
      </c>
      <c r="E43" s="29" t="s">
        <v>588</v>
      </c>
      <c r="F43" s="29" t="s">
        <v>10058</v>
      </c>
      <c r="G43" s="29" t="s">
        <v>256</v>
      </c>
      <c r="H43" s="29" t="s">
        <v>607</v>
      </c>
      <c r="I43" s="29" t="s">
        <v>7954</v>
      </c>
      <c r="J43" s="29" t="s">
        <v>899</v>
      </c>
      <c r="L43" s="182">
        <v>3</v>
      </c>
      <c r="M43" s="113">
        <v>1800000</v>
      </c>
      <c r="N43" s="113">
        <v>3600000</v>
      </c>
      <c r="O43" s="189" t="s">
        <v>560</v>
      </c>
      <c r="P43" s="53" t="s">
        <v>10059</v>
      </c>
      <c r="Q43" s="53" t="s">
        <v>592</v>
      </c>
      <c r="R43" s="53" t="s">
        <v>10063</v>
      </c>
      <c r="U43" s="29" t="s">
        <v>1327</v>
      </c>
    </row>
    <row r="44" spans="1:21" ht="30" x14ac:dyDescent="0.25">
      <c r="A44" s="56">
        <v>43119</v>
      </c>
      <c r="B44" s="29" t="s">
        <v>328</v>
      </c>
      <c r="C44" s="29" t="s">
        <v>603</v>
      </c>
      <c r="D44" s="29" t="s">
        <v>649</v>
      </c>
      <c r="E44" s="29" t="s">
        <v>588</v>
      </c>
      <c r="F44" s="29" t="s">
        <v>10068</v>
      </c>
      <c r="G44" s="29" t="s">
        <v>10069</v>
      </c>
      <c r="H44" s="29" t="s">
        <v>10831</v>
      </c>
      <c r="I44" s="29" t="s">
        <v>10070</v>
      </c>
      <c r="J44" s="29" t="s">
        <v>3426</v>
      </c>
      <c r="L44" s="182">
        <v>10</v>
      </c>
      <c r="M44" s="113">
        <v>360000</v>
      </c>
      <c r="N44" s="113">
        <v>882000</v>
      </c>
      <c r="O44" s="189" t="s">
        <v>7124</v>
      </c>
      <c r="P44" s="53" t="s">
        <v>10071</v>
      </c>
      <c r="Q44" s="53" t="s">
        <v>592</v>
      </c>
      <c r="R44" s="53" t="s">
        <v>10072</v>
      </c>
      <c r="U44" s="29" t="s">
        <v>1327</v>
      </c>
    </row>
    <row r="45" spans="1:21" ht="75" x14ac:dyDescent="0.25">
      <c r="A45" s="56">
        <v>43119</v>
      </c>
      <c r="B45" s="29" t="s">
        <v>328</v>
      </c>
      <c r="C45" s="29" t="s">
        <v>603</v>
      </c>
      <c r="D45" s="29" t="s">
        <v>2397</v>
      </c>
      <c r="E45" s="29" t="s">
        <v>588</v>
      </c>
      <c r="F45" s="29" t="s">
        <v>7831</v>
      </c>
      <c r="G45" s="29" t="s">
        <v>10073</v>
      </c>
      <c r="H45" s="29" t="s">
        <v>5321</v>
      </c>
      <c r="J45" s="29" t="s">
        <v>3751</v>
      </c>
      <c r="L45" s="182">
        <v>2</v>
      </c>
      <c r="M45" s="113">
        <v>462239</v>
      </c>
      <c r="N45" s="113">
        <v>764639</v>
      </c>
      <c r="O45" s="189" t="s">
        <v>10765</v>
      </c>
      <c r="P45" s="53" t="s">
        <v>10074</v>
      </c>
      <c r="Q45" s="53" t="s">
        <v>620</v>
      </c>
      <c r="R45" s="53" t="s">
        <v>10075</v>
      </c>
      <c r="U45" s="29" t="s">
        <v>1327</v>
      </c>
    </row>
    <row r="46" spans="1:21" ht="30" x14ac:dyDescent="0.25">
      <c r="A46" s="56">
        <v>43119</v>
      </c>
      <c r="B46" s="29" t="s">
        <v>569</v>
      </c>
      <c r="C46" s="29" t="s">
        <v>899</v>
      </c>
      <c r="D46" s="29" t="s">
        <v>625</v>
      </c>
      <c r="E46" s="29" t="s">
        <v>588</v>
      </c>
      <c r="F46" s="29" t="s">
        <v>8263</v>
      </c>
      <c r="G46" s="29" t="s">
        <v>10076</v>
      </c>
      <c r="H46" s="29" t="s">
        <v>607</v>
      </c>
      <c r="I46" s="29" t="s">
        <v>3649</v>
      </c>
      <c r="J46" s="29" t="s">
        <v>899</v>
      </c>
      <c r="M46" s="113">
        <v>1523500</v>
      </c>
      <c r="N46" s="113">
        <v>2688500</v>
      </c>
      <c r="O46" s="189" t="s">
        <v>560</v>
      </c>
      <c r="P46" s="53" t="s">
        <v>10077</v>
      </c>
      <c r="Q46" s="53" t="s">
        <v>592</v>
      </c>
      <c r="R46" s="53" t="s">
        <v>10078</v>
      </c>
      <c r="U46" s="29" t="s">
        <v>1327</v>
      </c>
    </row>
    <row r="47" spans="1:21" ht="30" x14ac:dyDescent="0.25">
      <c r="A47" s="56">
        <v>43119</v>
      </c>
      <c r="B47" s="29" t="s">
        <v>328</v>
      </c>
      <c r="C47" s="29" t="s">
        <v>603</v>
      </c>
      <c r="D47" s="29" t="s">
        <v>649</v>
      </c>
      <c r="E47" s="29" t="s">
        <v>588</v>
      </c>
      <c r="F47" s="29" t="s">
        <v>10079</v>
      </c>
      <c r="G47" s="29" t="s">
        <v>10080</v>
      </c>
      <c r="H47" s="29" t="s">
        <v>607</v>
      </c>
      <c r="I47" s="29" t="s">
        <v>3408</v>
      </c>
      <c r="J47" s="29" t="s">
        <v>3371</v>
      </c>
      <c r="L47" s="182">
        <v>10</v>
      </c>
      <c r="M47" s="113">
        <v>815000</v>
      </c>
      <c r="N47" s="113">
        <v>1630000</v>
      </c>
      <c r="O47" s="189" t="s">
        <v>7124</v>
      </c>
      <c r="P47" s="53" t="s">
        <v>10081</v>
      </c>
      <c r="Q47" s="53" t="s">
        <v>1939</v>
      </c>
      <c r="R47" s="53" t="s">
        <v>10082</v>
      </c>
      <c r="U47" s="29" t="s">
        <v>1327</v>
      </c>
    </row>
    <row r="48" spans="1:21" ht="75" x14ac:dyDescent="0.25">
      <c r="A48" s="56">
        <v>43122</v>
      </c>
      <c r="B48" s="29" t="s">
        <v>328</v>
      </c>
      <c r="C48" s="29" t="s">
        <v>603</v>
      </c>
      <c r="D48" s="29" t="s">
        <v>649</v>
      </c>
      <c r="E48" s="29" t="s">
        <v>588</v>
      </c>
      <c r="F48" s="29" t="s">
        <v>10107</v>
      </c>
      <c r="G48" s="29" t="s">
        <v>10108</v>
      </c>
      <c r="H48" s="29" t="s">
        <v>607</v>
      </c>
      <c r="I48" s="29" t="s">
        <v>6987</v>
      </c>
      <c r="J48" s="29" t="s">
        <v>959</v>
      </c>
      <c r="L48" s="182">
        <v>5</v>
      </c>
      <c r="M48" s="113">
        <v>585000</v>
      </c>
      <c r="N48" s="113">
        <v>872000</v>
      </c>
      <c r="O48" s="189" t="s">
        <v>4533</v>
      </c>
      <c r="P48" s="53" t="s">
        <v>10109</v>
      </c>
      <c r="Q48" s="53" t="s">
        <v>1939</v>
      </c>
      <c r="R48" s="53" t="s">
        <v>10020</v>
      </c>
      <c r="U48" s="29" t="s">
        <v>1327</v>
      </c>
    </row>
    <row r="49" spans="1:21" ht="30" x14ac:dyDescent="0.25">
      <c r="A49" s="56">
        <v>43122</v>
      </c>
      <c r="B49" s="29" t="s">
        <v>569</v>
      </c>
      <c r="C49" s="29" t="s">
        <v>899</v>
      </c>
      <c r="D49" s="29" t="s">
        <v>625</v>
      </c>
      <c r="E49" s="29" t="s">
        <v>588</v>
      </c>
      <c r="F49" s="29" t="s">
        <v>10110</v>
      </c>
      <c r="G49" s="29" t="s">
        <v>10111</v>
      </c>
      <c r="H49" s="29" t="s">
        <v>607</v>
      </c>
      <c r="I49" s="29" t="s">
        <v>10112</v>
      </c>
      <c r="J49" s="29" t="s">
        <v>899</v>
      </c>
      <c r="M49" s="113">
        <v>2329000</v>
      </c>
      <c r="N49" s="113">
        <v>4192000</v>
      </c>
      <c r="O49" s="189" t="s">
        <v>560</v>
      </c>
      <c r="P49" s="53" t="s">
        <v>10113</v>
      </c>
      <c r="Q49" s="53" t="s">
        <v>592</v>
      </c>
      <c r="R49" s="53" t="s">
        <v>10114</v>
      </c>
      <c r="U49" s="29" t="s">
        <v>1327</v>
      </c>
    </row>
    <row r="50" spans="1:21" ht="30" x14ac:dyDescent="0.25">
      <c r="A50" s="56">
        <v>43122</v>
      </c>
      <c r="B50" s="29" t="s">
        <v>328</v>
      </c>
      <c r="C50" s="29" t="s">
        <v>603</v>
      </c>
      <c r="D50" s="29" t="s">
        <v>2204</v>
      </c>
      <c r="E50" s="29" t="s">
        <v>588</v>
      </c>
      <c r="F50" s="29" t="s">
        <v>10115</v>
      </c>
      <c r="G50" s="29" t="s">
        <v>10115</v>
      </c>
      <c r="H50" s="29" t="s">
        <v>905</v>
      </c>
      <c r="J50" s="29" t="s">
        <v>899</v>
      </c>
      <c r="L50" s="182">
        <v>2</v>
      </c>
      <c r="M50" s="113">
        <v>2900000</v>
      </c>
      <c r="N50" s="113">
        <v>3320800</v>
      </c>
      <c r="O50" s="189" t="s">
        <v>560</v>
      </c>
      <c r="P50" s="53" t="s">
        <v>10116</v>
      </c>
      <c r="Q50" s="53" t="s">
        <v>592</v>
      </c>
      <c r="R50" s="53" t="s">
        <v>10117</v>
      </c>
      <c r="U50" s="29" t="s">
        <v>1327</v>
      </c>
    </row>
    <row r="51" spans="1:21" ht="45" x14ac:dyDescent="0.25">
      <c r="A51" s="56">
        <v>43123</v>
      </c>
      <c r="B51" s="29" t="s">
        <v>328</v>
      </c>
      <c r="C51" s="29" t="s">
        <v>603</v>
      </c>
      <c r="D51" s="29" t="s">
        <v>5701</v>
      </c>
      <c r="E51" s="29" t="s">
        <v>588</v>
      </c>
      <c r="F51" s="29" t="s">
        <v>9002</v>
      </c>
      <c r="G51" s="29" t="s">
        <v>256</v>
      </c>
      <c r="H51" s="29" t="s">
        <v>607</v>
      </c>
      <c r="I51" s="29" t="s">
        <v>10119</v>
      </c>
      <c r="J51" s="29" t="s">
        <v>4785</v>
      </c>
      <c r="M51" s="113">
        <v>277500</v>
      </c>
      <c r="N51" s="113">
        <v>499500</v>
      </c>
      <c r="O51" s="189" t="s">
        <v>49</v>
      </c>
      <c r="P51" s="53" t="s">
        <v>10120</v>
      </c>
      <c r="Q51" s="53" t="s">
        <v>592</v>
      </c>
      <c r="R51" s="53" t="s">
        <v>10121</v>
      </c>
      <c r="U51" s="29" t="s">
        <v>1327</v>
      </c>
    </row>
    <row r="52" spans="1:21" ht="30" x14ac:dyDescent="0.25">
      <c r="A52" s="56">
        <v>43123</v>
      </c>
      <c r="B52" s="29" t="s">
        <v>110</v>
      </c>
      <c r="C52" s="29" t="s">
        <v>761</v>
      </c>
      <c r="D52" s="29" t="s">
        <v>715</v>
      </c>
      <c r="E52" s="29" t="s">
        <v>588</v>
      </c>
      <c r="F52" s="29" t="s">
        <v>10122</v>
      </c>
      <c r="G52" s="29" t="s">
        <v>10123</v>
      </c>
      <c r="H52" s="29" t="s">
        <v>607</v>
      </c>
      <c r="I52" s="29" t="s">
        <v>3059</v>
      </c>
      <c r="J52" s="29" t="s">
        <v>761</v>
      </c>
      <c r="L52" s="182">
        <v>5</v>
      </c>
      <c r="M52" s="113" t="s">
        <v>10124</v>
      </c>
      <c r="N52" s="126">
        <v>790500</v>
      </c>
      <c r="O52" s="189" t="s">
        <v>10764</v>
      </c>
      <c r="P52" s="53" t="s">
        <v>10182</v>
      </c>
      <c r="Q52" s="53" t="s">
        <v>1939</v>
      </c>
      <c r="R52" s="53" t="s">
        <v>10125</v>
      </c>
      <c r="U52" s="29" t="s">
        <v>1327</v>
      </c>
    </row>
    <row r="53" spans="1:21" ht="60" x14ac:dyDescent="0.25">
      <c r="A53" s="56">
        <v>43124</v>
      </c>
      <c r="B53" s="29" t="s">
        <v>9240</v>
      </c>
      <c r="C53" s="29" t="s">
        <v>603</v>
      </c>
      <c r="D53" s="29" t="s">
        <v>9849</v>
      </c>
      <c r="E53" s="29" t="s">
        <v>821</v>
      </c>
      <c r="F53" s="29" t="s">
        <v>8966</v>
      </c>
      <c r="H53" s="29" t="s">
        <v>905</v>
      </c>
      <c r="J53" s="29" t="s">
        <v>3398</v>
      </c>
      <c r="O53" s="189" t="s">
        <v>10764</v>
      </c>
      <c r="P53" s="53" t="s">
        <v>10083</v>
      </c>
      <c r="Q53" s="53" t="s">
        <v>620</v>
      </c>
      <c r="R53" s="53" t="s">
        <v>10084</v>
      </c>
      <c r="U53" s="29" t="s">
        <v>491</v>
      </c>
    </row>
    <row r="54" spans="1:21" ht="60" x14ac:dyDescent="0.25">
      <c r="A54" s="56">
        <v>43124</v>
      </c>
      <c r="B54" s="29" t="s">
        <v>5176</v>
      </c>
      <c r="C54" s="29" t="s">
        <v>604</v>
      </c>
      <c r="D54" s="29" t="s">
        <v>595</v>
      </c>
      <c r="E54" s="29" t="s">
        <v>588</v>
      </c>
      <c r="F54" s="29" t="s">
        <v>10085</v>
      </c>
      <c r="G54" s="29" t="s">
        <v>10086</v>
      </c>
      <c r="H54" s="29" t="s">
        <v>905</v>
      </c>
      <c r="I54" s="29" t="s">
        <v>1487</v>
      </c>
      <c r="J54" s="29" t="s">
        <v>604</v>
      </c>
      <c r="M54" s="113">
        <v>640000</v>
      </c>
      <c r="O54" s="189" t="s">
        <v>10762</v>
      </c>
      <c r="P54" s="53" t="s">
        <v>10087</v>
      </c>
      <c r="Q54" s="53" t="s">
        <v>1939</v>
      </c>
      <c r="R54" s="53" t="s">
        <v>10088</v>
      </c>
      <c r="U54" s="29" t="s">
        <v>491</v>
      </c>
    </row>
    <row r="55" spans="1:21" ht="75" x14ac:dyDescent="0.25">
      <c r="A55" s="56">
        <v>43124</v>
      </c>
      <c r="B55" s="29" t="s">
        <v>328</v>
      </c>
      <c r="C55" s="29" t="s">
        <v>603</v>
      </c>
      <c r="D55" s="29" t="s">
        <v>5701</v>
      </c>
      <c r="E55" s="29" t="s">
        <v>588</v>
      </c>
      <c r="F55" s="29" t="s">
        <v>10095</v>
      </c>
      <c r="G55" s="29" t="s">
        <v>7814</v>
      </c>
      <c r="H55" s="29" t="s">
        <v>10831</v>
      </c>
      <c r="J55" s="29" t="s">
        <v>5509</v>
      </c>
      <c r="L55" s="182">
        <v>2</v>
      </c>
      <c r="M55" s="113">
        <v>2800000</v>
      </c>
      <c r="N55" s="113">
        <v>3240000</v>
      </c>
      <c r="O55" s="189" t="s">
        <v>560</v>
      </c>
      <c r="P55" s="53" t="s">
        <v>10096</v>
      </c>
      <c r="Q55" s="53" t="s">
        <v>1939</v>
      </c>
      <c r="R55" s="53" t="s">
        <v>10097</v>
      </c>
      <c r="U55" s="29" t="s">
        <v>1327</v>
      </c>
    </row>
    <row r="56" spans="1:21" ht="30" x14ac:dyDescent="0.25">
      <c r="A56" s="56">
        <v>43124</v>
      </c>
      <c r="B56" s="29" t="s">
        <v>110</v>
      </c>
      <c r="C56" s="29" t="s">
        <v>761</v>
      </c>
      <c r="D56" s="29" t="s">
        <v>715</v>
      </c>
      <c r="E56" s="29" t="s">
        <v>588</v>
      </c>
      <c r="F56" s="29" t="s">
        <v>9394</v>
      </c>
      <c r="G56" s="29" t="s">
        <v>9072</v>
      </c>
      <c r="H56" s="29" t="s">
        <v>10831</v>
      </c>
      <c r="I56" s="29" t="s">
        <v>10167</v>
      </c>
      <c r="J56" s="29" t="s">
        <v>761</v>
      </c>
      <c r="L56" s="182">
        <v>9</v>
      </c>
      <c r="M56" s="113">
        <v>181000</v>
      </c>
      <c r="N56" s="113">
        <v>307700</v>
      </c>
      <c r="O56" s="189" t="s">
        <v>7124</v>
      </c>
      <c r="P56" s="53" t="s">
        <v>10168</v>
      </c>
      <c r="Q56" s="53" t="s">
        <v>620</v>
      </c>
      <c r="R56" s="53" t="s">
        <v>10200</v>
      </c>
      <c r="U56" s="29" t="s">
        <v>1327</v>
      </c>
    </row>
    <row r="57" spans="1:21" ht="15.75" x14ac:dyDescent="0.25">
      <c r="A57" s="56">
        <v>43125</v>
      </c>
      <c r="B57" s="29" t="s">
        <v>569</v>
      </c>
      <c r="C57" s="29" t="s">
        <v>899</v>
      </c>
      <c r="D57" s="29" t="s">
        <v>624</v>
      </c>
      <c r="E57" s="29" t="s">
        <v>588</v>
      </c>
      <c r="F57" s="29" t="s">
        <v>10197</v>
      </c>
      <c r="G57" s="29" t="s">
        <v>10198</v>
      </c>
      <c r="H57" s="29" t="s">
        <v>905</v>
      </c>
      <c r="I57" s="29" t="s">
        <v>2054</v>
      </c>
      <c r="J57" s="29" t="s">
        <v>899</v>
      </c>
      <c r="L57" s="182">
        <v>2</v>
      </c>
      <c r="M57" s="113">
        <v>3400000</v>
      </c>
      <c r="N57" s="113">
        <v>3500000</v>
      </c>
      <c r="O57" s="189" t="s">
        <v>560</v>
      </c>
      <c r="P57" s="53" t="s">
        <v>10199</v>
      </c>
      <c r="Q57" s="53" t="s">
        <v>592</v>
      </c>
      <c r="U57" s="29" t="s">
        <v>1327</v>
      </c>
    </row>
    <row r="58" spans="1:21" ht="75" x14ac:dyDescent="0.25">
      <c r="A58" s="56">
        <v>43125</v>
      </c>
      <c r="B58" s="29" t="s">
        <v>643</v>
      </c>
      <c r="C58" s="29" t="s">
        <v>644</v>
      </c>
      <c r="D58" s="29" t="s">
        <v>645</v>
      </c>
      <c r="E58" s="29" t="s">
        <v>588</v>
      </c>
      <c r="F58" s="29" t="s">
        <v>10089</v>
      </c>
      <c r="H58" s="29" t="s">
        <v>809</v>
      </c>
      <c r="I58" s="29" t="s">
        <v>5212</v>
      </c>
      <c r="J58" s="29" t="s">
        <v>644</v>
      </c>
      <c r="L58" s="182">
        <v>2</v>
      </c>
      <c r="M58" s="113">
        <v>287000</v>
      </c>
      <c r="N58" s="113">
        <v>365700</v>
      </c>
      <c r="O58" s="189" t="s">
        <v>10765</v>
      </c>
      <c r="P58" s="53" t="s">
        <v>10183</v>
      </c>
      <c r="Q58" s="53" t="s">
        <v>592</v>
      </c>
      <c r="R58" s="53" t="s">
        <v>10090</v>
      </c>
      <c r="U58" s="29" t="s">
        <v>491</v>
      </c>
    </row>
    <row r="59" spans="1:21" ht="30" x14ac:dyDescent="0.25">
      <c r="A59" s="56">
        <v>43125</v>
      </c>
      <c r="B59" s="29" t="s">
        <v>9240</v>
      </c>
      <c r="C59" s="29" t="s">
        <v>603</v>
      </c>
      <c r="D59" s="29" t="s">
        <v>7814</v>
      </c>
      <c r="E59" s="29" t="s">
        <v>588</v>
      </c>
      <c r="F59" s="29" t="s">
        <v>9350</v>
      </c>
      <c r="G59" s="29" t="s">
        <v>10091</v>
      </c>
      <c r="H59" s="29" t="s">
        <v>607</v>
      </c>
      <c r="I59" s="29" t="s">
        <v>10092</v>
      </c>
      <c r="J59" s="29" t="s">
        <v>5610</v>
      </c>
      <c r="L59" s="182">
        <v>6</v>
      </c>
      <c r="M59" s="113">
        <v>310000</v>
      </c>
      <c r="N59" s="113">
        <v>527000</v>
      </c>
      <c r="O59" s="189" t="s">
        <v>10766</v>
      </c>
      <c r="P59" s="53" t="s">
        <v>10093</v>
      </c>
      <c r="Q59" s="53" t="s">
        <v>620</v>
      </c>
      <c r="R59" s="53" t="s">
        <v>10094</v>
      </c>
      <c r="U59" s="29" t="s">
        <v>491</v>
      </c>
    </row>
    <row r="60" spans="1:21" ht="45" x14ac:dyDescent="0.25">
      <c r="A60" s="56">
        <v>43125</v>
      </c>
      <c r="B60" s="29" t="s">
        <v>328</v>
      </c>
      <c r="C60" s="29" t="s">
        <v>603</v>
      </c>
      <c r="D60" s="29" t="s">
        <v>2397</v>
      </c>
      <c r="E60" s="29" t="s">
        <v>588</v>
      </c>
      <c r="F60" s="29" t="s">
        <v>8867</v>
      </c>
      <c r="G60" s="29" t="s">
        <v>10098</v>
      </c>
      <c r="H60" s="29" t="s">
        <v>809</v>
      </c>
      <c r="I60" s="29" t="s">
        <v>10099</v>
      </c>
      <c r="J60" s="29" t="s">
        <v>3612</v>
      </c>
      <c r="L60" s="182">
        <v>10</v>
      </c>
      <c r="M60" s="113">
        <v>202000</v>
      </c>
      <c r="N60" s="113">
        <v>202000</v>
      </c>
      <c r="O60" s="189" t="s">
        <v>10762</v>
      </c>
      <c r="P60" s="53" t="s">
        <v>10100</v>
      </c>
      <c r="Q60" s="53" t="s">
        <v>1939</v>
      </c>
      <c r="R60" s="53" t="s">
        <v>10101</v>
      </c>
      <c r="U60" s="29" t="s">
        <v>1327</v>
      </c>
    </row>
    <row r="61" spans="1:21" ht="45" x14ac:dyDescent="0.25">
      <c r="A61" s="56">
        <v>43125</v>
      </c>
      <c r="B61" s="29" t="s">
        <v>328</v>
      </c>
      <c r="C61" s="29" t="s">
        <v>603</v>
      </c>
      <c r="D61" s="29" t="s">
        <v>649</v>
      </c>
      <c r="E61" s="29" t="s">
        <v>588</v>
      </c>
      <c r="F61" s="29" t="s">
        <v>10103</v>
      </c>
      <c r="G61" s="29" t="s">
        <v>256</v>
      </c>
      <c r="H61" s="29" t="s">
        <v>10832</v>
      </c>
      <c r="J61" s="29" t="s">
        <v>899</v>
      </c>
      <c r="L61" s="182">
        <v>9</v>
      </c>
      <c r="M61" s="113">
        <v>675240</v>
      </c>
      <c r="N61" s="113">
        <v>771440</v>
      </c>
      <c r="O61" s="189" t="s">
        <v>7124</v>
      </c>
      <c r="P61" s="53" t="s">
        <v>10184</v>
      </c>
      <c r="Q61" s="53" t="s">
        <v>1939</v>
      </c>
      <c r="R61" s="53" t="s">
        <v>10102</v>
      </c>
      <c r="U61" s="29" t="s">
        <v>1327</v>
      </c>
    </row>
    <row r="62" spans="1:21" ht="90" x14ac:dyDescent="0.25">
      <c r="A62" s="56">
        <v>43125</v>
      </c>
      <c r="B62" s="29" t="s">
        <v>569</v>
      </c>
      <c r="C62" s="29" t="s">
        <v>899</v>
      </c>
      <c r="D62" s="29" t="s">
        <v>930</v>
      </c>
      <c r="E62" s="29" t="s">
        <v>588</v>
      </c>
      <c r="F62" s="29" t="s">
        <v>10104</v>
      </c>
      <c r="G62" s="29" t="s">
        <v>9465</v>
      </c>
      <c r="H62" s="29" t="s">
        <v>607</v>
      </c>
      <c r="I62" s="29" t="s">
        <v>10105</v>
      </c>
      <c r="J62" s="29" t="s">
        <v>899</v>
      </c>
      <c r="M62" s="113">
        <v>1857000</v>
      </c>
      <c r="N62" s="113">
        <v>3200000</v>
      </c>
      <c r="O62" s="189" t="s">
        <v>560</v>
      </c>
      <c r="P62" s="53" t="s">
        <v>10185</v>
      </c>
      <c r="Q62" s="53" t="s">
        <v>592</v>
      </c>
      <c r="R62" s="53" t="s">
        <v>10118</v>
      </c>
      <c r="U62" s="29" t="s">
        <v>1327</v>
      </c>
    </row>
    <row r="63" spans="1:21" ht="135" x14ac:dyDescent="0.25">
      <c r="A63" s="56">
        <v>43126</v>
      </c>
      <c r="B63" s="29" t="s">
        <v>5176</v>
      </c>
      <c r="C63" s="29" t="s">
        <v>604</v>
      </c>
      <c r="D63" s="29" t="s">
        <v>595</v>
      </c>
      <c r="E63" s="29" t="s">
        <v>821</v>
      </c>
      <c r="F63" s="29" t="s">
        <v>10148</v>
      </c>
      <c r="G63" s="29" t="s">
        <v>10149</v>
      </c>
      <c r="H63" s="29" t="s">
        <v>809</v>
      </c>
      <c r="I63" s="29" t="s">
        <v>10106</v>
      </c>
      <c r="J63" s="29" t="s">
        <v>604</v>
      </c>
      <c r="M63" s="113">
        <v>525000</v>
      </c>
      <c r="O63" s="189" t="s">
        <v>10766</v>
      </c>
      <c r="P63" s="53" t="s">
        <v>10150</v>
      </c>
      <c r="Q63" s="53" t="s">
        <v>1939</v>
      </c>
      <c r="R63" s="53" t="s">
        <v>10186</v>
      </c>
      <c r="U63" s="29" t="s">
        <v>491</v>
      </c>
    </row>
    <row r="64" spans="1:21" ht="90" x14ac:dyDescent="0.25">
      <c r="A64" s="56">
        <v>43126</v>
      </c>
      <c r="B64" s="29" t="s">
        <v>328</v>
      </c>
      <c r="C64" s="29" t="s">
        <v>603</v>
      </c>
      <c r="D64" s="29" t="s">
        <v>2204</v>
      </c>
      <c r="E64" s="29" t="s">
        <v>588</v>
      </c>
      <c r="F64" s="29" t="s">
        <v>10126</v>
      </c>
      <c r="G64" s="29" t="s">
        <v>10127</v>
      </c>
      <c r="H64" s="29" t="s">
        <v>607</v>
      </c>
      <c r="I64" s="29" t="s">
        <v>10128</v>
      </c>
      <c r="J64" s="29" t="s">
        <v>3733</v>
      </c>
      <c r="L64" s="182">
        <v>6</v>
      </c>
      <c r="M64" s="113">
        <v>220000</v>
      </c>
      <c r="N64" s="113">
        <v>440000</v>
      </c>
      <c r="O64" s="189" t="s">
        <v>4533</v>
      </c>
      <c r="P64" s="53" t="s">
        <v>10130</v>
      </c>
      <c r="Q64" s="53" t="s">
        <v>1939</v>
      </c>
      <c r="R64" s="53" t="s">
        <v>10129</v>
      </c>
      <c r="U64" s="29" t="s">
        <v>1327</v>
      </c>
    </row>
    <row r="65" spans="1:23" ht="120" x14ac:dyDescent="0.25">
      <c r="A65" s="56">
        <v>43126</v>
      </c>
      <c r="B65" s="29" t="s">
        <v>328</v>
      </c>
      <c r="C65" s="29" t="s">
        <v>603</v>
      </c>
      <c r="D65" s="29" t="s">
        <v>7595</v>
      </c>
      <c r="E65" s="29" t="s">
        <v>588</v>
      </c>
      <c r="F65" s="29" t="s">
        <v>10134</v>
      </c>
      <c r="G65" s="29" t="s">
        <v>7714</v>
      </c>
      <c r="H65" s="29" t="s">
        <v>607</v>
      </c>
      <c r="I65" s="29" t="s">
        <v>10133</v>
      </c>
      <c r="J65" s="29" t="s">
        <v>3751</v>
      </c>
      <c r="L65" s="182">
        <v>5</v>
      </c>
      <c r="M65" s="113">
        <v>198283</v>
      </c>
      <c r="N65" s="113">
        <v>356909</v>
      </c>
      <c r="O65" s="189" t="s">
        <v>4533</v>
      </c>
      <c r="P65" s="53" t="s">
        <v>10132</v>
      </c>
      <c r="Q65" s="53" t="s">
        <v>1939</v>
      </c>
      <c r="R65" s="53" t="s">
        <v>10131</v>
      </c>
      <c r="U65" s="29" t="s">
        <v>1327</v>
      </c>
    </row>
    <row r="66" spans="1:23" ht="60" x14ac:dyDescent="0.25">
      <c r="A66" s="56">
        <v>43126</v>
      </c>
      <c r="B66" s="29" t="s">
        <v>328</v>
      </c>
      <c r="C66" s="29" t="s">
        <v>603</v>
      </c>
      <c r="D66" s="29" t="s">
        <v>649</v>
      </c>
      <c r="E66" s="29" t="s">
        <v>588</v>
      </c>
      <c r="F66" s="29" t="s">
        <v>10135</v>
      </c>
      <c r="G66" s="29" t="s">
        <v>10136</v>
      </c>
      <c r="H66" s="29" t="s">
        <v>10831</v>
      </c>
      <c r="I66" s="29" t="s">
        <v>10137</v>
      </c>
      <c r="J66" s="29" t="s">
        <v>5610</v>
      </c>
      <c r="L66" s="182">
        <v>5</v>
      </c>
      <c r="M66" s="113">
        <v>241000</v>
      </c>
      <c r="N66" s="113">
        <v>475820</v>
      </c>
      <c r="O66" s="189" t="s">
        <v>4533</v>
      </c>
      <c r="P66" s="53" t="s">
        <v>10139</v>
      </c>
      <c r="Q66" s="53" t="s">
        <v>1939</v>
      </c>
      <c r="R66" s="53" t="s">
        <v>10138</v>
      </c>
      <c r="U66" s="29" t="s">
        <v>1327</v>
      </c>
    </row>
    <row r="67" spans="1:23" ht="105" x14ac:dyDescent="0.25">
      <c r="A67" s="56">
        <v>43126</v>
      </c>
      <c r="B67" s="29" t="s">
        <v>328</v>
      </c>
      <c r="C67" s="29" t="s">
        <v>603</v>
      </c>
      <c r="D67" s="29" t="s">
        <v>649</v>
      </c>
      <c r="E67" s="29" t="s">
        <v>588</v>
      </c>
      <c r="F67" s="29" t="s">
        <v>10140</v>
      </c>
      <c r="G67" s="29" t="s">
        <v>7792</v>
      </c>
      <c r="H67" s="29" t="s">
        <v>607</v>
      </c>
      <c r="I67" s="29" t="s">
        <v>10141</v>
      </c>
      <c r="J67" s="29" t="s">
        <v>3533</v>
      </c>
      <c r="L67" s="182">
        <v>9</v>
      </c>
      <c r="M67" s="113">
        <v>240898</v>
      </c>
      <c r="N67" s="113">
        <v>409527</v>
      </c>
      <c r="O67" s="189" t="s">
        <v>4533</v>
      </c>
      <c r="P67" s="53" t="s">
        <v>10143</v>
      </c>
      <c r="Q67" s="53" t="s">
        <v>1939</v>
      </c>
      <c r="R67" s="53" t="s">
        <v>10142</v>
      </c>
      <c r="U67" s="29" t="s">
        <v>1327</v>
      </c>
    </row>
    <row r="68" spans="1:23" ht="60" x14ac:dyDescent="0.25">
      <c r="A68" s="56">
        <v>43126</v>
      </c>
      <c r="B68" s="29" t="s">
        <v>569</v>
      </c>
      <c r="C68" s="29" t="s">
        <v>899</v>
      </c>
      <c r="D68" s="29" t="s">
        <v>930</v>
      </c>
      <c r="E68" s="29" t="s">
        <v>821</v>
      </c>
      <c r="F68" s="29" t="s">
        <v>6124</v>
      </c>
      <c r="H68" s="29" t="s">
        <v>905</v>
      </c>
      <c r="J68" s="29" t="s">
        <v>899</v>
      </c>
      <c r="M68" s="113">
        <v>400000</v>
      </c>
      <c r="N68" s="113">
        <v>750000</v>
      </c>
      <c r="O68" s="189" t="s">
        <v>4533</v>
      </c>
      <c r="P68" s="53" t="s">
        <v>10144</v>
      </c>
      <c r="Q68" s="53" t="s">
        <v>1939</v>
      </c>
      <c r="R68" s="53" t="s">
        <v>10145</v>
      </c>
      <c r="U68" s="29" t="s">
        <v>491</v>
      </c>
    </row>
    <row r="69" spans="1:23" ht="30" x14ac:dyDescent="0.25">
      <c r="A69" s="56">
        <v>43126</v>
      </c>
      <c r="B69" s="29" t="s">
        <v>569</v>
      </c>
      <c r="C69" s="29" t="s">
        <v>899</v>
      </c>
      <c r="D69" s="29" t="s">
        <v>625</v>
      </c>
      <c r="E69" s="29" t="s">
        <v>821</v>
      </c>
      <c r="F69" s="29" t="s">
        <v>9746</v>
      </c>
      <c r="G69" s="29" t="s">
        <v>7662</v>
      </c>
      <c r="H69" s="29" t="s">
        <v>905</v>
      </c>
      <c r="I69" s="29" t="s">
        <v>4057</v>
      </c>
      <c r="J69" s="29" t="s">
        <v>899</v>
      </c>
      <c r="O69" s="189" t="s">
        <v>7564</v>
      </c>
      <c r="P69" s="53" t="s">
        <v>10146</v>
      </c>
      <c r="Q69" s="53" t="s">
        <v>1939</v>
      </c>
      <c r="R69" s="53" t="s">
        <v>10147</v>
      </c>
      <c r="U69" s="29" t="s">
        <v>491</v>
      </c>
    </row>
    <row r="70" spans="1:23" ht="15.75" x14ac:dyDescent="0.25">
      <c r="A70" s="56">
        <v>43130</v>
      </c>
      <c r="B70" s="29" t="s">
        <v>569</v>
      </c>
      <c r="C70" s="29" t="s">
        <v>899</v>
      </c>
      <c r="D70" s="29" t="s">
        <v>930</v>
      </c>
      <c r="E70" s="29" t="s">
        <v>588</v>
      </c>
      <c r="F70" s="29" t="s">
        <v>10151</v>
      </c>
      <c r="G70" s="29" t="s">
        <v>10151</v>
      </c>
      <c r="H70" s="29" t="s">
        <v>809</v>
      </c>
      <c r="I70" s="29" t="s">
        <v>10152</v>
      </c>
      <c r="J70" s="29" t="s">
        <v>899</v>
      </c>
      <c r="L70" s="182">
        <v>4</v>
      </c>
      <c r="M70" s="113">
        <v>3800000</v>
      </c>
      <c r="N70" s="113">
        <v>3800000</v>
      </c>
      <c r="O70" s="189" t="s">
        <v>560</v>
      </c>
      <c r="P70" s="53" t="s">
        <v>10153</v>
      </c>
      <c r="Q70" s="53" t="s">
        <v>592</v>
      </c>
      <c r="R70" s="53" t="s">
        <v>10154</v>
      </c>
      <c r="U70" s="29" t="s">
        <v>1327</v>
      </c>
    </row>
    <row r="71" spans="1:23" ht="195" x14ac:dyDescent="0.25">
      <c r="A71" s="56">
        <v>43130</v>
      </c>
      <c r="B71" s="29" t="s">
        <v>328</v>
      </c>
      <c r="C71" s="29" t="s">
        <v>603</v>
      </c>
      <c r="D71" s="29" t="s">
        <v>2397</v>
      </c>
      <c r="E71" s="29" t="s">
        <v>588</v>
      </c>
      <c r="F71" s="29" t="s">
        <v>10155</v>
      </c>
      <c r="G71" s="29" t="s">
        <v>10080</v>
      </c>
      <c r="H71" s="29" t="s">
        <v>607</v>
      </c>
      <c r="J71" s="29" t="s">
        <v>3888</v>
      </c>
      <c r="L71" s="182">
        <v>10</v>
      </c>
      <c r="M71" s="113">
        <v>260000</v>
      </c>
      <c r="N71" s="113">
        <v>507000</v>
      </c>
      <c r="O71" s="189" t="s">
        <v>4533</v>
      </c>
      <c r="P71" s="53" t="s">
        <v>10187</v>
      </c>
      <c r="Q71" s="53" t="s">
        <v>1939</v>
      </c>
      <c r="R71" s="53" t="s">
        <v>10212</v>
      </c>
      <c r="U71" s="29" t="s">
        <v>1327</v>
      </c>
    </row>
    <row r="72" spans="1:23" ht="45" x14ac:dyDescent="0.25">
      <c r="A72" s="56">
        <v>43130</v>
      </c>
      <c r="B72" s="29" t="s">
        <v>5956</v>
      </c>
      <c r="C72" s="29" t="s">
        <v>3369</v>
      </c>
      <c r="D72" s="29" t="s">
        <v>10156</v>
      </c>
      <c r="E72" s="29" t="s">
        <v>588</v>
      </c>
      <c r="F72" s="29" t="s">
        <v>10157</v>
      </c>
      <c r="G72" s="29" t="s">
        <v>813</v>
      </c>
      <c r="H72" s="29" t="s">
        <v>607</v>
      </c>
      <c r="I72" s="29" t="s">
        <v>10158</v>
      </c>
      <c r="J72" s="29" t="s">
        <v>3369</v>
      </c>
      <c r="L72" s="182">
        <v>4</v>
      </c>
      <c r="M72" s="113">
        <v>2000000</v>
      </c>
      <c r="N72" s="113">
        <v>4000000</v>
      </c>
      <c r="O72" s="189" t="s">
        <v>10879</v>
      </c>
      <c r="P72" s="53" t="s">
        <v>10159</v>
      </c>
      <c r="Q72" s="53" t="s">
        <v>1939</v>
      </c>
      <c r="R72" s="53" t="s">
        <v>10160</v>
      </c>
      <c r="U72" s="29" t="s">
        <v>1327</v>
      </c>
    </row>
    <row r="73" spans="1:23" ht="30" x14ac:dyDescent="0.25">
      <c r="A73" s="56">
        <v>43130</v>
      </c>
      <c r="B73" s="29" t="s">
        <v>328</v>
      </c>
      <c r="C73" s="29" t="s">
        <v>603</v>
      </c>
      <c r="D73" s="29" t="s">
        <v>649</v>
      </c>
      <c r="E73" s="29" t="s">
        <v>588</v>
      </c>
      <c r="F73" s="29" t="s">
        <v>10161</v>
      </c>
      <c r="G73" s="29" t="s">
        <v>7855</v>
      </c>
      <c r="H73" s="29" t="s">
        <v>809</v>
      </c>
      <c r="J73" s="29" t="s">
        <v>3373</v>
      </c>
      <c r="L73" s="182">
        <v>10</v>
      </c>
      <c r="M73" s="113">
        <v>1900000</v>
      </c>
      <c r="N73" s="113">
        <v>2100000</v>
      </c>
      <c r="O73" s="189" t="s">
        <v>560</v>
      </c>
      <c r="P73" s="53" t="s">
        <v>10213</v>
      </c>
      <c r="Q73" s="53" t="s">
        <v>592</v>
      </c>
      <c r="R73" s="53" t="s">
        <v>10188</v>
      </c>
      <c r="U73" s="29" t="s">
        <v>1327</v>
      </c>
    </row>
    <row r="74" spans="1:23" ht="30" x14ac:dyDescent="0.25">
      <c r="A74" s="56">
        <v>43130</v>
      </c>
      <c r="B74" s="29" t="s">
        <v>643</v>
      </c>
      <c r="C74" s="29" t="s">
        <v>644</v>
      </c>
      <c r="D74" s="29" t="s">
        <v>645</v>
      </c>
      <c r="E74" s="29" t="s">
        <v>588</v>
      </c>
      <c r="F74" s="29" t="s">
        <v>10166</v>
      </c>
      <c r="G74" s="29" t="s">
        <v>10165</v>
      </c>
      <c r="H74" s="29" t="s">
        <v>886</v>
      </c>
      <c r="I74" s="29" t="s">
        <v>10164</v>
      </c>
      <c r="J74" s="29" t="s">
        <v>899</v>
      </c>
      <c r="L74" s="182">
        <v>3</v>
      </c>
      <c r="M74" s="113">
        <v>3911000</v>
      </c>
      <c r="N74" s="113">
        <v>4302100</v>
      </c>
      <c r="O74" s="189" t="s">
        <v>560</v>
      </c>
      <c r="P74" s="53" t="s">
        <v>10163</v>
      </c>
      <c r="Q74" s="53" t="s">
        <v>592</v>
      </c>
      <c r="R74" s="53" t="s">
        <v>10162</v>
      </c>
      <c r="U74" s="29" t="s">
        <v>1327</v>
      </c>
    </row>
    <row r="75" spans="1:23" ht="45" x14ac:dyDescent="0.25">
      <c r="A75" s="56">
        <v>43131</v>
      </c>
      <c r="B75" s="29" t="s">
        <v>328</v>
      </c>
      <c r="C75" s="29" t="s">
        <v>603</v>
      </c>
      <c r="D75" s="29" t="s">
        <v>8941</v>
      </c>
      <c r="E75" s="29" t="s">
        <v>588</v>
      </c>
      <c r="F75" s="29" t="s">
        <v>10169</v>
      </c>
      <c r="G75" s="29" t="s">
        <v>10169</v>
      </c>
      <c r="H75" s="29" t="s">
        <v>10832</v>
      </c>
      <c r="I75" s="29" t="s">
        <v>10170</v>
      </c>
      <c r="J75" s="29" t="s">
        <v>4557</v>
      </c>
      <c r="L75" s="182">
        <v>5</v>
      </c>
      <c r="M75" s="113">
        <v>2750000</v>
      </c>
      <c r="N75" s="113">
        <v>4125000</v>
      </c>
      <c r="O75" s="189" t="s">
        <v>560</v>
      </c>
      <c r="P75" s="53" t="s">
        <v>10171</v>
      </c>
      <c r="Q75" s="53" t="s">
        <v>1939</v>
      </c>
      <c r="R75" s="53" t="s">
        <v>10172</v>
      </c>
      <c r="U75" s="29" t="s">
        <v>1327</v>
      </c>
    </row>
    <row r="76" spans="1:23" ht="105" x14ac:dyDescent="0.25">
      <c r="A76" s="56">
        <v>43131</v>
      </c>
      <c r="B76" s="29" t="s">
        <v>328</v>
      </c>
      <c r="C76" s="29" t="s">
        <v>603</v>
      </c>
      <c r="D76" s="29" t="s">
        <v>5701</v>
      </c>
      <c r="E76" s="29" t="s">
        <v>588</v>
      </c>
      <c r="F76" s="29" t="s">
        <v>10201</v>
      </c>
      <c r="G76" s="29" t="s">
        <v>10173</v>
      </c>
      <c r="H76" s="29" t="s">
        <v>607</v>
      </c>
      <c r="J76" s="29" t="s">
        <v>5610</v>
      </c>
      <c r="L76" s="182">
        <v>10</v>
      </c>
      <c r="M76" s="113">
        <v>400000</v>
      </c>
      <c r="N76" s="113">
        <v>750000</v>
      </c>
      <c r="O76" s="189" t="s">
        <v>7124</v>
      </c>
      <c r="P76" s="53" t="s">
        <v>10189</v>
      </c>
      <c r="Q76" s="53" t="s">
        <v>620</v>
      </c>
      <c r="R76" s="53" t="s">
        <v>10205</v>
      </c>
      <c r="S76" s="53" t="s">
        <v>10206</v>
      </c>
      <c r="U76" s="29" t="s">
        <v>1327</v>
      </c>
    </row>
    <row r="77" spans="1:23" ht="45" x14ac:dyDescent="0.25">
      <c r="A77" s="56">
        <v>43131</v>
      </c>
      <c r="B77" s="29" t="s">
        <v>569</v>
      </c>
      <c r="C77" s="29" t="s">
        <v>899</v>
      </c>
      <c r="D77" s="29" t="s">
        <v>930</v>
      </c>
      <c r="E77" s="29" t="s">
        <v>821</v>
      </c>
      <c r="F77" s="29" t="s">
        <v>10174</v>
      </c>
      <c r="G77" s="29" t="s">
        <v>10175</v>
      </c>
      <c r="H77" s="29" t="s">
        <v>607</v>
      </c>
      <c r="J77" s="29" t="s">
        <v>899</v>
      </c>
      <c r="O77" s="189" t="s">
        <v>10766</v>
      </c>
      <c r="P77" s="53" t="s">
        <v>10176</v>
      </c>
      <c r="Q77" s="53" t="s">
        <v>1939</v>
      </c>
      <c r="R77" s="53" t="s">
        <v>10177</v>
      </c>
      <c r="U77" s="29" t="s">
        <v>491</v>
      </c>
    </row>
    <row r="78" spans="1:23" s="146" customFormat="1" ht="30" x14ac:dyDescent="0.25">
      <c r="A78" s="144">
        <v>43131</v>
      </c>
      <c r="B78" s="146" t="s">
        <v>569</v>
      </c>
      <c r="C78" s="146" t="s">
        <v>899</v>
      </c>
      <c r="D78" s="146" t="s">
        <v>625</v>
      </c>
      <c r="E78" s="146" t="s">
        <v>821</v>
      </c>
      <c r="F78" s="146" t="s">
        <v>10178</v>
      </c>
      <c r="G78" s="146" t="s">
        <v>7757</v>
      </c>
      <c r="H78" s="29" t="s">
        <v>607</v>
      </c>
      <c r="I78" s="146" t="s">
        <v>4057</v>
      </c>
      <c r="J78" s="146" t="s">
        <v>899</v>
      </c>
      <c r="K78" s="217"/>
      <c r="L78" s="183"/>
      <c r="M78" s="187"/>
      <c r="N78" s="187"/>
      <c r="O78" s="189" t="s">
        <v>7564</v>
      </c>
      <c r="P78" s="149" t="s">
        <v>10179</v>
      </c>
      <c r="Q78" s="149" t="s">
        <v>592</v>
      </c>
      <c r="R78" s="149" t="s">
        <v>10190</v>
      </c>
      <c r="S78" s="149"/>
      <c r="U78" s="146" t="s">
        <v>491</v>
      </c>
      <c r="W78" s="149"/>
    </row>
    <row r="79" spans="1:23" ht="60" x14ac:dyDescent="0.25">
      <c r="A79" s="56">
        <v>43132</v>
      </c>
      <c r="B79" s="29" t="s">
        <v>328</v>
      </c>
      <c r="C79" s="29" t="s">
        <v>603</v>
      </c>
      <c r="D79" s="29" t="s">
        <v>649</v>
      </c>
      <c r="E79" s="29" t="s">
        <v>588</v>
      </c>
      <c r="F79" s="29" t="s">
        <v>10214</v>
      </c>
      <c r="G79" s="29" t="s">
        <v>10215</v>
      </c>
      <c r="H79" s="29" t="s">
        <v>10831</v>
      </c>
      <c r="I79" s="29" t="s">
        <v>10216</v>
      </c>
      <c r="J79" s="29" t="s">
        <v>959</v>
      </c>
      <c r="L79" s="182">
        <v>3</v>
      </c>
      <c r="M79" s="113">
        <v>392442</v>
      </c>
      <c r="N79" s="113">
        <v>522442</v>
      </c>
      <c r="O79" s="189" t="s">
        <v>10764</v>
      </c>
      <c r="P79" s="53" t="s">
        <v>10217</v>
      </c>
      <c r="Q79" s="53" t="s">
        <v>1939</v>
      </c>
      <c r="R79" s="53" t="s">
        <v>10218</v>
      </c>
      <c r="U79" s="29" t="s">
        <v>491</v>
      </c>
    </row>
    <row r="80" spans="1:23" ht="45" x14ac:dyDescent="0.25">
      <c r="A80" s="56">
        <v>43132</v>
      </c>
      <c r="B80" s="29" t="s">
        <v>569</v>
      </c>
      <c r="C80" s="29" t="s">
        <v>899</v>
      </c>
      <c r="D80" s="29" t="s">
        <v>624</v>
      </c>
      <c r="E80" s="29" t="s">
        <v>588</v>
      </c>
      <c r="F80" s="29" t="s">
        <v>461</v>
      </c>
      <c r="G80" s="29" t="s">
        <v>7855</v>
      </c>
      <c r="H80" s="29" t="s">
        <v>905</v>
      </c>
      <c r="I80" s="29" t="s">
        <v>10223</v>
      </c>
      <c r="J80" s="29" t="s">
        <v>899</v>
      </c>
      <c r="M80" s="113">
        <v>560000</v>
      </c>
      <c r="O80" s="189" t="s">
        <v>560</v>
      </c>
      <c r="P80" s="53" t="s">
        <v>10224</v>
      </c>
      <c r="Q80" s="53" t="s">
        <v>1939</v>
      </c>
      <c r="R80" s="53" t="s">
        <v>10225</v>
      </c>
      <c r="U80" s="29" t="s">
        <v>491</v>
      </c>
    </row>
    <row r="81" spans="1:23" ht="30" x14ac:dyDescent="0.25">
      <c r="A81" s="56">
        <v>43132</v>
      </c>
      <c r="B81" s="29" t="s">
        <v>5176</v>
      </c>
      <c r="C81" s="29" t="s">
        <v>604</v>
      </c>
      <c r="D81" s="29" t="s">
        <v>595</v>
      </c>
      <c r="E81" s="29" t="s">
        <v>821</v>
      </c>
      <c r="F81" s="29" t="s">
        <v>8966</v>
      </c>
      <c r="H81" s="29" t="s">
        <v>886</v>
      </c>
      <c r="J81" s="29" t="s">
        <v>604</v>
      </c>
      <c r="O81" s="189" t="s">
        <v>2295</v>
      </c>
      <c r="P81" s="53" t="s">
        <v>10226</v>
      </c>
      <c r="Q81" s="53" t="s">
        <v>29</v>
      </c>
      <c r="R81" s="53" t="s">
        <v>10227</v>
      </c>
      <c r="S81" s="53" t="s">
        <v>10228</v>
      </c>
      <c r="U81" s="29" t="s">
        <v>491</v>
      </c>
    </row>
    <row r="82" spans="1:23" ht="45" x14ac:dyDescent="0.25">
      <c r="A82" s="56">
        <v>43132</v>
      </c>
      <c r="B82" s="29" t="s">
        <v>328</v>
      </c>
      <c r="C82" s="29" t="s">
        <v>603</v>
      </c>
      <c r="D82" s="29" t="s">
        <v>2397</v>
      </c>
      <c r="E82" s="29" t="s">
        <v>588</v>
      </c>
      <c r="F82" s="29" t="s">
        <v>10251</v>
      </c>
      <c r="G82" s="29" t="s">
        <v>10252</v>
      </c>
      <c r="H82" s="29" t="s">
        <v>607</v>
      </c>
      <c r="I82" s="29" t="s">
        <v>3388</v>
      </c>
      <c r="J82" s="29" t="s">
        <v>899</v>
      </c>
      <c r="L82" s="182">
        <v>1</v>
      </c>
      <c r="M82" s="113">
        <v>2000000</v>
      </c>
      <c r="N82" s="113">
        <v>3185000</v>
      </c>
      <c r="O82" s="189" t="s">
        <v>560</v>
      </c>
      <c r="P82" s="53" t="s">
        <v>10253</v>
      </c>
      <c r="Q82" s="53" t="s">
        <v>592</v>
      </c>
      <c r="R82" s="53" t="s">
        <v>10437</v>
      </c>
      <c r="U82" s="29" t="s">
        <v>1327</v>
      </c>
    </row>
    <row r="83" spans="1:23" ht="30" x14ac:dyDescent="0.25">
      <c r="A83" s="56">
        <v>43132</v>
      </c>
      <c r="B83" s="29" t="s">
        <v>5360</v>
      </c>
      <c r="C83" s="29" t="s">
        <v>899</v>
      </c>
      <c r="D83" s="29" t="s">
        <v>1027</v>
      </c>
      <c r="E83" s="29" t="s">
        <v>588</v>
      </c>
      <c r="F83" s="29" t="s">
        <v>10254</v>
      </c>
      <c r="G83" s="29" t="s">
        <v>10255</v>
      </c>
      <c r="H83" s="29" t="s">
        <v>607</v>
      </c>
      <c r="I83" s="29" t="s">
        <v>3710</v>
      </c>
      <c r="J83" s="29" t="s">
        <v>899</v>
      </c>
      <c r="L83" s="182">
        <v>9</v>
      </c>
      <c r="M83" s="113">
        <v>250000</v>
      </c>
      <c r="N83" s="113">
        <v>450000</v>
      </c>
      <c r="O83" s="189" t="s">
        <v>10766</v>
      </c>
      <c r="P83" s="53" t="s">
        <v>10256</v>
      </c>
      <c r="Q83" s="53" t="s">
        <v>620</v>
      </c>
      <c r="R83" s="53" t="s">
        <v>10257</v>
      </c>
      <c r="U83" s="29" t="s">
        <v>1327</v>
      </c>
    </row>
    <row r="84" spans="1:23" ht="75" x14ac:dyDescent="0.25">
      <c r="A84" s="56">
        <v>43132</v>
      </c>
      <c r="B84" s="29" t="s">
        <v>328</v>
      </c>
      <c r="C84" s="29" t="s">
        <v>899</v>
      </c>
      <c r="D84" s="29" t="s">
        <v>649</v>
      </c>
      <c r="E84" s="29" t="s">
        <v>588</v>
      </c>
      <c r="F84" s="29" t="s">
        <v>10201</v>
      </c>
      <c r="G84" s="29" t="s">
        <v>10173</v>
      </c>
      <c r="H84" s="29" t="s">
        <v>607</v>
      </c>
      <c r="I84" s="29" t="s">
        <v>10259</v>
      </c>
      <c r="J84" s="29" t="s">
        <v>5610</v>
      </c>
      <c r="L84" s="182">
        <v>10</v>
      </c>
      <c r="M84" s="113">
        <v>400000</v>
      </c>
      <c r="N84" s="113">
        <v>750000</v>
      </c>
      <c r="O84" s="189" t="s">
        <v>7124</v>
      </c>
      <c r="P84" s="53" t="s">
        <v>10438</v>
      </c>
      <c r="Q84" s="53" t="s">
        <v>1939</v>
      </c>
      <c r="R84" s="53" t="s">
        <v>10258</v>
      </c>
      <c r="U84" s="29" t="s">
        <v>1327</v>
      </c>
    </row>
    <row r="85" spans="1:23" ht="75" x14ac:dyDescent="0.25">
      <c r="A85" s="56">
        <v>43132</v>
      </c>
      <c r="B85" s="29" t="s">
        <v>9240</v>
      </c>
      <c r="C85" s="29" t="s">
        <v>603</v>
      </c>
      <c r="D85" s="29" t="s">
        <v>9241</v>
      </c>
      <c r="E85" s="29" t="s">
        <v>588</v>
      </c>
      <c r="F85" s="29" t="s">
        <v>289</v>
      </c>
      <c r="G85" s="29" t="s">
        <v>10260</v>
      </c>
      <c r="H85" s="29" t="s">
        <v>607</v>
      </c>
      <c r="I85" s="29" t="s">
        <v>10261</v>
      </c>
      <c r="J85" s="29" t="s">
        <v>4031</v>
      </c>
      <c r="L85" s="182">
        <v>10</v>
      </c>
      <c r="M85" s="113">
        <v>1587000</v>
      </c>
      <c r="N85" s="113">
        <v>3332700</v>
      </c>
      <c r="O85" s="189" t="s">
        <v>560</v>
      </c>
      <c r="P85" s="53" t="s">
        <v>10262</v>
      </c>
      <c r="Q85" s="53" t="s">
        <v>620</v>
      </c>
      <c r="R85" s="53" t="s">
        <v>10263</v>
      </c>
      <c r="U85" s="29" t="s">
        <v>1327</v>
      </c>
    </row>
    <row r="86" spans="1:23" ht="75" x14ac:dyDescent="0.25">
      <c r="A86" s="56">
        <v>43133</v>
      </c>
      <c r="B86" s="29" t="s">
        <v>569</v>
      </c>
      <c r="C86" s="29" t="s">
        <v>899</v>
      </c>
      <c r="D86" s="29" t="s">
        <v>930</v>
      </c>
      <c r="E86" s="29" t="s">
        <v>1707</v>
      </c>
      <c r="F86" s="29" t="s">
        <v>10229</v>
      </c>
      <c r="G86" s="29" t="s">
        <v>8515</v>
      </c>
      <c r="H86" s="29" t="s">
        <v>809</v>
      </c>
      <c r="I86" s="29" t="s">
        <v>6889</v>
      </c>
      <c r="J86" s="29" t="s">
        <v>899</v>
      </c>
      <c r="M86" s="113">
        <v>1844000</v>
      </c>
      <c r="N86" s="113">
        <v>2000000</v>
      </c>
      <c r="O86" s="189" t="s">
        <v>6745</v>
      </c>
      <c r="P86" s="53" t="s">
        <v>10230</v>
      </c>
      <c r="Q86" s="53" t="s">
        <v>1939</v>
      </c>
      <c r="R86" s="53" t="s">
        <v>10231</v>
      </c>
      <c r="U86" s="29" t="s">
        <v>491</v>
      </c>
      <c r="V86" s="146" t="s">
        <v>3985</v>
      </c>
      <c r="W86" s="53" t="s">
        <v>10232</v>
      </c>
    </row>
    <row r="87" spans="1:23" ht="60" x14ac:dyDescent="0.25">
      <c r="A87" s="56">
        <v>43133</v>
      </c>
      <c r="B87" s="29" t="s">
        <v>5956</v>
      </c>
      <c r="C87" s="29" t="s">
        <v>3369</v>
      </c>
      <c r="D87" s="29" t="s">
        <v>1016</v>
      </c>
      <c r="E87" s="29" t="s">
        <v>588</v>
      </c>
      <c r="F87" s="29" t="s">
        <v>8966</v>
      </c>
      <c r="H87" s="29" t="s">
        <v>607</v>
      </c>
      <c r="O87" s="189" t="s">
        <v>4533</v>
      </c>
      <c r="P87" s="53" t="s">
        <v>10233</v>
      </c>
      <c r="Q87" s="53" t="s">
        <v>620</v>
      </c>
      <c r="R87" s="53" t="s">
        <v>10234</v>
      </c>
      <c r="U87" s="29" t="s">
        <v>491</v>
      </c>
    </row>
    <row r="88" spans="1:23" ht="60" x14ac:dyDescent="0.25">
      <c r="A88" s="56">
        <v>43133</v>
      </c>
      <c r="B88" s="29" t="s">
        <v>328</v>
      </c>
      <c r="C88" s="29" t="s">
        <v>603</v>
      </c>
      <c r="D88" s="29" t="s">
        <v>5701</v>
      </c>
      <c r="E88" s="29" t="s">
        <v>588</v>
      </c>
      <c r="F88" s="29" t="s">
        <v>10264</v>
      </c>
      <c r="G88" s="29" t="s">
        <v>10264</v>
      </c>
      <c r="H88" s="29" t="s">
        <v>905</v>
      </c>
      <c r="I88" s="29" t="s">
        <v>3929</v>
      </c>
      <c r="J88" s="29" t="s">
        <v>899</v>
      </c>
      <c r="L88" s="182">
        <v>1</v>
      </c>
      <c r="M88" s="113">
        <v>3500000</v>
      </c>
      <c r="N88" s="113">
        <v>3850000</v>
      </c>
      <c r="O88" s="189" t="s">
        <v>560</v>
      </c>
      <c r="P88" s="53" t="s">
        <v>10265</v>
      </c>
      <c r="Q88" s="53" t="s">
        <v>592</v>
      </c>
      <c r="R88" s="53" t="s">
        <v>10266</v>
      </c>
      <c r="U88" s="29" t="s">
        <v>1327</v>
      </c>
    </row>
    <row r="89" spans="1:23" ht="90" x14ac:dyDescent="0.25">
      <c r="A89" s="56">
        <v>43133</v>
      </c>
      <c r="B89" s="29" t="s">
        <v>5176</v>
      </c>
      <c r="C89" s="29" t="s">
        <v>604</v>
      </c>
      <c r="D89" s="29" t="s">
        <v>595</v>
      </c>
      <c r="E89" s="29" t="s">
        <v>588</v>
      </c>
      <c r="F89" s="29" t="s">
        <v>10267</v>
      </c>
      <c r="G89" s="29" t="s">
        <v>10268</v>
      </c>
      <c r="H89" s="29" t="s">
        <v>607</v>
      </c>
      <c r="I89" s="29" t="s">
        <v>10269</v>
      </c>
      <c r="J89" s="29" t="s">
        <v>604</v>
      </c>
      <c r="M89" s="113">
        <v>463139</v>
      </c>
      <c r="N89" s="113">
        <v>972592</v>
      </c>
      <c r="O89" s="189" t="s">
        <v>10765</v>
      </c>
      <c r="P89" s="53" t="s">
        <v>10270</v>
      </c>
      <c r="Q89" s="53" t="s">
        <v>592</v>
      </c>
      <c r="R89" s="53" t="s">
        <v>10322</v>
      </c>
      <c r="U89" s="29" t="s">
        <v>1327</v>
      </c>
    </row>
    <row r="90" spans="1:23" ht="45" x14ac:dyDescent="0.25">
      <c r="A90" s="56">
        <v>43136</v>
      </c>
      <c r="B90" s="29" t="s">
        <v>569</v>
      </c>
      <c r="C90" s="29" t="s">
        <v>899</v>
      </c>
      <c r="D90" s="29" t="s">
        <v>625</v>
      </c>
      <c r="E90" s="29" t="s">
        <v>588</v>
      </c>
      <c r="F90" s="29" t="s">
        <v>10235</v>
      </c>
      <c r="G90" s="29" t="s">
        <v>10236</v>
      </c>
      <c r="H90" s="29" t="s">
        <v>10832</v>
      </c>
      <c r="I90" s="29" t="s">
        <v>3382</v>
      </c>
      <c r="J90" s="29" t="s">
        <v>899</v>
      </c>
      <c r="O90" s="189" t="s">
        <v>10762</v>
      </c>
      <c r="P90" s="53" t="s">
        <v>10237</v>
      </c>
      <c r="Q90" s="53" t="s">
        <v>1939</v>
      </c>
      <c r="R90" s="53" t="s">
        <v>10238</v>
      </c>
      <c r="U90" s="29" t="s">
        <v>491</v>
      </c>
    </row>
    <row r="91" spans="1:23" ht="120" x14ac:dyDescent="0.25">
      <c r="A91" s="56">
        <v>43136</v>
      </c>
      <c r="B91" s="29" t="s">
        <v>643</v>
      </c>
      <c r="C91" s="29" t="s">
        <v>644</v>
      </c>
      <c r="D91" s="29" t="s">
        <v>645</v>
      </c>
      <c r="E91" s="29" t="s">
        <v>588</v>
      </c>
      <c r="F91" s="29" t="s">
        <v>10239</v>
      </c>
      <c r="G91" s="29" t="s">
        <v>9154</v>
      </c>
      <c r="H91" s="29" t="s">
        <v>905</v>
      </c>
      <c r="I91" s="29" t="s">
        <v>5124</v>
      </c>
      <c r="J91" s="29" t="s">
        <v>644</v>
      </c>
      <c r="L91" s="182">
        <v>3</v>
      </c>
      <c r="N91" s="113">
        <v>14125000</v>
      </c>
      <c r="O91" s="189" t="s">
        <v>560</v>
      </c>
      <c r="P91" s="53" t="s">
        <v>10240</v>
      </c>
      <c r="Q91" s="53" t="s">
        <v>620</v>
      </c>
      <c r="R91" s="53" t="s">
        <v>10325</v>
      </c>
      <c r="U91" s="29" t="s">
        <v>491</v>
      </c>
    </row>
    <row r="92" spans="1:23" ht="60" x14ac:dyDescent="0.25">
      <c r="A92" s="56">
        <v>43136</v>
      </c>
      <c r="B92" s="29" t="s">
        <v>328</v>
      </c>
      <c r="C92" s="29" t="s">
        <v>603</v>
      </c>
      <c r="D92" s="29" t="s">
        <v>5701</v>
      </c>
      <c r="E92" s="29" t="s">
        <v>588</v>
      </c>
      <c r="F92" s="29" t="s">
        <v>10271</v>
      </c>
      <c r="G92" s="29" t="s">
        <v>10272</v>
      </c>
      <c r="H92" s="29" t="s">
        <v>10831</v>
      </c>
      <c r="I92" s="29" t="s">
        <v>10273</v>
      </c>
      <c r="J92" s="29" t="s">
        <v>899</v>
      </c>
      <c r="L92" s="182">
        <v>5</v>
      </c>
      <c r="M92" s="113">
        <v>375000</v>
      </c>
      <c r="N92" s="113">
        <v>492500</v>
      </c>
      <c r="O92" s="189" t="s">
        <v>49</v>
      </c>
      <c r="P92" s="53" t="s">
        <v>10275</v>
      </c>
      <c r="Q92" s="53" t="s">
        <v>1939</v>
      </c>
      <c r="R92" s="53" t="s">
        <v>10274</v>
      </c>
      <c r="U92" s="29" t="s">
        <v>1327</v>
      </c>
    </row>
    <row r="93" spans="1:23" ht="60" x14ac:dyDescent="0.25">
      <c r="A93" s="56">
        <v>43136</v>
      </c>
      <c r="B93" s="29" t="s">
        <v>328</v>
      </c>
      <c r="C93" s="29" t="s">
        <v>603</v>
      </c>
      <c r="D93" s="29" t="s">
        <v>757</v>
      </c>
      <c r="E93" s="29" t="s">
        <v>588</v>
      </c>
      <c r="F93" s="29" t="s">
        <v>10276</v>
      </c>
      <c r="G93" s="29" t="s">
        <v>10277</v>
      </c>
      <c r="H93" s="29" t="s">
        <v>1050</v>
      </c>
      <c r="I93" s="29" t="s">
        <v>4754</v>
      </c>
      <c r="J93" s="29" t="s">
        <v>899</v>
      </c>
      <c r="L93" s="182">
        <v>4</v>
      </c>
      <c r="M93" s="113">
        <v>1500000</v>
      </c>
      <c r="N93" s="126">
        <v>1550000</v>
      </c>
      <c r="O93" s="189" t="s">
        <v>49</v>
      </c>
      <c r="P93" s="53" t="s">
        <v>10279</v>
      </c>
      <c r="Q93" s="53" t="s">
        <v>1939</v>
      </c>
      <c r="R93" s="53" t="s">
        <v>10278</v>
      </c>
      <c r="U93" s="29" t="s">
        <v>1327</v>
      </c>
    </row>
    <row r="94" spans="1:23" ht="45" x14ac:dyDescent="0.25">
      <c r="A94" s="56">
        <v>43137</v>
      </c>
      <c r="B94" s="29" t="s">
        <v>9240</v>
      </c>
      <c r="C94" s="29" t="s">
        <v>603</v>
      </c>
      <c r="D94" s="29" t="s">
        <v>9241</v>
      </c>
      <c r="E94" s="29" t="s">
        <v>588</v>
      </c>
      <c r="F94" s="29" t="s">
        <v>10245</v>
      </c>
      <c r="G94" s="29" t="s">
        <v>9037</v>
      </c>
      <c r="H94" s="29" t="s">
        <v>607</v>
      </c>
      <c r="I94" s="29" t="s">
        <v>5691</v>
      </c>
      <c r="J94" s="29" t="s">
        <v>3751</v>
      </c>
      <c r="M94" s="113">
        <v>1570000</v>
      </c>
      <c r="N94" s="113">
        <v>3000000</v>
      </c>
      <c r="O94" s="189" t="s">
        <v>560</v>
      </c>
      <c r="P94" s="53" t="s">
        <v>10246</v>
      </c>
      <c r="Q94" s="53" t="s">
        <v>1939</v>
      </c>
      <c r="R94" s="53" t="s">
        <v>10247</v>
      </c>
      <c r="U94" s="29" t="s">
        <v>491</v>
      </c>
    </row>
    <row r="95" spans="1:23" ht="45" x14ac:dyDescent="0.25">
      <c r="A95" s="56">
        <v>43137</v>
      </c>
      <c r="B95" s="29" t="s">
        <v>328</v>
      </c>
      <c r="C95" s="29" t="s">
        <v>603</v>
      </c>
      <c r="D95" s="29" t="s">
        <v>649</v>
      </c>
      <c r="E95" s="29" t="s">
        <v>588</v>
      </c>
      <c r="F95" s="29" t="s">
        <v>10241</v>
      </c>
      <c r="G95" s="29" t="s">
        <v>10242</v>
      </c>
      <c r="H95" s="29" t="s">
        <v>607</v>
      </c>
      <c r="I95" s="29" t="s">
        <v>10243</v>
      </c>
      <c r="J95" s="29" t="s">
        <v>3751</v>
      </c>
      <c r="L95" s="182">
        <v>4</v>
      </c>
      <c r="M95" s="113">
        <v>75000</v>
      </c>
      <c r="N95" s="113">
        <v>125000</v>
      </c>
      <c r="O95" s="189" t="s">
        <v>4533</v>
      </c>
      <c r="P95" s="53" t="s">
        <v>10244</v>
      </c>
      <c r="Q95" s="53" t="s">
        <v>1939</v>
      </c>
      <c r="R95" s="53" t="s">
        <v>10439</v>
      </c>
      <c r="U95" s="29" t="s">
        <v>491</v>
      </c>
    </row>
    <row r="96" spans="1:23" ht="90" x14ac:dyDescent="0.25">
      <c r="A96" s="56">
        <v>43137</v>
      </c>
      <c r="B96" s="29" t="s">
        <v>328</v>
      </c>
      <c r="C96" s="29" t="s">
        <v>603</v>
      </c>
      <c r="D96" s="29" t="s">
        <v>8941</v>
      </c>
      <c r="E96" s="29" t="s">
        <v>10290</v>
      </c>
      <c r="F96" s="29" t="s">
        <v>10291</v>
      </c>
      <c r="G96" s="29" t="s">
        <v>10292</v>
      </c>
      <c r="H96" s="29" t="s">
        <v>2510</v>
      </c>
      <c r="I96" s="29" t="s">
        <v>10293</v>
      </c>
      <c r="J96" s="29" t="s">
        <v>5562</v>
      </c>
      <c r="L96" s="182">
        <v>3</v>
      </c>
      <c r="M96" s="113">
        <v>40400</v>
      </c>
      <c r="N96" s="113">
        <v>75600</v>
      </c>
      <c r="O96" s="189" t="s">
        <v>4533</v>
      </c>
      <c r="P96" s="53" t="s">
        <v>10294</v>
      </c>
      <c r="Q96" s="53" t="s">
        <v>1939</v>
      </c>
      <c r="R96" s="53" t="s">
        <v>10295</v>
      </c>
      <c r="U96" s="29" t="s">
        <v>1327</v>
      </c>
    </row>
    <row r="97" spans="1:21" ht="45" x14ac:dyDescent="0.25">
      <c r="A97" s="56">
        <v>43137</v>
      </c>
      <c r="B97" s="29" t="s">
        <v>328</v>
      </c>
      <c r="C97" s="29" t="s">
        <v>603</v>
      </c>
      <c r="D97" s="29" t="s">
        <v>2397</v>
      </c>
      <c r="E97" s="29" t="s">
        <v>588</v>
      </c>
      <c r="F97" s="29" t="s">
        <v>10296</v>
      </c>
      <c r="G97" s="29" t="s">
        <v>9173</v>
      </c>
      <c r="H97" s="29" t="s">
        <v>809</v>
      </c>
      <c r="J97" s="29" t="s">
        <v>3612</v>
      </c>
      <c r="L97" s="182">
        <v>2</v>
      </c>
      <c r="M97" s="113">
        <v>4541000</v>
      </c>
      <c r="N97" s="113">
        <v>4811000</v>
      </c>
      <c r="O97" s="189" t="s">
        <v>560</v>
      </c>
      <c r="P97" s="53" t="s">
        <v>10297</v>
      </c>
      <c r="Q97" s="53" t="s">
        <v>592</v>
      </c>
      <c r="R97" s="53" t="s">
        <v>10154</v>
      </c>
      <c r="U97" s="29" t="s">
        <v>1327</v>
      </c>
    </row>
    <row r="98" spans="1:21" ht="90" x14ac:dyDescent="0.25">
      <c r="A98" s="56">
        <v>43137</v>
      </c>
      <c r="B98" s="29" t="s">
        <v>328</v>
      </c>
      <c r="C98" s="29" t="s">
        <v>603</v>
      </c>
      <c r="D98" s="29" t="s">
        <v>672</v>
      </c>
      <c r="E98" s="29" t="s">
        <v>588</v>
      </c>
      <c r="F98" s="29" t="s">
        <v>10298</v>
      </c>
      <c r="G98" s="29" t="s">
        <v>7757</v>
      </c>
      <c r="H98" s="29" t="s">
        <v>905</v>
      </c>
      <c r="J98" s="29" t="s">
        <v>644</v>
      </c>
      <c r="L98" s="182">
        <v>9</v>
      </c>
      <c r="M98" s="113">
        <v>233467</v>
      </c>
      <c r="N98" s="113">
        <v>253467</v>
      </c>
      <c r="O98" s="189" t="s">
        <v>7124</v>
      </c>
      <c r="P98" s="53" t="s">
        <v>10299</v>
      </c>
      <c r="Q98" s="53" t="s">
        <v>29</v>
      </c>
      <c r="R98" s="53" t="s">
        <v>10733</v>
      </c>
      <c r="U98" s="29" t="s">
        <v>1327</v>
      </c>
    </row>
    <row r="99" spans="1:21" ht="45" x14ac:dyDescent="0.25">
      <c r="A99" s="56">
        <v>43138</v>
      </c>
      <c r="B99" s="29" t="s">
        <v>328</v>
      </c>
      <c r="C99" s="29" t="s">
        <v>603</v>
      </c>
      <c r="D99" s="29" t="s">
        <v>649</v>
      </c>
      <c r="E99" s="29" t="s">
        <v>588</v>
      </c>
      <c r="F99" s="29" t="s">
        <v>10248</v>
      </c>
      <c r="G99" s="29" t="s">
        <v>7814</v>
      </c>
      <c r="H99" s="29" t="s">
        <v>10832</v>
      </c>
      <c r="I99" s="29" t="s">
        <v>5183</v>
      </c>
      <c r="J99" s="29" t="s">
        <v>3612</v>
      </c>
      <c r="M99" s="113">
        <v>738000</v>
      </c>
      <c r="N99" s="113">
        <v>748000</v>
      </c>
      <c r="O99" s="189" t="s">
        <v>4533</v>
      </c>
      <c r="P99" s="53" t="s">
        <v>10249</v>
      </c>
      <c r="Q99" s="53" t="s">
        <v>620</v>
      </c>
      <c r="R99" s="53" t="s">
        <v>10250</v>
      </c>
      <c r="U99" s="29" t="s">
        <v>491</v>
      </c>
    </row>
    <row r="100" spans="1:21" ht="60" x14ac:dyDescent="0.25">
      <c r="A100" s="56">
        <v>43138</v>
      </c>
      <c r="B100" s="29" t="s">
        <v>569</v>
      </c>
      <c r="C100" s="29" t="s">
        <v>899</v>
      </c>
      <c r="D100" s="29" t="s">
        <v>625</v>
      </c>
      <c r="E100" s="29" t="s">
        <v>588</v>
      </c>
      <c r="F100" s="29" t="s">
        <v>10300</v>
      </c>
      <c r="G100" s="29" t="s">
        <v>10091</v>
      </c>
      <c r="H100" s="29" t="s">
        <v>607</v>
      </c>
      <c r="I100" s="29" t="s">
        <v>10301</v>
      </c>
      <c r="J100" s="29" t="s">
        <v>899</v>
      </c>
      <c r="L100" s="182">
        <v>1</v>
      </c>
      <c r="M100" s="113">
        <v>1210000</v>
      </c>
      <c r="N100" s="113">
        <v>1951000</v>
      </c>
      <c r="O100" s="189" t="s">
        <v>10766</v>
      </c>
      <c r="P100" s="53" t="s">
        <v>10302</v>
      </c>
      <c r="Q100" s="53" t="s">
        <v>1939</v>
      </c>
      <c r="R100" s="53" t="s">
        <v>10303</v>
      </c>
      <c r="U100" s="29" t="s">
        <v>1327</v>
      </c>
    </row>
    <row r="101" spans="1:21" ht="75" x14ac:dyDescent="0.25">
      <c r="A101" s="56">
        <v>43138</v>
      </c>
      <c r="B101" s="29" t="s">
        <v>328</v>
      </c>
      <c r="C101" s="29" t="s">
        <v>603</v>
      </c>
      <c r="D101" s="29" t="s">
        <v>5701</v>
      </c>
      <c r="E101" s="29" t="s">
        <v>588</v>
      </c>
      <c r="F101" s="29" t="s">
        <v>10304</v>
      </c>
      <c r="G101" s="29" t="s">
        <v>10305</v>
      </c>
      <c r="H101" s="29" t="s">
        <v>607</v>
      </c>
      <c r="J101" s="29" t="s">
        <v>3370</v>
      </c>
      <c r="L101" s="182">
        <v>4</v>
      </c>
      <c r="M101" s="113">
        <v>427500</v>
      </c>
      <c r="N101" s="113">
        <v>237500</v>
      </c>
      <c r="O101" s="189" t="s">
        <v>4533</v>
      </c>
      <c r="P101" s="53" t="s">
        <v>10306</v>
      </c>
      <c r="Q101" s="53" t="s">
        <v>1939</v>
      </c>
      <c r="R101" s="53" t="s">
        <v>10307</v>
      </c>
      <c r="U101" s="29" t="s">
        <v>1327</v>
      </c>
    </row>
    <row r="102" spans="1:21" ht="30" x14ac:dyDescent="0.25">
      <c r="A102" s="56">
        <v>43139</v>
      </c>
      <c r="B102" s="29" t="s">
        <v>5360</v>
      </c>
      <c r="C102" s="29" t="s">
        <v>899</v>
      </c>
      <c r="D102" s="29" t="s">
        <v>732</v>
      </c>
      <c r="E102" s="29" t="s">
        <v>588</v>
      </c>
      <c r="F102" s="29" t="s">
        <v>7831</v>
      </c>
      <c r="G102" s="29" t="s">
        <v>10308</v>
      </c>
      <c r="H102" s="29" t="s">
        <v>607</v>
      </c>
      <c r="I102" s="29" t="s">
        <v>4042</v>
      </c>
      <c r="J102" s="29" t="s">
        <v>899</v>
      </c>
      <c r="L102" s="182">
        <v>10</v>
      </c>
      <c r="M102" s="113">
        <v>1309000</v>
      </c>
      <c r="N102" s="113">
        <v>2028950</v>
      </c>
      <c r="O102" s="189" t="s">
        <v>560</v>
      </c>
      <c r="P102" s="53" t="s">
        <v>10309</v>
      </c>
      <c r="Q102" s="53" t="s">
        <v>1939</v>
      </c>
      <c r="R102" s="53" t="s">
        <v>10310</v>
      </c>
      <c r="U102" s="29" t="s">
        <v>1327</v>
      </c>
    </row>
    <row r="103" spans="1:21" ht="105" x14ac:dyDescent="0.25">
      <c r="A103" s="56">
        <v>43139</v>
      </c>
      <c r="B103" s="29" t="s">
        <v>328</v>
      </c>
      <c r="C103" s="29" t="s">
        <v>603</v>
      </c>
      <c r="D103" s="29" t="s">
        <v>757</v>
      </c>
      <c r="E103" s="29" t="s">
        <v>588</v>
      </c>
      <c r="F103" s="29" t="s">
        <v>10311</v>
      </c>
      <c r="G103" s="29" t="s">
        <v>10312</v>
      </c>
      <c r="H103" s="29" t="s">
        <v>809</v>
      </c>
      <c r="J103" s="29" t="s">
        <v>644</v>
      </c>
      <c r="M103" s="113">
        <v>1600000</v>
      </c>
      <c r="N103" s="113">
        <v>1600000</v>
      </c>
      <c r="O103" s="189" t="s">
        <v>10762</v>
      </c>
      <c r="P103" s="53" t="s">
        <v>10313</v>
      </c>
      <c r="Q103" s="53" t="s">
        <v>29</v>
      </c>
      <c r="R103" s="53" t="s">
        <v>10314</v>
      </c>
      <c r="U103" s="29" t="s">
        <v>1327</v>
      </c>
    </row>
    <row r="104" spans="1:21" ht="75" x14ac:dyDescent="0.25">
      <c r="A104" s="56">
        <v>43140</v>
      </c>
      <c r="B104" s="29" t="s">
        <v>328</v>
      </c>
      <c r="C104" s="29" t="s">
        <v>603</v>
      </c>
      <c r="D104" s="29" t="s">
        <v>649</v>
      </c>
      <c r="E104" s="29" t="s">
        <v>588</v>
      </c>
      <c r="F104" s="29" t="s">
        <v>10280</v>
      </c>
      <c r="G104" s="29" t="s">
        <v>10281</v>
      </c>
      <c r="H104" s="29" t="s">
        <v>905</v>
      </c>
      <c r="I104" s="29" t="s">
        <v>10282</v>
      </c>
      <c r="J104" s="29" t="s">
        <v>899</v>
      </c>
      <c r="L104" s="182">
        <v>5</v>
      </c>
      <c r="M104" s="113">
        <v>266000</v>
      </c>
      <c r="N104" s="113">
        <v>426000</v>
      </c>
      <c r="O104" s="189" t="s">
        <v>10764</v>
      </c>
      <c r="P104" s="53" t="s">
        <v>10283</v>
      </c>
      <c r="Q104" s="53" t="s">
        <v>620</v>
      </c>
      <c r="R104" s="53" t="s">
        <v>10284</v>
      </c>
      <c r="U104" s="29" t="s">
        <v>491</v>
      </c>
    </row>
    <row r="105" spans="1:21" ht="90" x14ac:dyDescent="0.25">
      <c r="A105" s="56">
        <v>43140</v>
      </c>
      <c r="B105" s="29" t="s">
        <v>9240</v>
      </c>
      <c r="C105" s="29" t="s">
        <v>603</v>
      </c>
      <c r="D105" s="29" t="s">
        <v>9241</v>
      </c>
      <c r="E105" s="29" t="s">
        <v>588</v>
      </c>
      <c r="F105" s="29" t="s">
        <v>10285</v>
      </c>
      <c r="G105" s="29" t="s">
        <v>8044</v>
      </c>
      <c r="H105" s="29" t="s">
        <v>10830</v>
      </c>
      <c r="I105" s="29" t="s">
        <v>266</v>
      </c>
      <c r="J105" s="29" t="s">
        <v>5402</v>
      </c>
      <c r="L105" s="182">
        <v>5</v>
      </c>
      <c r="M105" s="113">
        <v>545000</v>
      </c>
      <c r="N105" s="113">
        <v>1000000</v>
      </c>
      <c r="O105" s="189" t="s">
        <v>10766</v>
      </c>
      <c r="P105" s="53" t="s">
        <v>10286</v>
      </c>
      <c r="Q105" s="53" t="s">
        <v>1939</v>
      </c>
      <c r="R105" s="53" t="s">
        <v>10287</v>
      </c>
      <c r="U105" s="29" t="s">
        <v>491</v>
      </c>
    </row>
    <row r="106" spans="1:21" ht="105" x14ac:dyDescent="0.25">
      <c r="A106" s="56">
        <v>43140</v>
      </c>
      <c r="B106" s="29" t="s">
        <v>5360</v>
      </c>
      <c r="C106" s="29" t="s">
        <v>899</v>
      </c>
      <c r="D106" s="29" t="s">
        <v>732</v>
      </c>
      <c r="E106" s="29" t="s">
        <v>588</v>
      </c>
      <c r="F106" s="29" t="s">
        <v>10288</v>
      </c>
      <c r="G106" s="29" t="s">
        <v>649</v>
      </c>
      <c r="H106" s="29" t="s">
        <v>607</v>
      </c>
      <c r="I106" s="29" t="s">
        <v>10289</v>
      </c>
      <c r="J106" s="29" t="s">
        <v>899</v>
      </c>
      <c r="L106" s="182">
        <v>43229</v>
      </c>
      <c r="M106" s="113">
        <v>1800000</v>
      </c>
      <c r="N106" s="113">
        <v>2260000</v>
      </c>
      <c r="O106" s="189" t="s">
        <v>10766</v>
      </c>
      <c r="P106" s="53" t="s">
        <v>10440</v>
      </c>
      <c r="Q106" s="53" t="s">
        <v>620</v>
      </c>
      <c r="R106" s="53" t="s">
        <v>10323</v>
      </c>
      <c r="S106" s="53" t="s">
        <v>10324</v>
      </c>
      <c r="U106" s="29" t="s">
        <v>491</v>
      </c>
    </row>
    <row r="107" spans="1:21" ht="30" x14ac:dyDescent="0.25">
      <c r="A107" s="56">
        <v>43140</v>
      </c>
      <c r="B107" s="29" t="s">
        <v>328</v>
      </c>
      <c r="C107" s="29" t="s">
        <v>603</v>
      </c>
      <c r="D107" s="29" t="s">
        <v>2204</v>
      </c>
      <c r="E107" s="29" t="s">
        <v>588</v>
      </c>
      <c r="F107" s="29" t="s">
        <v>8040</v>
      </c>
      <c r="G107" s="29" t="s">
        <v>7814</v>
      </c>
      <c r="H107" s="29" t="s">
        <v>607</v>
      </c>
      <c r="J107" s="29" t="s">
        <v>899</v>
      </c>
      <c r="L107" s="182">
        <v>4</v>
      </c>
      <c r="M107" s="113">
        <v>1950000</v>
      </c>
      <c r="N107" s="113">
        <v>3705000</v>
      </c>
      <c r="O107" s="189" t="s">
        <v>560</v>
      </c>
      <c r="P107" s="53" t="s">
        <v>10315</v>
      </c>
      <c r="Q107" s="53" t="s">
        <v>592</v>
      </c>
      <c r="R107" s="53" t="s">
        <v>10316</v>
      </c>
      <c r="U107" s="29" t="s">
        <v>1327</v>
      </c>
    </row>
    <row r="108" spans="1:21" ht="90" x14ac:dyDescent="0.25">
      <c r="A108" s="56">
        <v>43140</v>
      </c>
      <c r="B108" s="29" t="s">
        <v>328</v>
      </c>
      <c r="C108" s="29" t="s">
        <v>603</v>
      </c>
      <c r="D108" s="29" t="s">
        <v>8941</v>
      </c>
      <c r="E108" s="29" t="s">
        <v>588</v>
      </c>
      <c r="F108" s="29" t="s">
        <v>10317</v>
      </c>
      <c r="G108" s="29" t="s">
        <v>10318</v>
      </c>
      <c r="H108" s="29" t="s">
        <v>905</v>
      </c>
      <c r="I108" s="29" t="s">
        <v>10319</v>
      </c>
      <c r="J108" s="29" t="s">
        <v>899</v>
      </c>
      <c r="L108" s="182">
        <v>3</v>
      </c>
      <c r="M108" s="113">
        <v>273700</v>
      </c>
      <c r="N108" s="113">
        <v>301070</v>
      </c>
      <c r="O108" s="189" t="s">
        <v>4533</v>
      </c>
      <c r="P108" s="53" t="s">
        <v>10320</v>
      </c>
      <c r="Q108" s="53" t="s">
        <v>1939</v>
      </c>
      <c r="R108" s="53" t="s">
        <v>10321</v>
      </c>
      <c r="U108" s="29" t="s">
        <v>1327</v>
      </c>
    </row>
    <row r="109" spans="1:21" ht="30" x14ac:dyDescent="0.25">
      <c r="A109" s="56">
        <v>43143</v>
      </c>
      <c r="B109" s="29" t="s">
        <v>5992</v>
      </c>
      <c r="C109" s="29" t="s">
        <v>608</v>
      </c>
      <c r="D109" s="29" t="s">
        <v>7858</v>
      </c>
      <c r="E109" s="29" t="s">
        <v>588</v>
      </c>
      <c r="F109" s="29" t="s">
        <v>10326</v>
      </c>
      <c r="G109" s="29" t="s">
        <v>10327</v>
      </c>
      <c r="H109" s="29" t="s">
        <v>5321</v>
      </c>
      <c r="I109" s="29" t="s">
        <v>5630</v>
      </c>
      <c r="J109" s="29" t="s">
        <v>608</v>
      </c>
      <c r="M109" s="113">
        <v>288000</v>
      </c>
      <c r="N109" s="113">
        <v>438000</v>
      </c>
      <c r="O109" s="189" t="s">
        <v>10762</v>
      </c>
      <c r="P109" s="53" t="s">
        <v>10328</v>
      </c>
      <c r="Q109" s="53" t="s">
        <v>1939</v>
      </c>
      <c r="R109" s="53" t="s">
        <v>10329</v>
      </c>
      <c r="U109" s="29" t="s">
        <v>491</v>
      </c>
    </row>
    <row r="110" spans="1:21" ht="105" x14ac:dyDescent="0.25">
      <c r="A110" s="56">
        <v>43143</v>
      </c>
      <c r="B110" s="29" t="s">
        <v>5176</v>
      </c>
      <c r="C110" s="29" t="s">
        <v>604</v>
      </c>
      <c r="D110" s="29" t="s">
        <v>595</v>
      </c>
      <c r="E110" s="29" t="s">
        <v>588</v>
      </c>
      <c r="F110" s="29" t="s">
        <v>8573</v>
      </c>
      <c r="G110" s="29" t="s">
        <v>10335</v>
      </c>
      <c r="H110" s="29" t="s">
        <v>607</v>
      </c>
      <c r="J110" s="29" t="s">
        <v>959</v>
      </c>
      <c r="L110" s="182">
        <v>6</v>
      </c>
      <c r="M110" s="113">
        <v>328500</v>
      </c>
      <c r="N110" s="113">
        <v>624250</v>
      </c>
      <c r="O110" s="189" t="s">
        <v>10766</v>
      </c>
      <c r="P110" s="53" t="s">
        <v>10336</v>
      </c>
      <c r="Q110" s="53" t="s">
        <v>620</v>
      </c>
      <c r="R110" s="53" t="s">
        <v>10337</v>
      </c>
      <c r="U110" s="29" t="s">
        <v>1327</v>
      </c>
    </row>
    <row r="111" spans="1:21" ht="105" x14ac:dyDescent="0.25">
      <c r="A111" s="56">
        <v>43145</v>
      </c>
      <c r="B111" s="29" t="s">
        <v>5176</v>
      </c>
      <c r="C111" s="29" t="s">
        <v>604</v>
      </c>
      <c r="D111" s="29" t="s">
        <v>595</v>
      </c>
      <c r="E111" s="29" t="s">
        <v>588</v>
      </c>
      <c r="F111" s="29" t="s">
        <v>10330</v>
      </c>
      <c r="H111" s="29" t="s">
        <v>905</v>
      </c>
      <c r="I111" s="29" t="s">
        <v>10331</v>
      </c>
      <c r="J111" s="29" t="s">
        <v>4684</v>
      </c>
      <c r="L111" s="182">
        <v>9</v>
      </c>
      <c r="M111" s="113">
        <v>100000</v>
      </c>
      <c r="N111" s="113">
        <v>135000</v>
      </c>
      <c r="O111" s="189" t="s">
        <v>7124</v>
      </c>
      <c r="P111" s="53" t="s">
        <v>10332</v>
      </c>
      <c r="Q111" s="53" t="s">
        <v>1939</v>
      </c>
      <c r="R111" s="53" t="s">
        <v>10333</v>
      </c>
      <c r="U111" s="29" t="s">
        <v>491</v>
      </c>
    </row>
    <row r="112" spans="1:21" ht="45" x14ac:dyDescent="0.25">
      <c r="A112" s="56">
        <v>43145</v>
      </c>
      <c r="B112" s="29" t="s">
        <v>328</v>
      </c>
      <c r="C112" s="29" t="s">
        <v>603</v>
      </c>
      <c r="D112" s="29" t="s">
        <v>10338</v>
      </c>
      <c r="E112" s="29" t="s">
        <v>588</v>
      </c>
      <c r="F112" s="29" t="s">
        <v>10339</v>
      </c>
      <c r="G112" s="29" t="s">
        <v>10340</v>
      </c>
      <c r="H112" s="29" t="s">
        <v>607</v>
      </c>
      <c r="I112" s="29" t="s">
        <v>4060</v>
      </c>
      <c r="J112" s="29" t="s">
        <v>899</v>
      </c>
      <c r="L112" s="182">
        <v>4</v>
      </c>
      <c r="M112" s="113">
        <v>793013</v>
      </c>
      <c r="N112" s="113">
        <v>1598666</v>
      </c>
      <c r="O112" s="189" t="s">
        <v>7124</v>
      </c>
      <c r="P112" s="53" t="s">
        <v>10341</v>
      </c>
      <c r="Q112" s="53" t="s">
        <v>592</v>
      </c>
      <c r="R112" s="53" t="s">
        <v>10342</v>
      </c>
      <c r="U112" s="29" t="s">
        <v>1327</v>
      </c>
    </row>
    <row r="113" spans="1:21" ht="45" x14ac:dyDescent="0.25">
      <c r="A113" s="56">
        <v>43146</v>
      </c>
      <c r="B113" s="29" t="s">
        <v>643</v>
      </c>
      <c r="C113" s="29" t="s">
        <v>644</v>
      </c>
      <c r="D113" s="29" t="s">
        <v>645</v>
      </c>
      <c r="E113" s="29" t="s">
        <v>821</v>
      </c>
      <c r="F113" s="29" t="s">
        <v>8966</v>
      </c>
      <c r="H113" s="29" t="s">
        <v>607</v>
      </c>
      <c r="J113" s="29" t="s">
        <v>644</v>
      </c>
      <c r="N113" s="113">
        <v>29000000</v>
      </c>
      <c r="O113" s="189" t="s">
        <v>560</v>
      </c>
      <c r="P113" s="53" t="s">
        <v>10334</v>
      </c>
      <c r="Q113" s="53" t="s">
        <v>29</v>
      </c>
      <c r="R113" s="53" t="s">
        <v>10441</v>
      </c>
      <c r="U113" s="29" t="s">
        <v>491</v>
      </c>
    </row>
    <row r="114" spans="1:21" ht="45" x14ac:dyDescent="0.25">
      <c r="A114" s="56">
        <v>43146</v>
      </c>
      <c r="B114" s="29" t="s">
        <v>328</v>
      </c>
      <c r="C114" s="29" t="s">
        <v>603</v>
      </c>
      <c r="D114" s="29" t="s">
        <v>8941</v>
      </c>
      <c r="E114" s="29" t="s">
        <v>588</v>
      </c>
      <c r="F114" s="29" t="s">
        <v>10343</v>
      </c>
      <c r="G114" s="29" t="s">
        <v>256</v>
      </c>
      <c r="H114" s="29" t="s">
        <v>607</v>
      </c>
      <c r="I114" s="29" t="s">
        <v>10344</v>
      </c>
      <c r="J114" s="29" t="s">
        <v>3368</v>
      </c>
      <c r="L114" s="182">
        <v>5</v>
      </c>
      <c r="M114" s="126">
        <v>212800</v>
      </c>
      <c r="N114" s="113">
        <v>425600</v>
      </c>
      <c r="O114" s="189" t="s">
        <v>4533</v>
      </c>
      <c r="P114" s="53" t="s">
        <v>10345</v>
      </c>
      <c r="Q114" s="53" t="s">
        <v>1939</v>
      </c>
      <c r="R114" s="53" t="s">
        <v>10346</v>
      </c>
      <c r="U114" s="29" t="s">
        <v>1327</v>
      </c>
    </row>
    <row r="115" spans="1:21" ht="105" x14ac:dyDescent="0.25">
      <c r="A115" s="56">
        <v>43146</v>
      </c>
      <c r="B115" s="29" t="s">
        <v>328</v>
      </c>
      <c r="C115" s="29" t="s">
        <v>603</v>
      </c>
      <c r="D115" s="29" t="s">
        <v>649</v>
      </c>
      <c r="E115" s="29" t="s">
        <v>588</v>
      </c>
      <c r="F115" s="29" t="s">
        <v>7831</v>
      </c>
      <c r="G115" s="29" t="s">
        <v>10348</v>
      </c>
      <c r="H115" s="29" t="s">
        <v>607</v>
      </c>
      <c r="J115" s="29" t="s">
        <v>899</v>
      </c>
      <c r="L115" s="182" t="s">
        <v>7579</v>
      </c>
      <c r="M115" s="113">
        <v>900000</v>
      </c>
      <c r="N115" s="113">
        <v>1530000</v>
      </c>
      <c r="O115" s="189" t="s">
        <v>560</v>
      </c>
      <c r="P115" s="53" t="s">
        <v>10349</v>
      </c>
      <c r="Q115" s="53" t="s">
        <v>592</v>
      </c>
      <c r="R115" s="53" t="s">
        <v>10347</v>
      </c>
      <c r="U115" s="29" t="s">
        <v>1327</v>
      </c>
    </row>
    <row r="116" spans="1:21" ht="45" x14ac:dyDescent="0.25">
      <c r="A116" s="56">
        <v>43146</v>
      </c>
      <c r="B116" s="29" t="s">
        <v>569</v>
      </c>
      <c r="C116" s="29" t="s">
        <v>899</v>
      </c>
      <c r="D116" s="29" t="s">
        <v>625</v>
      </c>
      <c r="E116" s="29" t="s">
        <v>588</v>
      </c>
      <c r="F116" s="29" t="s">
        <v>10354</v>
      </c>
      <c r="G116" s="29" t="s">
        <v>10355</v>
      </c>
      <c r="H116" s="29" t="s">
        <v>607</v>
      </c>
      <c r="J116" s="29" t="s">
        <v>899</v>
      </c>
      <c r="O116" s="189" t="s">
        <v>7564</v>
      </c>
      <c r="P116" s="53" t="s">
        <v>10358</v>
      </c>
      <c r="Q116" s="53" t="s">
        <v>1939</v>
      </c>
      <c r="R116" s="53" t="s">
        <v>10359</v>
      </c>
      <c r="U116" s="29" t="s">
        <v>491</v>
      </c>
    </row>
    <row r="117" spans="1:21" ht="45" x14ac:dyDescent="0.25">
      <c r="A117" s="56">
        <v>43146</v>
      </c>
      <c r="B117" s="29" t="s">
        <v>569</v>
      </c>
      <c r="C117" s="29" t="s">
        <v>899</v>
      </c>
      <c r="D117" s="29" t="s">
        <v>930</v>
      </c>
      <c r="E117" s="29" t="s">
        <v>588</v>
      </c>
      <c r="F117" s="29" t="s">
        <v>10356</v>
      </c>
      <c r="G117" s="29" t="s">
        <v>10357</v>
      </c>
      <c r="H117" s="29" t="s">
        <v>607</v>
      </c>
      <c r="J117" s="29" t="s">
        <v>899</v>
      </c>
      <c r="O117" s="189" t="s">
        <v>10762</v>
      </c>
      <c r="P117" s="53" t="s">
        <v>10360</v>
      </c>
      <c r="Q117" s="53" t="s">
        <v>1939</v>
      </c>
      <c r="R117" s="53" t="s">
        <v>10361</v>
      </c>
      <c r="U117" s="29" t="s">
        <v>491</v>
      </c>
    </row>
    <row r="118" spans="1:21" ht="45" x14ac:dyDescent="0.25">
      <c r="A118" s="56">
        <v>43147</v>
      </c>
      <c r="B118" s="29" t="s">
        <v>328</v>
      </c>
      <c r="C118" s="29" t="s">
        <v>603</v>
      </c>
      <c r="D118" s="29" t="s">
        <v>649</v>
      </c>
      <c r="E118" s="29" t="s">
        <v>588</v>
      </c>
      <c r="F118" s="29" t="s">
        <v>10350</v>
      </c>
      <c r="G118" s="29" t="s">
        <v>10351</v>
      </c>
      <c r="H118" s="29" t="s">
        <v>607</v>
      </c>
      <c r="J118" s="29" t="s">
        <v>899</v>
      </c>
      <c r="L118" s="182">
        <v>5</v>
      </c>
      <c r="M118" s="113">
        <v>1800000</v>
      </c>
      <c r="N118" s="113">
        <v>2880000</v>
      </c>
      <c r="O118" s="189" t="s">
        <v>560</v>
      </c>
      <c r="P118" s="53" t="s">
        <v>10353</v>
      </c>
      <c r="Q118" s="53" t="s">
        <v>1939</v>
      </c>
      <c r="R118" s="53" t="s">
        <v>10352</v>
      </c>
      <c r="U118" s="29" t="s">
        <v>1327</v>
      </c>
    </row>
    <row r="119" spans="1:21" ht="75" x14ac:dyDescent="0.25">
      <c r="A119" s="56">
        <v>43150</v>
      </c>
      <c r="B119" s="29" t="s">
        <v>9240</v>
      </c>
      <c r="C119" s="29" t="s">
        <v>603</v>
      </c>
      <c r="D119" s="29" t="s">
        <v>9849</v>
      </c>
      <c r="E119" s="29" t="s">
        <v>588</v>
      </c>
      <c r="F119" s="29" t="s">
        <v>10367</v>
      </c>
      <c r="G119" s="29" t="s">
        <v>9202</v>
      </c>
      <c r="H119" s="29" t="s">
        <v>607</v>
      </c>
      <c r="I119" s="29" t="s">
        <v>10368</v>
      </c>
      <c r="J119" s="29" t="s">
        <v>5402</v>
      </c>
      <c r="L119" s="182">
        <v>3</v>
      </c>
      <c r="M119" s="113">
        <v>232000</v>
      </c>
      <c r="N119" s="113">
        <v>522000</v>
      </c>
      <c r="O119" s="189" t="s">
        <v>10766</v>
      </c>
      <c r="P119" s="53" t="s">
        <v>10369</v>
      </c>
      <c r="Q119" s="53" t="s">
        <v>620</v>
      </c>
      <c r="R119" s="53" t="s">
        <v>10370</v>
      </c>
      <c r="U119" s="29" t="s">
        <v>1327</v>
      </c>
    </row>
    <row r="120" spans="1:21" ht="30" x14ac:dyDescent="0.25">
      <c r="A120" s="56">
        <v>43150</v>
      </c>
      <c r="B120" s="29" t="s">
        <v>328</v>
      </c>
      <c r="C120" s="29" t="s">
        <v>603</v>
      </c>
      <c r="D120" s="29" t="s">
        <v>8941</v>
      </c>
      <c r="E120" s="29" t="s">
        <v>588</v>
      </c>
      <c r="F120" s="29" t="s">
        <v>10371</v>
      </c>
      <c r="G120" s="29" t="s">
        <v>10372</v>
      </c>
      <c r="H120" s="29" t="s">
        <v>607</v>
      </c>
      <c r="I120" s="29" t="s">
        <v>3691</v>
      </c>
      <c r="J120" s="29" t="s">
        <v>3612</v>
      </c>
      <c r="L120" s="182">
        <v>3</v>
      </c>
      <c r="M120" s="113">
        <v>490000</v>
      </c>
      <c r="N120" s="113">
        <v>833000</v>
      </c>
      <c r="O120" s="189" t="s">
        <v>4533</v>
      </c>
      <c r="P120" s="53" t="s">
        <v>10373</v>
      </c>
      <c r="Q120" s="53" t="s">
        <v>1939</v>
      </c>
      <c r="R120" s="53" t="s">
        <v>10374</v>
      </c>
      <c r="U120" s="29" t="s">
        <v>1327</v>
      </c>
    </row>
    <row r="121" spans="1:21" ht="30" x14ac:dyDescent="0.25">
      <c r="A121" s="56">
        <v>43150</v>
      </c>
      <c r="B121" s="29" t="s">
        <v>328</v>
      </c>
      <c r="C121" s="29" t="s">
        <v>603</v>
      </c>
      <c r="D121" s="29" t="s">
        <v>5701</v>
      </c>
      <c r="E121" s="29" t="s">
        <v>588</v>
      </c>
      <c r="F121" s="29" t="s">
        <v>10376</v>
      </c>
      <c r="G121" s="29" t="s">
        <v>10375</v>
      </c>
      <c r="H121" s="29" t="s">
        <v>10831</v>
      </c>
      <c r="J121" s="29" t="s">
        <v>3370</v>
      </c>
      <c r="L121" s="182">
        <v>2</v>
      </c>
      <c r="M121" s="113">
        <v>300000</v>
      </c>
      <c r="N121" s="113">
        <v>460000</v>
      </c>
      <c r="O121" s="189" t="s">
        <v>4533</v>
      </c>
      <c r="P121" s="53" t="s">
        <v>10377</v>
      </c>
      <c r="Q121" s="53" t="s">
        <v>592</v>
      </c>
      <c r="R121" s="53" t="s">
        <v>10378</v>
      </c>
      <c r="U121" s="29" t="s">
        <v>1327</v>
      </c>
    </row>
    <row r="122" spans="1:21" ht="75" x14ac:dyDescent="0.25">
      <c r="A122" s="56">
        <v>43151</v>
      </c>
      <c r="B122" s="29" t="s">
        <v>569</v>
      </c>
      <c r="C122" s="29" t="s">
        <v>899</v>
      </c>
      <c r="D122" s="29" t="s">
        <v>611</v>
      </c>
      <c r="E122" s="29" t="s">
        <v>588</v>
      </c>
      <c r="F122" s="29" t="s">
        <v>10379</v>
      </c>
      <c r="G122" s="29" t="s">
        <v>8396</v>
      </c>
      <c r="H122" s="29" t="s">
        <v>607</v>
      </c>
      <c r="I122" s="29" t="s">
        <v>4674</v>
      </c>
      <c r="J122" s="29" t="s">
        <v>899</v>
      </c>
      <c r="M122" s="113">
        <v>371200</v>
      </c>
      <c r="N122" s="113">
        <v>457200</v>
      </c>
      <c r="O122" s="189" t="s">
        <v>10766</v>
      </c>
      <c r="P122" s="53" t="s">
        <v>10380</v>
      </c>
      <c r="Q122" s="53" t="s">
        <v>1939</v>
      </c>
      <c r="R122" s="53" t="s">
        <v>10381</v>
      </c>
      <c r="U122" s="29" t="s">
        <v>1327</v>
      </c>
    </row>
    <row r="123" spans="1:21" ht="75" x14ac:dyDescent="0.25">
      <c r="A123" s="56">
        <v>43152</v>
      </c>
      <c r="B123" s="29" t="s">
        <v>569</v>
      </c>
      <c r="C123" s="29" t="s">
        <v>899</v>
      </c>
      <c r="D123" s="29" t="s">
        <v>625</v>
      </c>
      <c r="E123" s="29" t="s">
        <v>588</v>
      </c>
      <c r="F123" s="29" t="s">
        <v>10362</v>
      </c>
      <c r="G123" s="29" t="s">
        <v>930</v>
      </c>
      <c r="H123" s="29" t="s">
        <v>10831</v>
      </c>
      <c r="I123" s="29" t="s">
        <v>3536</v>
      </c>
      <c r="J123" s="29" t="s">
        <v>899</v>
      </c>
      <c r="O123" s="189" t="s">
        <v>10766</v>
      </c>
      <c r="P123" s="53" t="s">
        <v>10442</v>
      </c>
      <c r="Q123" s="53" t="s">
        <v>620</v>
      </c>
      <c r="R123" s="53" t="s">
        <v>10363</v>
      </c>
      <c r="U123" s="29" t="s">
        <v>491</v>
      </c>
    </row>
    <row r="124" spans="1:21" ht="75" x14ac:dyDescent="0.25">
      <c r="A124" s="56">
        <v>43152</v>
      </c>
      <c r="B124" s="29" t="s">
        <v>9240</v>
      </c>
      <c r="C124" s="29" t="s">
        <v>603</v>
      </c>
      <c r="D124" s="29" t="s">
        <v>9241</v>
      </c>
      <c r="E124" s="29" t="s">
        <v>588</v>
      </c>
      <c r="F124" s="29" t="s">
        <v>10386</v>
      </c>
      <c r="G124" s="29" t="s">
        <v>10385</v>
      </c>
      <c r="H124" s="29" t="s">
        <v>607</v>
      </c>
      <c r="I124" s="29" t="s">
        <v>10384</v>
      </c>
      <c r="J124" s="29" t="s">
        <v>4031</v>
      </c>
      <c r="L124" s="182">
        <v>5</v>
      </c>
      <c r="M124" s="113">
        <v>800000</v>
      </c>
      <c r="N124" s="113">
        <v>1240000</v>
      </c>
      <c r="O124" s="189" t="s">
        <v>7564</v>
      </c>
      <c r="P124" s="53" t="s">
        <v>10383</v>
      </c>
      <c r="Q124" s="53" t="s">
        <v>1939</v>
      </c>
      <c r="R124" s="53" t="s">
        <v>10382</v>
      </c>
      <c r="U124" s="29" t="s">
        <v>1327</v>
      </c>
    </row>
    <row r="125" spans="1:21" ht="105" x14ac:dyDescent="0.25">
      <c r="A125" s="56">
        <v>43152</v>
      </c>
      <c r="B125" s="29" t="s">
        <v>328</v>
      </c>
      <c r="C125" s="29" t="s">
        <v>603</v>
      </c>
      <c r="D125" s="29" t="s">
        <v>2204</v>
      </c>
      <c r="E125" s="29" t="s">
        <v>588</v>
      </c>
      <c r="F125" s="29" t="s">
        <v>134</v>
      </c>
      <c r="G125" s="29" t="s">
        <v>8126</v>
      </c>
      <c r="H125" s="29" t="s">
        <v>607</v>
      </c>
      <c r="J125" s="29" t="s">
        <v>3751</v>
      </c>
      <c r="L125" s="182">
        <v>9</v>
      </c>
      <c r="M125" s="113">
        <v>200000</v>
      </c>
      <c r="N125" s="113">
        <v>490000</v>
      </c>
      <c r="O125" s="189" t="s">
        <v>4533</v>
      </c>
      <c r="P125" s="53" t="s">
        <v>10387</v>
      </c>
      <c r="Q125" s="53" t="s">
        <v>1939</v>
      </c>
      <c r="R125" s="53" t="s">
        <v>10388</v>
      </c>
      <c r="U125" s="29" t="s">
        <v>1327</v>
      </c>
    </row>
    <row r="126" spans="1:21" ht="15.75" x14ac:dyDescent="0.25">
      <c r="A126" s="56">
        <v>43152</v>
      </c>
      <c r="B126" s="29" t="s">
        <v>328</v>
      </c>
      <c r="C126" s="29" t="s">
        <v>603</v>
      </c>
      <c r="D126" s="29" t="s">
        <v>8941</v>
      </c>
      <c r="E126" s="29" t="s">
        <v>588</v>
      </c>
      <c r="F126" s="29" t="s">
        <v>10389</v>
      </c>
      <c r="G126" s="29" t="s">
        <v>10390</v>
      </c>
      <c r="H126" s="29" t="s">
        <v>607</v>
      </c>
      <c r="J126" s="29" t="s">
        <v>899</v>
      </c>
      <c r="L126" s="182">
        <v>10</v>
      </c>
      <c r="M126" s="113">
        <v>1000000</v>
      </c>
      <c r="N126" s="113">
        <v>1900000</v>
      </c>
      <c r="O126" s="189" t="s">
        <v>7124</v>
      </c>
      <c r="P126" s="53" t="s">
        <v>10391</v>
      </c>
      <c r="Q126" s="53" t="s">
        <v>592</v>
      </c>
      <c r="R126" s="53" t="s">
        <v>10392</v>
      </c>
      <c r="U126" s="29" t="s">
        <v>1327</v>
      </c>
    </row>
    <row r="127" spans="1:21" ht="60" x14ac:dyDescent="0.25">
      <c r="A127" s="56">
        <v>43153</v>
      </c>
      <c r="B127" s="29" t="s">
        <v>569</v>
      </c>
      <c r="C127" s="29" t="s">
        <v>899</v>
      </c>
      <c r="D127" s="29" t="s">
        <v>625</v>
      </c>
      <c r="E127" s="29" t="s">
        <v>588</v>
      </c>
      <c r="F127" s="29" t="s">
        <v>10364</v>
      </c>
      <c r="G127" s="29" t="s">
        <v>625</v>
      </c>
      <c r="H127" s="29" t="s">
        <v>905</v>
      </c>
      <c r="I127" s="29" t="s">
        <v>2054</v>
      </c>
      <c r="J127" s="29" t="s">
        <v>899</v>
      </c>
      <c r="M127" s="113">
        <v>2500000</v>
      </c>
      <c r="N127" s="113">
        <v>3350000</v>
      </c>
      <c r="O127" s="189" t="s">
        <v>560</v>
      </c>
      <c r="P127" s="53" t="s">
        <v>10365</v>
      </c>
      <c r="Q127" s="53" t="s">
        <v>1939</v>
      </c>
      <c r="R127" s="53" t="s">
        <v>10366</v>
      </c>
      <c r="U127" s="29" t="s">
        <v>491</v>
      </c>
    </row>
    <row r="128" spans="1:21" ht="105" x14ac:dyDescent="0.25">
      <c r="A128" s="56">
        <v>43153</v>
      </c>
      <c r="B128" s="29" t="s">
        <v>328</v>
      </c>
      <c r="C128" s="29" t="s">
        <v>603</v>
      </c>
      <c r="D128" s="29" t="s">
        <v>10338</v>
      </c>
      <c r="E128" s="29" t="s">
        <v>588</v>
      </c>
      <c r="F128" s="29" t="s">
        <v>10393</v>
      </c>
      <c r="G128" s="29" t="s">
        <v>10393</v>
      </c>
      <c r="H128" s="29" t="s">
        <v>10831</v>
      </c>
      <c r="I128" s="29" t="s">
        <v>10394</v>
      </c>
      <c r="J128" s="29" t="s">
        <v>5610</v>
      </c>
      <c r="L128" s="182">
        <v>9</v>
      </c>
      <c r="M128" s="113">
        <v>700000</v>
      </c>
      <c r="N128" s="113">
        <v>700000</v>
      </c>
      <c r="O128" s="189" t="s">
        <v>4533</v>
      </c>
      <c r="P128" s="53" t="s">
        <v>10395</v>
      </c>
      <c r="Q128" s="53" t="s">
        <v>1939</v>
      </c>
      <c r="R128" s="53" t="s">
        <v>10396</v>
      </c>
      <c r="U128" s="29" t="s">
        <v>1327</v>
      </c>
    </row>
    <row r="129" spans="1:23" ht="15.75" x14ac:dyDescent="0.25">
      <c r="A129" s="56">
        <v>43153</v>
      </c>
      <c r="B129" s="29" t="s">
        <v>569</v>
      </c>
      <c r="C129" s="29" t="s">
        <v>899</v>
      </c>
      <c r="D129" s="29" t="s">
        <v>625</v>
      </c>
      <c r="E129" s="29" t="s">
        <v>588</v>
      </c>
      <c r="F129" s="29" t="s">
        <v>10397</v>
      </c>
      <c r="G129" s="29" t="s">
        <v>9305</v>
      </c>
      <c r="H129" s="29" t="s">
        <v>607</v>
      </c>
      <c r="I129" s="29" t="s">
        <v>3649</v>
      </c>
      <c r="J129" s="29" t="s">
        <v>899</v>
      </c>
      <c r="L129" s="182">
        <v>4</v>
      </c>
      <c r="M129" s="113">
        <v>1621750</v>
      </c>
      <c r="N129" s="113">
        <v>2258275</v>
      </c>
      <c r="O129" s="189" t="s">
        <v>560</v>
      </c>
      <c r="P129" s="53" t="s">
        <v>10443</v>
      </c>
      <c r="Q129" s="53" t="s">
        <v>592</v>
      </c>
      <c r="R129" s="53" t="s">
        <v>10398</v>
      </c>
      <c r="U129" s="29" t="s">
        <v>1327</v>
      </c>
    </row>
    <row r="130" spans="1:23" ht="30" x14ac:dyDescent="0.25">
      <c r="A130" s="56">
        <v>43153</v>
      </c>
      <c r="B130" s="29" t="s">
        <v>5176</v>
      </c>
      <c r="C130" s="29" t="s">
        <v>604</v>
      </c>
      <c r="D130" s="29" t="s">
        <v>595</v>
      </c>
      <c r="E130" s="29" t="s">
        <v>588</v>
      </c>
      <c r="F130" s="29" t="s">
        <v>10399</v>
      </c>
      <c r="G130" s="29" t="s">
        <v>10400</v>
      </c>
      <c r="H130" s="29" t="s">
        <v>607</v>
      </c>
      <c r="I130" s="29" t="s">
        <v>10401</v>
      </c>
      <c r="J130" s="29" t="s">
        <v>959</v>
      </c>
      <c r="L130" s="182">
        <v>4</v>
      </c>
      <c r="M130" s="113">
        <v>393000</v>
      </c>
      <c r="N130" s="113">
        <v>707400</v>
      </c>
      <c r="O130" s="189" t="s">
        <v>10766</v>
      </c>
      <c r="P130" s="53" t="s">
        <v>10402</v>
      </c>
      <c r="Q130" s="53" t="s">
        <v>1939</v>
      </c>
      <c r="R130" s="53" t="s">
        <v>10403</v>
      </c>
      <c r="U130" s="29" t="s">
        <v>1327</v>
      </c>
    </row>
    <row r="131" spans="1:23" ht="60" x14ac:dyDescent="0.25">
      <c r="A131" s="56">
        <v>43157</v>
      </c>
      <c r="B131" s="29" t="s">
        <v>9240</v>
      </c>
      <c r="C131" s="29" t="s">
        <v>603</v>
      </c>
      <c r="D131" s="29" t="s">
        <v>7814</v>
      </c>
      <c r="E131" s="29" t="s">
        <v>588</v>
      </c>
      <c r="F131" s="29" t="s">
        <v>8049</v>
      </c>
      <c r="G131" s="29" t="s">
        <v>10411</v>
      </c>
      <c r="H131" s="29" t="s">
        <v>607</v>
      </c>
      <c r="I131" s="29" t="s">
        <v>6992</v>
      </c>
      <c r="J131" s="29" t="s">
        <v>603</v>
      </c>
      <c r="M131" s="113">
        <v>750000</v>
      </c>
      <c r="N131" s="113">
        <v>750000</v>
      </c>
      <c r="O131" s="189" t="s">
        <v>10762</v>
      </c>
      <c r="P131" s="53" t="s">
        <v>10412</v>
      </c>
      <c r="Q131" s="53" t="s">
        <v>620</v>
      </c>
      <c r="R131" s="53" t="s">
        <v>10444</v>
      </c>
      <c r="U131" s="29" t="s">
        <v>1327</v>
      </c>
    </row>
    <row r="132" spans="1:23" ht="15.75" x14ac:dyDescent="0.25">
      <c r="A132" s="56">
        <v>43157</v>
      </c>
      <c r="B132" s="29" t="s">
        <v>569</v>
      </c>
      <c r="C132" s="29" t="s">
        <v>899</v>
      </c>
      <c r="D132" s="29" t="s">
        <v>625</v>
      </c>
      <c r="E132" s="29" t="s">
        <v>588</v>
      </c>
      <c r="F132" s="29" t="s">
        <v>10413</v>
      </c>
      <c r="G132" s="29" t="s">
        <v>8331</v>
      </c>
      <c r="H132" s="29" t="s">
        <v>905</v>
      </c>
      <c r="I132" s="29" t="s">
        <v>10414</v>
      </c>
      <c r="J132" s="29" t="s">
        <v>899</v>
      </c>
      <c r="M132" s="113">
        <v>2800000</v>
      </c>
      <c r="N132" s="113">
        <v>3380000</v>
      </c>
      <c r="O132" s="189" t="s">
        <v>560</v>
      </c>
      <c r="P132" s="53" t="s">
        <v>10415</v>
      </c>
      <c r="Q132" s="53" t="s">
        <v>592</v>
      </c>
      <c r="R132" s="53" t="s">
        <v>10416</v>
      </c>
      <c r="U132" s="29" t="s">
        <v>1327</v>
      </c>
    </row>
    <row r="133" spans="1:23" ht="60" x14ac:dyDescent="0.25">
      <c r="A133" s="56">
        <v>43157</v>
      </c>
      <c r="B133" s="29" t="s">
        <v>328</v>
      </c>
      <c r="C133" s="29" t="s">
        <v>603</v>
      </c>
      <c r="D133" s="29" t="s">
        <v>5701</v>
      </c>
      <c r="E133" s="29" t="s">
        <v>588</v>
      </c>
      <c r="F133" s="29" t="s">
        <v>10417</v>
      </c>
      <c r="G133" s="29" t="s">
        <v>10417</v>
      </c>
      <c r="H133" s="29" t="s">
        <v>10831</v>
      </c>
      <c r="J133" s="29" t="s">
        <v>3398</v>
      </c>
      <c r="L133" s="182">
        <v>10</v>
      </c>
      <c r="M133" s="113">
        <v>1200000</v>
      </c>
      <c r="N133" s="113">
        <v>1448000</v>
      </c>
      <c r="O133" s="189" t="s">
        <v>10762</v>
      </c>
      <c r="P133" s="53" t="s">
        <v>10418</v>
      </c>
      <c r="Q133" s="53" t="s">
        <v>1939</v>
      </c>
      <c r="R133" s="53" t="s">
        <v>10419</v>
      </c>
      <c r="U133" s="29" t="s">
        <v>1327</v>
      </c>
    </row>
    <row r="134" spans="1:23" ht="60" x14ac:dyDescent="0.25">
      <c r="A134" s="56">
        <v>43157</v>
      </c>
      <c r="B134" s="29" t="s">
        <v>5176</v>
      </c>
      <c r="C134" s="29" t="s">
        <v>761</v>
      </c>
      <c r="D134" s="29" t="s">
        <v>595</v>
      </c>
      <c r="E134" s="29" t="s">
        <v>588</v>
      </c>
      <c r="F134" s="29" t="s">
        <v>508</v>
      </c>
      <c r="G134" s="29" t="s">
        <v>508</v>
      </c>
      <c r="H134" s="29" t="s">
        <v>607</v>
      </c>
      <c r="I134" s="29" t="s">
        <v>10420</v>
      </c>
      <c r="J134" s="29" t="s">
        <v>604</v>
      </c>
      <c r="M134" s="113">
        <v>1300000</v>
      </c>
      <c r="O134" s="189" t="s">
        <v>4533</v>
      </c>
      <c r="P134" s="53" t="s">
        <v>10445</v>
      </c>
      <c r="Q134" s="53" t="s">
        <v>1939</v>
      </c>
      <c r="R134" s="53" t="s">
        <v>10421</v>
      </c>
      <c r="U134" s="29" t="s">
        <v>1327</v>
      </c>
    </row>
    <row r="135" spans="1:23" ht="75" x14ac:dyDescent="0.25">
      <c r="A135" s="56">
        <v>43158</v>
      </c>
      <c r="B135" s="29" t="s">
        <v>328</v>
      </c>
      <c r="C135" s="29" t="s">
        <v>603</v>
      </c>
      <c r="D135" s="29" t="s">
        <v>2397</v>
      </c>
      <c r="E135" s="29" t="s">
        <v>588</v>
      </c>
      <c r="F135" s="29" t="s">
        <v>5685</v>
      </c>
      <c r="G135" s="29" t="s">
        <v>10422</v>
      </c>
      <c r="H135" s="29" t="s">
        <v>607</v>
      </c>
      <c r="J135" s="29" t="s">
        <v>899</v>
      </c>
      <c r="L135" s="182">
        <v>1</v>
      </c>
      <c r="M135" s="113">
        <v>2200000</v>
      </c>
      <c r="N135" s="113">
        <v>3960000</v>
      </c>
      <c r="O135" s="189" t="s">
        <v>10766</v>
      </c>
      <c r="P135" s="53" t="s">
        <v>10423</v>
      </c>
      <c r="Q135" s="53" t="s">
        <v>1939</v>
      </c>
      <c r="R135" s="53" t="s">
        <v>10424</v>
      </c>
      <c r="U135" s="29" t="s">
        <v>1327</v>
      </c>
    </row>
    <row r="136" spans="1:23" ht="45" x14ac:dyDescent="0.25">
      <c r="A136" s="56">
        <v>43158</v>
      </c>
      <c r="B136" s="29" t="s">
        <v>328</v>
      </c>
      <c r="C136" s="29" t="s">
        <v>603</v>
      </c>
      <c r="D136" s="29" t="s">
        <v>7595</v>
      </c>
      <c r="E136" s="29" t="s">
        <v>588</v>
      </c>
      <c r="F136" s="29" t="s">
        <v>8193</v>
      </c>
      <c r="G136" s="29" t="s">
        <v>7855</v>
      </c>
      <c r="H136" s="29" t="s">
        <v>607</v>
      </c>
      <c r="J136" s="29" t="s">
        <v>3368</v>
      </c>
      <c r="L136" s="182">
        <v>7</v>
      </c>
      <c r="M136" s="113">
        <v>100000</v>
      </c>
      <c r="N136" s="113">
        <v>150000</v>
      </c>
      <c r="O136" s="189" t="s">
        <v>10762</v>
      </c>
      <c r="P136" s="53" t="s">
        <v>10446</v>
      </c>
      <c r="Q136" s="53" t="s">
        <v>620</v>
      </c>
      <c r="R136" s="53" t="s">
        <v>10447</v>
      </c>
      <c r="U136" s="29" t="s">
        <v>1327</v>
      </c>
    </row>
    <row r="137" spans="1:23" ht="30" x14ac:dyDescent="0.25">
      <c r="A137" s="56">
        <v>43158</v>
      </c>
      <c r="B137" s="29" t="s">
        <v>328</v>
      </c>
      <c r="C137" s="29" t="s">
        <v>603</v>
      </c>
      <c r="D137" s="29" t="s">
        <v>2397</v>
      </c>
      <c r="E137" s="29" t="s">
        <v>588</v>
      </c>
      <c r="F137" s="29" t="s">
        <v>10425</v>
      </c>
      <c r="G137" s="29" t="s">
        <v>7911</v>
      </c>
      <c r="H137" s="29" t="s">
        <v>905</v>
      </c>
      <c r="J137" s="29" t="s">
        <v>899</v>
      </c>
      <c r="L137" s="182">
        <v>2</v>
      </c>
      <c r="M137" s="113">
        <v>3601000</v>
      </c>
      <c r="N137" s="113">
        <v>4706100</v>
      </c>
      <c r="O137" s="189" t="s">
        <v>560</v>
      </c>
      <c r="P137" s="53" t="s">
        <v>10426</v>
      </c>
      <c r="Q137" s="53" t="s">
        <v>1939</v>
      </c>
      <c r="R137" s="53" t="s">
        <v>10427</v>
      </c>
      <c r="U137" s="29" t="s">
        <v>1327</v>
      </c>
    </row>
    <row r="138" spans="1:23" ht="45" x14ac:dyDescent="0.25">
      <c r="A138" s="56">
        <v>43158</v>
      </c>
      <c r="B138" s="29" t="s">
        <v>328</v>
      </c>
      <c r="C138" s="29" t="s">
        <v>603</v>
      </c>
      <c r="D138" s="29" t="s">
        <v>2397</v>
      </c>
      <c r="E138" s="29" t="s">
        <v>588</v>
      </c>
      <c r="F138" s="29" t="s">
        <v>10428</v>
      </c>
      <c r="G138" s="29" t="s">
        <v>10429</v>
      </c>
      <c r="H138" s="29" t="s">
        <v>10832</v>
      </c>
      <c r="J138" s="29" t="s">
        <v>603</v>
      </c>
      <c r="L138" s="182">
        <v>10</v>
      </c>
      <c r="M138" s="113">
        <v>1855250</v>
      </c>
      <c r="N138" s="113">
        <v>905000</v>
      </c>
      <c r="O138" s="189" t="s">
        <v>7124</v>
      </c>
      <c r="P138" s="53" t="s">
        <v>10448</v>
      </c>
      <c r="Q138" s="53" t="s">
        <v>1939</v>
      </c>
      <c r="R138" s="53" t="s">
        <v>10449</v>
      </c>
      <c r="U138" s="29" t="s">
        <v>1327</v>
      </c>
    </row>
    <row r="139" spans="1:23" s="46" customFormat="1" ht="75" x14ac:dyDescent="0.25">
      <c r="A139" s="61">
        <v>43159</v>
      </c>
      <c r="B139" s="46" t="s">
        <v>9240</v>
      </c>
      <c r="C139" s="46" t="s">
        <v>603</v>
      </c>
      <c r="D139" s="46" t="s">
        <v>9241</v>
      </c>
      <c r="E139" s="46" t="s">
        <v>588</v>
      </c>
      <c r="F139" s="46" t="s">
        <v>10430</v>
      </c>
      <c r="G139" s="46" t="s">
        <v>10431</v>
      </c>
      <c r="H139" s="29" t="s">
        <v>607</v>
      </c>
      <c r="J139" s="46" t="s">
        <v>3612</v>
      </c>
      <c r="K139" s="218"/>
      <c r="L139" s="185"/>
      <c r="M139" s="91">
        <v>147000</v>
      </c>
      <c r="N139" s="91"/>
      <c r="O139" s="189" t="s">
        <v>10765</v>
      </c>
      <c r="P139" s="47" t="s">
        <v>10432</v>
      </c>
      <c r="Q139" s="47" t="s">
        <v>620</v>
      </c>
      <c r="R139" s="47" t="s">
        <v>10433</v>
      </c>
      <c r="S139" s="47"/>
      <c r="U139" s="46" t="s">
        <v>1327</v>
      </c>
      <c r="W139" s="47"/>
    </row>
    <row r="140" spans="1:23" s="146" customFormat="1" ht="75" x14ac:dyDescent="0.25">
      <c r="A140" s="144">
        <v>43159</v>
      </c>
      <c r="B140" s="146" t="s">
        <v>328</v>
      </c>
      <c r="C140" s="146" t="s">
        <v>603</v>
      </c>
      <c r="D140" s="146" t="s">
        <v>7595</v>
      </c>
      <c r="E140" s="146" t="s">
        <v>588</v>
      </c>
      <c r="F140" s="146" t="s">
        <v>10435</v>
      </c>
      <c r="G140" s="146" t="s">
        <v>9000</v>
      </c>
      <c r="H140" s="29" t="s">
        <v>607</v>
      </c>
      <c r="J140" s="146" t="s">
        <v>3368</v>
      </c>
      <c r="K140" s="217"/>
      <c r="L140" s="183">
        <v>10</v>
      </c>
      <c r="M140" s="187">
        <v>160000</v>
      </c>
      <c r="N140" s="187">
        <v>320000</v>
      </c>
      <c r="O140" s="189" t="s">
        <v>7124</v>
      </c>
      <c r="P140" s="149" t="s">
        <v>10436</v>
      </c>
      <c r="Q140" s="149" t="s">
        <v>1939</v>
      </c>
      <c r="R140" s="149" t="s">
        <v>10434</v>
      </c>
      <c r="S140" s="149"/>
      <c r="U140" s="146" t="s">
        <v>1327</v>
      </c>
      <c r="W140" s="149"/>
    </row>
    <row r="141" spans="1:23" ht="60" x14ac:dyDescent="0.25">
      <c r="A141" s="56">
        <v>43160</v>
      </c>
      <c r="B141" s="29" t="s">
        <v>643</v>
      </c>
      <c r="C141" s="29" t="s">
        <v>644</v>
      </c>
      <c r="D141" s="29" t="s">
        <v>645</v>
      </c>
      <c r="E141" s="29" t="s">
        <v>588</v>
      </c>
      <c r="F141" s="29" t="s">
        <v>10404</v>
      </c>
      <c r="G141" s="29" t="s">
        <v>10405</v>
      </c>
      <c r="H141" s="29" t="s">
        <v>2510</v>
      </c>
      <c r="I141" s="29" t="s">
        <v>4399</v>
      </c>
      <c r="J141" s="29" t="s">
        <v>644</v>
      </c>
      <c r="L141" s="182">
        <v>2</v>
      </c>
      <c r="M141" s="113">
        <v>275000</v>
      </c>
      <c r="N141" s="113">
        <v>391000</v>
      </c>
      <c r="O141" s="189" t="s">
        <v>10766</v>
      </c>
      <c r="P141" s="53" t="s">
        <v>10406</v>
      </c>
      <c r="Q141" s="53" t="s">
        <v>620</v>
      </c>
      <c r="R141" s="53" t="s">
        <v>10407</v>
      </c>
      <c r="U141" s="29" t="s">
        <v>491</v>
      </c>
    </row>
    <row r="142" spans="1:23" ht="120" x14ac:dyDescent="0.25">
      <c r="A142" s="56">
        <v>43160</v>
      </c>
      <c r="B142" s="29" t="s">
        <v>328</v>
      </c>
      <c r="C142" s="29" t="s">
        <v>603</v>
      </c>
      <c r="D142" s="29" t="s">
        <v>8941</v>
      </c>
      <c r="E142" s="29" t="s">
        <v>588</v>
      </c>
      <c r="F142" s="29" t="s">
        <v>8891</v>
      </c>
      <c r="G142" s="29" t="s">
        <v>10408</v>
      </c>
      <c r="H142" s="29" t="s">
        <v>607</v>
      </c>
      <c r="I142" s="29" t="s">
        <v>10409</v>
      </c>
      <c r="J142" s="29" t="s">
        <v>899</v>
      </c>
      <c r="L142" s="182">
        <v>1</v>
      </c>
      <c r="M142" s="113">
        <v>1700000</v>
      </c>
      <c r="N142" s="113">
        <v>3060000</v>
      </c>
      <c r="O142" s="189" t="s">
        <v>560</v>
      </c>
      <c r="P142" s="53" t="s">
        <v>10410</v>
      </c>
      <c r="Q142" s="53" t="s">
        <v>592</v>
      </c>
      <c r="S142" s="53" t="s">
        <v>10621</v>
      </c>
      <c r="U142" s="29" t="s">
        <v>491</v>
      </c>
    </row>
    <row r="143" spans="1:23" ht="60" x14ac:dyDescent="0.25">
      <c r="A143" s="56">
        <v>43160</v>
      </c>
      <c r="B143" s="29" t="s">
        <v>328</v>
      </c>
      <c r="C143" s="29" t="s">
        <v>603</v>
      </c>
      <c r="D143" s="29" t="s">
        <v>7595</v>
      </c>
      <c r="E143" s="29" t="s">
        <v>588</v>
      </c>
      <c r="F143" s="29" t="s">
        <v>10477</v>
      </c>
      <c r="G143" s="29" t="s">
        <v>7814</v>
      </c>
      <c r="H143" s="29" t="s">
        <v>905</v>
      </c>
      <c r="J143" s="29" t="s">
        <v>3533</v>
      </c>
      <c r="L143" s="182">
        <v>5</v>
      </c>
      <c r="M143" s="113">
        <v>100000</v>
      </c>
      <c r="N143" s="113">
        <v>100500</v>
      </c>
      <c r="O143" s="189" t="s">
        <v>4533</v>
      </c>
      <c r="P143" s="53" t="s">
        <v>10752</v>
      </c>
      <c r="Q143" s="53" t="s">
        <v>1939</v>
      </c>
      <c r="R143" s="53" t="s">
        <v>10478</v>
      </c>
      <c r="U143" s="29" t="s">
        <v>1327</v>
      </c>
    </row>
    <row r="144" spans="1:23" ht="120" x14ac:dyDescent="0.25">
      <c r="A144" s="56">
        <v>43160</v>
      </c>
      <c r="B144" s="29" t="s">
        <v>5176</v>
      </c>
      <c r="C144" s="29" t="s">
        <v>604</v>
      </c>
      <c r="D144" s="29" t="s">
        <v>6995</v>
      </c>
      <c r="E144" s="29" t="s">
        <v>588</v>
      </c>
      <c r="F144" s="29" t="s">
        <v>10479</v>
      </c>
      <c r="G144" s="29" t="s">
        <v>10480</v>
      </c>
      <c r="H144" s="29" t="s">
        <v>809</v>
      </c>
      <c r="I144" s="29" t="s">
        <v>8806</v>
      </c>
      <c r="J144" s="29" t="s">
        <v>959</v>
      </c>
      <c r="L144" s="182">
        <v>4</v>
      </c>
      <c r="M144" s="113">
        <v>257000</v>
      </c>
      <c r="N144" s="113">
        <v>290700</v>
      </c>
      <c r="O144" s="189" t="s">
        <v>10765</v>
      </c>
      <c r="P144" s="53" t="s">
        <v>10481</v>
      </c>
      <c r="Q144" s="53" t="s">
        <v>29</v>
      </c>
      <c r="R144" s="53" t="s">
        <v>10482</v>
      </c>
      <c r="S144" s="53" t="s">
        <v>10483</v>
      </c>
      <c r="U144" s="29" t="s">
        <v>1327</v>
      </c>
    </row>
    <row r="145" spans="1:21" ht="60" x14ac:dyDescent="0.25">
      <c r="A145" s="56">
        <v>43161</v>
      </c>
      <c r="B145" s="29" t="s">
        <v>9240</v>
      </c>
      <c r="C145" s="29" t="s">
        <v>603</v>
      </c>
      <c r="D145" s="29" t="s">
        <v>7814</v>
      </c>
      <c r="E145" s="29" t="s">
        <v>588</v>
      </c>
      <c r="F145" s="29" t="s">
        <v>10404</v>
      </c>
      <c r="G145" s="29" t="s">
        <v>10450</v>
      </c>
      <c r="H145" s="29" t="s">
        <v>607</v>
      </c>
      <c r="J145" s="29" t="s">
        <v>5610</v>
      </c>
      <c r="O145" s="189" t="s">
        <v>4533</v>
      </c>
      <c r="P145" s="53" t="s">
        <v>10452</v>
      </c>
      <c r="Q145" s="53" t="s">
        <v>1939</v>
      </c>
      <c r="R145" s="53" t="s">
        <v>10451</v>
      </c>
      <c r="U145" s="29" t="s">
        <v>491</v>
      </c>
    </row>
    <row r="146" spans="1:21" ht="90" x14ac:dyDescent="0.25">
      <c r="A146" s="56">
        <v>43161</v>
      </c>
      <c r="B146" s="29" t="s">
        <v>9240</v>
      </c>
      <c r="C146" s="29" t="s">
        <v>603</v>
      </c>
      <c r="D146" s="29" t="s">
        <v>9849</v>
      </c>
      <c r="E146" s="29" t="s">
        <v>588</v>
      </c>
      <c r="F146" s="29" t="s">
        <v>10487</v>
      </c>
      <c r="G146" s="29" t="s">
        <v>10488</v>
      </c>
      <c r="H146" s="29" t="s">
        <v>607</v>
      </c>
      <c r="I146" s="29" t="s">
        <v>10489</v>
      </c>
      <c r="J146" s="29" t="s">
        <v>4031</v>
      </c>
      <c r="L146" s="182">
        <v>2</v>
      </c>
      <c r="M146" s="113">
        <v>650000</v>
      </c>
      <c r="N146" s="113">
        <v>1040000</v>
      </c>
      <c r="O146" s="189" t="s">
        <v>10766</v>
      </c>
      <c r="P146" s="53" t="s">
        <v>10622</v>
      </c>
      <c r="Q146" s="53" t="s">
        <v>592</v>
      </c>
      <c r="R146" s="53" t="s">
        <v>10492</v>
      </c>
      <c r="U146" s="29" t="s">
        <v>1327</v>
      </c>
    </row>
    <row r="147" spans="1:21" ht="150" x14ac:dyDescent="0.25">
      <c r="A147" s="56">
        <v>43161</v>
      </c>
      <c r="B147" s="29" t="s">
        <v>9240</v>
      </c>
      <c r="C147" s="29" t="s">
        <v>603</v>
      </c>
      <c r="D147" s="29" t="s">
        <v>9241</v>
      </c>
      <c r="E147" s="29" t="s">
        <v>588</v>
      </c>
      <c r="F147" s="29" t="s">
        <v>10490</v>
      </c>
      <c r="G147" s="29" t="s">
        <v>10490</v>
      </c>
      <c r="H147" s="29" t="s">
        <v>809</v>
      </c>
      <c r="I147" s="29" t="s">
        <v>10491</v>
      </c>
      <c r="J147" s="29" t="s">
        <v>5402</v>
      </c>
      <c r="L147" s="182">
        <v>9</v>
      </c>
      <c r="M147" s="113">
        <v>4500000</v>
      </c>
      <c r="N147" s="113">
        <v>4950000</v>
      </c>
      <c r="O147" s="189" t="s">
        <v>10766</v>
      </c>
      <c r="P147" s="53" t="s">
        <v>10753</v>
      </c>
      <c r="Q147" s="53" t="s">
        <v>620</v>
      </c>
      <c r="R147" s="53" t="s">
        <v>10493</v>
      </c>
      <c r="U147" s="29" t="s">
        <v>1327</v>
      </c>
    </row>
    <row r="148" spans="1:21" ht="45" x14ac:dyDescent="0.25">
      <c r="A148" s="56">
        <v>43161</v>
      </c>
      <c r="B148" s="29" t="s">
        <v>328</v>
      </c>
      <c r="C148" s="29" t="s">
        <v>603</v>
      </c>
      <c r="D148" s="29" t="s">
        <v>7595</v>
      </c>
      <c r="E148" s="29" t="s">
        <v>588</v>
      </c>
      <c r="F148" s="29" t="s">
        <v>10494</v>
      </c>
      <c r="G148" s="29" t="s">
        <v>10495</v>
      </c>
      <c r="H148" s="29" t="s">
        <v>607</v>
      </c>
      <c r="J148" s="29" t="s">
        <v>899</v>
      </c>
      <c r="L148" s="182">
        <v>3</v>
      </c>
      <c r="M148" s="113">
        <v>1615696</v>
      </c>
      <c r="N148" s="113">
        <v>3069824</v>
      </c>
      <c r="O148" s="189" t="s">
        <v>560</v>
      </c>
      <c r="P148" s="53" t="s">
        <v>10496</v>
      </c>
      <c r="Q148" s="53" t="s">
        <v>1939</v>
      </c>
      <c r="R148" s="53" t="s">
        <v>10497</v>
      </c>
      <c r="U148" s="29" t="s">
        <v>1327</v>
      </c>
    </row>
    <row r="149" spans="1:21" ht="75" x14ac:dyDescent="0.25">
      <c r="A149" s="56">
        <v>43164</v>
      </c>
      <c r="B149" s="29" t="s">
        <v>643</v>
      </c>
      <c r="C149" s="29" t="s">
        <v>644</v>
      </c>
      <c r="D149" s="29" t="s">
        <v>645</v>
      </c>
      <c r="E149" s="29" t="s">
        <v>588</v>
      </c>
      <c r="F149" s="29" t="s">
        <v>10453</v>
      </c>
      <c r="G149" s="29" t="s">
        <v>10454</v>
      </c>
      <c r="H149" s="29" t="s">
        <v>607</v>
      </c>
      <c r="I149" s="29" t="s">
        <v>10455</v>
      </c>
      <c r="J149" s="29" t="s">
        <v>644</v>
      </c>
      <c r="M149" s="113">
        <v>348000</v>
      </c>
      <c r="O149" s="189" t="s">
        <v>2295</v>
      </c>
      <c r="P149" s="53" t="s">
        <v>10623</v>
      </c>
      <c r="Q149" s="53" t="s">
        <v>29</v>
      </c>
      <c r="R149" s="53" t="s">
        <v>10456</v>
      </c>
      <c r="U149" s="29" t="s">
        <v>491</v>
      </c>
    </row>
    <row r="150" spans="1:21" ht="75" x14ac:dyDescent="0.25">
      <c r="A150" s="56">
        <v>43164</v>
      </c>
      <c r="B150" s="29" t="s">
        <v>569</v>
      </c>
      <c r="C150" s="29" t="s">
        <v>899</v>
      </c>
      <c r="D150" s="29" t="s">
        <v>625</v>
      </c>
      <c r="E150" s="29" t="s">
        <v>588</v>
      </c>
      <c r="F150" s="29" t="s">
        <v>10457</v>
      </c>
      <c r="G150" s="29" t="s">
        <v>10458</v>
      </c>
      <c r="H150" s="29" t="s">
        <v>607</v>
      </c>
      <c r="J150" s="29" t="s">
        <v>899</v>
      </c>
      <c r="O150" s="189" t="s">
        <v>10765</v>
      </c>
      <c r="P150" s="53" t="s">
        <v>10459</v>
      </c>
      <c r="Q150" s="53" t="s">
        <v>1939</v>
      </c>
      <c r="R150" s="53" t="s">
        <v>10460</v>
      </c>
      <c r="U150" s="29" t="s">
        <v>491</v>
      </c>
    </row>
    <row r="151" spans="1:21" ht="150" x14ac:dyDescent="0.25">
      <c r="A151" s="56">
        <v>43164</v>
      </c>
      <c r="B151" s="29" t="s">
        <v>328</v>
      </c>
      <c r="C151" s="29" t="s">
        <v>603</v>
      </c>
      <c r="D151" s="29" t="s">
        <v>649</v>
      </c>
      <c r="E151" s="29" t="s">
        <v>588</v>
      </c>
      <c r="F151" s="29" t="s">
        <v>10498</v>
      </c>
      <c r="G151" s="29" t="s">
        <v>10499</v>
      </c>
      <c r="H151" s="29" t="s">
        <v>607</v>
      </c>
      <c r="J151" s="29" t="s">
        <v>6329</v>
      </c>
      <c r="L151" s="182">
        <v>4</v>
      </c>
      <c r="M151" s="113">
        <v>1300000</v>
      </c>
      <c r="N151" s="113">
        <v>2080000</v>
      </c>
      <c r="O151" s="189" t="s">
        <v>4533</v>
      </c>
      <c r="P151" s="53" t="s">
        <v>10500</v>
      </c>
      <c r="Q151" s="53" t="s">
        <v>592</v>
      </c>
      <c r="R151" s="53" t="s">
        <v>10504</v>
      </c>
      <c r="U151" s="29" t="s">
        <v>1327</v>
      </c>
    </row>
    <row r="152" spans="1:21" ht="30" x14ac:dyDescent="0.25">
      <c r="A152" s="56">
        <v>43164</v>
      </c>
      <c r="B152" s="29" t="s">
        <v>328</v>
      </c>
      <c r="C152" s="29" t="s">
        <v>603</v>
      </c>
      <c r="D152" s="29" t="s">
        <v>7595</v>
      </c>
      <c r="E152" s="29" t="s">
        <v>588</v>
      </c>
      <c r="F152" s="29" t="s">
        <v>10501</v>
      </c>
      <c r="G152" s="29" t="s">
        <v>10502</v>
      </c>
      <c r="H152" s="29" t="s">
        <v>10831</v>
      </c>
      <c r="J152" s="29" t="s">
        <v>3885</v>
      </c>
      <c r="L152" s="182">
        <v>10</v>
      </c>
      <c r="M152" s="113">
        <v>120000</v>
      </c>
      <c r="N152" s="113">
        <v>204000</v>
      </c>
      <c r="O152" s="189" t="s">
        <v>7124</v>
      </c>
      <c r="P152" s="53" t="s">
        <v>10503</v>
      </c>
      <c r="Q152" s="53" t="s">
        <v>1939</v>
      </c>
      <c r="R152" s="53" t="s">
        <v>10505</v>
      </c>
      <c r="U152" s="29" t="s">
        <v>1327</v>
      </c>
    </row>
    <row r="153" spans="1:21" ht="75" x14ac:dyDescent="0.25">
      <c r="A153" s="56">
        <v>43164</v>
      </c>
      <c r="B153" s="29" t="s">
        <v>643</v>
      </c>
      <c r="C153" s="29" t="s">
        <v>644</v>
      </c>
      <c r="D153" s="29" t="s">
        <v>645</v>
      </c>
      <c r="E153" s="29" t="s">
        <v>588</v>
      </c>
      <c r="F153" s="29" t="s">
        <v>10506</v>
      </c>
      <c r="G153" s="29" t="s">
        <v>10507</v>
      </c>
      <c r="H153" s="29" t="s">
        <v>607</v>
      </c>
      <c r="I153" s="29" t="s">
        <v>7022</v>
      </c>
      <c r="J153" s="29" t="s">
        <v>644</v>
      </c>
      <c r="L153" s="182">
        <v>2</v>
      </c>
      <c r="M153" s="113">
        <v>1400000</v>
      </c>
      <c r="N153" s="113">
        <v>2800000</v>
      </c>
      <c r="O153" s="189" t="s">
        <v>4533</v>
      </c>
      <c r="P153" s="53" t="s">
        <v>10509</v>
      </c>
      <c r="Q153" s="53" t="s">
        <v>1939</v>
      </c>
      <c r="R153" s="53" t="s">
        <v>10508</v>
      </c>
      <c r="U153" s="29" t="s">
        <v>1327</v>
      </c>
    </row>
    <row r="154" spans="1:21" ht="45" x14ac:dyDescent="0.25">
      <c r="A154" s="56">
        <v>43165</v>
      </c>
      <c r="B154" s="29" t="s">
        <v>569</v>
      </c>
      <c r="C154" s="29" t="s">
        <v>899</v>
      </c>
      <c r="D154" s="29" t="s">
        <v>625</v>
      </c>
      <c r="E154" s="29" t="s">
        <v>821</v>
      </c>
      <c r="F154" s="29" t="s">
        <v>8966</v>
      </c>
      <c r="H154" s="29" t="s">
        <v>607</v>
      </c>
      <c r="J154" s="29" t="s">
        <v>899</v>
      </c>
      <c r="M154" s="113">
        <v>500000</v>
      </c>
      <c r="O154" s="189" t="s">
        <v>10766</v>
      </c>
      <c r="P154" s="53" t="s">
        <v>10461</v>
      </c>
      <c r="Q154" s="53" t="s">
        <v>1939</v>
      </c>
      <c r="R154" s="53" t="s">
        <v>10462</v>
      </c>
      <c r="U154" s="29" t="s">
        <v>491</v>
      </c>
    </row>
    <row r="155" spans="1:21" ht="90" x14ac:dyDescent="0.25">
      <c r="A155" s="56">
        <v>43165</v>
      </c>
      <c r="B155" s="29" t="s">
        <v>569</v>
      </c>
      <c r="C155" s="29" t="s">
        <v>899</v>
      </c>
      <c r="D155" s="29" t="s">
        <v>930</v>
      </c>
      <c r="E155" s="29" t="s">
        <v>821</v>
      </c>
      <c r="F155" s="29" t="s">
        <v>10463</v>
      </c>
      <c r="G155" s="29" t="s">
        <v>256</v>
      </c>
      <c r="H155" s="29" t="s">
        <v>607</v>
      </c>
      <c r="I155" s="29" t="s">
        <v>8479</v>
      </c>
      <c r="J155" s="29" t="s">
        <v>899</v>
      </c>
      <c r="O155" s="189" t="s">
        <v>10766</v>
      </c>
      <c r="P155" s="53" t="s">
        <v>10624</v>
      </c>
      <c r="Q155" s="53" t="s">
        <v>1939</v>
      </c>
      <c r="R155" s="53" t="s">
        <v>10468</v>
      </c>
      <c r="U155" s="29" t="s">
        <v>491</v>
      </c>
    </row>
    <row r="156" spans="1:21" ht="135" x14ac:dyDescent="0.25">
      <c r="A156" s="56">
        <v>43165</v>
      </c>
      <c r="B156" s="29" t="s">
        <v>328</v>
      </c>
      <c r="C156" s="29" t="s">
        <v>603</v>
      </c>
      <c r="D156" s="29" t="s">
        <v>2397</v>
      </c>
      <c r="E156" s="29" t="s">
        <v>588</v>
      </c>
      <c r="F156" s="29" t="s">
        <v>10510</v>
      </c>
      <c r="G156" s="29" t="s">
        <v>10511</v>
      </c>
      <c r="H156" s="29" t="s">
        <v>607</v>
      </c>
      <c r="J156" s="29" t="s">
        <v>3751</v>
      </c>
      <c r="L156" s="182" t="s">
        <v>10512</v>
      </c>
      <c r="M156" s="113">
        <v>301000</v>
      </c>
      <c r="N156" s="113">
        <v>561800</v>
      </c>
      <c r="O156" s="189" t="s">
        <v>4533</v>
      </c>
      <c r="P156" s="53" t="s">
        <v>10625</v>
      </c>
      <c r="Q156" s="53" t="s">
        <v>1939</v>
      </c>
      <c r="R156" s="53" t="s">
        <v>10513</v>
      </c>
      <c r="U156" s="29" t="s">
        <v>1327</v>
      </c>
    </row>
    <row r="157" spans="1:21" ht="75" x14ac:dyDescent="0.25">
      <c r="A157" s="56">
        <v>43165</v>
      </c>
      <c r="B157" s="29" t="s">
        <v>569</v>
      </c>
      <c r="C157" s="29" t="s">
        <v>899</v>
      </c>
      <c r="D157" s="29" t="s">
        <v>625</v>
      </c>
      <c r="E157" s="29" t="s">
        <v>588</v>
      </c>
      <c r="F157" s="29" t="s">
        <v>8622</v>
      </c>
      <c r="G157" s="29" t="s">
        <v>10515</v>
      </c>
      <c r="H157" s="29" t="s">
        <v>607</v>
      </c>
      <c r="I157" s="29" t="s">
        <v>3649</v>
      </c>
      <c r="J157" s="29" t="s">
        <v>899</v>
      </c>
      <c r="L157" s="182">
        <v>4</v>
      </c>
      <c r="M157" s="113">
        <v>1200000</v>
      </c>
      <c r="N157" s="113">
        <v>1450000</v>
      </c>
      <c r="O157" s="189" t="s">
        <v>560</v>
      </c>
      <c r="P157" s="53" t="s">
        <v>10626</v>
      </c>
      <c r="Q157" s="53" t="s">
        <v>1939</v>
      </c>
      <c r="R157" s="53" t="s">
        <v>10514</v>
      </c>
      <c r="U157" s="29" t="s">
        <v>1327</v>
      </c>
    </row>
    <row r="158" spans="1:21" ht="75" x14ac:dyDescent="0.25">
      <c r="A158" s="56">
        <v>43165</v>
      </c>
      <c r="B158" s="29" t="s">
        <v>328</v>
      </c>
      <c r="C158" s="29" t="s">
        <v>603</v>
      </c>
      <c r="D158" s="29" t="s">
        <v>649</v>
      </c>
      <c r="E158" s="29" t="s">
        <v>588</v>
      </c>
      <c r="F158" s="29" t="s">
        <v>10516</v>
      </c>
      <c r="G158" s="29" t="s">
        <v>8396</v>
      </c>
      <c r="H158" s="29" t="s">
        <v>607</v>
      </c>
      <c r="I158" s="29" t="s">
        <v>10517</v>
      </c>
      <c r="J158" s="29" t="s">
        <v>6015</v>
      </c>
      <c r="M158" s="113">
        <v>405000</v>
      </c>
      <c r="N158" s="113">
        <v>911250</v>
      </c>
      <c r="O158" s="189" t="s">
        <v>4533</v>
      </c>
      <c r="P158" s="53" t="s">
        <v>10518</v>
      </c>
      <c r="Q158" s="53" t="s">
        <v>1939</v>
      </c>
      <c r="R158" s="53" t="s">
        <v>10754</v>
      </c>
      <c r="U158" s="29" t="s">
        <v>1327</v>
      </c>
    </row>
    <row r="159" spans="1:21" ht="120" x14ac:dyDescent="0.25">
      <c r="A159" s="56">
        <v>43166</v>
      </c>
      <c r="B159" s="29" t="s">
        <v>569</v>
      </c>
      <c r="C159" s="29" t="s">
        <v>899</v>
      </c>
      <c r="D159" s="29" t="s">
        <v>625</v>
      </c>
      <c r="E159" s="29" t="s">
        <v>821</v>
      </c>
      <c r="F159" s="29" t="s">
        <v>10464</v>
      </c>
      <c r="G159" s="29" t="s">
        <v>10465</v>
      </c>
      <c r="H159" s="29" t="s">
        <v>10831</v>
      </c>
      <c r="I159" s="29" t="s">
        <v>3452</v>
      </c>
      <c r="J159" s="29" t="s">
        <v>899</v>
      </c>
      <c r="L159" s="182">
        <v>10</v>
      </c>
      <c r="M159" s="113">
        <v>1000000</v>
      </c>
      <c r="N159" s="113">
        <v>2000000</v>
      </c>
      <c r="O159" s="189" t="s">
        <v>10763</v>
      </c>
      <c r="P159" s="53" t="s">
        <v>10466</v>
      </c>
      <c r="Q159" s="53" t="s">
        <v>1939</v>
      </c>
      <c r="R159" s="53" t="s">
        <v>10467</v>
      </c>
      <c r="U159" s="29" t="s">
        <v>491</v>
      </c>
    </row>
    <row r="160" spans="1:21" ht="120" x14ac:dyDescent="0.25">
      <c r="A160" s="56">
        <v>43166</v>
      </c>
      <c r="B160" s="29" t="s">
        <v>5176</v>
      </c>
      <c r="C160" s="29" t="s">
        <v>604</v>
      </c>
      <c r="D160" s="29" t="s">
        <v>727</v>
      </c>
      <c r="E160" s="29" t="s">
        <v>588</v>
      </c>
      <c r="F160" s="29" t="s">
        <v>10521</v>
      </c>
      <c r="G160" s="29" t="s">
        <v>10521</v>
      </c>
      <c r="H160" s="29" t="s">
        <v>10831</v>
      </c>
      <c r="I160" s="29" t="s">
        <v>10520</v>
      </c>
      <c r="J160" s="29" t="s">
        <v>3369</v>
      </c>
      <c r="L160" s="182">
        <v>9</v>
      </c>
      <c r="M160" s="113">
        <v>1520000</v>
      </c>
      <c r="N160" s="113">
        <v>2347600</v>
      </c>
      <c r="O160" s="189" t="s">
        <v>7124</v>
      </c>
      <c r="P160" s="53" t="s">
        <v>10519</v>
      </c>
      <c r="Q160" s="53" t="s">
        <v>1939</v>
      </c>
      <c r="R160" s="53" t="s">
        <v>10627</v>
      </c>
      <c r="U160" s="29" t="s">
        <v>1327</v>
      </c>
    </row>
    <row r="161" spans="1:21" ht="45" x14ac:dyDescent="0.25">
      <c r="A161" s="56">
        <v>43166</v>
      </c>
      <c r="B161" s="29" t="s">
        <v>643</v>
      </c>
      <c r="C161" s="29" t="s">
        <v>644</v>
      </c>
      <c r="D161" s="29" t="s">
        <v>3132</v>
      </c>
      <c r="E161" s="29" t="s">
        <v>588</v>
      </c>
      <c r="F161" s="29" t="s">
        <v>9299</v>
      </c>
      <c r="G161" s="29" t="s">
        <v>10523</v>
      </c>
      <c r="H161" s="29" t="s">
        <v>886</v>
      </c>
      <c r="L161" s="182">
        <v>10</v>
      </c>
      <c r="N161" s="113">
        <v>1500000</v>
      </c>
      <c r="O161" s="189" t="s">
        <v>560</v>
      </c>
      <c r="P161" s="53" t="s">
        <v>10628</v>
      </c>
      <c r="Q161" s="53" t="s">
        <v>1939</v>
      </c>
      <c r="R161" s="53" t="s">
        <v>10522</v>
      </c>
      <c r="U161" s="29" t="s">
        <v>1327</v>
      </c>
    </row>
    <row r="162" spans="1:21" ht="75" x14ac:dyDescent="0.25">
      <c r="A162" s="56">
        <v>43167</v>
      </c>
      <c r="B162" s="29" t="s">
        <v>569</v>
      </c>
      <c r="C162" s="29" t="s">
        <v>899</v>
      </c>
      <c r="D162" s="29" t="s">
        <v>624</v>
      </c>
      <c r="E162" s="29" t="s">
        <v>588</v>
      </c>
      <c r="F162" s="29" t="s">
        <v>10469</v>
      </c>
      <c r="G162" s="29" t="s">
        <v>10470</v>
      </c>
      <c r="H162" s="29" t="s">
        <v>607</v>
      </c>
      <c r="I162" s="29" t="s">
        <v>5910</v>
      </c>
      <c r="J162" s="29" t="s">
        <v>899</v>
      </c>
      <c r="M162" s="113">
        <v>975000</v>
      </c>
      <c r="N162" s="113">
        <v>2000000</v>
      </c>
      <c r="O162" s="189" t="s">
        <v>7564</v>
      </c>
      <c r="P162" s="53" t="s">
        <v>10471</v>
      </c>
      <c r="Q162" s="53" t="s">
        <v>1939</v>
      </c>
      <c r="R162" s="53" t="s">
        <v>10472</v>
      </c>
      <c r="U162" s="29" t="s">
        <v>491</v>
      </c>
    </row>
    <row r="163" spans="1:21" ht="60" x14ac:dyDescent="0.25">
      <c r="A163" s="56">
        <v>43167</v>
      </c>
      <c r="B163" s="29" t="s">
        <v>569</v>
      </c>
      <c r="C163" s="29" t="s">
        <v>899</v>
      </c>
      <c r="D163" s="29" t="s">
        <v>624</v>
      </c>
      <c r="E163" s="29" t="s">
        <v>588</v>
      </c>
      <c r="F163" s="29" t="s">
        <v>10531</v>
      </c>
      <c r="G163" s="29" t="s">
        <v>10532</v>
      </c>
      <c r="H163" s="29" t="s">
        <v>607</v>
      </c>
      <c r="I163" s="29" t="s">
        <v>10533</v>
      </c>
      <c r="J163" s="29" t="s">
        <v>899</v>
      </c>
      <c r="L163" s="182">
        <v>4</v>
      </c>
      <c r="M163" s="113">
        <v>2177000</v>
      </c>
      <c r="N163" s="113">
        <v>3304000</v>
      </c>
      <c r="O163" s="189" t="s">
        <v>560</v>
      </c>
      <c r="P163" s="53" t="s">
        <v>10755</v>
      </c>
      <c r="Q163" s="53" t="s">
        <v>592</v>
      </c>
      <c r="R163" s="53" t="s">
        <v>10534</v>
      </c>
      <c r="U163" s="29" t="s">
        <v>1327</v>
      </c>
    </row>
    <row r="164" spans="1:21" ht="45" x14ac:dyDescent="0.25">
      <c r="A164" s="56">
        <v>43167</v>
      </c>
      <c r="B164" s="29" t="s">
        <v>328</v>
      </c>
      <c r="C164" s="29" t="s">
        <v>603</v>
      </c>
      <c r="D164" s="29" t="s">
        <v>649</v>
      </c>
      <c r="E164" s="29" t="s">
        <v>588</v>
      </c>
      <c r="F164" s="29" t="s">
        <v>10537</v>
      </c>
      <c r="G164" s="29" t="s">
        <v>10537</v>
      </c>
      <c r="H164" s="29" t="s">
        <v>10832</v>
      </c>
      <c r="J164" s="29" t="s">
        <v>959</v>
      </c>
      <c r="M164" s="113">
        <v>295000</v>
      </c>
      <c r="N164" s="113">
        <v>369000</v>
      </c>
      <c r="O164" s="189" t="s">
        <v>10764</v>
      </c>
      <c r="P164" s="53" t="s">
        <v>10536</v>
      </c>
      <c r="Q164" s="53" t="s">
        <v>1939</v>
      </c>
      <c r="R164" s="53" t="s">
        <v>10535</v>
      </c>
      <c r="U164" s="29" t="s">
        <v>1327</v>
      </c>
    </row>
    <row r="165" spans="1:21" ht="45" x14ac:dyDescent="0.25">
      <c r="A165" s="56">
        <v>43167</v>
      </c>
      <c r="B165" s="29" t="s">
        <v>5360</v>
      </c>
      <c r="C165" s="29" t="s">
        <v>899</v>
      </c>
      <c r="D165" s="29" t="s">
        <v>732</v>
      </c>
      <c r="E165" s="29" t="s">
        <v>588</v>
      </c>
      <c r="F165" s="29" t="s">
        <v>10538</v>
      </c>
      <c r="G165" s="29" t="s">
        <v>10539</v>
      </c>
      <c r="H165" s="29" t="s">
        <v>886</v>
      </c>
      <c r="I165" s="29" t="s">
        <v>10542</v>
      </c>
      <c r="J165" s="29" t="s">
        <v>899</v>
      </c>
      <c r="M165" s="113">
        <v>1960000</v>
      </c>
      <c r="N165" s="113">
        <v>1960000</v>
      </c>
      <c r="O165" s="189" t="s">
        <v>2295</v>
      </c>
      <c r="P165" s="53" t="s">
        <v>10541</v>
      </c>
      <c r="Q165" s="53" t="s">
        <v>1939</v>
      </c>
      <c r="R165" s="53" t="s">
        <v>10540</v>
      </c>
      <c r="U165" s="29" t="s">
        <v>1327</v>
      </c>
    </row>
    <row r="166" spans="1:21" ht="30" x14ac:dyDescent="0.25">
      <c r="A166" s="56">
        <v>43168</v>
      </c>
      <c r="B166" s="29" t="s">
        <v>328</v>
      </c>
      <c r="C166" s="29" t="s">
        <v>603</v>
      </c>
      <c r="D166" s="29" t="s">
        <v>2397</v>
      </c>
      <c r="E166" s="29" t="s">
        <v>588</v>
      </c>
      <c r="F166" s="29" t="s">
        <v>8776</v>
      </c>
      <c r="G166" s="29" t="s">
        <v>10543</v>
      </c>
      <c r="H166" s="29" t="s">
        <v>607</v>
      </c>
      <c r="J166" s="29" t="s">
        <v>3733</v>
      </c>
      <c r="L166" s="182">
        <v>1</v>
      </c>
      <c r="M166" s="113">
        <v>1600000</v>
      </c>
      <c r="N166" s="113">
        <v>3040000</v>
      </c>
      <c r="O166" s="189" t="s">
        <v>7564</v>
      </c>
      <c r="P166" s="53" t="s">
        <v>10544</v>
      </c>
      <c r="Q166" s="53" t="s">
        <v>1939</v>
      </c>
      <c r="R166" s="53" t="s">
        <v>10545</v>
      </c>
      <c r="U166" s="29" t="s">
        <v>1327</v>
      </c>
    </row>
    <row r="167" spans="1:21" ht="120" x14ac:dyDescent="0.25">
      <c r="A167" s="56">
        <v>43168</v>
      </c>
      <c r="B167" s="29" t="s">
        <v>328</v>
      </c>
      <c r="C167" s="29" t="s">
        <v>603</v>
      </c>
      <c r="D167" s="29" t="s">
        <v>2397</v>
      </c>
      <c r="E167" s="29" t="s">
        <v>588</v>
      </c>
      <c r="F167" s="29" t="s">
        <v>8366</v>
      </c>
      <c r="G167" s="29" t="s">
        <v>10548</v>
      </c>
      <c r="H167" s="29" t="s">
        <v>607</v>
      </c>
      <c r="J167" s="29" t="s">
        <v>3374</v>
      </c>
      <c r="L167" s="182">
        <v>5</v>
      </c>
      <c r="M167" s="113">
        <v>193800</v>
      </c>
      <c r="N167" s="113">
        <v>415410</v>
      </c>
      <c r="O167" s="189" t="s">
        <v>4533</v>
      </c>
      <c r="P167" s="53" t="s">
        <v>10547</v>
      </c>
      <c r="Q167" s="53" t="s">
        <v>1939</v>
      </c>
      <c r="R167" s="184" t="s">
        <v>10546</v>
      </c>
      <c r="U167" s="29" t="s">
        <v>1327</v>
      </c>
    </row>
    <row r="168" spans="1:21" ht="120" x14ac:dyDescent="0.25">
      <c r="A168" s="56">
        <v>43168</v>
      </c>
      <c r="B168" s="29" t="s">
        <v>569</v>
      </c>
      <c r="C168" s="29" t="s">
        <v>899</v>
      </c>
      <c r="D168" s="29" t="s">
        <v>625</v>
      </c>
      <c r="E168" s="29" t="s">
        <v>588</v>
      </c>
      <c r="F168" s="29" t="s">
        <v>10549</v>
      </c>
      <c r="G168" s="29" t="s">
        <v>10550</v>
      </c>
      <c r="H168" s="29" t="s">
        <v>607</v>
      </c>
      <c r="I168" s="29" t="s">
        <v>4563</v>
      </c>
      <c r="J168" s="29" t="s">
        <v>899</v>
      </c>
      <c r="M168" s="113">
        <v>1600000</v>
      </c>
      <c r="N168" s="113">
        <v>2460000</v>
      </c>
      <c r="O168" s="189" t="s">
        <v>10766</v>
      </c>
      <c r="P168" s="53" t="s">
        <v>10629</v>
      </c>
      <c r="Q168" s="53" t="s">
        <v>1939</v>
      </c>
      <c r="R168" s="53" t="s">
        <v>10656</v>
      </c>
      <c r="U168" s="29" t="s">
        <v>1327</v>
      </c>
    </row>
    <row r="169" spans="1:21" ht="15.75" x14ac:dyDescent="0.25">
      <c r="A169" s="56">
        <v>43168</v>
      </c>
      <c r="B169" s="29" t="s">
        <v>569</v>
      </c>
      <c r="C169" s="29" t="s">
        <v>899</v>
      </c>
      <c r="D169" s="29" t="s">
        <v>624</v>
      </c>
      <c r="E169" s="29" t="s">
        <v>588</v>
      </c>
      <c r="F169" s="29" t="s">
        <v>10554</v>
      </c>
      <c r="G169" s="29" t="s">
        <v>10553</v>
      </c>
      <c r="H169" s="29" t="s">
        <v>607</v>
      </c>
      <c r="I169" s="29" t="s">
        <v>3649</v>
      </c>
      <c r="J169" s="29" t="s">
        <v>899</v>
      </c>
      <c r="M169" s="113">
        <v>1431000</v>
      </c>
      <c r="N169" s="113">
        <v>1681000</v>
      </c>
      <c r="O169" s="189" t="s">
        <v>560</v>
      </c>
      <c r="P169" s="53" t="s">
        <v>10552</v>
      </c>
      <c r="Q169" s="53" t="s">
        <v>592</v>
      </c>
      <c r="R169" s="53" t="s">
        <v>10551</v>
      </c>
      <c r="U169" s="29" t="s">
        <v>1327</v>
      </c>
    </row>
    <row r="170" spans="1:21" ht="45" x14ac:dyDescent="0.25">
      <c r="A170" s="56">
        <v>43171</v>
      </c>
      <c r="B170" s="29" t="s">
        <v>569</v>
      </c>
      <c r="C170" s="29" t="s">
        <v>899</v>
      </c>
      <c r="D170" s="29" t="s">
        <v>930</v>
      </c>
      <c r="E170" s="29" t="s">
        <v>588</v>
      </c>
      <c r="F170" s="29" t="s">
        <v>10557</v>
      </c>
      <c r="G170" s="29" t="s">
        <v>10556</v>
      </c>
      <c r="H170" s="29" t="s">
        <v>607</v>
      </c>
      <c r="I170" s="29" t="s">
        <v>5621</v>
      </c>
      <c r="J170" s="29" t="s">
        <v>899</v>
      </c>
      <c r="L170" s="182">
        <v>4</v>
      </c>
      <c r="M170" s="113">
        <v>309000</v>
      </c>
      <c r="N170" s="113">
        <v>556200</v>
      </c>
      <c r="O170" s="189" t="s">
        <v>10766</v>
      </c>
      <c r="P170" s="53" t="s">
        <v>10774</v>
      </c>
      <c r="Q170" s="53" t="s">
        <v>592</v>
      </c>
      <c r="R170" s="53" t="s">
        <v>10555</v>
      </c>
      <c r="U170" s="29" t="s">
        <v>1327</v>
      </c>
    </row>
    <row r="171" spans="1:21" ht="60" x14ac:dyDescent="0.25">
      <c r="A171" s="56">
        <v>43171</v>
      </c>
      <c r="B171" s="29" t="s">
        <v>569</v>
      </c>
      <c r="C171" s="29" t="s">
        <v>899</v>
      </c>
      <c r="D171" s="29" t="s">
        <v>625</v>
      </c>
      <c r="E171" s="29" t="s">
        <v>588</v>
      </c>
      <c r="F171" s="29" t="s">
        <v>10558</v>
      </c>
      <c r="G171" s="29" t="s">
        <v>10559</v>
      </c>
      <c r="H171" s="29" t="s">
        <v>905</v>
      </c>
      <c r="I171" s="29" t="s">
        <v>10560</v>
      </c>
      <c r="J171" s="29" t="s">
        <v>899</v>
      </c>
      <c r="M171" s="113">
        <v>175000</v>
      </c>
      <c r="N171" s="126">
        <v>2134000</v>
      </c>
      <c r="O171" s="189" t="s">
        <v>10766</v>
      </c>
      <c r="P171" s="53" t="s">
        <v>10561</v>
      </c>
      <c r="Q171" s="53" t="s">
        <v>1939</v>
      </c>
      <c r="R171" s="53" t="s">
        <v>10561</v>
      </c>
      <c r="U171" s="29" t="s">
        <v>1327</v>
      </c>
    </row>
    <row r="172" spans="1:21" ht="45" x14ac:dyDescent="0.25">
      <c r="A172" s="56">
        <v>43171</v>
      </c>
      <c r="B172" s="29" t="s">
        <v>328</v>
      </c>
      <c r="C172" s="29" t="s">
        <v>603</v>
      </c>
      <c r="D172" s="29" t="s">
        <v>649</v>
      </c>
      <c r="E172" s="29" t="s">
        <v>588</v>
      </c>
      <c r="F172" s="29" t="s">
        <v>10562</v>
      </c>
      <c r="G172" s="29" t="s">
        <v>8941</v>
      </c>
      <c r="H172" s="29" t="s">
        <v>607</v>
      </c>
      <c r="J172" s="29" t="s">
        <v>3751</v>
      </c>
      <c r="M172" s="113">
        <v>100000</v>
      </c>
      <c r="N172" s="113">
        <v>115000</v>
      </c>
      <c r="O172" s="189" t="s">
        <v>4533</v>
      </c>
      <c r="P172" s="53" t="s">
        <v>10756</v>
      </c>
      <c r="Q172" s="53" t="s">
        <v>1939</v>
      </c>
      <c r="R172" s="53" t="s">
        <v>10563</v>
      </c>
      <c r="U172" s="29" t="s">
        <v>1327</v>
      </c>
    </row>
    <row r="173" spans="1:21" ht="45" x14ac:dyDescent="0.25">
      <c r="A173" s="56">
        <v>43171</v>
      </c>
      <c r="B173" s="29" t="s">
        <v>9240</v>
      </c>
      <c r="C173" s="29" t="s">
        <v>899</v>
      </c>
      <c r="D173" s="29" t="s">
        <v>9241</v>
      </c>
      <c r="E173" s="29" t="s">
        <v>588</v>
      </c>
      <c r="F173" s="29" t="s">
        <v>10564</v>
      </c>
      <c r="G173" s="29" t="s">
        <v>10565</v>
      </c>
      <c r="H173" s="29" t="s">
        <v>607</v>
      </c>
      <c r="I173" s="29" t="s">
        <v>6787</v>
      </c>
      <c r="J173" s="29" t="s">
        <v>603</v>
      </c>
      <c r="L173" s="182">
        <v>2</v>
      </c>
      <c r="M173" s="113">
        <v>650000</v>
      </c>
      <c r="N173" s="113">
        <v>7475000</v>
      </c>
      <c r="O173" s="189" t="s">
        <v>10879</v>
      </c>
      <c r="P173" s="53" t="s">
        <v>10566</v>
      </c>
      <c r="Q173" s="53" t="s">
        <v>1939</v>
      </c>
      <c r="R173" s="53" t="s">
        <v>10567</v>
      </c>
      <c r="U173" s="29" t="s">
        <v>1327</v>
      </c>
    </row>
    <row r="174" spans="1:21" ht="45" x14ac:dyDescent="0.25">
      <c r="A174" s="56">
        <v>43172</v>
      </c>
      <c r="B174" s="29" t="s">
        <v>569</v>
      </c>
      <c r="C174" s="29" t="s">
        <v>899</v>
      </c>
      <c r="D174" s="29" t="s">
        <v>625</v>
      </c>
      <c r="E174" s="29" t="s">
        <v>821</v>
      </c>
      <c r="F174" s="29" t="s">
        <v>10473</v>
      </c>
      <c r="G174" s="29" t="s">
        <v>10474</v>
      </c>
      <c r="H174" s="29" t="s">
        <v>809</v>
      </c>
      <c r="J174" s="29" t="s">
        <v>899</v>
      </c>
      <c r="O174" s="189" t="s">
        <v>10766</v>
      </c>
      <c r="P174" s="53" t="s">
        <v>10475</v>
      </c>
      <c r="Q174" s="53" t="s">
        <v>592</v>
      </c>
      <c r="R174" s="53" t="s">
        <v>10476</v>
      </c>
      <c r="U174" s="29" t="s">
        <v>491</v>
      </c>
    </row>
    <row r="175" spans="1:21" ht="75" x14ac:dyDescent="0.25">
      <c r="A175" s="56">
        <v>43172</v>
      </c>
      <c r="B175" s="29" t="s">
        <v>328</v>
      </c>
      <c r="C175" s="29" t="s">
        <v>603</v>
      </c>
      <c r="D175" s="29" t="s">
        <v>7595</v>
      </c>
      <c r="E175" s="29" t="s">
        <v>588</v>
      </c>
      <c r="F175" s="29" t="s">
        <v>10568</v>
      </c>
      <c r="G175" s="29" t="s">
        <v>10569</v>
      </c>
      <c r="H175" s="29" t="s">
        <v>607</v>
      </c>
      <c r="J175" s="29" t="s">
        <v>3398</v>
      </c>
      <c r="L175" s="182">
        <v>4</v>
      </c>
      <c r="M175" s="113">
        <v>348000</v>
      </c>
      <c r="N175" s="113">
        <v>696000</v>
      </c>
      <c r="O175" s="189" t="s">
        <v>6745</v>
      </c>
      <c r="P175" s="53" t="s">
        <v>10570</v>
      </c>
      <c r="Q175" s="53" t="s">
        <v>1939</v>
      </c>
      <c r="R175" s="53" t="s">
        <v>10571</v>
      </c>
      <c r="U175" s="29" t="s">
        <v>1327</v>
      </c>
    </row>
    <row r="176" spans="1:21" ht="45" x14ac:dyDescent="0.25">
      <c r="A176" s="56">
        <v>43172</v>
      </c>
      <c r="B176" s="29" t="s">
        <v>569</v>
      </c>
      <c r="C176" s="29" t="s">
        <v>899</v>
      </c>
      <c r="D176" s="29" t="s">
        <v>624</v>
      </c>
      <c r="E176" s="29" t="s">
        <v>588</v>
      </c>
      <c r="F176" s="29" t="s">
        <v>10572</v>
      </c>
      <c r="G176" s="29" t="s">
        <v>10573</v>
      </c>
      <c r="H176" s="29" t="s">
        <v>607</v>
      </c>
      <c r="I176" s="29" t="s">
        <v>10574</v>
      </c>
      <c r="J176" s="29" t="s">
        <v>899</v>
      </c>
      <c r="M176" s="113">
        <v>512000</v>
      </c>
      <c r="N176" s="113">
        <v>10752000</v>
      </c>
      <c r="O176" s="189" t="s">
        <v>10765</v>
      </c>
      <c r="P176" s="53" t="s">
        <v>10575</v>
      </c>
      <c r="Q176" s="53" t="s">
        <v>1939</v>
      </c>
      <c r="R176" s="53" t="s">
        <v>10576</v>
      </c>
      <c r="U176" s="29" t="s">
        <v>1327</v>
      </c>
    </row>
    <row r="177" spans="1:21" ht="105" x14ac:dyDescent="0.25">
      <c r="A177" s="56">
        <v>43172</v>
      </c>
      <c r="B177" s="29" t="s">
        <v>5360</v>
      </c>
      <c r="C177" s="29" t="s">
        <v>899</v>
      </c>
      <c r="D177" s="29" t="s">
        <v>732</v>
      </c>
      <c r="E177" s="29" t="s">
        <v>588</v>
      </c>
      <c r="F177" s="29" t="s">
        <v>10577</v>
      </c>
      <c r="G177" s="29" t="s">
        <v>10578</v>
      </c>
      <c r="H177" s="29" t="s">
        <v>607</v>
      </c>
      <c r="I177" s="29" t="s">
        <v>7799</v>
      </c>
      <c r="J177" s="29" t="s">
        <v>899</v>
      </c>
      <c r="L177" s="182">
        <v>4</v>
      </c>
      <c r="M177" s="113">
        <v>567000</v>
      </c>
      <c r="N177" s="113">
        <v>1020600</v>
      </c>
      <c r="O177" s="189" t="s">
        <v>10879</v>
      </c>
      <c r="P177" s="53" t="s">
        <v>10579</v>
      </c>
      <c r="Q177" s="53" t="s">
        <v>1939</v>
      </c>
      <c r="R177" s="53" t="s">
        <v>10580</v>
      </c>
      <c r="U177" s="29" t="s">
        <v>1327</v>
      </c>
    </row>
    <row r="178" spans="1:21" ht="30" x14ac:dyDescent="0.25">
      <c r="A178" s="56">
        <v>43172</v>
      </c>
      <c r="B178" s="29" t="s">
        <v>569</v>
      </c>
      <c r="C178" s="29" t="s">
        <v>899</v>
      </c>
      <c r="D178" s="29" t="s">
        <v>930</v>
      </c>
      <c r="E178" s="29" t="s">
        <v>588</v>
      </c>
      <c r="F178" s="29" t="s">
        <v>10583</v>
      </c>
      <c r="G178" s="29" t="s">
        <v>10583</v>
      </c>
      <c r="H178" s="29" t="s">
        <v>1050</v>
      </c>
      <c r="I178" s="29" t="s">
        <v>4085</v>
      </c>
      <c r="J178" s="29" t="s">
        <v>899</v>
      </c>
      <c r="O178" s="189" t="s">
        <v>2295</v>
      </c>
      <c r="P178" s="53" t="s">
        <v>10582</v>
      </c>
      <c r="Q178" s="53" t="s">
        <v>592</v>
      </c>
      <c r="R178" s="53" t="s">
        <v>10581</v>
      </c>
      <c r="U178" s="29" t="s">
        <v>1327</v>
      </c>
    </row>
    <row r="179" spans="1:21" ht="45" x14ac:dyDescent="0.25">
      <c r="A179" s="56">
        <v>43172</v>
      </c>
      <c r="B179" s="29" t="s">
        <v>328</v>
      </c>
      <c r="C179" s="29" t="s">
        <v>603</v>
      </c>
      <c r="D179" s="29" t="s">
        <v>649</v>
      </c>
      <c r="E179" s="29" t="s">
        <v>588</v>
      </c>
      <c r="F179" s="29" t="s">
        <v>10584</v>
      </c>
      <c r="G179" s="29" t="s">
        <v>8941</v>
      </c>
      <c r="H179" s="29" t="s">
        <v>10831</v>
      </c>
      <c r="I179" s="29" t="s">
        <v>10585</v>
      </c>
      <c r="J179" s="29" t="s">
        <v>4458</v>
      </c>
      <c r="L179" s="182">
        <v>10</v>
      </c>
      <c r="M179" s="113">
        <v>2214420</v>
      </c>
      <c r="N179" s="113">
        <v>3214530</v>
      </c>
      <c r="O179" s="189" t="s">
        <v>7124</v>
      </c>
      <c r="P179" s="53" t="s">
        <v>10586</v>
      </c>
      <c r="Q179" s="53" t="s">
        <v>1939</v>
      </c>
      <c r="R179" s="53" t="s">
        <v>10630</v>
      </c>
      <c r="U179" s="29" t="s">
        <v>1327</v>
      </c>
    </row>
    <row r="180" spans="1:21" ht="45" x14ac:dyDescent="0.25">
      <c r="A180" s="56">
        <v>43173</v>
      </c>
      <c r="B180" s="29" t="s">
        <v>5473</v>
      </c>
      <c r="C180" s="29" t="s">
        <v>604</v>
      </c>
      <c r="D180" s="29" t="s">
        <v>1495</v>
      </c>
      <c r="E180" s="29" t="s">
        <v>588</v>
      </c>
      <c r="F180" s="29" t="s">
        <v>10484</v>
      </c>
      <c r="H180" s="29" t="s">
        <v>607</v>
      </c>
      <c r="I180" s="29" t="s">
        <v>3809</v>
      </c>
      <c r="J180" s="29" t="s">
        <v>602</v>
      </c>
      <c r="N180" s="113">
        <v>13000000</v>
      </c>
      <c r="O180" s="189" t="s">
        <v>560</v>
      </c>
      <c r="P180" s="53" t="s">
        <v>10485</v>
      </c>
      <c r="Q180" s="53" t="s">
        <v>29</v>
      </c>
      <c r="R180" s="53" t="s">
        <v>10486</v>
      </c>
      <c r="U180" s="29" t="s">
        <v>491</v>
      </c>
    </row>
    <row r="181" spans="1:21" ht="45" x14ac:dyDescent="0.25">
      <c r="A181" s="56">
        <v>43173</v>
      </c>
      <c r="B181" s="29" t="s">
        <v>6076</v>
      </c>
      <c r="C181" s="29" t="s">
        <v>3370</v>
      </c>
      <c r="D181" s="29" t="s">
        <v>10524</v>
      </c>
      <c r="E181" s="29" t="s">
        <v>588</v>
      </c>
      <c r="F181" s="29" t="s">
        <v>10525</v>
      </c>
      <c r="G181" s="29" t="s">
        <v>8267</v>
      </c>
      <c r="H181" s="29" t="s">
        <v>607</v>
      </c>
      <c r="I181" s="29" t="s">
        <v>4016</v>
      </c>
      <c r="J181" s="29" t="s">
        <v>3370</v>
      </c>
      <c r="M181" s="113">
        <v>699000</v>
      </c>
      <c r="O181" s="189" t="s">
        <v>10879</v>
      </c>
      <c r="P181" s="53" t="s">
        <v>10526</v>
      </c>
      <c r="Q181" s="53" t="s">
        <v>592</v>
      </c>
      <c r="R181" s="53" t="s">
        <v>10529</v>
      </c>
      <c r="U181" s="29" t="s">
        <v>491</v>
      </c>
    </row>
    <row r="182" spans="1:21" ht="75" x14ac:dyDescent="0.25">
      <c r="A182" s="56">
        <v>43173</v>
      </c>
      <c r="B182" s="29" t="s">
        <v>569</v>
      </c>
      <c r="C182" s="29" t="s">
        <v>899</v>
      </c>
      <c r="D182" s="29" t="s">
        <v>930</v>
      </c>
      <c r="E182" s="29" t="s">
        <v>588</v>
      </c>
      <c r="F182" s="29" t="s">
        <v>10501</v>
      </c>
      <c r="G182" s="29" t="s">
        <v>10527</v>
      </c>
      <c r="H182" s="29" t="s">
        <v>10832</v>
      </c>
      <c r="I182" s="29" t="s">
        <v>5083</v>
      </c>
      <c r="J182" s="29" t="s">
        <v>899</v>
      </c>
      <c r="O182" s="189" t="s">
        <v>10765</v>
      </c>
      <c r="P182" s="53" t="s">
        <v>10528</v>
      </c>
      <c r="Q182" s="53" t="s">
        <v>1939</v>
      </c>
      <c r="R182" s="53" t="s">
        <v>10530</v>
      </c>
      <c r="U182" s="29" t="s">
        <v>491</v>
      </c>
    </row>
    <row r="183" spans="1:21" ht="30" x14ac:dyDescent="0.25">
      <c r="A183" s="56">
        <v>43173</v>
      </c>
      <c r="B183" s="29" t="s">
        <v>5176</v>
      </c>
      <c r="C183" s="29" t="s">
        <v>604</v>
      </c>
      <c r="D183" s="29" t="s">
        <v>595</v>
      </c>
      <c r="E183" s="29" t="s">
        <v>588</v>
      </c>
      <c r="F183" s="29" t="s">
        <v>10587</v>
      </c>
      <c r="G183" s="29" t="s">
        <v>10587</v>
      </c>
      <c r="H183" s="29" t="s">
        <v>809</v>
      </c>
      <c r="I183" s="29" t="s">
        <v>5396</v>
      </c>
      <c r="J183" s="29" t="s">
        <v>6657</v>
      </c>
      <c r="L183" s="182">
        <v>5</v>
      </c>
      <c r="M183" s="113">
        <v>340000</v>
      </c>
      <c r="N183" s="113">
        <v>374000</v>
      </c>
      <c r="O183" s="189" t="s">
        <v>10763</v>
      </c>
      <c r="P183" s="53" t="s">
        <v>10880</v>
      </c>
      <c r="Q183" s="53" t="s">
        <v>29</v>
      </c>
      <c r="R183" s="53" t="s">
        <v>10588</v>
      </c>
      <c r="S183" s="53" t="s">
        <v>10589</v>
      </c>
      <c r="U183" s="29" t="s">
        <v>1327</v>
      </c>
    </row>
    <row r="184" spans="1:21" ht="45" x14ac:dyDescent="0.25">
      <c r="A184" s="56">
        <v>43173</v>
      </c>
      <c r="B184" s="29" t="s">
        <v>328</v>
      </c>
      <c r="C184" s="29" t="s">
        <v>603</v>
      </c>
      <c r="D184" s="29" t="s">
        <v>7595</v>
      </c>
      <c r="E184" s="29" t="s">
        <v>10290</v>
      </c>
      <c r="F184" s="29" t="s">
        <v>10590</v>
      </c>
      <c r="G184" s="29" t="s">
        <v>10590</v>
      </c>
      <c r="H184" s="29" t="s">
        <v>607</v>
      </c>
      <c r="J184" s="29" t="s">
        <v>3733</v>
      </c>
      <c r="L184" s="182">
        <v>1</v>
      </c>
      <c r="M184" s="113">
        <v>125000</v>
      </c>
      <c r="N184" s="113">
        <v>200000</v>
      </c>
      <c r="O184" s="189" t="s">
        <v>10762</v>
      </c>
      <c r="P184" s="53" t="s">
        <v>10591</v>
      </c>
      <c r="Q184" s="53" t="s">
        <v>1939</v>
      </c>
      <c r="R184" s="53" t="s">
        <v>10592</v>
      </c>
      <c r="U184" s="29" t="s">
        <v>1327</v>
      </c>
    </row>
    <row r="185" spans="1:21" ht="60" x14ac:dyDescent="0.25">
      <c r="A185" s="56">
        <v>43173</v>
      </c>
      <c r="B185" s="29" t="s">
        <v>328</v>
      </c>
      <c r="C185" s="29" t="s">
        <v>603</v>
      </c>
      <c r="D185" s="29" t="s">
        <v>10338</v>
      </c>
      <c r="E185" s="29" t="s">
        <v>588</v>
      </c>
      <c r="F185" s="29" t="s">
        <v>10596</v>
      </c>
      <c r="G185" s="29" t="s">
        <v>2204</v>
      </c>
      <c r="H185" s="29" t="s">
        <v>10831</v>
      </c>
      <c r="I185" s="29" t="s">
        <v>10595</v>
      </c>
      <c r="J185" s="29" t="s">
        <v>8194</v>
      </c>
      <c r="L185" s="182">
        <v>10</v>
      </c>
      <c r="M185" s="113">
        <v>1029996</v>
      </c>
      <c r="N185" s="113">
        <v>1229996</v>
      </c>
      <c r="O185" s="189" t="s">
        <v>7124</v>
      </c>
      <c r="P185" s="53" t="s">
        <v>10594</v>
      </c>
      <c r="Q185" s="53" t="s">
        <v>1939</v>
      </c>
      <c r="R185" s="53" t="s">
        <v>10593</v>
      </c>
      <c r="U185" s="29" t="s">
        <v>1327</v>
      </c>
    </row>
    <row r="186" spans="1:21" ht="45" x14ac:dyDescent="0.25">
      <c r="A186" s="56">
        <v>43174</v>
      </c>
      <c r="B186" s="29" t="s">
        <v>5360</v>
      </c>
      <c r="C186" s="29" t="s">
        <v>899</v>
      </c>
      <c r="D186" s="29" t="s">
        <v>732</v>
      </c>
      <c r="E186" s="29" t="s">
        <v>588</v>
      </c>
      <c r="F186" s="29" t="s">
        <v>10597</v>
      </c>
      <c r="G186" s="29" t="s">
        <v>10598</v>
      </c>
      <c r="H186" s="29" t="s">
        <v>886</v>
      </c>
      <c r="I186" s="29" t="s">
        <v>10599</v>
      </c>
      <c r="J186" s="29" t="s">
        <v>899</v>
      </c>
      <c r="L186" s="182">
        <v>3</v>
      </c>
      <c r="M186" s="113">
        <v>2500000</v>
      </c>
      <c r="N186" s="113">
        <v>2600000</v>
      </c>
      <c r="O186" s="189" t="s">
        <v>2295</v>
      </c>
      <c r="P186" s="53" t="s">
        <v>10600</v>
      </c>
      <c r="Q186" s="53" t="s">
        <v>29</v>
      </c>
      <c r="R186" s="53" t="s">
        <v>10601</v>
      </c>
      <c r="U186" s="29" t="s">
        <v>1327</v>
      </c>
    </row>
    <row r="187" spans="1:21" ht="30" x14ac:dyDescent="0.25">
      <c r="A187" s="56">
        <v>43174</v>
      </c>
      <c r="B187" s="29" t="s">
        <v>5176</v>
      </c>
      <c r="C187" s="29" t="s">
        <v>604</v>
      </c>
      <c r="D187" s="29" t="s">
        <v>6995</v>
      </c>
      <c r="E187" s="29" t="s">
        <v>588</v>
      </c>
      <c r="F187" s="29" t="s">
        <v>10602</v>
      </c>
      <c r="G187" s="29" t="s">
        <v>10603</v>
      </c>
      <c r="H187" s="29" t="s">
        <v>905</v>
      </c>
      <c r="I187" s="29" t="s">
        <v>10604</v>
      </c>
      <c r="J187" s="29" t="s">
        <v>959</v>
      </c>
      <c r="L187" s="182">
        <v>6</v>
      </c>
      <c r="M187" s="113">
        <v>835000</v>
      </c>
      <c r="N187" s="113">
        <v>835000</v>
      </c>
      <c r="O187" s="189" t="s">
        <v>10766</v>
      </c>
      <c r="P187" s="53" t="s">
        <v>10605</v>
      </c>
      <c r="Q187" s="53" t="s">
        <v>1939</v>
      </c>
      <c r="R187" s="53" t="s">
        <v>10606</v>
      </c>
      <c r="U187" s="29" t="s">
        <v>1327</v>
      </c>
    </row>
    <row r="188" spans="1:21" ht="45" x14ac:dyDescent="0.25">
      <c r="A188" s="56">
        <v>43174</v>
      </c>
      <c r="B188" s="29" t="s">
        <v>569</v>
      </c>
      <c r="C188" s="29" t="s">
        <v>899</v>
      </c>
      <c r="D188" s="29" t="s">
        <v>624</v>
      </c>
      <c r="E188" s="29" t="s">
        <v>588</v>
      </c>
      <c r="F188" s="29" t="s">
        <v>10607</v>
      </c>
      <c r="G188" s="29" t="s">
        <v>10608</v>
      </c>
      <c r="H188" s="29" t="s">
        <v>607</v>
      </c>
      <c r="I188" s="29" t="s">
        <v>3388</v>
      </c>
      <c r="J188" s="29" t="s">
        <v>899</v>
      </c>
      <c r="M188" s="113">
        <v>1836000</v>
      </c>
      <c r="N188" s="113">
        <v>3000000</v>
      </c>
      <c r="O188" s="189" t="s">
        <v>10765</v>
      </c>
      <c r="P188" s="53" t="s">
        <v>10609</v>
      </c>
      <c r="Q188" s="53" t="s">
        <v>1939</v>
      </c>
      <c r="R188" s="53" t="s">
        <v>10610</v>
      </c>
      <c r="U188" s="29" t="s">
        <v>491</v>
      </c>
    </row>
    <row r="189" spans="1:21" ht="45" x14ac:dyDescent="0.25">
      <c r="A189" s="56">
        <v>43174</v>
      </c>
      <c r="B189" s="29" t="s">
        <v>9240</v>
      </c>
      <c r="C189" s="29" t="s">
        <v>603</v>
      </c>
      <c r="D189" s="29" t="s">
        <v>7814</v>
      </c>
      <c r="E189" s="29" t="s">
        <v>588</v>
      </c>
      <c r="F189" s="29" t="s">
        <v>7831</v>
      </c>
      <c r="G189" s="29" t="s">
        <v>10611</v>
      </c>
      <c r="H189" s="29" t="s">
        <v>905</v>
      </c>
      <c r="I189" s="29" t="s">
        <v>10612</v>
      </c>
      <c r="J189" s="29" t="s">
        <v>603</v>
      </c>
      <c r="O189" s="189" t="s">
        <v>6745</v>
      </c>
      <c r="P189" s="53" t="s">
        <v>10613</v>
      </c>
      <c r="Q189" s="53" t="s">
        <v>1939</v>
      </c>
      <c r="R189" s="53" t="s">
        <v>10614</v>
      </c>
      <c r="U189" s="29" t="s">
        <v>491</v>
      </c>
    </row>
    <row r="190" spans="1:21" ht="45" x14ac:dyDescent="0.25">
      <c r="A190" s="56">
        <v>43174</v>
      </c>
      <c r="B190" s="29" t="s">
        <v>569</v>
      </c>
      <c r="C190" s="29" t="s">
        <v>899</v>
      </c>
      <c r="D190" s="29" t="s">
        <v>625</v>
      </c>
      <c r="E190" s="29" t="s">
        <v>821</v>
      </c>
      <c r="F190" s="29" t="s">
        <v>10615</v>
      </c>
      <c r="H190" s="29" t="s">
        <v>905</v>
      </c>
      <c r="J190" s="29" t="s">
        <v>899</v>
      </c>
      <c r="M190" s="113">
        <v>720000</v>
      </c>
      <c r="O190" s="189" t="s">
        <v>10762</v>
      </c>
      <c r="P190" s="53" t="s">
        <v>10616</v>
      </c>
      <c r="Q190" s="53" t="s">
        <v>29</v>
      </c>
      <c r="R190" s="53" t="s">
        <v>10617</v>
      </c>
      <c r="U190" s="29" t="s">
        <v>491</v>
      </c>
    </row>
    <row r="191" spans="1:21" ht="75" x14ac:dyDescent="0.25">
      <c r="A191" s="56">
        <v>43175</v>
      </c>
      <c r="B191" s="29" t="s">
        <v>569</v>
      </c>
      <c r="C191" s="29" t="s">
        <v>899</v>
      </c>
      <c r="D191" s="29" t="s">
        <v>625</v>
      </c>
      <c r="E191" s="29" t="s">
        <v>588</v>
      </c>
      <c r="F191" s="29" t="s">
        <v>10618</v>
      </c>
      <c r="G191" s="29" t="s">
        <v>10619</v>
      </c>
      <c r="H191" s="29" t="s">
        <v>10831</v>
      </c>
      <c r="I191" s="29" t="s">
        <v>6383</v>
      </c>
      <c r="J191" s="29" t="s">
        <v>899</v>
      </c>
      <c r="L191" s="182">
        <v>3</v>
      </c>
      <c r="M191" s="113">
        <v>750000</v>
      </c>
      <c r="N191" s="113">
        <v>1800000</v>
      </c>
      <c r="O191" s="189" t="s">
        <v>10763</v>
      </c>
      <c r="P191" s="53" t="s">
        <v>10881</v>
      </c>
      <c r="Q191" s="53" t="s">
        <v>1939</v>
      </c>
      <c r="R191" s="53" t="s">
        <v>10620</v>
      </c>
      <c r="U191" s="29" t="s">
        <v>491</v>
      </c>
    </row>
    <row r="192" spans="1:21" ht="45" x14ac:dyDescent="0.25">
      <c r="A192" s="56">
        <v>43175</v>
      </c>
      <c r="B192" s="29" t="s">
        <v>569</v>
      </c>
      <c r="C192" s="29" t="s">
        <v>899</v>
      </c>
      <c r="D192" s="29" t="s">
        <v>625</v>
      </c>
      <c r="E192" s="29" t="s">
        <v>1707</v>
      </c>
      <c r="F192" s="29" t="s">
        <v>10631</v>
      </c>
      <c r="H192" s="29" t="s">
        <v>809</v>
      </c>
      <c r="I192" s="29" t="s">
        <v>10632</v>
      </c>
      <c r="J192" s="29" t="s">
        <v>899</v>
      </c>
      <c r="M192" s="113">
        <v>3000000</v>
      </c>
      <c r="N192" s="113">
        <v>3300000</v>
      </c>
      <c r="O192" s="189" t="s">
        <v>560</v>
      </c>
      <c r="P192" s="53" t="s">
        <v>10633</v>
      </c>
      <c r="Q192" s="53" t="s">
        <v>592</v>
      </c>
      <c r="R192" s="53" t="s">
        <v>10634</v>
      </c>
      <c r="U192" s="29" t="s">
        <v>491</v>
      </c>
    </row>
    <row r="193" spans="1:21" ht="60" x14ac:dyDescent="0.25">
      <c r="A193" s="56">
        <v>43178</v>
      </c>
      <c r="B193" s="29" t="s">
        <v>1788</v>
      </c>
      <c r="C193" s="29" t="s">
        <v>3369</v>
      </c>
      <c r="D193" s="29" t="s">
        <v>6360</v>
      </c>
      <c r="E193" s="29" t="s">
        <v>692</v>
      </c>
      <c r="F193" s="29" t="s">
        <v>10635</v>
      </c>
      <c r="G193" s="29" t="s">
        <v>10636</v>
      </c>
      <c r="H193" s="29" t="s">
        <v>2510</v>
      </c>
      <c r="I193" s="29" t="s">
        <v>10637</v>
      </c>
      <c r="J193" s="29" t="s">
        <v>6329</v>
      </c>
      <c r="M193" s="113">
        <v>1000000</v>
      </c>
      <c r="N193" s="113">
        <v>2000000</v>
      </c>
      <c r="O193" s="189" t="s">
        <v>7564</v>
      </c>
      <c r="P193" s="53" t="s">
        <v>10638</v>
      </c>
      <c r="Q193" s="53" t="s">
        <v>29</v>
      </c>
      <c r="R193" s="53" t="s">
        <v>10639</v>
      </c>
      <c r="U193" s="29" t="s">
        <v>491</v>
      </c>
    </row>
    <row r="194" spans="1:21" ht="120" x14ac:dyDescent="0.25">
      <c r="A194" s="56">
        <v>43178</v>
      </c>
      <c r="B194" s="29" t="s">
        <v>9240</v>
      </c>
      <c r="C194" s="29" t="s">
        <v>603</v>
      </c>
      <c r="D194" s="29" t="s">
        <v>9241</v>
      </c>
      <c r="E194" s="29" t="s">
        <v>821</v>
      </c>
      <c r="F194" s="29" t="s">
        <v>10640</v>
      </c>
      <c r="G194" s="29" t="s">
        <v>10641</v>
      </c>
      <c r="H194" s="29" t="s">
        <v>10831</v>
      </c>
      <c r="I194" s="29" t="s">
        <v>10642</v>
      </c>
      <c r="J194" s="29" t="s">
        <v>603</v>
      </c>
      <c r="L194" s="182">
        <v>10</v>
      </c>
      <c r="M194" s="113">
        <v>3500000</v>
      </c>
      <c r="N194" s="113">
        <v>4000000</v>
      </c>
      <c r="O194" s="189" t="s">
        <v>560</v>
      </c>
      <c r="P194" s="53" t="s">
        <v>10643</v>
      </c>
      <c r="Q194" s="53" t="s">
        <v>620</v>
      </c>
      <c r="R194" s="53" t="s">
        <v>10644</v>
      </c>
      <c r="U194" s="29" t="s">
        <v>491</v>
      </c>
    </row>
    <row r="195" spans="1:21" ht="60" x14ac:dyDescent="0.25">
      <c r="A195" s="56">
        <v>43178</v>
      </c>
      <c r="B195" s="29" t="s">
        <v>328</v>
      </c>
      <c r="C195" s="29" t="s">
        <v>603</v>
      </c>
      <c r="D195" s="29" t="s">
        <v>2500</v>
      </c>
      <c r="E195" s="29" t="s">
        <v>588</v>
      </c>
      <c r="F195" s="29" t="s">
        <v>10645</v>
      </c>
      <c r="G195" s="29" t="s">
        <v>10645</v>
      </c>
      <c r="H195" s="29" t="s">
        <v>607</v>
      </c>
      <c r="I195" s="29" t="s">
        <v>10646</v>
      </c>
      <c r="J195" s="29" t="s">
        <v>3533</v>
      </c>
      <c r="L195" s="182">
        <v>4</v>
      </c>
      <c r="M195" s="113">
        <v>250000</v>
      </c>
      <c r="N195" s="113">
        <v>425000</v>
      </c>
      <c r="O195" s="189" t="s">
        <v>4533</v>
      </c>
      <c r="P195" s="53" t="s">
        <v>10745</v>
      </c>
      <c r="Q195" s="53" t="s">
        <v>1939</v>
      </c>
      <c r="R195" s="53" t="s">
        <v>10647</v>
      </c>
      <c r="U195" s="29" t="s">
        <v>1327</v>
      </c>
    </row>
    <row r="196" spans="1:21" ht="45" x14ac:dyDescent="0.25">
      <c r="A196" s="56">
        <v>43178</v>
      </c>
      <c r="B196" s="29" t="s">
        <v>328</v>
      </c>
      <c r="C196" s="29" t="s">
        <v>603</v>
      </c>
      <c r="D196" s="29" t="s">
        <v>7595</v>
      </c>
      <c r="E196" s="29" t="s">
        <v>588</v>
      </c>
      <c r="F196" s="29" t="s">
        <v>10648</v>
      </c>
      <c r="G196" s="29" t="s">
        <v>10649</v>
      </c>
      <c r="H196" s="29" t="s">
        <v>607</v>
      </c>
      <c r="I196" s="29" t="s">
        <v>6317</v>
      </c>
      <c r="J196" s="29" t="s">
        <v>899</v>
      </c>
      <c r="L196" s="182">
        <v>10</v>
      </c>
      <c r="M196" s="113">
        <v>860000</v>
      </c>
      <c r="N196" s="113">
        <v>1510000</v>
      </c>
      <c r="O196" s="189" t="s">
        <v>7124</v>
      </c>
      <c r="P196" s="53" t="s">
        <v>10650</v>
      </c>
      <c r="Q196" s="53" t="s">
        <v>592</v>
      </c>
      <c r="R196" s="53" t="s">
        <v>10651</v>
      </c>
      <c r="U196" s="29" t="s">
        <v>1327</v>
      </c>
    </row>
    <row r="197" spans="1:21" ht="60" x14ac:dyDescent="0.25">
      <c r="A197" s="56">
        <v>43178</v>
      </c>
      <c r="B197" s="29" t="s">
        <v>328</v>
      </c>
      <c r="C197" s="29" t="s">
        <v>603</v>
      </c>
      <c r="D197" s="29" t="s">
        <v>5701</v>
      </c>
      <c r="E197" s="29" t="s">
        <v>588</v>
      </c>
      <c r="F197" s="29" t="s">
        <v>7821</v>
      </c>
      <c r="G197" s="29" t="s">
        <v>7814</v>
      </c>
      <c r="H197" s="29" t="s">
        <v>5321</v>
      </c>
      <c r="I197" s="29" t="s">
        <v>6705</v>
      </c>
      <c r="J197" s="29" t="s">
        <v>899</v>
      </c>
      <c r="L197" s="182">
        <v>9</v>
      </c>
      <c r="M197" s="113">
        <v>280000</v>
      </c>
      <c r="N197" s="202">
        <v>848000</v>
      </c>
      <c r="O197" s="189" t="s">
        <v>10762</v>
      </c>
      <c r="P197" s="53" t="s">
        <v>10652</v>
      </c>
      <c r="Q197" s="53" t="s">
        <v>1939</v>
      </c>
      <c r="R197" s="53" t="s">
        <v>10653</v>
      </c>
      <c r="U197" s="29" t="s">
        <v>1327</v>
      </c>
    </row>
    <row r="198" spans="1:21" ht="75" x14ac:dyDescent="0.25">
      <c r="A198" s="56">
        <v>43179</v>
      </c>
      <c r="B198" s="29" t="s">
        <v>328</v>
      </c>
      <c r="C198" s="29" t="s">
        <v>603</v>
      </c>
      <c r="D198" s="29" t="s">
        <v>8941</v>
      </c>
      <c r="E198" s="29" t="s">
        <v>588</v>
      </c>
      <c r="F198" s="29" t="s">
        <v>10654</v>
      </c>
      <c r="G198" s="29" t="s">
        <v>10655</v>
      </c>
      <c r="H198" s="29" t="s">
        <v>607</v>
      </c>
      <c r="I198" s="29" t="s">
        <v>84</v>
      </c>
      <c r="J198" s="29" t="s">
        <v>3733</v>
      </c>
      <c r="L198" s="182">
        <v>1</v>
      </c>
      <c r="M198" s="113">
        <v>700000</v>
      </c>
      <c r="N198" s="113">
        <v>1260000</v>
      </c>
      <c r="O198" s="189" t="s">
        <v>7564</v>
      </c>
      <c r="P198" s="53" t="s">
        <v>10746</v>
      </c>
      <c r="Q198" s="53" t="s">
        <v>592</v>
      </c>
      <c r="R198" s="53" t="s">
        <v>10674</v>
      </c>
      <c r="U198" s="29" t="s">
        <v>1327</v>
      </c>
    </row>
    <row r="199" spans="1:21" ht="30" x14ac:dyDescent="0.25">
      <c r="A199" s="56">
        <v>43179</v>
      </c>
      <c r="B199" s="29" t="s">
        <v>9240</v>
      </c>
      <c r="C199" s="29" t="s">
        <v>603</v>
      </c>
      <c r="D199" s="29" t="s">
        <v>7814</v>
      </c>
      <c r="E199" s="29" t="s">
        <v>1707</v>
      </c>
      <c r="F199" s="29" t="s">
        <v>10657</v>
      </c>
      <c r="G199" s="29" t="s">
        <v>9305</v>
      </c>
      <c r="H199" s="29" t="s">
        <v>607</v>
      </c>
      <c r="I199" s="29" t="s">
        <v>10658</v>
      </c>
      <c r="J199" s="29" t="s">
        <v>3612</v>
      </c>
      <c r="L199" s="182">
        <v>2</v>
      </c>
      <c r="M199" s="113">
        <v>660000</v>
      </c>
      <c r="N199" s="113">
        <v>1056000</v>
      </c>
      <c r="O199" s="189" t="s">
        <v>49</v>
      </c>
      <c r="P199" s="53" t="s">
        <v>10659</v>
      </c>
      <c r="Q199" s="53" t="s">
        <v>1939</v>
      </c>
      <c r="R199" s="53" t="s">
        <v>10660</v>
      </c>
      <c r="U199" s="29" t="s">
        <v>491</v>
      </c>
    </row>
    <row r="200" spans="1:21" ht="90" x14ac:dyDescent="0.25">
      <c r="A200" s="56">
        <v>43179</v>
      </c>
      <c r="B200" s="29" t="s">
        <v>569</v>
      </c>
      <c r="C200" s="29" t="s">
        <v>899</v>
      </c>
      <c r="D200" s="29" t="s">
        <v>625</v>
      </c>
      <c r="E200" s="29" t="s">
        <v>1707</v>
      </c>
      <c r="F200" s="29" t="s">
        <v>10661</v>
      </c>
      <c r="G200" s="29" t="s">
        <v>10662</v>
      </c>
      <c r="H200" s="29" t="s">
        <v>607</v>
      </c>
      <c r="I200" s="29" t="s">
        <v>2054</v>
      </c>
      <c r="J200" s="29" t="s">
        <v>899</v>
      </c>
      <c r="L200" s="182">
        <v>2</v>
      </c>
      <c r="M200" s="113">
        <v>2000000</v>
      </c>
      <c r="N200" s="113">
        <v>3050000</v>
      </c>
      <c r="O200" s="189" t="s">
        <v>560</v>
      </c>
      <c r="P200" s="53" t="s">
        <v>10663</v>
      </c>
      <c r="Q200" s="53" t="s">
        <v>1939</v>
      </c>
      <c r="R200" s="53" t="s">
        <v>10667</v>
      </c>
      <c r="U200" s="29" t="s">
        <v>491</v>
      </c>
    </row>
    <row r="201" spans="1:21" ht="45" x14ac:dyDescent="0.25">
      <c r="A201" s="56">
        <v>43179</v>
      </c>
      <c r="B201" s="29" t="s">
        <v>9240</v>
      </c>
      <c r="C201" s="29" t="s">
        <v>603</v>
      </c>
      <c r="D201" s="29" t="s">
        <v>9241</v>
      </c>
      <c r="E201" s="29" t="s">
        <v>588</v>
      </c>
      <c r="F201" s="29" t="s">
        <v>8573</v>
      </c>
      <c r="G201" s="29" t="s">
        <v>7714</v>
      </c>
      <c r="H201" s="29" t="s">
        <v>607</v>
      </c>
      <c r="I201" s="29" t="s">
        <v>10664</v>
      </c>
      <c r="J201" s="29" t="s">
        <v>608</v>
      </c>
      <c r="L201" s="182">
        <v>6</v>
      </c>
      <c r="M201" s="113">
        <v>1039500</v>
      </c>
      <c r="N201" s="113">
        <v>2200000</v>
      </c>
      <c r="O201" s="189" t="s">
        <v>10766</v>
      </c>
      <c r="P201" s="53" t="s">
        <v>10665</v>
      </c>
      <c r="Q201" s="53" t="s">
        <v>1939</v>
      </c>
      <c r="R201" s="53" t="s">
        <v>10666</v>
      </c>
      <c r="U201" s="29" t="s">
        <v>1327</v>
      </c>
    </row>
    <row r="202" spans="1:21" ht="30" x14ac:dyDescent="0.25">
      <c r="A202" s="56">
        <v>43180</v>
      </c>
      <c r="B202" s="29" t="s">
        <v>328</v>
      </c>
      <c r="C202" s="29" t="s">
        <v>603</v>
      </c>
      <c r="D202" s="29" t="s">
        <v>7595</v>
      </c>
      <c r="E202" s="29" t="s">
        <v>588</v>
      </c>
      <c r="F202" s="29" t="s">
        <v>10668</v>
      </c>
      <c r="G202" s="29" t="s">
        <v>10669</v>
      </c>
      <c r="H202" s="29" t="s">
        <v>607</v>
      </c>
      <c r="I202" s="29" t="s">
        <v>2054</v>
      </c>
      <c r="J202" s="29" t="s">
        <v>899</v>
      </c>
      <c r="M202" s="113">
        <v>560000</v>
      </c>
      <c r="N202" s="113">
        <v>810000</v>
      </c>
      <c r="O202" s="189" t="s">
        <v>7564</v>
      </c>
      <c r="P202" s="53" t="s">
        <v>10670</v>
      </c>
      <c r="Q202" s="53" t="s">
        <v>592</v>
      </c>
      <c r="R202" s="53" t="s">
        <v>10671</v>
      </c>
      <c r="U202" s="29" t="s">
        <v>1327</v>
      </c>
    </row>
    <row r="203" spans="1:21" ht="60" x14ac:dyDescent="0.25">
      <c r="A203" s="56">
        <v>43180</v>
      </c>
      <c r="B203" s="29" t="s">
        <v>328</v>
      </c>
      <c r="C203" s="29" t="s">
        <v>603</v>
      </c>
      <c r="D203" s="29" t="s">
        <v>2397</v>
      </c>
      <c r="E203" s="29" t="s">
        <v>588</v>
      </c>
      <c r="F203" s="29" t="s">
        <v>10672</v>
      </c>
      <c r="G203" s="29" t="s">
        <v>7814</v>
      </c>
      <c r="H203" s="29" t="s">
        <v>607</v>
      </c>
      <c r="I203" s="29" t="s">
        <v>9550</v>
      </c>
      <c r="J203" s="29" t="s">
        <v>3733</v>
      </c>
      <c r="M203" s="113">
        <v>800000</v>
      </c>
      <c r="N203" s="126">
        <v>1540000</v>
      </c>
      <c r="O203" s="189" t="s">
        <v>6745</v>
      </c>
      <c r="P203" s="53" t="s">
        <v>10747</v>
      </c>
      <c r="Q203" s="53" t="s">
        <v>1939</v>
      </c>
      <c r="R203" s="53" t="s">
        <v>10673</v>
      </c>
      <c r="U203" s="29" t="s">
        <v>1327</v>
      </c>
    </row>
    <row r="204" spans="1:21" ht="60" x14ac:dyDescent="0.25">
      <c r="A204" s="56">
        <v>43180</v>
      </c>
      <c r="B204" s="29" t="s">
        <v>5360</v>
      </c>
      <c r="C204" s="29" t="s">
        <v>603</v>
      </c>
      <c r="D204" s="29" t="s">
        <v>9849</v>
      </c>
      <c r="E204" s="29" t="s">
        <v>588</v>
      </c>
      <c r="F204" s="29" t="s">
        <v>134</v>
      </c>
      <c r="G204" s="29" t="s">
        <v>10675</v>
      </c>
      <c r="H204" s="29" t="s">
        <v>607</v>
      </c>
      <c r="I204" s="29" t="s">
        <v>7428</v>
      </c>
      <c r="J204" s="29" t="s">
        <v>3373</v>
      </c>
      <c r="L204" s="182">
        <v>4</v>
      </c>
      <c r="M204" s="113">
        <v>626000</v>
      </c>
      <c r="N204" s="113">
        <v>1189200</v>
      </c>
      <c r="O204" s="189" t="s">
        <v>10766</v>
      </c>
      <c r="P204" s="53" t="s">
        <v>10676</v>
      </c>
      <c r="Q204" s="53" t="s">
        <v>1939</v>
      </c>
      <c r="R204" s="53" t="s">
        <v>10678</v>
      </c>
      <c r="U204" s="29" t="s">
        <v>1327</v>
      </c>
    </row>
    <row r="205" spans="1:21" ht="30" x14ac:dyDescent="0.25">
      <c r="A205" s="56">
        <v>43180</v>
      </c>
      <c r="B205" s="29" t="s">
        <v>569</v>
      </c>
      <c r="C205" s="29" t="s">
        <v>899</v>
      </c>
      <c r="D205" s="29" t="s">
        <v>625</v>
      </c>
      <c r="E205" s="29" t="s">
        <v>588</v>
      </c>
      <c r="F205" s="29" t="s">
        <v>8622</v>
      </c>
      <c r="G205" s="29" t="s">
        <v>10458</v>
      </c>
      <c r="H205" s="29" t="s">
        <v>1050</v>
      </c>
      <c r="I205" s="29" t="s">
        <v>3388</v>
      </c>
      <c r="J205" s="29" t="s">
        <v>899</v>
      </c>
      <c r="L205" s="182">
        <v>2</v>
      </c>
      <c r="M205" s="113">
        <v>3500000</v>
      </c>
      <c r="N205" s="113">
        <v>3850000</v>
      </c>
      <c r="O205" s="189" t="s">
        <v>560</v>
      </c>
      <c r="P205" s="53" t="s">
        <v>10677</v>
      </c>
      <c r="Q205" s="53" t="s">
        <v>1939</v>
      </c>
      <c r="R205" s="53" t="s">
        <v>10684</v>
      </c>
      <c r="U205" s="29" t="s">
        <v>1327</v>
      </c>
    </row>
    <row r="206" spans="1:21" ht="30" x14ac:dyDescent="0.25">
      <c r="A206" s="56">
        <v>43181</v>
      </c>
      <c r="B206" s="29" t="s">
        <v>5956</v>
      </c>
      <c r="C206" s="29" t="s">
        <v>3369</v>
      </c>
      <c r="D206" s="29" t="s">
        <v>7172</v>
      </c>
      <c r="E206" s="29" t="s">
        <v>588</v>
      </c>
      <c r="F206" s="29" t="s">
        <v>10679</v>
      </c>
      <c r="G206" s="29" t="s">
        <v>10680</v>
      </c>
      <c r="H206" s="29" t="s">
        <v>607</v>
      </c>
      <c r="I206" s="29" t="s">
        <v>10681</v>
      </c>
      <c r="J206" s="29" t="s">
        <v>3369</v>
      </c>
      <c r="M206" s="113">
        <v>61000</v>
      </c>
      <c r="N206" s="113">
        <v>95000</v>
      </c>
      <c r="O206" s="189" t="s">
        <v>10762</v>
      </c>
      <c r="P206" s="53" t="s">
        <v>10682</v>
      </c>
      <c r="Q206" s="53" t="s">
        <v>29</v>
      </c>
      <c r="R206" s="53" t="s">
        <v>10683</v>
      </c>
      <c r="U206" s="29" t="s">
        <v>491</v>
      </c>
    </row>
    <row r="207" spans="1:21" ht="60" x14ac:dyDescent="0.25">
      <c r="A207" s="56">
        <v>43181</v>
      </c>
      <c r="B207" s="29" t="s">
        <v>328</v>
      </c>
      <c r="C207" s="29" t="s">
        <v>603</v>
      </c>
      <c r="D207" s="29" t="s">
        <v>7595</v>
      </c>
      <c r="E207" s="29" t="s">
        <v>588</v>
      </c>
      <c r="F207" s="29" t="s">
        <v>10685</v>
      </c>
      <c r="G207" s="29" t="s">
        <v>10686</v>
      </c>
      <c r="H207" s="29" t="s">
        <v>607</v>
      </c>
      <c r="I207" s="29" t="s">
        <v>6676</v>
      </c>
      <c r="J207" s="29" t="s">
        <v>899</v>
      </c>
      <c r="L207" s="182">
        <v>3</v>
      </c>
      <c r="M207" s="113">
        <v>728380</v>
      </c>
      <c r="N207" s="113">
        <v>1456085</v>
      </c>
      <c r="O207" s="189" t="s">
        <v>10766</v>
      </c>
      <c r="P207" s="53" t="s">
        <v>10748</v>
      </c>
      <c r="Q207" s="53" t="s">
        <v>620</v>
      </c>
      <c r="R207" s="53" t="s">
        <v>10687</v>
      </c>
      <c r="S207" s="53" t="s">
        <v>10688</v>
      </c>
      <c r="U207" s="29" t="s">
        <v>491</v>
      </c>
    </row>
    <row r="208" spans="1:21" ht="75" x14ac:dyDescent="0.25">
      <c r="A208" s="56">
        <v>43182</v>
      </c>
      <c r="B208" s="29" t="s">
        <v>569</v>
      </c>
      <c r="C208" s="29" t="s">
        <v>899</v>
      </c>
      <c r="D208" s="29" t="s">
        <v>9981</v>
      </c>
      <c r="E208" s="29" t="s">
        <v>588</v>
      </c>
      <c r="F208" s="29" t="s">
        <v>10689</v>
      </c>
      <c r="H208" s="29" t="s">
        <v>607</v>
      </c>
      <c r="I208" s="29" t="s">
        <v>7525</v>
      </c>
      <c r="J208" s="29" t="s">
        <v>899</v>
      </c>
      <c r="L208" s="182">
        <v>3</v>
      </c>
      <c r="M208" s="113">
        <v>1785380</v>
      </c>
      <c r="N208" s="113">
        <v>2740000</v>
      </c>
      <c r="O208" s="189" t="s">
        <v>4533</v>
      </c>
      <c r="P208" s="53" t="s">
        <v>10749</v>
      </c>
      <c r="Q208" s="53" t="s">
        <v>29</v>
      </c>
      <c r="R208" s="53" t="s">
        <v>10690</v>
      </c>
      <c r="U208" s="29" t="s">
        <v>491</v>
      </c>
    </row>
    <row r="209" spans="1:23" ht="45" x14ac:dyDescent="0.25">
      <c r="A209" s="56">
        <v>43182</v>
      </c>
      <c r="B209" s="29" t="s">
        <v>328</v>
      </c>
      <c r="C209" s="29" t="s">
        <v>603</v>
      </c>
      <c r="D209" s="29" t="s">
        <v>649</v>
      </c>
      <c r="E209" s="29" t="s">
        <v>588</v>
      </c>
      <c r="F209" s="29" t="s">
        <v>10692</v>
      </c>
      <c r="G209" s="29" t="s">
        <v>7830</v>
      </c>
      <c r="H209" s="29" t="s">
        <v>10831</v>
      </c>
      <c r="I209" s="29" t="s">
        <v>4809</v>
      </c>
      <c r="J209" s="29" t="s">
        <v>4785</v>
      </c>
      <c r="L209" s="182">
        <v>10</v>
      </c>
      <c r="M209" s="113">
        <v>1400000</v>
      </c>
      <c r="N209" s="113">
        <v>2000000</v>
      </c>
      <c r="O209" s="189" t="s">
        <v>7124</v>
      </c>
      <c r="P209" s="53" t="s">
        <v>10691</v>
      </c>
      <c r="Q209" s="53" t="s">
        <v>1939</v>
      </c>
      <c r="R209" s="53" t="s">
        <v>10693</v>
      </c>
      <c r="U209" s="29" t="s">
        <v>1327</v>
      </c>
    </row>
    <row r="210" spans="1:23" ht="75" x14ac:dyDescent="0.25">
      <c r="A210" s="56">
        <v>43185</v>
      </c>
      <c r="B210" s="29" t="s">
        <v>328</v>
      </c>
      <c r="C210" s="29" t="s">
        <v>603</v>
      </c>
      <c r="D210" s="29" t="s">
        <v>8941</v>
      </c>
      <c r="E210" s="29" t="s">
        <v>588</v>
      </c>
      <c r="F210" s="53" t="s">
        <v>10694</v>
      </c>
      <c r="G210" s="53" t="s">
        <v>10694</v>
      </c>
      <c r="H210" s="29" t="s">
        <v>809</v>
      </c>
      <c r="I210" s="29" t="s">
        <v>6974</v>
      </c>
      <c r="J210" s="29" t="s">
        <v>603</v>
      </c>
      <c r="L210" s="182">
        <v>4</v>
      </c>
      <c r="M210" s="113">
        <v>2655000</v>
      </c>
      <c r="N210" s="113">
        <v>3686000</v>
      </c>
      <c r="O210" s="189" t="s">
        <v>10762</v>
      </c>
      <c r="P210" s="53" t="s">
        <v>10695</v>
      </c>
      <c r="Q210" s="53" t="s">
        <v>592</v>
      </c>
      <c r="R210" s="53" t="s">
        <v>10696</v>
      </c>
      <c r="U210" s="29" t="s">
        <v>1327</v>
      </c>
    </row>
    <row r="211" spans="1:23" ht="30" x14ac:dyDescent="0.25">
      <c r="A211" s="56">
        <v>43185</v>
      </c>
      <c r="B211" s="29" t="s">
        <v>5473</v>
      </c>
      <c r="C211" s="29" t="s">
        <v>608</v>
      </c>
      <c r="D211" s="29" t="s">
        <v>2340</v>
      </c>
      <c r="E211" s="29" t="s">
        <v>588</v>
      </c>
      <c r="F211" s="29" t="s">
        <v>10697</v>
      </c>
      <c r="H211" s="29" t="s">
        <v>607</v>
      </c>
      <c r="M211" s="113">
        <v>1800000</v>
      </c>
      <c r="N211" s="113">
        <v>2200000</v>
      </c>
      <c r="O211" s="189" t="s">
        <v>49</v>
      </c>
      <c r="P211" s="53" t="s">
        <v>10698</v>
      </c>
      <c r="Q211" s="53" t="s">
        <v>29</v>
      </c>
      <c r="R211" s="53" t="s">
        <v>10699</v>
      </c>
      <c r="U211" s="29" t="s">
        <v>491</v>
      </c>
    </row>
    <row r="212" spans="1:23" ht="90" x14ac:dyDescent="0.25">
      <c r="A212" s="56">
        <v>43185</v>
      </c>
      <c r="B212" s="29" t="s">
        <v>328</v>
      </c>
      <c r="C212" s="29" t="s">
        <v>603</v>
      </c>
      <c r="D212" s="29" t="s">
        <v>5701</v>
      </c>
      <c r="E212" s="29" t="s">
        <v>588</v>
      </c>
      <c r="F212" s="29" t="s">
        <v>10700</v>
      </c>
      <c r="G212" s="29" t="s">
        <v>256</v>
      </c>
      <c r="H212" s="29" t="s">
        <v>607</v>
      </c>
      <c r="I212" s="29" t="s">
        <v>10701</v>
      </c>
      <c r="J212" s="29" t="s">
        <v>899</v>
      </c>
      <c r="L212" s="182">
        <v>5</v>
      </c>
      <c r="M212" s="113">
        <v>230000</v>
      </c>
      <c r="N212" s="113">
        <v>414000</v>
      </c>
      <c r="O212" s="189" t="s">
        <v>4533</v>
      </c>
      <c r="P212" s="53" t="s">
        <v>10702</v>
      </c>
      <c r="Q212" s="53" t="s">
        <v>592</v>
      </c>
      <c r="R212" s="186" t="s">
        <v>10703</v>
      </c>
      <c r="U212" s="29" t="s">
        <v>1327</v>
      </c>
    </row>
    <row r="213" spans="1:23" ht="135" x14ac:dyDescent="0.25">
      <c r="A213" s="56">
        <v>43186</v>
      </c>
      <c r="B213" s="29" t="s">
        <v>328</v>
      </c>
      <c r="C213" s="29" t="s">
        <v>603</v>
      </c>
      <c r="D213" s="29" t="s">
        <v>7595</v>
      </c>
      <c r="E213" s="29" t="s">
        <v>588</v>
      </c>
      <c r="F213" s="29" t="s">
        <v>10706</v>
      </c>
      <c r="G213" s="29" t="s">
        <v>10705</v>
      </c>
      <c r="H213" s="29" t="s">
        <v>1050</v>
      </c>
      <c r="I213" s="29" t="s">
        <v>10704</v>
      </c>
      <c r="J213" s="29" t="s">
        <v>5509</v>
      </c>
      <c r="L213" s="182">
        <v>2</v>
      </c>
      <c r="M213" s="113">
        <v>515300</v>
      </c>
      <c r="N213" s="126">
        <v>633360</v>
      </c>
      <c r="O213" s="189" t="s">
        <v>10766</v>
      </c>
      <c r="P213" s="53" t="s">
        <v>10707</v>
      </c>
      <c r="Q213" s="53" t="s">
        <v>592</v>
      </c>
      <c r="R213" s="53" t="s">
        <v>10750</v>
      </c>
      <c r="U213" s="29" t="s">
        <v>1327</v>
      </c>
    </row>
    <row r="214" spans="1:23" ht="45" x14ac:dyDescent="0.25">
      <c r="A214" s="56">
        <v>43187</v>
      </c>
      <c r="B214" s="29" t="s">
        <v>569</v>
      </c>
      <c r="C214" s="29" t="s">
        <v>899</v>
      </c>
      <c r="D214" s="29" t="s">
        <v>930</v>
      </c>
      <c r="E214" s="29" t="s">
        <v>588</v>
      </c>
      <c r="F214" s="29" t="s">
        <v>10708</v>
      </c>
      <c r="G214" s="29" t="s">
        <v>10709</v>
      </c>
      <c r="H214" s="29" t="s">
        <v>607</v>
      </c>
      <c r="I214" s="29" t="s">
        <v>10112</v>
      </c>
      <c r="J214" s="29" t="s">
        <v>899</v>
      </c>
      <c r="O214" s="189" t="s">
        <v>7564</v>
      </c>
      <c r="P214" s="186" t="s">
        <v>10710</v>
      </c>
      <c r="Q214" s="53" t="s">
        <v>592</v>
      </c>
      <c r="R214" s="53" t="s">
        <v>10711</v>
      </c>
      <c r="U214" s="29" t="s">
        <v>1327</v>
      </c>
    </row>
    <row r="215" spans="1:23" ht="75" x14ac:dyDescent="0.25">
      <c r="A215" s="56">
        <v>43187</v>
      </c>
      <c r="B215" s="29" t="s">
        <v>9240</v>
      </c>
      <c r="C215" s="29" t="s">
        <v>603</v>
      </c>
      <c r="D215" s="29" t="s">
        <v>7814</v>
      </c>
      <c r="E215" s="29" t="s">
        <v>588</v>
      </c>
      <c r="F215" s="29" t="s">
        <v>10712</v>
      </c>
      <c r="G215" s="29" t="s">
        <v>2500</v>
      </c>
      <c r="H215" s="29" t="s">
        <v>10831</v>
      </c>
      <c r="I215" s="29" t="s">
        <v>10713</v>
      </c>
      <c r="J215" s="29" t="s">
        <v>3612</v>
      </c>
      <c r="L215" s="182">
        <v>9</v>
      </c>
      <c r="M215" s="113">
        <v>1500000</v>
      </c>
      <c r="O215" s="189" t="s">
        <v>4533</v>
      </c>
      <c r="P215" s="53" t="s">
        <v>10714</v>
      </c>
      <c r="Q215" s="53" t="s">
        <v>1939</v>
      </c>
      <c r="R215" s="53" t="s">
        <v>10849</v>
      </c>
      <c r="U215" s="29" t="s">
        <v>1327</v>
      </c>
    </row>
    <row r="216" spans="1:23" ht="120" x14ac:dyDescent="0.25">
      <c r="A216" s="56">
        <v>43187</v>
      </c>
      <c r="B216" s="29" t="s">
        <v>328</v>
      </c>
      <c r="C216" s="29" t="s">
        <v>603</v>
      </c>
      <c r="D216" s="29" t="s">
        <v>10338</v>
      </c>
      <c r="E216" s="29" t="s">
        <v>588</v>
      </c>
      <c r="F216" s="29" t="s">
        <v>10715</v>
      </c>
      <c r="G216" s="29" t="s">
        <v>9461</v>
      </c>
      <c r="H216" s="29" t="s">
        <v>10831</v>
      </c>
      <c r="I216" s="29" t="s">
        <v>6587</v>
      </c>
      <c r="J216" s="29" t="s">
        <v>3751</v>
      </c>
      <c r="L216" s="182">
        <v>3</v>
      </c>
      <c r="M216" s="113">
        <v>354700</v>
      </c>
      <c r="N216" s="113">
        <v>709400</v>
      </c>
      <c r="O216" s="189" t="s">
        <v>4533</v>
      </c>
      <c r="P216" s="53" t="s">
        <v>10751</v>
      </c>
      <c r="Q216" s="53" t="s">
        <v>1939</v>
      </c>
      <c r="R216" s="53" t="s">
        <v>10716</v>
      </c>
      <c r="U216" s="29" t="s">
        <v>1327</v>
      </c>
    </row>
    <row r="217" spans="1:23" ht="60" x14ac:dyDescent="0.25">
      <c r="A217" s="56">
        <v>43187</v>
      </c>
      <c r="B217" s="29" t="s">
        <v>569</v>
      </c>
      <c r="C217" s="29" t="s">
        <v>899</v>
      </c>
      <c r="D217" s="29" t="s">
        <v>625</v>
      </c>
      <c r="E217" s="29" t="s">
        <v>821</v>
      </c>
      <c r="F217" s="29" t="s">
        <v>10717</v>
      </c>
      <c r="H217" s="29" t="s">
        <v>1050</v>
      </c>
      <c r="I217" s="29" t="s">
        <v>3672</v>
      </c>
      <c r="J217" s="29" t="s">
        <v>899</v>
      </c>
      <c r="L217" s="182" t="s">
        <v>833</v>
      </c>
      <c r="M217" s="113">
        <v>1500000</v>
      </c>
      <c r="O217" s="189" t="s">
        <v>2295</v>
      </c>
      <c r="P217" s="53" t="s">
        <v>10718</v>
      </c>
      <c r="Q217" s="53" t="s">
        <v>1939</v>
      </c>
      <c r="R217" s="53" t="s">
        <v>10719</v>
      </c>
      <c r="S217" s="53" t="s">
        <v>10728</v>
      </c>
      <c r="U217" s="29" t="s">
        <v>491</v>
      </c>
    </row>
    <row r="218" spans="1:23" ht="60" x14ac:dyDescent="0.25">
      <c r="A218" s="56">
        <v>43187</v>
      </c>
      <c r="B218" s="29" t="s">
        <v>569</v>
      </c>
      <c r="C218" s="29" t="s">
        <v>899</v>
      </c>
      <c r="D218" s="29" t="s">
        <v>625</v>
      </c>
      <c r="E218" s="29" t="s">
        <v>821</v>
      </c>
      <c r="F218" s="29" t="s">
        <v>10720</v>
      </c>
      <c r="G218" s="29" t="s">
        <v>10721</v>
      </c>
      <c r="H218" s="29" t="s">
        <v>607</v>
      </c>
      <c r="J218" s="29" t="s">
        <v>899</v>
      </c>
      <c r="O218" s="189" t="s">
        <v>10766</v>
      </c>
      <c r="P218" s="53" t="s">
        <v>10722</v>
      </c>
      <c r="Q218" s="53" t="s">
        <v>29</v>
      </c>
      <c r="R218" s="53" t="s">
        <v>10723</v>
      </c>
      <c r="U218" s="29" t="s">
        <v>491</v>
      </c>
    </row>
    <row r="219" spans="1:23" ht="60" x14ac:dyDescent="0.25">
      <c r="A219" s="56">
        <v>43187</v>
      </c>
      <c r="B219" s="29" t="s">
        <v>569</v>
      </c>
      <c r="C219" s="29" t="s">
        <v>899</v>
      </c>
      <c r="D219" s="29" t="s">
        <v>625</v>
      </c>
      <c r="E219" s="29" t="s">
        <v>821</v>
      </c>
      <c r="F219" s="29" t="s">
        <v>10724</v>
      </c>
      <c r="G219" s="29" t="s">
        <v>10725</v>
      </c>
      <c r="H219" s="29" t="s">
        <v>607</v>
      </c>
      <c r="J219" s="29" t="s">
        <v>899</v>
      </c>
      <c r="O219" s="189" t="s">
        <v>6745</v>
      </c>
      <c r="P219" s="53" t="s">
        <v>10726</v>
      </c>
      <c r="Q219" s="53" t="s">
        <v>620</v>
      </c>
      <c r="R219" s="53" t="s">
        <v>10727</v>
      </c>
      <c r="U219" s="29" t="s">
        <v>491</v>
      </c>
    </row>
    <row r="220" spans="1:23" ht="15.75" x14ac:dyDescent="0.25">
      <c r="A220" s="56">
        <v>43188</v>
      </c>
      <c r="B220" s="29" t="s">
        <v>5360</v>
      </c>
      <c r="C220" s="29" t="s">
        <v>899</v>
      </c>
      <c r="D220" s="29" t="s">
        <v>732</v>
      </c>
      <c r="E220" s="29" t="s">
        <v>588</v>
      </c>
      <c r="F220" s="29" t="s">
        <v>10729</v>
      </c>
      <c r="G220" s="29" t="s">
        <v>10730</v>
      </c>
      <c r="H220" s="29" t="s">
        <v>607</v>
      </c>
      <c r="I220" s="29" t="s">
        <v>6916</v>
      </c>
      <c r="J220" s="29" t="s">
        <v>899</v>
      </c>
      <c r="L220" s="182">
        <v>9</v>
      </c>
      <c r="M220" s="113">
        <v>1122500</v>
      </c>
      <c r="N220" s="113">
        <v>2020500</v>
      </c>
      <c r="O220" s="189" t="s">
        <v>7124</v>
      </c>
      <c r="P220" s="53" t="s">
        <v>10731</v>
      </c>
      <c r="Q220" s="53" t="s">
        <v>592</v>
      </c>
      <c r="R220" s="53" t="s">
        <v>10732</v>
      </c>
      <c r="U220" s="29" t="s">
        <v>1327</v>
      </c>
    </row>
    <row r="221" spans="1:23" ht="45" x14ac:dyDescent="0.25">
      <c r="A221" s="56">
        <v>43188</v>
      </c>
      <c r="B221" s="29" t="s">
        <v>569</v>
      </c>
      <c r="C221" s="29" t="s">
        <v>899</v>
      </c>
      <c r="D221" s="29" t="s">
        <v>624</v>
      </c>
      <c r="E221" s="29" t="s">
        <v>588</v>
      </c>
      <c r="F221" s="29" t="s">
        <v>10734</v>
      </c>
      <c r="G221" s="29" t="s">
        <v>10735</v>
      </c>
      <c r="H221" s="29" t="s">
        <v>10831</v>
      </c>
      <c r="I221" s="29" t="s">
        <v>4507</v>
      </c>
      <c r="J221" s="29" t="s">
        <v>899</v>
      </c>
      <c r="M221" s="113">
        <v>986000</v>
      </c>
      <c r="N221" s="113">
        <v>1186000</v>
      </c>
      <c r="O221" s="189" t="s">
        <v>10766</v>
      </c>
      <c r="P221" s="53" t="s">
        <v>10736</v>
      </c>
      <c r="Q221" s="53" t="s">
        <v>1939</v>
      </c>
      <c r="R221" s="53" t="s">
        <v>10737</v>
      </c>
      <c r="U221" s="29" t="s">
        <v>1327</v>
      </c>
    </row>
    <row r="222" spans="1:23" ht="30" x14ac:dyDescent="0.25">
      <c r="A222" s="56">
        <v>43188</v>
      </c>
      <c r="B222" s="29" t="s">
        <v>569</v>
      </c>
      <c r="C222" s="29" t="s">
        <v>899</v>
      </c>
      <c r="D222" s="29" t="s">
        <v>625</v>
      </c>
      <c r="E222" s="29" t="s">
        <v>588</v>
      </c>
      <c r="F222" s="29" t="s">
        <v>10738</v>
      </c>
      <c r="G222" s="29" t="s">
        <v>10739</v>
      </c>
      <c r="H222" s="29" t="s">
        <v>905</v>
      </c>
      <c r="I222" s="29" t="s">
        <v>3388</v>
      </c>
      <c r="J222" s="29" t="s">
        <v>899</v>
      </c>
      <c r="L222" s="182">
        <v>2</v>
      </c>
      <c r="M222" s="113">
        <v>3200000</v>
      </c>
      <c r="N222" s="113">
        <v>4220000</v>
      </c>
      <c r="O222" s="189" t="s">
        <v>560</v>
      </c>
      <c r="P222" s="53" t="s">
        <v>10740</v>
      </c>
      <c r="Q222" s="53" t="s">
        <v>592</v>
      </c>
      <c r="R222" s="53" t="s">
        <v>10741</v>
      </c>
      <c r="U222" s="29" t="s">
        <v>1327</v>
      </c>
    </row>
    <row r="223" spans="1:23" s="146" customFormat="1" ht="75" x14ac:dyDescent="0.25">
      <c r="A223" s="144">
        <v>43188</v>
      </c>
      <c r="B223" s="146" t="s">
        <v>643</v>
      </c>
      <c r="C223" s="146" t="s">
        <v>644</v>
      </c>
      <c r="D223" s="146" t="s">
        <v>645</v>
      </c>
      <c r="E223" s="146" t="s">
        <v>588</v>
      </c>
      <c r="F223" s="146" t="s">
        <v>9002</v>
      </c>
      <c r="G223" s="146" t="s">
        <v>10744</v>
      </c>
      <c r="H223" s="29" t="s">
        <v>886</v>
      </c>
      <c r="I223" s="146" t="s">
        <v>6620</v>
      </c>
      <c r="J223" s="146" t="s">
        <v>3501</v>
      </c>
      <c r="K223" s="217"/>
      <c r="L223" s="183">
        <v>3</v>
      </c>
      <c r="M223" s="187">
        <v>3500000</v>
      </c>
      <c r="N223" s="187">
        <v>3500000</v>
      </c>
      <c r="O223" s="189" t="s">
        <v>2295</v>
      </c>
      <c r="P223" s="149" t="s">
        <v>10743</v>
      </c>
      <c r="Q223" s="149" t="s">
        <v>1939</v>
      </c>
      <c r="R223" s="149" t="s">
        <v>10742</v>
      </c>
      <c r="S223" s="149"/>
      <c r="U223" s="146" t="s">
        <v>1327</v>
      </c>
      <c r="W223" s="149"/>
    </row>
    <row r="224" spans="1:23" ht="30" x14ac:dyDescent="0.25">
      <c r="A224" s="56">
        <v>43192</v>
      </c>
      <c r="B224" s="29" t="s">
        <v>5360</v>
      </c>
      <c r="C224" s="29" t="s">
        <v>899</v>
      </c>
      <c r="D224" s="29" t="s">
        <v>611</v>
      </c>
      <c r="E224" s="29" t="s">
        <v>588</v>
      </c>
      <c r="F224" s="29" t="s">
        <v>10757</v>
      </c>
      <c r="G224" s="29" t="s">
        <v>10758</v>
      </c>
      <c r="H224" s="29" t="s">
        <v>607</v>
      </c>
      <c r="I224" s="29" t="s">
        <v>4060</v>
      </c>
      <c r="J224" s="29" t="s">
        <v>899</v>
      </c>
      <c r="L224" s="182">
        <v>10</v>
      </c>
      <c r="M224" s="113">
        <v>2000000</v>
      </c>
      <c r="N224" s="113">
        <v>3350000</v>
      </c>
      <c r="O224" s="189" t="s">
        <v>560</v>
      </c>
      <c r="P224" s="53" t="s">
        <v>10759</v>
      </c>
      <c r="Q224" s="53" t="s">
        <v>29</v>
      </c>
      <c r="R224" s="53" t="s">
        <v>10760</v>
      </c>
      <c r="U224" s="29" t="s">
        <v>491</v>
      </c>
    </row>
    <row r="225" spans="1:21" ht="45" x14ac:dyDescent="0.25">
      <c r="A225" s="56">
        <v>43192</v>
      </c>
      <c r="B225" s="29" t="s">
        <v>569</v>
      </c>
      <c r="C225" s="29" t="s">
        <v>899</v>
      </c>
      <c r="D225" s="29" t="s">
        <v>625</v>
      </c>
      <c r="E225" s="29" t="s">
        <v>692</v>
      </c>
      <c r="F225" s="29" t="s">
        <v>10779</v>
      </c>
      <c r="G225" s="29" t="s">
        <v>10780</v>
      </c>
      <c r="H225" s="29" t="s">
        <v>607</v>
      </c>
      <c r="I225" s="29" t="s">
        <v>3388</v>
      </c>
      <c r="J225" s="29" t="s">
        <v>899</v>
      </c>
      <c r="M225" s="113">
        <v>1000000</v>
      </c>
      <c r="O225" s="189" t="s">
        <v>7564</v>
      </c>
      <c r="P225" s="53" t="s">
        <v>10781</v>
      </c>
      <c r="Q225" s="53" t="s">
        <v>592</v>
      </c>
      <c r="R225" s="53" t="s">
        <v>10782</v>
      </c>
      <c r="U225" s="29" t="s">
        <v>491</v>
      </c>
    </row>
    <row r="226" spans="1:21" ht="30" x14ac:dyDescent="0.25">
      <c r="A226" s="56">
        <v>43193</v>
      </c>
      <c r="B226" s="29" t="s">
        <v>643</v>
      </c>
      <c r="C226" s="29" t="s">
        <v>899</v>
      </c>
      <c r="D226" s="29" t="s">
        <v>625</v>
      </c>
      <c r="E226" s="29" t="s">
        <v>588</v>
      </c>
      <c r="F226" s="29" t="s">
        <v>5685</v>
      </c>
      <c r="G226" s="29" t="s">
        <v>10768</v>
      </c>
      <c r="H226" s="29" t="s">
        <v>10832</v>
      </c>
      <c r="I226" s="29" t="s">
        <v>8144</v>
      </c>
      <c r="J226" s="29" t="s">
        <v>899</v>
      </c>
      <c r="L226" s="182">
        <v>4</v>
      </c>
      <c r="M226" s="113">
        <v>3724000</v>
      </c>
      <c r="N226" s="113">
        <v>4968800</v>
      </c>
      <c r="O226" s="189" t="s">
        <v>560</v>
      </c>
      <c r="P226" s="53" t="s">
        <v>10769</v>
      </c>
      <c r="Q226" s="53" t="s">
        <v>592</v>
      </c>
      <c r="R226" s="53" t="s">
        <v>10770</v>
      </c>
      <c r="U226" s="29" t="s">
        <v>1327</v>
      </c>
    </row>
    <row r="227" spans="1:21" ht="30" x14ac:dyDescent="0.25">
      <c r="A227" s="56">
        <v>43193</v>
      </c>
      <c r="B227" s="29" t="s">
        <v>328</v>
      </c>
      <c r="C227" s="29" t="s">
        <v>603</v>
      </c>
      <c r="D227" s="29" t="s">
        <v>7595</v>
      </c>
      <c r="E227" s="29" t="s">
        <v>588</v>
      </c>
      <c r="F227" s="29" t="s">
        <v>3975</v>
      </c>
      <c r="G227" s="29" t="s">
        <v>10773</v>
      </c>
      <c r="H227" s="29" t="s">
        <v>10831</v>
      </c>
      <c r="I227" s="29" t="s">
        <v>7662</v>
      </c>
      <c r="J227" s="29" t="s">
        <v>3533</v>
      </c>
      <c r="L227" s="182">
        <v>10</v>
      </c>
      <c r="M227" s="113">
        <v>500000</v>
      </c>
      <c r="N227" s="113">
        <v>1000000</v>
      </c>
      <c r="O227" s="189" t="s">
        <v>7124</v>
      </c>
      <c r="P227" s="53" t="s">
        <v>10772</v>
      </c>
      <c r="Q227" s="53" t="s">
        <v>1939</v>
      </c>
      <c r="R227" s="53" t="s">
        <v>10771</v>
      </c>
      <c r="U227" s="29" t="s">
        <v>1327</v>
      </c>
    </row>
    <row r="228" spans="1:21" ht="45" x14ac:dyDescent="0.25">
      <c r="A228" s="56">
        <v>43193</v>
      </c>
      <c r="B228" s="29" t="s">
        <v>9240</v>
      </c>
      <c r="C228" s="29" t="s">
        <v>603</v>
      </c>
      <c r="D228" s="29" t="s">
        <v>9241</v>
      </c>
      <c r="E228" s="29" t="s">
        <v>588</v>
      </c>
      <c r="F228" s="29" t="s">
        <v>10775</v>
      </c>
      <c r="G228" s="29" t="s">
        <v>10776</v>
      </c>
      <c r="H228" s="29" t="s">
        <v>607</v>
      </c>
      <c r="I228" s="29" t="s">
        <v>10777</v>
      </c>
      <c r="J228" s="29" t="s">
        <v>603</v>
      </c>
      <c r="M228" s="113">
        <v>600000</v>
      </c>
      <c r="O228" s="189" t="s">
        <v>10766</v>
      </c>
      <c r="P228" s="53" t="s">
        <v>10778</v>
      </c>
      <c r="Q228" s="53" t="s">
        <v>592</v>
      </c>
      <c r="U228" s="29" t="s">
        <v>491</v>
      </c>
    </row>
    <row r="229" spans="1:21" ht="75" x14ac:dyDescent="0.25">
      <c r="A229" s="56">
        <v>43194</v>
      </c>
      <c r="B229" s="29" t="s">
        <v>643</v>
      </c>
      <c r="C229" s="29" t="s">
        <v>644</v>
      </c>
      <c r="D229" s="29" t="s">
        <v>645</v>
      </c>
      <c r="E229" s="29" t="s">
        <v>588</v>
      </c>
      <c r="F229" s="29" t="s">
        <v>10783</v>
      </c>
      <c r="G229" s="29" t="s">
        <v>5381</v>
      </c>
      <c r="H229" s="29" t="s">
        <v>10831</v>
      </c>
      <c r="I229" s="29" t="s">
        <v>10784</v>
      </c>
      <c r="J229" s="29" t="s">
        <v>644</v>
      </c>
      <c r="L229" s="182">
        <v>10</v>
      </c>
      <c r="M229" s="113">
        <v>1000000</v>
      </c>
      <c r="N229" s="113">
        <v>1120000</v>
      </c>
      <c r="O229" s="189" t="s">
        <v>7124</v>
      </c>
      <c r="P229" s="53" t="s">
        <v>10785</v>
      </c>
      <c r="Q229" s="53" t="s">
        <v>1939</v>
      </c>
      <c r="R229" s="53" t="s">
        <v>10786</v>
      </c>
      <c r="U229" s="29" t="s">
        <v>491</v>
      </c>
    </row>
    <row r="230" spans="1:21" ht="75" x14ac:dyDescent="0.25">
      <c r="A230" s="56">
        <v>43194</v>
      </c>
      <c r="B230" s="29" t="s">
        <v>328</v>
      </c>
      <c r="C230" s="29" t="s">
        <v>603</v>
      </c>
      <c r="D230" s="29" t="s">
        <v>2397</v>
      </c>
      <c r="E230" s="29" t="s">
        <v>588</v>
      </c>
      <c r="F230" s="29" t="s">
        <v>10787</v>
      </c>
      <c r="G230" s="29" t="s">
        <v>10788</v>
      </c>
      <c r="H230" s="29" t="s">
        <v>607</v>
      </c>
      <c r="I230" s="29" t="s">
        <v>10789</v>
      </c>
      <c r="J230" s="29" t="s">
        <v>603</v>
      </c>
      <c r="L230" s="182">
        <v>6</v>
      </c>
      <c r="M230" s="113">
        <v>1637500</v>
      </c>
      <c r="N230" s="113">
        <v>2538125</v>
      </c>
      <c r="O230" s="189" t="s">
        <v>10762</v>
      </c>
      <c r="P230" s="53" t="s">
        <v>10790</v>
      </c>
      <c r="Q230" s="53" t="s">
        <v>1939</v>
      </c>
      <c r="R230" s="53" t="s">
        <v>10791</v>
      </c>
      <c r="U230" s="29" t="s">
        <v>491</v>
      </c>
    </row>
    <row r="231" spans="1:21" ht="90" x14ac:dyDescent="0.25">
      <c r="A231" s="56">
        <v>43194</v>
      </c>
      <c r="B231" s="29" t="s">
        <v>328</v>
      </c>
      <c r="C231" s="29" t="s">
        <v>603</v>
      </c>
      <c r="D231" s="29" t="s">
        <v>7595</v>
      </c>
      <c r="E231" s="29" t="s">
        <v>588</v>
      </c>
      <c r="F231" s="29" t="s">
        <v>10792</v>
      </c>
      <c r="H231" s="29" t="s">
        <v>10832</v>
      </c>
      <c r="I231" s="29" t="s">
        <v>10793</v>
      </c>
      <c r="J231" s="29" t="s">
        <v>3856</v>
      </c>
      <c r="L231" s="182">
        <v>10</v>
      </c>
      <c r="M231" s="113">
        <v>260000</v>
      </c>
      <c r="N231" s="113">
        <v>290000</v>
      </c>
      <c r="O231" s="189" t="s">
        <v>7124</v>
      </c>
      <c r="P231" s="53" t="s">
        <v>10890</v>
      </c>
      <c r="Q231" s="53" t="s">
        <v>1612</v>
      </c>
      <c r="R231" s="53" t="s">
        <v>10891</v>
      </c>
      <c r="S231" s="53" t="s">
        <v>10794</v>
      </c>
      <c r="U231" s="29" t="s">
        <v>491</v>
      </c>
    </row>
    <row r="232" spans="1:21" ht="30" x14ac:dyDescent="0.25">
      <c r="A232" s="56">
        <v>43194</v>
      </c>
      <c r="B232" s="29" t="s">
        <v>569</v>
      </c>
      <c r="C232" s="29" t="s">
        <v>899</v>
      </c>
      <c r="D232" s="29" t="s">
        <v>625</v>
      </c>
      <c r="E232" s="29" t="s">
        <v>588</v>
      </c>
      <c r="F232" s="29" t="s">
        <v>10795</v>
      </c>
      <c r="G232" s="29" t="s">
        <v>10796</v>
      </c>
      <c r="H232" s="29" t="s">
        <v>10832</v>
      </c>
      <c r="I232" s="29" t="s">
        <v>3649</v>
      </c>
      <c r="J232" s="29" t="s">
        <v>899</v>
      </c>
      <c r="M232" s="113">
        <v>1300000</v>
      </c>
      <c r="N232" s="113">
        <v>2200000</v>
      </c>
      <c r="O232" s="189" t="s">
        <v>560</v>
      </c>
      <c r="P232" s="53" t="s">
        <v>10797</v>
      </c>
      <c r="Q232" s="53" t="s">
        <v>592</v>
      </c>
      <c r="R232" s="53" t="s">
        <v>10798</v>
      </c>
      <c r="U232" s="29" t="s">
        <v>491</v>
      </c>
    </row>
    <row r="233" spans="1:21" ht="45" x14ac:dyDescent="0.25">
      <c r="A233" s="56">
        <v>43194</v>
      </c>
      <c r="B233" s="29" t="s">
        <v>328</v>
      </c>
      <c r="C233" s="29" t="s">
        <v>603</v>
      </c>
      <c r="D233" s="29" t="s">
        <v>2397</v>
      </c>
      <c r="E233" s="29" t="s">
        <v>588</v>
      </c>
      <c r="F233" s="29" t="s">
        <v>10799</v>
      </c>
      <c r="H233" s="29" t="s">
        <v>809</v>
      </c>
      <c r="I233" s="29" t="s">
        <v>300</v>
      </c>
      <c r="J233" s="29" t="s">
        <v>8194</v>
      </c>
      <c r="L233" s="182">
        <v>10</v>
      </c>
      <c r="M233" s="113">
        <v>485000</v>
      </c>
      <c r="N233" s="113">
        <v>558500</v>
      </c>
      <c r="O233" s="189" t="s">
        <v>7124</v>
      </c>
      <c r="P233" s="53" t="s">
        <v>10800</v>
      </c>
      <c r="Q233" s="53" t="s">
        <v>1939</v>
      </c>
      <c r="R233" s="53" t="s">
        <v>10801</v>
      </c>
      <c r="S233" s="53" t="s">
        <v>10802</v>
      </c>
      <c r="U233" s="29" t="s">
        <v>491</v>
      </c>
    </row>
    <row r="234" spans="1:21" ht="60" x14ac:dyDescent="0.25">
      <c r="A234" s="56">
        <v>43194</v>
      </c>
      <c r="B234" s="29" t="s">
        <v>5473</v>
      </c>
      <c r="C234" s="29" t="s">
        <v>608</v>
      </c>
      <c r="D234" s="29" t="s">
        <v>2678</v>
      </c>
      <c r="E234" s="29" t="s">
        <v>588</v>
      </c>
      <c r="F234" s="29" t="s">
        <v>10803</v>
      </c>
      <c r="G234" s="29" t="s">
        <v>10804</v>
      </c>
      <c r="H234" s="29" t="s">
        <v>607</v>
      </c>
      <c r="I234" s="29" t="s">
        <v>10805</v>
      </c>
      <c r="J234" s="29" t="s">
        <v>602</v>
      </c>
      <c r="L234" s="182">
        <v>10</v>
      </c>
      <c r="M234" s="113">
        <v>1100000</v>
      </c>
      <c r="N234" s="113">
        <v>2200000</v>
      </c>
      <c r="O234" s="189" t="s">
        <v>7124</v>
      </c>
      <c r="P234" s="53" t="s">
        <v>10806</v>
      </c>
      <c r="Q234" s="53" t="s">
        <v>592</v>
      </c>
      <c r="R234" s="53" t="s">
        <v>10807</v>
      </c>
      <c r="U234" s="29" t="s">
        <v>491</v>
      </c>
    </row>
    <row r="235" spans="1:21" ht="90" x14ac:dyDescent="0.25">
      <c r="A235" s="56">
        <v>43195</v>
      </c>
      <c r="B235" s="29" t="s">
        <v>569</v>
      </c>
      <c r="C235" s="29" t="s">
        <v>899</v>
      </c>
      <c r="D235" s="29" t="s">
        <v>625</v>
      </c>
      <c r="E235" s="29" t="s">
        <v>588</v>
      </c>
      <c r="F235" s="29" t="s">
        <v>10808</v>
      </c>
      <c r="G235" s="29" t="s">
        <v>10809</v>
      </c>
      <c r="H235" s="29" t="s">
        <v>886</v>
      </c>
      <c r="I235" s="29" t="s">
        <v>10810</v>
      </c>
      <c r="J235" s="29" t="s">
        <v>899</v>
      </c>
      <c r="M235" s="113">
        <v>900000</v>
      </c>
      <c r="O235" s="189" t="s">
        <v>10766</v>
      </c>
      <c r="P235" s="53" t="s">
        <v>10825</v>
      </c>
      <c r="Q235" s="53" t="s">
        <v>592</v>
      </c>
      <c r="R235" s="53" t="s">
        <v>10811</v>
      </c>
      <c r="U235" s="29" t="s">
        <v>491</v>
      </c>
    </row>
    <row r="236" spans="1:21" ht="60" x14ac:dyDescent="0.25">
      <c r="A236" s="56">
        <v>43195</v>
      </c>
      <c r="B236" s="29" t="s">
        <v>328</v>
      </c>
      <c r="C236" s="29" t="s">
        <v>603</v>
      </c>
      <c r="D236" s="29" t="s">
        <v>10338</v>
      </c>
      <c r="E236" s="29" t="s">
        <v>588</v>
      </c>
      <c r="F236" s="29" t="s">
        <v>10812</v>
      </c>
      <c r="G236" s="29" t="s">
        <v>10813</v>
      </c>
      <c r="H236" s="29" t="s">
        <v>607</v>
      </c>
      <c r="I236" s="29" t="s">
        <v>6894</v>
      </c>
      <c r="J236" s="29" t="s">
        <v>899</v>
      </c>
      <c r="L236" s="182">
        <v>3</v>
      </c>
      <c r="M236" s="113">
        <v>280000</v>
      </c>
      <c r="N236" s="113">
        <v>439000</v>
      </c>
      <c r="O236" s="189" t="s">
        <v>4533</v>
      </c>
      <c r="P236" s="53" t="s">
        <v>10814</v>
      </c>
      <c r="Q236" s="53" t="s">
        <v>1939</v>
      </c>
      <c r="R236" s="53" t="s">
        <v>10815</v>
      </c>
      <c r="U236" s="29" t="s">
        <v>491</v>
      </c>
    </row>
    <row r="237" spans="1:21" ht="30" x14ac:dyDescent="0.25">
      <c r="A237" s="56">
        <v>43195</v>
      </c>
      <c r="B237" s="29" t="s">
        <v>328</v>
      </c>
      <c r="C237" s="29" t="s">
        <v>603</v>
      </c>
      <c r="D237" s="29" t="s">
        <v>10338</v>
      </c>
      <c r="E237" s="29" t="s">
        <v>588</v>
      </c>
      <c r="F237" s="29" t="s">
        <v>10816</v>
      </c>
      <c r="G237" s="29" t="s">
        <v>10817</v>
      </c>
      <c r="H237" s="29" t="s">
        <v>607</v>
      </c>
      <c r="J237" s="29" t="s">
        <v>899</v>
      </c>
      <c r="L237" s="182">
        <v>2</v>
      </c>
      <c r="M237" s="113">
        <v>1142000</v>
      </c>
      <c r="N237" s="113">
        <v>2055600</v>
      </c>
      <c r="O237" s="189" t="s">
        <v>7564</v>
      </c>
      <c r="P237" s="53" t="s">
        <v>10818</v>
      </c>
      <c r="Q237" s="53" t="s">
        <v>29</v>
      </c>
      <c r="R237" s="53" t="s">
        <v>10819</v>
      </c>
      <c r="S237" s="53" t="s">
        <v>6376</v>
      </c>
      <c r="U237" s="29" t="s">
        <v>491</v>
      </c>
    </row>
    <row r="238" spans="1:21" ht="90" x14ac:dyDescent="0.25">
      <c r="A238" s="56">
        <v>43195</v>
      </c>
      <c r="B238" s="29" t="s">
        <v>328</v>
      </c>
      <c r="C238" s="29" t="s">
        <v>603</v>
      </c>
      <c r="D238" s="29" t="s">
        <v>2397</v>
      </c>
      <c r="E238" s="29" t="s">
        <v>588</v>
      </c>
      <c r="F238" s="29" t="s">
        <v>10820</v>
      </c>
      <c r="G238" s="29" t="s">
        <v>10821</v>
      </c>
      <c r="H238" s="29" t="s">
        <v>607</v>
      </c>
      <c r="I238" s="29" t="s">
        <v>10822</v>
      </c>
      <c r="J238" s="29" t="s">
        <v>4031</v>
      </c>
      <c r="L238" s="182">
        <v>3</v>
      </c>
      <c r="M238" s="113">
        <v>230000</v>
      </c>
      <c r="N238" s="113">
        <v>494500</v>
      </c>
      <c r="O238" s="189" t="s">
        <v>10766</v>
      </c>
      <c r="P238" s="53" t="s">
        <v>10823</v>
      </c>
      <c r="Q238" s="53" t="s">
        <v>1939</v>
      </c>
      <c r="R238" s="53" t="s">
        <v>10824</v>
      </c>
      <c r="U238" s="29" t="s">
        <v>491</v>
      </c>
    </row>
    <row r="239" spans="1:21" ht="90" x14ac:dyDescent="0.25">
      <c r="A239" s="56">
        <v>43195</v>
      </c>
      <c r="B239" s="29" t="s">
        <v>569</v>
      </c>
      <c r="C239" s="29" t="s">
        <v>899</v>
      </c>
      <c r="D239" s="29" t="s">
        <v>624</v>
      </c>
      <c r="E239" s="29" t="s">
        <v>588</v>
      </c>
      <c r="F239" s="29" t="s">
        <v>10826</v>
      </c>
      <c r="G239" s="29" t="s">
        <v>9332</v>
      </c>
      <c r="H239" s="29" t="s">
        <v>905</v>
      </c>
      <c r="I239" s="29" t="s">
        <v>4763</v>
      </c>
      <c r="J239" s="29" t="s">
        <v>899</v>
      </c>
      <c r="O239" s="189" t="s">
        <v>2295</v>
      </c>
      <c r="P239" s="53" t="s">
        <v>10827</v>
      </c>
      <c r="Q239" s="53" t="s">
        <v>620</v>
      </c>
      <c r="R239" s="53" t="s">
        <v>10828</v>
      </c>
      <c r="U239" s="29" t="s">
        <v>491</v>
      </c>
    </row>
    <row r="240" spans="1:21" ht="90" x14ac:dyDescent="0.25">
      <c r="A240" s="56">
        <v>43196</v>
      </c>
      <c r="B240" s="29" t="s">
        <v>328</v>
      </c>
      <c r="C240" s="29" t="s">
        <v>603</v>
      </c>
      <c r="D240" s="29" t="s">
        <v>7595</v>
      </c>
      <c r="E240" s="29" t="s">
        <v>588</v>
      </c>
      <c r="F240" s="29" t="s">
        <v>10833</v>
      </c>
      <c r="G240" s="29" t="s">
        <v>10834</v>
      </c>
      <c r="H240" s="29" t="s">
        <v>905</v>
      </c>
      <c r="I240" s="29" t="s">
        <v>8668</v>
      </c>
      <c r="J240" s="29" t="s">
        <v>3398</v>
      </c>
      <c r="L240" s="182">
        <v>4</v>
      </c>
      <c r="M240" s="113">
        <v>220000</v>
      </c>
      <c r="N240" s="113">
        <v>267000</v>
      </c>
      <c r="O240" s="189" t="s">
        <v>10762</v>
      </c>
      <c r="P240" s="53" t="s">
        <v>10835</v>
      </c>
      <c r="Q240" s="53" t="s">
        <v>592</v>
      </c>
      <c r="R240" s="53" t="s">
        <v>10836</v>
      </c>
      <c r="U240" s="29" t="s">
        <v>491</v>
      </c>
    </row>
    <row r="241" spans="1:21" ht="45" x14ac:dyDescent="0.25">
      <c r="A241" s="56">
        <v>43196</v>
      </c>
      <c r="B241" s="29" t="s">
        <v>569</v>
      </c>
      <c r="C241" s="29" t="s">
        <v>899</v>
      </c>
      <c r="D241" s="29" t="s">
        <v>624</v>
      </c>
      <c r="E241" s="29" t="s">
        <v>588</v>
      </c>
      <c r="F241" s="29" t="s">
        <v>10837</v>
      </c>
      <c r="G241" s="29" t="s">
        <v>10838</v>
      </c>
      <c r="H241" s="29" t="s">
        <v>905</v>
      </c>
      <c r="I241" s="29" t="s">
        <v>3649</v>
      </c>
      <c r="J241" s="29" t="s">
        <v>899</v>
      </c>
      <c r="L241" s="182">
        <v>4</v>
      </c>
      <c r="M241" s="113">
        <v>1175000</v>
      </c>
      <c r="N241" s="113">
        <v>1550000</v>
      </c>
      <c r="O241" s="189" t="s">
        <v>560</v>
      </c>
      <c r="P241" s="53" t="s">
        <v>10842</v>
      </c>
      <c r="Q241" s="53" t="s">
        <v>592</v>
      </c>
      <c r="R241" s="53" t="s">
        <v>10843</v>
      </c>
      <c r="U241" s="29" t="s">
        <v>491</v>
      </c>
    </row>
    <row r="242" spans="1:21" ht="180" x14ac:dyDescent="0.25">
      <c r="A242" s="56">
        <v>43196</v>
      </c>
      <c r="B242" s="29" t="s">
        <v>328</v>
      </c>
      <c r="C242" s="29" t="s">
        <v>603</v>
      </c>
      <c r="D242" s="29" t="s">
        <v>7595</v>
      </c>
      <c r="E242" s="29" t="s">
        <v>588</v>
      </c>
      <c r="F242" s="29" t="s">
        <v>10367</v>
      </c>
      <c r="G242" s="29" t="s">
        <v>10839</v>
      </c>
      <c r="H242" s="29" t="s">
        <v>607</v>
      </c>
      <c r="I242" s="29" t="s">
        <v>10840</v>
      </c>
      <c r="J242" s="29" t="s">
        <v>3533</v>
      </c>
      <c r="L242" s="182">
        <v>2</v>
      </c>
      <c r="M242" s="113">
        <v>220000</v>
      </c>
      <c r="N242" s="113">
        <v>352000</v>
      </c>
      <c r="O242" s="189" t="s">
        <v>4533</v>
      </c>
      <c r="P242" s="53" t="s">
        <v>10841</v>
      </c>
      <c r="Q242" s="53" t="s">
        <v>29</v>
      </c>
      <c r="R242" s="53" t="s">
        <v>10950</v>
      </c>
      <c r="U242" s="29" t="s">
        <v>491</v>
      </c>
    </row>
    <row r="243" spans="1:21" ht="60" x14ac:dyDescent="0.25">
      <c r="A243" s="56">
        <v>43196</v>
      </c>
      <c r="B243" s="29" t="s">
        <v>328</v>
      </c>
      <c r="C243" s="29" t="s">
        <v>603</v>
      </c>
      <c r="D243" s="29" t="s">
        <v>7595</v>
      </c>
      <c r="E243" s="29" t="s">
        <v>588</v>
      </c>
      <c r="F243" s="29" t="s">
        <v>10844</v>
      </c>
      <c r="G243" s="29" t="s">
        <v>3360</v>
      </c>
      <c r="H243" s="29" t="s">
        <v>886</v>
      </c>
      <c r="I243" s="29" t="s">
        <v>2054</v>
      </c>
      <c r="J243" s="29" t="s">
        <v>899</v>
      </c>
      <c r="L243" s="182">
        <v>1</v>
      </c>
      <c r="M243" s="113">
        <v>3150000</v>
      </c>
      <c r="N243" s="113">
        <v>3780000</v>
      </c>
      <c r="O243" s="189" t="s">
        <v>7564</v>
      </c>
      <c r="P243" s="53" t="s">
        <v>10845</v>
      </c>
      <c r="Q243" s="53" t="s">
        <v>592</v>
      </c>
      <c r="R243" s="53" t="s">
        <v>10846</v>
      </c>
      <c r="U243" s="29" t="s">
        <v>491</v>
      </c>
    </row>
    <row r="244" spans="1:21" ht="45" x14ac:dyDescent="0.25">
      <c r="A244" s="56">
        <v>43196</v>
      </c>
      <c r="B244" s="29" t="s">
        <v>569</v>
      </c>
      <c r="C244" s="29" t="s">
        <v>899</v>
      </c>
      <c r="D244" s="29" t="s">
        <v>625</v>
      </c>
      <c r="E244" s="29" t="s">
        <v>821</v>
      </c>
      <c r="F244" s="29" t="s">
        <v>10847</v>
      </c>
      <c r="H244" s="29" t="s">
        <v>10831</v>
      </c>
      <c r="I244" s="29" t="s">
        <v>10301</v>
      </c>
      <c r="J244" s="29" t="s">
        <v>899</v>
      </c>
      <c r="M244" s="113">
        <v>1000000</v>
      </c>
      <c r="O244" s="189" t="s">
        <v>10763</v>
      </c>
      <c r="P244" s="53" t="s">
        <v>10882</v>
      </c>
      <c r="Q244" s="53" t="s">
        <v>592</v>
      </c>
      <c r="R244" s="53" t="s">
        <v>10848</v>
      </c>
      <c r="U244" s="29" t="s">
        <v>491</v>
      </c>
    </row>
    <row r="245" spans="1:21" ht="60" x14ac:dyDescent="0.25">
      <c r="A245" s="56">
        <v>43199</v>
      </c>
      <c r="B245" s="29" t="s">
        <v>569</v>
      </c>
      <c r="C245" s="29" t="s">
        <v>899</v>
      </c>
      <c r="D245" s="29" t="s">
        <v>625</v>
      </c>
      <c r="E245" s="29" t="s">
        <v>588</v>
      </c>
      <c r="F245" s="29" t="s">
        <v>10850</v>
      </c>
      <c r="G245" s="29" t="s">
        <v>10851</v>
      </c>
      <c r="H245" s="29" t="s">
        <v>905</v>
      </c>
      <c r="I245" s="29" t="s">
        <v>5501</v>
      </c>
      <c r="J245" s="29" t="s">
        <v>899</v>
      </c>
      <c r="M245" s="113">
        <v>2800000</v>
      </c>
      <c r="N245" s="113">
        <v>3300000</v>
      </c>
      <c r="O245" s="189" t="s">
        <v>560</v>
      </c>
      <c r="P245" s="53" t="s">
        <v>10852</v>
      </c>
      <c r="Q245" s="53" t="s">
        <v>1939</v>
      </c>
      <c r="R245" s="53" t="s">
        <v>10853</v>
      </c>
      <c r="U245" s="29" t="s">
        <v>1327</v>
      </c>
    </row>
    <row r="246" spans="1:21" ht="30" x14ac:dyDescent="0.25">
      <c r="A246" s="56">
        <v>43199</v>
      </c>
      <c r="B246" s="29" t="s">
        <v>569</v>
      </c>
      <c r="C246" s="29" t="s">
        <v>899</v>
      </c>
      <c r="D246" s="29" t="s">
        <v>625</v>
      </c>
      <c r="E246" s="29" t="s">
        <v>588</v>
      </c>
      <c r="F246" s="29" t="s">
        <v>10856</v>
      </c>
      <c r="G246" s="29" t="s">
        <v>7814</v>
      </c>
      <c r="H246" s="29" t="s">
        <v>607</v>
      </c>
      <c r="I246" s="29" t="s">
        <v>3649</v>
      </c>
      <c r="J246" s="29" t="s">
        <v>899</v>
      </c>
      <c r="L246" s="182">
        <v>4</v>
      </c>
      <c r="M246" s="113">
        <v>1200000</v>
      </c>
      <c r="N246" s="113">
        <v>2290000</v>
      </c>
      <c r="O246" s="189" t="s">
        <v>560</v>
      </c>
      <c r="P246" s="53" t="s">
        <v>10854</v>
      </c>
      <c r="Q246" s="53" t="s">
        <v>1939</v>
      </c>
      <c r="R246" s="53" t="s">
        <v>10855</v>
      </c>
      <c r="U246" s="29" t="s">
        <v>1327</v>
      </c>
    </row>
    <row r="247" spans="1:21" ht="45" x14ac:dyDescent="0.25">
      <c r="A247" s="56">
        <v>43199</v>
      </c>
      <c r="B247" s="29" t="s">
        <v>9240</v>
      </c>
      <c r="C247" s="29" t="s">
        <v>603</v>
      </c>
      <c r="D247" s="29" t="s">
        <v>9849</v>
      </c>
      <c r="E247" s="29" t="s">
        <v>588</v>
      </c>
      <c r="F247" s="29" t="s">
        <v>10857</v>
      </c>
      <c r="G247" s="29" t="s">
        <v>10861</v>
      </c>
      <c r="H247" s="29" t="s">
        <v>607</v>
      </c>
      <c r="I247" s="29" t="s">
        <v>10858</v>
      </c>
      <c r="J247" s="29" t="s">
        <v>3373</v>
      </c>
      <c r="L247" s="182">
        <v>4</v>
      </c>
      <c r="M247" s="113">
        <v>274500</v>
      </c>
      <c r="N247" s="113">
        <v>587825</v>
      </c>
      <c r="O247" s="189" t="s">
        <v>10766</v>
      </c>
      <c r="P247" s="53" t="s">
        <v>10859</v>
      </c>
      <c r="Q247" s="53" t="s">
        <v>592</v>
      </c>
      <c r="R247" s="53" t="s">
        <v>10860</v>
      </c>
      <c r="U247" s="29" t="s">
        <v>1327</v>
      </c>
    </row>
    <row r="248" spans="1:21" ht="45" x14ac:dyDescent="0.25">
      <c r="A248" s="56">
        <v>43199</v>
      </c>
      <c r="B248" s="29" t="s">
        <v>9240</v>
      </c>
      <c r="C248" s="29" t="s">
        <v>603</v>
      </c>
      <c r="D248" s="29" t="s">
        <v>9849</v>
      </c>
      <c r="E248" s="29" t="s">
        <v>588</v>
      </c>
      <c r="F248" s="29" t="s">
        <v>10862</v>
      </c>
      <c r="G248" s="29" t="s">
        <v>3505</v>
      </c>
      <c r="H248" s="29" t="s">
        <v>607</v>
      </c>
      <c r="I248" s="29" t="s">
        <v>10863</v>
      </c>
      <c r="J248" s="29" t="s">
        <v>603</v>
      </c>
      <c r="M248" s="113">
        <v>115000</v>
      </c>
      <c r="N248" s="113">
        <v>241500</v>
      </c>
      <c r="O248" s="189" t="s">
        <v>4533</v>
      </c>
      <c r="P248" s="53" t="s">
        <v>10864</v>
      </c>
      <c r="Q248" s="53" t="s">
        <v>1939</v>
      </c>
      <c r="R248" s="53" t="s">
        <v>10865</v>
      </c>
      <c r="U248" s="29" t="s">
        <v>1327</v>
      </c>
    </row>
    <row r="249" spans="1:21" ht="75" x14ac:dyDescent="0.25">
      <c r="A249" s="56">
        <v>43199</v>
      </c>
      <c r="B249" s="29" t="s">
        <v>328</v>
      </c>
      <c r="C249" s="29" t="s">
        <v>603</v>
      </c>
      <c r="D249" s="29" t="s">
        <v>672</v>
      </c>
      <c r="E249" s="29" t="s">
        <v>588</v>
      </c>
      <c r="F249" s="29" t="s">
        <v>10869</v>
      </c>
      <c r="G249" s="29" t="s">
        <v>10870</v>
      </c>
      <c r="H249" s="29" t="s">
        <v>607</v>
      </c>
      <c r="I249" s="29" t="s">
        <v>10868</v>
      </c>
      <c r="J249" s="29" t="s">
        <v>3751</v>
      </c>
      <c r="L249" s="182">
        <v>4</v>
      </c>
      <c r="M249" s="113">
        <v>100000</v>
      </c>
      <c r="N249" s="113">
        <v>180000</v>
      </c>
      <c r="O249" s="189" t="s">
        <v>10879</v>
      </c>
      <c r="P249" s="53" t="s">
        <v>10867</v>
      </c>
      <c r="Q249" s="53" t="s">
        <v>1939</v>
      </c>
      <c r="R249" s="53" t="s">
        <v>10866</v>
      </c>
      <c r="U249" s="29" t="s">
        <v>1327</v>
      </c>
    </row>
    <row r="250" spans="1:21" ht="45" x14ac:dyDescent="0.25">
      <c r="A250" s="56">
        <v>43199</v>
      </c>
      <c r="B250" s="29" t="s">
        <v>5956</v>
      </c>
      <c r="C250" s="29" t="s">
        <v>3369</v>
      </c>
      <c r="D250" s="29" t="s">
        <v>10156</v>
      </c>
      <c r="E250" s="29" t="s">
        <v>588</v>
      </c>
      <c r="F250" s="29" t="s">
        <v>10871</v>
      </c>
      <c r="G250" s="29" t="s">
        <v>10872</v>
      </c>
      <c r="H250" s="29" t="s">
        <v>607</v>
      </c>
      <c r="I250" s="29" t="s">
        <v>4515</v>
      </c>
      <c r="J250" s="29" t="s">
        <v>3369</v>
      </c>
      <c r="M250" s="113">
        <v>1200000</v>
      </c>
      <c r="N250" s="113">
        <v>2100000</v>
      </c>
      <c r="O250" s="189" t="s">
        <v>10766</v>
      </c>
      <c r="P250" s="53" t="s">
        <v>10873</v>
      </c>
      <c r="Q250" s="53" t="s">
        <v>620</v>
      </c>
      <c r="R250" s="53" t="s">
        <v>10874</v>
      </c>
      <c r="U250" s="29" t="s">
        <v>491</v>
      </c>
    </row>
    <row r="251" spans="1:21" ht="60" x14ac:dyDescent="0.25">
      <c r="A251" s="56">
        <v>43199</v>
      </c>
      <c r="B251" s="29" t="s">
        <v>569</v>
      </c>
      <c r="C251" s="29" t="s">
        <v>899</v>
      </c>
      <c r="D251" s="29" t="s">
        <v>625</v>
      </c>
      <c r="E251" s="29" t="s">
        <v>588</v>
      </c>
      <c r="F251" s="29" t="s">
        <v>10875</v>
      </c>
      <c r="H251" s="29" t="s">
        <v>905</v>
      </c>
      <c r="I251" s="29" t="s">
        <v>10876</v>
      </c>
      <c r="J251" s="29" t="s">
        <v>899</v>
      </c>
      <c r="L251" s="182">
        <v>6</v>
      </c>
      <c r="O251" s="189" t="s">
        <v>10763</v>
      </c>
      <c r="P251" s="53" t="s">
        <v>10877</v>
      </c>
      <c r="Q251" s="53" t="s">
        <v>1939</v>
      </c>
      <c r="R251" s="53" t="s">
        <v>10878</v>
      </c>
      <c r="U251" s="29" t="s">
        <v>491</v>
      </c>
    </row>
    <row r="252" spans="1:21" ht="45" x14ac:dyDescent="0.25">
      <c r="A252" s="56">
        <v>43200</v>
      </c>
      <c r="B252" s="29" t="s">
        <v>569</v>
      </c>
      <c r="C252" s="29" t="s">
        <v>899</v>
      </c>
      <c r="D252" s="29" t="s">
        <v>625</v>
      </c>
      <c r="E252" s="29" t="s">
        <v>588</v>
      </c>
      <c r="F252" s="29" t="s">
        <v>10886</v>
      </c>
      <c r="G252" s="29" t="s">
        <v>10887</v>
      </c>
      <c r="H252" s="29" t="s">
        <v>809</v>
      </c>
      <c r="I252" s="29" t="s">
        <v>10888</v>
      </c>
      <c r="J252" s="29" t="s">
        <v>899</v>
      </c>
      <c r="L252" s="182">
        <v>4</v>
      </c>
      <c r="M252" s="113">
        <v>750000</v>
      </c>
      <c r="N252" s="113">
        <v>850000</v>
      </c>
      <c r="O252" s="190" t="s">
        <v>10766</v>
      </c>
      <c r="P252" s="53" t="s">
        <v>11142</v>
      </c>
      <c r="Q252" s="29" t="s">
        <v>592</v>
      </c>
      <c r="R252" s="53" t="s">
        <v>10889</v>
      </c>
      <c r="U252" s="29" t="s">
        <v>1327</v>
      </c>
    </row>
    <row r="253" spans="1:21" ht="60" x14ac:dyDescent="0.25">
      <c r="A253" s="56">
        <v>43200</v>
      </c>
      <c r="B253" s="29" t="s">
        <v>328</v>
      </c>
      <c r="C253" s="29" t="s">
        <v>899</v>
      </c>
      <c r="D253" s="29" t="s">
        <v>8941</v>
      </c>
      <c r="E253" s="29" t="s">
        <v>588</v>
      </c>
      <c r="F253" s="29" t="s">
        <v>10883</v>
      </c>
      <c r="G253" s="29" t="s">
        <v>8044</v>
      </c>
      <c r="H253" s="29" t="s">
        <v>607</v>
      </c>
      <c r="I253" s="29" t="s">
        <v>2054</v>
      </c>
      <c r="J253" s="29" t="s">
        <v>899</v>
      </c>
      <c r="L253" s="182">
        <v>2</v>
      </c>
      <c r="M253" s="113">
        <v>925000</v>
      </c>
      <c r="N253" s="113">
        <v>1287500</v>
      </c>
      <c r="O253" s="190" t="s">
        <v>7564</v>
      </c>
      <c r="P253" s="53" t="s">
        <v>10884</v>
      </c>
      <c r="Q253" s="29" t="s">
        <v>1939</v>
      </c>
      <c r="R253" s="53" t="s">
        <v>10885</v>
      </c>
      <c r="U253" s="29" t="s">
        <v>1327</v>
      </c>
    </row>
    <row r="254" spans="1:21" ht="60" x14ac:dyDescent="0.25">
      <c r="A254" s="56">
        <v>43200</v>
      </c>
      <c r="B254" s="29" t="s">
        <v>328</v>
      </c>
      <c r="C254" s="29" t="s">
        <v>603</v>
      </c>
      <c r="D254" s="29" t="s">
        <v>5701</v>
      </c>
      <c r="E254" s="29" t="s">
        <v>588</v>
      </c>
      <c r="F254" s="29" t="s">
        <v>10892</v>
      </c>
      <c r="G254" s="29" t="s">
        <v>10893</v>
      </c>
      <c r="H254" s="29" t="s">
        <v>10831</v>
      </c>
      <c r="J254" s="29" t="s">
        <v>8710</v>
      </c>
      <c r="L254" s="182">
        <v>10</v>
      </c>
      <c r="M254" s="113">
        <v>300000</v>
      </c>
      <c r="O254" s="190" t="s">
        <v>7124</v>
      </c>
      <c r="P254" s="53" t="s">
        <v>10894</v>
      </c>
      <c r="Q254" s="29" t="s">
        <v>29</v>
      </c>
      <c r="R254" s="53" t="s">
        <v>10895</v>
      </c>
      <c r="S254" s="53" t="s">
        <v>10896</v>
      </c>
      <c r="U254" s="29" t="s">
        <v>491</v>
      </c>
    </row>
    <row r="255" spans="1:21" ht="30" x14ac:dyDescent="0.25">
      <c r="A255" s="56">
        <v>43201</v>
      </c>
      <c r="B255" s="29" t="s">
        <v>569</v>
      </c>
      <c r="C255" s="29" t="s">
        <v>899</v>
      </c>
      <c r="D255" s="29" t="s">
        <v>625</v>
      </c>
      <c r="E255" s="29" t="s">
        <v>588</v>
      </c>
      <c r="F255" s="29" t="s">
        <v>10921</v>
      </c>
      <c r="G255" s="29" t="s">
        <v>10922</v>
      </c>
      <c r="H255" s="29" t="s">
        <v>607</v>
      </c>
      <c r="I255" s="29" t="s">
        <v>10925</v>
      </c>
      <c r="J255" s="29" t="s">
        <v>899</v>
      </c>
      <c r="L255" s="182">
        <v>2</v>
      </c>
      <c r="M255" s="113">
        <v>1567730</v>
      </c>
      <c r="N255" s="113">
        <v>2775600</v>
      </c>
      <c r="O255" s="189" t="s">
        <v>10766</v>
      </c>
      <c r="P255" s="53" t="s">
        <v>10926</v>
      </c>
      <c r="Q255" s="53" t="s">
        <v>592</v>
      </c>
      <c r="R255" s="53" t="s">
        <v>10927</v>
      </c>
      <c r="U255" s="29" t="s">
        <v>1327</v>
      </c>
    </row>
    <row r="256" spans="1:21" ht="30" x14ac:dyDescent="0.25">
      <c r="A256" s="56">
        <v>43201</v>
      </c>
      <c r="B256" s="29" t="s">
        <v>569</v>
      </c>
      <c r="C256" s="29" t="s">
        <v>899</v>
      </c>
      <c r="D256" s="29" t="s">
        <v>625</v>
      </c>
      <c r="E256" s="29" t="s">
        <v>588</v>
      </c>
      <c r="F256" s="29" t="s">
        <v>10931</v>
      </c>
      <c r="G256" s="29" t="s">
        <v>10931</v>
      </c>
      <c r="H256" s="29" t="s">
        <v>809</v>
      </c>
      <c r="I256" s="29" t="s">
        <v>10930</v>
      </c>
      <c r="J256" s="29" t="s">
        <v>899</v>
      </c>
      <c r="L256" s="182">
        <v>2</v>
      </c>
      <c r="M256" s="113">
        <v>3500000</v>
      </c>
      <c r="N256" s="113">
        <v>3500000</v>
      </c>
      <c r="O256" s="189" t="s">
        <v>560</v>
      </c>
      <c r="P256" s="53" t="s">
        <v>10929</v>
      </c>
      <c r="Q256" s="53" t="s">
        <v>1939</v>
      </c>
      <c r="R256" s="53" t="s">
        <v>10928</v>
      </c>
      <c r="U256" s="29" t="s">
        <v>1327</v>
      </c>
    </row>
    <row r="257" spans="1:21" ht="15.75" x14ac:dyDescent="0.25">
      <c r="A257" s="56">
        <v>43201</v>
      </c>
      <c r="B257" s="29" t="s">
        <v>569</v>
      </c>
      <c r="C257" s="29" t="s">
        <v>899</v>
      </c>
      <c r="D257" s="29" t="s">
        <v>625</v>
      </c>
      <c r="E257" s="29" t="s">
        <v>588</v>
      </c>
      <c r="F257" s="29" t="s">
        <v>10932</v>
      </c>
      <c r="G257" s="29" t="s">
        <v>10080</v>
      </c>
      <c r="H257" s="29" t="s">
        <v>607</v>
      </c>
      <c r="I257" s="29" t="s">
        <v>2054</v>
      </c>
      <c r="J257" s="29" t="s">
        <v>899</v>
      </c>
      <c r="L257" s="182">
        <v>2</v>
      </c>
      <c r="M257" s="113">
        <v>3000000</v>
      </c>
      <c r="N257" s="113">
        <v>4250000</v>
      </c>
      <c r="O257" s="189" t="s">
        <v>560</v>
      </c>
      <c r="P257" s="53" t="s">
        <v>10933</v>
      </c>
      <c r="Q257" s="53" t="s">
        <v>29</v>
      </c>
      <c r="R257" s="53" t="s">
        <v>10934</v>
      </c>
      <c r="U257" s="29" t="s">
        <v>1327</v>
      </c>
    </row>
    <row r="258" spans="1:21" ht="30" x14ac:dyDescent="0.25">
      <c r="A258" s="56">
        <v>43202</v>
      </c>
      <c r="B258" s="29" t="s">
        <v>5992</v>
      </c>
      <c r="C258" s="29" t="s">
        <v>608</v>
      </c>
      <c r="D258" s="29" t="s">
        <v>10897</v>
      </c>
      <c r="E258" s="29" t="s">
        <v>588</v>
      </c>
      <c r="F258" s="29" t="s">
        <v>10898</v>
      </c>
      <c r="G258" s="29" t="s">
        <v>15</v>
      </c>
      <c r="H258" s="29" t="s">
        <v>10831</v>
      </c>
      <c r="I258" s="29" t="s">
        <v>6193</v>
      </c>
      <c r="J258" s="29" t="s">
        <v>608</v>
      </c>
      <c r="M258" s="113">
        <v>190000</v>
      </c>
      <c r="N258" s="113">
        <v>350000</v>
      </c>
      <c r="O258" s="189" t="s">
        <v>49</v>
      </c>
      <c r="P258" s="53" t="s">
        <v>10899</v>
      </c>
      <c r="Q258" s="53" t="s">
        <v>592</v>
      </c>
      <c r="R258" s="53" t="s">
        <v>10900</v>
      </c>
      <c r="S258" s="53" t="s">
        <v>10901</v>
      </c>
      <c r="U258" s="29" t="s">
        <v>491</v>
      </c>
    </row>
    <row r="259" spans="1:21" ht="45" x14ac:dyDescent="0.25">
      <c r="A259" s="56">
        <v>43202</v>
      </c>
      <c r="B259" s="29" t="s">
        <v>328</v>
      </c>
      <c r="C259" s="29" t="s">
        <v>603</v>
      </c>
      <c r="D259" s="29" t="s">
        <v>649</v>
      </c>
      <c r="E259" s="29" t="s">
        <v>588</v>
      </c>
      <c r="F259" s="29" t="s">
        <v>10902</v>
      </c>
      <c r="G259" s="29" t="s">
        <v>10903</v>
      </c>
      <c r="H259" s="29" t="s">
        <v>607</v>
      </c>
      <c r="I259" s="29" t="s">
        <v>10904</v>
      </c>
      <c r="J259" s="29" t="s">
        <v>3371</v>
      </c>
      <c r="L259" s="182">
        <v>6</v>
      </c>
      <c r="M259" s="113">
        <v>509000</v>
      </c>
      <c r="N259" s="113">
        <v>1100000</v>
      </c>
      <c r="O259" s="189" t="s">
        <v>4533</v>
      </c>
      <c r="P259" s="53" t="s">
        <v>10905</v>
      </c>
      <c r="Q259" s="53" t="s">
        <v>592</v>
      </c>
      <c r="R259" s="53" t="s">
        <v>10906</v>
      </c>
      <c r="U259" s="29" t="s">
        <v>491</v>
      </c>
    </row>
    <row r="260" spans="1:21" ht="15.75" x14ac:dyDescent="0.25">
      <c r="A260" s="56">
        <v>43202</v>
      </c>
      <c r="B260" s="29" t="s">
        <v>569</v>
      </c>
      <c r="C260" s="29" t="s">
        <v>899</v>
      </c>
      <c r="D260" s="29" t="s">
        <v>624</v>
      </c>
      <c r="E260" s="29" t="s">
        <v>588</v>
      </c>
      <c r="F260" s="29" t="s">
        <v>10907</v>
      </c>
      <c r="G260" s="29" t="s">
        <v>7714</v>
      </c>
      <c r="H260" s="29" t="s">
        <v>607</v>
      </c>
      <c r="I260" s="29" t="s">
        <v>2054</v>
      </c>
      <c r="J260" s="29" t="s">
        <v>899</v>
      </c>
      <c r="M260" s="113">
        <v>2750000</v>
      </c>
      <c r="N260" s="113">
        <v>4650000</v>
      </c>
      <c r="O260" s="189" t="s">
        <v>560</v>
      </c>
      <c r="P260" s="53" t="s">
        <v>10908</v>
      </c>
      <c r="Q260" s="53" t="s">
        <v>29</v>
      </c>
      <c r="R260" s="53" t="s">
        <v>10909</v>
      </c>
      <c r="U260" s="29" t="s">
        <v>491</v>
      </c>
    </row>
    <row r="261" spans="1:21" ht="45" x14ac:dyDescent="0.25">
      <c r="A261" s="56">
        <v>43202</v>
      </c>
      <c r="B261" s="29" t="s">
        <v>569</v>
      </c>
      <c r="C261" s="29" t="s">
        <v>899</v>
      </c>
      <c r="D261" s="29" t="s">
        <v>624</v>
      </c>
      <c r="E261" s="29" t="s">
        <v>588</v>
      </c>
      <c r="F261" s="29" t="s">
        <v>19</v>
      </c>
      <c r="G261" s="29" t="s">
        <v>10910</v>
      </c>
      <c r="H261" s="29" t="s">
        <v>809</v>
      </c>
      <c r="I261" s="29" t="s">
        <v>3388</v>
      </c>
      <c r="J261" s="29" t="s">
        <v>899</v>
      </c>
      <c r="L261" s="182">
        <v>5</v>
      </c>
      <c r="M261" s="113">
        <v>1500000</v>
      </c>
      <c r="N261" s="113">
        <v>1940000</v>
      </c>
      <c r="O261" s="189" t="s">
        <v>560</v>
      </c>
      <c r="P261" s="53" t="s">
        <v>11143</v>
      </c>
      <c r="Q261" s="53" t="s">
        <v>592</v>
      </c>
      <c r="R261" s="53" t="s">
        <v>10911</v>
      </c>
      <c r="U261" s="29" t="s">
        <v>491</v>
      </c>
    </row>
    <row r="262" spans="1:21" ht="120" x14ac:dyDescent="0.25">
      <c r="A262" s="56">
        <v>43202</v>
      </c>
      <c r="B262" s="29" t="s">
        <v>569</v>
      </c>
      <c r="C262" s="29" t="s">
        <v>899</v>
      </c>
      <c r="D262" s="29" t="s">
        <v>625</v>
      </c>
      <c r="E262" s="29" t="s">
        <v>588</v>
      </c>
      <c r="F262" s="29" t="s">
        <v>300</v>
      </c>
      <c r="G262" s="29" t="s">
        <v>10912</v>
      </c>
      <c r="H262" s="29" t="s">
        <v>905</v>
      </c>
      <c r="I262" s="29" t="s">
        <v>3672</v>
      </c>
      <c r="J262" s="29" t="s">
        <v>899</v>
      </c>
      <c r="L262" s="182">
        <v>5</v>
      </c>
      <c r="M262" s="113">
        <v>1500000</v>
      </c>
      <c r="N262" s="113">
        <v>1820000</v>
      </c>
      <c r="O262" s="189" t="s">
        <v>10766</v>
      </c>
      <c r="P262" s="53" t="s">
        <v>10913</v>
      </c>
      <c r="Q262" s="53" t="s">
        <v>1939</v>
      </c>
      <c r="R262" s="53" t="s">
        <v>10914</v>
      </c>
      <c r="U262" s="29" t="s">
        <v>491</v>
      </c>
    </row>
    <row r="263" spans="1:21" ht="30" x14ac:dyDescent="0.25">
      <c r="A263" s="56">
        <v>43202</v>
      </c>
      <c r="B263" s="29" t="s">
        <v>9240</v>
      </c>
      <c r="C263" s="29" t="s">
        <v>603</v>
      </c>
      <c r="D263" s="29" t="s">
        <v>9241</v>
      </c>
      <c r="E263" s="29" t="s">
        <v>588</v>
      </c>
      <c r="F263" s="29" t="s">
        <v>10935</v>
      </c>
      <c r="G263" s="29" t="s">
        <v>10936</v>
      </c>
      <c r="H263" s="29" t="s">
        <v>607</v>
      </c>
      <c r="I263" s="29" t="s">
        <v>10937</v>
      </c>
      <c r="J263" s="29" t="s">
        <v>4031</v>
      </c>
      <c r="M263" s="113">
        <v>267000</v>
      </c>
      <c r="N263" s="113">
        <v>267000</v>
      </c>
      <c r="O263" s="189" t="s">
        <v>10766</v>
      </c>
      <c r="P263" s="53" t="s">
        <v>10938</v>
      </c>
      <c r="Q263" s="53" t="s">
        <v>29</v>
      </c>
      <c r="R263" s="53" t="s">
        <v>10939</v>
      </c>
      <c r="U263" s="29" t="s">
        <v>1327</v>
      </c>
    </row>
    <row r="264" spans="1:21" ht="120" x14ac:dyDescent="0.25">
      <c r="A264" s="56">
        <v>43203</v>
      </c>
      <c r="B264" s="29" t="s">
        <v>569</v>
      </c>
      <c r="C264" s="29" t="s">
        <v>899</v>
      </c>
      <c r="D264" s="29" t="s">
        <v>624</v>
      </c>
      <c r="E264" s="29" t="s">
        <v>588</v>
      </c>
      <c r="F264" s="29" t="s">
        <v>10915</v>
      </c>
      <c r="G264" s="29" t="s">
        <v>10916</v>
      </c>
      <c r="H264" s="29" t="s">
        <v>607</v>
      </c>
      <c r="I264" s="29" t="s">
        <v>10409</v>
      </c>
      <c r="J264" s="29" t="s">
        <v>899</v>
      </c>
      <c r="M264" s="113">
        <v>745000</v>
      </c>
      <c r="O264" s="189" t="s">
        <v>10766</v>
      </c>
      <c r="P264" s="53" t="s">
        <v>10917</v>
      </c>
      <c r="Q264" s="53" t="s">
        <v>1939</v>
      </c>
      <c r="R264" s="53" t="s">
        <v>10949</v>
      </c>
      <c r="U264" s="29" t="s">
        <v>491</v>
      </c>
    </row>
    <row r="265" spans="1:21" ht="45" x14ac:dyDescent="0.25">
      <c r="A265" s="56">
        <v>43203</v>
      </c>
      <c r="B265" s="29" t="s">
        <v>9240</v>
      </c>
      <c r="C265" s="29" t="s">
        <v>603</v>
      </c>
      <c r="D265" s="29" t="s">
        <v>7814</v>
      </c>
      <c r="E265" s="29" t="s">
        <v>588</v>
      </c>
      <c r="F265" s="29" t="s">
        <v>10918</v>
      </c>
      <c r="G265" s="29" t="s">
        <v>10007</v>
      </c>
      <c r="H265" s="29" t="s">
        <v>607</v>
      </c>
      <c r="I265" s="29" t="s">
        <v>6137</v>
      </c>
      <c r="J265" s="29" t="s">
        <v>3533</v>
      </c>
      <c r="L265" s="182">
        <v>9</v>
      </c>
      <c r="M265" s="113">
        <v>253000</v>
      </c>
      <c r="N265" s="113">
        <v>253000</v>
      </c>
      <c r="O265" s="189" t="s">
        <v>10762</v>
      </c>
      <c r="P265" s="53" t="s">
        <v>10919</v>
      </c>
      <c r="Q265" s="53" t="s">
        <v>1939</v>
      </c>
      <c r="R265" s="53" t="s">
        <v>10920</v>
      </c>
      <c r="U265" s="29" t="s">
        <v>491</v>
      </c>
    </row>
    <row r="266" spans="1:21" ht="45" x14ac:dyDescent="0.25">
      <c r="A266" s="56">
        <v>43203</v>
      </c>
      <c r="B266" s="29" t="s">
        <v>328</v>
      </c>
      <c r="C266" s="29" t="s">
        <v>603</v>
      </c>
      <c r="D266" s="29" t="s">
        <v>649</v>
      </c>
      <c r="E266" s="29" t="s">
        <v>588</v>
      </c>
      <c r="F266" s="29" t="s">
        <v>10940</v>
      </c>
      <c r="G266" s="29" t="s">
        <v>10348</v>
      </c>
      <c r="H266" s="29" t="s">
        <v>809</v>
      </c>
      <c r="I266" s="29" t="s">
        <v>9184</v>
      </c>
      <c r="J266" s="29" t="s">
        <v>3370</v>
      </c>
      <c r="L266" s="182">
        <v>2</v>
      </c>
      <c r="M266" s="113">
        <v>4500000</v>
      </c>
      <c r="N266" s="113">
        <v>4800000</v>
      </c>
      <c r="O266" s="189" t="s">
        <v>560</v>
      </c>
      <c r="P266" s="53" t="s">
        <v>10941</v>
      </c>
      <c r="Q266" s="53" t="s">
        <v>1939</v>
      </c>
      <c r="R266" s="53" t="s">
        <v>10942</v>
      </c>
      <c r="U266" s="29" t="s">
        <v>1327</v>
      </c>
    </row>
    <row r="267" spans="1:21" ht="60" x14ac:dyDescent="0.25">
      <c r="A267" s="56">
        <v>43206</v>
      </c>
      <c r="B267" s="29" t="s">
        <v>569</v>
      </c>
      <c r="C267" s="29" t="s">
        <v>899</v>
      </c>
      <c r="D267" s="29" t="s">
        <v>624</v>
      </c>
      <c r="E267" s="29" t="s">
        <v>588</v>
      </c>
      <c r="F267" s="29" t="s">
        <v>10923</v>
      </c>
      <c r="H267" s="29" t="s">
        <v>905</v>
      </c>
      <c r="I267" s="29" t="s">
        <v>2054</v>
      </c>
      <c r="J267" s="29" t="s">
        <v>899</v>
      </c>
      <c r="M267" s="113">
        <v>320000</v>
      </c>
      <c r="O267" s="189" t="s">
        <v>6745</v>
      </c>
      <c r="P267" s="53" t="s">
        <v>10924</v>
      </c>
      <c r="Q267" s="53" t="s">
        <v>1939</v>
      </c>
      <c r="R267" s="53" t="s">
        <v>10948</v>
      </c>
      <c r="U267" s="29" t="s">
        <v>491</v>
      </c>
    </row>
    <row r="268" spans="1:21" ht="30" x14ac:dyDescent="0.25">
      <c r="A268" s="56">
        <v>43206</v>
      </c>
      <c r="B268" s="29" t="s">
        <v>5176</v>
      </c>
      <c r="C268" s="29" t="s">
        <v>604</v>
      </c>
      <c r="D268" s="29" t="s">
        <v>595</v>
      </c>
      <c r="E268" s="29" t="s">
        <v>588</v>
      </c>
      <c r="F268" s="29" t="s">
        <v>10943</v>
      </c>
      <c r="G268" s="29" t="s">
        <v>10944</v>
      </c>
      <c r="H268" s="29" t="s">
        <v>886</v>
      </c>
      <c r="I268" s="29" t="s">
        <v>10945</v>
      </c>
      <c r="J268" s="29" t="s">
        <v>959</v>
      </c>
      <c r="M268" s="113">
        <v>218000</v>
      </c>
      <c r="O268" s="189" t="s">
        <v>6745</v>
      </c>
      <c r="P268" s="53" t="s">
        <v>10946</v>
      </c>
      <c r="Q268" s="53" t="s">
        <v>29</v>
      </c>
      <c r="R268" s="53" t="s">
        <v>10947</v>
      </c>
      <c r="U268" s="29" t="s">
        <v>491</v>
      </c>
    </row>
    <row r="269" spans="1:21" ht="60" x14ac:dyDescent="0.25">
      <c r="A269" s="56">
        <v>43206</v>
      </c>
      <c r="B269" s="29" t="s">
        <v>643</v>
      </c>
      <c r="C269" s="29" t="s">
        <v>644</v>
      </c>
      <c r="D269" s="29" t="s">
        <v>645</v>
      </c>
      <c r="E269" s="29" t="s">
        <v>588</v>
      </c>
      <c r="F269" s="29" t="s">
        <v>10951</v>
      </c>
      <c r="G269" s="29" t="s">
        <v>10952</v>
      </c>
      <c r="H269" s="29" t="s">
        <v>607</v>
      </c>
      <c r="I269" s="29" t="s">
        <v>10953</v>
      </c>
      <c r="J269" s="29" t="s">
        <v>644</v>
      </c>
      <c r="L269" s="182">
        <v>3</v>
      </c>
      <c r="M269" s="113">
        <v>2266000</v>
      </c>
      <c r="N269" s="113">
        <v>3339000</v>
      </c>
      <c r="O269" s="189" t="s">
        <v>560</v>
      </c>
      <c r="P269" s="53" t="s">
        <v>10954</v>
      </c>
      <c r="Q269" s="53" t="s">
        <v>1939</v>
      </c>
      <c r="R269" s="53" t="s">
        <v>10955</v>
      </c>
      <c r="U269" s="29" t="s">
        <v>1327</v>
      </c>
    </row>
    <row r="270" spans="1:21" ht="30" x14ac:dyDescent="0.25">
      <c r="A270" s="56">
        <v>43206</v>
      </c>
      <c r="B270" s="29" t="s">
        <v>328</v>
      </c>
      <c r="C270" s="29" t="s">
        <v>603</v>
      </c>
      <c r="D270" s="29" t="s">
        <v>5701</v>
      </c>
      <c r="E270" s="29" t="s">
        <v>588</v>
      </c>
      <c r="F270" s="29" t="s">
        <v>10956</v>
      </c>
      <c r="G270" s="29" t="s">
        <v>10957</v>
      </c>
      <c r="H270" s="29" t="s">
        <v>607</v>
      </c>
      <c r="I270" s="29" t="s">
        <v>10958</v>
      </c>
      <c r="J270" s="29" t="s">
        <v>3373</v>
      </c>
      <c r="L270" s="182">
        <v>8</v>
      </c>
      <c r="M270" s="113">
        <v>135900</v>
      </c>
      <c r="N270" s="127">
        <v>309435</v>
      </c>
      <c r="O270" s="189" t="s">
        <v>10764</v>
      </c>
      <c r="P270" s="53" t="s">
        <v>10959</v>
      </c>
      <c r="Q270" s="53" t="s">
        <v>29</v>
      </c>
      <c r="R270" s="53" t="s">
        <v>11144</v>
      </c>
      <c r="U270" s="29" t="s">
        <v>1327</v>
      </c>
    </row>
    <row r="271" spans="1:21" ht="45" x14ac:dyDescent="0.25">
      <c r="A271" s="56">
        <v>43207</v>
      </c>
      <c r="B271" s="29" t="s">
        <v>328</v>
      </c>
      <c r="C271" s="29" t="s">
        <v>603</v>
      </c>
      <c r="D271" s="29" t="s">
        <v>8941</v>
      </c>
      <c r="E271" s="29" t="s">
        <v>588</v>
      </c>
      <c r="F271" s="29" t="s">
        <v>10960</v>
      </c>
      <c r="G271" s="29" t="s">
        <v>10961</v>
      </c>
      <c r="H271" s="29" t="s">
        <v>607</v>
      </c>
      <c r="I271" s="29" t="s">
        <v>4042</v>
      </c>
      <c r="J271" s="29" t="s">
        <v>899</v>
      </c>
      <c r="L271" s="182">
        <v>4</v>
      </c>
      <c r="M271" s="113">
        <v>320000</v>
      </c>
      <c r="N271" s="113">
        <v>596000</v>
      </c>
      <c r="O271" s="189" t="s">
        <v>49</v>
      </c>
      <c r="P271" s="53" t="s">
        <v>10962</v>
      </c>
      <c r="Q271" s="53" t="s">
        <v>1939</v>
      </c>
      <c r="R271" s="53" t="s">
        <v>10963</v>
      </c>
      <c r="U271" s="29" t="s">
        <v>1327</v>
      </c>
    </row>
    <row r="272" spans="1:21" ht="45" x14ac:dyDescent="0.25">
      <c r="A272" s="56">
        <v>43207</v>
      </c>
      <c r="B272" s="29" t="s">
        <v>569</v>
      </c>
      <c r="C272" s="29" t="s">
        <v>899</v>
      </c>
      <c r="D272" s="29" t="s">
        <v>10458</v>
      </c>
      <c r="E272" s="29" t="s">
        <v>588</v>
      </c>
      <c r="F272" s="29" t="s">
        <v>10965</v>
      </c>
      <c r="G272" s="29" t="s">
        <v>10458</v>
      </c>
      <c r="H272" s="29" t="s">
        <v>607</v>
      </c>
      <c r="I272" s="29" t="s">
        <v>2054</v>
      </c>
      <c r="J272" s="29" t="s">
        <v>899</v>
      </c>
      <c r="L272" s="182">
        <v>2</v>
      </c>
      <c r="M272" s="113">
        <v>3018432</v>
      </c>
      <c r="N272" s="127">
        <v>4539900</v>
      </c>
      <c r="O272" s="189" t="s">
        <v>560</v>
      </c>
      <c r="P272" s="53" t="s">
        <v>11145</v>
      </c>
      <c r="Q272" s="53" t="s">
        <v>29</v>
      </c>
      <c r="R272" s="53" t="s">
        <v>10964</v>
      </c>
      <c r="U272" s="29" t="s">
        <v>1327</v>
      </c>
    </row>
    <row r="273" spans="1:21" ht="45" x14ac:dyDescent="0.25">
      <c r="A273" s="56">
        <v>43207</v>
      </c>
      <c r="B273" s="29" t="s">
        <v>5360</v>
      </c>
      <c r="C273" s="29" t="s">
        <v>899</v>
      </c>
      <c r="D273" s="29" t="s">
        <v>611</v>
      </c>
      <c r="E273" s="29" t="s">
        <v>588</v>
      </c>
      <c r="F273" s="29" t="s">
        <v>10966</v>
      </c>
      <c r="G273" s="29" t="s">
        <v>10967</v>
      </c>
      <c r="H273" s="29" t="s">
        <v>905</v>
      </c>
      <c r="I273" s="29" t="s">
        <v>3959</v>
      </c>
      <c r="J273" s="29" t="s">
        <v>899</v>
      </c>
      <c r="L273" s="182">
        <v>4</v>
      </c>
      <c r="M273" s="113">
        <v>400000</v>
      </c>
      <c r="N273" s="113">
        <v>490000</v>
      </c>
      <c r="O273" s="189" t="s">
        <v>10766</v>
      </c>
      <c r="P273" s="53" t="s">
        <v>11146</v>
      </c>
      <c r="Q273" s="53" t="s">
        <v>592</v>
      </c>
      <c r="R273" s="53" t="s">
        <v>10968</v>
      </c>
      <c r="U273" s="29" t="s">
        <v>1327</v>
      </c>
    </row>
    <row r="274" spans="1:21" ht="30" x14ac:dyDescent="0.25">
      <c r="A274" s="56">
        <v>43207</v>
      </c>
      <c r="B274" s="29" t="s">
        <v>328</v>
      </c>
      <c r="C274" s="29" t="s">
        <v>603</v>
      </c>
      <c r="D274" s="29" t="s">
        <v>10338</v>
      </c>
      <c r="E274" s="29" t="s">
        <v>588</v>
      </c>
      <c r="F274" s="29" t="s">
        <v>10969</v>
      </c>
      <c r="G274" s="29" t="s">
        <v>10967</v>
      </c>
      <c r="H274" s="29" t="s">
        <v>607</v>
      </c>
      <c r="I274" s="29" t="s">
        <v>10970</v>
      </c>
      <c r="J274" s="29" t="s">
        <v>4031</v>
      </c>
      <c r="L274" s="182">
        <v>4</v>
      </c>
      <c r="M274" s="113">
        <v>450000</v>
      </c>
      <c r="N274" s="203">
        <v>1060836</v>
      </c>
      <c r="O274" s="189" t="s">
        <v>10762</v>
      </c>
      <c r="P274" s="53" t="s">
        <v>10971</v>
      </c>
      <c r="Q274" s="53" t="s">
        <v>592</v>
      </c>
      <c r="R274" s="53" t="s">
        <v>10972</v>
      </c>
      <c r="U274" s="29" t="s">
        <v>1327</v>
      </c>
    </row>
    <row r="275" spans="1:21" ht="30" x14ac:dyDescent="0.25">
      <c r="A275" s="56">
        <v>43207</v>
      </c>
      <c r="B275" s="29" t="s">
        <v>5176</v>
      </c>
      <c r="C275" s="29" t="s">
        <v>959</v>
      </c>
      <c r="D275" s="29" t="s">
        <v>7790</v>
      </c>
      <c r="E275" s="29" t="s">
        <v>588</v>
      </c>
      <c r="F275" s="29" t="s">
        <v>10973</v>
      </c>
      <c r="G275" s="29" t="s">
        <v>7855</v>
      </c>
      <c r="H275" s="29" t="s">
        <v>809</v>
      </c>
      <c r="O275" s="189" t="s">
        <v>10766</v>
      </c>
      <c r="P275" s="53" t="s">
        <v>10974</v>
      </c>
      <c r="Q275" s="53" t="s">
        <v>1939</v>
      </c>
      <c r="R275" s="53" t="s">
        <v>10975</v>
      </c>
      <c r="U275" s="29" t="s">
        <v>1327</v>
      </c>
    </row>
    <row r="276" spans="1:21" ht="45" x14ac:dyDescent="0.25">
      <c r="A276" s="56">
        <v>43207</v>
      </c>
      <c r="B276" s="29" t="s">
        <v>9240</v>
      </c>
      <c r="C276" s="29" t="s">
        <v>603</v>
      </c>
      <c r="D276" s="29" t="s">
        <v>9241</v>
      </c>
      <c r="E276" s="29" t="s">
        <v>588</v>
      </c>
      <c r="F276" s="29" t="s">
        <v>10367</v>
      </c>
      <c r="G276" s="29" t="s">
        <v>10976</v>
      </c>
      <c r="H276" s="29" t="s">
        <v>607</v>
      </c>
      <c r="J276" s="29" t="s">
        <v>602</v>
      </c>
      <c r="L276" s="182">
        <v>4</v>
      </c>
      <c r="M276" s="113">
        <v>288000</v>
      </c>
      <c r="N276" s="113">
        <v>619200</v>
      </c>
      <c r="O276" s="189" t="s">
        <v>10766</v>
      </c>
      <c r="P276" s="53" t="s">
        <v>10977</v>
      </c>
      <c r="Q276" s="53" t="s">
        <v>592</v>
      </c>
      <c r="R276" s="53" t="s">
        <v>10978</v>
      </c>
      <c r="U276" s="29" t="s">
        <v>1327</v>
      </c>
    </row>
    <row r="277" spans="1:21" ht="30" x14ac:dyDescent="0.25">
      <c r="A277" s="56">
        <v>43208</v>
      </c>
      <c r="B277" s="29" t="s">
        <v>569</v>
      </c>
      <c r="C277" s="29" t="s">
        <v>899</v>
      </c>
      <c r="D277" s="29" t="s">
        <v>625</v>
      </c>
      <c r="E277" s="29" t="s">
        <v>588</v>
      </c>
      <c r="F277" s="29" t="s">
        <v>10979</v>
      </c>
      <c r="G277" s="29" t="s">
        <v>10980</v>
      </c>
      <c r="H277" s="29" t="s">
        <v>607</v>
      </c>
      <c r="I277" s="29" t="s">
        <v>5770</v>
      </c>
      <c r="J277" s="29" t="s">
        <v>899</v>
      </c>
      <c r="L277" s="182">
        <v>4</v>
      </c>
      <c r="M277" s="113">
        <v>259875</v>
      </c>
      <c r="N277" s="113">
        <v>518429</v>
      </c>
      <c r="O277" s="189" t="s">
        <v>10766</v>
      </c>
      <c r="P277" s="53" t="s">
        <v>10981</v>
      </c>
      <c r="Q277" s="53" t="s">
        <v>1939</v>
      </c>
      <c r="R277" s="53" t="s">
        <v>10982</v>
      </c>
      <c r="U277" s="29" t="s">
        <v>1327</v>
      </c>
    </row>
    <row r="278" spans="1:21" ht="60" x14ac:dyDescent="0.25">
      <c r="A278" s="56">
        <v>43209</v>
      </c>
      <c r="B278" s="29" t="s">
        <v>5473</v>
      </c>
      <c r="C278" s="29" t="s">
        <v>608</v>
      </c>
      <c r="D278" s="29" t="s">
        <v>1495</v>
      </c>
      <c r="E278" s="29" t="s">
        <v>588</v>
      </c>
      <c r="F278" s="29" t="s">
        <v>9299</v>
      </c>
      <c r="G278" s="29" t="s">
        <v>10983</v>
      </c>
      <c r="H278" s="29" t="s">
        <v>886</v>
      </c>
      <c r="I278" s="29" t="s">
        <v>1363</v>
      </c>
      <c r="J278" s="29" t="s">
        <v>608</v>
      </c>
      <c r="M278" s="113">
        <v>1869900</v>
      </c>
      <c r="N278" s="113">
        <v>1869900</v>
      </c>
      <c r="O278" s="189" t="s">
        <v>49</v>
      </c>
      <c r="P278" s="53" t="s">
        <v>10984</v>
      </c>
      <c r="Q278" s="53" t="s">
        <v>1939</v>
      </c>
      <c r="R278" s="53" t="s">
        <v>10985</v>
      </c>
      <c r="U278" s="29" t="s">
        <v>491</v>
      </c>
    </row>
    <row r="279" spans="1:21" ht="30" x14ac:dyDescent="0.25">
      <c r="A279" s="56">
        <v>43209</v>
      </c>
      <c r="B279" s="29" t="s">
        <v>6076</v>
      </c>
      <c r="C279" s="29" t="s">
        <v>3370</v>
      </c>
      <c r="D279" s="29" t="s">
        <v>10524</v>
      </c>
      <c r="E279" s="29" t="s">
        <v>588</v>
      </c>
      <c r="F279" s="29" t="s">
        <v>9894</v>
      </c>
      <c r="G279" s="29" t="s">
        <v>10986</v>
      </c>
      <c r="H279" s="29" t="s">
        <v>607</v>
      </c>
      <c r="M279" s="113">
        <v>236000</v>
      </c>
      <c r="O279" s="189" t="s">
        <v>10763</v>
      </c>
      <c r="P279" s="53" t="s">
        <v>10987</v>
      </c>
      <c r="Q279" s="53" t="s">
        <v>29</v>
      </c>
      <c r="R279" s="53" t="s">
        <v>10989</v>
      </c>
      <c r="S279" s="53" t="s">
        <v>10988</v>
      </c>
      <c r="U279" s="29" t="s">
        <v>491</v>
      </c>
    </row>
    <row r="280" spans="1:21" ht="45" x14ac:dyDescent="0.25">
      <c r="A280" s="56">
        <v>43209</v>
      </c>
      <c r="B280" s="29" t="s">
        <v>328</v>
      </c>
      <c r="C280" s="29" t="s">
        <v>603</v>
      </c>
      <c r="D280" s="29" t="s">
        <v>5701</v>
      </c>
      <c r="E280" s="29" t="s">
        <v>588</v>
      </c>
      <c r="F280" s="29" t="s">
        <v>10990</v>
      </c>
      <c r="G280" s="29" t="s">
        <v>10991</v>
      </c>
      <c r="H280" s="29" t="s">
        <v>607</v>
      </c>
      <c r="I280" s="29" t="s">
        <v>4342</v>
      </c>
      <c r="J280" s="29" t="s">
        <v>899</v>
      </c>
      <c r="L280" s="182">
        <v>1</v>
      </c>
      <c r="M280" s="113">
        <v>547000</v>
      </c>
      <c r="N280" s="113">
        <v>929900</v>
      </c>
      <c r="O280" s="189" t="s">
        <v>7564</v>
      </c>
      <c r="P280" s="53" t="s">
        <v>10992</v>
      </c>
      <c r="Q280" s="53" t="s">
        <v>592</v>
      </c>
      <c r="R280" s="53" t="s">
        <v>10993</v>
      </c>
      <c r="U280" s="29" t="s">
        <v>1327</v>
      </c>
    </row>
    <row r="281" spans="1:21" ht="45" x14ac:dyDescent="0.25">
      <c r="A281" s="56">
        <v>43209</v>
      </c>
      <c r="B281" s="29" t="s">
        <v>328</v>
      </c>
      <c r="C281" s="29" t="s">
        <v>603</v>
      </c>
      <c r="D281" s="29" t="s">
        <v>5701</v>
      </c>
      <c r="E281" s="29" t="s">
        <v>588</v>
      </c>
      <c r="F281" s="29" t="s">
        <v>10997</v>
      </c>
      <c r="G281" s="29" t="s">
        <v>10996</v>
      </c>
      <c r="H281" s="29" t="s">
        <v>607</v>
      </c>
      <c r="J281" s="29" t="s">
        <v>4031</v>
      </c>
      <c r="L281" s="182">
        <v>10</v>
      </c>
      <c r="M281" s="113">
        <v>731000</v>
      </c>
      <c r="N281" s="113">
        <v>1571650</v>
      </c>
      <c r="O281" s="189" t="s">
        <v>7124</v>
      </c>
      <c r="P281" s="53" t="s">
        <v>10995</v>
      </c>
      <c r="Q281" s="53" t="s">
        <v>592</v>
      </c>
      <c r="R281" s="53" t="s">
        <v>10994</v>
      </c>
      <c r="U281" s="29" t="s">
        <v>1327</v>
      </c>
    </row>
    <row r="282" spans="1:21" ht="15.75" x14ac:dyDescent="0.25">
      <c r="A282" s="56">
        <v>43209</v>
      </c>
      <c r="B282" s="29" t="s">
        <v>569</v>
      </c>
      <c r="C282" s="29" t="s">
        <v>899</v>
      </c>
      <c r="D282" s="29" t="s">
        <v>625</v>
      </c>
      <c r="E282" s="29" t="s">
        <v>588</v>
      </c>
      <c r="F282" s="29" t="s">
        <v>10998</v>
      </c>
      <c r="G282" s="29" t="s">
        <v>10999</v>
      </c>
      <c r="H282" s="29" t="s">
        <v>607</v>
      </c>
      <c r="I282" s="29" t="s">
        <v>3649</v>
      </c>
      <c r="J282" s="29" t="s">
        <v>899</v>
      </c>
      <c r="M282" s="113">
        <v>750000</v>
      </c>
      <c r="N282" s="113">
        <v>950000</v>
      </c>
      <c r="O282" s="189" t="s">
        <v>560</v>
      </c>
      <c r="P282" s="53" t="s">
        <v>11001</v>
      </c>
      <c r="Q282" s="53" t="s">
        <v>592</v>
      </c>
      <c r="R282" s="53" t="s">
        <v>11000</v>
      </c>
      <c r="U282" s="29" t="s">
        <v>1327</v>
      </c>
    </row>
    <row r="283" spans="1:21" ht="45" x14ac:dyDescent="0.25">
      <c r="A283" s="56">
        <v>43209</v>
      </c>
      <c r="B283" s="29" t="s">
        <v>9240</v>
      </c>
      <c r="C283" s="29" t="s">
        <v>603</v>
      </c>
      <c r="D283" s="29" t="s">
        <v>9241</v>
      </c>
      <c r="E283" s="29" t="s">
        <v>588</v>
      </c>
      <c r="F283" s="29" t="s">
        <v>11005</v>
      </c>
      <c r="G283" s="29" t="s">
        <v>11004</v>
      </c>
      <c r="H283" s="29" t="s">
        <v>5321</v>
      </c>
      <c r="J283" s="29" t="s">
        <v>603</v>
      </c>
      <c r="L283" s="182">
        <v>4</v>
      </c>
      <c r="M283" s="113">
        <v>200000</v>
      </c>
      <c r="N283" s="113">
        <v>409275</v>
      </c>
      <c r="O283" s="189" t="s">
        <v>10766</v>
      </c>
      <c r="P283" s="53" t="s">
        <v>11003</v>
      </c>
      <c r="Q283" s="53" t="s">
        <v>1939</v>
      </c>
      <c r="R283" s="53" t="s">
        <v>11002</v>
      </c>
      <c r="U283" s="29" t="s">
        <v>1327</v>
      </c>
    </row>
    <row r="284" spans="1:21" ht="60" x14ac:dyDescent="0.25">
      <c r="A284" s="56">
        <v>43209</v>
      </c>
      <c r="B284" s="29" t="s">
        <v>643</v>
      </c>
      <c r="C284" s="29" t="s">
        <v>644</v>
      </c>
      <c r="D284" s="29" t="s">
        <v>645</v>
      </c>
      <c r="E284" s="29" t="s">
        <v>588</v>
      </c>
      <c r="F284" s="29" t="s">
        <v>11006</v>
      </c>
      <c r="G284" s="29" t="s">
        <v>11007</v>
      </c>
      <c r="H284" s="29" t="s">
        <v>2510</v>
      </c>
      <c r="I284" s="29" t="s">
        <v>11008</v>
      </c>
      <c r="J284" s="29" t="s">
        <v>644</v>
      </c>
      <c r="L284" s="182">
        <v>2</v>
      </c>
      <c r="M284" s="113">
        <v>50000</v>
      </c>
      <c r="N284" s="113">
        <v>110000</v>
      </c>
      <c r="O284" s="189" t="s">
        <v>10765</v>
      </c>
      <c r="P284" s="53" t="s">
        <v>11009</v>
      </c>
      <c r="Q284" s="53" t="s">
        <v>592</v>
      </c>
      <c r="R284" s="53" t="s">
        <v>11010</v>
      </c>
      <c r="U284" s="29" t="s">
        <v>1327</v>
      </c>
    </row>
    <row r="285" spans="1:21" ht="30" x14ac:dyDescent="0.25">
      <c r="A285" s="56">
        <v>43209</v>
      </c>
      <c r="B285" s="29" t="s">
        <v>9240</v>
      </c>
      <c r="C285" s="29" t="s">
        <v>603</v>
      </c>
      <c r="D285" s="29" t="s">
        <v>9241</v>
      </c>
      <c r="E285" s="29" t="s">
        <v>588</v>
      </c>
      <c r="F285" s="29" t="s">
        <v>15</v>
      </c>
      <c r="G285" s="29" t="s">
        <v>11014</v>
      </c>
      <c r="H285" s="29" t="s">
        <v>607</v>
      </c>
      <c r="I285" s="29" t="s">
        <v>11013</v>
      </c>
      <c r="J285" s="29" t="s">
        <v>5402</v>
      </c>
      <c r="L285" s="182">
        <v>4</v>
      </c>
      <c r="M285" s="113">
        <v>450000</v>
      </c>
      <c r="N285" s="113">
        <v>450000</v>
      </c>
      <c r="O285" s="189" t="s">
        <v>10766</v>
      </c>
      <c r="P285" s="53" t="s">
        <v>11012</v>
      </c>
      <c r="Q285" s="53" t="s">
        <v>1939</v>
      </c>
      <c r="R285" s="53" t="s">
        <v>11011</v>
      </c>
      <c r="U285" s="29" t="s">
        <v>1327</v>
      </c>
    </row>
    <row r="286" spans="1:21" ht="60" x14ac:dyDescent="0.25">
      <c r="A286" s="56">
        <v>43210</v>
      </c>
      <c r="B286" s="29" t="s">
        <v>328</v>
      </c>
      <c r="C286" s="29" t="s">
        <v>603</v>
      </c>
      <c r="D286" s="29" t="s">
        <v>7595</v>
      </c>
      <c r="E286" s="29" t="s">
        <v>588</v>
      </c>
      <c r="F286" s="29" t="s">
        <v>11015</v>
      </c>
      <c r="G286" s="29" t="s">
        <v>11016</v>
      </c>
      <c r="H286" s="29" t="s">
        <v>886</v>
      </c>
      <c r="J286" s="29" t="s">
        <v>899</v>
      </c>
      <c r="L286" s="182">
        <v>3</v>
      </c>
      <c r="M286" s="113">
        <v>975000</v>
      </c>
      <c r="N286" s="113">
        <v>975000</v>
      </c>
      <c r="O286" s="189" t="s">
        <v>2295</v>
      </c>
      <c r="P286" s="53" t="s">
        <v>11017</v>
      </c>
      <c r="Q286" s="53" t="s">
        <v>1939</v>
      </c>
      <c r="R286" s="53" t="s">
        <v>11018</v>
      </c>
      <c r="U286" s="29" t="s">
        <v>1327</v>
      </c>
    </row>
    <row r="287" spans="1:21" ht="30" x14ac:dyDescent="0.25">
      <c r="A287" s="56">
        <v>43210</v>
      </c>
      <c r="B287" s="29" t="s">
        <v>328</v>
      </c>
      <c r="C287" s="29" t="s">
        <v>603</v>
      </c>
      <c r="D287" s="29" t="s">
        <v>757</v>
      </c>
      <c r="E287" s="29" t="s">
        <v>588</v>
      </c>
      <c r="F287" s="29" t="s">
        <v>11019</v>
      </c>
      <c r="G287" s="29" t="s">
        <v>11020</v>
      </c>
      <c r="H287" s="29" t="s">
        <v>607</v>
      </c>
      <c r="I287" s="29" t="s">
        <v>4563</v>
      </c>
      <c r="J287" s="29" t="s">
        <v>899</v>
      </c>
      <c r="L287" s="182">
        <v>3</v>
      </c>
      <c r="M287" s="113">
        <v>2700000</v>
      </c>
      <c r="N287" s="127">
        <v>4860000</v>
      </c>
      <c r="O287" s="189" t="s">
        <v>560</v>
      </c>
      <c r="P287" s="53" t="s">
        <v>11021</v>
      </c>
      <c r="Q287" s="53" t="s">
        <v>29</v>
      </c>
      <c r="R287" s="53" t="s">
        <v>11022</v>
      </c>
      <c r="U287" s="29" t="s">
        <v>1327</v>
      </c>
    </row>
    <row r="288" spans="1:21" ht="30" x14ac:dyDescent="0.25">
      <c r="A288" s="56">
        <v>43210</v>
      </c>
      <c r="B288" s="29" t="s">
        <v>9240</v>
      </c>
      <c r="C288" s="29" t="s">
        <v>603</v>
      </c>
      <c r="D288" s="29" t="s">
        <v>9241</v>
      </c>
      <c r="E288" s="29" t="s">
        <v>588</v>
      </c>
      <c r="F288" s="29" t="s">
        <v>11023</v>
      </c>
      <c r="G288" s="29" t="s">
        <v>11024</v>
      </c>
      <c r="H288" s="29" t="s">
        <v>607</v>
      </c>
      <c r="I288" s="29" t="s">
        <v>11025</v>
      </c>
      <c r="J288" s="29" t="s">
        <v>603</v>
      </c>
      <c r="L288" s="182">
        <v>4</v>
      </c>
      <c r="M288" s="113">
        <v>142000</v>
      </c>
      <c r="N288" s="113">
        <v>355700</v>
      </c>
      <c r="O288" s="189" t="s">
        <v>10766</v>
      </c>
      <c r="P288" s="53" t="s">
        <v>11026</v>
      </c>
      <c r="Q288" s="53" t="s">
        <v>29</v>
      </c>
      <c r="R288" s="53" t="s">
        <v>11027</v>
      </c>
      <c r="U288" s="29" t="s">
        <v>1327</v>
      </c>
    </row>
    <row r="289" spans="1:21" ht="45" x14ac:dyDescent="0.25">
      <c r="A289" s="56">
        <v>43210</v>
      </c>
      <c r="B289" s="29" t="s">
        <v>328</v>
      </c>
      <c r="C289" s="29" t="s">
        <v>603</v>
      </c>
      <c r="D289" s="29" t="s">
        <v>5701</v>
      </c>
      <c r="E289" s="29" t="s">
        <v>588</v>
      </c>
      <c r="F289" s="29" t="s">
        <v>15</v>
      </c>
      <c r="G289" s="29" t="s">
        <v>11028</v>
      </c>
      <c r="H289" s="29" t="s">
        <v>607</v>
      </c>
      <c r="I289" s="29" t="s">
        <v>11029</v>
      </c>
      <c r="J289" s="29" t="s">
        <v>3523</v>
      </c>
      <c r="L289" s="182">
        <v>2</v>
      </c>
      <c r="M289" s="113">
        <v>720000</v>
      </c>
      <c r="N289" s="113">
        <v>1571650</v>
      </c>
      <c r="O289" s="189" t="s">
        <v>7564</v>
      </c>
      <c r="P289" s="53" t="s">
        <v>11147</v>
      </c>
      <c r="Q289" s="53" t="s">
        <v>592</v>
      </c>
      <c r="R289" s="53" t="s">
        <v>11030</v>
      </c>
      <c r="U289" s="29" t="s">
        <v>1327</v>
      </c>
    </row>
    <row r="290" spans="1:21" ht="15.75" x14ac:dyDescent="0.25">
      <c r="A290" s="56">
        <v>43213</v>
      </c>
      <c r="B290" s="29" t="s">
        <v>569</v>
      </c>
      <c r="C290" s="29" t="s">
        <v>899</v>
      </c>
      <c r="D290" s="29" t="s">
        <v>11031</v>
      </c>
      <c r="E290" s="29" t="s">
        <v>588</v>
      </c>
      <c r="F290" s="29" t="s">
        <v>7821</v>
      </c>
      <c r="G290" s="29" t="s">
        <v>11032</v>
      </c>
      <c r="H290" s="29" t="s">
        <v>607</v>
      </c>
      <c r="I290" s="29" t="s">
        <v>3649</v>
      </c>
      <c r="J290" s="29" t="s">
        <v>899</v>
      </c>
      <c r="L290" s="182">
        <v>4</v>
      </c>
      <c r="M290" s="113">
        <v>700000</v>
      </c>
      <c r="N290" s="113">
        <v>1060000</v>
      </c>
      <c r="O290" s="189" t="s">
        <v>560</v>
      </c>
      <c r="P290" s="53" t="s">
        <v>11033</v>
      </c>
      <c r="Q290" s="53" t="s">
        <v>592</v>
      </c>
      <c r="R290" s="53" t="s">
        <v>11034</v>
      </c>
      <c r="U290" s="29" t="s">
        <v>1327</v>
      </c>
    </row>
    <row r="291" spans="1:21" ht="60" x14ac:dyDescent="0.25">
      <c r="A291" s="56">
        <v>43213</v>
      </c>
      <c r="B291" s="29" t="s">
        <v>9240</v>
      </c>
      <c r="C291" s="29" t="s">
        <v>603</v>
      </c>
      <c r="D291" s="29" t="s">
        <v>7814</v>
      </c>
      <c r="E291" s="29" t="s">
        <v>588</v>
      </c>
      <c r="F291" s="29" t="s">
        <v>11038</v>
      </c>
      <c r="G291" s="29" t="s">
        <v>11039</v>
      </c>
      <c r="H291" s="29" t="s">
        <v>607</v>
      </c>
      <c r="I291" s="29" t="s">
        <v>11037</v>
      </c>
      <c r="J291" s="29" t="s">
        <v>5610</v>
      </c>
      <c r="L291" s="182">
        <v>3</v>
      </c>
      <c r="M291" s="113">
        <v>300000</v>
      </c>
      <c r="N291" s="113">
        <v>400000</v>
      </c>
      <c r="O291" s="189" t="s">
        <v>6745</v>
      </c>
      <c r="P291" s="53" t="s">
        <v>11036</v>
      </c>
      <c r="Q291" s="53" t="s">
        <v>1939</v>
      </c>
      <c r="R291" s="53" t="s">
        <v>11035</v>
      </c>
      <c r="U291" s="29" t="s">
        <v>1327</v>
      </c>
    </row>
    <row r="292" spans="1:21" ht="15.75" x14ac:dyDescent="0.25">
      <c r="A292" s="56">
        <v>43213</v>
      </c>
      <c r="B292" s="29" t="s">
        <v>5360</v>
      </c>
      <c r="C292" s="29" t="s">
        <v>899</v>
      </c>
      <c r="D292" s="29" t="s">
        <v>1027</v>
      </c>
      <c r="E292" s="29" t="s">
        <v>588</v>
      </c>
      <c r="F292" s="29" t="s">
        <v>11040</v>
      </c>
      <c r="G292" s="29" t="s">
        <v>9300</v>
      </c>
      <c r="H292" s="29" t="s">
        <v>607</v>
      </c>
      <c r="I292" s="29" t="s">
        <v>3452</v>
      </c>
      <c r="J292" s="29" t="s">
        <v>899</v>
      </c>
      <c r="L292" s="182" t="s">
        <v>7579</v>
      </c>
      <c r="M292" s="113">
        <v>1500000</v>
      </c>
      <c r="N292" s="113">
        <v>2700000</v>
      </c>
      <c r="O292" s="189" t="s">
        <v>7124</v>
      </c>
      <c r="P292" s="53" t="s">
        <v>11041</v>
      </c>
      <c r="Q292" s="53" t="s">
        <v>592</v>
      </c>
      <c r="R292" s="53" t="s">
        <v>11042</v>
      </c>
      <c r="U292" s="29" t="s">
        <v>1327</v>
      </c>
    </row>
    <row r="293" spans="1:21" ht="75" x14ac:dyDescent="0.25">
      <c r="A293" s="56">
        <v>43214</v>
      </c>
      <c r="B293" s="29" t="s">
        <v>569</v>
      </c>
      <c r="C293" s="29" t="s">
        <v>899</v>
      </c>
      <c r="D293" s="29" t="s">
        <v>624</v>
      </c>
      <c r="E293" s="29" t="s">
        <v>588</v>
      </c>
      <c r="F293" s="29" t="s">
        <v>11047</v>
      </c>
      <c r="G293" s="29" t="s">
        <v>11046</v>
      </c>
      <c r="H293" s="29" t="s">
        <v>607</v>
      </c>
      <c r="I293" s="29" t="s">
        <v>11045</v>
      </c>
      <c r="J293" s="29" t="s">
        <v>899</v>
      </c>
      <c r="L293" s="182">
        <v>9</v>
      </c>
      <c r="M293" s="113">
        <v>389004</v>
      </c>
      <c r="N293" s="113">
        <v>732532</v>
      </c>
      <c r="O293" s="189" t="s">
        <v>4533</v>
      </c>
      <c r="P293" s="53" t="s">
        <v>11044</v>
      </c>
      <c r="Q293" s="53" t="s">
        <v>29</v>
      </c>
      <c r="R293" s="122" t="s">
        <v>11043</v>
      </c>
      <c r="U293" s="29" t="s">
        <v>1327</v>
      </c>
    </row>
    <row r="294" spans="1:21" ht="120" x14ac:dyDescent="0.25">
      <c r="A294" s="56">
        <v>43214</v>
      </c>
      <c r="B294" s="29" t="s">
        <v>328</v>
      </c>
      <c r="C294" s="29" t="s">
        <v>603</v>
      </c>
      <c r="D294" s="29" t="s">
        <v>7595</v>
      </c>
      <c r="E294" s="29" t="s">
        <v>588</v>
      </c>
      <c r="F294" s="29" t="s">
        <v>8940</v>
      </c>
      <c r="G294" s="29" t="s">
        <v>11048</v>
      </c>
      <c r="H294" s="29" t="s">
        <v>607</v>
      </c>
      <c r="I294" s="29" t="s">
        <v>7593</v>
      </c>
      <c r="J294" s="29" t="s">
        <v>3426</v>
      </c>
      <c r="L294" s="182">
        <v>2</v>
      </c>
      <c r="M294" s="113">
        <v>700000</v>
      </c>
      <c r="N294" s="113">
        <v>1090000</v>
      </c>
      <c r="O294" s="189" t="s">
        <v>10766</v>
      </c>
      <c r="P294" s="53" t="s">
        <v>11049</v>
      </c>
      <c r="Q294" s="53" t="s">
        <v>29</v>
      </c>
      <c r="R294" s="53" t="s">
        <v>11050</v>
      </c>
      <c r="U294" s="29" t="s">
        <v>1327</v>
      </c>
    </row>
    <row r="295" spans="1:21" ht="45" x14ac:dyDescent="0.25">
      <c r="A295" s="56">
        <v>43215</v>
      </c>
      <c r="B295" s="29" t="s">
        <v>328</v>
      </c>
      <c r="C295" s="29" t="s">
        <v>603</v>
      </c>
      <c r="D295" s="29" t="s">
        <v>10338</v>
      </c>
      <c r="E295" s="29" t="s">
        <v>588</v>
      </c>
      <c r="F295" s="29" t="s">
        <v>11054</v>
      </c>
      <c r="G295" s="29" t="s">
        <v>11053</v>
      </c>
      <c r="H295" s="29" t="s">
        <v>607</v>
      </c>
      <c r="I295" s="29" t="s">
        <v>3388</v>
      </c>
      <c r="J295" s="29" t="s">
        <v>899</v>
      </c>
      <c r="L295" s="182">
        <v>1</v>
      </c>
      <c r="M295" s="113">
        <v>2831000</v>
      </c>
      <c r="N295" s="113">
        <v>4812300</v>
      </c>
      <c r="O295" s="189" t="s">
        <v>560</v>
      </c>
      <c r="P295" s="53" t="s">
        <v>11052</v>
      </c>
      <c r="Q295" s="53" t="s">
        <v>1939</v>
      </c>
      <c r="R295" s="53" t="s">
        <v>11051</v>
      </c>
      <c r="U295" s="29" t="s">
        <v>1327</v>
      </c>
    </row>
    <row r="296" spans="1:21" ht="45" x14ac:dyDescent="0.25">
      <c r="A296" s="56">
        <v>43215</v>
      </c>
      <c r="B296" s="29" t="s">
        <v>5176</v>
      </c>
      <c r="C296" s="29" t="s">
        <v>604</v>
      </c>
      <c r="D296" s="29" t="s">
        <v>727</v>
      </c>
      <c r="E296" s="29" t="s">
        <v>588</v>
      </c>
      <c r="F296" s="29" t="s">
        <v>11055</v>
      </c>
      <c r="G296" s="29" t="s">
        <v>11056</v>
      </c>
      <c r="H296" s="29" t="s">
        <v>607</v>
      </c>
      <c r="I296" s="29" t="s">
        <v>11057</v>
      </c>
      <c r="J296" s="29" t="s">
        <v>4684</v>
      </c>
      <c r="L296" s="182">
        <v>9</v>
      </c>
      <c r="M296" s="113">
        <v>200000</v>
      </c>
      <c r="N296" s="113">
        <v>303000</v>
      </c>
      <c r="O296" s="189" t="s">
        <v>7124</v>
      </c>
      <c r="P296" s="53" t="s">
        <v>11058</v>
      </c>
      <c r="Q296" s="53" t="s">
        <v>1939</v>
      </c>
      <c r="R296" s="53" t="s">
        <v>11059</v>
      </c>
      <c r="U296" s="29" t="s">
        <v>1327</v>
      </c>
    </row>
    <row r="297" spans="1:21" ht="45" x14ac:dyDescent="0.25">
      <c r="A297" s="56">
        <v>43216</v>
      </c>
      <c r="B297" s="29" t="s">
        <v>5360</v>
      </c>
      <c r="C297" s="29" t="s">
        <v>899</v>
      </c>
      <c r="D297" s="29" t="s">
        <v>1027</v>
      </c>
      <c r="E297" s="29" t="s">
        <v>588</v>
      </c>
      <c r="F297" s="29" t="s">
        <v>11060</v>
      </c>
      <c r="G297" s="29" t="s">
        <v>8941</v>
      </c>
      <c r="H297" s="29" t="s">
        <v>607</v>
      </c>
      <c r="I297" s="29" t="s">
        <v>11061</v>
      </c>
      <c r="J297" s="29" t="s">
        <v>899</v>
      </c>
      <c r="O297" s="189" t="s">
        <v>10766</v>
      </c>
      <c r="P297" s="53" t="s">
        <v>11062</v>
      </c>
      <c r="Q297" s="53" t="s">
        <v>1939</v>
      </c>
      <c r="R297" s="53" t="s">
        <v>11063</v>
      </c>
      <c r="U297" s="29" t="s">
        <v>1327</v>
      </c>
    </row>
    <row r="298" spans="1:21" ht="60" x14ac:dyDescent="0.25">
      <c r="A298" s="56">
        <v>43216</v>
      </c>
      <c r="B298" s="29" t="s">
        <v>328</v>
      </c>
      <c r="C298" s="29" t="s">
        <v>603</v>
      </c>
      <c r="D298" s="29" t="s">
        <v>10338</v>
      </c>
      <c r="E298" s="29" t="s">
        <v>588</v>
      </c>
      <c r="F298" s="29" t="s">
        <v>11064</v>
      </c>
      <c r="G298" s="29" t="s">
        <v>11065</v>
      </c>
      <c r="H298" s="29" t="s">
        <v>607</v>
      </c>
      <c r="I298" s="29" t="s">
        <v>11066</v>
      </c>
      <c r="J298" s="29" t="s">
        <v>3751</v>
      </c>
      <c r="L298" s="182">
        <v>4</v>
      </c>
      <c r="M298" s="113">
        <v>201000</v>
      </c>
      <c r="N298" s="113">
        <v>402000</v>
      </c>
      <c r="O298" s="189" t="s">
        <v>4533</v>
      </c>
      <c r="P298" s="53" t="s">
        <v>11148</v>
      </c>
      <c r="Q298" s="53" t="s">
        <v>1939</v>
      </c>
      <c r="R298" s="53" t="s">
        <v>11067</v>
      </c>
      <c r="U298" s="29" t="s">
        <v>1327</v>
      </c>
    </row>
    <row r="299" spans="1:21" ht="60" x14ac:dyDescent="0.25">
      <c r="A299" s="56">
        <v>43216</v>
      </c>
      <c r="B299" s="29" t="s">
        <v>328</v>
      </c>
      <c r="C299" s="29" t="s">
        <v>603</v>
      </c>
      <c r="D299" s="29" t="s">
        <v>649</v>
      </c>
      <c r="E299" s="29" t="s">
        <v>588</v>
      </c>
      <c r="F299" s="29" t="s">
        <v>11069</v>
      </c>
      <c r="G299" s="29" t="s">
        <v>11069</v>
      </c>
      <c r="H299" s="29" t="s">
        <v>905</v>
      </c>
      <c r="J299" s="29" t="s">
        <v>4031</v>
      </c>
      <c r="L299" s="182">
        <v>6</v>
      </c>
      <c r="M299" s="113">
        <v>1800000</v>
      </c>
      <c r="N299" s="113">
        <v>2780000</v>
      </c>
      <c r="O299" s="189" t="s">
        <v>4533</v>
      </c>
      <c r="P299" s="53" t="s">
        <v>11149</v>
      </c>
      <c r="Q299" s="53" t="s">
        <v>620</v>
      </c>
      <c r="R299" s="53" t="s">
        <v>11068</v>
      </c>
      <c r="U299" s="29" t="s">
        <v>1327</v>
      </c>
    </row>
    <row r="300" spans="1:21" ht="75" x14ac:dyDescent="0.25">
      <c r="A300" s="56">
        <v>43216</v>
      </c>
      <c r="B300" s="29" t="s">
        <v>328</v>
      </c>
      <c r="C300" s="29" t="s">
        <v>603</v>
      </c>
      <c r="D300" s="29" t="s">
        <v>10338</v>
      </c>
      <c r="E300" s="29" t="s">
        <v>588</v>
      </c>
      <c r="F300" s="29" t="s">
        <v>11070</v>
      </c>
      <c r="G300" s="29" t="s">
        <v>11070</v>
      </c>
      <c r="H300" s="29" t="s">
        <v>905</v>
      </c>
      <c r="I300" s="29" t="s">
        <v>11071</v>
      </c>
      <c r="J300" s="29" t="s">
        <v>5309</v>
      </c>
      <c r="M300" s="113">
        <v>149000</v>
      </c>
      <c r="N300" s="113">
        <v>178000</v>
      </c>
      <c r="O300" s="189" t="s">
        <v>7564</v>
      </c>
      <c r="P300" s="53" t="s">
        <v>11072</v>
      </c>
      <c r="Q300" s="53" t="s">
        <v>592</v>
      </c>
      <c r="R300" s="53" t="s">
        <v>11073</v>
      </c>
      <c r="U300" s="29" t="s">
        <v>1327</v>
      </c>
    </row>
    <row r="301" spans="1:21" ht="45" x14ac:dyDescent="0.25">
      <c r="A301" s="56">
        <v>43217</v>
      </c>
      <c r="B301" s="29" t="s">
        <v>328</v>
      </c>
      <c r="C301" s="29" t="s">
        <v>603</v>
      </c>
      <c r="D301" s="29" t="s">
        <v>649</v>
      </c>
      <c r="E301" s="29" t="s">
        <v>588</v>
      </c>
      <c r="F301" s="29" t="s">
        <v>11077</v>
      </c>
      <c r="G301" s="29" t="s">
        <v>10813</v>
      </c>
      <c r="H301" s="29" t="s">
        <v>607</v>
      </c>
      <c r="I301" s="29" t="s">
        <v>11076</v>
      </c>
      <c r="J301" s="29" t="s">
        <v>5309</v>
      </c>
      <c r="L301" s="182">
        <v>3</v>
      </c>
      <c r="M301" s="113">
        <v>650000</v>
      </c>
      <c r="N301" s="113">
        <v>1140000</v>
      </c>
      <c r="O301" s="189" t="s">
        <v>7564</v>
      </c>
      <c r="P301" s="53" t="s">
        <v>11075</v>
      </c>
      <c r="Q301" s="53" t="s">
        <v>1939</v>
      </c>
      <c r="R301" s="53" t="s">
        <v>11074</v>
      </c>
      <c r="U301" s="29" t="s">
        <v>1327</v>
      </c>
    </row>
    <row r="302" spans="1:21" ht="30" x14ac:dyDescent="0.25">
      <c r="A302" s="56">
        <v>43217</v>
      </c>
      <c r="B302" s="29" t="s">
        <v>328</v>
      </c>
      <c r="C302" s="29" t="s">
        <v>603</v>
      </c>
      <c r="D302" s="29" t="s">
        <v>649</v>
      </c>
      <c r="E302" s="29" t="s">
        <v>588</v>
      </c>
      <c r="F302" s="29" t="s">
        <v>7831</v>
      </c>
      <c r="G302" s="29" t="s">
        <v>11078</v>
      </c>
      <c r="H302" s="29" t="s">
        <v>607</v>
      </c>
      <c r="J302" s="29" t="s">
        <v>603</v>
      </c>
      <c r="L302" s="182">
        <v>4</v>
      </c>
      <c r="M302" s="113">
        <v>2068000</v>
      </c>
      <c r="N302" s="113">
        <v>4136000</v>
      </c>
      <c r="O302" s="189" t="s">
        <v>10766</v>
      </c>
      <c r="P302" s="53" t="s">
        <v>11079</v>
      </c>
      <c r="Q302" s="53" t="s">
        <v>1939</v>
      </c>
      <c r="R302" s="53" t="s">
        <v>11080</v>
      </c>
      <c r="U302" s="29" t="s">
        <v>1327</v>
      </c>
    </row>
    <row r="303" spans="1:21" ht="60" x14ac:dyDescent="0.25">
      <c r="A303" s="56">
        <v>43220</v>
      </c>
      <c r="B303" s="29" t="s">
        <v>643</v>
      </c>
      <c r="C303" s="29" t="s">
        <v>644</v>
      </c>
      <c r="D303" s="29" t="s">
        <v>645</v>
      </c>
      <c r="E303" s="29" t="s">
        <v>588</v>
      </c>
      <c r="F303" s="29" t="s">
        <v>11084</v>
      </c>
      <c r="G303" s="29" t="s">
        <v>11083</v>
      </c>
      <c r="H303" s="29" t="s">
        <v>809</v>
      </c>
      <c r="I303" s="29" t="s">
        <v>5212</v>
      </c>
      <c r="J303" s="29" t="s">
        <v>644</v>
      </c>
      <c r="L303" s="182">
        <v>2</v>
      </c>
      <c r="M303" s="113">
        <v>1600000</v>
      </c>
      <c r="N303" s="113">
        <v>2560000</v>
      </c>
      <c r="O303" s="189" t="s">
        <v>560</v>
      </c>
      <c r="P303" s="53" t="s">
        <v>11082</v>
      </c>
      <c r="Q303" s="53" t="s">
        <v>1939</v>
      </c>
      <c r="R303" s="53" t="s">
        <v>11081</v>
      </c>
      <c r="U303" s="29" t="s">
        <v>1327</v>
      </c>
    </row>
    <row r="304" spans="1:21" ht="30" x14ac:dyDescent="0.25">
      <c r="A304" s="56">
        <v>43220</v>
      </c>
      <c r="B304" s="29" t="s">
        <v>643</v>
      </c>
      <c r="C304" s="29" t="s">
        <v>644</v>
      </c>
      <c r="D304" s="29" t="s">
        <v>645</v>
      </c>
      <c r="E304" s="29" t="s">
        <v>588</v>
      </c>
      <c r="F304" s="29" t="s">
        <v>11085</v>
      </c>
      <c r="G304" s="29" t="s">
        <v>11086</v>
      </c>
      <c r="H304" s="29" t="s">
        <v>1050</v>
      </c>
      <c r="I304" s="29" t="s">
        <v>3624</v>
      </c>
      <c r="J304" s="29" t="s">
        <v>644</v>
      </c>
      <c r="L304" s="182">
        <v>5</v>
      </c>
      <c r="M304" s="113">
        <v>1664400</v>
      </c>
      <c r="N304" s="127">
        <v>2496600</v>
      </c>
      <c r="O304" s="189" t="s">
        <v>560</v>
      </c>
      <c r="P304" s="53" t="s">
        <v>11087</v>
      </c>
      <c r="Q304" s="53" t="s">
        <v>592</v>
      </c>
      <c r="R304" s="53" t="s">
        <v>11010</v>
      </c>
      <c r="U304" s="29" t="s">
        <v>1327</v>
      </c>
    </row>
    <row r="305" spans="1:23" ht="45" x14ac:dyDescent="0.25">
      <c r="A305" s="56">
        <v>43220</v>
      </c>
      <c r="B305" s="29" t="s">
        <v>569</v>
      </c>
      <c r="C305" s="29" t="s">
        <v>899</v>
      </c>
      <c r="D305" s="29" t="s">
        <v>3505</v>
      </c>
      <c r="E305" s="29" t="s">
        <v>588</v>
      </c>
      <c r="F305" s="29" t="s">
        <v>11090</v>
      </c>
      <c r="G305" s="29" t="s">
        <v>7714</v>
      </c>
      <c r="H305" s="29" t="s">
        <v>905</v>
      </c>
      <c r="I305" s="29" t="s">
        <v>9725</v>
      </c>
      <c r="J305" s="29" t="s">
        <v>899</v>
      </c>
      <c r="L305" s="182">
        <v>3</v>
      </c>
      <c r="M305" s="113">
        <v>1566000</v>
      </c>
      <c r="N305" s="113">
        <v>2200000</v>
      </c>
      <c r="O305" s="189" t="s">
        <v>4533</v>
      </c>
      <c r="P305" s="53" t="s">
        <v>11089</v>
      </c>
      <c r="Q305" s="53" t="s">
        <v>1939</v>
      </c>
      <c r="R305" s="53" t="s">
        <v>11088</v>
      </c>
      <c r="U305" s="29" t="s">
        <v>1327</v>
      </c>
    </row>
    <row r="306" spans="1:23" s="146" customFormat="1" ht="60" x14ac:dyDescent="0.25">
      <c r="A306" s="144">
        <v>43220</v>
      </c>
      <c r="B306" s="146" t="s">
        <v>328</v>
      </c>
      <c r="C306" s="146" t="s">
        <v>899</v>
      </c>
      <c r="D306" s="146" t="s">
        <v>7595</v>
      </c>
      <c r="E306" s="146" t="s">
        <v>588</v>
      </c>
      <c r="F306" s="146" t="s">
        <v>11091</v>
      </c>
      <c r="G306" s="146" t="s">
        <v>11092</v>
      </c>
      <c r="H306" s="146" t="s">
        <v>10829</v>
      </c>
      <c r="I306" s="146" t="s">
        <v>11093</v>
      </c>
      <c r="J306" s="146" t="s">
        <v>3501</v>
      </c>
      <c r="K306" s="217"/>
      <c r="L306" s="183">
        <v>10</v>
      </c>
      <c r="M306" s="187">
        <v>125000</v>
      </c>
      <c r="N306" s="187">
        <v>155000</v>
      </c>
      <c r="O306" s="191" t="s">
        <v>10764</v>
      </c>
      <c r="P306" s="149" t="s">
        <v>11094</v>
      </c>
      <c r="Q306" s="149" t="s">
        <v>29</v>
      </c>
      <c r="R306" s="149" t="s">
        <v>11095</v>
      </c>
      <c r="S306" s="149"/>
      <c r="U306" s="146" t="s">
        <v>1327</v>
      </c>
      <c r="W306" s="149"/>
    </row>
    <row r="307" spans="1:23" ht="15.75" x14ac:dyDescent="0.25">
      <c r="A307" s="56">
        <v>43221</v>
      </c>
      <c r="B307" s="29" t="s">
        <v>569</v>
      </c>
      <c r="C307" s="29" t="s">
        <v>899</v>
      </c>
      <c r="D307" s="29" t="s">
        <v>625</v>
      </c>
      <c r="E307" s="29" t="s">
        <v>588</v>
      </c>
      <c r="F307" s="29" t="s">
        <v>11164</v>
      </c>
      <c r="G307" s="29" t="s">
        <v>11165</v>
      </c>
      <c r="H307" s="29" t="s">
        <v>607</v>
      </c>
      <c r="I307" s="29" t="s">
        <v>3649</v>
      </c>
      <c r="J307" s="29" t="s">
        <v>899</v>
      </c>
      <c r="M307" s="113">
        <v>2304000</v>
      </c>
      <c r="N307" s="113">
        <v>3495200</v>
      </c>
      <c r="O307" s="189" t="s">
        <v>560</v>
      </c>
      <c r="P307" s="53" t="s">
        <v>11391</v>
      </c>
      <c r="Q307" s="53" t="s">
        <v>592</v>
      </c>
      <c r="R307" s="53" t="s">
        <v>11166</v>
      </c>
      <c r="U307" s="29" t="s">
        <v>1327</v>
      </c>
    </row>
    <row r="308" spans="1:23" ht="30" x14ac:dyDescent="0.25">
      <c r="A308" s="56">
        <v>43221</v>
      </c>
      <c r="B308" s="29" t="s">
        <v>328</v>
      </c>
      <c r="C308" s="29" t="s">
        <v>603</v>
      </c>
      <c r="D308" s="29" t="s">
        <v>10338</v>
      </c>
      <c r="E308" s="29" t="s">
        <v>588</v>
      </c>
      <c r="F308" s="29" t="s">
        <v>10386</v>
      </c>
      <c r="G308" s="29" t="s">
        <v>11168</v>
      </c>
      <c r="H308" s="29" t="s">
        <v>607</v>
      </c>
      <c r="J308" s="29" t="s">
        <v>3398</v>
      </c>
      <c r="L308" s="182">
        <v>10</v>
      </c>
      <c r="M308" s="113">
        <v>985000</v>
      </c>
      <c r="N308" s="113">
        <v>1932000</v>
      </c>
      <c r="O308" s="189" t="s">
        <v>7124</v>
      </c>
      <c r="P308" s="53" t="s">
        <v>11167</v>
      </c>
      <c r="Q308" s="53" t="s">
        <v>592</v>
      </c>
      <c r="R308" s="53" t="s">
        <v>10732</v>
      </c>
      <c r="U308" s="29" t="s">
        <v>1327</v>
      </c>
    </row>
    <row r="309" spans="1:23" ht="30" x14ac:dyDescent="0.25">
      <c r="A309" s="56">
        <v>43221</v>
      </c>
      <c r="B309" s="29" t="s">
        <v>328</v>
      </c>
      <c r="C309" s="29" t="s">
        <v>603</v>
      </c>
      <c r="D309" s="29" t="s">
        <v>7595</v>
      </c>
      <c r="E309" s="29" t="s">
        <v>588</v>
      </c>
      <c r="F309" s="29" t="s">
        <v>11169</v>
      </c>
      <c r="G309" s="29" t="s">
        <v>11170</v>
      </c>
      <c r="H309" s="29" t="s">
        <v>607</v>
      </c>
      <c r="J309" s="29" t="s">
        <v>603</v>
      </c>
      <c r="M309" s="113">
        <v>175000</v>
      </c>
      <c r="N309" s="113">
        <v>332500</v>
      </c>
      <c r="O309" s="189" t="s">
        <v>4533</v>
      </c>
      <c r="P309" s="53" t="s">
        <v>11392</v>
      </c>
      <c r="Q309" s="53" t="s">
        <v>1939</v>
      </c>
      <c r="R309" s="53" t="s">
        <v>11171</v>
      </c>
      <c r="U309" s="29" t="s">
        <v>1327</v>
      </c>
    </row>
    <row r="310" spans="1:23" ht="45" x14ac:dyDescent="0.25">
      <c r="A310" s="56">
        <v>43222</v>
      </c>
      <c r="B310" s="29" t="s">
        <v>569</v>
      </c>
      <c r="C310" s="29" t="s">
        <v>899</v>
      </c>
      <c r="D310" s="29" t="s">
        <v>624</v>
      </c>
      <c r="E310" s="29" t="s">
        <v>588</v>
      </c>
      <c r="F310" s="29" t="s">
        <v>6174</v>
      </c>
      <c r="G310" s="29" t="s">
        <v>6174</v>
      </c>
      <c r="H310" s="29" t="s">
        <v>1050</v>
      </c>
      <c r="I310" s="29" t="s">
        <v>2054</v>
      </c>
      <c r="J310" s="29" t="s">
        <v>899</v>
      </c>
      <c r="L310" s="182">
        <v>2</v>
      </c>
      <c r="M310" s="113">
        <v>4527000</v>
      </c>
      <c r="N310" s="113">
        <v>4597000</v>
      </c>
      <c r="O310" s="189" t="s">
        <v>560</v>
      </c>
      <c r="P310" s="53" t="s">
        <v>11172</v>
      </c>
      <c r="Q310" s="53" t="s">
        <v>592</v>
      </c>
      <c r="R310" s="53" t="s">
        <v>11173</v>
      </c>
      <c r="U310" s="29" t="s">
        <v>1327</v>
      </c>
    </row>
    <row r="311" spans="1:23" ht="60" x14ac:dyDescent="0.25">
      <c r="A311" s="56">
        <v>43222</v>
      </c>
      <c r="B311" s="29" t="s">
        <v>328</v>
      </c>
      <c r="C311" s="29" t="s">
        <v>603</v>
      </c>
      <c r="D311" s="29" t="s">
        <v>2204</v>
      </c>
      <c r="E311" s="29" t="s">
        <v>588</v>
      </c>
      <c r="F311" s="29" t="s">
        <v>11174</v>
      </c>
      <c r="G311" s="29" t="s">
        <v>10502</v>
      </c>
      <c r="H311" s="29" t="s">
        <v>607</v>
      </c>
      <c r="I311" s="29" t="s">
        <v>11175</v>
      </c>
      <c r="J311" s="29" t="s">
        <v>6015</v>
      </c>
      <c r="L311" s="182">
        <v>9</v>
      </c>
      <c r="M311" s="113">
        <v>1022400</v>
      </c>
      <c r="N311" s="113">
        <v>2044800</v>
      </c>
      <c r="O311" s="189" t="s">
        <v>4533</v>
      </c>
      <c r="P311" s="53" t="s">
        <v>11393</v>
      </c>
      <c r="Q311" s="53" t="s">
        <v>1939</v>
      </c>
      <c r="R311" s="53" t="s">
        <v>11176</v>
      </c>
      <c r="S311" s="53" t="s">
        <v>11177</v>
      </c>
      <c r="U311" s="29" t="s">
        <v>1327</v>
      </c>
    </row>
    <row r="312" spans="1:23" ht="60" x14ac:dyDescent="0.25">
      <c r="A312" s="56">
        <v>43223</v>
      </c>
      <c r="B312" s="29" t="s">
        <v>328</v>
      </c>
      <c r="C312" s="29" t="s">
        <v>603</v>
      </c>
      <c r="D312" s="29" t="s">
        <v>5701</v>
      </c>
      <c r="E312" s="29" t="s">
        <v>588</v>
      </c>
      <c r="F312" s="29" t="s">
        <v>10006</v>
      </c>
      <c r="G312" s="29" t="s">
        <v>11096</v>
      </c>
      <c r="H312" s="29" t="s">
        <v>607</v>
      </c>
      <c r="J312" s="29" t="s">
        <v>3398</v>
      </c>
      <c r="L312" s="182">
        <v>3</v>
      </c>
      <c r="M312" s="113">
        <v>230000</v>
      </c>
      <c r="N312" s="113">
        <v>457000</v>
      </c>
      <c r="O312" s="189" t="s">
        <v>4533</v>
      </c>
      <c r="P312" s="53" t="s">
        <v>11097</v>
      </c>
      <c r="Q312" s="53" t="s">
        <v>1939</v>
      </c>
      <c r="R312" s="53" t="s">
        <v>11098</v>
      </c>
      <c r="U312" s="29" t="s">
        <v>491</v>
      </c>
    </row>
    <row r="313" spans="1:23" ht="60" x14ac:dyDescent="0.25">
      <c r="A313" s="56">
        <v>43223</v>
      </c>
      <c r="B313" s="29" t="s">
        <v>9240</v>
      </c>
      <c r="C313" s="29" t="s">
        <v>603</v>
      </c>
      <c r="D313" s="29" t="s">
        <v>7814</v>
      </c>
      <c r="E313" s="29" t="s">
        <v>588</v>
      </c>
      <c r="F313" s="29" t="s">
        <v>11099</v>
      </c>
      <c r="G313" s="29" t="s">
        <v>8198</v>
      </c>
      <c r="H313" s="29" t="s">
        <v>607</v>
      </c>
      <c r="I313" s="29" t="s">
        <v>11100</v>
      </c>
      <c r="J313" s="29" t="s">
        <v>608</v>
      </c>
      <c r="L313" s="182">
        <v>1</v>
      </c>
      <c r="M313" s="113">
        <v>165000</v>
      </c>
      <c r="N313" s="113">
        <v>240000</v>
      </c>
      <c r="O313" s="189" t="s">
        <v>49</v>
      </c>
      <c r="P313" s="53" t="s">
        <v>11101</v>
      </c>
      <c r="Q313" s="53" t="s">
        <v>29</v>
      </c>
      <c r="R313" s="53" t="s">
        <v>11102</v>
      </c>
      <c r="U313" s="29" t="s">
        <v>491</v>
      </c>
    </row>
    <row r="314" spans="1:23" ht="45" x14ac:dyDescent="0.25">
      <c r="A314" s="56">
        <v>43223</v>
      </c>
      <c r="B314" s="29" t="s">
        <v>328</v>
      </c>
      <c r="C314" s="29" t="s">
        <v>603</v>
      </c>
      <c r="D314" s="29" t="s">
        <v>8941</v>
      </c>
      <c r="E314" s="29" t="s">
        <v>588</v>
      </c>
      <c r="F314" s="29" t="s">
        <v>11103</v>
      </c>
      <c r="G314" s="29" t="s">
        <v>7814</v>
      </c>
      <c r="H314" s="29" t="s">
        <v>607</v>
      </c>
      <c r="I314" s="29" t="s">
        <v>11104</v>
      </c>
      <c r="J314" s="29" t="s">
        <v>3751</v>
      </c>
      <c r="L314" s="182">
        <v>4</v>
      </c>
      <c r="M314" s="113">
        <v>290000</v>
      </c>
      <c r="N314" s="113">
        <v>520000</v>
      </c>
      <c r="O314" s="189" t="s">
        <v>10763</v>
      </c>
      <c r="P314" s="53" t="s">
        <v>11105</v>
      </c>
      <c r="Q314" s="53" t="s">
        <v>29</v>
      </c>
      <c r="R314" s="53" t="s">
        <v>11106</v>
      </c>
      <c r="U314" s="29" t="s">
        <v>491</v>
      </c>
    </row>
    <row r="315" spans="1:23" ht="30" x14ac:dyDescent="0.25">
      <c r="A315" s="56">
        <v>43223</v>
      </c>
      <c r="B315" s="29" t="s">
        <v>569</v>
      </c>
      <c r="C315" s="29" t="s">
        <v>899</v>
      </c>
      <c r="D315" s="29" t="s">
        <v>625</v>
      </c>
      <c r="E315" s="29" t="s">
        <v>588</v>
      </c>
      <c r="F315" s="29" t="s">
        <v>11107</v>
      </c>
      <c r="G315" s="29" t="s">
        <v>10458</v>
      </c>
      <c r="H315" s="29" t="s">
        <v>10832</v>
      </c>
      <c r="I315" s="29" t="s">
        <v>3649</v>
      </c>
      <c r="J315" s="29" t="s">
        <v>899</v>
      </c>
      <c r="M315" s="113">
        <v>1155000</v>
      </c>
      <c r="N315" s="113">
        <v>1500000</v>
      </c>
      <c r="O315" s="189" t="s">
        <v>560</v>
      </c>
      <c r="P315" s="53" t="s">
        <v>11108</v>
      </c>
      <c r="Q315" s="53" t="s">
        <v>592</v>
      </c>
      <c r="U315" s="29" t="s">
        <v>491</v>
      </c>
    </row>
    <row r="316" spans="1:23" s="46" customFormat="1" ht="120" x14ac:dyDescent="0.25">
      <c r="A316" s="56">
        <v>43223</v>
      </c>
      <c r="B316" s="29" t="s">
        <v>328</v>
      </c>
      <c r="C316" s="29" t="s">
        <v>899</v>
      </c>
      <c r="D316" s="29" t="s">
        <v>7595</v>
      </c>
      <c r="E316" s="29" t="s">
        <v>588</v>
      </c>
      <c r="F316" s="29" t="s">
        <v>11109</v>
      </c>
      <c r="G316" s="29" t="s">
        <v>11110</v>
      </c>
      <c r="H316" s="29" t="s">
        <v>10829</v>
      </c>
      <c r="I316" s="29" t="s">
        <v>3672</v>
      </c>
      <c r="J316" s="29" t="s">
        <v>899</v>
      </c>
      <c r="K316" s="216"/>
      <c r="L316" s="182"/>
      <c r="M316" s="113">
        <v>1800000</v>
      </c>
      <c r="N316" s="113">
        <v>1980000</v>
      </c>
      <c r="O316" s="189" t="s">
        <v>10762</v>
      </c>
      <c r="P316" s="53" t="s">
        <v>11132</v>
      </c>
      <c r="Q316" s="53" t="s">
        <v>1612</v>
      </c>
      <c r="R316" s="53" t="s">
        <v>11244</v>
      </c>
      <c r="S316" s="53"/>
      <c r="T316" s="29"/>
      <c r="U316" s="29" t="s">
        <v>491</v>
      </c>
      <c r="V316" s="29"/>
      <c r="W316" s="53"/>
    </row>
    <row r="317" spans="1:23" s="46" customFormat="1" ht="75" x14ac:dyDescent="0.25">
      <c r="A317" s="56">
        <v>43223</v>
      </c>
      <c r="B317" s="29" t="s">
        <v>328</v>
      </c>
      <c r="C317" s="29" t="s">
        <v>603</v>
      </c>
      <c r="D317" s="29" t="s">
        <v>7595</v>
      </c>
      <c r="E317" s="29" t="s">
        <v>588</v>
      </c>
      <c r="F317" s="29" t="s">
        <v>11111</v>
      </c>
      <c r="G317" s="29" t="s">
        <v>10400</v>
      </c>
      <c r="H317" s="29" t="s">
        <v>607</v>
      </c>
      <c r="I317" s="29" t="s">
        <v>8324</v>
      </c>
      <c r="J317" s="29" t="s">
        <v>603</v>
      </c>
      <c r="K317" s="216"/>
      <c r="L317" s="182">
        <v>5</v>
      </c>
      <c r="M317" s="113">
        <v>208000</v>
      </c>
      <c r="N317" s="113">
        <v>436000</v>
      </c>
      <c r="O317" s="189" t="s">
        <v>10762</v>
      </c>
      <c r="P317" s="53" t="s">
        <v>11112</v>
      </c>
      <c r="Q317" s="53" t="s">
        <v>1939</v>
      </c>
      <c r="R317" s="53" t="s">
        <v>11113</v>
      </c>
      <c r="S317" s="53"/>
      <c r="T317" s="29"/>
      <c r="U317" s="29" t="s">
        <v>491</v>
      </c>
      <c r="V317" s="29"/>
      <c r="W317" s="53"/>
    </row>
    <row r="318" spans="1:23" s="46" customFormat="1" ht="30" x14ac:dyDescent="0.25">
      <c r="A318" s="56">
        <v>43223</v>
      </c>
      <c r="B318" s="29" t="s">
        <v>6076</v>
      </c>
      <c r="C318" s="29" t="s">
        <v>3370</v>
      </c>
      <c r="D318" s="29" t="s">
        <v>10524</v>
      </c>
      <c r="E318" s="29" t="s">
        <v>588</v>
      </c>
      <c r="F318" s="29" t="s">
        <v>11114</v>
      </c>
      <c r="G318" s="29"/>
      <c r="H318" s="29" t="s">
        <v>607</v>
      </c>
      <c r="I318" s="29" t="s">
        <v>491</v>
      </c>
      <c r="J318" s="29" t="s">
        <v>3370</v>
      </c>
      <c r="K318" s="216"/>
      <c r="L318" s="182"/>
      <c r="M318" s="113"/>
      <c r="N318" s="113"/>
      <c r="O318" s="189" t="s">
        <v>10762</v>
      </c>
      <c r="P318" s="53" t="s">
        <v>11115</v>
      </c>
      <c r="Q318" s="53" t="s">
        <v>1939</v>
      </c>
      <c r="R318" s="53" t="s">
        <v>11116</v>
      </c>
      <c r="S318" s="53"/>
      <c r="T318" s="29"/>
      <c r="U318" s="29" t="s">
        <v>491</v>
      </c>
      <c r="V318" s="29"/>
      <c r="W318" s="53"/>
    </row>
    <row r="319" spans="1:23" s="46" customFormat="1" ht="45" x14ac:dyDescent="0.25">
      <c r="A319" s="56">
        <v>43223</v>
      </c>
      <c r="B319" s="29" t="s">
        <v>569</v>
      </c>
      <c r="C319" s="29" t="s">
        <v>899</v>
      </c>
      <c r="D319" s="29" t="s">
        <v>625</v>
      </c>
      <c r="E319" s="29" t="s">
        <v>588</v>
      </c>
      <c r="F319" s="29" t="s">
        <v>11117</v>
      </c>
      <c r="G319" s="29"/>
      <c r="H319" s="29" t="s">
        <v>886</v>
      </c>
      <c r="I319" s="29" t="s">
        <v>3536</v>
      </c>
      <c r="J319" s="29" t="s">
        <v>899</v>
      </c>
      <c r="K319" s="216"/>
      <c r="L319" s="182"/>
      <c r="M319" s="113"/>
      <c r="N319" s="113">
        <v>770000</v>
      </c>
      <c r="O319" s="189" t="s">
        <v>560</v>
      </c>
      <c r="P319" s="53" t="s">
        <v>11118</v>
      </c>
      <c r="Q319" s="53" t="s">
        <v>592</v>
      </c>
      <c r="R319" s="53" t="s">
        <v>11133</v>
      </c>
      <c r="S319" s="53"/>
      <c r="T319" s="29"/>
      <c r="U319" s="29" t="s">
        <v>491</v>
      </c>
      <c r="V319" s="29"/>
      <c r="W319" s="53"/>
    </row>
    <row r="320" spans="1:23" ht="45" x14ac:dyDescent="0.25">
      <c r="A320" s="56">
        <v>43223</v>
      </c>
      <c r="B320" s="29" t="s">
        <v>569</v>
      </c>
      <c r="C320" s="29" t="s">
        <v>899</v>
      </c>
      <c r="D320" s="29" t="s">
        <v>625</v>
      </c>
      <c r="E320" s="29" t="s">
        <v>821</v>
      </c>
      <c r="F320" s="29" t="s">
        <v>8966</v>
      </c>
      <c r="H320" s="29" t="s">
        <v>905</v>
      </c>
      <c r="I320" s="29" t="s">
        <v>3649</v>
      </c>
      <c r="J320" s="29" t="s">
        <v>899</v>
      </c>
      <c r="O320" s="189" t="s">
        <v>10762</v>
      </c>
      <c r="P320" s="53" t="s">
        <v>11119</v>
      </c>
      <c r="Q320" s="53" t="s">
        <v>29</v>
      </c>
      <c r="R320" s="53" t="s">
        <v>11120</v>
      </c>
      <c r="U320" s="29" t="s">
        <v>491</v>
      </c>
    </row>
    <row r="321" spans="1:23" ht="45" x14ac:dyDescent="0.25">
      <c r="A321" s="61">
        <v>43223</v>
      </c>
      <c r="B321" s="46" t="s">
        <v>328</v>
      </c>
      <c r="C321" s="46" t="s">
        <v>603</v>
      </c>
      <c r="D321" s="46" t="s">
        <v>757</v>
      </c>
      <c r="E321" s="46" t="s">
        <v>588</v>
      </c>
      <c r="F321" s="46" t="s">
        <v>11121</v>
      </c>
      <c r="G321" s="46" t="s">
        <v>11122</v>
      </c>
      <c r="H321" s="46" t="s">
        <v>905</v>
      </c>
      <c r="I321" s="46" t="s">
        <v>2054</v>
      </c>
      <c r="J321" s="46" t="s">
        <v>899</v>
      </c>
      <c r="K321" s="218"/>
      <c r="L321" s="185">
        <v>1</v>
      </c>
      <c r="M321" s="91">
        <v>2750000</v>
      </c>
      <c r="N321" s="91">
        <v>3987500</v>
      </c>
      <c r="O321" s="189" t="s">
        <v>560</v>
      </c>
      <c r="P321" s="47" t="s">
        <v>11123</v>
      </c>
      <c r="Q321" s="47" t="s">
        <v>592</v>
      </c>
      <c r="R321" s="46" t="s">
        <v>11137</v>
      </c>
      <c r="S321" s="47" t="s">
        <v>11140</v>
      </c>
      <c r="T321" s="46"/>
      <c r="U321" s="46" t="s">
        <v>491</v>
      </c>
      <c r="V321" s="46"/>
      <c r="W321" s="47"/>
    </row>
    <row r="322" spans="1:23" ht="30" x14ac:dyDescent="0.25">
      <c r="A322" s="61">
        <v>43223</v>
      </c>
      <c r="B322" s="46" t="s">
        <v>569</v>
      </c>
      <c r="C322" s="46" t="s">
        <v>899</v>
      </c>
      <c r="D322" s="46" t="s">
        <v>625</v>
      </c>
      <c r="E322" s="46" t="s">
        <v>821</v>
      </c>
      <c r="F322" s="46" t="s">
        <v>8966</v>
      </c>
      <c r="G322" s="46"/>
      <c r="H322" s="46" t="s">
        <v>886</v>
      </c>
      <c r="I322" s="46" t="s">
        <v>3388</v>
      </c>
      <c r="J322" s="46" t="s">
        <v>899</v>
      </c>
      <c r="K322" s="218"/>
      <c r="L322" s="185"/>
      <c r="M322" s="91">
        <v>3500000</v>
      </c>
      <c r="N322" s="91">
        <v>3750000</v>
      </c>
      <c r="O322" s="189" t="s">
        <v>560</v>
      </c>
      <c r="P322" s="47" t="s">
        <v>11124</v>
      </c>
      <c r="Q322" s="47" t="s">
        <v>592</v>
      </c>
      <c r="R322" s="47" t="s">
        <v>11131</v>
      </c>
      <c r="S322" s="47"/>
      <c r="T322" s="46"/>
      <c r="U322" s="46" t="s">
        <v>491</v>
      </c>
      <c r="V322" s="46"/>
      <c r="W322" s="47"/>
    </row>
    <row r="323" spans="1:23" ht="60" x14ac:dyDescent="0.25">
      <c r="A323" s="61">
        <v>43224</v>
      </c>
      <c r="B323" s="46" t="s">
        <v>328</v>
      </c>
      <c r="C323" s="46" t="s">
        <v>603</v>
      </c>
      <c r="D323" s="46" t="s">
        <v>649</v>
      </c>
      <c r="E323" s="46" t="s">
        <v>588</v>
      </c>
      <c r="F323" s="46" t="s">
        <v>11125</v>
      </c>
      <c r="G323" s="46"/>
      <c r="H323" s="46" t="s">
        <v>809</v>
      </c>
      <c r="I323" s="46" t="s">
        <v>11126</v>
      </c>
      <c r="J323" s="46" t="s">
        <v>3533</v>
      </c>
      <c r="K323" s="218"/>
      <c r="L323" s="185">
        <v>10</v>
      </c>
      <c r="M323" s="91">
        <v>310000</v>
      </c>
      <c r="N323" s="91">
        <v>345000</v>
      </c>
      <c r="O323" s="189" t="s">
        <v>7124</v>
      </c>
      <c r="P323" s="47" t="s">
        <v>11127</v>
      </c>
      <c r="Q323" s="47" t="s">
        <v>592</v>
      </c>
      <c r="R323" s="47" t="s">
        <v>11138</v>
      </c>
      <c r="S323" s="47"/>
      <c r="T323" s="46"/>
      <c r="U323" s="46" t="s">
        <v>491</v>
      </c>
      <c r="V323" s="46"/>
      <c r="W323" s="47"/>
    </row>
    <row r="324" spans="1:23" ht="45" x14ac:dyDescent="0.25">
      <c r="A324" s="61">
        <v>43224</v>
      </c>
      <c r="B324" s="46" t="s">
        <v>328</v>
      </c>
      <c r="C324" s="46" t="s">
        <v>603</v>
      </c>
      <c r="D324" s="46" t="s">
        <v>649</v>
      </c>
      <c r="E324" s="46" t="s">
        <v>588</v>
      </c>
      <c r="F324" s="46" t="s">
        <v>4</v>
      </c>
      <c r="G324" s="46" t="s">
        <v>11128</v>
      </c>
      <c r="H324" s="46" t="s">
        <v>607</v>
      </c>
      <c r="I324" s="46" t="s">
        <v>11129</v>
      </c>
      <c r="J324" s="46" t="s">
        <v>899</v>
      </c>
      <c r="K324" s="218"/>
      <c r="L324" s="185">
        <v>10</v>
      </c>
      <c r="M324" s="91">
        <v>1300000</v>
      </c>
      <c r="N324" s="91">
        <v>2340000</v>
      </c>
      <c r="O324" s="189" t="s">
        <v>560</v>
      </c>
      <c r="P324" s="47" t="s">
        <v>11130</v>
      </c>
      <c r="Q324" s="47" t="s">
        <v>592</v>
      </c>
      <c r="R324" s="46" t="s">
        <v>11137</v>
      </c>
      <c r="S324" s="47" t="s">
        <v>11139</v>
      </c>
      <c r="T324" s="46"/>
      <c r="U324" s="46" t="s">
        <v>491</v>
      </c>
      <c r="V324" s="46"/>
      <c r="W324" s="47"/>
    </row>
    <row r="325" spans="1:23" ht="120" x14ac:dyDescent="0.25">
      <c r="A325" s="56">
        <v>43224</v>
      </c>
      <c r="B325" s="29" t="s">
        <v>569</v>
      </c>
      <c r="C325" s="29" t="s">
        <v>899</v>
      </c>
      <c r="D325" s="29" t="s">
        <v>625</v>
      </c>
      <c r="E325" s="29" t="s">
        <v>588</v>
      </c>
      <c r="F325" s="29" t="s">
        <v>11134</v>
      </c>
      <c r="H325" s="29" t="s">
        <v>5321</v>
      </c>
      <c r="I325" s="29" t="s">
        <v>3649</v>
      </c>
      <c r="J325" s="29" t="s">
        <v>899</v>
      </c>
      <c r="M325" s="113">
        <v>2171000</v>
      </c>
      <c r="N325" s="113">
        <v>4000000</v>
      </c>
      <c r="O325" s="189" t="s">
        <v>560</v>
      </c>
      <c r="P325" s="53" t="s">
        <v>11135</v>
      </c>
      <c r="Q325" s="53" t="s">
        <v>1612</v>
      </c>
      <c r="R325" s="53" t="s">
        <v>11162</v>
      </c>
      <c r="S325" s="53" t="s">
        <v>11163</v>
      </c>
      <c r="U325" s="29" t="s">
        <v>491</v>
      </c>
    </row>
    <row r="326" spans="1:23" ht="60" x14ac:dyDescent="0.25">
      <c r="A326" s="56">
        <v>43224</v>
      </c>
      <c r="B326" s="29" t="s">
        <v>569</v>
      </c>
      <c r="C326" s="29" t="s">
        <v>899</v>
      </c>
      <c r="D326" s="29" t="s">
        <v>625</v>
      </c>
      <c r="E326" s="29" t="s">
        <v>588</v>
      </c>
      <c r="F326" s="29" t="s">
        <v>11136</v>
      </c>
      <c r="G326" s="29" t="s">
        <v>8827</v>
      </c>
      <c r="H326" s="29" t="s">
        <v>5321</v>
      </c>
      <c r="I326" s="29" t="s">
        <v>3649</v>
      </c>
      <c r="J326" s="29" t="s">
        <v>899</v>
      </c>
      <c r="M326" s="113">
        <v>2206000</v>
      </c>
      <c r="N326" s="113">
        <v>3200000</v>
      </c>
      <c r="O326" s="189" t="s">
        <v>560</v>
      </c>
      <c r="P326" s="53" t="s">
        <v>11141</v>
      </c>
      <c r="Q326" s="53" t="s">
        <v>1612</v>
      </c>
      <c r="R326" s="53" t="s">
        <v>11245</v>
      </c>
      <c r="S326" s="53" t="s">
        <v>11246</v>
      </c>
      <c r="U326" s="29" t="s">
        <v>491</v>
      </c>
    </row>
    <row r="327" spans="1:23" ht="30" x14ac:dyDescent="0.25">
      <c r="A327" s="56">
        <v>43224</v>
      </c>
      <c r="B327" s="29" t="s">
        <v>328</v>
      </c>
      <c r="C327" s="29" t="s">
        <v>603</v>
      </c>
      <c r="D327" s="29" t="s">
        <v>649</v>
      </c>
      <c r="E327" s="29" t="s">
        <v>588</v>
      </c>
      <c r="F327" s="29" t="s">
        <v>7831</v>
      </c>
      <c r="G327" s="29" t="s">
        <v>11078</v>
      </c>
      <c r="H327" s="29" t="s">
        <v>905</v>
      </c>
      <c r="I327" s="29" t="s">
        <v>11178</v>
      </c>
      <c r="J327" s="29" t="s">
        <v>603</v>
      </c>
      <c r="L327" s="182">
        <v>6</v>
      </c>
      <c r="M327" s="113">
        <v>1114700</v>
      </c>
      <c r="N327" s="113">
        <v>1444100</v>
      </c>
      <c r="O327" s="189" t="s">
        <v>10766</v>
      </c>
      <c r="P327" s="53" t="s">
        <v>11079</v>
      </c>
      <c r="Q327" s="53" t="s">
        <v>1939</v>
      </c>
      <c r="R327" s="53" t="s">
        <v>11179</v>
      </c>
      <c r="U327" s="29" t="s">
        <v>1327</v>
      </c>
    </row>
    <row r="328" spans="1:23" ht="75" x14ac:dyDescent="0.25">
      <c r="A328" s="56">
        <v>43224</v>
      </c>
      <c r="B328" s="29" t="s">
        <v>569</v>
      </c>
      <c r="C328" s="29" t="s">
        <v>899</v>
      </c>
      <c r="D328" s="29" t="s">
        <v>11031</v>
      </c>
      <c r="E328" s="29" t="s">
        <v>588</v>
      </c>
      <c r="F328" s="29" t="s">
        <v>11182</v>
      </c>
      <c r="G328" s="29" t="s">
        <v>11181</v>
      </c>
      <c r="H328" s="29" t="s">
        <v>905</v>
      </c>
      <c r="I328" s="29" t="s">
        <v>3649</v>
      </c>
      <c r="J328" s="29" t="s">
        <v>899</v>
      </c>
      <c r="L328" s="182">
        <v>8</v>
      </c>
      <c r="M328" s="113">
        <v>1250000</v>
      </c>
      <c r="N328" s="113">
        <v>1250000</v>
      </c>
      <c r="O328" s="189" t="s">
        <v>560</v>
      </c>
      <c r="P328" s="53" t="s">
        <v>11180</v>
      </c>
      <c r="Q328" s="53" t="s">
        <v>592</v>
      </c>
      <c r="R328" s="53" t="s">
        <v>11394</v>
      </c>
      <c r="U328" s="29" t="s">
        <v>1327</v>
      </c>
    </row>
    <row r="329" spans="1:23" ht="45" x14ac:dyDescent="0.25">
      <c r="A329" s="56">
        <v>43224</v>
      </c>
      <c r="B329" s="29" t="s">
        <v>5473</v>
      </c>
      <c r="C329" s="29" t="s">
        <v>608</v>
      </c>
      <c r="D329" s="29" t="s">
        <v>1495</v>
      </c>
      <c r="E329" s="29" t="s">
        <v>588</v>
      </c>
      <c r="F329" s="29" t="s">
        <v>11183</v>
      </c>
      <c r="G329" s="29" t="s">
        <v>9241</v>
      </c>
      <c r="H329" s="29" t="s">
        <v>607</v>
      </c>
      <c r="I329" s="29" t="s">
        <v>3809</v>
      </c>
      <c r="J329" s="29" t="s">
        <v>602</v>
      </c>
      <c r="N329" s="113">
        <v>2770000</v>
      </c>
      <c r="O329" s="189" t="s">
        <v>10879</v>
      </c>
      <c r="P329" s="53" t="s">
        <v>11184</v>
      </c>
      <c r="Q329" s="53" t="s">
        <v>1939</v>
      </c>
      <c r="R329" s="53" t="s">
        <v>11185</v>
      </c>
      <c r="U329" s="29" t="s">
        <v>1327</v>
      </c>
    </row>
    <row r="330" spans="1:23" ht="135" x14ac:dyDescent="0.25">
      <c r="A330" s="56">
        <v>43227</v>
      </c>
      <c r="B330" s="29" t="s">
        <v>328</v>
      </c>
      <c r="C330" s="29" t="s">
        <v>603</v>
      </c>
      <c r="D330" s="29" t="s">
        <v>757</v>
      </c>
      <c r="E330" s="29" t="s">
        <v>588</v>
      </c>
      <c r="F330" s="29" t="s">
        <v>11186</v>
      </c>
      <c r="G330" s="29" t="s">
        <v>11187</v>
      </c>
      <c r="H330" s="29" t="s">
        <v>607</v>
      </c>
      <c r="J330" s="29" t="s">
        <v>899</v>
      </c>
      <c r="L330" s="182">
        <v>9</v>
      </c>
      <c r="M330" s="113">
        <v>350000</v>
      </c>
      <c r="N330" s="113">
        <v>720000</v>
      </c>
      <c r="O330" s="189" t="s">
        <v>4533</v>
      </c>
      <c r="P330" s="53" t="s">
        <v>11189</v>
      </c>
      <c r="Q330" s="53" t="s">
        <v>1939</v>
      </c>
      <c r="R330" s="53" t="s">
        <v>11188</v>
      </c>
      <c r="U330" s="29" t="s">
        <v>1327</v>
      </c>
    </row>
    <row r="331" spans="1:23" ht="45" x14ac:dyDescent="0.25">
      <c r="A331" s="56">
        <v>43227</v>
      </c>
      <c r="B331" s="29" t="s">
        <v>643</v>
      </c>
      <c r="C331" s="29" t="s">
        <v>644</v>
      </c>
      <c r="D331" s="29" t="s">
        <v>645</v>
      </c>
      <c r="E331" s="29" t="s">
        <v>588</v>
      </c>
      <c r="F331" s="29" t="s">
        <v>11193</v>
      </c>
      <c r="G331" s="29" t="s">
        <v>11192</v>
      </c>
      <c r="H331" s="29" t="s">
        <v>1050</v>
      </c>
      <c r="I331" s="29" t="s">
        <v>3646</v>
      </c>
      <c r="J331" s="29" t="s">
        <v>644</v>
      </c>
      <c r="L331" s="182">
        <v>2</v>
      </c>
      <c r="M331" s="113">
        <v>362500</v>
      </c>
      <c r="N331" s="113">
        <v>362500</v>
      </c>
      <c r="O331" s="189" t="s">
        <v>10765</v>
      </c>
      <c r="P331" s="53" t="s">
        <v>11191</v>
      </c>
      <c r="Q331" s="53" t="s">
        <v>1939</v>
      </c>
      <c r="R331" s="53" t="s">
        <v>11190</v>
      </c>
      <c r="U331" s="29" t="s">
        <v>1327</v>
      </c>
    </row>
    <row r="332" spans="1:23" ht="45" x14ac:dyDescent="0.25">
      <c r="A332" s="56">
        <v>43227</v>
      </c>
      <c r="B332" s="29" t="s">
        <v>569</v>
      </c>
      <c r="C332" s="29" t="s">
        <v>899</v>
      </c>
      <c r="D332" s="29" t="s">
        <v>625</v>
      </c>
      <c r="E332" s="29" t="s">
        <v>588</v>
      </c>
      <c r="F332" s="29" t="s">
        <v>11194</v>
      </c>
      <c r="G332" s="29" t="s">
        <v>11195</v>
      </c>
      <c r="H332" s="29" t="s">
        <v>886</v>
      </c>
      <c r="I332" s="29" t="s">
        <v>3672</v>
      </c>
      <c r="J332" s="29" t="s">
        <v>899</v>
      </c>
      <c r="L332" s="182">
        <v>2</v>
      </c>
      <c r="M332" s="113">
        <v>1800000</v>
      </c>
      <c r="N332" s="113">
        <v>2800000</v>
      </c>
      <c r="O332" s="189" t="s">
        <v>10762</v>
      </c>
      <c r="P332" s="53" t="s">
        <v>11196</v>
      </c>
      <c r="Q332" s="53" t="s">
        <v>592</v>
      </c>
      <c r="R332" s="53" t="s">
        <v>11197</v>
      </c>
      <c r="U332" s="29" t="s">
        <v>1327</v>
      </c>
    </row>
    <row r="333" spans="1:23" ht="15.75" x14ac:dyDescent="0.25">
      <c r="A333" s="56">
        <v>43227</v>
      </c>
      <c r="B333" s="29" t="s">
        <v>5360</v>
      </c>
      <c r="C333" s="29" t="s">
        <v>899</v>
      </c>
      <c r="D333" s="29" t="s">
        <v>1027</v>
      </c>
      <c r="E333" s="29" t="s">
        <v>588</v>
      </c>
      <c r="F333" s="29" t="s">
        <v>11198</v>
      </c>
      <c r="G333" s="29" t="s">
        <v>10080</v>
      </c>
      <c r="H333" s="29" t="s">
        <v>607</v>
      </c>
      <c r="I333" s="29" t="s">
        <v>3586</v>
      </c>
      <c r="J333" s="29" t="s">
        <v>899</v>
      </c>
      <c r="L333" s="182">
        <v>10</v>
      </c>
      <c r="M333" s="113">
        <v>1095771</v>
      </c>
      <c r="N333" s="113">
        <v>1545771</v>
      </c>
      <c r="O333" s="189" t="s">
        <v>7124</v>
      </c>
      <c r="P333" s="53" t="s">
        <v>11199</v>
      </c>
      <c r="Q333" s="53" t="s">
        <v>1939</v>
      </c>
      <c r="R333" s="53" t="s">
        <v>11200</v>
      </c>
      <c r="U333" s="29" t="s">
        <v>1327</v>
      </c>
    </row>
    <row r="334" spans="1:23" ht="60" x14ac:dyDescent="0.25">
      <c r="A334" s="56">
        <v>43227</v>
      </c>
      <c r="B334" s="29" t="s">
        <v>569</v>
      </c>
      <c r="C334" s="29" t="s">
        <v>899</v>
      </c>
      <c r="D334" s="29" t="s">
        <v>625</v>
      </c>
      <c r="E334" s="29" t="s">
        <v>588</v>
      </c>
      <c r="F334" s="29" t="s">
        <v>11201</v>
      </c>
      <c r="G334" s="29" t="s">
        <v>11202</v>
      </c>
      <c r="H334" s="29" t="s">
        <v>607</v>
      </c>
      <c r="I334" s="29" t="s">
        <v>9791</v>
      </c>
      <c r="J334" s="29" t="s">
        <v>899</v>
      </c>
      <c r="L334" s="182">
        <v>4</v>
      </c>
      <c r="M334" s="113">
        <v>608000</v>
      </c>
      <c r="N334" s="113">
        <v>1094400</v>
      </c>
      <c r="O334" s="189" t="s">
        <v>10766</v>
      </c>
      <c r="P334" s="53" t="s">
        <v>11203</v>
      </c>
      <c r="Q334" s="53" t="s">
        <v>1939</v>
      </c>
      <c r="R334" s="53" t="s">
        <v>11204</v>
      </c>
      <c r="U334" s="29" t="s">
        <v>1327</v>
      </c>
    </row>
    <row r="335" spans="1:23" ht="30" x14ac:dyDescent="0.25">
      <c r="A335" s="56">
        <v>43228</v>
      </c>
      <c r="B335" s="29" t="s">
        <v>569</v>
      </c>
      <c r="C335" s="29" t="s">
        <v>899</v>
      </c>
      <c r="D335" s="29" t="s">
        <v>625</v>
      </c>
      <c r="E335" s="29" t="s">
        <v>588</v>
      </c>
      <c r="F335" s="29" t="s">
        <v>9095</v>
      </c>
      <c r="G335" s="29" t="s">
        <v>11205</v>
      </c>
      <c r="H335" s="29" t="s">
        <v>607</v>
      </c>
      <c r="I335" s="29" t="s">
        <v>11206</v>
      </c>
      <c r="J335" s="29" t="s">
        <v>899</v>
      </c>
      <c r="M335" s="113">
        <v>1300000</v>
      </c>
      <c r="N335" s="113">
        <v>2125000</v>
      </c>
      <c r="O335" s="189" t="s">
        <v>7564</v>
      </c>
      <c r="P335" s="53" t="s">
        <v>11207</v>
      </c>
      <c r="Q335" s="53" t="s">
        <v>1939</v>
      </c>
      <c r="R335" s="53" t="s">
        <v>11208</v>
      </c>
      <c r="U335" s="29" t="s">
        <v>1327</v>
      </c>
    </row>
    <row r="336" spans="1:23" ht="30" x14ac:dyDescent="0.25">
      <c r="A336" s="56">
        <v>43228</v>
      </c>
      <c r="B336" s="29" t="s">
        <v>328</v>
      </c>
      <c r="C336" s="29" t="s">
        <v>603</v>
      </c>
      <c r="D336" s="29" t="s">
        <v>649</v>
      </c>
      <c r="E336" s="29" t="s">
        <v>588</v>
      </c>
      <c r="F336" s="29" t="s">
        <v>4449</v>
      </c>
      <c r="G336" s="29" t="s">
        <v>7814</v>
      </c>
      <c r="H336" s="29" t="s">
        <v>607</v>
      </c>
      <c r="I336" s="29" t="s">
        <v>11211</v>
      </c>
      <c r="J336" s="29" t="s">
        <v>3888</v>
      </c>
      <c r="L336" s="182">
        <v>5</v>
      </c>
      <c r="M336" s="113">
        <v>252816</v>
      </c>
      <c r="N336" s="113">
        <v>455072</v>
      </c>
      <c r="O336" s="189" t="s">
        <v>4533</v>
      </c>
      <c r="P336" s="53" t="s">
        <v>11210</v>
      </c>
      <c r="Q336" s="53" t="s">
        <v>592</v>
      </c>
      <c r="R336" s="53" t="s">
        <v>11209</v>
      </c>
      <c r="U336" s="29" t="s">
        <v>1327</v>
      </c>
    </row>
    <row r="337" spans="1:21" ht="15.75" x14ac:dyDescent="0.25">
      <c r="A337" s="56">
        <v>43229</v>
      </c>
      <c r="B337" s="29" t="s">
        <v>569</v>
      </c>
      <c r="C337" s="29" t="s">
        <v>899</v>
      </c>
      <c r="D337" s="29" t="s">
        <v>611</v>
      </c>
      <c r="E337" s="29" t="s">
        <v>588</v>
      </c>
      <c r="F337" s="29" t="s">
        <v>11212</v>
      </c>
      <c r="G337" s="29" t="s">
        <v>10527</v>
      </c>
      <c r="H337" s="29" t="s">
        <v>607</v>
      </c>
      <c r="I337" s="29" t="s">
        <v>3649</v>
      </c>
      <c r="J337" s="29" t="s">
        <v>899</v>
      </c>
      <c r="L337" s="182">
        <v>8</v>
      </c>
      <c r="N337" s="113">
        <v>1976000</v>
      </c>
      <c r="O337" s="189" t="s">
        <v>560</v>
      </c>
      <c r="P337" s="53" t="s">
        <v>11213</v>
      </c>
      <c r="Q337" s="53" t="s">
        <v>29</v>
      </c>
      <c r="R337" s="53" t="s">
        <v>11214</v>
      </c>
      <c r="U337" s="29" t="s">
        <v>1327</v>
      </c>
    </row>
    <row r="338" spans="1:21" ht="60" x14ac:dyDescent="0.25">
      <c r="A338" s="56">
        <v>43229</v>
      </c>
      <c r="B338" s="29" t="s">
        <v>328</v>
      </c>
      <c r="C338" s="29" t="s">
        <v>603</v>
      </c>
      <c r="D338" s="29" t="s">
        <v>10338</v>
      </c>
      <c r="E338" s="29" t="s">
        <v>588</v>
      </c>
      <c r="F338" s="29" t="s">
        <v>11215</v>
      </c>
      <c r="G338" s="29" t="s">
        <v>11216</v>
      </c>
      <c r="H338" s="29" t="s">
        <v>607</v>
      </c>
      <c r="I338" s="29" t="s">
        <v>2054</v>
      </c>
      <c r="J338" s="29" t="s">
        <v>899</v>
      </c>
      <c r="L338" s="182">
        <v>2</v>
      </c>
      <c r="M338" s="113">
        <v>1089000</v>
      </c>
      <c r="N338" s="113">
        <v>2069100</v>
      </c>
      <c r="O338" s="189" t="s">
        <v>7564</v>
      </c>
      <c r="P338" s="53" t="s">
        <v>11217</v>
      </c>
      <c r="Q338" s="53" t="s">
        <v>592</v>
      </c>
      <c r="R338" s="53" t="s">
        <v>11218</v>
      </c>
      <c r="U338" s="29" t="s">
        <v>1327</v>
      </c>
    </row>
    <row r="339" spans="1:21" ht="45" x14ac:dyDescent="0.25">
      <c r="A339" s="56">
        <v>43229</v>
      </c>
      <c r="B339" s="29" t="s">
        <v>328</v>
      </c>
      <c r="C339" s="29" t="s">
        <v>603</v>
      </c>
      <c r="D339" s="29" t="s">
        <v>748</v>
      </c>
      <c r="E339" s="29" t="s">
        <v>588</v>
      </c>
      <c r="F339" s="29" t="s">
        <v>11221</v>
      </c>
      <c r="G339" s="29" t="s">
        <v>8657</v>
      </c>
      <c r="H339" s="29" t="s">
        <v>607</v>
      </c>
      <c r="J339" s="29" t="s">
        <v>3398</v>
      </c>
      <c r="L339" s="182">
        <v>5</v>
      </c>
      <c r="M339" s="113">
        <v>593000</v>
      </c>
      <c r="N339" s="113">
        <v>1186000</v>
      </c>
      <c r="O339" s="189" t="s">
        <v>7564</v>
      </c>
      <c r="P339" s="53" t="s">
        <v>11220</v>
      </c>
      <c r="Q339" s="53" t="s">
        <v>29</v>
      </c>
      <c r="R339" s="53" t="s">
        <v>11219</v>
      </c>
      <c r="U339" s="29" t="s">
        <v>1327</v>
      </c>
    </row>
    <row r="340" spans="1:21" ht="30" x14ac:dyDescent="0.25">
      <c r="A340" s="56">
        <v>43230</v>
      </c>
      <c r="B340" s="29" t="s">
        <v>569</v>
      </c>
      <c r="C340" s="29" t="s">
        <v>899</v>
      </c>
      <c r="D340" s="29" t="s">
        <v>625</v>
      </c>
      <c r="E340" s="29" t="s">
        <v>588</v>
      </c>
      <c r="F340" s="29" t="s">
        <v>11150</v>
      </c>
      <c r="G340" s="29" t="s">
        <v>11151</v>
      </c>
      <c r="H340" s="29" t="s">
        <v>607</v>
      </c>
      <c r="I340" s="29" t="s">
        <v>3649</v>
      </c>
      <c r="J340" s="29" t="s">
        <v>899</v>
      </c>
      <c r="N340" s="113">
        <v>4750000</v>
      </c>
      <c r="O340" s="189" t="s">
        <v>560</v>
      </c>
      <c r="P340" s="53" t="s">
        <v>11152</v>
      </c>
      <c r="Q340" s="53" t="s">
        <v>29</v>
      </c>
      <c r="R340" s="53" t="s">
        <v>11153</v>
      </c>
      <c r="U340" s="29" t="s">
        <v>491</v>
      </c>
    </row>
    <row r="341" spans="1:21" ht="60" x14ac:dyDescent="0.25">
      <c r="A341" s="56">
        <v>43230</v>
      </c>
      <c r="B341" s="29" t="s">
        <v>328</v>
      </c>
      <c r="C341" s="29" t="s">
        <v>603</v>
      </c>
      <c r="D341" s="29" t="s">
        <v>10338</v>
      </c>
      <c r="E341" s="29" t="s">
        <v>2200</v>
      </c>
      <c r="F341" s="29" t="s">
        <v>11225</v>
      </c>
      <c r="G341" s="29" t="s">
        <v>1789</v>
      </c>
      <c r="H341" s="29" t="s">
        <v>10831</v>
      </c>
      <c r="I341" s="29" t="s">
        <v>11224</v>
      </c>
      <c r="J341" s="29" t="s">
        <v>3501</v>
      </c>
      <c r="L341" s="182">
        <v>10</v>
      </c>
      <c r="M341" s="113">
        <v>210000</v>
      </c>
      <c r="N341" s="113">
        <v>420000</v>
      </c>
      <c r="O341" s="189" t="s">
        <v>7124</v>
      </c>
      <c r="P341" s="53" t="s">
        <v>11223</v>
      </c>
      <c r="Q341" s="53" t="s">
        <v>1939</v>
      </c>
      <c r="R341" s="53" t="s">
        <v>11222</v>
      </c>
      <c r="U341" s="29" t="s">
        <v>1327</v>
      </c>
    </row>
    <row r="342" spans="1:21" ht="45" x14ac:dyDescent="0.25">
      <c r="A342" s="56">
        <v>43230</v>
      </c>
      <c r="B342" s="29" t="s">
        <v>328</v>
      </c>
      <c r="C342" s="29" t="s">
        <v>603</v>
      </c>
      <c r="D342" s="29" t="s">
        <v>8941</v>
      </c>
      <c r="E342" s="29" t="s">
        <v>588</v>
      </c>
      <c r="F342" s="29" t="s">
        <v>11226</v>
      </c>
      <c r="G342" s="29" t="s">
        <v>11227</v>
      </c>
      <c r="H342" s="29" t="s">
        <v>607</v>
      </c>
      <c r="I342" s="29" t="s">
        <v>3861</v>
      </c>
      <c r="J342" s="29" t="s">
        <v>899</v>
      </c>
      <c r="L342" s="182">
        <v>3</v>
      </c>
      <c r="M342" s="113">
        <v>664000</v>
      </c>
      <c r="N342" s="113">
        <v>921800</v>
      </c>
      <c r="O342" s="189" t="s">
        <v>10762</v>
      </c>
      <c r="P342" s="53" t="s">
        <v>11228</v>
      </c>
      <c r="Q342" s="53" t="s">
        <v>1939</v>
      </c>
      <c r="R342" s="53" t="s">
        <v>11229</v>
      </c>
      <c r="U342" s="29" t="s">
        <v>1327</v>
      </c>
    </row>
    <row r="343" spans="1:21" ht="60" x14ac:dyDescent="0.25">
      <c r="A343" s="56">
        <v>43230</v>
      </c>
      <c r="B343" s="29" t="s">
        <v>9240</v>
      </c>
      <c r="C343" s="29" t="s">
        <v>603</v>
      </c>
      <c r="D343" s="29" t="s">
        <v>9241</v>
      </c>
      <c r="E343" s="29" t="s">
        <v>588</v>
      </c>
      <c r="F343" s="29" t="s">
        <v>11233</v>
      </c>
      <c r="G343" s="29" t="s">
        <v>11232</v>
      </c>
      <c r="H343" s="29" t="s">
        <v>607</v>
      </c>
      <c r="J343" s="29" t="s">
        <v>603</v>
      </c>
      <c r="L343" s="182">
        <v>3</v>
      </c>
      <c r="M343" s="113">
        <v>1899500</v>
      </c>
      <c r="N343" s="113">
        <v>3799000</v>
      </c>
      <c r="O343" s="189" t="s">
        <v>10766</v>
      </c>
      <c r="P343" s="53" t="s">
        <v>11231</v>
      </c>
      <c r="Q343" s="53" t="s">
        <v>29</v>
      </c>
      <c r="R343" s="53" t="s">
        <v>11230</v>
      </c>
      <c r="U343" s="29" t="s">
        <v>1327</v>
      </c>
    </row>
    <row r="344" spans="1:21" ht="60" x14ac:dyDescent="0.25">
      <c r="A344" s="56">
        <v>43231</v>
      </c>
      <c r="B344" s="29" t="s">
        <v>569</v>
      </c>
      <c r="C344" s="29" t="s">
        <v>899</v>
      </c>
      <c r="D344" s="29" t="s">
        <v>625</v>
      </c>
      <c r="E344" s="29" t="s">
        <v>692</v>
      </c>
      <c r="F344" s="29" t="s">
        <v>11154</v>
      </c>
      <c r="G344" s="29" t="s">
        <v>11155</v>
      </c>
      <c r="H344" s="29" t="s">
        <v>607</v>
      </c>
      <c r="J344" s="29" t="s">
        <v>899</v>
      </c>
      <c r="O344" s="189" t="s">
        <v>10766</v>
      </c>
      <c r="P344" s="53" t="s">
        <v>11156</v>
      </c>
      <c r="Q344" s="53" t="s">
        <v>1939</v>
      </c>
      <c r="R344" s="53" t="s">
        <v>11157</v>
      </c>
      <c r="U344" s="29" t="s">
        <v>491</v>
      </c>
    </row>
    <row r="345" spans="1:21" ht="75" x14ac:dyDescent="0.25">
      <c r="A345" s="56">
        <v>43231</v>
      </c>
      <c r="B345" s="29" t="s">
        <v>328</v>
      </c>
      <c r="C345" s="29" t="s">
        <v>603</v>
      </c>
      <c r="D345" s="29" t="s">
        <v>7595</v>
      </c>
      <c r="E345" s="29" t="s">
        <v>692</v>
      </c>
      <c r="F345" s="29" t="s">
        <v>11158</v>
      </c>
      <c r="G345" s="29" t="s">
        <v>11159</v>
      </c>
      <c r="H345" s="29" t="s">
        <v>905</v>
      </c>
      <c r="J345" s="29" t="s">
        <v>3371</v>
      </c>
      <c r="L345" s="182">
        <v>4</v>
      </c>
      <c r="M345" s="113">
        <v>206000</v>
      </c>
      <c r="N345" s="113">
        <v>213200</v>
      </c>
      <c r="O345" s="189" t="s">
        <v>4533</v>
      </c>
      <c r="P345" s="53" t="s">
        <v>11160</v>
      </c>
      <c r="Q345" s="53" t="s">
        <v>29</v>
      </c>
      <c r="R345" s="53" t="s">
        <v>11161</v>
      </c>
      <c r="U345" s="29" t="s">
        <v>491</v>
      </c>
    </row>
    <row r="346" spans="1:21" ht="90" x14ac:dyDescent="0.25">
      <c r="A346" s="56">
        <v>43231</v>
      </c>
      <c r="B346" s="29" t="s">
        <v>6076</v>
      </c>
      <c r="C346" s="29" t="s">
        <v>3370</v>
      </c>
      <c r="D346" s="29" t="s">
        <v>10524</v>
      </c>
      <c r="E346" s="29" t="s">
        <v>588</v>
      </c>
      <c r="F346" s="29" t="s">
        <v>11241</v>
      </c>
      <c r="G346" s="29" t="s">
        <v>11241</v>
      </c>
      <c r="H346" s="29" t="s">
        <v>607</v>
      </c>
      <c r="I346" s="29" t="s">
        <v>4016</v>
      </c>
      <c r="J346" s="29" t="s">
        <v>3370</v>
      </c>
      <c r="L346" s="182">
        <v>2</v>
      </c>
      <c r="M346" s="113" t="s">
        <v>11234</v>
      </c>
      <c r="O346" s="189" t="s">
        <v>10879</v>
      </c>
      <c r="P346" s="53" t="s">
        <v>11235</v>
      </c>
      <c r="Q346" s="53" t="s">
        <v>29</v>
      </c>
      <c r="R346" s="53" t="s">
        <v>11236</v>
      </c>
      <c r="U346" s="29" t="s">
        <v>1327</v>
      </c>
    </row>
    <row r="347" spans="1:21" ht="15.75" x14ac:dyDescent="0.25">
      <c r="A347" s="56">
        <v>43231</v>
      </c>
      <c r="B347" s="29" t="s">
        <v>6076</v>
      </c>
      <c r="C347" s="29" t="s">
        <v>3370</v>
      </c>
      <c r="D347" s="29" t="s">
        <v>10524</v>
      </c>
      <c r="E347" s="29" t="s">
        <v>588</v>
      </c>
      <c r="F347" s="29" t="s">
        <v>11240</v>
      </c>
      <c r="G347" s="29" t="s">
        <v>11239</v>
      </c>
      <c r="H347" s="29" t="s">
        <v>607</v>
      </c>
      <c r="I347" s="29" t="s">
        <v>3691</v>
      </c>
      <c r="J347" s="29" t="s">
        <v>3370</v>
      </c>
      <c r="L347" s="182">
        <v>5</v>
      </c>
      <c r="M347" s="113">
        <v>413000</v>
      </c>
      <c r="N347" s="113">
        <v>660800</v>
      </c>
      <c r="O347" s="189" t="s">
        <v>10879</v>
      </c>
      <c r="P347" s="53" t="s">
        <v>11238</v>
      </c>
      <c r="Q347" s="53" t="s">
        <v>592</v>
      </c>
      <c r="R347" s="53" t="s">
        <v>11237</v>
      </c>
      <c r="U347" s="29" t="s">
        <v>1327</v>
      </c>
    </row>
    <row r="348" spans="1:21" ht="90" x14ac:dyDescent="0.25">
      <c r="A348" s="56">
        <v>43231</v>
      </c>
      <c r="B348" s="29" t="s">
        <v>328</v>
      </c>
      <c r="C348" s="29" t="s">
        <v>603</v>
      </c>
      <c r="D348" s="29" t="s">
        <v>7595</v>
      </c>
      <c r="E348" s="29" t="s">
        <v>588</v>
      </c>
      <c r="F348" s="29" t="s">
        <v>10354</v>
      </c>
      <c r="G348" s="29" t="s">
        <v>7830</v>
      </c>
      <c r="H348" s="29" t="s">
        <v>905</v>
      </c>
      <c r="J348" s="29" t="s">
        <v>899</v>
      </c>
      <c r="L348" s="182">
        <v>9</v>
      </c>
      <c r="M348" s="113">
        <v>1000000</v>
      </c>
      <c r="N348" s="113">
        <v>1300000</v>
      </c>
      <c r="O348" s="189" t="s">
        <v>4533</v>
      </c>
      <c r="P348" s="53" t="s">
        <v>11242</v>
      </c>
      <c r="Q348" s="53" t="s">
        <v>592</v>
      </c>
      <c r="R348" s="53" t="s">
        <v>11243</v>
      </c>
      <c r="U348" s="29" t="s">
        <v>1327</v>
      </c>
    </row>
    <row r="349" spans="1:21" ht="15.75" x14ac:dyDescent="0.25">
      <c r="A349" s="56">
        <v>43234</v>
      </c>
      <c r="B349" s="29" t="s">
        <v>569</v>
      </c>
      <c r="C349" s="29" t="s">
        <v>899</v>
      </c>
      <c r="D349" s="29" t="s">
        <v>625</v>
      </c>
      <c r="E349" s="29" t="s">
        <v>588</v>
      </c>
      <c r="F349" s="29" t="s">
        <v>11247</v>
      </c>
      <c r="G349" s="29" t="s">
        <v>1877</v>
      </c>
      <c r="H349" s="29" t="s">
        <v>607</v>
      </c>
      <c r="J349" s="29" t="s">
        <v>899</v>
      </c>
      <c r="M349" s="113">
        <v>1500000</v>
      </c>
      <c r="N349" s="113">
        <v>2400000</v>
      </c>
      <c r="O349" s="189" t="s">
        <v>560</v>
      </c>
      <c r="P349" s="53" t="s">
        <v>11395</v>
      </c>
      <c r="Q349" s="53" t="s">
        <v>592</v>
      </c>
      <c r="R349" s="53" t="s">
        <v>11248</v>
      </c>
      <c r="U349" s="29" t="s">
        <v>1327</v>
      </c>
    </row>
    <row r="350" spans="1:21" ht="30" x14ac:dyDescent="0.25">
      <c r="A350" s="56">
        <v>43234</v>
      </c>
      <c r="B350" s="29" t="s">
        <v>5176</v>
      </c>
      <c r="C350" s="29" t="s">
        <v>899</v>
      </c>
      <c r="D350" s="29" t="s">
        <v>6995</v>
      </c>
      <c r="E350" s="29" t="s">
        <v>588</v>
      </c>
      <c r="F350" s="29" t="s">
        <v>11251</v>
      </c>
      <c r="G350" s="29" t="s">
        <v>11250</v>
      </c>
      <c r="H350" s="29" t="s">
        <v>886</v>
      </c>
      <c r="J350" s="29" t="s">
        <v>959</v>
      </c>
      <c r="L350" s="182">
        <v>2</v>
      </c>
      <c r="M350" s="113">
        <v>378000</v>
      </c>
      <c r="N350" s="113">
        <v>415800</v>
      </c>
      <c r="O350" s="189" t="s">
        <v>10766</v>
      </c>
      <c r="P350" s="53" t="s">
        <v>11396</v>
      </c>
      <c r="Q350" s="53" t="s">
        <v>1939</v>
      </c>
      <c r="R350" s="53" t="s">
        <v>11249</v>
      </c>
      <c r="U350" s="29" t="s">
        <v>1327</v>
      </c>
    </row>
    <row r="351" spans="1:21" ht="60" x14ac:dyDescent="0.25">
      <c r="A351" s="56">
        <v>43235</v>
      </c>
      <c r="B351" s="29" t="s">
        <v>569</v>
      </c>
      <c r="C351" s="29" t="s">
        <v>899</v>
      </c>
      <c r="D351" s="29" t="s">
        <v>11031</v>
      </c>
      <c r="E351" s="29" t="s">
        <v>588</v>
      </c>
      <c r="F351" s="29" t="s">
        <v>11252</v>
      </c>
      <c r="G351" s="29" t="s">
        <v>11252</v>
      </c>
      <c r="H351" s="29" t="s">
        <v>809</v>
      </c>
      <c r="I351" s="29" t="s">
        <v>8144</v>
      </c>
      <c r="J351" s="29" t="s">
        <v>899</v>
      </c>
      <c r="M351" s="113">
        <v>300000</v>
      </c>
      <c r="N351" s="113">
        <v>330000</v>
      </c>
      <c r="O351" s="189" t="s">
        <v>2295</v>
      </c>
      <c r="P351" s="53" t="s">
        <v>11397</v>
      </c>
      <c r="Q351" s="53" t="s">
        <v>592</v>
      </c>
      <c r="R351" s="53" t="s">
        <v>11398</v>
      </c>
      <c r="U351" s="29" t="s">
        <v>1327</v>
      </c>
    </row>
    <row r="352" spans="1:21" ht="30" x14ac:dyDescent="0.25">
      <c r="A352" s="56">
        <v>43235</v>
      </c>
      <c r="B352" s="29" t="s">
        <v>328</v>
      </c>
      <c r="C352" s="29" t="s">
        <v>603</v>
      </c>
      <c r="D352" s="29" t="s">
        <v>757</v>
      </c>
      <c r="E352" s="29" t="s">
        <v>588</v>
      </c>
      <c r="F352" s="29" t="s">
        <v>11253</v>
      </c>
      <c r="G352" s="29" t="s">
        <v>7714</v>
      </c>
      <c r="H352" s="29" t="s">
        <v>10831</v>
      </c>
      <c r="J352" s="29" t="s">
        <v>6015</v>
      </c>
      <c r="L352" s="182">
        <v>5</v>
      </c>
      <c r="M352" s="113">
        <v>626000</v>
      </c>
      <c r="N352" s="113">
        <v>1126000</v>
      </c>
      <c r="O352" s="189" t="s">
        <v>10766</v>
      </c>
      <c r="P352" s="53" t="s">
        <v>11254</v>
      </c>
      <c r="Q352" s="53" t="s">
        <v>1939</v>
      </c>
      <c r="R352" s="53" t="s">
        <v>11255</v>
      </c>
      <c r="U352" s="29" t="s">
        <v>1327</v>
      </c>
    </row>
    <row r="353" spans="1:21" ht="30" x14ac:dyDescent="0.25">
      <c r="A353" s="56">
        <v>43235</v>
      </c>
      <c r="B353" s="29" t="s">
        <v>569</v>
      </c>
      <c r="C353" s="29" t="s">
        <v>899</v>
      </c>
      <c r="D353" s="29" t="s">
        <v>625</v>
      </c>
      <c r="E353" s="29" t="s">
        <v>588</v>
      </c>
      <c r="F353" s="29" t="s">
        <v>11256</v>
      </c>
      <c r="G353" s="29" t="s">
        <v>11257</v>
      </c>
      <c r="H353" s="29" t="s">
        <v>886</v>
      </c>
      <c r="I353" s="29" t="s">
        <v>3388</v>
      </c>
      <c r="J353" s="29" t="s">
        <v>899</v>
      </c>
      <c r="M353" s="113">
        <v>2427000</v>
      </c>
      <c r="N353" s="113">
        <v>3897000</v>
      </c>
      <c r="O353" s="189" t="s">
        <v>2295</v>
      </c>
      <c r="P353" s="53" t="s">
        <v>11399</v>
      </c>
      <c r="Q353" s="53" t="s">
        <v>592</v>
      </c>
      <c r="R353" s="53" t="s">
        <v>10860</v>
      </c>
      <c r="U353" s="29" t="s">
        <v>1327</v>
      </c>
    </row>
    <row r="354" spans="1:21" ht="30" x14ac:dyDescent="0.25">
      <c r="A354" s="56">
        <v>43235</v>
      </c>
      <c r="B354" s="29" t="s">
        <v>328</v>
      </c>
      <c r="C354" s="29" t="s">
        <v>603</v>
      </c>
      <c r="D354" s="29" t="s">
        <v>649</v>
      </c>
      <c r="E354" s="29" t="s">
        <v>588</v>
      </c>
      <c r="F354" s="29" t="s">
        <v>11259</v>
      </c>
      <c r="G354" s="29" t="s">
        <v>4118</v>
      </c>
      <c r="H354" s="29" t="s">
        <v>607</v>
      </c>
      <c r="J354" s="29" t="s">
        <v>644</v>
      </c>
      <c r="L354" s="182">
        <v>9</v>
      </c>
      <c r="M354" s="113">
        <v>775000</v>
      </c>
      <c r="N354" s="113">
        <v>1511250</v>
      </c>
      <c r="O354" s="189" t="s">
        <v>7124</v>
      </c>
      <c r="P354" s="53" t="s">
        <v>11258</v>
      </c>
      <c r="Q354" s="53" t="s">
        <v>592</v>
      </c>
      <c r="R354" s="53" t="s">
        <v>10860</v>
      </c>
      <c r="U354" s="29" t="s">
        <v>1327</v>
      </c>
    </row>
    <row r="355" spans="1:21" ht="75" x14ac:dyDescent="0.25">
      <c r="A355" s="56">
        <v>43236</v>
      </c>
      <c r="B355" s="29" t="s">
        <v>328</v>
      </c>
      <c r="C355" s="29" t="s">
        <v>603</v>
      </c>
      <c r="D355" s="29" t="s">
        <v>649</v>
      </c>
      <c r="E355" s="29" t="s">
        <v>588</v>
      </c>
      <c r="F355" s="29" t="s">
        <v>11260</v>
      </c>
      <c r="G355" s="29" t="s">
        <v>11260</v>
      </c>
      <c r="H355" s="29" t="s">
        <v>10832</v>
      </c>
      <c r="I355" s="29" t="s">
        <v>8636</v>
      </c>
      <c r="J355" s="29" t="s">
        <v>644</v>
      </c>
      <c r="L355" s="182">
        <v>6</v>
      </c>
      <c r="M355" s="113">
        <v>3572025</v>
      </c>
      <c r="N355" s="113">
        <v>4682025</v>
      </c>
      <c r="O355" s="189" t="s">
        <v>560</v>
      </c>
      <c r="P355" s="53" t="s">
        <v>11261</v>
      </c>
      <c r="Q355" s="53" t="s">
        <v>1939</v>
      </c>
      <c r="R355" s="53" t="s">
        <v>11400</v>
      </c>
      <c r="U355" s="29" t="s">
        <v>1327</v>
      </c>
    </row>
    <row r="356" spans="1:21" ht="75" x14ac:dyDescent="0.25">
      <c r="A356" s="56">
        <v>43236</v>
      </c>
      <c r="B356" s="29" t="s">
        <v>328</v>
      </c>
      <c r="C356" s="29" t="s">
        <v>603</v>
      </c>
      <c r="D356" s="29" t="s">
        <v>7595</v>
      </c>
      <c r="E356" s="29" t="s">
        <v>588</v>
      </c>
      <c r="F356" s="29" t="s">
        <v>11309</v>
      </c>
      <c r="G356" s="29" t="s">
        <v>11309</v>
      </c>
      <c r="H356" s="29" t="s">
        <v>607</v>
      </c>
      <c r="J356" s="29" t="s">
        <v>6329</v>
      </c>
      <c r="L356" s="182">
        <v>3</v>
      </c>
      <c r="M356" s="113">
        <v>840895</v>
      </c>
      <c r="N356" s="113">
        <v>1429985</v>
      </c>
      <c r="O356" s="189" t="s">
        <v>4533</v>
      </c>
      <c r="P356" s="53" t="s">
        <v>11310</v>
      </c>
      <c r="Q356" s="53" t="s">
        <v>1939</v>
      </c>
      <c r="R356" s="53" t="s">
        <v>11311</v>
      </c>
      <c r="U356" s="29" t="s">
        <v>1327</v>
      </c>
    </row>
    <row r="357" spans="1:21" ht="45" x14ac:dyDescent="0.25">
      <c r="A357" s="56">
        <v>43236</v>
      </c>
      <c r="B357" s="29" t="s">
        <v>9240</v>
      </c>
      <c r="C357" s="29" t="s">
        <v>603</v>
      </c>
      <c r="D357" s="29" t="s">
        <v>9849</v>
      </c>
      <c r="E357" s="29" t="s">
        <v>588</v>
      </c>
      <c r="F357" s="29" t="s">
        <v>11316</v>
      </c>
      <c r="G357" s="29" t="s">
        <v>11315</v>
      </c>
      <c r="H357" s="29" t="s">
        <v>607</v>
      </c>
      <c r="I357" s="29" t="s">
        <v>11314</v>
      </c>
      <c r="J357" s="29" t="s">
        <v>608</v>
      </c>
      <c r="L357" s="182">
        <v>6</v>
      </c>
      <c r="M357" s="113">
        <v>231764</v>
      </c>
      <c r="N357" s="113">
        <v>417176</v>
      </c>
      <c r="O357" s="189" t="s">
        <v>10763</v>
      </c>
      <c r="P357" s="53" t="s">
        <v>11313</v>
      </c>
      <c r="Q357" s="53" t="s">
        <v>592</v>
      </c>
      <c r="R357" s="53" t="s">
        <v>11312</v>
      </c>
      <c r="U357" s="29" t="s">
        <v>1327</v>
      </c>
    </row>
    <row r="358" spans="1:21" ht="75" x14ac:dyDescent="0.25">
      <c r="A358" s="56">
        <v>43237</v>
      </c>
      <c r="B358" s="29" t="s">
        <v>569</v>
      </c>
      <c r="C358" s="29" t="s">
        <v>899</v>
      </c>
      <c r="D358" s="29" t="s">
        <v>625</v>
      </c>
      <c r="E358" s="29" t="s">
        <v>588</v>
      </c>
      <c r="F358" s="29" t="s">
        <v>11317</v>
      </c>
      <c r="G358" s="29" t="s">
        <v>11318</v>
      </c>
      <c r="H358" s="29" t="s">
        <v>886</v>
      </c>
      <c r="I358" s="29" t="s">
        <v>2054</v>
      </c>
      <c r="J358" s="29" t="s">
        <v>899</v>
      </c>
      <c r="L358" s="182">
        <v>2</v>
      </c>
      <c r="M358" s="113">
        <v>1000000</v>
      </c>
      <c r="N358" s="113">
        <v>1100000</v>
      </c>
      <c r="O358" s="189" t="s">
        <v>2295</v>
      </c>
      <c r="P358" s="53" t="s">
        <v>11319</v>
      </c>
      <c r="Q358" s="53" t="s">
        <v>620</v>
      </c>
      <c r="R358" s="53" t="s">
        <v>11320</v>
      </c>
      <c r="U358" s="29" t="s">
        <v>1327</v>
      </c>
    </row>
    <row r="359" spans="1:21" ht="15.75" x14ac:dyDescent="0.25">
      <c r="A359" s="56">
        <v>43237</v>
      </c>
      <c r="B359" s="29" t="s">
        <v>569</v>
      </c>
      <c r="C359" s="29" t="s">
        <v>899</v>
      </c>
      <c r="D359" s="29" t="s">
        <v>625</v>
      </c>
      <c r="E359" s="29" t="s">
        <v>588</v>
      </c>
      <c r="F359" s="29" t="s">
        <v>11321</v>
      </c>
      <c r="G359" s="29" t="s">
        <v>9000</v>
      </c>
      <c r="H359" s="29" t="s">
        <v>905</v>
      </c>
      <c r="I359" s="29" t="s">
        <v>3557</v>
      </c>
      <c r="J359" s="29" t="s">
        <v>899</v>
      </c>
      <c r="M359" s="113">
        <v>3000000</v>
      </c>
      <c r="N359" s="113">
        <v>3600000</v>
      </c>
      <c r="O359" s="189" t="s">
        <v>560</v>
      </c>
      <c r="P359" s="53" t="s">
        <v>10852</v>
      </c>
      <c r="Q359" s="53" t="s">
        <v>592</v>
      </c>
      <c r="R359" s="53" t="s">
        <v>11407</v>
      </c>
      <c r="U359" s="29" t="s">
        <v>1327</v>
      </c>
    </row>
    <row r="360" spans="1:21" ht="60" x14ac:dyDescent="0.25">
      <c r="A360" s="56">
        <v>43237</v>
      </c>
      <c r="B360" s="29" t="s">
        <v>643</v>
      </c>
      <c r="C360" s="29" t="s">
        <v>644</v>
      </c>
      <c r="D360" s="29" t="s">
        <v>645</v>
      </c>
      <c r="E360" s="29" t="s">
        <v>588</v>
      </c>
      <c r="F360" s="29" t="s">
        <v>5636</v>
      </c>
      <c r="G360" s="29" t="s">
        <v>11323</v>
      </c>
      <c r="H360" s="29" t="s">
        <v>607</v>
      </c>
      <c r="I360" s="29" t="s">
        <v>4078</v>
      </c>
      <c r="J360" s="29" t="s">
        <v>899</v>
      </c>
      <c r="L360" s="182">
        <v>3</v>
      </c>
      <c r="M360" s="113">
        <v>1885000</v>
      </c>
      <c r="N360" s="113">
        <v>3581000</v>
      </c>
      <c r="O360" s="189" t="s">
        <v>10766</v>
      </c>
      <c r="P360" s="53" t="s">
        <v>11408</v>
      </c>
      <c r="Q360" s="53" t="s">
        <v>592</v>
      </c>
      <c r="R360" s="53" t="s">
        <v>11322</v>
      </c>
      <c r="U360" s="29" t="s">
        <v>1327</v>
      </c>
    </row>
    <row r="361" spans="1:21" ht="60" x14ac:dyDescent="0.25">
      <c r="A361" s="56">
        <v>43238</v>
      </c>
      <c r="B361" s="29" t="s">
        <v>1788</v>
      </c>
      <c r="C361" s="29" t="s">
        <v>3369</v>
      </c>
      <c r="D361" s="29" t="s">
        <v>1789</v>
      </c>
      <c r="E361" s="29" t="s">
        <v>588</v>
      </c>
      <c r="F361" s="29" t="s">
        <v>11262</v>
      </c>
      <c r="H361" s="29" t="s">
        <v>607</v>
      </c>
      <c r="I361" s="29" t="s">
        <v>11263</v>
      </c>
      <c r="J361" s="29" t="s">
        <v>3617</v>
      </c>
      <c r="M361" s="113">
        <v>200000</v>
      </c>
      <c r="N361" s="113">
        <v>560000</v>
      </c>
      <c r="O361" s="189" t="s">
        <v>4533</v>
      </c>
      <c r="P361" s="53" t="s">
        <v>11264</v>
      </c>
      <c r="Q361" s="53" t="s">
        <v>29</v>
      </c>
      <c r="R361" s="53" t="s">
        <v>11265</v>
      </c>
      <c r="U361" s="29" t="s">
        <v>491</v>
      </c>
    </row>
    <row r="362" spans="1:21" ht="30" x14ac:dyDescent="0.25">
      <c r="A362" s="56">
        <v>43238</v>
      </c>
      <c r="B362" s="29" t="s">
        <v>328</v>
      </c>
      <c r="C362" s="29" t="s">
        <v>603</v>
      </c>
      <c r="D362" s="29" t="s">
        <v>649</v>
      </c>
      <c r="E362" s="29" t="s">
        <v>588</v>
      </c>
      <c r="F362" s="29" t="s">
        <v>11324</v>
      </c>
      <c r="G362" s="29" t="s">
        <v>11325</v>
      </c>
      <c r="H362" s="29" t="s">
        <v>10831</v>
      </c>
      <c r="I362" s="29" t="s">
        <v>11326</v>
      </c>
      <c r="J362" s="29" t="s">
        <v>899</v>
      </c>
      <c r="L362" s="182">
        <v>4</v>
      </c>
      <c r="M362" s="113">
        <v>1916000</v>
      </c>
      <c r="N362" s="113">
        <v>3257000</v>
      </c>
      <c r="O362" s="189" t="s">
        <v>560</v>
      </c>
      <c r="P362" s="53" t="s">
        <v>11327</v>
      </c>
      <c r="Q362" s="53" t="s">
        <v>1939</v>
      </c>
      <c r="R362" s="53" t="s">
        <v>10497</v>
      </c>
      <c r="U362" s="29" t="s">
        <v>1327</v>
      </c>
    </row>
    <row r="363" spans="1:21" ht="30" x14ac:dyDescent="0.25">
      <c r="A363" s="56">
        <v>43238</v>
      </c>
      <c r="B363" s="29" t="s">
        <v>643</v>
      </c>
      <c r="C363" s="29" t="s">
        <v>644</v>
      </c>
      <c r="D363" s="29" t="s">
        <v>645</v>
      </c>
      <c r="E363" s="29" t="s">
        <v>588</v>
      </c>
      <c r="F363" s="29" t="s">
        <v>11330</v>
      </c>
      <c r="G363" s="29" t="s">
        <v>11331</v>
      </c>
      <c r="H363" s="29" t="s">
        <v>10831</v>
      </c>
      <c r="I363" s="29" t="s">
        <v>10455</v>
      </c>
      <c r="J363" s="29" t="s">
        <v>644</v>
      </c>
      <c r="L363" s="182">
        <v>9</v>
      </c>
      <c r="M363" s="113">
        <v>1500000</v>
      </c>
      <c r="N363" s="113">
        <v>2500000</v>
      </c>
      <c r="O363" s="189" t="s">
        <v>7124</v>
      </c>
      <c r="P363" s="53" t="s">
        <v>11329</v>
      </c>
      <c r="Q363" s="53" t="s">
        <v>592</v>
      </c>
      <c r="R363" s="122" t="s">
        <v>11328</v>
      </c>
      <c r="U363" s="29" t="s">
        <v>1327</v>
      </c>
    </row>
    <row r="364" spans="1:21" ht="105" x14ac:dyDescent="0.25">
      <c r="A364" s="56">
        <v>43241</v>
      </c>
      <c r="B364" s="29" t="s">
        <v>5176</v>
      </c>
      <c r="C364" s="29" t="s">
        <v>959</v>
      </c>
      <c r="D364" s="29" t="s">
        <v>595</v>
      </c>
      <c r="E364" s="29" t="s">
        <v>821</v>
      </c>
      <c r="F364" s="29" t="s">
        <v>11266</v>
      </c>
      <c r="G364" s="29" t="s">
        <v>10944</v>
      </c>
      <c r="H364" s="29" t="s">
        <v>5321</v>
      </c>
      <c r="I364" s="29" t="s">
        <v>11267</v>
      </c>
      <c r="J364" s="29" t="s">
        <v>959</v>
      </c>
      <c r="O364" s="189" t="s">
        <v>10762</v>
      </c>
      <c r="P364" s="53" t="s">
        <v>11401</v>
      </c>
      <c r="Q364" s="53" t="s">
        <v>1612</v>
      </c>
      <c r="R364" s="53" t="s">
        <v>11268</v>
      </c>
      <c r="U364" s="29" t="s">
        <v>491</v>
      </c>
    </row>
    <row r="365" spans="1:21" ht="30" x14ac:dyDescent="0.25">
      <c r="A365" s="56">
        <v>43241</v>
      </c>
      <c r="B365" s="29" t="s">
        <v>569</v>
      </c>
      <c r="C365" s="29" t="s">
        <v>899</v>
      </c>
      <c r="D365" s="29" t="s">
        <v>611</v>
      </c>
      <c r="E365" s="29" t="s">
        <v>588</v>
      </c>
      <c r="F365" s="29" t="s">
        <v>11332</v>
      </c>
      <c r="G365" s="29" t="s">
        <v>8040</v>
      </c>
      <c r="H365" s="29" t="s">
        <v>607</v>
      </c>
      <c r="I365" s="29" t="s">
        <v>11333</v>
      </c>
      <c r="J365" s="29" t="s">
        <v>899</v>
      </c>
      <c r="N365" s="113">
        <v>300000</v>
      </c>
      <c r="O365" s="189" t="s">
        <v>6745</v>
      </c>
      <c r="P365" s="53" t="s">
        <v>11334</v>
      </c>
      <c r="Q365" s="53" t="s">
        <v>592</v>
      </c>
      <c r="R365" s="53" t="s">
        <v>11335</v>
      </c>
      <c r="U365" s="29" t="s">
        <v>1327</v>
      </c>
    </row>
    <row r="366" spans="1:21" ht="120" x14ac:dyDescent="0.25">
      <c r="A366" s="56">
        <v>43241</v>
      </c>
      <c r="B366" s="29" t="s">
        <v>328</v>
      </c>
      <c r="C366" s="29" t="s">
        <v>603</v>
      </c>
      <c r="D366" s="29" t="s">
        <v>8941</v>
      </c>
      <c r="E366" s="29" t="s">
        <v>588</v>
      </c>
      <c r="F366" s="29" t="s">
        <v>11339</v>
      </c>
      <c r="G366" s="29" t="s">
        <v>11338</v>
      </c>
      <c r="H366" s="29" t="s">
        <v>607</v>
      </c>
      <c r="I366" s="29" t="s">
        <v>11337</v>
      </c>
      <c r="J366" s="29" t="s">
        <v>3368</v>
      </c>
      <c r="L366" s="182">
        <v>5</v>
      </c>
      <c r="M366" s="113">
        <v>100000</v>
      </c>
      <c r="N366" s="113">
        <v>180000</v>
      </c>
      <c r="O366" s="189" t="s">
        <v>4533</v>
      </c>
      <c r="P366" s="53" t="s">
        <v>11409</v>
      </c>
      <c r="Q366" s="53" t="s">
        <v>29</v>
      </c>
      <c r="R366" s="53" t="s">
        <v>11336</v>
      </c>
      <c r="U366" s="29" t="s">
        <v>1327</v>
      </c>
    </row>
    <row r="367" spans="1:21" ht="45" x14ac:dyDescent="0.25">
      <c r="A367" s="56">
        <v>43241</v>
      </c>
      <c r="B367" s="29" t="s">
        <v>9240</v>
      </c>
      <c r="C367" s="29" t="s">
        <v>603</v>
      </c>
      <c r="D367" s="29" t="s">
        <v>9849</v>
      </c>
      <c r="E367" s="29" t="s">
        <v>588</v>
      </c>
      <c r="F367" s="29" t="s">
        <v>11340</v>
      </c>
      <c r="G367" s="29" t="s">
        <v>11341</v>
      </c>
      <c r="H367" s="29" t="s">
        <v>607</v>
      </c>
      <c r="I367" s="29" t="s">
        <v>6992</v>
      </c>
      <c r="J367" s="29" t="s">
        <v>603</v>
      </c>
      <c r="L367" s="182">
        <v>2</v>
      </c>
      <c r="M367" s="113">
        <v>126000</v>
      </c>
      <c r="N367" s="113">
        <v>200000</v>
      </c>
      <c r="O367" s="189" t="s">
        <v>10765</v>
      </c>
      <c r="P367" s="53" t="s">
        <v>11342</v>
      </c>
      <c r="Q367" s="53" t="s">
        <v>29</v>
      </c>
      <c r="R367" s="53" t="s">
        <v>11343</v>
      </c>
      <c r="U367" s="29" t="s">
        <v>1327</v>
      </c>
    </row>
    <row r="368" spans="1:21" ht="45" x14ac:dyDescent="0.25">
      <c r="A368" s="56">
        <v>43243</v>
      </c>
      <c r="B368" s="29" t="s">
        <v>569</v>
      </c>
      <c r="C368" s="29" t="s">
        <v>899</v>
      </c>
      <c r="D368" s="29" t="s">
        <v>625</v>
      </c>
      <c r="E368" s="29" t="s">
        <v>588</v>
      </c>
      <c r="F368" s="29" t="s">
        <v>11269</v>
      </c>
      <c r="G368" s="29" t="s">
        <v>11270</v>
      </c>
      <c r="H368" s="29" t="s">
        <v>607</v>
      </c>
      <c r="I368" s="29" t="s">
        <v>11271</v>
      </c>
      <c r="J368" s="29" t="s">
        <v>899</v>
      </c>
      <c r="M368" s="113">
        <v>2500000</v>
      </c>
      <c r="N368" s="113">
        <v>4500000</v>
      </c>
      <c r="O368" s="189" t="s">
        <v>560</v>
      </c>
      <c r="P368" s="53" t="s">
        <v>11272</v>
      </c>
      <c r="Q368" s="53" t="s">
        <v>29</v>
      </c>
      <c r="R368" s="53" t="s">
        <v>11273</v>
      </c>
      <c r="U368" s="29" t="s">
        <v>491</v>
      </c>
    </row>
    <row r="369" spans="1:22" ht="30" x14ac:dyDescent="0.25">
      <c r="A369" s="56">
        <v>43243</v>
      </c>
      <c r="B369" s="29" t="s">
        <v>569</v>
      </c>
      <c r="C369" s="29" t="s">
        <v>899</v>
      </c>
      <c r="D369" s="29" t="s">
        <v>3505</v>
      </c>
      <c r="E369" s="29" t="s">
        <v>588</v>
      </c>
      <c r="F369" s="29" t="s">
        <v>11274</v>
      </c>
      <c r="G369" s="29" t="s">
        <v>11275</v>
      </c>
      <c r="H369" s="29" t="s">
        <v>607</v>
      </c>
      <c r="I369" s="29" t="s">
        <v>3649</v>
      </c>
      <c r="J369" s="29" t="s">
        <v>899</v>
      </c>
      <c r="L369" s="182">
        <v>4</v>
      </c>
      <c r="M369" s="113">
        <v>250000</v>
      </c>
      <c r="N369" s="113">
        <v>3450000</v>
      </c>
      <c r="O369" s="189" t="s">
        <v>560</v>
      </c>
      <c r="P369" s="53" t="s">
        <v>11276</v>
      </c>
      <c r="Q369" s="53" t="s">
        <v>592</v>
      </c>
      <c r="R369" s="53" t="s">
        <v>11281</v>
      </c>
      <c r="U369" s="29" t="s">
        <v>491</v>
      </c>
    </row>
    <row r="370" spans="1:22" ht="90" x14ac:dyDescent="0.25">
      <c r="A370" s="56">
        <v>43243</v>
      </c>
      <c r="B370" s="29" t="s">
        <v>328</v>
      </c>
      <c r="C370" s="29" t="s">
        <v>603</v>
      </c>
      <c r="D370" s="29" t="s">
        <v>11277</v>
      </c>
      <c r="E370" s="29" t="s">
        <v>588</v>
      </c>
      <c r="F370" s="29" t="s">
        <v>10367</v>
      </c>
      <c r="G370" s="29" t="s">
        <v>11278</v>
      </c>
      <c r="H370" s="29" t="s">
        <v>809</v>
      </c>
      <c r="J370" s="29" t="s">
        <v>3398</v>
      </c>
      <c r="M370" s="113">
        <v>1200000</v>
      </c>
      <c r="N370" s="113">
        <v>1448000</v>
      </c>
      <c r="O370" s="189" t="s">
        <v>10762</v>
      </c>
      <c r="P370" s="53" t="s">
        <v>11279</v>
      </c>
      <c r="Q370" s="53" t="s">
        <v>1612</v>
      </c>
      <c r="R370" s="53" t="s">
        <v>11280</v>
      </c>
      <c r="U370" s="29" t="s">
        <v>491</v>
      </c>
    </row>
    <row r="371" spans="1:22" ht="75" x14ac:dyDescent="0.25">
      <c r="A371" s="56">
        <v>43243</v>
      </c>
      <c r="B371" s="29" t="s">
        <v>328</v>
      </c>
      <c r="C371" s="29" t="s">
        <v>603</v>
      </c>
      <c r="D371" s="29" t="s">
        <v>11282</v>
      </c>
      <c r="E371" s="29" t="s">
        <v>588</v>
      </c>
      <c r="F371" s="29" t="s">
        <v>11283</v>
      </c>
      <c r="G371" s="29" t="s">
        <v>9375</v>
      </c>
      <c r="H371" s="29" t="s">
        <v>905</v>
      </c>
      <c r="I371" s="29" t="s">
        <v>8144</v>
      </c>
      <c r="J371" s="29" t="s">
        <v>899</v>
      </c>
      <c r="L371" s="182">
        <v>2</v>
      </c>
      <c r="M371" s="113">
        <v>250000</v>
      </c>
      <c r="N371" s="113">
        <v>250000</v>
      </c>
      <c r="O371" s="189" t="s">
        <v>4533</v>
      </c>
      <c r="P371" s="53" t="s">
        <v>11284</v>
      </c>
      <c r="Q371" s="53" t="s">
        <v>1939</v>
      </c>
      <c r="R371" s="53" t="s">
        <v>11285</v>
      </c>
      <c r="U371" s="29" t="s">
        <v>491</v>
      </c>
    </row>
    <row r="372" spans="1:22" ht="105" x14ac:dyDescent="0.25">
      <c r="A372" s="56">
        <v>43244</v>
      </c>
      <c r="B372" s="29" t="s">
        <v>569</v>
      </c>
      <c r="C372" s="29" t="s">
        <v>899</v>
      </c>
      <c r="D372" s="29" t="s">
        <v>11286</v>
      </c>
      <c r="E372" s="29" t="s">
        <v>2200</v>
      </c>
      <c r="F372" s="29" t="s">
        <v>11287</v>
      </c>
      <c r="G372" s="29" t="s">
        <v>11288</v>
      </c>
      <c r="H372" s="29" t="s">
        <v>607</v>
      </c>
      <c r="I372" s="29" t="s">
        <v>3649</v>
      </c>
      <c r="L372" s="182">
        <v>4</v>
      </c>
      <c r="M372" s="113">
        <v>600000</v>
      </c>
      <c r="N372" s="113">
        <v>980000</v>
      </c>
      <c r="O372" s="189" t="s">
        <v>10763</v>
      </c>
      <c r="P372" s="53" t="s">
        <v>11402</v>
      </c>
      <c r="Q372" s="53" t="s">
        <v>1939</v>
      </c>
      <c r="R372" s="53" t="s">
        <v>11403</v>
      </c>
      <c r="U372" s="29" t="s">
        <v>633</v>
      </c>
    </row>
    <row r="373" spans="1:22" ht="120" x14ac:dyDescent="0.25">
      <c r="A373" s="56">
        <v>43244</v>
      </c>
      <c r="B373" s="29" t="s">
        <v>569</v>
      </c>
      <c r="C373" s="29" t="s">
        <v>899</v>
      </c>
      <c r="D373" s="29" t="s">
        <v>625</v>
      </c>
      <c r="E373" s="29" t="s">
        <v>2200</v>
      </c>
      <c r="F373" s="29" t="s">
        <v>11289</v>
      </c>
      <c r="G373" s="29" t="s">
        <v>11290</v>
      </c>
      <c r="H373" s="29" t="s">
        <v>886</v>
      </c>
      <c r="I373" s="29" t="s">
        <v>2054</v>
      </c>
      <c r="J373" s="29" t="s">
        <v>899</v>
      </c>
      <c r="L373" s="182">
        <v>2</v>
      </c>
      <c r="M373" s="113">
        <v>350000</v>
      </c>
      <c r="O373" s="189" t="s">
        <v>10766</v>
      </c>
      <c r="P373" s="53" t="s">
        <v>11291</v>
      </c>
      <c r="Q373" s="53" t="s">
        <v>1939</v>
      </c>
      <c r="R373" s="121" t="s">
        <v>11292</v>
      </c>
      <c r="S373" s="53" t="s">
        <v>11404</v>
      </c>
      <c r="U373" s="29" t="s">
        <v>633</v>
      </c>
      <c r="V373" s="146" t="s">
        <v>11293</v>
      </c>
    </row>
    <row r="374" spans="1:22" ht="30" x14ac:dyDescent="0.25">
      <c r="A374" s="56">
        <v>43244</v>
      </c>
      <c r="B374" s="29" t="s">
        <v>328</v>
      </c>
      <c r="C374" s="29" t="s">
        <v>899</v>
      </c>
      <c r="D374" s="29" t="s">
        <v>649</v>
      </c>
      <c r="E374" s="29" t="s">
        <v>588</v>
      </c>
      <c r="F374" s="29" t="s">
        <v>11294</v>
      </c>
      <c r="G374" s="29" t="s">
        <v>11295</v>
      </c>
      <c r="H374" s="29" t="s">
        <v>607</v>
      </c>
      <c r="I374" s="29" t="s">
        <v>2054</v>
      </c>
      <c r="J374" s="29" t="s">
        <v>899</v>
      </c>
      <c r="M374" s="113">
        <v>800000</v>
      </c>
      <c r="O374" s="189" t="s">
        <v>7564</v>
      </c>
      <c r="P374" s="53" t="s">
        <v>11296</v>
      </c>
      <c r="Q374" s="53" t="s">
        <v>592</v>
      </c>
      <c r="R374" s="53" t="s">
        <v>11297</v>
      </c>
      <c r="U374" s="29" t="s">
        <v>633</v>
      </c>
    </row>
    <row r="375" spans="1:22" ht="75" x14ac:dyDescent="0.25">
      <c r="A375" s="56">
        <v>43245</v>
      </c>
      <c r="B375" s="29" t="s">
        <v>5360</v>
      </c>
      <c r="C375" s="29" t="s">
        <v>899</v>
      </c>
      <c r="D375" s="29" t="s">
        <v>625</v>
      </c>
      <c r="E375" s="29" t="s">
        <v>2200</v>
      </c>
      <c r="F375" s="29" t="s">
        <v>11298</v>
      </c>
      <c r="G375" s="29" t="s">
        <v>11299</v>
      </c>
      <c r="H375" s="29" t="s">
        <v>886</v>
      </c>
      <c r="I375" s="29" t="s">
        <v>3672</v>
      </c>
      <c r="J375" s="29" t="s">
        <v>899</v>
      </c>
      <c r="M375" s="113">
        <v>1500000</v>
      </c>
      <c r="O375" s="189" t="s">
        <v>10763</v>
      </c>
      <c r="P375" s="53" t="s">
        <v>11300</v>
      </c>
      <c r="Q375" s="53" t="s">
        <v>29</v>
      </c>
      <c r="R375" s="53" t="s">
        <v>11405</v>
      </c>
      <c r="U375" s="29" t="s">
        <v>633</v>
      </c>
    </row>
    <row r="376" spans="1:22" ht="30" x14ac:dyDescent="0.25">
      <c r="A376" s="56">
        <v>43245</v>
      </c>
      <c r="B376" s="29" t="s">
        <v>9240</v>
      </c>
      <c r="C376" s="29" t="s">
        <v>603</v>
      </c>
      <c r="D376" s="29" t="s">
        <v>9241</v>
      </c>
      <c r="E376" s="29" t="s">
        <v>2200</v>
      </c>
      <c r="F376" s="29" t="s">
        <v>8806</v>
      </c>
      <c r="G376" s="29" t="s">
        <v>7830</v>
      </c>
      <c r="H376" s="29" t="s">
        <v>905</v>
      </c>
      <c r="I376" s="29" t="s">
        <v>11301</v>
      </c>
      <c r="J376" s="29" t="s">
        <v>603</v>
      </c>
      <c r="L376" s="182">
        <v>6</v>
      </c>
      <c r="M376" s="113">
        <v>491000</v>
      </c>
      <c r="O376" s="189" t="s">
        <v>10762</v>
      </c>
      <c r="P376" s="53" t="s">
        <v>11302</v>
      </c>
      <c r="Q376" s="53" t="s">
        <v>592</v>
      </c>
      <c r="R376" s="53" t="s">
        <v>37</v>
      </c>
      <c r="U376" s="29" t="s">
        <v>633</v>
      </c>
    </row>
    <row r="377" spans="1:22" ht="135" x14ac:dyDescent="0.25">
      <c r="A377" s="56">
        <v>43245</v>
      </c>
      <c r="B377" s="29" t="s">
        <v>569</v>
      </c>
      <c r="C377" s="29" t="s">
        <v>899</v>
      </c>
      <c r="D377" s="29" t="s">
        <v>624</v>
      </c>
      <c r="E377" s="29" t="s">
        <v>2200</v>
      </c>
      <c r="F377" s="29" t="s">
        <v>11303</v>
      </c>
      <c r="G377" s="29" t="s">
        <v>11304</v>
      </c>
      <c r="H377" s="29" t="s">
        <v>607</v>
      </c>
      <c r="I377" s="29" t="s">
        <v>11305</v>
      </c>
      <c r="J377" s="29" t="s">
        <v>899</v>
      </c>
      <c r="L377" s="182">
        <v>2</v>
      </c>
      <c r="M377" s="113">
        <v>895000</v>
      </c>
      <c r="O377" s="189" t="s">
        <v>10766</v>
      </c>
      <c r="P377" s="53" t="s">
        <v>11306</v>
      </c>
      <c r="Q377" s="53" t="s">
        <v>1939</v>
      </c>
      <c r="R377" s="53" t="s">
        <v>11307</v>
      </c>
      <c r="U377" s="29" t="s">
        <v>633</v>
      </c>
    </row>
    <row r="378" spans="1:22" ht="150" x14ac:dyDescent="0.25">
      <c r="A378" s="56">
        <v>43245</v>
      </c>
      <c r="B378" s="29" t="s">
        <v>328</v>
      </c>
      <c r="C378" s="29" t="s">
        <v>603</v>
      </c>
      <c r="D378" s="29" t="s">
        <v>8941</v>
      </c>
      <c r="E378" s="29" t="s">
        <v>588</v>
      </c>
      <c r="F378" s="29" t="s">
        <v>10317</v>
      </c>
      <c r="G378" s="29" t="s">
        <v>10318</v>
      </c>
      <c r="H378" s="29" t="s">
        <v>905</v>
      </c>
      <c r="I378" s="29" t="s">
        <v>10319</v>
      </c>
      <c r="J378" s="29" t="s">
        <v>899</v>
      </c>
      <c r="L378" s="182">
        <v>3</v>
      </c>
      <c r="M378" s="113">
        <v>273700</v>
      </c>
      <c r="N378" s="113">
        <v>301070</v>
      </c>
      <c r="O378" s="189" t="s">
        <v>4533</v>
      </c>
      <c r="P378" s="53" t="s">
        <v>11406</v>
      </c>
      <c r="Q378" s="53" t="s">
        <v>1939</v>
      </c>
      <c r="R378" s="53" t="s">
        <v>11308</v>
      </c>
      <c r="U378" s="29" t="s">
        <v>633</v>
      </c>
    </row>
    <row r="379" spans="1:22" ht="45" x14ac:dyDescent="0.25">
      <c r="A379" s="56">
        <v>43245</v>
      </c>
      <c r="B379" s="29" t="s">
        <v>569</v>
      </c>
      <c r="C379" s="29" t="s">
        <v>899</v>
      </c>
      <c r="D379" s="29" t="s">
        <v>625</v>
      </c>
      <c r="E379" s="29" t="s">
        <v>588</v>
      </c>
      <c r="F379" s="29" t="s">
        <v>11240</v>
      </c>
      <c r="H379" s="29" t="s">
        <v>607</v>
      </c>
      <c r="I379" s="29" t="s">
        <v>3462</v>
      </c>
      <c r="J379" s="29" t="s">
        <v>899</v>
      </c>
      <c r="N379" s="113">
        <v>3125000</v>
      </c>
      <c r="O379" s="189" t="s">
        <v>560</v>
      </c>
      <c r="P379" s="53" t="s">
        <v>11389</v>
      </c>
      <c r="Q379" s="53" t="s">
        <v>1939</v>
      </c>
      <c r="R379" s="53" t="s">
        <v>11390</v>
      </c>
      <c r="U379" s="29" t="s">
        <v>491</v>
      </c>
    </row>
    <row r="380" spans="1:22" ht="45" x14ac:dyDescent="0.25">
      <c r="A380" s="56">
        <v>43249</v>
      </c>
      <c r="B380" s="29" t="s">
        <v>328</v>
      </c>
      <c r="C380" s="29" t="s">
        <v>603</v>
      </c>
      <c r="D380" s="29" t="s">
        <v>7595</v>
      </c>
      <c r="E380" s="29" t="s">
        <v>588</v>
      </c>
      <c r="F380" s="29" t="s">
        <v>10780</v>
      </c>
      <c r="G380" s="29" t="s">
        <v>9461</v>
      </c>
      <c r="H380" s="29" t="s">
        <v>607</v>
      </c>
      <c r="J380" s="29" t="s">
        <v>899</v>
      </c>
      <c r="L380" s="182">
        <v>2</v>
      </c>
      <c r="M380" s="113">
        <v>1916000</v>
      </c>
      <c r="N380" s="113">
        <v>3065600</v>
      </c>
      <c r="O380" s="189" t="s">
        <v>560</v>
      </c>
      <c r="P380" s="53" t="s">
        <v>11344</v>
      </c>
      <c r="Q380" s="53" t="s">
        <v>592</v>
      </c>
      <c r="R380" s="53" t="s">
        <v>11345</v>
      </c>
      <c r="U380" s="29" t="s">
        <v>1327</v>
      </c>
    </row>
    <row r="381" spans="1:22" ht="45" x14ac:dyDescent="0.25">
      <c r="A381" s="56">
        <v>43249</v>
      </c>
      <c r="B381" s="29" t="s">
        <v>5360</v>
      </c>
      <c r="C381" s="29" t="s">
        <v>899</v>
      </c>
      <c r="D381" s="29" t="s">
        <v>732</v>
      </c>
      <c r="E381" s="29" t="s">
        <v>588</v>
      </c>
      <c r="F381" s="29" t="s">
        <v>11346</v>
      </c>
      <c r="G381" s="29" t="s">
        <v>11347</v>
      </c>
      <c r="H381" s="29" t="s">
        <v>607</v>
      </c>
      <c r="I381" s="29" t="s">
        <v>6150</v>
      </c>
      <c r="J381" s="29" t="s">
        <v>899</v>
      </c>
      <c r="L381" s="182">
        <v>2</v>
      </c>
      <c r="M381" s="113">
        <v>850000</v>
      </c>
      <c r="N381" s="113">
        <v>1360000</v>
      </c>
      <c r="O381" s="189" t="s">
        <v>10763</v>
      </c>
      <c r="P381" s="53" t="s">
        <v>11348</v>
      </c>
      <c r="Q381" s="53" t="s">
        <v>1939</v>
      </c>
      <c r="R381" s="53" t="s">
        <v>11410</v>
      </c>
      <c r="U381" s="29" t="s">
        <v>1327</v>
      </c>
    </row>
    <row r="382" spans="1:22" ht="30" x14ac:dyDescent="0.25">
      <c r="A382" s="56">
        <v>43249</v>
      </c>
      <c r="B382" s="29" t="s">
        <v>643</v>
      </c>
      <c r="C382" s="29" t="s">
        <v>644</v>
      </c>
      <c r="D382" s="29" t="s">
        <v>645</v>
      </c>
      <c r="E382" s="29" t="s">
        <v>588</v>
      </c>
      <c r="F382" s="29" t="s">
        <v>8099</v>
      </c>
      <c r="G382" s="29" t="s">
        <v>8941</v>
      </c>
      <c r="H382" s="29" t="s">
        <v>10832</v>
      </c>
      <c r="I382" s="29" t="s">
        <v>9713</v>
      </c>
      <c r="J382" s="29" t="s">
        <v>644</v>
      </c>
      <c r="L382" s="182">
        <v>2</v>
      </c>
      <c r="N382" s="113">
        <v>4600000</v>
      </c>
      <c r="O382" s="189" t="s">
        <v>560</v>
      </c>
      <c r="P382" s="53" t="s">
        <v>11349</v>
      </c>
      <c r="Q382" s="53" t="s">
        <v>592</v>
      </c>
      <c r="R382" s="53" t="s">
        <v>11350</v>
      </c>
      <c r="U382" s="29" t="s">
        <v>1327</v>
      </c>
    </row>
    <row r="383" spans="1:22" ht="30" x14ac:dyDescent="0.25">
      <c r="A383" s="56">
        <v>43249</v>
      </c>
      <c r="B383" s="29" t="s">
        <v>328</v>
      </c>
      <c r="C383" s="29" t="s">
        <v>603</v>
      </c>
      <c r="D383" s="29" t="s">
        <v>649</v>
      </c>
      <c r="E383" s="29" t="s">
        <v>588</v>
      </c>
      <c r="F383" s="29" t="s">
        <v>115</v>
      </c>
      <c r="G383" s="29" t="s">
        <v>10669</v>
      </c>
      <c r="H383" s="29" t="s">
        <v>10831</v>
      </c>
      <c r="J383" s="29" t="s">
        <v>8194</v>
      </c>
      <c r="L383" s="182">
        <v>10</v>
      </c>
      <c r="M383" s="113">
        <v>460000</v>
      </c>
      <c r="N383" s="113">
        <v>736000</v>
      </c>
      <c r="O383" s="189" t="s">
        <v>7124</v>
      </c>
      <c r="P383" s="53" t="s">
        <v>11351</v>
      </c>
      <c r="Q383" s="53" t="s">
        <v>1939</v>
      </c>
      <c r="R383" s="53" t="s">
        <v>11352</v>
      </c>
      <c r="U383" s="29" t="s">
        <v>1327</v>
      </c>
    </row>
    <row r="384" spans="1:22" ht="30" x14ac:dyDescent="0.25">
      <c r="A384" s="56">
        <v>43249</v>
      </c>
      <c r="B384" s="29" t="s">
        <v>328</v>
      </c>
      <c r="C384" s="29" t="s">
        <v>603</v>
      </c>
      <c r="D384" s="29" t="s">
        <v>649</v>
      </c>
      <c r="E384" s="29" t="s">
        <v>588</v>
      </c>
      <c r="F384" s="29" t="s">
        <v>11355</v>
      </c>
      <c r="G384" s="29" t="s">
        <v>9002</v>
      </c>
      <c r="H384" s="29" t="s">
        <v>607</v>
      </c>
      <c r="I384" s="29" t="s">
        <v>5888</v>
      </c>
      <c r="J384" s="29" t="s">
        <v>899</v>
      </c>
      <c r="L384" s="182">
        <v>2</v>
      </c>
      <c r="M384" s="113">
        <v>3200000</v>
      </c>
      <c r="N384" s="113">
        <v>4720000</v>
      </c>
      <c r="O384" s="189" t="s">
        <v>560</v>
      </c>
      <c r="P384" s="130" t="s">
        <v>11354</v>
      </c>
      <c r="Q384" s="53" t="s">
        <v>29</v>
      </c>
      <c r="R384" s="53" t="s">
        <v>11353</v>
      </c>
      <c r="U384" s="29" t="s">
        <v>1327</v>
      </c>
    </row>
    <row r="385" spans="1:23" ht="45" x14ac:dyDescent="0.25">
      <c r="A385" s="56">
        <v>43249</v>
      </c>
      <c r="B385" s="29" t="s">
        <v>9240</v>
      </c>
      <c r="C385" s="29" t="s">
        <v>603</v>
      </c>
      <c r="D385" s="29" t="s">
        <v>9241</v>
      </c>
      <c r="E385" s="29" t="s">
        <v>588</v>
      </c>
      <c r="F385" s="29" t="s">
        <v>11356</v>
      </c>
      <c r="G385" s="29" t="s">
        <v>9000</v>
      </c>
      <c r="H385" s="29" t="s">
        <v>10830</v>
      </c>
      <c r="I385" s="29" t="s">
        <v>11357</v>
      </c>
      <c r="J385" s="29" t="s">
        <v>608</v>
      </c>
      <c r="M385" s="113">
        <v>1800000</v>
      </c>
      <c r="N385" s="113">
        <v>3096000</v>
      </c>
      <c r="O385" s="189" t="s">
        <v>4533</v>
      </c>
      <c r="P385" s="53" t="s">
        <v>11411</v>
      </c>
      <c r="Q385" s="53" t="s">
        <v>1939</v>
      </c>
      <c r="R385" s="53" t="s">
        <v>11412</v>
      </c>
      <c r="U385" s="29" t="s">
        <v>11358</v>
      </c>
    </row>
    <row r="386" spans="1:23" ht="60" x14ac:dyDescent="0.25">
      <c r="A386" s="56">
        <v>43249</v>
      </c>
      <c r="B386" s="29" t="s">
        <v>328</v>
      </c>
      <c r="C386" s="29" t="s">
        <v>603</v>
      </c>
      <c r="D386" s="29" t="s">
        <v>757</v>
      </c>
      <c r="E386" s="29" t="s">
        <v>588</v>
      </c>
      <c r="F386" s="29" t="s">
        <v>11359</v>
      </c>
      <c r="G386" s="29" t="s">
        <v>7714</v>
      </c>
      <c r="H386" s="29" t="s">
        <v>607</v>
      </c>
      <c r="J386" s="29" t="s">
        <v>3751</v>
      </c>
      <c r="L386" s="182">
        <v>9</v>
      </c>
      <c r="M386" s="113">
        <v>225000</v>
      </c>
      <c r="N386" s="113">
        <v>472500</v>
      </c>
      <c r="O386" s="189" t="s">
        <v>4533</v>
      </c>
      <c r="P386" s="53" t="s">
        <v>11413</v>
      </c>
      <c r="Q386" s="53" t="s">
        <v>1939</v>
      </c>
      <c r="R386" s="53" t="s">
        <v>11360</v>
      </c>
      <c r="U386" s="29" t="s">
        <v>1327</v>
      </c>
    </row>
    <row r="387" spans="1:23" ht="90" x14ac:dyDescent="0.25">
      <c r="A387" s="56">
        <v>43250</v>
      </c>
      <c r="B387" s="29" t="s">
        <v>328</v>
      </c>
      <c r="C387" s="29" t="s">
        <v>603</v>
      </c>
      <c r="D387" s="29" t="s">
        <v>757</v>
      </c>
      <c r="E387" s="29" t="s">
        <v>11363</v>
      </c>
      <c r="F387" s="29" t="s">
        <v>6046</v>
      </c>
      <c r="G387" s="29" t="s">
        <v>11048</v>
      </c>
      <c r="H387" s="29" t="s">
        <v>607</v>
      </c>
      <c r="J387" s="29" t="s">
        <v>3751</v>
      </c>
      <c r="L387" s="182">
        <v>3</v>
      </c>
      <c r="M387" s="113">
        <v>152000</v>
      </c>
      <c r="N387" s="113">
        <v>273600</v>
      </c>
      <c r="O387" s="189" t="s">
        <v>4533</v>
      </c>
      <c r="P387" s="53" t="s">
        <v>11362</v>
      </c>
      <c r="Q387" s="53" t="s">
        <v>1939</v>
      </c>
      <c r="R387" s="53" t="s">
        <v>11361</v>
      </c>
      <c r="U387" s="29" t="s">
        <v>1327</v>
      </c>
    </row>
    <row r="388" spans="1:23" ht="30" x14ac:dyDescent="0.25">
      <c r="A388" s="56">
        <v>43250</v>
      </c>
      <c r="B388" s="29" t="s">
        <v>569</v>
      </c>
      <c r="C388" s="29" t="s">
        <v>899</v>
      </c>
      <c r="D388" s="29" t="s">
        <v>625</v>
      </c>
      <c r="E388" s="29" t="s">
        <v>588</v>
      </c>
      <c r="F388" s="29" t="s">
        <v>11364</v>
      </c>
      <c r="G388" s="29" t="s">
        <v>11365</v>
      </c>
      <c r="H388" s="29" t="s">
        <v>905</v>
      </c>
      <c r="I388" s="29" t="s">
        <v>11366</v>
      </c>
      <c r="J388" s="29" t="s">
        <v>899</v>
      </c>
      <c r="L388" s="182">
        <v>2</v>
      </c>
      <c r="M388" s="113">
        <v>270500</v>
      </c>
      <c r="N388" s="113">
        <v>541450</v>
      </c>
      <c r="O388" s="189" t="s">
        <v>10766</v>
      </c>
      <c r="P388" s="53" t="s">
        <v>11367</v>
      </c>
      <c r="Q388" s="53" t="s">
        <v>620</v>
      </c>
      <c r="R388" s="53" t="s">
        <v>11368</v>
      </c>
      <c r="U388" s="29" t="s">
        <v>1327</v>
      </c>
    </row>
    <row r="389" spans="1:23" ht="30" x14ac:dyDescent="0.25">
      <c r="A389" s="56">
        <v>43250</v>
      </c>
      <c r="B389" s="29" t="s">
        <v>569</v>
      </c>
      <c r="C389" s="29" t="s">
        <v>899</v>
      </c>
      <c r="D389" s="29" t="s">
        <v>625</v>
      </c>
      <c r="E389" s="29" t="s">
        <v>588</v>
      </c>
      <c r="F389" s="29" t="s">
        <v>11369</v>
      </c>
      <c r="G389" s="29" t="s">
        <v>8267</v>
      </c>
      <c r="H389" s="29" t="s">
        <v>607</v>
      </c>
      <c r="I389" s="29" t="s">
        <v>2054</v>
      </c>
      <c r="J389" s="29" t="s">
        <v>899</v>
      </c>
      <c r="M389" s="113">
        <v>2500000</v>
      </c>
      <c r="N389" s="113">
        <v>3500000</v>
      </c>
      <c r="O389" s="189" t="s">
        <v>560</v>
      </c>
      <c r="P389" s="53" t="s">
        <v>11370</v>
      </c>
      <c r="Q389" s="53" t="s">
        <v>592</v>
      </c>
      <c r="R389" s="53" t="s">
        <v>11371</v>
      </c>
      <c r="U389" s="29" t="s">
        <v>1327</v>
      </c>
    </row>
    <row r="390" spans="1:23" ht="135" x14ac:dyDescent="0.25">
      <c r="A390" s="56">
        <v>43250</v>
      </c>
      <c r="B390" s="29" t="s">
        <v>643</v>
      </c>
      <c r="C390" s="29" t="s">
        <v>644</v>
      </c>
      <c r="D390" s="29" t="s">
        <v>645</v>
      </c>
      <c r="E390" s="29" t="s">
        <v>588</v>
      </c>
      <c r="F390" s="29" t="s">
        <v>11386</v>
      </c>
      <c r="G390" s="29" t="s">
        <v>11386</v>
      </c>
      <c r="H390" s="29" t="s">
        <v>905</v>
      </c>
      <c r="J390" s="29" t="s">
        <v>3374</v>
      </c>
      <c r="L390" s="182">
        <v>9</v>
      </c>
      <c r="M390" s="113">
        <v>2763902</v>
      </c>
      <c r="N390" s="113">
        <v>3300682</v>
      </c>
      <c r="O390" s="189" t="s">
        <v>560</v>
      </c>
      <c r="P390" s="53" t="s">
        <v>11387</v>
      </c>
      <c r="Q390" s="53" t="s">
        <v>620</v>
      </c>
      <c r="R390" s="53" t="s">
        <v>11388</v>
      </c>
      <c r="U390" s="29" t="s">
        <v>1327</v>
      </c>
    </row>
    <row r="391" spans="1:23" ht="90" x14ac:dyDescent="0.25">
      <c r="A391" s="56">
        <v>43251</v>
      </c>
      <c r="B391" s="29" t="s">
        <v>328</v>
      </c>
      <c r="C391" s="29" t="s">
        <v>603</v>
      </c>
      <c r="D391" s="29" t="s">
        <v>649</v>
      </c>
      <c r="E391" s="29" t="s">
        <v>588</v>
      </c>
      <c r="F391" s="29" t="s">
        <v>11372</v>
      </c>
      <c r="G391" s="29" t="s">
        <v>11527</v>
      </c>
      <c r="H391" s="29" t="s">
        <v>5321</v>
      </c>
      <c r="I391" s="29" t="s">
        <v>3929</v>
      </c>
      <c r="J391" s="29" t="s">
        <v>899</v>
      </c>
      <c r="L391" s="182">
        <v>3</v>
      </c>
      <c r="M391" s="113">
        <v>950000</v>
      </c>
      <c r="N391" s="113">
        <v>1615000</v>
      </c>
      <c r="O391" s="189" t="s">
        <v>10764</v>
      </c>
      <c r="P391" s="53" t="s">
        <v>11414</v>
      </c>
      <c r="Q391" s="53" t="s">
        <v>1612</v>
      </c>
      <c r="R391" s="53" t="s">
        <v>11528</v>
      </c>
      <c r="U391" s="29" t="s">
        <v>1327</v>
      </c>
    </row>
    <row r="392" spans="1:23" ht="30" x14ac:dyDescent="0.25">
      <c r="A392" s="56">
        <v>43251</v>
      </c>
      <c r="B392" s="29" t="s">
        <v>9240</v>
      </c>
      <c r="C392" s="29" t="s">
        <v>603</v>
      </c>
      <c r="D392" s="29" t="s">
        <v>9849</v>
      </c>
      <c r="E392" s="29" t="s">
        <v>588</v>
      </c>
      <c r="F392" s="29" t="s">
        <v>10404</v>
      </c>
      <c r="G392" s="29" t="s">
        <v>11373</v>
      </c>
      <c r="H392" s="29" t="s">
        <v>607</v>
      </c>
      <c r="I392" s="29" t="s">
        <v>11374</v>
      </c>
      <c r="J392" s="29" t="s">
        <v>5402</v>
      </c>
      <c r="M392" s="113">
        <v>250100</v>
      </c>
      <c r="N392" s="113">
        <v>501600</v>
      </c>
      <c r="O392" s="189" t="s">
        <v>10766</v>
      </c>
      <c r="P392" s="53" t="s">
        <v>11375</v>
      </c>
      <c r="Q392" s="53" t="s">
        <v>1939</v>
      </c>
      <c r="R392" s="53" t="s">
        <v>11376</v>
      </c>
      <c r="U392" s="29" t="s">
        <v>1327</v>
      </c>
    </row>
    <row r="393" spans="1:23" ht="105" x14ac:dyDescent="0.25">
      <c r="A393" s="56">
        <v>43251</v>
      </c>
      <c r="B393" s="29" t="s">
        <v>328</v>
      </c>
      <c r="C393" s="29" t="s">
        <v>603</v>
      </c>
      <c r="D393" s="29" t="s">
        <v>649</v>
      </c>
      <c r="E393" s="29" t="s">
        <v>588</v>
      </c>
      <c r="F393" s="29" t="s">
        <v>11381</v>
      </c>
      <c r="G393" s="29" t="s">
        <v>11380</v>
      </c>
      <c r="H393" s="29" t="s">
        <v>10829</v>
      </c>
      <c r="I393" s="29" t="s">
        <v>11379</v>
      </c>
      <c r="J393" s="29" t="s">
        <v>6575</v>
      </c>
      <c r="L393" s="182">
        <v>4</v>
      </c>
      <c r="M393" s="113">
        <v>316500</v>
      </c>
      <c r="N393" s="113">
        <v>400000</v>
      </c>
      <c r="O393" s="189" t="s">
        <v>4533</v>
      </c>
      <c r="P393" s="53" t="s">
        <v>11378</v>
      </c>
      <c r="Q393" s="53" t="s">
        <v>29</v>
      </c>
      <c r="R393" s="53" t="s">
        <v>11377</v>
      </c>
      <c r="U393" s="29" t="s">
        <v>1327</v>
      </c>
    </row>
    <row r="394" spans="1:23" s="146" customFormat="1" ht="60" x14ac:dyDescent="0.25">
      <c r="A394" s="144">
        <v>43251</v>
      </c>
      <c r="B394" s="146" t="s">
        <v>643</v>
      </c>
      <c r="C394" s="146" t="s">
        <v>644</v>
      </c>
      <c r="D394" s="146" t="s">
        <v>645</v>
      </c>
      <c r="E394" s="146" t="s">
        <v>588</v>
      </c>
      <c r="F394" s="146" t="s">
        <v>11382</v>
      </c>
      <c r="G394" s="146" t="s">
        <v>11383</v>
      </c>
      <c r="H394" s="146" t="s">
        <v>607</v>
      </c>
      <c r="I394" s="146" t="s">
        <v>5195</v>
      </c>
      <c r="J394" s="146" t="s">
        <v>644</v>
      </c>
      <c r="K394" s="217"/>
      <c r="L394" s="183">
        <v>3</v>
      </c>
      <c r="M394" s="187">
        <v>750000</v>
      </c>
      <c r="N394" s="187">
        <v>1500000</v>
      </c>
      <c r="O394" s="191" t="s">
        <v>4533</v>
      </c>
      <c r="P394" s="149" t="s">
        <v>11385</v>
      </c>
      <c r="Q394" s="149" t="s">
        <v>1939</v>
      </c>
      <c r="R394" s="149" t="s">
        <v>11384</v>
      </c>
      <c r="S394" s="149"/>
      <c r="U394" s="146" t="s">
        <v>1327</v>
      </c>
      <c r="W394" s="149"/>
    </row>
    <row r="395" spans="1:23" ht="45" x14ac:dyDescent="0.25">
      <c r="A395" s="56">
        <v>43252</v>
      </c>
      <c r="B395" s="29" t="s">
        <v>569</v>
      </c>
      <c r="C395" s="29" t="s">
        <v>899</v>
      </c>
      <c r="D395" s="29" t="s">
        <v>625</v>
      </c>
      <c r="E395" s="29" t="s">
        <v>588</v>
      </c>
      <c r="F395" s="29" t="s">
        <v>9002</v>
      </c>
      <c r="G395" s="29" t="s">
        <v>4818</v>
      </c>
      <c r="H395" s="29" t="s">
        <v>905</v>
      </c>
      <c r="I395" s="29" t="s">
        <v>11440</v>
      </c>
      <c r="J395" s="29" t="s">
        <v>899</v>
      </c>
      <c r="M395" s="113">
        <v>280500</v>
      </c>
      <c r="N395" s="113">
        <v>450000</v>
      </c>
      <c r="O395" s="189" t="s">
        <v>10762</v>
      </c>
      <c r="P395" s="53" t="s">
        <v>11441</v>
      </c>
      <c r="Q395" s="53" t="s">
        <v>1939</v>
      </c>
      <c r="R395" s="53" t="s">
        <v>11442</v>
      </c>
      <c r="U395" s="29" t="s">
        <v>1327</v>
      </c>
    </row>
    <row r="396" spans="1:23" ht="60" x14ac:dyDescent="0.25">
      <c r="A396" s="56">
        <v>43252</v>
      </c>
      <c r="B396" s="29" t="s">
        <v>569</v>
      </c>
      <c r="C396" s="29" t="s">
        <v>899</v>
      </c>
      <c r="D396" s="29" t="s">
        <v>625</v>
      </c>
      <c r="E396" s="29" t="s">
        <v>588</v>
      </c>
      <c r="F396" s="29" t="s">
        <v>8780</v>
      </c>
      <c r="G396" s="29" t="s">
        <v>11444</v>
      </c>
      <c r="H396" s="29" t="s">
        <v>607</v>
      </c>
      <c r="I396" s="29" t="s">
        <v>3649</v>
      </c>
      <c r="J396" s="29" t="s">
        <v>899</v>
      </c>
      <c r="M396" s="113">
        <v>2200000</v>
      </c>
      <c r="N396" s="113">
        <v>3960000</v>
      </c>
      <c r="O396" s="189" t="s">
        <v>560</v>
      </c>
      <c r="P396" s="53" t="s">
        <v>11688</v>
      </c>
      <c r="Q396" s="53" t="s">
        <v>29</v>
      </c>
      <c r="R396" s="53" t="s">
        <v>11443</v>
      </c>
      <c r="U396" s="29" t="s">
        <v>1327</v>
      </c>
    </row>
    <row r="397" spans="1:23" ht="30" x14ac:dyDescent="0.25">
      <c r="A397" s="56">
        <v>43252</v>
      </c>
      <c r="B397" s="29" t="s">
        <v>569</v>
      </c>
      <c r="C397" s="29" t="s">
        <v>899</v>
      </c>
      <c r="D397" s="29" t="s">
        <v>611</v>
      </c>
      <c r="E397" s="29" t="s">
        <v>588</v>
      </c>
      <c r="F397" s="29" t="s">
        <v>11445</v>
      </c>
      <c r="G397" s="29" t="s">
        <v>11446</v>
      </c>
      <c r="H397" s="29" t="s">
        <v>607</v>
      </c>
      <c r="I397" s="29" t="s">
        <v>2054</v>
      </c>
      <c r="J397" s="29" t="s">
        <v>899</v>
      </c>
      <c r="M397" s="113">
        <v>410000</v>
      </c>
      <c r="N397" s="113">
        <v>910000</v>
      </c>
      <c r="O397" s="189" t="s">
        <v>7564</v>
      </c>
      <c r="P397" s="53" t="s">
        <v>11447</v>
      </c>
      <c r="Q397" s="53" t="s">
        <v>592</v>
      </c>
      <c r="R397" s="53" t="s">
        <v>11448</v>
      </c>
      <c r="U397" s="29" t="s">
        <v>1327</v>
      </c>
    </row>
    <row r="398" spans="1:23" ht="15.75" x14ac:dyDescent="0.25">
      <c r="A398" s="56">
        <v>43255</v>
      </c>
      <c r="B398" s="29" t="s">
        <v>569</v>
      </c>
      <c r="C398" s="29" t="s">
        <v>899</v>
      </c>
      <c r="D398" s="29" t="s">
        <v>625</v>
      </c>
      <c r="E398" s="29" t="s">
        <v>588</v>
      </c>
      <c r="F398" s="29" t="s">
        <v>11449</v>
      </c>
      <c r="G398" s="29" t="s">
        <v>2282</v>
      </c>
      <c r="H398" s="29" t="s">
        <v>607</v>
      </c>
      <c r="I398" s="29" t="s">
        <v>2054</v>
      </c>
      <c r="J398" s="29" t="s">
        <v>899</v>
      </c>
      <c r="L398" s="182">
        <v>2</v>
      </c>
      <c r="M398" s="113">
        <v>2500000</v>
      </c>
      <c r="N398" s="113">
        <v>4000000</v>
      </c>
      <c r="O398" s="189" t="s">
        <v>10766</v>
      </c>
      <c r="P398" s="53" t="s">
        <v>11450</v>
      </c>
      <c r="Q398" s="53" t="s">
        <v>592</v>
      </c>
      <c r="R398" s="53" t="s">
        <v>11328</v>
      </c>
      <c r="U398" s="29" t="s">
        <v>1327</v>
      </c>
    </row>
    <row r="399" spans="1:23" ht="60" x14ac:dyDescent="0.25">
      <c r="A399" s="56">
        <v>43256</v>
      </c>
      <c r="B399" s="29" t="s">
        <v>328</v>
      </c>
      <c r="C399" s="29" t="s">
        <v>603</v>
      </c>
      <c r="D399" s="29" t="s">
        <v>7595</v>
      </c>
      <c r="E399" s="29" t="s">
        <v>588</v>
      </c>
      <c r="F399" s="29" t="s">
        <v>11453</v>
      </c>
      <c r="G399" s="29" t="s">
        <v>757</v>
      </c>
      <c r="H399" s="29" t="s">
        <v>607</v>
      </c>
      <c r="I399" s="29" t="s">
        <v>4449</v>
      </c>
      <c r="J399" s="29" t="s">
        <v>644</v>
      </c>
      <c r="L399" s="182">
        <v>10</v>
      </c>
      <c r="M399" s="113">
        <v>191000</v>
      </c>
      <c r="N399" s="113">
        <v>291500</v>
      </c>
      <c r="O399" s="189" t="s">
        <v>7124</v>
      </c>
      <c r="P399" s="53" t="s">
        <v>11452</v>
      </c>
      <c r="Q399" s="53" t="s">
        <v>1939</v>
      </c>
      <c r="R399" s="53" t="s">
        <v>11451</v>
      </c>
      <c r="U399" s="29" t="s">
        <v>1327</v>
      </c>
    </row>
    <row r="400" spans="1:23" ht="60" x14ac:dyDescent="0.25">
      <c r="A400" s="56">
        <v>43256</v>
      </c>
      <c r="B400" s="29" t="s">
        <v>328</v>
      </c>
      <c r="C400" s="29" t="s">
        <v>603</v>
      </c>
      <c r="D400" s="29" t="s">
        <v>649</v>
      </c>
      <c r="E400" s="29" t="s">
        <v>588</v>
      </c>
      <c r="F400" s="29" t="s">
        <v>11454</v>
      </c>
      <c r="G400" s="29" t="s">
        <v>11454</v>
      </c>
      <c r="H400" s="29" t="s">
        <v>905</v>
      </c>
      <c r="J400" s="29" t="s">
        <v>899</v>
      </c>
      <c r="L400" s="182">
        <v>9</v>
      </c>
      <c r="M400" s="113">
        <v>452000</v>
      </c>
      <c r="N400" s="113">
        <v>497200</v>
      </c>
      <c r="O400" s="189" t="s">
        <v>7124</v>
      </c>
      <c r="P400" s="53" t="s">
        <v>11456</v>
      </c>
      <c r="Q400" s="53" t="s">
        <v>1939</v>
      </c>
      <c r="R400" s="53" t="s">
        <v>11455</v>
      </c>
      <c r="U400" s="29" t="s">
        <v>1327</v>
      </c>
    </row>
    <row r="401" spans="1:21" ht="90" x14ac:dyDescent="0.25">
      <c r="A401" s="56">
        <v>43256</v>
      </c>
      <c r="B401" s="29" t="s">
        <v>328</v>
      </c>
      <c r="C401" s="29" t="s">
        <v>603</v>
      </c>
      <c r="D401" s="29" t="s">
        <v>649</v>
      </c>
      <c r="E401" s="29" t="s">
        <v>588</v>
      </c>
      <c r="F401" s="29" t="s">
        <v>11457</v>
      </c>
      <c r="G401" s="29" t="s">
        <v>11458</v>
      </c>
      <c r="H401" s="29" t="s">
        <v>607</v>
      </c>
      <c r="I401" s="29" t="s">
        <v>7662</v>
      </c>
      <c r="J401" s="29" t="s">
        <v>3533</v>
      </c>
      <c r="L401" s="182">
        <v>1</v>
      </c>
      <c r="M401" s="113">
        <v>225000</v>
      </c>
      <c r="N401" s="113">
        <v>325000</v>
      </c>
      <c r="O401" s="189" t="s">
        <v>4533</v>
      </c>
      <c r="P401" s="53" t="s">
        <v>11460</v>
      </c>
      <c r="Q401" s="53" t="s">
        <v>1939</v>
      </c>
      <c r="R401" s="53" t="s">
        <v>11459</v>
      </c>
      <c r="U401" s="29" t="s">
        <v>1327</v>
      </c>
    </row>
    <row r="402" spans="1:21" ht="15.75" x14ac:dyDescent="0.25">
      <c r="A402" s="56">
        <v>43257</v>
      </c>
      <c r="B402" s="29" t="s">
        <v>569</v>
      </c>
      <c r="C402" s="29" t="s">
        <v>899</v>
      </c>
      <c r="D402" s="29" t="s">
        <v>625</v>
      </c>
      <c r="E402" s="29" t="s">
        <v>588</v>
      </c>
      <c r="F402" s="29" t="s">
        <v>11461</v>
      </c>
      <c r="G402" s="29" t="s">
        <v>11462</v>
      </c>
      <c r="H402" s="29" t="s">
        <v>10831</v>
      </c>
      <c r="I402" s="29" t="s">
        <v>3649</v>
      </c>
      <c r="J402" s="29" t="s">
        <v>899</v>
      </c>
      <c r="M402" s="113">
        <v>1662600</v>
      </c>
      <c r="N402" s="113">
        <v>2462600</v>
      </c>
      <c r="O402" s="189" t="s">
        <v>560</v>
      </c>
      <c r="P402" s="53" t="s">
        <v>11463</v>
      </c>
      <c r="Q402" s="53" t="s">
        <v>1939</v>
      </c>
      <c r="R402" s="53" t="s">
        <v>11464</v>
      </c>
      <c r="U402" s="29" t="s">
        <v>1327</v>
      </c>
    </row>
    <row r="403" spans="1:21" ht="30" x14ac:dyDescent="0.25">
      <c r="A403" s="56">
        <v>43257</v>
      </c>
      <c r="B403" s="29" t="s">
        <v>569</v>
      </c>
      <c r="C403" s="29" t="s">
        <v>899</v>
      </c>
      <c r="D403" s="29" t="s">
        <v>11286</v>
      </c>
      <c r="E403" s="29" t="s">
        <v>588</v>
      </c>
      <c r="F403" s="29" t="s">
        <v>151</v>
      </c>
      <c r="G403" s="29" t="s">
        <v>11466</v>
      </c>
      <c r="H403" s="29" t="s">
        <v>607</v>
      </c>
      <c r="I403" s="29" t="s">
        <v>8058</v>
      </c>
      <c r="J403" s="29" t="s">
        <v>899</v>
      </c>
      <c r="L403" s="182">
        <v>2</v>
      </c>
      <c r="M403" s="113">
        <v>340000</v>
      </c>
      <c r="N403" s="113">
        <v>833000</v>
      </c>
      <c r="O403" s="189" t="s">
        <v>10766</v>
      </c>
      <c r="P403" s="53" t="s">
        <v>11689</v>
      </c>
      <c r="Q403" s="53" t="s">
        <v>1939</v>
      </c>
      <c r="R403" s="53" t="s">
        <v>11465</v>
      </c>
      <c r="U403" s="29" t="s">
        <v>1327</v>
      </c>
    </row>
    <row r="404" spans="1:21" ht="30" x14ac:dyDescent="0.25">
      <c r="A404" s="56">
        <v>43257</v>
      </c>
      <c r="B404" s="29" t="s">
        <v>250</v>
      </c>
      <c r="C404" s="29" t="s">
        <v>3856</v>
      </c>
      <c r="D404" s="29" t="s">
        <v>8730</v>
      </c>
      <c r="E404" s="29" t="s">
        <v>588</v>
      </c>
      <c r="F404" s="29" t="s">
        <v>8957</v>
      </c>
      <c r="G404" s="29" t="s">
        <v>11467</v>
      </c>
      <c r="H404" s="29" t="s">
        <v>607</v>
      </c>
      <c r="I404" s="29" t="s">
        <v>11468</v>
      </c>
      <c r="J404" s="29" t="s">
        <v>3856</v>
      </c>
      <c r="L404" s="182">
        <v>8</v>
      </c>
      <c r="M404" s="113">
        <v>686300</v>
      </c>
      <c r="N404" s="126">
        <v>1222190</v>
      </c>
      <c r="O404" s="189" t="s">
        <v>10766</v>
      </c>
      <c r="P404" s="53" t="s">
        <v>11469</v>
      </c>
      <c r="Q404" s="53" t="s">
        <v>1939</v>
      </c>
      <c r="R404" s="53" t="s">
        <v>11690</v>
      </c>
      <c r="U404" s="29" t="s">
        <v>1327</v>
      </c>
    </row>
    <row r="405" spans="1:21" ht="105" x14ac:dyDescent="0.25">
      <c r="A405" s="56">
        <v>43257</v>
      </c>
      <c r="B405" s="29" t="s">
        <v>328</v>
      </c>
      <c r="C405" s="29" t="s">
        <v>603</v>
      </c>
      <c r="D405" s="29" t="s">
        <v>757</v>
      </c>
      <c r="E405" s="29" t="s">
        <v>588</v>
      </c>
      <c r="F405" s="29" t="s">
        <v>11473</v>
      </c>
      <c r="G405" s="29" t="s">
        <v>11472</v>
      </c>
      <c r="H405" s="29" t="s">
        <v>607</v>
      </c>
      <c r="J405" s="29" t="s">
        <v>3398</v>
      </c>
      <c r="L405" s="182">
        <v>2</v>
      </c>
      <c r="M405" s="113">
        <v>413000</v>
      </c>
      <c r="N405" s="113">
        <v>727100</v>
      </c>
      <c r="O405" s="189" t="s">
        <v>10766</v>
      </c>
      <c r="P405" s="53" t="s">
        <v>11471</v>
      </c>
      <c r="Q405" s="53" t="s">
        <v>1939</v>
      </c>
      <c r="R405" s="53" t="s">
        <v>11470</v>
      </c>
      <c r="U405" s="29" t="s">
        <v>1327</v>
      </c>
    </row>
    <row r="406" spans="1:21" ht="60" x14ac:dyDescent="0.25">
      <c r="A406" s="56">
        <v>43258</v>
      </c>
      <c r="B406" s="29" t="s">
        <v>5360</v>
      </c>
      <c r="C406" s="29" t="s">
        <v>899</v>
      </c>
      <c r="D406" s="29" t="s">
        <v>732</v>
      </c>
      <c r="E406" s="29" t="s">
        <v>588</v>
      </c>
      <c r="F406" s="29" t="s">
        <v>11415</v>
      </c>
      <c r="G406" s="29" t="s">
        <v>11416</v>
      </c>
      <c r="H406" s="29" t="s">
        <v>607</v>
      </c>
      <c r="I406" s="29" t="s">
        <v>11417</v>
      </c>
      <c r="J406" s="29" t="s">
        <v>899</v>
      </c>
      <c r="L406" s="182">
        <v>9</v>
      </c>
      <c r="M406" s="113">
        <v>560000</v>
      </c>
      <c r="N406" s="113">
        <v>896000</v>
      </c>
      <c r="O406" s="189" t="s">
        <v>4533</v>
      </c>
      <c r="P406" s="53" t="s">
        <v>11418</v>
      </c>
      <c r="Q406" s="53" t="s">
        <v>1939</v>
      </c>
      <c r="R406" s="53" t="s">
        <v>11419</v>
      </c>
      <c r="U406" s="29" t="s">
        <v>491</v>
      </c>
    </row>
    <row r="407" spans="1:21" ht="30" x14ac:dyDescent="0.25">
      <c r="A407" s="56">
        <v>43258</v>
      </c>
      <c r="B407" s="29" t="s">
        <v>569</v>
      </c>
      <c r="C407" s="29" t="s">
        <v>899</v>
      </c>
      <c r="D407" s="29" t="s">
        <v>625</v>
      </c>
      <c r="E407" s="29" t="s">
        <v>588</v>
      </c>
      <c r="F407" s="29" t="s">
        <v>453</v>
      </c>
      <c r="G407" s="29" t="s">
        <v>8941</v>
      </c>
      <c r="H407" s="29" t="s">
        <v>607</v>
      </c>
      <c r="I407" s="29" t="s">
        <v>3649</v>
      </c>
      <c r="J407" s="29" t="s">
        <v>899</v>
      </c>
      <c r="M407" s="113">
        <v>837000</v>
      </c>
      <c r="N407" s="113">
        <v>1500000</v>
      </c>
      <c r="O407" s="189" t="s">
        <v>560</v>
      </c>
      <c r="P407" s="53" t="s">
        <v>11420</v>
      </c>
      <c r="Q407" s="53" t="s">
        <v>29</v>
      </c>
      <c r="R407" s="53" t="s">
        <v>11421</v>
      </c>
      <c r="U407" s="29" t="s">
        <v>491</v>
      </c>
    </row>
    <row r="408" spans="1:21" ht="75" x14ac:dyDescent="0.25">
      <c r="A408" s="56">
        <v>43258</v>
      </c>
      <c r="B408" s="29" t="s">
        <v>569</v>
      </c>
      <c r="C408" s="29" t="s">
        <v>899</v>
      </c>
      <c r="D408" s="29" t="s">
        <v>624</v>
      </c>
      <c r="E408" s="29" t="s">
        <v>588</v>
      </c>
      <c r="F408" s="29" t="s">
        <v>11252</v>
      </c>
      <c r="H408" s="29" t="s">
        <v>905</v>
      </c>
      <c r="I408" s="29" t="s">
        <v>8144</v>
      </c>
      <c r="J408" s="29" t="s">
        <v>899</v>
      </c>
      <c r="L408" s="182">
        <v>1</v>
      </c>
      <c r="M408" s="113">
        <v>170000</v>
      </c>
      <c r="N408" s="113">
        <v>187000</v>
      </c>
      <c r="O408" s="189" t="s">
        <v>10762</v>
      </c>
      <c r="P408" s="53" t="s">
        <v>11422</v>
      </c>
      <c r="Q408" s="53" t="s">
        <v>29</v>
      </c>
      <c r="R408" s="53" t="s">
        <v>11423</v>
      </c>
      <c r="U408" s="29" t="s">
        <v>491</v>
      </c>
    </row>
    <row r="409" spans="1:21" ht="75" x14ac:dyDescent="0.25">
      <c r="A409" s="56">
        <v>43258</v>
      </c>
      <c r="B409" s="29" t="s">
        <v>5176</v>
      </c>
      <c r="C409" s="29" t="s">
        <v>604</v>
      </c>
      <c r="D409" s="29" t="s">
        <v>595</v>
      </c>
      <c r="E409" s="29" t="s">
        <v>588</v>
      </c>
      <c r="F409" s="29" t="s">
        <v>11424</v>
      </c>
      <c r="H409" s="29" t="s">
        <v>10832</v>
      </c>
      <c r="I409" s="29" t="s">
        <v>10216</v>
      </c>
      <c r="J409" s="29" t="s">
        <v>959</v>
      </c>
      <c r="L409" s="182">
        <v>3</v>
      </c>
      <c r="M409" s="113">
        <v>440000</v>
      </c>
      <c r="N409" s="113">
        <v>440000</v>
      </c>
      <c r="O409" s="189" t="s">
        <v>10766</v>
      </c>
      <c r="P409" s="53" t="s">
        <v>11425</v>
      </c>
      <c r="Q409" s="53" t="s">
        <v>1939</v>
      </c>
      <c r="R409" s="53" t="s">
        <v>11691</v>
      </c>
      <c r="U409" s="29" t="s">
        <v>491</v>
      </c>
    </row>
    <row r="410" spans="1:21" ht="75" x14ac:dyDescent="0.25">
      <c r="A410" s="56">
        <v>43258</v>
      </c>
      <c r="B410" s="29" t="s">
        <v>569</v>
      </c>
      <c r="C410" s="29" t="s">
        <v>899</v>
      </c>
      <c r="D410" s="29" t="s">
        <v>625</v>
      </c>
      <c r="E410" s="29" t="s">
        <v>588</v>
      </c>
      <c r="F410" s="29" t="s">
        <v>11426</v>
      </c>
      <c r="H410" s="29" t="s">
        <v>905</v>
      </c>
      <c r="I410" s="29" t="s">
        <v>3672</v>
      </c>
      <c r="J410" s="29" t="s">
        <v>899</v>
      </c>
      <c r="O410" s="189" t="s">
        <v>10766</v>
      </c>
      <c r="P410" s="53" t="s">
        <v>11427</v>
      </c>
      <c r="Q410" s="53" t="s">
        <v>29</v>
      </c>
      <c r="R410" s="53" t="s">
        <v>11428</v>
      </c>
      <c r="U410" s="29" t="s">
        <v>491</v>
      </c>
    </row>
    <row r="411" spans="1:21" ht="135" x14ac:dyDescent="0.25">
      <c r="A411" s="56">
        <v>43258</v>
      </c>
      <c r="B411" s="29" t="s">
        <v>5956</v>
      </c>
      <c r="C411" s="29" t="s">
        <v>3369</v>
      </c>
      <c r="D411" s="29" t="s">
        <v>8126</v>
      </c>
      <c r="E411" s="29" t="s">
        <v>588</v>
      </c>
      <c r="F411" s="29" t="s">
        <v>11429</v>
      </c>
      <c r="G411" s="29" t="s">
        <v>11430</v>
      </c>
      <c r="H411" s="29" t="s">
        <v>607</v>
      </c>
      <c r="I411" s="29" t="s">
        <v>11431</v>
      </c>
      <c r="J411" s="29" t="s">
        <v>4825</v>
      </c>
      <c r="L411" s="182">
        <v>5</v>
      </c>
      <c r="M411" s="113">
        <v>325000</v>
      </c>
      <c r="N411" s="113">
        <v>630000</v>
      </c>
      <c r="O411" s="189" t="s">
        <v>4533</v>
      </c>
      <c r="P411" s="53" t="s">
        <v>11432</v>
      </c>
      <c r="Q411" s="53" t="s">
        <v>1939</v>
      </c>
      <c r="R411" s="53" t="s">
        <v>11692</v>
      </c>
      <c r="U411" s="29" t="s">
        <v>491</v>
      </c>
    </row>
    <row r="412" spans="1:21" ht="45" x14ac:dyDescent="0.25">
      <c r="A412" s="56">
        <v>43258</v>
      </c>
      <c r="B412" s="29" t="s">
        <v>569</v>
      </c>
      <c r="C412" s="29" t="s">
        <v>899</v>
      </c>
      <c r="D412" s="29" t="s">
        <v>624</v>
      </c>
      <c r="E412" s="29" t="s">
        <v>588</v>
      </c>
      <c r="F412" s="29" t="s">
        <v>11433</v>
      </c>
      <c r="H412" s="29" t="s">
        <v>905</v>
      </c>
      <c r="I412" s="29" t="s">
        <v>8144</v>
      </c>
      <c r="J412" s="29" t="s">
        <v>899</v>
      </c>
      <c r="L412" s="182">
        <v>5</v>
      </c>
      <c r="M412" s="113">
        <v>450000</v>
      </c>
      <c r="N412" s="113">
        <v>600000</v>
      </c>
      <c r="O412" s="189" t="s">
        <v>10763</v>
      </c>
      <c r="P412" s="53" t="s">
        <v>11434</v>
      </c>
      <c r="Q412" s="53" t="s">
        <v>592</v>
      </c>
      <c r="R412" s="53" t="s">
        <v>11435</v>
      </c>
      <c r="U412" s="29" t="s">
        <v>491</v>
      </c>
    </row>
    <row r="413" spans="1:21" ht="60" x14ac:dyDescent="0.25">
      <c r="A413" s="56">
        <v>43259</v>
      </c>
      <c r="B413" s="29" t="s">
        <v>328</v>
      </c>
      <c r="C413" s="29" t="s">
        <v>603</v>
      </c>
      <c r="D413" s="29" t="s">
        <v>5701</v>
      </c>
      <c r="E413" s="29" t="s">
        <v>588</v>
      </c>
      <c r="F413" s="29" t="s">
        <v>461</v>
      </c>
      <c r="G413" s="29" t="s">
        <v>11436</v>
      </c>
      <c r="H413" s="29" t="s">
        <v>607</v>
      </c>
      <c r="I413" s="29" t="s">
        <v>11437</v>
      </c>
      <c r="J413" s="29" t="s">
        <v>3888</v>
      </c>
      <c r="L413" s="182">
        <v>5</v>
      </c>
      <c r="M413" s="113">
        <v>350000</v>
      </c>
      <c r="N413" s="113">
        <v>805000</v>
      </c>
      <c r="O413" s="189" t="s">
        <v>7564</v>
      </c>
      <c r="P413" s="53" t="s">
        <v>11438</v>
      </c>
      <c r="Q413" s="53" t="s">
        <v>1612</v>
      </c>
      <c r="R413" s="53" t="s">
        <v>11439</v>
      </c>
      <c r="U413" s="29" t="s">
        <v>491</v>
      </c>
    </row>
    <row r="414" spans="1:21" ht="30" x14ac:dyDescent="0.25">
      <c r="A414" s="56">
        <v>43262</v>
      </c>
      <c r="B414" s="29" t="s">
        <v>5176</v>
      </c>
      <c r="C414" s="29" t="s">
        <v>604</v>
      </c>
      <c r="D414" s="29" t="s">
        <v>595</v>
      </c>
      <c r="E414" s="29" t="s">
        <v>588</v>
      </c>
      <c r="F414" s="29" t="s">
        <v>232</v>
      </c>
      <c r="G414" s="29" t="s">
        <v>11522</v>
      </c>
      <c r="H414" s="29" t="s">
        <v>607</v>
      </c>
      <c r="J414" s="29" t="s">
        <v>4684</v>
      </c>
      <c r="L414" s="182">
        <v>10</v>
      </c>
      <c r="M414" s="113">
        <v>6066960</v>
      </c>
      <c r="N414" s="113">
        <v>9566960</v>
      </c>
      <c r="O414" s="189" t="s">
        <v>560</v>
      </c>
      <c r="P414" s="53" t="s">
        <v>11693</v>
      </c>
      <c r="Q414" s="53" t="s">
        <v>29</v>
      </c>
      <c r="R414" s="53" t="s">
        <v>11523</v>
      </c>
      <c r="U414" s="29" t="s">
        <v>1327</v>
      </c>
    </row>
    <row r="415" spans="1:21" ht="75" x14ac:dyDescent="0.25">
      <c r="A415" s="56">
        <v>43262</v>
      </c>
      <c r="B415" s="29" t="s">
        <v>328</v>
      </c>
      <c r="C415" s="29" t="s">
        <v>603</v>
      </c>
      <c r="D415" s="29" t="s">
        <v>5701</v>
      </c>
      <c r="E415" s="29" t="s">
        <v>588</v>
      </c>
      <c r="F415" s="29" t="s">
        <v>11526</v>
      </c>
      <c r="G415" s="29" t="s">
        <v>7172</v>
      </c>
      <c r="H415" s="29" t="s">
        <v>905</v>
      </c>
      <c r="I415" s="29" t="s">
        <v>10000</v>
      </c>
      <c r="J415" s="29" t="s">
        <v>3523</v>
      </c>
      <c r="L415" s="182">
        <v>2</v>
      </c>
      <c r="M415" s="113">
        <v>550000</v>
      </c>
      <c r="N415" s="113">
        <v>615000</v>
      </c>
      <c r="O415" s="189" t="s">
        <v>7564</v>
      </c>
      <c r="P415" s="53" t="s">
        <v>11525</v>
      </c>
      <c r="Q415" s="53" t="s">
        <v>592</v>
      </c>
      <c r="R415" s="53" t="s">
        <v>11524</v>
      </c>
      <c r="U415" s="29" t="s">
        <v>1327</v>
      </c>
    </row>
    <row r="416" spans="1:21" ht="45" x14ac:dyDescent="0.25">
      <c r="A416" s="56">
        <v>43262</v>
      </c>
      <c r="B416" s="29" t="s">
        <v>569</v>
      </c>
      <c r="C416" s="29" t="s">
        <v>899</v>
      </c>
      <c r="D416" s="29" t="s">
        <v>611</v>
      </c>
      <c r="E416" s="29" t="s">
        <v>588</v>
      </c>
      <c r="F416" s="29" t="s">
        <v>11533</v>
      </c>
      <c r="G416" s="29" t="s">
        <v>11532</v>
      </c>
      <c r="H416" s="29" t="s">
        <v>886</v>
      </c>
      <c r="I416" s="29" t="s">
        <v>11531</v>
      </c>
      <c r="J416" s="29" t="s">
        <v>899</v>
      </c>
      <c r="M416" s="113">
        <v>1218000</v>
      </c>
      <c r="N416" s="113">
        <v>1218000</v>
      </c>
      <c r="O416" s="189" t="s">
        <v>10765</v>
      </c>
      <c r="P416" s="53" t="s">
        <v>11530</v>
      </c>
      <c r="Q416" s="53" t="s">
        <v>29</v>
      </c>
      <c r="R416" s="53" t="s">
        <v>11529</v>
      </c>
      <c r="U416" s="29" t="s">
        <v>1327</v>
      </c>
    </row>
    <row r="417" spans="1:21" ht="30" x14ac:dyDescent="0.25">
      <c r="A417" s="56">
        <v>43263</v>
      </c>
      <c r="B417" s="29" t="s">
        <v>569</v>
      </c>
      <c r="C417" s="29" t="s">
        <v>899</v>
      </c>
      <c r="D417" s="29" t="s">
        <v>11286</v>
      </c>
      <c r="E417" s="29" t="s">
        <v>588</v>
      </c>
      <c r="F417" s="29" t="s">
        <v>11534</v>
      </c>
      <c r="G417" s="29" t="s">
        <v>11535</v>
      </c>
      <c r="H417" s="29" t="s">
        <v>607</v>
      </c>
      <c r="I417" s="29" t="s">
        <v>11536</v>
      </c>
      <c r="J417" s="29" t="s">
        <v>899</v>
      </c>
      <c r="M417" s="113">
        <v>1019000</v>
      </c>
      <c r="N417" s="113">
        <v>1021000</v>
      </c>
      <c r="O417" s="189" t="s">
        <v>10766</v>
      </c>
      <c r="P417" s="53" t="s">
        <v>11537</v>
      </c>
      <c r="Q417" s="53" t="s">
        <v>1939</v>
      </c>
      <c r="R417" s="53" t="s">
        <v>11538</v>
      </c>
      <c r="U417" s="29" t="s">
        <v>11539</v>
      </c>
    </row>
    <row r="418" spans="1:21" ht="90" x14ac:dyDescent="0.25">
      <c r="A418" s="56">
        <v>43264</v>
      </c>
      <c r="B418" s="29" t="s">
        <v>328</v>
      </c>
      <c r="C418" s="29" t="s">
        <v>603</v>
      </c>
      <c r="D418" s="29" t="s">
        <v>10338</v>
      </c>
      <c r="E418" s="29" t="s">
        <v>588</v>
      </c>
      <c r="F418" s="29" t="s">
        <v>11474</v>
      </c>
      <c r="G418" s="29" t="s">
        <v>11475</v>
      </c>
      <c r="H418" s="29" t="s">
        <v>607</v>
      </c>
      <c r="I418" s="29" t="s">
        <v>8144</v>
      </c>
      <c r="J418" s="29" t="s">
        <v>899</v>
      </c>
      <c r="L418" s="182">
        <v>2</v>
      </c>
      <c r="M418" s="113">
        <v>290000</v>
      </c>
      <c r="N418" s="113">
        <v>600000</v>
      </c>
      <c r="O418" s="189" t="s">
        <v>4533</v>
      </c>
      <c r="P418" s="53" t="s">
        <v>11476</v>
      </c>
      <c r="Q418" s="53" t="s">
        <v>1939</v>
      </c>
      <c r="R418" s="184" t="s">
        <v>11477</v>
      </c>
      <c r="U418" s="29" t="s">
        <v>491</v>
      </c>
    </row>
    <row r="419" spans="1:21" ht="90" x14ac:dyDescent="0.25">
      <c r="A419" s="56">
        <v>43264</v>
      </c>
      <c r="B419" s="29" t="s">
        <v>1788</v>
      </c>
      <c r="C419" s="29" t="s">
        <v>3369</v>
      </c>
      <c r="D419" s="29" t="s">
        <v>6360</v>
      </c>
      <c r="E419" s="29" t="s">
        <v>588</v>
      </c>
      <c r="F419" s="29" t="s">
        <v>11478</v>
      </c>
      <c r="G419" s="29" t="s">
        <v>11479</v>
      </c>
      <c r="H419" s="29" t="s">
        <v>607</v>
      </c>
      <c r="I419" s="29" t="s">
        <v>9546</v>
      </c>
      <c r="J419" s="29" t="s">
        <v>3369</v>
      </c>
      <c r="L419" s="182">
        <v>4</v>
      </c>
      <c r="M419" s="113">
        <v>1606000</v>
      </c>
      <c r="N419" s="113">
        <v>2500000</v>
      </c>
      <c r="O419" s="189" t="s">
        <v>49</v>
      </c>
      <c r="P419" s="53" t="s">
        <v>11480</v>
      </c>
      <c r="Q419" s="53" t="s">
        <v>620</v>
      </c>
      <c r="R419" s="53" t="s">
        <v>11481</v>
      </c>
      <c r="S419" s="53" t="s">
        <v>11497</v>
      </c>
      <c r="U419" s="29" t="s">
        <v>491</v>
      </c>
    </row>
    <row r="420" spans="1:21" ht="75" x14ac:dyDescent="0.25">
      <c r="A420" s="56">
        <v>43264</v>
      </c>
      <c r="B420" s="29" t="s">
        <v>328</v>
      </c>
      <c r="C420" s="29" t="s">
        <v>603</v>
      </c>
      <c r="D420" s="29" t="s">
        <v>10338</v>
      </c>
      <c r="E420" s="29" t="s">
        <v>588</v>
      </c>
      <c r="F420" s="29" t="s">
        <v>11482</v>
      </c>
      <c r="G420" s="29" t="s">
        <v>11483</v>
      </c>
      <c r="H420" s="29" t="s">
        <v>607</v>
      </c>
      <c r="I420" s="29" t="s">
        <v>11484</v>
      </c>
      <c r="J420" s="29" t="s">
        <v>3398</v>
      </c>
      <c r="L420" s="182">
        <v>2</v>
      </c>
      <c r="M420" s="113">
        <v>260000</v>
      </c>
      <c r="N420" s="113">
        <v>525000</v>
      </c>
      <c r="O420" s="189" t="s">
        <v>4533</v>
      </c>
      <c r="P420" s="53" t="s">
        <v>11485</v>
      </c>
      <c r="Q420" s="53" t="s">
        <v>1939</v>
      </c>
      <c r="R420" s="53" t="s">
        <v>11486</v>
      </c>
      <c r="U420" s="29" t="s">
        <v>491</v>
      </c>
    </row>
    <row r="421" spans="1:21" ht="45" x14ac:dyDescent="0.25">
      <c r="A421" s="56">
        <v>43264</v>
      </c>
      <c r="B421" s="29" t="s">
        <v>328</v>
      </c>
      <c r="C421" s="29" t="s">
        <v>603</v>
      </c>
      <c r="D421" s="29" t="s">
        <v>10338</v>
      </c>
      <c r="E421" s="29" t="s">
        <v>588</v>
      </c>
      <c r="F421" s="29" t="s">
        <v>11487</v>
      </c>
      <c r="G421" s="29" t="s">
        <v>11488</v>
      </c>
      <c r="H421" s="29" t="s">
        <v>905</v>
      </c>
      <c r="I421" s="29" t="s">
        <v>8581</v>
      </c>
      <c r="J421" s="29" t="s">
        <v>3533</v>
      </c>
      <c r="M421" s="113">
        <v>153000</v>
      </c>
      <c r="N421" s="113">
        <v>210000</v>
      </c>
      <c r="O421" s="189" t="s">
        <v>4533</v>
      </c>
      <c r="P421" s="53" t="s">
        <v>11489</v>
      </c>
      <c r="Q421" s="53" t="s">
        <v>592</v>
      </c>
      <c r="R421" s="53" t="s">
        <v>11498</v>
      </c>
      <c r="S421" s="53" t="s">
        <v>11499</v>
      </c>
      <c r="U421" s="29" t="s">
        <v>491</v>
      </c>
    </row>
    <row r="422" spans="1:21" ht="30" x14ac:dyDescent="0.25">
      <c r="A422" s="56">
        <v>43264</v>
      </c>
      <c r="B422" s="29" t="s">
        <v>328</v>
      </c>
      <c r="C422" s="29" t="s">
        <v>603</v>
      </c>
      <c r="D422" s="29" t="s">
        <v>5701</v>
      </c>
      <c r="E422" s="29" t="s">
        <v>588</v>
      </c>
      <c r="F422" s="29" t="s">
        <v>11490</v>
      </c>
      <c r="G422" s="29" t="s">
        <v>11491</v>
      </c>
      <c r="H422" s="29" t="s">
        <v>607</v>
      </c>
      <c r="I422" s="29" t="s">
        <v>11492</v>
      </c>
      <c r="J422" s="29" t="s">
        <v>3523</v>
      </c>
      <c r="L422" s="182">
        <v>3</v>
      </c>
      <c r="M422" s="113">
        <v>620000</v>
      </c>
      <c r="N422" s="113">
        <v>1297000</v>
      </c>
      <c r="O422" s="189" t="s">
        <v>7564</v>
      </c>
      <c r="P422" s="53" t="s">
        <v>11493</v>
      </c>
      <c r="Q422" s="53" t="s">
        <v>1939</v>
      </c>
      <c r="R422" s="53" t="s">
        <v>11494</v>
      </c>
      <c r="U422" s="29" t="s">
        <v>491</v>
      </c>
    </row>
    <row r="423" spans="1:21" ht="60" x14ac:dyDescent="0.25">
      <c r="A423" s="56">
        <v>43264</v>
      </c>
      <c r="B423" s="29" t="s">
        <v>328</v>
      </c>
      <c r="C423" s="29" t="s">
        <v>603</v>
      </c>
      <c r="D423" s="29" t="s">
        <v>10338</v>
      </c>
      <c r="E423" s="29" t="s">
        <v>588</v>
      </c>
      <c r="F423" s="29" t="s">
        <v>11495</v>
      </c>
      <c r="G423" s="29" t="s">
        <v>11325</v>
      </c>
      <c r="H423" s="29" t="s">
        <v>607</v>
      </c>
      <c r="J423" s="29" t="s">
        <v>3733</v>
      </c>
      <c r="L423" s="182">
        <v>2</v>
      </c>
      <c r="M423" s="113">
        <v>300000</v>
      </c>
      <c r="N423" s="113">
        <v>600000</v>
      </c>
      <c r="O423" s="189" t="s">
        <v>10766</v>
      </c>
      <c r="P423" s="53" t="s">
        <v>11496</v>
      </c>
      <c r="Q423" s="53" t="s">
        <v>592</v>
      </c>
      <c r="R423" s="53" t="s">
        <v>11504</v>
      </c>
      <c r="S423" s="53" t="s">
        <v>11505</v>
      </c>
      <c r="U423" s="29" t="s">
        <v>491</v>
      </c>
    </row>
    <row r="424" spans="1:21" ht="30" x14ac:dyDescent="0.25">
      <c r="A424" s="56">
        <v>43265</v>
      </c>
      <c r="B424" s="29" t="s">
        <v>569</v>
      </c>
      <c r="C424" s="29" t="s">
        <v>899</v>
      </c>
      <c r="D424" s="29" t="s">
        <v>611</v>
      </c>
      <c r="E424" s="29" t="s">
        <v>588</v>
      </c>
      <c r="F424" s="29" t="s">
        <v>11500</v>
      </c>
      <c r="G424" s="29" t="s">
        <v>11501</v>
      </c>
      <c r="H424" s="29" t="s">
        <v>607</v>
      </c>
      <c r="I424" s="29" t="s">
        <v>3649</v>
      </c>
      <c r="J424" s="29" t="s">
        <v>899</v>
      </c>
      <c r="L424" s="182">
        <v>4</v>
      </c>
      <c r="M424" s="113">
        <v>1647814</v>
      </c>
      <c r="N424" s="113">
        <v>3100000</v>
      </c>
      <c r="O424" s="189" t="s">
        <v>560</v>
      </c>
      <c r="P424" s="53" t="s">
        <v>11502</v>
      </c>
      <c r="Q424" s="53" t="s">
        <v>29</v>
      </c>
      <c r="R424" s="53" t="s">
        <v>11503</v>
      </c>
      <c r="U424" s="29" t="s">
        <v>491</v>
      </c>
    </row>
    <row r="425" spans="1:21" ht="30" x14ac:dyDescent="0.25">
      <c r="A425" s="56">
        <v>43266</v>
      </c>
      <c r="B425" s="29" t="s">
        <v>328</v>
      </c>
      <c r="C425" s="29" t="s">
        <v>603</v>
      </c>
      <c r="D425" s="29" t="s">
        <v>649</v>
      </c>
      <c r="E425" s="29" t="s">
        <v>588</v>
      </c>
      <c r="F425" s="29" t="s">
        <v>11506</v>
      </c>
      <c r="G425" s="29" t="s">
        <v>9305</v>
      </c>
      <c r="H425" s="29" t="s">
        <v>607</v>
      </c>
      <c r="I425" s="29" t="s">
        <v>11028</v>
      </c>
      <c r="J425" s="29" t="s">
        <v>3733</v>
      </c>
      <c r="M425" s="113">
        <v>900000</v>
      </c>
      <c r="N425" s="113">
        <v>1500000</v>
      </c>
      <c r="O425" s="189" t="s">
        <v>4533</v>
      </c>
      <c r="P425" s="53" t="s">
        <v>11507</v>
      </c>
      <c r="Q425" s="53" t="s">
        <v>1939</v>
      </c>
      <c r="R425" s="53" t="s">
        <v>11508</v>
      </c>
      <c r="U425" s="29" t="s">
        <v>491</v>
      </c>
    </row>
    <row r="426" spans="1:21" ht="60" x14ac:dyDescent="0.25">
      <c r="A426" s="56">
        <v>43266</v>
      </c>
      <c r="B426" s="29" t="s">
        <v>328</v>
      </c>
      <c r="C426" s="29" t="s">
        <v>603</v>
      </c>
      <c r="D426" s="29" t="s">
        <v>7595</v>
      </c>
      <c r="E426" s="29" t="s">
        <v>588</v>
      </c>
      <c r="F426" s="29" t="s">
        <v>11509</v>
      </c>
      <c r="G426" s="29" t="s">
        <v>11510</v>
      </c>
      <c r="H426" s="29" t="s">
        <v>607</v>
      </c>
      <c r="I426" s="29" t="s">
        <v>11511</v>
      </c>
      <c r="J426" s="29" t="s">
        <v>3501</v>
      </c>
      <c r="L426" s="182">
        <v>6</v>
      </c>
      <c r="M426" s="113">
        <v>451000</v>
      </c>
      <c r="N426" s="113">
        <v>800000</v>
      </c>
      <c r="O426" s="189" t="s">
        <v>10766</v>
      </c>
      <c r="P426" s="53" t="s">
        <v>11512</v>
      </c>
      <c r="Q426" s="53" t="s">
        <v>592</v>
      </c>
      <c r="R426" s="53" t="s">
        <v>11513</v>
      </c>
      <c r="U426" s="29" t="s">
        <v>491</v>
      </c>
    </row>
    <row r="427" spans="1:21" ht="60" x14ac:dyDescent="0.25">
      <c r="A427" s="56">
        <v>43266</v>
      </c>
      <c r="B427" s="29" t="s">
        <v>5176</v>
      </c>
      <c r="C427" s="29" t="s">
        <v>604</v>
      </c>
      <c r="D427" s="29" t="s">
        <v>595</v>
      </c>
      <c r="E427" s="29" t="s">
        <v>588</v>
      </c>
      <c r="F427" s="29" t="s">
        <v>11514</v>
      </c>
      <c r="G427" s="29" t="s">
        <v>5381</v>
      </c>
      <c r="H427" s="29" t="s">
        <v>607</v>
      </c>
      <c r="I427" s="29" t="s">
        <v>11515</v>
      </c>
      <c r="J427" s="29" t="s">
        <v>604</v>
      </c>
      <c r="L427" s="182">
        <v>9</v>
      </c>
      <c r="M427" s="113">
        <v>311000</v>
      </c>
      <c r="N427" s="113">
        <v>600000</v>
      </c>
      <c r="O427" s="189" t="s">
        <v>4533</v>
      </c>
      <c r="P427" s="53" t="s">
        <v>11516</v>
      </c>
      <c r="Q427" s="53" t="s">
        <v>29</v>
      </c>
      <c r="R427" s="53" t="s">
        <v>11517</v>
      </c>
      <c r="U427" s="29" t="s">
        <v>491</v>
      </c>
    </row>
    <row r="428" spans="1:21" ht="30" x14ac:dyDescent="0.25">
      <c r="A428" s="56">
        <v>43266</v>
      </c>
      <c r="B428" s="29" t="s">
        <v>328</v>
      </c>
      <c r="C428" s="29" t="s">
        <v>603</v>
      </c>
      <c r="D428" s="29" t="s">
        <v>672</v>
      </c>
      <c r="E428" s="29" t="s">
        <v>588</v>
      </c>
      <c r="F428" s="29" t="s">
        <v>11518</v>
      </c>
      <c r="G428" s="29" t="s">
        <v>11519</v>
      </c>
      <c r="H428" s="29" t="s">
        <v>607</v>
      </c>
      <c r="I428" s="29" t="s">
        <v>11520</v>
      </c>
      <c r="J428" s="29" t="s">
        <v>602</v>
      </c>
      <c r="L428" s="182">
        <v>9</v>
      </c>
      <c r="M428" s="113">
        <v>320000</v>
      </c>
      <c r="N428" s="113">
        <v>544000</v>
      </c>
      <c r="O428" s="189" t="s">
        <v>7124</v>
      </c>
      <c r="P428" s="53" t="s">
        <v>11694</v>
      </c>
      <c r="Q428" s="53" t="s">
        <v>592</v>
      </c>
      <c r="R428" s="53" t="s">
        <v>11521</v>
      </c>
      <c r="U428" s="29" t="s">
        <v>491</v>
      </c>
    </row>
    <row r="429" spans="1:21" ht="45" x14ac:dyDescent="0.25">
      <c r="A429" s="56">
        <v>43269</v>
      </c>
      <c r="B429" s="29" t="s">
        <v>5360</v>
      </c>
      <c r="C429" s="29" t="s">
        <v>899</v>
      </c>
      <c r="D429" s="29" t="s">
        <v>1027</v>
      </c>
      <c r="E429" s="29" t="s">
        <v>588</v>
      </c>
      <c r="F429" s="29" t="s">
        <v>11545</v>
      </c>
      <c r="G429" s="29" t="s">
        <v>8490</v>
      </c>
      <c r="H429" s="29" t="s">
        <v>809</v>
      </c>
      <c r="I429" s="29" t="s">
        <v>11546</v>
      </c>
      <c r="J429" s="29" t="s">
        <v>899</v>
      </c>
      <c r="L429" s="182">
        <v>3</v>
      </c>
      <c r="M429" s="113">
        <v>3800000</v>
      </c>
      <c r="N429" s="113">
        <v>4480000</v>
      </c>
      <c r="O429" s="189" t="s">
        <v>560</v>
      </c>
      <c r="P429" s="53" t="s">
        <v>11547</v>
      </c>
      <c r="Q429" s="53" t="s">
        <v>592</v>
      </c>
      <c r="R429" s="53" t="s">
        <v>11548</v>
      </c>
      <c r="U429" s="29" t="s">
        <v>1327</v>
      </c>
    </row>
    <row r="430" spans="1:21" ht="90" x14ac:dyDescent="0.25">
      <c r="A430" s="56">
        <v>43269</v>
      </c>
      <c r="B430" s="29" t="s">
        <v>328</v>
      </c>
      <c r="C430" s="29" t="s">
        <v>603</v>
      </c>
      <c r="D430" s="29" t="s">
        <v>5701</v>
      </c>
      <c r="E430" s="29" t="s">
        <v>588</v>
      </c>
      <c r="F430" s="29" t="s">
        <v>11549</v>
      </c>
      <c r="G430" s="29" t="s">
        <v>7714</v>
      </c>
      <c r="H430" s="29" t="s">
        <v>5321</v>
      </c>
      <c r="I430" s="29" t="s">
        <v>11550</v>
      </c>
      <c r="J430" s="29" t="s">
        <v>603</v>
      </c>
      <c r="L430" s="182">
        <v>9</v>
      </c>
      <c r="M430" s="113">
        <v>267100</v>
      </c>
      <c r="N430" s="113">
        <v>547560</v>
      </c>
      <c r="O430" s="189" t="s">
        <v>4533</v>
      </c>
      <c r="P430" s="53" t="s">
        <v>11551</v>
      </c>
      <c r="Q430" s="53" t="s">
        <v>1939</v>
      </c>
      <c r="R430" s="53" t="s">
        <v>11552</v>
      </c>
      <c r="U430" s="29" t="s">
        <v>1327</v>
      </c>
    </row>
    <row r="431" spans="1:21" ht="30" x14ac:dyDescent="0.25">
      <c r="A431" s="56">
        <v>43269</v>
      </c>
      <c r="B431" s="29" t="s">
        <v>9240</v>
      </c>
      <c r="C431" s="29" t="s">
        <v>603</v>
      </c>
      <c r="D431" s="29" t="s">
        <v>9241</v>
      </c>
      <c r="E431" s="29" t="s">
        <v>588</v>
      </c>
      <c r="F431" s="29" t="s">
        <v>7831</v>
      </c>
      <c r="G431" s="29" t="s">
        <v>11554</v>
      </c>
      <c r="H431" s="29" t="s">
        <v>607</v>
      </c>
      <c r="I431" s="29" t="s">
        <v>7312</v>
      </c>
      <c r="J431" s="29" t="s">
        <v>3612</v>
      </c>
      <c r="L431" s="182">
        <v>2</v>
      </c>
      <c r="M431" s="113">
        <v>950000</v>
      </c>
      <c r="N431" s="113">
        <v>2019000</v>
      </c>
      <c r="O431" s="189" t="s">
        <v>10766</v>
      </c>
      <c r="P431" s="53" t="s">
        <v>11695</v>
      </c>
      <c r="Q431" s="53" t="s">
        <v>1939</v>
      </c>
      <c r="R431" s="53" t="s">
        <v>11553</v>
      </c>
      <c r="U431" s="29" t="s">
        <v>1327</v>
      </c>
    </row>
    <row r="432" spans="1:21" ht="30" x14ac:dyDescent="0.25">
      <c r="A432" s="56">
        <v>43269</v>
      </c>
      <c r="B432" s="29" t="s">
        <v>569</v>
      </c>
      <c r="C432" s="29" t="s">
        <v>899</v>
      </c>
      <c r="D432" s="29" t="s">
        <v>624</v>
      </c>
      <c r="E432" s="29" t="s">
        <v>588</v>
      </c>
      <c r="F432" s="29" t="s">
        <v>11555</v>
      </c>
      <c r="G432" s="29" t="s">
        <v>11556</v>
      </c>
      <c r="H432" s="29" t="s">
        <v>607</v>
      </c>
      <c r="I432" s="29" t="s">
        <v>5423</v>
      </c>
      <c r="J432" s="29" t="s">
        <v>899</v>
      </c>
      <c r="M432" s="113">
        <v>893000</v>
      </c>
      <c r="N432" s="113">
        <v>1400000</v>
      </c>
      <c r="O432" s="189" t="s">
        <v>10766</v>
      </c>
      <c r="P432" s="53" t="s">
        <v>11557</v>
      </c>
      <c r="Q432" s="53" t="s">
        <v>1939</v>
      </c>
      <c r="R432" s="53" t="s">
        <v>11558</v>
      </c>
      <c r="U432" s="29" t="s">
        <v>1327</v>
      </c>
    </row>
    <row r="433" spans="1:21" ht="30" x14ac:dyDescent="0.25">
      <c r="A433" s="56">
        <v>43269</v>
      </c>
      <c r="B433" s="29" t="s">
        <v>569</v>
      </c>
      <c r="C433" s="29" t="s">
        <v>899</v>
      </c>
      <c r="D433" s="29" t="s">
        <v>625</v>
      </c>
      <c r="E433" s="29" t="s">
        <v>588</v>
      </c>
      <c r="F433" s="29" t="s">
        <v>11560</v>
      </c>
      <c r="G433" s="29" t="s">
        <v>7855</v>
      </c>
      <c r="H433" s="29" t="s">
        <v>607</v>
      </c>
      <c r="I433" s="29" t="s">
        <v>3672</v>
      </c>
      <c r="J433" s="29" t="s">
        <v>899</v>
      </c>
      <c r="M433" s="113">
        <v>1996800</v>
      </c>
      <c r="N433" s="118">
        <v>4194800</v>
      </c>
      <c r="O433" s="189" t="s">
        <v>560</v>
      </c>
      <c r="P433" s="53" t="s">
        <v>11696</v>
      </c>
      <c r="Q433" s="53" t="s">
        <v>1939</v>
      </c>
      <c r="R433" s="53" t="s">
        <v>11559</v>
      </c>
      <c r="U433" s="29" t="s">
        <v>1327</v>
      </c>
    </row>
    <row r="434" spans="1:21" ht="75" x14ac:dyDescent="0.25">
      <c r="A434" s="56">
        <v>43270</v>
      </c>
      <c r="B434" s="29" t="s">
        <v>569</v>
      </c>
      <c r="C434" s="29" t="s">
        <v>899</v>
      </c>
      <c r="D434" s="29" t="s">
        <v>625</v>
      </c>
      <c r="E434" s="29" t="s">
        <v>588</v>
      </c>
      <c r="F434" s="53" t="s">
        <v>11561</v>
      </c>
      <c r="G434" s="53" t="s">
        <v>11563</v>
      </c>
      <c r="H434" s="29" t="s">
        <v>809</v>
      </c>
      <c r="I434" s="29" t="s">
        <v>11564</v>
      </c>
      <c r="J434" s="29" t="s">
        <v>899</v>
      </c>
      <c r="M434" s="113">
        <v>692200</v>
      </c>
      <c r="N434" s="113">
        <v>692200</v>
      </c>
      <c r="O434" s="189" t="s">
        <v>2295</v>
      </c>
      <c r="P434" s="53" t="s">
        <v>11565</v>
      </c>
      <c r="Q434" s="53" t="s">
        <v>1939</v>
      </c>
      <c r="R434" s="53" t="s">
        <v>11562</v>
      </c>
      <c r="U434" s="29" t="s">
        <v>1327</v>
      </c>
    </row>
    <row r="435" spans="1:21" ht="30" x14ac:dyDescent="0.25">
      <c r="A435" s="56">
        <v>43270</v>
      </c>
      <c r="B435" s="29" t="s">
        <v>328</v>
      </c>
      <c r="C435" s="29" t="s">
        <v>603</v>
      </c>
      <c r="D435" s="29" t="s">
        <v>7595</v>
      </c>
      <c r="E435" s="29" t="s">
        <v>588</v>
      </c>
      <c r="F435" s="29" t="s">
        <v>11566</v>
      </c>
      <c r="G435" s="29" t="s">
        <v>8331</v>
      </c>
      <c r="H435" s="29" t="s">
        <v>905</v>
      </c>
      <c r="I435" s="29" t="s">
        <v>11567</v>
      </c>
      <c r="J435" s="29" t="s">
        <v>899</v>
      </c>
      <c r="L435" s="182">
        <v>4</v>
      </c>
      <c r="M435" s="113">
        <v>554000</v>
      </c>
      <c r="N435" s="126">
        <v>609400</v>
      </c>
      <c r="O435" s="189" t="s">
        <v>6745</v>
      </c>
      <c r="P435" s="53" t="s">
        <v>11568</v>
      </c>
      <c r="Q435" s="53" t="s">
        <v>29</v>
      </c>
      <c r="R435" s="53" t="s">
        <v>11569</v>
      </c>
      <c r="U435" s="29" t="s">
        <v>1327</v>
      </c>
    </row>
    <row r="436" spans="1:21" ht="15.75" x14ac:dyDescent="0.25">
      <c r="A436" s="56">
        <v>43270</v>
      </c>
      <c r="B436" s="29" t="s">
        <v>328</v>
      </c>
      <c r="C436" s="29" t="s">
        <v>603</v>
      </c>
      <c r="D436" s="29" t="s">
        <v>10338</v>
      </c>
      <c r="E436" s="29" t="s">
        <v>588</v>
      </c>
      <c r="F436" s="29" t="s">
        <v>11570</v>
      </c>
      <c r="G436" s="29" t="s">
        <v>11570</v>
      </c>
      <c r="H436" s="29" t="s">
        <v>10831</v>
      </c>
      <c r="I436" s="29" t="s">
        <v>11571</v>
      </c>
      <c r="J436" s="29" t="s">
        <v>3501</v>
      </c>
      <c r="L436" s="182">
        <v>10</v>
      </c>
      <c r="M436" s="113">
        <v>300000</v>
      </c>
      <c r="N436" s="113">
        <v>480000</v>
      </c>
      <c r="O436" s="189" t="s">
        <v>7124</v>
      </c>
      <c r="P436" s="53" t="s">
        <v>11697</v>
      </c>
      <c r="Q436" s="53" t="s">
        <v>1939</v>
      </c>
      <c r="R436" s="53" t="s">
        <v>11572</v>
      </c>
      <c r="U436" s="29" t="s">
        <v>1327</v>
      </c>
    </row>
    <row r="437" spans="1:21" ht="45" x14ac:dyDescent="0.25">
      <c r="A437" s="56">
        <v>43270</v>
      </c>
      <c r="B437" s="29" t="s">
        <v>328</v>
      </c>
      <c r="C437" s="29" t="s">
        <v>603</v>
      </c>
      <c r="D437" s="29" t="s">
        <v>11573</v>
      </c>
      <c r="E437" s="29" t="s">
        <v>588</v>
      </c>
      <c r="F437" s="29" t="s">
        <v>11574</v>
      </c>
      <c r="G437" s="29" t="s">
        <v>11575</v>
      </c>
      <c r="H437" s="29" t="s">
        <v>886</v>
      </c>
      <c r="J437" s="29" t="s">
        <v>3398</v>
      </c>
      <c r="L437" s="182">
        <v>10</v>
      </c>
      <c r="M437" s="113">
        <v>3500000</v>
      </c>
      <c r="N437" s="113">
        <v>4140000</v>
      </c>
      <c r="O437" s="189" t="s">
        <v>7124</v>
      </c>
      <c r="P437" s="53" t="s">
        <v>11576</v>
      </c>
      <c r="Q437" s="53" t="s">
        <v>1939</v>
      </c>
      <c r="R437" s="53" t="s">
        <v>11577</v>
      </c>
      <c r="U437" s="29" t="s">
        <v>1327</v>
      </c>
    </row>
    <row r="438" spans="1:21" ht="150" x14ac:dyDescent="0.25">
      <c r="A438" s="56">
        <v>43270</v>
      </c>
      <c r="B438" s="29" t="s">
        <v>328</v>
      </c>
      <c r="C438" s="29" t="s">
        <v>603</v>
      </c>
      <c r="D438" s="29" t="s">
        <v>757</v>
      </c>
      <c r="E438" s="29" t="s">
        <v>588</v>
      </c>
      <c r="F438" s="29" t="s">
        <v>11582</v>
      </c>
      <c r="G438" s="29" t="s">
        <v>11581</v>
      </c>
      <c r="H438" s="29" t="s">
        <v>10829</v>
      </c>
      <c r="I438" s="29" t="s">
        <v>11579</v>
      </c>
      <c r="J438" s="29" t="s">
        <v>3533</v>
      </c>
      <c r="L438" s="182">
        <v>9</v>
      </c>
      <c r="M438" s="113">
        <v>287000</v>
      </c>
      <c r="N438" s="113">
        <v>459200</v>
      </c>
      <c r="O438" s="189" t="s">
        <v>4533</v>
      </c>
      <c r="P438" s="53" t="s">
        <v>11578</v>
      </c>
      <c r="Q438" s="53" t="s">
        <v>1939</v>
      </c>
      <c r="R438" s="53" t="s">
        <v>11580</v>
      </c>
      <c r="U438" s="29" t="s">
        <v>1327</v>
      </c>
    </row>
    <row r="439" spans="1:21" ht="90" x14ac:dyDescent="0.25">
      <c r="A439" s="56">
        <v>43271</v>
      </c>
      <c r="B439" s="29" t="s">
        <v>328</v>
      </c>
      <c r="C439" s="29" t="s">
        <v>603</v>
      </c>
      <c r="D439" s="29" t="s">
        <v>10338</v>
      </c>
      <c r="E439" s="29" t="s">
        <v>588</v>
      </c>
      <c r="F439" s="29" t="s">
        <v>11583</v>
      </c>
      <c r="G439" s="29" t="s">
        <v>11687</v>
      </c>
      <c r="H439" s="29" t="s">
        <v>607</v>
      </c>
      <c r="I439" s="29" t="s">
        <v>11584</v>
      </c>
      <c r="J439" s="29" t="s">
        <v>5402</v>
      </c>
      <c r="L439" s="182">
        <v>5</v>
      </c>
      <c r="M439" s="113">
        <v>460000</v>
      </c>
      <c r="N439" s="113">
        <v>851000</v>
      </c>
      <c r="O439" s="189" t="s">
        <v>4533</v>
      </c>
      <c r="P439" s="53" t="s">
        <v>11585</v>
      </c>
      <c r="Q439" s="53" t="s">
        <v>1939</v>
      </c>
      <c r="R439" s="53" t="s">
        <v>11586</v>
      </c>
      <c r="U439" s="29" t="s">
        <v>1327</v>
      </c>
    </row>
    <row r="440" spans="1:21" ht="105" x14ac:dyDescent="0.25">
      <c r="A440" s="56">
        <v>43272</v>
      </c>
      <c r="B440" s="29" t="s">
        <v>5176</v>
      </c>
      <c r="C440" s="29" t="s">
        <v>604</v>
      </c>
      <c r="D440" s="29" t="s">
        <v>595</v>
      </c>
      <c r="E440" s="29" t="s">
        <v>821</v>
      </c>
      <c r="F440" s="29" t="s">
        <v>8966</v>
      </c>
      <c r="H440" s="29" t="s">
        <v>886</v>
      </c>
      <c r="O440" s="189" t="s">
        <v>2295</v>
      </c>
      <c r="P440" s="53" t="s">
        <v>11543</v>
      </c>
      <c r="Q440" s="53" t="s">
        <v>620</v>
      </c>
      <c r="R440" s="53" t="s">
        <v>11544</v>
      </c>
      <c r="U440" s="29" t="s">
        <v>1327</v>
      </c>
    </row>
    <row r="441" spans="1:21" ht="30" x14ac:dyDescent="0.25">
      <c r="A441" s="56">
        <v>43272</v>
      </c>
      <c r="B441" s="29" t="s">
        <v>6076</v>
      </c>
      <c r="C441" s="29" t="s">
        <v>3370</v>
      </c>
      <c r="D441" s="29" t="s">
        <v>10524</v>
      </c>
      <c r="E441" s="29" t="s">
        <v>588</v>
      </c>
      <c r="F441" s="29" t="s">
        <v>11587</v>
      </c>
      <c r="G441" s="29" t="s">
        <v>11588</v>
      </c>
      <c r="H441" s="29" t="s">
        <v>607</v>
      </c>
      <c r="I441" s="29" t="s">
        <v>11589</v>
      </c>
      <c r="J441" s="29" t="s">
        <v>3370</v>
      </c>
      <c r="M441" s="113">
        <v>176600</v>
      </c>
      <c r="N441" s="113">
        <v>333000</v>
      </c>
      <c r="O441" s="189" t="s">
        <v>7564</v>
      </c>
      <c r="P441" s="192" t="s">
        <v>11590</v>
      </c>
      <c r="Q441" s="53" t="s">
        <v>620</v>
      </c>
      <c r="R441" s="53" t="s">
        <v>11368</v>
      </c>
      <c r="U441" s="29" t="s">
        <v>1327</v>
      </c>
    </row>
    <row r="442" spans="1:21" ht="30" x14ac:dyDescent="0.25">
      <c r="A442" s="56">
        <v>43272</v>
      </c>
      <c r="B442" s="29" t="s">
        <v>328</v>
      </c>
      <c r="C442" s="29" t="s">
        <v>603</v>
      </c>
      <c r="D442" s="29" t="s">
        <v>7595</v>
      </c>
      <c r="E442" s="29" t="s">
        <v>588</v>
      </c>
      <c r="F442" s="29" t="s">
        <v>11594</v>
      </c>
      <c r="G442" s="29" t="s">
        <v>11593</v>
      </c>
      <c r="H442" s="29" t="s">
        <v>607</v>
      </c>
      <c r="I442" s="29" t="s">
        <v>4689</v>
      </c>
      <c r="J442" s="29" t="s">
        <v>899</v>
      </c>
      <c r="L442" s="182">
        <v>10</v>
      </c>
      <c r="M442" s="113">
        <v>1000000</v>
      </c>
      <c r="N442" s="113">
        <v>1800000</v>
      </c>
      <c r="O442" s="189" t="s">
        <v>7124</v>
      </c>
      <c r="P442" s="122" t="s">
        <v>11592</v>
      </c>
      <c r="Q442" s="53" t="s">
        <v>1939</v>
      </c>
      <c r="R442" s="53" t="s">
        <v>11591</v>
      </c>
      <c r="U442" s="29" t="s">
        <v>1327</v>
      </c>
    </row>
    <row r="443" spans="1:21" ht="15.75" x14ac:dyDescent="0.25">
      <c r="A443" s="56">
        <v>43273</v>
      </c>
      <c r="B443" s="29" t="s">
        <v>9240</v>
      </c>
      <c r="C443" s="29" t="s">
        <v>603</v>
      </c>
      <c r="D443" s="29" t="s">
        <v>9241</v>
      </c>
      <c r="E443" s="29" t="s">
        <v>588</v>
      </c>
      <c r="F443" s="29" t="s">
        <v>11598</v>
      </c>
      <c r="G443" s="29" t="s">
        <v>11598</v>
      </c>
      <c r="H443" s="29" t="s">
        <v>607</v>
      </c>
      <c r="I443" s="29" t="s">
        <v>11599</v>
      </c>
      <c r="J443" s="29" t="s">
        <v>603</v>
      </c>
      <c r="L443" s="182">
        <v>10</v>
      </c>
      <c r="M443" s="113">
        <v>554000</v>
      </c>
      <c r="N443" s="113" t="s">
        <v>11600</v>
      </c>
      <c r="O443" s="189" t="s">
        <v>7124</v>
      </c>
      <c r="P443" s="53" t="s">
        <v>11601</v>
      </c>
      <c r="Q443" s="53" t="s">
        <v>29</v>
      </c>
      <c r="R443" s="53" t="s">
        <v>11602</v>
      </c>
      <c r="U443" s="29" t="s">
        <v>1327</v>
      </c>
    </row>
    <row r="444" spans="1:21" ht="90" x14ac:dyDescent="0.25">
      <c r="A444" s="56">
        <v>43273</v>
      </c>
      <c r="B444" s="29" t="s">
        <v>9240</v>
      </c>
      <c r="C444" s="29" t="s">
        <v>603</v>
      </c>
      <c r="D444" s="29" t="s">
        <v>9241</v>
      </c>
      <c r="E444" s="29" t="s">
        <v>588</v>
      </c>
      <c r="F444" s="29" t="s">
        <v>10898</v>
      </c>
      <c r="G444" s="29" t="s">
        <v>11605</v>
      </c>
      <c r="H444" s="29" t="s">
        <v>607</v>
      </c>
      <c r="I444" s="29" t="s">
        <v>11604</v>
      </c>
      <c r="J444" s="29" t="s">
        <v>608</v>
      </c>
      <c r="M444" s="113">
        <v>309600</v>
      </c>
      <c r="N444" s="113">
        <v>7101000</v>
      </c>
      <c r="O444" s="189" t="s">
        <v>10766</v>
      </c>
      <c r="P444" s="53" t="s">
        <v>11603</v>
      </c>
      <c r="Q444" s="53" t="s">
        <v>592</v>
      </c>
      <c r="R444" s="53" t="s">
        <v>11703</v>
      </c>
      <c r="U444" s="29" t="s">
        <v>1327</v>
      </c>
    </row>
    <row r="445" spans="1:21" ht="60" x14ac:dyDescent="0.25">
      <c r="A445" s="56">
        <v>43273</v>
      </c>
      <c r="B445" s="29" t="s">
        <v>5360</v>
      </c>
      <c r="C445" s="29" t="s">
        <v>899</v>
      </c>
      <c r="D445" s="29" t="s">
        <v>732</v>
      </c>
      <c r="E445" s="29" t="s">
        <v>588</v>
      </c>
      <c r="F445" s="29" t="s">
        <v>8193</v>
      </c>
      <c r="G445" s="29" t="s">
        <v>11606</v>
      </c>
      <c r="H445" s="29" t="s">
        <v>10832</v>
      </c>
      <c r="I445" s="29" t="s">
        <v>7484</v>
      </c>
      <c r="J445" s="29" t="s">
        <v>899</v>
      </c>
      <c r="L445" s="182">
        <v>2</v>
      </c>
      <c r="M445" s="113">
        <v>430000</v>
      </c>
      <c r="N445" s="113">
        <v>774000</v>
      </c>
      <c r="O445" s="189" t="s">
        <v>10765</v>
      </c>
      <c r="P445" s="53" t="s">
        <v>11607</v>
      </c>
      <c r="Q445" s="53" t="s">
        <v>1939</v>
      </c>
      <c r="R445" s="53" t="s">
        <v>11608</v>
      </c>
      <c r="U445" s="29" t="s">
        <v>1327</v>
      </c>
    </row>
    <row r="446" spans="1:21" ht="45" x14ac:dyDescent="0.25">
      <c r="A446" s="56">
        <v>43276</v>
      </c>
      <c r="B446" s="29" t="s">
        <v>569</v>
      </c>
      <c r="C446" s="29" t="s">
        <v>899</v>
      </c>
      <c r="D446" s="29" t="s">
        <v>625</v>
      </c>
      <c r="E446" s="29" t="s">
        <v>588</v>
      </c>
      <c r="F446" s="29" t="s">
        <v>9104</v>
      </c>
      <c r="G446" s="29" t="s">
        <v>11595</v>
      </c>
      <c r="H446" s="29" t="s">
        <v>1050</v>
      </c>
      <c r="I446" s="29" t="s">
        <v>2054</v>
      </c>
      <c r="J446" s="29" t="s">
        <v>899</v>
      </c>
      <c r="L446" s="182">
        <v>1</v>
      </c>
      <c r="M446" s="113">
        <v>700000</v>
      </c>
      <c r="N446" s="113">
        <v>770000</v>
      </c>
      <c r="O446" s="189" t="s">
        <v>2295</v>
      </c>
      <c r="P446" s="53" t="s">
        <v>11596</v>
      </c>
      <c r="Q446" s="53" t="s">
        <v>29</v>
      </c>
      <c r="R446" s="53" t="s">
        <v>11597</v>
      </c>
      <c r="U446" s="29" t="s">
        <v>491</v>
      </c>
    </row>
    <row r="447" spans="1:21" ht="45" x14ac:dyDescent="0.25">
      <c r="A447" s="56">
        <v>43276</v>
      </c>
      <c r="B447" s="29" t="s">
        <v>328</v>
      </c>
      <c r="C447" s="29" t="s">
        <v>603</v>
      </c>
      <c r="D447" s="29" t="s">
        <v>649</v>
      </c>
      <c r="E447" s="29" t="s">
        <v>588</v>
      </c>
      <c r="F447" s="29" t="s">
        <v>11613</v>
      </c>
      <c r="G447" s="29" t="s">
        <v>11612</v>
      </c>
      <c r="H447" s="29" t="s">
        <v>10829</v>
      </c>
      <c r="I447" s="29" t="s">
        <v>11611</v>
      </c>
      <c r="J447" s="29" t="s">
        <v>3751</v>
      </c>
      <c r="L447" s="182">
        <v>6</v>
      </c>
      <c r="M447" s="113">
        <v>120000</v>
      </c>
      <c r="N447" s="113">
        <v>120000</v>
      </c>
      <c r="O447" s="189" t="s">
        <v>10762</v>
      </c>
      <c r="P447" s="53" t="s">
        <v>11610</v>
      </c>
      <c r="Q447" s="53" t="s">
        <v>592</v>
      </c>
      <c r="R447" s="53" t="s">
        <v>11609</v>
      </c>
      <c r="U447" s="29" t="s">
        <v>1327</v>
      </c>
    </row>
    <row r="448" spans="1:21" ht="45" x14ac:dyDescent="0.25">
      <c r="A448" s="56">
        <v>43276</v>
      </c>
      <c r="B448" s="29" t="s">
        <v>328</v>
      </c>
      <c r="C448" s="29" t="s">
        <v>603</v>
      </c>
      <c r="D448" s="29" t="s">
        <v>8941</v>
      </c>
      <c r="E448" s="29" t="s">
        <v>588</v>
      </c>
      <c r="F448" s="29" t="s">
        <v>10966</v>
      </c>
      <c r="G448" s="29" t="s">
        <v>11614</v>
      </c>
      <c r="H448" s="29" t="s">
        <v>607</v>
      </c>
      <c r="I448" s="29" t="s">
        <v>11615</v>
      </c>
      <c r="J448" s="29" t="s">
        <v>3373</v>
      </c>
      <c r="L448" s="182">
        <v>5</v>
      </c>
      <c r="M448" s="113">
        <v>195000</v>
      </c>
      <c r="N448" s="113">
        <v>364500</v>
      </c>
      <c r="O448" s="189" t="s">
        <v>10766</v>
      </c>
      <c r="P448" s="53" t="s">
        <v>11698</v>
      </c>
      <c r="Q448" s="53" t="s">
        <v>1939</v>
      </c>
      <c r="R448" s="53" t="s">
        <v>11616</v>
      </c>
      <c r="U448" s="29" t="s">
        <v>1327</v>
      </c>
    </row>
    <row r="449" spans="1:21" ht="30" x14ac:dyDescent="0.25">
      <c r="A449" s="56">
        <v>43276</v>
      </c>
      <c r="B449" s="29" t="s">
        <v>569</v>
      </c>
      <c r="C449" s="29" t="s">
        <v>899</v>
      </c>
      <c r="D449" s="29" t="s">
        <v>624</v>
      </c>
      <c r="E449" s="29" t="s">
        <v>588</v>
      </c>
      <c r="F449" s="29" t="s">
        <v>11620</v>
      </c>
      <c r="H449" s="29" t="s">
        <v>607</v>
      </c>
      <c r="I449" s="29" t="s">
        <v>4794</v>
      </c>
      <c r="J449" s="29" t="s">
        <v>899</v>
      </c>
      <c r="L449" s="182">
        <v>1</v>
      </c>
      <c r="M449" s="113" t="s">
        <v>11619</v>
      </c>
      <c r="N449" s="113">
        <v>3235300</v>
      </c>
      <c r="O449" s="189" t="s">
        <v>560</v>
      </c>
      <c r="P449" s="53" t="s">
        <v>11618</v>
      </c>
      <c r="Q449" s="53" t="s">
        <v>1939</v>
      </c>
      <c r="R449" s="53" t="s">
        <v>11617</v>
      </c>
      <c r="U449" s="29" t="s">
        <v>1327</v>
      </c>
    </row>
    <row r="450" spans="1:21" ht="30" x14ac:dyDescent="0.25">
      <c r="A450" s="56">
        <v>43276</v>
      </c>
      <c r="B450" s="29" t="s">
        <v>569</v>
      </c>
      <c r="C450" s="29" t="s">
        <v>899</v>
      </c>
      <c r="D450" s="29" t="s">
        <v>624</v>
      </c>
      <c r="E450" s="29" t="s">
        <v>588</v>
      </c>
      <c r="F450" s="29" t="s">
        <v>11621</v>
      </c>
      <c r="G450" s="29" t="s">
        <v>11621</v>
      </c>
      <c r="H450" s="29" t="s">
        <v>607</v>
      </c>
      <c r="I450" s="29" t="s">
        <v>3929</v>
      </c>
      <c r="J450" s="29" t="s">
        <v>899</v>
      </c>
      <c r="M450" s="113">
        <v>550000</v>
      </c>
      <c r="N450" s="113">
        <v>630000</v>
      </c>
      <c r="O450" s="189" t="s">
        <v>6745</v>
      </c>
      <c r="P450" s="53" t="s">
        <v>11699</v>
      </c>
      <c r="Q450" s="53" t="s">
        <v>1939</v>
      </c>
      <c r="R450" s="53" t="s">
        <v>11622</v>
      </c>
      <c r="U450" s="29" t="s">
        <v>1327</v>
      </c>
    </row>
    <row r="451" spans="1:21" ht="60" x14ac:dyDescent="0.25">
      <c r="A451" s="56">
        <v>43276</v>
      </c>
      <c r="B451" s="29" t="s">
        <v>9240</v>
      </c>
      <c r="C451" s="29" t="s">
        <v>603</v>
      </c>
      <c r="D451" s="29" t="s">
        <v>9849</v>
      </c>
      <c r="E451" s="29" t="s">
        <v>588</v>
      </c>
      <c r="F451" s="29" t="s">
        <v>11625</v>
      </c>
      <c r="G451" s="29" t="s">
        <v>757</v>
      </c>
      <c r="H451" s="29" t="s">
        <v>607</v>
      </c>
      <c r="J451" s="29" t="s">
        <v>3533</v>
      </c>
      <c r="L451" s="182">
        <v>7</v>
      </c>
      <c r="M451" s="113">
        <v>315000</v>
      </c>
      <c r="N451" s="113">
        <v>625000</v>
      </c>
      <c r="O451" s="189" t="s">
        <v>10766</v>
      </c>
      <c r="P451" s="53" t="s">
        <v>11624</v>
      </c>
      <c r="Q451" s="53" t="s">
        <v>1939</v>
      </c>
      <c r="R451" s="53" t="s">
        <v>11623</v>
      </c>
      <c r="U451" s="29" t="s">
        <v>1327</v>
      </c>
    </row>
    <row r="452" spans="1:21" ht="15.75" x14ac:dyDescent="0.25">
      <c r="A452" s="56">
        <v>43276</v>
      </c>
      <c r="B452" s="29" t="s">
        <v>9240</v>
      </c>
      <c r="C452" s="29" t="s">
        <v>603</v>
      </c>
      <c r="D452" s="29" t="s">
        <v>9849</v>
      </c>
      <c r="E452" s="29" t="s">
        <v>588</v>
      </c>
      <c r="F452" s="29" t="s">
        <v>9299</v>
      </c>
      <c r="G452" s="29" t="s">
        <v>15</v>
      </c>
      <c r="H452" s="29" t="s">
        <v>607</v>
      </c>
      <c r="I452" s="29" t="s">
        <v>6974</v>
      </c>
      <c r="J452" s="29" t="s">
        <v>3373</v>
      </c>
      <c r="L452" s="182">
        <v>9</v>
      </c>
      <c r="M452" s="113">
        <v>558000</v>
      </c>
      <c r="N452" s="113">
        <v>1034176</v>
      </c>
      <c r="O452" s="189" t="s">
        <v>4533</v>
      </c>
      <c r="P452" s="53" t="s">
        <v>11627</v>
      </c>
      <c r="Q452" s="53" t="s">
        <v>592</v>
      </c>
      <c r="R452" s="53" t="s">
        <v>11626</v>
      </c>
      <c r="U452" s="29" t="s">
        <v>1327</v>
      </c>
    </row>
    <row r="453" spans="1:21" ht="45" x14ac:dyDescent="0.25">
      <c r="A453" s="56">
        <v>43276</v>
      </c>
      <c r="B453" s="29" t="s">
        <v>328</v>
      </c>
      <c r="C453" s="29" t="s">
        <v>603</v>
      </c>
      <c r="D453" s="29" t="s">
        <v>8941</v>
      </c>
      <c r="E453" s="29" t="s">
        <v>588</v>
      </c>
      <c r="F453" s="29" t="s">
        <v>11628</v>
      </c>
      <c r="G453" s="29" t="s">
        <v>833</v>
      </c>
      <c r="H453" s="29" t="s">
        <v>607</v>
      </c>
      <c r="I453" s="29" t="s">
        <v>9530</v>
      </c>
      <c r="J453" s="29" t="s">
        <v>899</v>
      </c>
      <c r="L453" s="182">
        <v>3</v>
      </c>
      <c r="M453" s="113">
        <v>2362320</v>
      </c>
      <c r="N453" s="113">
        <v>3134904</v>
      </c>
      <c r="O453" s="189" t="s">
        <v>560</v>
      </c>
      <c r="P453" s="53" t="s">
        <v>11629</v>
      </c>
      <c r="Q453" s="53" t="s">
        <v>1939</v>
      </c>
      <c r="R453" s="53" t="s">
        <v>11630</v>
      </c>
      <c r="U453" s="29" t="s">
        <v>1327</v>
      </c>
    </row>
    <row r="454" spans="1:21" ht="60" x14ac:dyDescent="0.25">
      <c r="A454" s="56">
        <v>43276</v>
      </c>
      <c r="B454" s="29" t="s">
        <v>328</v>
      </c>
      <c r="C454" s="29" t="s">
        <v>603</v>
      </c>
      <c r="D454" s="29" t="s">
        <v>5701</v>
      </c>
      <c r="E454" s="29" t="s">
        <v>588</v>
      </c>
      <c r="F454" s="29" t="s">
        <v>11633</v>
      </c>
      <c r="G454" s="29" t="s">
        <v>8941</v>
      </c>
      <c r="H454" s="29" t="s">
        <v>607</v>
      </c>
      <c r="I454" s="29" t="s">
        <v>11632</v>
      </c>
      <c r="J454" s="29" t="s">
        <v>3373</v>
      </c>
      <c r="L454" s="182">
        <v>4</v>
      </c>
      <c r="M454" s="113">
        <v>956000</v>
      </c>
      <c r="N454" s="113">
        <v>2239250</v>
      </c>
      <c r="O454" s="189" t="s">
        <v>10766</v>
      </c>
      <c r="P454" s="53" t="s">
        <v>11700</v>
      </c>
      <c r="Q454" s="53" t="s">
        <v>1939</v>
      </c>
      <c r="R454" s="53" t="s">
        <v>11631</v>
      </c>
      <c r="U454" s="29" t="s">
        <v>1327</v>
      </c>
    </row>
    <row r="455" spans="1:21" ht="45" x14ac:dyDescent="0.25">
      <c r="A455" s="56">
        <v>43277</v>
      </c>
      <c r="B455" s="29" t="s">
        <v>328</v>
      </c>
      <c r="C455" s="29" t="s">
        <v>603</v>
      </c>
      <c r="D455" s="29" t="s">
        <v>8941</v>
      </c>
      <c r="E455" s="29" t="s">
        <v>588</v>
      </c>
      <c r="F455" s="29" t="s">
        <v>11639</v>
      </c>
      <c r="G455" s="29" t="s">
        <v>8777</v>
      </c>
      <c r="H455" s="29" t="s">
        <v>607</v>
      </c>
      <c r="I455" s="29" t="s">
        <v>11640</v>
      </c>
      <c r="J455" s="29" t="s">
        <v>899</v>
      </c>
      <c r="L455" s="182">
        <v>4</v>
      </c>
      <c r="M455" s="113">
        <v>800000</v>
      </c>
      <c r="N455" s="113">
        <v>1860000</v>
      </c>
      <c r="O455" s="189" t="s">
        <v>10766</v>
      </c>
      <c r="P455" s="53" t="s">
        <v>11641</v>
      </c>
      <c r="Q455" s="53" t="s">
        <v>1939</v>
      </c>
      <c r="R455" s="53" t="s">
        <v>11642</v>
      </c>
      <c r="U455" s="29" t="s">
        <v>1327</v>
      </c>
    </row>
    <row r="456" spans="1:21" ht="30" x14ac:dyDescent="0.25">
      <c r="A456" s="56">
        <v>43277</v>
      </c>
      <c r="B456" s="29" t="s">
        <v>569</v>
      </c>
      <c r="C456" s="29" t="s">
        <v>899</v>
      </c>
      <c r="D456" s="29" t="s">
        <v>625</v>
      </c>
      <c r="E456" s="29" t="s">
        <v>588</v>
      </c>
      <c r="F456" s="29" t="s">
        <v>11646</v>
      </c>
      <c r="G456" s="29" t="s">
        <v>11645</v>
      </c>
      <c r="H456" s="29" t="s">
        <v>607</v>
      </c>
      <c r="I456" s="29" t="s">
        <v>2054</v>
      </c>
      <c r="J456" s="29" t="s">
        <v>899</v>
      </c>
      <c r="M456" s="113">
        <v>609000</v>
      </c>
      <c r="N456" s="113">
        <v>1200000</v>
      </c>
      <c r="O456" s="189" t="s">
        <v>10766</v>
      </c>
      <c r="P456" s="53" t="s">
        <v>11644</v>
      </c>
      <c r="Q456" s="53" t="s">
        <v>620</v>
      </c>
      <c r="R456" s="53" t="s">
        <v>11643</v>
      </c>
      <c r="U456" s="29" t="s">
        <v>1327</v>
      </c>
    </row>
    <row r="457" spans="1:21" ht="15.75" x14ac:dyDescent="0.25">
      <c r="A457" s="56">
        <v>43277</v>
      </c>
      <c r="B457" s="29" t="s">
        <v>569</v>
      </c>
      <c r="C457" s="29" t="s">
        <v>899</v>
      </c>
      <c r="D457" s="29" t="s">
        <v>624</v>
      </c>
      <c r="E457" s="29" t="s">
        <v>588</v>
      </c>
      <c r="F457" s="29" t="s">
        <v>11381</v>
      </c>
      <c r="G457" s="29" t="s">
        <v>11647</v>
      </c>
      <c r="H457" s="29" t="s">
        <v>607</v>
      </c>
      <c r="I457" s="29" t="s">
        <v>3649</v>
      </c>
      <c r="J457" s="29" t="s">
        <v>899</v>
      </c>
      <c r="M457" s="113">
        <v>1350000</v>
      </c>
      <c r="N457" s="113">
        <v>1810000</v>
      </c>
      <c r="O457" s="189" t="s">
        <v>560</v>
      </c>
      <c r="P457" s="53" t="s">
        <v>11648</v>
      </c>
      <c r="Q457" s="53" t="s">
        <v>592</v>
      </c>
      <c r="R457" s="53" t="s">
        <v>11649</v>
      </c>
      <c r="U457" s="29" t="s">
        <v>1327</v>
      </c>
    </row>
    <row r="458" spans="1:21" ht="45" x14ac:dyDescent="0.25">
      <c r="A458" s="56">
        <v>43277</v>
      </c>
      <c r="B458" s="29" t="s">
        <v>328</v>
      </c>
      <c r="C458" s="29" t="s">
        <v>603</v>
      </c>
      <c r="D458" s="29" t="s">
        <v>10338</v>
      </c>
      <c r="E458" s="29" t="s">
        <v>588</v>
      </c>
      <c r="F458" s="29" t="s">
        <v>11652</v>
      </c>
      <c r="G458" s="29" t="s">
        <v>8515</v>
      </c>
      <c r="H458" s="29" t="s">
        <v>5321</v>
      </c>
      <c r="I458" s="29" t="s">
        <v>9681</v>
      </c>
      <c r="J458" s="29" t="s">
        <v>899</v>
      </c>
      <c r="L458" s="182">
        <v>3</v>
      </c>
      <c r="M458" s="113">
        <v>1073000</v>
      </c>
      <c r="N458" s="113">
        <v>1931400</v>
      </c>
      <c r="O458" s="189" t="s">
        <v>10766</v>
      </c>
      <c r="P458" s="53" t="s">
        <v>11651</v>
      </c>
      <c r="Q458" s="53" t="s">
        <v>592</v>
      </c>
      <c r="R458" s="53" t="s">
        <v>11650</v>
      </c>
      <c r="U458" s="29" t="s">
        <v>1327</v>
      </c>
    </row>
    <row r="459" spans="1:21" ht="60" x14ac:dyDescent="0.25">
      <c r="A459" s="56">
        <v>43277</v>
      </c>
      <c r="B459" s="29" t="s">
        <v>6076</v>
      </c>
      <c r="C459" s="29" t="s">
        <v>3370</v>
      </c>
      <c r="D459" s="29" t="s">
        <v>10524</v>
      </c>
      <c r="E459" s="29" t="s">
        <v>588</v>
      </c>
      <c r="F459" s="29" t="s">
        <v>8966</v>
      </c>
      <c r="H459" s="29" t="s">
        <v>607</v>
      </c>
      <c r="I459" s="29" t="s">
        <v>4016</v>
      </c>
      <c r="J459" s="29" t="s">
        <v>3370</v>
      </c>
      <c r="O459" s="189" t="s">
        <v>6745</v>
      </c>
      <c r="P459" s="53" t="s">
        <v>11653</v>
      </c>
      <c r="Q459" s="53" t="s">
        <v>1939</v>
      </c>
      <c r="R459" s="53" t="s">
        <v>11654</v>
      </c>
      <c r="U459" s="29" t="s">
        <v>1327</v>
      </c>
    </row>
    <row r="460" spans="1:21" ht="60" x14ac:dyDescent="0.25">
      <c r="A460" s="56">
        <v>43278</v>
      </c>
      <c r="B460" s="29" t="s">
        <v>1788</v>
      </c>
      <c r="C460" s="29" t="s">
        <v>3369</v>
      </c>
      <c r="D460" s="29" t="s">
        <v>1789</v>
      </c>
      <c r="E460" s="29" t="s">
        <v>588</v>
      </c>
      <c r="F460" s="29" t="s">
        <v>11634</v>
      </c>
      <c r="G460" s="29" t="s">
        <v>11635</v>
      </c>
      <c r="H460" s="29" t="s">
        <v>905</v>
      </c>
      <c r="I460" s="29" t="s">
        <v>11636</v>
      </c>
      <c r="J460" s="29" t="s">
        <v>4825</v>
      </c>
      <c r="L460" s="182">
        <v>1</v>
      </c>
      <c r="M460" s="113">
        <v>396000</v>
      </c>
      <c r="N460" s="113">
        <v>470000</v>
      </c>
      <c r="O460" s="189" t="s">
        <v>6745</v>
      </c>
      <c r="P460" s="53" t="s">
        <v>11637</v>
      </c>
      <c r="Q460" s="53" t="s">
        <v>1939</v>
      </c>
      <c r="R460" s="53" t="s">
        <v>11638</v>
      </c>
      <c r="U460" s="29" t="s">
        <v>491</v>
      </c>
    </row>
    <row r="461" spans="1:21" ht="30" x14ac:dyDescent="0.25">
      <c r="A461" s="56">
        <v>43279</v>
      </c>
      <c r="B461" s="29" t="s">
        <v>9240</v>
      </c>
      <c r="C461" s="29" t="s">
        <v>603</v>
      </c>
      <c r="D461" s="29" t="s">
        <v>9241</v>
      </c>
      <c r="E461" s="29" t="s">
        <v>588</v>
      </c>
      <c r="F461" s="29" t="s">
        <v>8475</v>
      </c>
      <c r="G461" s="29" t="s">
        <v>11655</v>
      </c>
      <c r="H461" s="29" t="s">
        <v>607</v>
      </c>
      <c r="I461" s="29" t="s">
        <v>11656</v>
      </c>
      <c r="J461" s="29" t="s">
        <v>3368</v>
      </c>
      <c r="L461" s="182">
        <v>1</v>
      </c>
      <c r="M461" s="113">
        <v>116083</v>
      </c>
      <c r="N461" s="113">
        <v>325032</v>
      </c>
      <c r="O461" s="189" t="s">
        <v>10766</v>
      </c>
      <c r="P461" s="53" t="s">
        <v>11657</v>
      </c>
      <c r="Q461" s="53" t="s">
        <v>1939</v>
      </c>
      <c r="R461" s="53" t="s">
        <v>11658</v>
      </c>
      <c r="U461" s="29" t="s">
        <v>1327</v>
      </c>
    </row>
    <row r="462" spans="1:21" ht="30" x14ac:dyDescent="0.25">
      <c r="A462" s="56">
        <v>43279</v>
      </c>
      <c r="B462" s="29" t="s">
        <v>569</v>
      </c>
      <c r="C462" s="29" t="s">
        <v>899</v>
      </c>
      <c r="D462" s="29" t="s">
        <v>3505</v>
      </c>
      <c r="E462" s="29" t="s">
        <v>588</v>
      </c>
      <c r="F462" s="29" t="s">
        <v>11662</v>
      </c>
      <c r="G462" s="29" t="s">
        <v>11661</v>
      </c>
      <c r="H462" s="29" t="s">
        <v>607</v>
      </c>
      <c r="I462" s="29" t="s">
        <v>10301</v>
      </c>
      <c r="J462" s="29" t="s">
        <v>899</v>
      </c>
      <c r="L462" s="182">
        <v>2</v>
      </c>
      <c r="M462" s="113">
        <v>1894568</v>
      </c>
      <c r="N462" s="113">
        <v>3894568</v>
      </c>
      <c r="O462" s="189" t="s">
        <v>560</v>
      </c>
      <c r="P462" s="53" t="s">
        <v>11660</v>
      </c>
      <c r="Q462" s="53" t="s">
        <v>592</v>
      </c>
      <c r="R462" s="53" t="s">
        <v>11659</v>
      </c>
      <c r="U462" s="29" t="s">
        <v>1327</v>
      </c>
    </row>
    <row r="463" spans="1:21" ht="75" x14ac:dyDescent="0.25">
      <c r="A463" s="56">
        <v>43279</v>
      </c>
      <c r="B463" s="29" t="s">
        <v>328</v>
      </c>
      <c r="C463" s="29" t="s">
        <v>603</v>
      </c>
      <c r="D463" s="29" t="s">
        <v>8941</v>
      </c>
      <c r="E463" s="29" t="s">
        <v>588</v>
      </c>
      <c r="F463" s="29" t="s">
        <v>11663</v>
      </c>
      <c r="G463" s="29" t="s">
        <v>256</v>
      </c>
      <c r="H463" s="29" t="s">
        <v>905</v>
      </c>
      <c r="I463" s="29" t="s">
        <v>8649</v>
      </c>
      <c r="J463" s="29" t="s">
        <v>5509</v>
      </c>
      <c r="L463" s="182">
        <v>10</v>
      </c>
      <c r="M463" s="113">
        <v>1400000</v>
      </c>
      <c r="N463" s="113">
        <v>3020000</v>
      </c>
      <c r="O463" s="189" t="s">
        <v>7124</v>
      </c>
      <c r="P463" s="53" t="s">
        <v>11664</v>
      </c>
      <c r="Q463" s="53" t="s">
        <v>620</v>
      </c>
      <c r="R463" s="53" t="s">
        <v>11665</v>
      </c>
      <c r="U463" s="29" t="s">
        <v>1327</v>
      </c>
    </row>
    <row r="464" spans="1:21" ht="60" x14ac:dyDescent="0.25">
      <c r="A464" s="56">
        <v>43279</v>
      </c>
      <c r="B464" s="29" t="s">
        <v>328</v>
      </c>
      <c r="C464" s="29" t="s">
        <v>603</v>
      </c>
      <c r="D464" s="29" t="s">
        <v>10338</v>
      </c>
      <c r="E464" s="29" t="s">
        <v>588</v>
      </c>
      <c r="F464" s="29" t="s">
        <v>11667</v>
      </c>
      <c r="G464" s="29" t="s">
        <v>7714</v>
      </c>
      <c r="H464" s="29" t="s">
        <v>905</v>
      </c>
      <c r="J464" s="29" t="s">
        <v>899</v>
      </c>
      <c r="L464" s="182">
        <v>3</v>
      </c>
      <c r="M464" s="113">
        <v>423300</v>
      </c>
      <c r="N464" s="113">
        <v>592560</v>
      </c>
      <c r="O464" s="189" t="s">
        <v>10766</v>
      </c>
      <c r="P464" s="53" t="s">
        <v>11701</v>
      </c>
      <c r="Q464" s="53" t="s">
        <v>1939</v>
      </c>
      <c r="R464" s="53" t="s">
        <v>11666</v>
      </c>
      <c r="U464" s="29" t="s">
        <v>1327</v>
      </c>
    </row>
    <row r="465" spans="1:23" ht="45" x14ac:dyDescent="0.25">
      <c r="A465" s="56">
        <v>43279</v>
      </c>
      <c r="B465" s="29" t="s">
        <v>569</v>
      </c>
      <c r="C465" s="29" t="s">
        <v>899</v>
      </c>
      <c r="D465" s="29" t="s">
        <v>9981</v>
      </c>
      <c r="E465" s="29" t="s">
        <v>588</v>
      </c>
      <c r="F465" s="29" t="s">
        <v>11668</v>
      </c>
      <c r="G465" s="29" t="s">
        <v>11669</v>
      </c>
      <c r="H465" s="29" t="s">
        <v>607</v>
      </c>
      <c r="I465" s="29" t="s">
        <v>2054</v>
      </c>
      <c r="J465" s="29" t="s">
        <v>899</v>
      </c>
      <c r="M465" s="113">
        <v>1350000</v>
      </c>
      <c r="N465" s="113">
        <v>2160000</v>
      </c>
      <c r="O465" s="189" t="s">
        <v>10766</v>
      </c>
      <c r="P465" s="53" t="s">
        <v>11670</v>
      </c>
      <c r="Q465" s="53" t="s">
        <v>1939</v>
      </c>
      <c r="R465" s="53" t="s">
        <v>11671</v>
      </c>
      <c r="U465" s="29" t="s">
        <v>1327</v>
      </c>
    </row>
    <row r="466" spans="1:23" ht="30" x14ac:dyDescent="0.25">
      <c r="A466" s="56">
        <v>43279</v>
      </c>
      <c r="B466" s="29" t="s">
        <v>6076</v>
      </c>
      <c r="C466" s="29" t="s">
        <v>3370</v>
      </c>
      <c r="D466" s="29" t="s">
        <v>10524</v>
      </c>
      <c r="E466" s="29" t="s">
        <v>588</v>
      </c>
      <c r="F466" s="29" t="s">
        <v>11675</v>
      </c>
      <c r="G466" s="29" t="s">
        <v>11674</v>
      </c>
      <c r="H466" s="29" t="s">
        <v>607</v>
      </c>
      <c r="I466" s="29" t="s">
        <v>4016</v>
      </c>
      <c r="J466" s="29" t="s">
        <v>3370</v>
      </c>
      <c r="L466" s="182">
        <v>2</v>
      </c>
      <c r="M466" s="113">
        <v>460000</v>
      </c>
      <c r="N466" s="113">
        <v>880000</v>
      </c>
      <c r="O466" s="189" t="s">
        <v>10879</v>
      </c>
      <c r="P466" s="53" t="s">
        <v>11673</v>
      </c>
      <c r="Q466" s="53" t="s">
        <v>592</v>
      </c>
      <c r="R466" s="53" t="s">
        <v>11672</v>
      </c>
      <c r="U466" s="29" t="s">
        <v>1327</v>
      </c>
    </row>
    <row r="467" spans="1:23" ht="15.75" x14ac:dyDescent="0.25">
      <c r="A467" s="56">
        <v>43279</v>
      </c>
      <c r="B467" s="29" t="s">
        <v>5360</v>
      </c>
      <c r="C467" s="29" t="s">
        <v>899</v>
      </c>
      <c r="D467" s="29" t="s">
        <v>732</v>
      </c>
      <c r="E467" s="29" t="s">
        <v>588</v>
      </c>
      <c r="F467" s="29" t="s">
        <v>11676</v>
      </c>
      <c r="G467" s="29" t="s">
        <v>11677</v>
      </c>
      <c r="H467" s="29" t="s">
        <v>607</v>
      </c>
      <c r="I467" s="29" t="s">
        <v>3492</v>
      </c>
      <c r="J467" s="29" t="s">
        <v>899</v>
      </c>
      <c r="L467" s="182">
        <v>2</v>
      </c>
      <c r="M467" s="113">
        <v>1535659</v>
      </c>
      <c r="N467" s="113">
        <v>3001318</v>
      </c>
      <c r="O467" s="189" t="s">
        <v>560</v>
      </c>
      <c r="P467" s="53" t="s">
        <v>11678</v>
      </c>
      <c r="Q467" s="53" t="s">
        <v>592</v>
      </c>
      <c r="R467" s="53" t="s">
        <v>11679</v>
      </c>
      <c r="U467" s="29" t="s">
        <v>1327</v>
      </c>
    </row>
    <row r="468" spans="1:23" ht="45" x14ac:dyDescent="0.25">
      <c r="A468" s="56">
        <v>43280</v>
      </c>
      <c r="B468" s="29" t="s">
        <v>569</v>
      </c>
      <c r="C468" s="29" t="s">
        <v>899</v>
      </c>
      <c r="D468" s="29" t="s">
        <v>625</v>
      </c>
      <c r="E468" s="29" t="s">
        <v>588</v>
      </c>
      <c r="F468" s="29" t="s">
        <v>8589</v>
      </c>
      <c r="H468" s="29" t="s">
        <v>10831</v>
      </c>
      <c r="I468" s="29" t="s">
        <v>11682</v>
      </c>
      <c r="J468" s="29" t="s">
        <v>899</v>
      </c>
      <c r="L468" s="182" t="s">
        <v>10512</v>
      </c>
      <c r="N468" s="113">
        <v>3525800</v>
      </c>
      <c r="O468" s="189" t="s">
        <v>7124</v>
      </c>
      <c r="P468" s="53" t="s">
        <v>11681</v>
      </c>
      <c r="Q468" s="53" t="s">
        <v>29</v>
      </c>
      <c r="R468" s="53" t="s">
        <v>11680</v>
      </c>
      <c r="U468" s="29" t="s">
        <v>1327</v>
      </c>
    </row>
    <row r="469" spans="1:23" ht="30" x14ac:dyDescent="0.25">
      <c r="A469" s="56">
        <v>43280</v>
      </c>
      <c r="B469" s="29" t="s">
        <v>110</v>
      </c>
      <c r="C469" s="29" t="s">
        <v>761</v>
      </c>
      <c r="D469" s="29" t="s">
        <v>715</v>
      </c>
      <c r="E469" s="29" t="s">
        <v>588</v>
      </c>
      <c r="F469" s="29" t="s">
        <v>11683</v>
      </c>
      <c r="G469" s="29" t="s">
        <v>7880</v>
      </c>
      <c r="H469" s="29" t="s">
        <v>10831</v>
      </c>
      <c r="I469" s="29" t="s">
        <v>11684</v>
      </c>
      <c r="J469" s="29" t="s">
        <v>604</v>
      </c>
      <c r="L469" s="182">
        <v>5</v>
      </c>
      <c r="M469" s="113">
        <v>350000</v>
      </c>
      <c r="N469" s="113">
        <v>630000</v>
      </c>
      <c r="O469" s="189" t="s">
        <v>10762</v>
      </c>
      <c r="P469" s="53" t="s">
        <v>11685</v>
      </c>
      <c r="Q469" s="53" t="s">
        <v>1939</v>
      </c>
      <c r="R469" s="53" t="s">
        <v>11686</v>
      </c>
      <c r="U469" s="29" t="s">
        <v>1327</v>
      </c>
    </row>
    <row r="470" spans="1:23" s="146" customFormat="1" ht="60" x14ac:dyDescent="0.25">
      <c r="A470" s="144">
        <v>43280</v>
      </c>
      <c r="B470" s="146" t="s">
        <v>569</v>
      </c>
      <c r="C470" s="146" t="s">
        <v>899</v>
      </c>
      <c r="D470" s="146" t="s">
        <v>625</v>
      </c>
      <c r="E470" s="146" t="s">
        <v>588</v>
      </c>
      <c r="F470" s="146" t="s">
        <v>11542</v>
      </c>
      <c r="G470" s="146" t="s">
        <v>11541</v>
      </c>
      <c r="H470" s="146" t="s">
        <v>886</v>
      </c>
      <c r="I470" s="146" t="s">
        <v>5501</v>
      </c>
      <c r="J470" s="146" t="s">
        <v>899</v>
      </c>
      <c r="K470" s="217"/>
      <c r="L470" s="183"/>
      <c r="M470" s="187"/>
      <c r="N470" s="187">
        <v>1124000</v>
      </c>
      <c r="O470" s="191" t="s">
        <v>2295</v>
      </c>
      <c r="P470" s="149" t="s">
        <v>11702</v>
      </c>
      <c r="Q470" s="149" t="s">
        <v>1939</v>
      </c>
      <c r="R470" s="149" t="s">
        <v>11540</v>
      </c>
      <c r="S470" s="149"/>
      <c r="U470" s="146" t="s">
        <v>1327</v>
      </c>
      <c r="W470" s="149"/>
    </row>
    <row r="471" spans="1:23" ht="30" x14ac:dyDescent="0.25">
      <c r="A471" s="56">
        <v>43283</v>
      </c>
      <c r="B471" s="29" t="s">
        <v>328</v>
      </c>
      <c r="C471" s="29" t="s">
        <v>603</v>
      </c>
      <c r="D471" s="29" t="s">
        <v>5701</v>
      </c>
      <c r="E471" s="29" t="s">
        <v>588</v>
      </c>
      <c r="F471" s="29" t="s">
        <v>11158</v>
      </c>
      <c r="G471" s="29" t="s">
        <v>11704</v>
      </c>
      <c r="H471" s="29" t="s">
        <v>1050</v>
      </c>
      <c r="I471" s="29" t="s">
        <v>11705</v>
      </c>
      <c r="J471" s="29" t="s">
        <v>3368</v>
      </c>
      <c r="L471" s="182">
        <v>1</v>
      </c>
      <c r="M471" s="113">
        <v>185000</v>
      </c>
      <c r="N471" s="113">
        <v>206500</v>
      </c>
      <c r="O471" s="189" t="s">
        <v>2295</v>
      </c>
      <c r="P471" s="53" t="s">
        <v>11706</v>
      </c>
      <c r="Q471" s="53" t="s">
        <v>1939</v>
      </c>
      <c r="R471" s="53" t="s">
        <v>11707</v>
      </c>
      <c r="U471" s="29" t="s">
        <v>1327</v>
      </c>
    </row>
    <row r="472" spans="1:23" ht="60" x14ac:dyDescent="0.25">
      <c r="A472" s="56">
        <v>43284</v>
      </c>
      <c r="B472" s="29" t="s">
        <v>569</v>
      </c>
      <c r="C472" s="29" t="s">
        <v>899</v>
      </c>
      <c r="D472" s="29" t="s">
        <v>3505</v>
      </c>
      <c r="E472" s="29" t="s">
        <v>588</v>
      </c>
      <c r="F472" s="29" t="s">
        <v>11708</v>
      </c>
      <c r="G472" s="29" t="s">
        <v>11709</v>
      </c>
      <c r="H472" s="29" t="s">
        <v>607</v>
      </c>
      <c r="I472" s="29" t="s">
        <v>6166</v>
      </c>
      <c r="J472" s="29" t="s">
        <v>899</v>
      </c>
      <c r="L472" s="182">
        <v>5</v>
      </c>
      <c r="M472" s="113">
        <v>650000</v>
      </c>
      <c r="N472" s="113">
        <v>1350000</v>
      </c>
      <c r="O472" s="189" t="s">
        <v>4533</v>
      </c>
      <c r="P472" s="53" t="s">
        <v>11710</v>
      </c>
      <c r="Q472" s="53" t="s">
        <v>1939</v>
      </c>
      <c r="R472" s="53" t="s">
        <v>11711</v>
      </c>
      <c r="U472" s="29" t="s">
        <v>491</v>
      </c>
    </row>
    <row r="473" spans="1:23" ht="75" x14ac:dyDescent="0.25">
      <c r="A473" s="56">
        <v>43284</v>
      </c>
      <c r="B473" s="29" t="s">
        <v>328</v>
      </c>
      <c r="C473" s="29" t="s">
        <v>603</v>
      </c>
      <c r="D473" s="29" t="s">
        <v>649</v>
      </c>
      <c r="E473" s="29" t="s">
        <v>588</v>
      </c>
      <c r="F473" s="29" t="s">
        <v>11712</v>
      </c>
      <c r="G473" s="29" t="s">
        <v>7880</v>
      </c>
      <c r="H473" s="29" t="s">
        <v>607</v>
      </c>
      <c r="I473" s="29" t="s">
        <v>11713</v>
      </c>
      <c r="J473" s="29" t="s">
        <v>3751</v>
      </c>
      <c r="L473" s="182">
        <v>4</v>
      </c>
      <c r="M473" s="113">
        <v>196000</v>
      </c>
      <c r="N473" s="113">
        <v>400000</v>
      </c>
      <c r="O473" s="189" t="s">
        <v>4533</v>
      </c>
      <c r="P473" s="53" t="s">
        <v>11714</v>
      </c>
      <c r="Q473" s="53" t="s">
        <v>1939</v>
      </c>
      <c r="R473" s="53" t="s">
        <v>11715</v>
      </c>
      <c r="U473" s="29" t="s">
        <v>491</v>
      </c>
    </row>
    <row r="474" spans="1:23" ht="30" x14ac:dyDescent="0.25">
      <c r="A474" s="56">
        <v>43286</v>
      </c>
      <c r="B474" s="29" t="s">
        <v>328</v>
      </c>
      <c r="C474" s="29" t="s">
        <v>603</v>
      </c>
      <c r="D474" s="29" t="s">
        <v>8941</v>
      </c>
      <c r="E474" s="29" t="s">
        <v>588</v>
      </c>
      <c r="F474" s="29" t="s">
        <v>11741</v>
      </c>
      <c r="G474" s="29" t="s">
        <v>11742</v>
      </c>
      <c r="H474" s="29" t="s">
        <v>607</v>
      </c>
      <c r="I474" s="29" t="s">
        <v>11743</v>
      </c>
      <c r="J474" s="29" t="s">
        <v>3751</v>
      </c>
      <c r="L474" s="182">
        <v>6</v>
      </c>
      <c r="M474" s="113">
        <v>313000</v>
      </c>
      <c r="N474" s="113">
        <v>234750</v>
      </c>
      <c r="O474" s="189" t="s">
        <v>4533</v>
      </c>
      <c r="P474" s="53" t="s">
        <v>11744</v>
      </c>
      <c r="Q474" s="53" t="s">
        <v>1939</v>
      </c>
      <c r="R474" s="53" t="s">
        <v>11745</v>
      </c>
      <c r="U474" s="29" t="s">
        <v>1327</v>
      </c>
    </row>
    <row r="475" spans="1:23" ht="30" x14ac:dyDescent="0.25">
      <c r="A475" s="56">
        <v>43286</v>
      </c>
      <c r="B475" s="29" t="s">
        <v>569</v>
      </c>
      <c r="C475" s="29" t="s">
        <v>899</v>
      </c>
      <c r="D475" s="29" t="s">
        <v>625</v>
      </c>
      <c r="E475" s="29" t="s">
        <v>588</v>
      </c>
      <c r="F475" s="29" t="s">
        <v>11748</v>
      </c>
      <c r="G475" s="29" t="s">
        <v>11747</v>
      </c>
      <c r="H475" s="29" t="s">
        <v>905</v>
      </c>
      <c r="I475" s="29" t="s">
        <v>3649</v>
      </c>
      <c r="J475" s="29" t="s">
        <v>899</v>
      </c>
      <c r="L475" s="182">
        <v>8</v>
      </c>
      <c r="M475" s="113">
        <v>1287000</v>
      </c>
      <c r="N475" s="113">
        <v>2111000</v>
      </c>
      <c r="O475" s="189" t="s">
        <v>560</v>
      </c>
      <c r="P475" s="53" t="s">
        <v>11996</v>
      </c>
      <c r="Q475" s="53" t="s">
        <v>592</v>
      </c>
      <c r="R475" s="53" t="s">
        <v>11746</v>
      </c>
      <c r="U475" s="29" t="s">
        <v>1327</v>
      </c>
    </row>
    <row r="476" spans="1:23" ht="15.75" x14ac:dyDescent="0.25">
      <c r="A476" s="56">
        <v>43287</v>
      </c>
      <c r="B476" s="29" t="s">
        <v>9240</v>
      </c>
      <c r="C476" s="29" t="s">
        <v>603</v>
      </c>
      <c r="D476" s="29" t="s">
        <v>9241</v>
      </c>
      <c r="E476" s="29" t="s">
        <v>588</v>
      </c>
      <c r="F476" s="29" t="s">
        <v>8099</v>
      </c>
      <c r="G476" s="29" t="s">
        <v>11749</v>
      </c>
      <c r="H476" s="29" t="s">
        <v>905</v>
      </c>
      <c r="I476" s="29" t="s">
        <v>11750</v>
      </c>
      <c r="J476" s="29" t="s">
        <v>608</v>
      </c>
      <c r="M476" s="113">
        <v>148000</v>
      </c>
      <c r="N476" s="113">
        <v>158000</v>
      </c>
      <c r="O476" s="189" t="s">
        <v>6745</v>
      </c>
      <c r="P476" s="53" t="s">
        <v>11751</v>
      </c>
      <c r="Q476" s="53" t="s">
        <v>29</v>
      </c>
      <c r="R476" s="53" t="s">
        <v>11752</v>
      </c>
      <c r="U476" s="29" t="s">
        <v>1327</v>
      </c>
    </row>
    <row r="477" spans="1:23" ht="30" x14ac:dyDescent="0.25">
      <c r="A477" s="56">
        <v>43287</v>
      </c>
      <c r="B477" s="29" t="s">
        <v>5360</v>
      </c>
      <c r="C477" s="29" t="s">
        <v>899</v>
      </c>
      <c r="D477" s="29" t="s">
        <v>611</v>
      </c>
      <c r="E477" s="29" t="s">
        <v>588</v>
      </c>
      <c r="F477" s="29" t="s">
        <v>11756</v>
      </c>
      <c r="G477" s="29" t="s">
        <v>11755</v>
      </c>
      <c r="H477" s="29" t="s">
        <v>607</v>
      </c>
      <c r="I477" s="29" t="s">
        <v>8990</v>
      </c>
      <c r="J477" s="29" t="s">
        <v>899</v>
      </c>
      <c r="L477" s="182">
        <v>3</v>
      </c>
      <c r="M477" s="113">
        <v>2600000</v>
      </c>
      <c r="N477" s="113">
        <v>4680000</v>
      </c>
      <c r="O477" s="189" t="s">
        <v>560</v>
      </c>
      <c r="P477" s="53" t="s">
        <v>11754</v>
      </c>
      <c r="Q477" s="53" t="s">
        <v>592</v>
      </c>
      <c r="R477" s="53" t="s">
        <v>11753</v>
      </c>
      <c r="U477" s="29" t="s">
        <v>1327</v>
      </c>
    </row>
    <row r="478" spans="1:23" ht="30" x14ac:dyDescent="0.25">
      <c r="A478" s="56">
        <v>43287</v>
      </c>
      <c r="B478" s="29" t="s">
        <v>5360</v>
      </c>
      <c r="C478" s="29" t="s">
        <v>899</v>
      </c>
      <c r="D478" s="29" t="s">
        <v>732</v>
      </c>
      <c r="E478" s="29" t="s">
        <v>588</v>
      </c>
      <c r="F478" s="29" t="s">
        <v>11757</v>
      </c>
      <c r="G478" s="29" t="s">
        <v>11758</v>
      </c>
      <c r="H478" s="29" t="s">
        <v>607</v>
      </c>
      <c r="I478" s="29" t="s">
        <v>10542</v>
      </c>
      <c r="J478" s="29" t="s">
        <v>899</v>
      </c>
      <c r="L478" s="182">
        <v>3</v>
      </c>
      <c r="M478" s="113">
        <v>643000</v>
      </c>
      <c r="N478" s="113">
        <v>971600</v>
      </c>
      <c r="O478" s="189" t="s">
        <v>4533</v>
      </c>
      <c r="P478" s="53" t="s">
        <v>11997</v>
      </c>
      <c r="Q478" s="53" t="s">
        <v>1939</v>
      </c>
      <c r="R478" s="53" t="s">
        <v>11759</v>
      </c>
      <c r="U478" s="29" t="s">
        <v>1327</v>
      </c>
    </row>
    <row r="479" spans="1:23" ht="30" x14ac:dyDescent="0.25">
      <c r="A479" s="193">
        <v>43290</v>
      </c>
      <c r="B479" s="53" t="s">
        <v>569</v>
      </c>
      <c r="C479" s="53" t="s">
        <v>899</v>
      </c>
      <c r="D479" s="53" t="s">
        <v>625</v>
      </c>
      <c r="E479" s="53" t="s">
        <v>588</v>
      </c>
      <c r="F479" s="53" t="s">
        <v>11762</v>
      </c>
      <c r="G479" s="53" t="s">
        <v>7978</v>
      </c>
      <c r="H479" s="53" t="s">
        <v>905</v>
      </c>
      <c r="I479" s="53" t="s">
        <v>3649</v>
      </c>
      <c r="J479" s="53" t="s">
        <v>899</v>
      </c>
      <c r="K479" s="219"/>
      <c r="L479" s="194">
        <v>8</v>
      </c>
      <c r="M479" s="195">
        <v>351000</v>
      </c>
      <c r="N479" s="195">
        <v>456300</v>
      </c>
      <c r="O479" s="189" t="s">
        <v>10762</v>
      </c>
      <c r="P479" s="53" t="s">
        <v>11761</v>
      </c>
      <c r="Q479" s="53" t="s">
        <v>1939</v>
      </c>
      <c r="R479" s="53" t="s">
        <v>11760</v>
      </c>
      <c r="T479" s="53"/>
      <c r="U479" s="53" t="s">
        <v>1327</v>
      </c>
      <c r="V479" s="53"/>
    </row>
    <row r="480" spans="1:23" ht="15.75" x14ac:dyDescent="0.25">
      <c r="A480" s="193">
        <v>43290</v>
      </c>
      <c r="B480" s="53" t="s">
        <v>569</v>
      </c>
      <c r="C480" s="53" t="s">
        <v>899</v>
      </c>
      <c r="D480" s="53" t="s">
        <v>624</v>
      </c>
      <c r="E480" s="53" t="s">
        <v>588</v>
      </c>
      <c r="F480" s="53" t="s">
        <v>11763</v>
      </c>
      <c r="G480" s="53" t="s">
        <v>11763</v>
      </c>
      <c r="H480" s="53" t="s">
        <v>1050</v>
      </c>
      <c r="I480" s="53" t="s">
        <v>4438</v>
      </c>
      <c r="J480" s="53" t="s">
        <v>899</v>
      </c>
      <c r="K480" s="219"/>
      <c r="L480" s="194"/>
      <c r="M480" s="195">
        <v>2500000</v>
      </c>
      <c r="N480" s="195">
        <v>2750000</v>
      </c>
      <c r="O480" s="189" t="s">
        <v>560</v>
      </c>
      <c r="P480" s="53" t="s">
        <v>11764</v>
      </c>
      <c r="Q480" s="53" t="s">
        <v>592</v>
      </c>
      <c r="R480" s="53" t="s">
        <v>11765</v>
      </c>
      <c r="T480" s="53"/>
      <c r="U480" s="53" t="s">
        <v>1327</v>
      </c>
      <c r="V480" s="53"/>
    </row>
    <row r="481" spans="1:22" ht="30" x14ac:dyDescent="0.25">
      <c r="A481" s="193">
        <v>43291</v>
      </c>
      <c r="B481" s="53" t="s">
        <v>328</v>
      </c>
      <c r="C481" s="53" t="s">
        <v>603</v>
      </c>
      <c r="D481" s="53" t="s">
        <v>7595</v>
      </c>
      <c r="E481" s="53" t="s">
        <v>588</v>
      </c>
      <c r="F481" s="53" t="s">
        <v>11768</v>
      </c>
      <c r="G481" s="53" t="s">
        <v>11155</v>
      </c>
      <c r="H481" s="53" t="s">
        <v>607</v>
      </c>
      <c r="I481" s="53" t="s">
        <v>9318</v>
      </c>
      <c r="J481" s="53" t="s">
        <v>3751</v>
      </c>
      <c r="K481" s="219"/>
      <c r="L481" s="194">
        <v>3</v>
      </c>
      <c r="M481" s="195">
        <v>250000</v>
      </c>
      <c r="N481" s="195">
        <v>450000</v>
      </c>
      <c r="O481" s="189" t="s">
        <v>4533</v>
      </c>
      <c r="P481" s="53" t="s">
        <v>11767</v>
      </c>
      <c r="Q481" s="53" t="s">
        <v>1939</v>
      </c>
      <c r="R481" s="53" t="s">
        <v>11766</v>
      </c>
      <c r="T481" s="53"/>
      <c r="U481" s="53" t="s">
        <v>1327</v>
      </c>
      <c r="V481" s="53"/>
    </row>
    <row r="482" spans="1:22" ht="30" x14ac:dyDescent="0.25">
      <c r="A482" s="193">
        <v>43291</v>
      </c>
      <c r="B482" s="53" t="s">
        <v>9240</v>
      </c>
      <c r="C482" s="53" t="s">
        <v>603</v>
      </c>
      <c r="D482" s="53" t="s">
        <v>7814</v>
      </c>
      <c r="E482" s="53" t="s">
        <v>588</v>
      </c>
      <c r="F482" s="53" t="s">
        <v>11769</v>
      </c>
      <c r="G482" s="53" t="s">
        <v>11770</v>
      </c>
      <c r="H482" s="53" t="s">
        <v>607</v>
      </c>
      <c r="I482" s="53" t="s">
        <v>11771</v>
      </c>
      <c r="J482" s="53" t="s">
        <v>603</v>
      </c>
      <c r="K482" s="219"/>
      <c r="L482" s="194"/>
      <c r="M482" s="195">
        <v>410000</v>
      </c>
      <c r="N482" s="195">
        <v>740000</v>
      </c>
      <c r="O482" s="189" t="s">
        <v>4533</v>
      </c>
      <c r="P482" s="53" t="s">
        <v>11772</v>
      </c>
      <c r="Q482" s="53" t="s">
        <v>29</v>
      </c>
      <c r="R482" s="53" t="s">
        <v>11773</v>
      </c>
      <c r="T482" s="53"/>
      <c r="U482" s="53" t="s">
        <v>1327</v>
      </c>
      <c r="V482" s="53"/>
    </row>
    <row r="483" spans="1:22" ht="45" x14ac:dyDescent="0.25">
      <c r="A483" s="193">
        <v>43291</v>
      </c>
      <c r="B483" s="53" t="s">
        <v>328</v>
      </c>
      <c r="C483" s="53" t="s">
        <v>603</v>
      </c>
      <c r="D483" s="53" t="s">
        <v>757</v>
      </c>
      <c r="E483" s="53" t="s">
        <v>588</v>
      </c>
      <c r="F483" s="53" t="s">
        <v>11774</v>
      </c>
      <c r="G483" s="53" t="s">
        <v>11774</v>
      </c>
      <c r="H483" s="53" t="s">
        <v>809</v>
      </c>
      <c r="I483" s="53" t="s">
        <v>11775</v>
      </c>
      <c r="J483" s="53" t="s">
        <v>11776</v>
      </c>
      <c r="K483" s="219"/>
      <c r="L483" s="194">
        <v>2</v>
      </c>
      <c r="M483" s="195">
        <v>725000</v>
      </c>
      <c r="N483" s="195">
        <v>7975000</v>
      </c>
      <c r="O483" s="189" t="s">
        <v>10766</v>
      </c>
      <c r="P483" s="53" t="s">
        <v>11777</v>
      </c>
      <c r="Q483" s="53" t="s">
        <v>592</v>
      </c>
      <c r="R483" s="53" t="s">
        <v>11778</v>
      </c>
      <c r="T483" s="53"/>
      <c r="U483" s="53" t="s">
        <v>1327</v>
      </c>
      <c r="V483" s="53"/>
    </row>
    <row r="484" spans="1:22" ht="45" x14ac:dyDescent="0.25">
      <c r="A484" s="56">
        <v>43292</v>
      </c>
      <c r="B484" s="29" t="s">
        <v>328</v>
      </c>
      <c r="C484" s="29" t="s">
        <v>603</v>
      </c>
      <c r="D484" s="29" t="s">
        <v>7595</v>
      </c>
      <c r="E484" s="29" t="s">
        <v>588</v>
      </c>
      <c r="F484" s="29" t="s">
        <v>8013</v>
      </c>
      <c r="G484" s="29" t="s">
        <v>11716</v>
      </c>
      <c r="H484" s="29" t="s">
        <v>607</v>
      </c>
      <c r="I484" s="29" t="s">
        <v>11717</v>
      </c>
      <c r="J484" s="29" t="s">
        <v>3612</v>
      </c>
      <c r="L484" s="182">
        <v>1</v>
      </c>
      <c r="M484" s="113">
        <v>719000</v>
      </c>
      <c r="N484" s="113">
        <v>1366100</v>
      </c>
      <c r="O484" s="189" t="s">
        <v>10766</v>
      </c>
      <c r="P484" s="53" t="s">
        <v>11718</v>
      </c>
      <c r="Q484" s="53" t="s">
        <v>592</v>
      </c>
      <c r="R484" s="53" t="s">
        <v>11722</v>
      </c>
      <c r="U484" s="29" t="s">
        <v>491</v>
      </c>
    </row>
    <row r="485" spans="1:22" ht="75" x14ac:dyDescent="0.25">
      <c r="A485" s="56">
        <v>43292</v>
      </c>
      <c r="B485" s="29" t="s">
        <v>328</v>
      </c>
      <c r="C485" s="29" t="s">
        <v>603</v>
      </c>
      <c r="D485" s="29" t="s">
        <v>672</v>
      </c>
      <c r="E485" s="29" t="s">
        <v>588</v>
      </c>
      <c r="F485" s="29" t="s">
        <v>11719</v>
      </c>
      <c r="G485" s="29" t="s">
        <v>9173</v>
      </c>
      <c r="H485" s="29" t="s">
        <v>607</v>
      </c>
      <c r="I485" s="29" t="s">
        <v>11720</v>
      </c>
      <c r="J485" s="29" t="s">
        <v>4785</v>
      </c>
      <c r="L485" s="182">
        <v>7</v>
      </c>
      <c r="M485" s="113">
        <v>310000</v>
      </c>
      <c r="N485" s="113">
        <v>589000</v>
      </c>
      <c r="O485" s="189" t="s">
        <v>10766</v>
      </c>
      <c r="P485" s="53" t="s">
        <v>11998</v>
      </c>
      <c r="Q485" s="53" t="s">
        <v>592</v>
      </c>
      <c r="R485" s="53" t="s">
        <v>11721</v>
      </c>
      <c r="U485" s="29" t="s">
        <v>491</v>
      </c>
    </row>
    <row r="486" spans="1:22" ht="90" x14ac:dyDescent="0.25">
      <c r="A486" s="56">
        <v>43292</v>
      </c>
      <c r="B486" s="29" t="s">
        <v>569</v>
      </c>
      <c r="C486" s="29" t="s">
        <v>899</v>
      </c>
      <c r="D486" s="29" t="s">
        <v>625</v>
      </c>
      <c r="E486" s="29" t="s">
        <v>588</v>
      </c>
      <c r="F486" s="29" t="s">
        <v>11723</v>
      </c>
      <c r="G486" s="29" t="s">
        <v>11724</v>
      </c>
      <c r="H486" s="29" t="s">
        <v>905</v>
      </c>
      <c r="I486" s="29" t="s">
        <v>3672</v>
      </c>
      <c r="J486" s="29" t="s">
        <v>899</v>
      </c>
      <c r="M486" s="113">
        <v>575000</v>
      </c>
      <c r="N486" s="113">
        <v>750000</v>
      </c>
      <c r="O486" s="189" t="s">
        <v>10766</v>
      </c>
      <c r="P486" s="53" t="s">
        <v>11725</v>
      </c>
      <c r="Q486" s="53" t="s">
        <v>1939</v>
      </c>
      <c r="R486" s="53" t="s">
        <v>11726</v>
      </c>
      <c r="U486" s="29" t="s">
        <v>491</v>
      </c>
    </row>
    <row r="487" spans="1:22" ht="75" x14ac:dyDescent="0.25">
      <c r="A487" s="56">
        <v>43293</v>
      </c>
      <c r="B487" s="29" t="s">
        <v>328</v>
      </c>
      <c r="C487" s="29" t="s">
        <v>603</v>
      </c>
      <c r="D487" s="29" t="s">
        <v>5701</v>
      </c>
      <c r="E487" s="29" t="s">
        <v>588</v>
      </c>
      <c r="F487" s="29" t="s">
        <v>11727</v>
      </c>
      <c r="G487" s="29" t="s">
        <v>11728</v>
      </c>
      <c r="H487" s="29" t="s">
        <v>905</v>
      </c>
      <c r="J487" s="29" t="s">
        <v>899</v>
      </c>
      <c r="L487" s="182">
        <v>2</v>
      </c>
      <c r="M487" s="113">
        <v>1700000</v>
      </c>
      <c r="N487" s="113">
        <v>2480000</v>
      </c>
      <c r="O487" s="189" t="s">
        <v>10766</v>
      </c>
      <c r="P487" s="53" t="s">
        <v>11999</v>
      </c>
      <c r="Q487" s="53" t="s">
        <v>1939</v>
      </c>
      <c r="R487" s="53" t="s">
        <v>11729</v>
      </c>
      <c r="U487" s="29" t="s">
        <v>491</v>
      </c>
    </row>
    <row r="488" spans="1:22" ht="30" x14ac:dyDescent="0.25">
      <c r="A488" s="193">
        <v>43293</v>
      </c>
      <c r="B488" s="53" t="s">
        <v>569</v>
      </c>
      <c r="C488" s="53" t="s">
        <v>899</v>
      </c>
      <c r="D488" s="53" t="s">
        <v>11286</v>
      </c>
      <c r="E488" s="53" t="s">
        <v>588</v>
      </c>
      <c r="F488" s="53" t="s">
        <v>11779</v>
      </c>
      <c r="G488" s="53" t="s">
        <v>9332</v>
      </c>
      <c r="H488" s="53" t="s">
        <v>607</v>
      </c>
      <c r="I488" s="53" t="s">
        <v>8520</v>
      </c>
      <c r="J488" s="53" t="s">
        <v>899</v>
      </c>
      <c r="K488" s="219"/>
      <c r="L488" s="194"/>
      <c r="M488" s="195">
        <v>247700</v>
      </c>
      <c r="N488" s="195">
        <v>317000</v>
      </c>
      <c r="O488" s="189" t="s">
        <v>7564</v>
      </c>
      <c r="P488" s="53" t="s">
        <v>12000</v>
      </c>
      <c r="Q488" s="53" t="s">
        <v>1939</v>
      </c>
      <c r="R488" s="53" t="s">
        <v>11780</v>
      </c>
      <c r="T488" s="53"/>
      <c r="U488" s="53" t="s">
        <v>1327</v>
      </c>
      <c r="V488" s="53"/>
    </row>
    <row r="489" spans="1:22" ht="30" x14ac:dyDescent="0.25">
      <c r="A489" s="193">
        <v>43293</v>
      </c>
      <c r="B489" s="53" t="s">
        <v>569</v>
      </c>
      <c r="C489" s="53" t="s">
        <v>899</v>
      </c>
      <c r="D489" s="53" t="s">
        <v>11031</v>
      </c>
      <c r="E489" s="53" t="s">
        <v>588</v>
      </c>
      <c r="F489" s="53" t="s">
        <v>11781</v>
      </c>
      <c r="G489" s="53" t="s">
        <v>8267</v>
      </c>
      <c r="H489" s="53" t="s">
        <v>10831</v>
      </c>
      <c r="I489" s="53" t="s">
        <v>8479</v>
      </c>
      <c r="J489" s="53" t="s">
        <v>899</v>
      </c>
      <c r="K489" s="219"/>
      <c r="L489" s="194"/>
      <c r="M489" s="195">
        <v>1430000</v>
      </c>
      <c r="N489" s="195">
        <v>2502500</v>
      </c>
      <c r="O489" s="189" t="s">
        <v>10766</v>
      </c>
      <c r="P489" s="53" t="s">
        <v>11782</v>
      </c>
      <c r="Q489" s="53" t="s">
        <v>1939</v>
      </c>
      <c r="R489" s="53" t="s">
        <v>11783</v>
      </c>
      <c r="T489" s="53"/>
      <c r="U489" s="53" t="s">
        <v>1327</v>
      </c>
      <c r="V489" s="53"/>
    </row>
    <row r="490" spans="1:22" ht="45" x14ac:dyDescent="0.25">
      <c r="A490" s="193">
        <v>43293</v>
      </c>
      <c r="B490" s="53" t="s">
        <v>569</v>
      </c>
      <c r="C490" s="53" t="s">
        <v>899</v>
      </c>
      <c r="D490" s="53" t="s">
        <v>625</v>
      </c>
      <c r="E490" s="53" t="s">
        <v>588</v>
      </c>
      <c r="F490" s="53" t="s">
        <v>11784</v>
      </c>
      <c r="G490" s="53" t="s">
        <v>11785</v>
      </c>
      <c r="H490" s="53" t="s">
        <v>607</v>
      </c>
      <c r="I490" s="53" t="s">
        <v>4438</v>
      </c>
      <c r="J490" s="53" t="s">
        <v>899</v>
      </c>
      <c r="K490" s="219"/>
      <c r="L490" s="194"/>
      <c r="M490" s="195"/>
      <c r="N490" s="195">
        <v>4450000</v>
      </c>
      <c r="O490" s="189" t="s">
        <v>560</v>
      </c>
      <c r="P490" s="53" t="s">
        <v>12001</v>
      </c>
      <c r="Q490" s="53" t="s">
        <v>592</v>
      </c>
      <c r="R490" s="53" t="s">
        <v>12002</v>
      </c>
      <c r="T490" s="53"/>
      <c r="U490" s="53" t="s">
        <v>1327</v>
      </c>
      <c r="V490" s="53"/>
    </row>
    <row r="491" spans="1:22" ht="30" x14ac:dyDescent="0.25">
      <c r="A491" s="193">
        <v>43293</v>
      </c>
      <c r="B491" s="53" t="s">
        <v>328</v>
      </c>
      <c r="C491" s="53" t="s">
        <v>603</v>
      </c>
      <c r="D491" s="53" t="s">
        <v>672</v>
      </c>
      <c r="E491" s="53" t="s">
        <v>588</v>
      </c>
      <c r="F491" s="53" t="s">
        <v>11786</v>
      </c>
      <c r="G491" s="53" t="s">
        <v>11787</v>
      </c>
      <c r="H491" s="53" t="s">
        <v>607</v>
      </c>
      <c r="I491" s="53"/>
      <c r="J491" s="53" t="s">
        <v>11788</v>
      </c>
      <c r="K491" s="219"/>
      <c r="L491" s="194"/>
      <c r="M491" s="195">
        <v>214000</v>
      </c>
      <c r="N491" s="195">
        <v>428000</v>
      </c>
      <c r="O491" s="189" t="s">
        <v>10766</v>
      </c>
      <c r="P491" s="53" t="s">
        <v>11789</v>
      </c>
      <c r="Q491" s="53" t="s">
        <v>1939</v>
      </c>
      <c r="R491" s="53" t="s">
        <v>11790</v>
      </c>
      <c r="T491" s="53"/>
      <c r="U491" s="53" t="s">
        <v>1327</v>
      </c>
      <c r="V491" s="53"/>
    </row>
    <row r="492" spans="1:22" ht="75" x14ac:dyDescent="0.25">
      <c r="A492" s="193">
        <v>43293</v>
      </c>
      <c r="B492" s="53" t="s">
        <v>5360</v>
      </c>
      <c r="C492" s="53" t="s">
        <v>899</v>
      </c>
      <c r="D492" s="53" t="s">
        <v>732</v>
      </c>
      <c r="E492" s="53" t="s">
        <v>588</v>
      </c>
      <c r="F492" s="53" t="s">
        <v>11791</v>
      </c>
      <c r="G492" s="53" t="s">
        <v>11791</v>
      </c>
      <c r="H492" s="53" t="s">
        <v>886</v>
      </c>
      <c r="I492" s="53" t="s">
        <v>11792</v>
      </c>
      <c r="J492" s="53" t="s">
        <v>899</v>
      </c>
      <c r="K492" s="219"/>
      <c r="L492" s="194">
        <v>3</v>
      </c>
      <c r="M492" s="195">
        <v>1200000</v>
      </c>
      <c r="N492" s="195">
        <v>1200000</v>
      </c>
      <c r="O492" s="189" t="s">
        <v>10766</v>
      </c>
      <c r="P492" s="53" t="s">
        <v>11793</v>
      </c>
      <c r="Q492" s="53" t="s">
        <v>592</v>
      </c>
      <c r="R492" s="53" t="s">
        <v>11794</v>
      </c>
      <c r="T492" s="53"/>
      <c r="U492" s="53" t="s">
        <v>1327</v>
      </c>
      <c r="V492" s="53"/>
    </row>
    <row r="493" spans="1:22" ht="45" x14ac:dyDescent="0.25">
      <c r="A493" s="193">
        <v>43293</v>
      </c>
      <c r="B493" s="53" t="s">
        <v>5473</v>
      </c>
      <c r="C493" s="53" t="s">
        <v>608</v>
      </c>
      <c r="D493" s="53" t="s">
        <v>11795</v>
      </c>
      <c r="E493" s="53" t="s">
        <v>588</v>
      </c>
      <c r="F493" s="53" t="s">
        <v>11796</v>
      </c>
      <c r="G493" s="53" t="s">
        <v>11796</v>
      </c>
      <c r="H493" s="53" t="s">
        <v>10832</v>
      </c>
      <c r="I493" s="53" t="s">
        <v>4051</v>
      </c>
      <c r="J493" s="53" t="s">
        <v>602</v>
      </c>
      <c r="K493" s="219"/>
      <c r="L493" s="194">
        <v>3</v>
      </c>
      <c r="M493" s="195">
        <v>816036</v>
      </c>
      <c r="N493" s="195">
        <v>1041036</v>
      </c>
      <c r="O493" s="189" t="s">
        <v>10879</v>
      </c>
      <c r="P493" s="53" t="s">
        <v>12003</v>
      </c>
      <c r="Q493" s="53" t="s">
        <v>592</v>
      </c>
      <c r="R493" s="53" t="s">
        <v>11797</v>
      </c>
      <c r="T493" s="53"/>
      <c r="U493" s="53" t="s">
        <v>1327</v>
      </c>
      <c r="V493" s="53"/>
    </row>
    <row r="494" spans="1:22" ht="15.75" x14ac:dyDescent="0.25">
      <c r="A494" s="193">
        <v>43293</v>
      </c>
      <c r="B494" s="53" t="s">
        <v>5473</v>
      </c>
      <c r="C494" s="53" t="s">
        <v>608</v>
      </c>
      <c r="D494" s="53" t="s">
        <v>11800</v>
      </c>
      <c r="E494" s="53" t="s">
        <v>588</v>
      </c>
      <c r="F494" s="53" t="s">
        <v>8735</v>
      </c>
      <c r="G494" s="53" t="s">
        <v>11799</v>
      </c>
      <c r="H494" s="53" t="s">
        <v>10831</v>
      </c>
      <c r="I494" s="53" t="s">
        <v>11798</v>
      </c>
      <c r="J494" s="53" t="s">
        <v>602</v>
      </c>
      <c r="K494" s="219"/>
      <c r="L494" s="194"/>
      <c r="M494" s="195">
        <v>3900000</v>
      </c>
      <c r="N494" s="195">
        <v>5000000</v>
      </c>
      <c r="O494" s="189" t="s">
        <v>560</v>
      </c>
      <c r="P494" s="53" t="s">
        <v>11801</v>
      </c>
      <c r="Q494" s="53" t="s">
        <v>29</v>
      </c>
      <c r="R494" s="53" t="s">
        <v>11802</v>
      </c>
      <c r="T494" s="53"/>
      <c r="U494" s="53" t="s">
        <v>1327</v>
      </c>
      <c r="V494" s="53"/>
    </row>
    <row r="495" spans="1:22" ht="30" x14ac:dyDescent="0.25">
      <c r="A495" s="56">
        <v>43294</v>
      </c>
      <c r="B495" s="29" t="s">
        <v>569</v>
      </c>
      <c r="C495" s="29" t="s">
        <v>899</v>
      </c>
      <c r="D495" s="29" t="s">
        <v>625</v>
      </c>
      <c r="E495" s="29" t="s">
        <v>588</v>
      </c>
      <c r="F495" s="29" t="s">
        <v>11730</v>
      </c>
      <c r="H495" s="29" t="s">
        <v>607</v>
      </c>
      <c r="I495" s="29" t="s">
        <v>4438</v>
      </c>
      <c r="J495" s="29" t="s">
        <v>899</v>
      </c>
      <c r="M495" s="113">
        <v>1750000</v>
      </c>
      <c r="N495" s="113">
        <v>2650000</v>
      </c>
      <c r="O495" s="189" t="s">
        <v>560</v>
      </c>
      <c r="P495" s="53" t="s">
        <v>11731</v>
      </c>
      <c r="Q495" s="53" t="s">
        <v>29</v>
      </c>
      <c r="R495" s="53" t="s">
        <v>11732</v>
      </c>
      <c r="U495" s="29" t="s">
        <v>491</v>
      </c>
    </row>
    <row r="496" spans="1:22" ht="60" x14ac:dyDescent="0.25">
      <c r="A496" s="56">
        <v>43294</v>
      </c>
      <c r="B496" s="29" t="s">
        <v>328</v>
      </c>
      <c r="C496" s="29" t="s">
        <v>603</v>
      </c>
      <c r="D496" s="29" t="s">
        <v>649</v>
      </c>
      <c r="E496" s="29" t="s">
        <v>588</v>
      </c>
      <c r="F496" s="29" t="s">
        <v>11733</v>
      </c>
      <c r="G496" s="29" t="s">
        <v>7978</v>
      </c>
      <c r="H496" s="29" t="s">
        <v>607</v>
      </c>
      <c r="I496" s="29" t="s">
        <v>11734</v>
      </c>
      <c r="J496" s="29" t="s">
        <v>899</v>
      </c>
      <c r="L496" s="182">
        <v>3</v>
      </c>
      <c r="M496" s="113">
        <v>1800000</v>
      </c>
      <c r="N496" s="113">
        <v>2600000</v>
      </c>
      <c r="O496" s="189" t="s">
        <v>10766</v>
      </c>
      <c r="P496" s="53" t="s">
        <v>11735</v>
      </c>
      <c r="Q496" s="53" t="s">
        <v>1939</v>
      </c>
      <c r="R496" s="53" t="s">
        <v>11736</v>
      </c>
      <c r="U496" s="29" t="s">
        <v>491</v>
      </c>
    </row>
    <row r="497" spans="1:22" ht="60" x14ac:dyDescent="0.25">
      <c r="A497" s="56">
        <v>43294</v>
      </c>
      <c r="B497" s="29" t="s">
        <v>569</v>
      </c>
      <c r="C497" s="29" t="s">
        <v>899</v>
      </c>
      <c r="D497" s="29" t="s">
        <v>3505</v>
      </c>
      <c r="E497" s="29" t="s">
        <v>588</v>
      </c>
      <c r="F497" s="29" t="s">
        <v>11737</v>
      </c>
      <c r="G497" s="29" t="s">
        <v>11738</v>
      </c>
      <c r="H497" s="29" t="s">
        <v>607</v>
      </c>
      <c r="I497" s="29" t="s">
        <v>10930</v>
      </c>
      <c r="J497" s="29" t="s">
        <v>899</v>
      </c>
      <c r="L497" s="182">
        <v>3</v>
      </c>
      <c r="M497" s="113">
        <v>206000</v>
      </c>
      <c r="N497" s="113">
        <v>390000</v>
      </c>
      <c r="O497" s="189" t="s">
        <v>10766</v>
      </c>
      <c r="P497" s="53" t="s">
        <v>11739</v>
      </c>
      <c r="Q497" s="53" t="s">
        <v>1939</v>
      </c>
      <c r="R497" s="53" t="s">
        <v>11740</v>
      </c>
      <c r="U497" s="29" t="s">
        <v>491</v>
      </c>
      <c r="V497" s="29" t="s">
        <v>833</v>
      </c>
    </row>
    <row r="498" spans="1:22" ht="45" x14ac:dyDescent="0.25">
      <c r="A498" s="193">
        <v>43297</v>
      </c>
      <c r="B498" s="53" t="s">
        <v>328</v>
      </c>
      <c r="C498" s="53" t="s">
        <v>899</v>
      </c>
      <c r="D498" s="53" t="s">
        <v>7595</v>
      </c>
      <c r="E498" s="53" t="s">
        <v>588</v>
      </c>
      <c r="F498" s="53" t="s">
        <v>11813</v>
      </c>
      <c r="G498" s="53" t="s">
        <v>7803</v>
      </c>
      <c r="H498" s="53" t="s">
        <v>607</v>
      </c>
      <c r="I498" s="53" t="s">
        <v>6843</v>
      </c>
      <c r="J498" s="53" t="s">
        <v>899</v>
      </c>
      <c r="K498" s="219"/>
      <c r="L498" s="194">
        <v>3</v>
      </c>
      <c r="M498" s="195">
        <v>2645000</v>
      </c>
      <c r="N498" s="195">
        <v>4207500</v>
      </c>
      <c r="O498" s="189" t="s">
        <v>560</v>
      </c>
      <c r="P498" s="53" t="s">
        <v>11814</v>
      </c>
      <c r="Q498" s="53" t="s">
        <v>592</v>
      </c>
      <c r="R498" s="53" t="s">
        <v>11815</v>
      </c>
      <c r="T498" s="53"/>
      <c r="U498" s="53" t="s">
        <v>1327</v>
      </c>
      <c r="V498" s="53"/>
    </row>
    <row r="499" spans="1:22" ht="15.75" x14ac:dyDescent="0.25">
      <c r="A499" s="193">
        <v>43297</v>
      </c>
      <c r="B499" s="53" t="s">
        <v>5176</v>
      </c>
      <c r="C499" s="53" t="s">
        <v>604</v>
      </c>
      <c r="D499" s="53" t="s">
        <v>727</v>
      </c>
      <c r="E499" s="53" t="s">
        <v>588</v>
      </c>
      <c r="F499" s="53" t="s">
        <v>11817</v>
      </c>
      <c r="G499" s="53" t="s">
        <v>8941</v>
      </c>
      <c r="H499" s="53" t="s">
        <v>10832</v>
      </c>
      <c r="I499" s="53" t="s">
        <v>4515</v>
      </c>
      <c r="J499" s="53" t="s">
        <v>3369</v>
      </c>
      <c r="K499" s="219"/>
      <c r="L499" s="194">
        <v>9</v>
      </c>
      <c r="M499" s="195">
        <v>1500000</v>
      </c>
      <c r="N499" s="195">
        <v>2200000</v>
      </c>
      <c r="O499" s="189" t="s">
        <v>7124</v>
      </c>
      <c r="P499" s="53" t="s">
        <v>12004</v>
      </c>
      <c r="Q499" s="53" t="s">
        <v>1939</v>
      </c>
      <c r="R499" s="53" t="s">
        <v>11816</v>
      </c>
      <c r="T499" s="53"/>
      <c r="U499" s="53" t="s">
        <v>1327</v>
      </c>
      <c r="V499" s="53"/>
    </row>
    <row r="500" spans="1:22" ht="30" x14ac:dyDescent="0.25">
      <c r="A500" s="193">
        <v>43298</v>
      </c>
      <c r="B500" s="53" t="s">
        <v>569</v>
      </c>
      <c r="C500" s="53" t="s">
        <v>899</v>
      </c>
      <c r="D500" s="53" t="s">
        <v>9981</v>
      </c>
      <c r="E500" s="53" t="s">
        <v>588</v>
      </c>
      <c r="F500" s="53" t="s">
        <v>11805</v>
      </c>
      <c r="G500" s="53" t="s">
        <v>7792</v>
      </c>
      <c r="H500" s="53" t="s">
        <v>607</v>
      </c>
      <c r="I500" s="53" t="s">
        <v>4373</v>
      </c>
      <c r="J500" s="53" t="s">
        <v>899</v>
      </c>
      <c r="K500" s="219"/>
      <c r="L500" s="194">
        <v>3</v>
      </c>
      <c r="M500" s="195">
        <v>343000</v>
      </c>
      <c r="N500" s="195">
        <v>771750</v>
      </c>
      <c r="O500" s="189" t="s">
        <v>10765</v>
      </c>
      <c r="P500" s="53" t="s">
        <v>11804</v>
      </c>
      <c r="Q500" s="53" t="s">
        <v>1939</v>
      </c>
      <c r="R500" s="53" t="s">
        <v>11803</v>
      </c>
      <c r="T500" s="53"/>
      <c r="U500" s="53" t="s">
        <v>1327</v>
      </c>
      <c r="V500" s="53"/>
    </row>
    <row r="501" spans="1:22" ht="15.75" x14ac:dyDescent="0.25">
      <c r="A501" s="193">
        <v>43298</v>
      </c>
      <c r="B501" s="53" t="s">
        <v>569</v>
      </c>
      <c r="C501" s="53" t="s">
        <v>899</v>
      </c>
      <c r="D501" s="53" t="s">
        <v>625</v>
      </c>
      <c r="E501" s="53" t="s">
        <v>588</v>
      </c>
      <c r="F501" s="53" t="s">
        <v>11806</v>
      </c>
      <c r="G501" s="53" t="s">
        <v>11807</v>
      </c>
      <c r="H501" s="53" t="s">
        <v>10831</v>
      </c>
      <c r="I501" s="53" t="s">
        <v>3649</v>
      </c>
      <c r="J501" s="53" t="s">
        <v>899</v>
      </c>
      <c r="K501" s="219"/>
      <c r="L501" s="194">
        <v>5</v>
      </c>
      <c r="M501" s="195">
        <v>1188000</v>
      </c>
      <c r="N501" s="195">
        <v>2300000</v>
      </c>
      <c r="O501" s="189" t="s">
        <v>560</v>
      </c>
      <c r="P501" s="53" t="s">
        <v>11808</v>
      </c>
      <c r="Q501" s="53" t="s">
        <v>592</v>
      </c>
      <c r="R501" s="53" t="s">
        <v>11809</v>
      </c>
      <c r="T501" s="53"/>
      <c r="U501" s="53" t="s">
        <v>491</v>
      </c>
      <c r="V501" s="53"/>
    </row>
    <row r="502" spans="1:22" ht="75" x14ac:dyDescent="0.25">
      <c r="A502" s="193">
        <v>43298</v>
      </c>
      <c r="B502" s="53" t="s">
        <v>569</v>
      </c>
      <c r="C502" s="53" t="s">
        <v>899</v>
      </c>
      <c r="D502" s="53" t="s">
        <v>625</v>
      </c>
      <c r="E502" s="53" t="s">
        <v>588</v>
      </c>
      <c r="F502" s="53" t="s">
        <v>11810</v>
      </c>
      <c r="G502" s="53"/>
      <c r="H502" s="53" t="s">
        <v>607</v>
      </c>
      <c r="I502" s="53" t="s">
        <v>9725</v>
      </c>
      <c r="J502" s="53" t="s">
        <v>899</v>
      </c>
      <c r="K502" s="219"/>
      <c r="L502" s="194">
        <v>5</v>
      </c>
      <c r="M502" s="195">
        <v>1200000</v>
      </c>
      <c r="N502" s="195">
        <v>2200000</v>
      </c>
      <c r="O502" s="189" t="s">
        <v>4533</v>
      </c>
      <c r="P502" s="53" t="s">
        <v>11811</v>
      </c>
      <c r="Q502" s="53" t="s">
        <v>1939</v>
      </c>
      <c r="R502" s="53" t="s">
        <v>11812</v>
      </c>
      <c r="T502" s="53"/>
      <c r="U502" s="53" t="s">
        <v>491</v>
      </c>
      <c r="V502" s="53"/>
    </row>
    <row r="503" spans="1:22" ht="45" x14ac:dyDescent="0.25">
      <c r="A503" s="193">
        <v>43298</v>
      </c>
      <c r="B503" s="53" t="s">
        <v>1788</v>
      </c>
      <c r="C503" s="53" t="s">
        <v>3369</v>
      </c>
      <c r="D503" s="53" t="s">
        <v>6360</v>
      </c>
      <c r="E503" s="53" t="s">
        <v>588</v>
      </c>
      <c r="F503" s="53" t="s">
        <v>11818</v>
      </c>
      <c r="G503" s="53" t="s">
        <v>6360</v>
      </c>
      <c r="H503" s="53" t="s">
        <v>10831</v>
      </c>
      <c r="I503" s="53" t="s">
        <v>11819</v>
      </c>
      <c r="J503" s="53" t="s">
        <v>3369</v>
      </c>
      <c r="K503" s="219"/>
      <c r="L503" s="194" t="s">
        <v>7579</v>
      </c>
      <c r="M503" s="195"/>
      <c r="N503" s="195">
        <v>1960451</v>
      </c>
      <c r="O503" s="189" t="s">
        <v>10766</v>
      </c>
      <c r="P503" s="53" t="s">
        <v>11820</v>
      </c>
      <c r="Q503" s="53" t="s">
        <v>1939</v>
      </c>
      <c r="R503" s="53" t="s">
        <v>11821</v>
      </c>
      <c r="T503" s="53"/>
      <c r="U503" s="53" t="s">
        <v>1327</v>
      </c>
      <c r="V503" s="53"/>
    </row>
    <row r="504" spans="1:22" ht="30" x14ac:dyDescent="0.25">
      <c r="A504" s="193">
        <v>43298</v>
      </c>
      <c r="B504" s="53" t="s">
        <v>569</v>
      </c>
      <c r="C504" s="53" t="s">
        <v>899</v>
      </c>
      <c r="D504" s="53" t="s">
        <v>625</v>
      </c>
      <c r="E504" s="53" t="s">
        <v>588</v>
      </c>
      <c r="F504" s="53" t="s">
        <v>7864</v>
      </c>
      <c r="G504" s="53" t="s">
        <v>11824</v>
      </c>
      <c r="H504" s="53" t="s">
        <v>607</v>
      </c>
      <c r="I504" s="53" t="s">
        <v>4438</v>
      </c>
      <c r="J504" s="53" t="s">
        <v>899</v>
      </c>
      <c r="K504" s="219"/>
      <c r="L504" s="194"/>
      <c r="M504" s="195"/>
      <c r="N504" s="118">
        <v>1247400</v>
      </c>
      <c r="O504" s="189" t="s">
        <v>4533</v>
      </c>
      <c r="P504" s="53" t="s">
        <v>11823</v>
      </c>
      <c r="Q504" s="53" t="s">
        <v>1939</v>
      </c>
      <c r="R504" s="53" t="s">
        <v>11822</v>
      </c>
      <c r="T504" s="53"/>
      <c r="U504" s="53" t="s">
        <v>1327</v>
      </c>
      <c r="V504" s="53"/>
    </row>
    <row r="505" spans="1:22" ht="135" x14ac:dyDescent="0.25">
      <c r="A505" s="193">
        <v>43299</v>
      </c>
      <c r="B505" s="53" t="s">
        <v>328</v>
      </c>
      <c r="C505" s="53" t="s">
        <v>603</v>
      </c>
      <c r="D505" s="53" t="s">
        <v>649</v>
      </c>
      <c r="E505" s="53" t="s">
        <v>588</v>
      </c>
      <c r="F505" s="53" t="s">
        <v>11381</v>
      </c>
      <c r="G505" s="53" t="s">
        <v>1789</v>
      </c>
      <c r="H505" s="53" t="s">
        <v>607</v>
      </c>
      <c r="I505" s="53" t="s">
        <v>11825</v>
      </c>
      <c r="J505" s="53" t="s">
        <v>899</v>
      </c>
      <c r="K505" s="219"/>
      <c r="L505" s="194">
        <v>2</v>
      </c>
      <c r="M505" s="195">
        <v>406000</v>
      </c>
      <c r="N505" s="195">
        <v>1044200</v>
      </c>
      <c r="O505" s="189" t="s">
        <v>4533</v>
      </c>
      <c r="P505" s="53" t="s">
        <v>11826</v>
      </c>
      <c r="Q505" s="53" t="s">
        <v>1939</v>
      </c>
      <c r="R505" s="53" t="s">
        <v>12005</v>
      </c>
      <c r="T505" s="53"/>
      <c r="U505" s="53" t="s">
        <v>1327</v>
      </c>
      <c r="V505" s="53"/>
    </row>
    <row r="506" spans="1:22" ht="60" x14ac:dyDescent="0.25">
      <c r="A506" s="193">
        <v>43299</v>
      </c>
      <c r="B506" s="53" t="s">
        <v>569</v>
      </c>
      <c r="C506" s="53" t="s">
        <v>899</v>
      </c>
      <c r="D506" s="53" t="s">
        <v>624</v>
      </c>
      <c r="E506" s="53" t="s">
        <v>588</v>
      </c>
      <c r="F506" s="53" t="s">
        <v>11829</v>
      </c>
      <c r="G506" s="53" t="s">
        <v>11829</v>
      </c>
      <c r="H506" s="53" t="s">
        <v>905</v>
      </c>
      <c r="I506" s="53" t="s">
        <v>8144</v>
      </c>
      <c r="J506" s="53" t="s">
        <v>899</v>
      </c>
      <c r="K506" s="219"/>
      <c r="L506" s="194"/>
      <c r="M506" s="195"/>
      <c r="N506" s="195"/>
      <c r="O506" s="189" t="s">
        <v>10762</v>
      </c>
      <c r="P506" s="53" t="s">
        <v>11828</v>
      </c>
      <c r="Q506" s="53" t="s">
        <v>29</v>
      </c>
      <c r="R506" s="53" t="s">
        <v>11827</v>
      </c>
      <c r="T506" s="53"/>
      <c r="U506" s="53" t="s">
        <v>11539</v>
      </c>
      <c r="V506" s="53"/>
    </row>
    <row r="507" spans="1:22" ht="60" x14ac:dyDescent="0.25">
      <c r="A507" s="193">
        <v>43299</v>
      </c>
      <c r="B507" s="53" t="s">
        <v>328</v>
      </c>
      <c r="C507" s="53" t="s">
        <v>603</v>
      </c>
      <c r="D507" s="53" t="s">
        <v>10338</v>
      </c>
      <c r="E507" s="53" t="s">
        <v>588</v>
      </c>
      <c r="F507" s="53" t="s">
        <v>11830</v>
      </c>
      <c r="G507" s="53" t="s">
        <v>11831</v>
      </c>
      <c r="H507" s="53" t="s">
        <v>607</v>
      </c>
      <c r="I507" s="53" t="s">
        <v>11832</v>
      </c>
      <c r="J507" s="53" t="s">
        <v>4031</v>
      </c>
      <c r="K507" s="219"/>
      <c r="L507" s="194"/>
      <c r="M507" s="195">
        <v>334000</v>
      </c>
      <c r="N507" s="195">
        <v>392900</v>
      </c>
      <c r="O507" s="189" t="s">
        <v>4533</v>
      </c>
      <c r="P507" s="53" t="s">
        <v>11833</v>
      </c>
      <c r="Q507" s="53" t="s">
        <v>592</v>
      </c>
      <c r="R507" s="53" t="s">
        <v>11834</v>
      </c>
      <c r="S507" s="53" t="s">
        <v>833</v>
      </c>
      <c r="T507" s="53"/>
      <c r="U507" s="53" t="s">
        <v>491</v>
      </c>
      <c r="V507" s="53"/>
    </row>
    <row r="508" spans="1:22" ht="60" x14ac:dyDescent="0.25">
      <c r="A508" s="193">
        <v>43299</v>
      </c>
      <c r="B508" s="53" t="s">
        <v>328</v>
      </c>
      <c r="C508" s="53" t="s">
        <v>603</v>
      </c>
      <c r="D508" s="53" t="s">
        <v>672</v>
      </c>
      <c r="E508" s="53" t="s">
        <v>588</v>
      </c>
      <c r="F508" s="53" t="s">
        <v>11835</v>
      </c>
      <c r="G508" s="53" t="s">
        <v>11836</v>
      </c>
      <c r="H508" s="53" t="s">
        <v>809</v>
      </c>
      <c r="I508" s="53" t="s">
        <v>7871</v>
      </c>
      <c r="J508" s="53" t="s">
        <v>6015</v>
      </c>
      <c r="K508" s="219"/>
      <c r="L508" s="194">
        <v>10</v>
      </c>
      <c r="M508" s="195">
        <v>1206000</v>
      </c>
      <c r="N508" s="200">
        <v>1366600</v>
      </c>
      <c r="O508" s="189" t="s">
        <v>10766</v>
      </c>
      <c r="P508" s="53" t="s">
        <v>11837</v>
      </c>
      <c r="Q508" s="53" t="s">
        <v>1939</v>
      </c>
      <c r="R508" s="53" t="s">
        <v>11838</v>
      </c>
      <c r="T508" s="53"/>
      <c r="U508" s="53" t="s">
        <v>491</v>
      </c>
      <c r="V508" s="53"/>
    </row>
    <row r="509" spans="1:22" ht="105" x14ac:dyDescent="0.25">
      <c r="A509" s="193">
        <v>43299</v>
      </c>
      <c r="B509" s="53" t="s">
        <v>6076</v>
      </c>
      <c r="C509" s="53" t="s">
        <v>3370</v>
      </c>
      <c r="D509" s="53" t="s">
        <v>10524</v>
      </c>
      <c r="E509" s="53" t="s">
        <v>588</v>
      </c>
      <c r="F509" s="53" t="s">
        <v>11839</v>
      </c>
      <c r="G509" s="53" t="s">
        <v>11840</v>
      </c>
      <c r="H509" s="53" t="s">
        <v>607</v>
      </c>
      <c r="I509" s="53" t="s">
        <v>11841</v>
      </c>
      <c r="J509" s="53" t="s">
        <v>3370</v>
      </c>
      <c r="K509" s="219"/>
      <c r="L509" s="194"/>
      <c r="M509" s="195">
        <v>120000</v>
      </c>
      <c r="N509" s="195">
        <v>150000</v>
      </c>
      <c r="O509" s="189" t="s">
        <v>10762</v>
      </c>
      <c r="P509" s="53" t="s">
        <v>11842</v>
      </c>
      <c r="Q509" s="53" t="s">
        <v>1939</v>
      </c>
      <c r="R509" s="53" t="s">
        <v>11848</v>
      </c>
      <c r="T509" s="53"/>
      <c r="U509" s="53" t="s">
        <v>491</v>
      </c>
      <c r="V509" s="53"/>
    </row>
    <row r="510" spans="1:22" ht="30" x14ac:dyDescent="0.25">
      <c r="A510" s="193">
        <v>43299</v>
      </c>
      <c r="B510" s="53" t="s">
        <v>569</v>
      </c>
      <c r="C510" s="53" t="s">
        <v>625</v>
      </c>
      <c r="D510" s="53" t="s">
        <v>625</v>
      </c>
      <c r="E510" s="53" t="s">
        <v>588</v>
      </c>
      <c r="F510" s="53" t="s">
        <v>11843</v>
      </c>
      <c r="G510" s="53" t="s">
        <v>7978</v>
      </c>
      <c r="H510" s="53" t="s">
        <v>607</v>
      </c>
      <c r="I510" s="53" t="s">
        <v>11734</v>
      </c>
      <c r="J510" s="53" t="s">
        <v>899</v>
      </c>
      <c r="K510" s="219"/>
      <c r="L510" s="194">
        <v>5</v>
      </c>
      <c r="M510" s="195">
        <v>2750000</v>
      </c>
      <c r="N510" s="195">
        <v>3475000</v>
      </c>
      <c r="O510" s="189" t="s">
        <v>560</v>
      </c>
      <c r="P510" s="53" t="s">
        <v>11844</v>
      </c>
      <c r="Q510" s="53" t="s">
        <v>1939</v>
      </c>
      <c r="R510" s="53" t="s">
        <v>12006</v>
      </c>
      <c r="T510" s="53"/>
      <c r="U510" s="53" t="s">
        <v>491</v>
      </c>
      <c r="V510" s="53"/>
    </row>
    <row r="511" spans="1:22" ht="75" x14ac:dyDescent="0.25">
      <c r="A511" s="193">
        <v>43299</v>
      </c>
      <c r="B511" s="53" t="s">
        <v>328</v>
      </c>
      <c r="C511" s="53" t="s">
        <v>603</v>
      </c>
      <c r="D511" s="53" t="s">
        <v>1401</v>
      </c>
      <c r="E511" s="53" t="s">
        <v>588</v>
      </c>
      <c r="F511" s="53" t="s">
        <v>11845</v>
      </c>
      <c r="G511" s="53" t="s">
        <v>9461</v>
      </c>
      <c r="H511" s="53" t="s">
        <v>10831</v>
      </c>
      <c r="I511" s="53" t="s">
        <v>314</v>
      </c>
      <c r="J511" s="53" t="s">
        <v>3501</v>
      </c>
      <c r="K511" s="219"/>
      <c r="L511" s="194">
        <v>10</v>
      </c>
      <c r="M511" s="195">
        <v>115000</v>
      </c>
      <c r="N511" s="195">
        <v>218500</v>
      </c>
      <c r="O511" s="189" t="s">
        <v>7124</v>
      </c>
      <c r="P511" s="53" t="s">
        <v>11846</v>
      </c>
      <c r="Q511" s="53" t="s">
        <v>1939</v>
      </c>
      <c r="R511" s="53" t="s">
        <v>11863</v>
      </c>
      <c r="S511" s="53" t="s">
        <v>11847</v>
      </c>
      <c r="T511" s="53"/>
      <c r="U511" s="53" t="s">
        <v>491</v>
      </c>
      <c r="V511" s="53"/>
    </row>
    <row r="512" spans="1:22" ht="75" x14ac:dyDescent="0.25">
      <c r="A512" s="193">
        <v>43299</v>
      </c>
      <c r="B512" s="53" t="s">
        <v>328</v>
      </c>
      <c r="C512" s="53" t="s">
        <v>603</v>
      </c>
      <c r="D512" s="53" t="s">
        <v>5701</v>
      </c>
      <c r="E512" s="53" t="s">
        <v>588</v>
      </c>
      <c r="F512" s="53" t="s">
        <v>11849</v>
      </c>
      <c r="G512" s="53" t="s">
        <v>8974</v>
      </c>
      <c r="H512" s="53" t="s">
        <v>10831</v>
      </c>
      <c r="I512" s="53" t="s">
        <v>9429</v>
      </c>
      <c r="J512" s="53" t="s">
        <v>3501</v>
      </c>
      <c r="K512" s="219"/>
      <c r="L512" s="194">
        <v>10</v>
      </c>
      <c r="M512" s="195">
        <v>300000</v>
      </c>
      <c r="N512" s="195">
        <v>3750000</v>
      </c>
      <c r="O512" s="189" t="s">
        <v>7124</v>
      </c>
      <c r="P512" s="53" t="s">
        <v>11850</v>
      </c>
      <c r="Q512" s="53" t="s">
        <v>1939</v>
      </c>
      <c r="R512" s="53" t="s">
        <v>11851</v>
      </c>
      <c r="S512" s="53" t="s">
        <v>11852</v>
      </c>
      <c r="T512" s="53"/>
      <c r="U512" s="53" t="s">
        <v>491</v>
      </c>
      <c r="V512" s="53"/>
    </row>
    <row r="513" spans="1:22" ht="45" x14ac:dyDescent="0.25">
      <c r="A513" s="193">
        <v>43299</v>
      </c>
      <c r="B513" s="53" t="s">
        <v>569</v>
      </c>
      <c r="C513" s="53" t="s">
        <v>899</v>
      </c>
      <c r="D513" s="53" t="s">
        <v>625</v>
      </c>
      <c r="E513" s="53" t="s">
        <v>588</v>
      </c>
      <c r="F513" s="53" t="s">
        <v>11853</v>
      </c>
      <c r="G513" s="53" t="s">
        <v>6161</v>
      </c>
      <c r="H513" s="53" t="s">
        <v>607</v>
      </c>
      <c r="I513" s="53" t="s">
        <v>4438</v>
      </c>
      <c r="J513" s="53" t="s">
        <v>899</v>
      </c>
      <c r="K513" s="219"/>
      <c r="L513" s="194">
        <v>2</v>
      </c>
      <c r="M513" s="195">
        <v>1800000</v>
      </c>
      <c r="N513" s="195">
        <v>3240000</v>
      </c>
      <c r="O513" s="189" t="s">
        <v>560</v>
      </c>
      <c r="P513" s="53" t="s">
        <v>11854</v>
      </c>
      <c r="Q513" s="53" t="s">
        <v>1939</v>
      </c>
      <c r="R513" s="53" t="s">
        <v>11855</v>
      </c>
      <c r="T513" s="53"/>
      <c r="U513" s="53" t="s">
        <v>491</v>
      </c>
      <c r="V513" s="53"/>
    </row>
    <row r="514" spans="1:22" ht="60" x14ac:dyDescent="0.25">
      <c r="A514" s="193">
        <v>43300</v>
      </c>
      <c r="B514" s="53" t="s">
        <v>328</v>
      </c>
      <c r="C514" s="53" t="s">
        <v>603</v>
      </c>
      <c r="D514" s="53" t="s">
        <v>8941</v>
      </c>
      <c r="E514" s="53" t="s">
        <v>588</v>
      </c>
      <c r="F514" s="53" t="s">
        <v>11856</v>
      </c>
      <c r="G514" s="53" t="s">
        <v>11856</v>
      </c>
      <c r="H514" s="53" t="s">
        <v>10829</v>
      </c>
      <c r="I514" s="53" t="s">
        <v>11857</v>
      </c>
      <c r="J514" s="53" t="s">
        <v>899</v>
      </c>
      <c r="K514" s="219"/>
      <c r="L514" s="194">
        <v>10</v>
      </c>
      <c r="M514" s="195">
        <v>100000</v>
      </c>
      <c r="N514" s="195">
        <v>110000</v>
      </c>
      <c r="O514" s="189" t="s">
        <v>10765</v>
      </c>
      <c r="P514" s="53" t="s">
        <v>11858</v>
      </c>
      <c r="Q514" s="53" t="s">
        <v>29</v>
      </c>
      <c r="R514" s="53" t="s">
        <v>11859</v>
      </c>
      <c r="T514" s="53"/>
      <c r="U514" s="53" t="s">
        <v>1327</v>
      </c>
      <c r="V514" s="53"/>
    </row>
    <row r="515" spans="1:22" ht="60" x14ac:dyDescent="0.25">
      <c r="A515" s="193">
        <v>43300</v>
      </c>
      <c r="B515" s="53" t="s">
        <v>328</v>
      </c>
      <c r="C515" s="53" t="s">
        <v>603</v>
      </c>
      <c r="D515" s="53" t="s">
        <v>649</v>
      </c>
      <c r="E515" s="53" t="s">
        <v>588</v>
      </c>
      <c r="F515" s="53" t="s">
        <v>11860</v>
      </c>
      <c r="G515" s="53" t="s">
        <v>11861</v>
      </c>
      <c r="H515" s="53" t="s">
        <v>607</v>
      </c>
      <c r="I515" s="53"/>
      <c r="J515" s="53" t="s">
        <v>899</v>
      </c>
      <c r="K515" s="219"/>
      <c r="L515" s="194">
        <v>2</v>
      </c>
      <c r="M515" s="195">
        <v>500000</v>
      </c>
      <c r="N515" s="195">
        <v>632000</v>
      </c>
      <c r="O515" s="189" t="s">
        <v>4533</v>
      </c>
      <c r="P515" s="53" t="s">
        <v>11862</v>
      </c>
      <c r="Q515" s="53" t="s">
        <v>1939</v>
      </c>
      <c r="R515" s="53" t="s">
        <v>12007</v>
      </c>
      <c r="T515" s="53"/>
      <c r="U515" s="53" t="s">
        <v>1327</v>
      </c>
      <c r="V515" s="53"/>
    </row>
    <row r="516" spans="1:22" ht="60" x14ac:dyDescent="0.25">
      <c r="A516" s="193">
        <v>43301</v>
      </c>
      <c r="B516" s="53" t="s">
        <v>643</v>
      </c>
      <c r="C516" s="53" t="s">
        <v>644</v>
      </c>
      <c r="D516" s="53" t="s">
        <v>3132</v>
      </c>
      <c r="E516" s="53" t="s">
        <v>588</v>
      </c>
      <c r="F516" s="53" t="s">
        <v>8013</v>
      </c>
      <c r="G516" s="53" t="s">
        <v>11866</v>
      </c>
      <c r="H516" s="53" t="s">
        <v>10832</v>
      </c>
      <c r="I516" s="53" t="s">
        <v>228</v>
      </c>
      <c r="J516" s="53" t="s">
        <v>899</v>
      </c>
      <c r="K516" s="219"/>
      <c r="L516" s="194">
        <v>5</v>
      </c>
      <c r="M516" s="195">
        <v>325000</v>
      </c>
      <c r="N516" s="195">
        <v>552500</v>
      </c>
      <c r="O516" s="189" t="s">
        <v>10764</v>
      </c>
      <c r="P516" s="53" t="s">
        <v>11865</v>
      </c>
      <c r="Q516" s="53" t="s">
        <v>1939</v>
      </c>
      <c r="R516" s="53" t="s">
        <v>11864</v>
      </c>
      <c r="T516" s="53"/>
      <c r="U516" s="53" t="s">
        <v>1327</v>
      </c>
      <c r="V516" s="53"/>
    </row>
    <row r="517" spans="1:22" ht="90" x14ac:dyDescent="0.25">
      <c r="A517" s="193">
        <v>43301</v>
      </c>
      <c r="B517" s="53" t="s">
        <v>328</v>
      </c>
      <c r="C517" s="53" t="s">
        <v>603</v>
      </c>
      <c r="D517" s="53" t="s">
        <v>5701</v>
      </c>
      <c r="E517" s="53" t="s">
        <v>588</v>
      </c>
      <c r="F517" s="53" t="s">
        <v>11869</v>
      </c>
      <c r="G517" s="53" t="s">
        <v>11870</v>
      </c>
      <c r="H517" s="53" t="s">
        <v>607</v>
      </c>
      <c r="I517" s="53" t="s">
        <v>5390</v>
      </c>
      <c r="J517" s="53" t="s">
        <v>5610</v>
      </c>
      <c r="K517" s="219"/>
      <c r="L517" s="194">
        <v>5</v>
      </c>
      <c r="M517" s="195">
        <v>302300</v>
      </c>
      <c r="N517" s="195">
        <v>589485</v>
      </c>
      <c r="O517" s="189" t="s">
        <v>10766</v>
      </c>
      <c r="P517" s="53" t="s">
        <v>12008</v>
      </c>
      <c r="Q517" s="53" t="s">
        <v>1939</v>
      </c>
      <c r="R517" s="53" t="s">
        <v>12009</v>
      </c>
      <c r="T517" s="53"/>
      <c r="U517" s="53" t="s">
        <v>1327</v>
      </c>
      <c r="V517" s="53"/>
    </row>
    <row r="518" spans="1:22" ht="90" x14ac:dyDescent="0.25">
      <c r="A518" s="193">
        <v>43301</v>
      </c>
      <c r="B518" s="53" t="s">
        <v>328</v>
      </c>
      <c r="C518" s="53" t="s">
        <v>603</v>
      </c>
      <c r="D518" s="53" t="s">
        <v>8941</v>
      </c>
      <c r="E518" s="53" t="s">
        <v>588</v>
      </c>
      <c r="F518" s="53" t="s">
        <v>11874</v>
      </c>
      <c r="G518" s="53" t="s">
        <v>11873</v>
      </c>
      <c r="H518" s="53" t="s">
        <v>607</v>
      </c>
      <c r="I518" s="53" t="s">
        <v>5685</v>
      </c>
      <c r="J518" s="53" t="s">
        <v>3733</v>
      </c>
      <c r="K518" s="219"/>
      <c r="L518" s="194">
        <v>9</v>
      </c>
      <c r="M518" s="195">
        <v>693000</v>
      </c>
      <c r="N518" s="195">
        <v>1803300</v>
      </c>
      <c r="O518" s="189" t="s">
        <v>10766</v>
      </c>
      <c r="P518" s="53" t="s">
        <v>11871</v>
      </c>
      <c r="Q518" s="53" t="s">
        <v>1939</v>
      </c>
      <c r="R518" s="53" t="s">
        <v>11872</v>
      </c>
      <c r="T518" s="53"/>
      <c r="U518" s="53" t="s">
        <v>1327</v>
      </c>
      <c r="V518" s="53"/>
    </row>
    <row r="519" spans="1:22" ht="60" x14ac:dyDescent="0.25">
      <c r="A519" s="193">
        <v>43301</v>
      </c>
      <c r="B519" s="53" t="s">
        <v>328</v>
      </c>
      <c r="C519" s="53" t="s">
        <v>603</v>
      </c>
      <c r="D519" s="53" t="s">
        <v>5701</v>
      </c>
      <c r="E519" s="53" t="s">
        <v>588</v>
      </c>
      <c r="F519" s="53" t="s">
        <v>11253</v>
      </c>
      <c r="G519" s="53" t="s">
        <v>11878</v>
      </c>
      <c r="H519" s="53" t="s">
        <v>607</v>
      </c>
      <c r="I519" s="53" t="s">
        <v>11877</v>
      </c>
      <c r="J519" s="53" t="s">
        <v>5610</v>
      </c>
      <c r="K519" s="219"/>
      <c r="L519" s="194">
        <v>9</v>
      </c>
      <c r="M519" s="195">
        <v>297000</v>
      </c>
      <c r="N519" s="195">
        <v>594000</v>
      </c>
      <c r="O519" s="189" t="s">
        <v>4533</v>
      </c>
      <c r="P519" s="53" t="s">
        <v>11876</v>
      </c>
      <c r="Q519" s="53" t="s">
        <v>1939</v>
      </c>
      <c r="R519" s="53" t="s">
        <v>11875</v>
      </c>
      <c r="T519" s="53"/>
      <c r="U519" s="53" t="s">
        <v>1327</v>
      </c>
      <c r="V519" s="53"/>
    </row>
    <row r="520" spans="1:22" ht="45" x14ac:dyDescent="0.25">
      <c r="A520" s="193">
        <v>43301</v>
      </c>
      <c r="B520" s="53" t="s">
        <v>569</v>
      </c>
      <c r="C520" s="53" t="s">
        <v>899</v>
      </c>
      <c r="D520" s="53" t="s">
        <v>625</v>
      </c>
      <c r="E520" s="53" t="s">
        <v>588</v>
      </c>
      <c r="F520" s="53" t="s">
        <v>11879</v>
      </c>
      <c r="G520" s="53" t="s">
        <v>11880</v>
      </c>
      <c r="H520" s="53" t="s">
        <v>607</v>
      </c>
      <c r="I520" s="53" t="s">
        <v>3557</v>
      </c>
      <c r="J520" s="53" t="s">
        <v>899</v>
      </c>
      <c r="K520" s="219"/>
      <c r="L520" s="194"/>
      <c r="M520" s="195">
        <v>2420000</v>
      </c>
      <c r="N520" s="195">
        <v>4259000</v>
      </c>
      <c r="O520" s="189" t="s">
        <v>7564</v>
      </c>
      <c r="P520" s="53" t="s">
        <v>11881</v>
      </c>
      <c r="Q520" s="53" t="s">
        <v>592</v>
      </c>
      <c r="R520" s="53" t="s">
        <v>12010</v>
      </c>
      <c r="T520" s="53"/>
      <c r="U520" s="53" t="s">
        <v>1327</v>
      </c>
      <c r="V520" s="53"/>
    </row>
    <row r="521" spans="1:22" ht="30" x14ac:dyDescent="0.25">
      <c r="A521" s="193">
        <v>43301</v>
      </c>
      <c r="B521" s="53" t="s">
        <v>328</v>
      </c>
      <c r="C521" s="53" t="s">
        <v>603</v>
      </c>
      <c r="D521" s="53" t="s">
        <v>1401</v>
      </c>
      <c r="E521" s="53" t="s">
        <v>588</v>
      </c>
      <c r="F521" s="53" t="s">
        <v>11882</v>
      </c>
      <c r="G521" s="53" t="s">
        <v>7757</v>
      </c>
      <c r="H521" s="53" t="s">
        <v>886</v>
      </c>
      <c r="I521" s="53"/>
      <c r="J521" s="53" t="s">
        <v>3533</v>
      </c>
      <c r="K521" s="219"/>
      <c r="L521" s="194">
        <v>9</v>
      </c>
      <c r="M521" s="195">
        <v>3000000</v>
      </c>
      <c r="N521" s="195">
        <v>3750000</v>
      </c>
      <c r="O521" s="189" t="s">
        <v>560</v>
      </c>
      <c r="P521" s="53" t="s">
        <v>12011</v>
      </c>
      <c r="Q521" s="53" t="s">
        <v>592</v>
      </c>
      <c r="R521" s="53" t="s">
        <v>10497</v>
      </c>
      <c r="T521" s="53"/>
      <c r="U521" s="53" t="s">
        <v>1327</v>
      </c>
      <c r="V521" s="53"/>
    </row>
    <row r="522" spans="1:22" ht="30" x14ac:dyDescent="0.25">
      <c r="A522" s="193">
        <v>43304</v>
      </c>
      <c r="B522" s="53" t="s">
        <v>328</v>
      </c>
      <c r="C522" s="53" t="s">
        <v>603</v>
      </c>
      <c r="D522" s="53" t="s">
        <v>1401</v>
      </c>
      <c r="E522" s="53" t="s">
        <v>588</v>
      </c>
      <c r="F522" s="53" t="s">
        <v>5096</v>
      </c>
      <c r="G522" s="53" t="s">
        <v>10007</v>
      </c>
      <c r="H522" s="53" t="s">
        <v>10831</v>
      </c>
      <c r="I522" s="53" t="s">
        <v>11867</v>
      </c>
      <c r="J522" s="53" t="s">
        <v>8194</v>
      </c>
      <c r="K522" s="219"/>
      <c r="L522" s="194">
        <v>10</v>
      </c>
      <c r="M522" s="195">
        <v>200000</v>
      </c>
      <c r="N522" s="195">
        <v>298000</v>
      </c>
      <c r="O522" s="189" t="s">
        <v>7124</v>
      </c>
      <c r="P522" s="53" t="s">
        <v>12012</v>
      </c>
      <c r="Q522" s="53" t="s">
        <v>1939</v>
      </c>
      <c r="R522" s="196" t="s">
        <v>11868</v>
      </c>
      <c r="T522" s="53"/>
      <c r="U522" s="53" t="s">
        <v>1327</v>
      </c>
      <c r="V522" s="53"/>
    </row>
    <row r="523" spans="1:22" ht="105" x14ac:dyDescent="0.25">
      <c r="A523" s="193">
        <v>43305</v>
      </c>
      <c r="B523" s="53" t="s">
        <v>328</v>
      </c>
      <c r="C523" s="53" t="s">
        <v>603</v>
      </c>
      <c r="D523" s="53" t="s">
        <v>7595</v>
      </c>
      <c r="E523" s="53" t="s">
        <v>588</v>
      </c>
      <c r="F523" s="53" t="s">
        <v>11891</v>
      </c>
      <c r="G523" s="53" t="s">
        <v>7855</v>
      </c>
      <c r="H523" s="53" t="s">
        <v>607</v>
      </c>
      <c r="I523" s="53"/>
      <c r="J523" s="53" t="s">
        <v>3612</v>
      </c>
      <c r="K523" s="219"/>
      <c r="L523" s="194">
        <v>3</v>
      </c>
      <c r="M523" s="195">
        <v>713200</v>
      </c>
      <c r="N523" s="195">
        <v>1426400</v>
      </c>
      <c r="O523" s="189" t="s">
        <v>4533</v>
      </c>
      <c r="P523" s="53" t="s">
        <v>11892</v>
      </c>
      <c r="Q523" s="53" t="s">
        <v>1939</v>
      </c>
      <c r="R523" s="53" t="s">
        <v>11893</v>
      </c>
      <c r="T523" s="53"/>
      <c r="U523" s="53" t="s">
        <v>1327</v>
      </c>
      <c r="V523" s="53"/>
    </row>
    <row r="524" spans="1:22" ht="45" x14ac:dyDescent="0.25">
      <c r="A524" s="193">
        <v>43305</v>
      </c>
      <c r="B524" s="53" t="s">
        <v>328</v>
      </c>
      <c r="C524" s="53" t="s">
        <v>603</v>
      </c>
      <c r="D524" s="53" t="s">
        <v>7595</v>
      </c>
      <c r="E524" s="53" t="s">
        <v>588</v>
      </c>
      <c r="F524" s="53" t="s">
        <v>11894</v>
      </c>
      <c r="G524" s="53" t="s">
        <v>11286</v>
      </c>
      <c r="H524" s="53" t="s">
        <v>607</v>
      </c>
      <c r="I524" s="53"/>
      <c r="J524" s="53" t="s">
        <v>5610</v>
      </c>
      <c r="K524" s="219"/>
      <c r="L524" s="194">
        <v>10</v>
      </c>
      <c r="M524" s="195">
        <v>132000</v>
      </c>
      <c r="N524" s="195">
        <v>171600</v>
      </c>
      <c r="O524" s="189" t="s">
        <v>7124</v>
      </c>
      <c r="P524" s="53" t="s">
        <v>11895</v>
      </c>
      <c r="Q524" s="53" t="s">
        <v>1939</v>
      </c>
      <c r="R524" s="53" t="s">
        <v>11896</v>
      </c>
      <c r="T524" s="53"/>
      <c r="U524" s="53" t="s">
        <v>1327</v>
      </c>
      <c r="V524" s="53"/>
    </row>
    <row r="525" spans="1:22" ht="30" x14ac:dyDescent="0.25">
      <c r="A525" s="193">
        <v>43305</v>
      </c>
      <c r="B525" s="53" t="s">
        <v>643</v>
      </c>
      <c r="C525" s="53" t="s">
        <v>644</v>
      </c>
      <c r="D525" s="53" t="s">
        <v>645</v>
      </c>
      <c r="E525" s="53" t="s">
        <v>588</v>
      </c>
      <c r="F525" s="53" t="s">
        <v>11900</v>
      </c>
      <c r="G525" s="53" t="s">
        <v>11900</v>
      </c>
      <c r="H525" s="53" t="s">
        <v>10831</v>
      </c>
      <c r="I525" s="53" t="s">
        <v>11899</v>
      </c>
      <c r="J525" s="53" t="s">
        <v>644</v>
      </c>
      <c r="K525" s="219"/>
      <c r="L525" s="194">
        <v>9</v>
      </c>
      <c r="M525" s="195">
        <v>416500</v>
      </c>
      <c r="N525" s="195">
        <v>416500</v>
      </c>
      <c r="O525" s="189" t="s">
        <v>7124</v>
      </c>
      <c r="P525" s="53" t="s">
        <v>11898</v>
      </c>
      <c r="Q525" s="53" t="s">
        <v>1939</v>
      </c>
      <c r="R525" s="53" t="s">
        <v>11897</v>
      </c>
      <c r="T525" s="53"/>
      <c r="U525" s="53" t="s">
        <v>1327</v>
      </c>
      <c r="V525" s="53"/>
    </row>
    <row r="526" spans="1:22" ht="45" x14ac:dyDescent="0.25">
      <c r="A526" s="193">
        <v>43306</v>
      </c>
      <c r="B526" s="53" t="s">
        <v>328</v>
      </c>
      <c r="C526" s="53" t="s">
        <v>603</v>
      </c>
      <c r="D526" s="53" t="s">
        <v>672</v>
      </c>
      <c r="E526" s="53" t="s">
        <v>588</v>
      </c>
      <c r="F526" s="53" t="s">
        <v>11901</v>
      </c>
      <c r="G526" s="53" t="s">
        <v>11902</v>
      </c>
      <c r="H526" s="53" t="s">
        <v>607</v>
      </c>
      <c r="I526" s="53" t="s">
        <v>6694</v>
      </c>
      <c r="J526" s="53" t="s">
        <v>3533</v>
      </c>
      <c r="K526" s="219"/>
      <c r="L526" s="194">
        <v>3</v>
      </c>
      <c r="M526" s="195">
        <v>650000</v>
      </c>
      <c r="N526" s="195">
        <v>1170000</v>
      </c>
      <c r="O526" s="189" t="s">
        <v>10763</v>
      </c>
      <c r="P526" s="53" t="s">
        <v>11903</v>
      </c>
      <c r="Q526" s="53" t="s">
        <v>29</v>
      </c>
      <c r="R526" s="53" t="s">
        <v>11904</v>
      </c>
      <c r="T526" s="53"/>
      <c r="U526" s="53" t="s">
        <v>1327</v>
      </c>
      <c r="V526" s="53"/>
    </row>
    <row r="527" spans="1:22" ht="75" x14ac:dyDescent="0.25">
      <c r="A527" s="193">
        <v>43306</v>
      </c>
      <c r="B527" s="53" t="s">
        <v>5956</v>
      </c>
      <c r="C527" s="53" t="s">
        <v>3369</v>
      </c>
      <c r="D527" s="53" t="s">
        <v>8126</v>
      </c>
      <c r="E527" s="53" t="s">
        <v>588</v>
      </c>
      <c r="F527" s="53" t="s">
        <v>11909</v>
      </c>
      <c r="G527" s="53" t="s">
        <v>10944</v>
      </c>
      <c r="H527" s="53" t="s">
        <v>809</v>
      </c>
      <c r="I527" s="53" t="s">
        <v>11908</v>
      </c>
      <c r="J527" s="53" t="s">
        <v>4825</v>
      </c>
      <c r="K527" s="219"/>
      <c r="L527" s="194">
        <v>9</v>
      </c>
      <c r="M527" s="195" t="s">
        <v>11907</v>
      </c>
      <c r="N527" s="195" t="s">
        <v>11907</v>
      </c>
      <c r="O527" s="189" t="s">
        <v>7124</v>
      </c>
      <c r="P527" s="53" t="s">
        <v>11906</v>
      </c>
      <c r="Q527" s="53" t="s">
        <v>620</v>
      </c>
      <c r="R527" s="53" t="s">
        <v>11905</v>
      </c>
      <c r="T527" s="53"/>
      <c r="U527" s="53" t="s">
        <v>1327</v>
      </c>
      <c r="V527" s="53"/>
    </row>
    <row r="528" spans="1:22" ht="60" x14ac:dyDescent="0.25">
      <c r="A528" s="193">
        <v>43306</v>
      </c>
      <c r="B528" s="53" t="s">
        <v>569</v>
      </c>
      <c r="C528" s="53" t="s">
        <v>899</v>
      </c>
      <c r="D528" s="53" t="s">
        <v>3505</v>
      </c>
      <c r="E528" s="53" t="s">
        <v>588</v>
      </c>
      <c r="F528" s="53" t="s">
        <v>11910</v>
      </c>
      <c r="G528" s="53" t="s">
        <v>11911</v>
      </c>
      <c r="H528" s="53" t="s">
        <v>607</v>
      </c>
      <c r="I528" s="53" t="s">
        <v>10574</v>
      </c>
      <c r="J528" s="53" t="s">
        <v>899</v>
      </c>
      <c r="K528" s="219"/>
      <c r="L528" s="194">
        <v>5</v>
      </c>
      <c r="M528" s="195">
        <v>693000</v>
      </c>
      <c r="N528" s="195">
        <v>1247300</v>
      </c>
      <c r="O528" s="189" t="s">
        <v>4533</v>
      </c>
      <c r="P528" s="53" t="s">
        <v>11913</v>
      </c>
      <c r="Q528" s="53" t="s">
        <v>1939</v>
      </c>
      <c r="R528" s="53" t="s">
        <v>11912</v>
      </c>
      <c r="T528" s="53"/>
      <c r="U528" s="53" t="s">
        <v>1327</v>
      </c>
      <c r="V528" s="53"/>
    </row>
    <row r="529" spans="1:22" ht="45" x14ac:dyDescent="0.25">
      <c r="A529" s="193">
        <v>43306</v>
      </c>
      <c r="B529" s="53" t="s">
        <v>643</v>
      </c>
      <c r="C529" s="53" t="s">
        <v>899</v>
      </c>
      <c r="D529" s="53" t="s">
        <v>645</v>
      </c>
      <c r="E529" s="53" t="s">
        <v>588</v>
      </c>
      <c r="F529" s="53" t="s">
        <v>11915</v>
      </c>
      <c r="G529" s="53" t="s">
        <v>7814</v>
      </c>
      <c r="H529" s="53" t="s">
        <v>607</v>
      </c>
      <c r="I529" s="53"/>
      <c r="J529" s="53" t="s">
        <v>899</v>
      </c>
      <c r="K529" s="219"/>
      <c r="L529" s="194">
        <v>3</v>
      </c>
      <c r="M529" s="195">
        <v>1500000</v>
      </c>
      <c r="N529" s="195">
        <v>3050000</v>
      </c>
      <c r="O529" s="189" t="s">
        <v>560</v>
      </c>
      <c r="P529" s="53" t="s">
        <v>11914</v>
      </c>
      <c r="Q529" s="53" t="s">
        <v>1939</v>
      </c>
      <c r="R529" s="53" t="s">
        <v>11617</v>
      </c>
      <c r="T529" s="53"/>
      <c r="U529" s="53" t="s">
        <v>1327</v>
      </c>
      <c r="V529" s="53"/>
    </row>
    <row r="530" spans="1:22" ht="15.75" x14ac:dyDescent="0.25">
      <c r="A530" s="193">
        <v>43306</v>
      </c>
      <c r="B530" s="53" t="s">
        <v>569</v>
      </c>
      <c r="C530" s="53" t="s">
        <v>899</v>
      </c>
      <c r="D530" s="53" t="s">
        <v>3505</v>
      </c>
      <c r="E530" s="53" t="s">
        <v>588</v>
      </c>
      <c r="F530" s="53" t="s">
        <v>11916</v>
      </c>
      <c r="G530" s="53" t="s">
        <v>11917</v>
      </c>
      <c r="H530" s="53" t="s">
        <v>607</v>
      </c>
      <c r="I530" s="53" t="s">
        <v>10574</v>
      </c>
      <c r="J530" s="53" t="s">
        <v>899</v>
      </c>
      <c r="K530" s="219"/>
      <c r="L530" s="194"/>
      <c r="M530" s="195">
        <v>1800000</v>
      </c>
      <c r="N530" s="195">
        <v>3240000</v>
      </c>
      <c r="O530" s="189" t="s">
        <v>560</v>
      </c>
      <c r="P530" s="53" t="s">
        <v>12013</v>
      </c>
      <c r="Q530" s="53" t="s">
        <v>592</v>
      </c>
      <c r="R530" s="53" t="s">
        <v>11918</v>
      </c>
      <c r="T530" s="53"/>
      <c r="U530" s="53" t="s">
        <v>1327</v>
      </c>
      <c r="V530" s="53"/>
    </row>
    <row r="531" spans="1:22" ht="45" x14ac:dyDescent="0.25">
      <c r="A531" s="193">
        <v>43306</v>
      </c>
      <c r="B531" s="53" t="s">
        <v>5360</v>
      </c>
      <c r="C531" s="53" t="s">
        <v>899</v>
      </c>
      <c r="D531" s="53" t="s">
        <v>732</v>
      </c>
      <c r="E531" s="53" t="s">
        <v>588</v>
      </c>
      <c r="F531" s="53" t="s">
        <v>11919</v>
      </c>
      <c r="G531" s="53" t="s">
        <v>11920</v>
      </c>
      <c r="H531" s="53" t="s">
        <v>607</v>
      </c>
      <c r="I531" s="53" t="s">
        <v>4042</v>
      </c>
      <c r="J531" s="53" t="s">
        <v>899</v>
      </c>
      <c r="K531" s="219"/>
      <c r="L531" s="194">
        <v>10</v>
      </c>
      <c r="M531" s="195">
        <v>1182000</v>
      </c>
      <c r="N531" s="195">
        <v>2007900</v>
      </c>
      <c r="O531" s="189" t="s">
        <v>7124</v>
      </c>
      <c r="P531" s="53" t="s">
        <v>11922</v>
      </c>
      <c r="Q531" s="53" t="s">
        <v>1939</v>
      </c>
      <c r="R531" s="53" t="s">
        <v>11921</v>
      </c>
      <c r="T531" s="53"/>
      <c r="U531" s="53" t="s">
        <v>1327</v>
      </c>
      <c r="V531" s="53"/>
    </row>
    <row r="532" spans="1:22" ht="60" x14ac:dyDescent="0.25">
      <c r="A532" s="193">
        <v>43306</v>
      </c>
      <c r="B532" s="53" t="s">
        <v>328</v>
      </c>
      <c r="C532" s="53" t="s">
        <v>603</v>
      </c>
      <c r="D532" s="53" t="s">
        <v>1401</v>
      </c>
      <c r="E532" s="53" t="s">
        <v>588</v>
      </c>
      <c r="F532" s="53" t="s">
        <v>11923</v>
      </c>
      <c r="G532" s="53" t="s">
        <v>11924</v>
      </c>
      <c r="H532" s="53" t="s">
        <v>809</v>
      </c>
      <c r="I532" s="53"/>
      <c r="J532" s="53" t="s">
        <v>5402</v>
      </c>
      <c r="K532" s="219"/>
      <c r="L532" s="194">
        <v>2</v>
      </c>
      <c r="M532" s="195">
        <v>558000</v>
      </c>
      <c r="N532" s="195">
        <v>613800</v>
      </c>
      <c r="O532" s="189" t="s">
        <v>7564</v>
      </c>
      <c r="P532" s="53" t="s">
        <v>11925</v>
      </c>
      <c r="Q532" s="53" t="s">
        <v>1939</v>
      </c>
      <c r="R532" s="53" t="s">
        <v>11926</v>
      </c>
      <c r="T532" s="53"/>
      <c r="U532" s="53" t="s">
        <v>1327</v>
      </c>
      <c r="V532" s="53"/>
    </row>
    <row r="533" spans="1:22" ht="60" x14ac:dyDescent="0.25">
      <c r="A533" s="193">
        <v>43306</v>
      </c>
      <c r="B533" s="53" t="s">
        <v>328</v>
      </c>
      <c r="C533" s="53" t="s">
        <v>603</v>
      </c>
      <c r="D533" s="53" t="s">
        <v>757</v>
      </c>
      <c r="E533" s="53" t="s">
        <v>588</v>
      </c>
      <c r="F533" s="53" t="s">
        <v>11931</v>
      </c>
      <c r="G533" s="53" t="s">
        <v>11930</v>
      </c>
      <c r="H533" s="53" t="s">
        <v>607</v>
      </c>
      <c r="I533" s="53" t="s">
        <v>11929</v>
      </c>
      <c r="J533" s="53" t="s">
        <v>3533</v>
      </c>
      <c r="K533" s="219"/>
      <c r="L533" s="194">
        <v>6</v>
      </c>
      <c r="M533" s="195">
        <v>235000</v>
      </c>
      <c r="N533" s="195">
        <v>434750</v>
      </c>
      <c r="O533" s="189" t="s">
        <v>7124</v>
      </c>
      <c r="P533" s="53" t="s">
        <v>11928</v>
      </c>
      <c r="Q533" s="53" t="s">
        <v>29</v>
      </c>
      <c r="R533" s="53" t="s">
        <v>11927</v>
      </c>
      <c r="T533" s="53"/>
      <c r="U533" s="53" t="s">
        <v>1327</v>
      </c>
      <c r="V533" s="53"/>
    </row>
    <row r="534" spans="1:22" ht="30" x14ac:dyDescent="0.25">
      <c r="A534" s="193">
        <v>43306</v>
      </c>
      <c r="B534" s="53" t="s">
        <v>9240</v>
      </c>
      <c r="C534" s="53" t="s">
        <v>603</v>
      </c>
      <c r="D534" s="53" t="s">
        <v>9241</v>
      </c>
      <c r="E534" s="53" t="s">
        <v>588</v>
      </c>
      <c r="F534" s="53" t="s">
        <v>11932</v>
      </c>
      <c r="G534" s="53" t="s">
        <v>11933</v>
      </c>
      <c r="H534" s="53" t="s">
        <v>607</v>
      </c>
      <c r="I534" s="53" t="s">
        <v>11934</v>
      </c>
      <c r="J534" s="53" t="s">
        <v>5402</v>
      </c>
      <c r="K534" s="219"/>
      <c r="L534" s="194"/>
      <c r="M534" s="195">
        <v>220000</v>
      </c>
      <c r="N534" s="195">
        <v>396000</v>
      </c>
      <c r="O534" s="189" t="s">
        <v>10766</v>
      </c>
      <c r="P534" s="53" t="s">
        <v>11935</v>
      </c>
      <c r="Q534" s="53" t="s">
        <v>592</v>
      </c>
      <c r="R534" s="53" t="s">
        <v>11936</v>
      </c>
      <c r="T534" s="53"/>
      <c r="U534" s="53" t="s">
        <v>1327</v>
      </c>
      <c r="V534" s="53"/>
    </row>
    <row r="535" spans="1:22" ht="45" x14ac:dyDescent="0.25">
      <c r="A535" s="193">
        <v>43307</v>
      </c>
      <c r="B535" s="53" t="s">
        <v>328</v>
      </c>
      <c r="C535" s="53" t="s">
        <v>603</v>
      </c>
      <c r="D535" s="53" t="s">
        <v>1401</v>
      </c>
      <c r="E535" s="53" t="s">
        <v>588</v>
      </c>
      <c r="F535" s="53" t="s">
        <v>11937</v>
      </c>
      <c r="G535" s="53" t="s">
        <v>11938</v>
      </c>
      <c r="H535" s="53" t="s">
        <v>10831</v>
      </c>
      <c r="I535" s="53" t="s">
        <v>11939</v>
      </c>
      <c r="J535" s="53" t="s">
        <v>3751</v>
      </c>
      <c r="K535" s="219"/>
      <c r="L535" s="194">
        <v>7</v>
      </c>
      <c r="M535" s="195">
        <v>105000</v>
      </c>
      <c r="N535" s="195">
        <v>115500</v>
      </c>
      <c r="O535" s="189" t="s">
        <v>10762</v>
      </c>
      <c r="P535" s="53" t="s">
        <v>11940</v>
      </c>
      <c r="Q535" s="53" t="s">
        <v>592</v>
      </c>
      <c r="R535" s="53" t="s">
        <v>11941</v>
      </c>
      <c r="T535" s="53"/>
      <c r="U535" s="53" t="s">
        <v>1327</v>
      </c>
      <c r="V535" s="53"/>
    </row>
    <row r="536" spans="1:22" ht="15.75" x14ac:dyDescent="0.25">
      <c r="A536" s="193">
        <v>43308</v>
      </c>
      <c r="B536" s="53" t="s">
        <v>569</v>
      </c>
      <c r="C536" s="53" t="s">
        <v>899</v>
      </c>
      <c r="D536" s="53" t="s">
        <v>624</v>
      </c>
      <c r="E536" s="53" t="s">
        <v>588</v>
      </c>
      <c r="F536" s="53" t="s">
        <v>11942</v>
      </c>
      <c r="G536" s="53" t="s">
        <v>11943</v>
      </c>
      <c r="H536" s="53" t="s">
        <v>607</v>
      </c>
      <c r="I536" s="53"/>
      <c r="J536" s="53" t="s">
        <v>899</v>
      </c>
      <c r="K536" s="219"/>
      <c r="L536" s="194">
        <v>4</v>
      </c>
      <c r="M536" s="195">
        <v>2300000</v>
      </c>
      <c r="N536" s="195">
        <v>4600000</v>
      </c>
      <c r="O536" s="189" t="s">
        <v>560</v>
      </c>
      <c r="P536" s="53" t="s">
        <v>11944</v>
      </c>
      <c r="Q536" s="53" t="s">
        <v>592</v>
      </c>
      <c r="T536" s="53"/>
      <c r="U536" s="53" t="s">
        <v>1327</v>
      </c>
      <c r="V536" s="53"/>
    </row>
    <row r="537" spans="1:22" ht="15.75" x14ac:dyDescent="0.25">
      <c r="A537" s="193">
        <v>43308</v>
      </c>
      <c r="B537" s="53" t="s">
        <v>9240</v>
      </c>
      <c r="C537" s="53" t="s">
        <v>603</v>
      </c>
      <c r="D537" s="53" t="s">
        <v>9241</v>
      </c>
      <c r="E537" s="53" t="s">
        <v>588</v>
      </c>
      <c r="F537" s="53" t="s">
        <v>9389</v>
      </c>
      <c r="G537" s="53" t="s">
        <v>11947</v>
      </c>
      <c r="H537" s="53" t="s">
        <v>607</v>
      </c>
      <c r="I537" s="53" t="s">
        <v>7813</v>
      </c>
      <c r="J537" s="53" t="s">
        <v>3612</v>
      </c>
      <c r="K537" s="219"/>
      <c r="L537" s="194"/>
      <c r="M537" s="195">
        <v>16040000</v>
      </c>
      <c r="N537" s="195">
        <v>3609000</v>
      </c>
      <c r="O537" s="189" t="s">
        <v>10762</v>
      </c>
      <c r="P537" s="53" t="s">
        <v>11946</v>
      </c>
      <c r="Q537" s="53" t="s">
        <v>592</v>
      </c>
      <c r="R537" s="53" t="s">
        <v>11945</v>
      </c>
      <c r="T537" s="53"/>
      <c r="U537" s="53" t="s">
        <v>1327</v>
      </c>
      <c r="V537" s="53"/>
    </row>
    <row r="538" spans="1:22" ht="45" x14ac:dyDescent="0.25">
      <c r="A538" s="193">
        <v>43308</v>
      </c>
      <c r="B538" s="53" t="s">
        <v>5956</v>
      </c>
      <c r="C538" s="53" t="s">
        <v>3369</v>
      </c>
      <c r="D538" s="53" t="s">
        <v>9234</v>
      </c>
      <c r="E538" s="53" t="s">
        <v>588</v>
      </c>
      <c r="F538" s="53" t="s">
        <v>11948</v>
      </c>
      <c r="G538" s="53" t="s">
        <v>11949</v>
      </c>
      <c r="H538" s="53" t="s">
        <v>905</v>
      </c>
      <c r="I538" s="53" t="s">
        <v>11950</v>
      </c>
      <c r="J538" s="53" t="s">
        <v>4825</v>
      </c>
      <c r="K538" s="219"/>
      <c r="L538" s="194"/>
      <c r="M538" s="195">
        <v>879458</v>
      </c>
      <c r="N538" s="195">
        <v>903458</v>
      </c>
      <c r="O538" s="189" t="s">
        <v>10766</v>
      </c>
      <c r="P538" s="53" t="s">
        <v>12014</v>
      </c>
      <c r="Q538" s="53" t="s">
        <v>1939</v>
      </c>
      <c r="R538" s="53" t="s">
        <v>11376</v>
      </c>
      <c r="T538" s="53"/>
      <c r="U538" s="53" t="s">
        <v>1327</v>
      </c>
      <c r="V538" s="53"/>
    </row>
    <row r="539" spans="1:22" ht="30" x14ac:dyDescent="0.25">
      <c r="A539" s="193">
        <v>43308</v>
      </c>
      <c r="B539" s="53" t="s">
        <v>9240</v>
      </c>
      <c r="C539" s="53" t="s">
        <v>603</v>
      </c>
      <c r="D539" s="53" t="s">
        <v>9241</v>
      </c>
      <c r="E539" s="53" t="s">
        <v>588</v>
      </c>
      <c r="F539" s="53" t="s">
        <v>11951</v>
      </c>
      <c r="G539" s="53" t="s">
        <v>11952</v>
      </c>
      <c r="H539" s="53" t="s">
        <v>607</v>
      </c>
      <c r="I539" s="53" t="s">
        <v>11953</v>
      </c>
      <c r="J539" s="53" t="s">
        <v>608</v>
      </c>
      <c r="K539" s="219"/>
      <c r="L539" s="194">
        <v>4</v>
      </c>
      <c r="M539" s="195">
        <v>401000</v>
      </c>
      <c r="N539" s="195">
        <v>802001</v>
      </c>
      <c r="O539" s="189" t="s">
        <v>10766</v>
      </c>
      <c r="P539" s="53" t="s">
        <v>11955</v>
      </c>
      <c r="Q539" s="53" t="s">
        <v>1939</v>
      </c>
      <c r="R539" s="53" t="s">
        <v>11954</v>
      </c>
      <c r="T539" s="53"/>
      <c r="U539" s="53" t="s">
        <v>1327</v>
      </c>
      <c r="V539" s="53"/>
    </row>
    <row r="540" spans="1:22" ht="30" x14ac:dyDescent="0.25">
      <c r="A540" s="193">
        <v>43308</v>
      </c>
      <c r="B540" s="53" t="s">
        <v>9240</v>
      </c>
      <c r="C540" s="53" t="s">
        <v>603</v>
      </c>
      <c r="D540" s="53" t="s">
        <v>9241</v>
      </c>
      <c r="E540" s="53" t="s">
        <v>588</v>
      </c>
      <c r="F540" s="53" t="s">
        <v>11957</v>
      </c>
      <c r="G540" s="53" t="s">
        <v>11956</v>
      </c>
      <c r="H540" s="53" t="s">
        <v>607</v>
      </c>
      <c r="I540" s="53" t="s">
        <v>7312</v>
      </c>
      <c r="J540" s="53" t="s">
        <v>3612</v>
      </c>
      <c r="K540" s="219"/>
      <c r="L540" s="194">
        <v>2</v>
      </c>
      <c r="M540" s="195">
        <v>360000</v>
      </c>
      <c r="N540" s="195">
        <v>682000</v>
      </c>
      <c r="O540" s="189" t="s">
        <v>10766</v>
      </c>
      <c r="P540" s="53" t="s">
        <v>12015</v>
      </c>
      <c r="Q540" s="53" t="s">
        <v>592</v>
      </c>
      <c r="R540" s="53" t="s">
        <v>12016</v>
      </c>
      <c r="T540" s="53"/>
      <c r="U540" s="53" t="s">
        <v>1327</v>
      </c>
      <c r="V540" s="53"/>
    </row>
    <row r="541" spans="1:22" ht="30" x14ac:dyDescent="0.25">
      <c r="A541" s="193">
        <v>43311</v>
      </c>
      <c r="B541" s="53" t="s">
        <v>9240</v>
      </c>
      <c r="C541" s="53" t="s">
        <v>603</v>
      </c>
      <c r="D541" s="53" t="s">
        <v>9241</v>
      </c>
      <c r="E541" s="53" t="s">
        <v>588</v>
      </c>
      <c r="F541" s="53" t="s">
        <v>8957</v>
      </c>
      <c r="G541" s="53" t="s">
        <v>11958</v>
      </c>
      <c r="H541" s="53" t="s">
        <v>607</v>
      </c>
      <c r="I541" s="53" t="s">
        <v>11959</v>
      </c>
      <c r="J541" s="53" t="s">
        <v>3751</v>
      </c>
      <c r="K541" s="219"/>
      <c r="L541" s="194">
        <v>6</v>
      </c>
      <c r="M541" s="195">
        <v>275000</v>
      </c>
      <c r="N541" s="195">
        <v>647000</v>
      </c>
      <c r="O541" s="189" t="s">
        <v>10766</v>
      </c>
      <c r="P541" s="53" t="s">
        <v>11960</v>
      </c>
      <c r="Q541" s="53" t="s">
        <v>592</v>
      </c>
      <c r="R541" s="53" t="s">
        <v>11961</v>
      </c>
      <c r="T541" s="53"/>
      <c r="U541" s="53" t="s">
        <v>1327</v>
      </c>
      <c r="V541" s="53"/>
    </row>
    <row r="542" spans="1:22" ht="75" x14ac:dyDescent="0.25">
      <c r="A542" s="193">
        <v>43311</v>
      </c>
      <c r="B542" s="53" t="s">
        <v>569</v>
      </c>
      <c r="C542" s="53" t="s">
        <v>899</v>
      </c>
      <c r="D542" s="53" t="s">
        <v>3505</v>
      </c>
      <c r="E542" s="53" t="s">
        <v>588</v>
      </c>
      <c r="F542" s="53" t="s">
        <v>11962</v>
      </c>
      <c r="G542" s="53" t="s">
        <v>7457</v>
      </c>
      <c r="H542" s="53" t="s">
        <v>607</v>
      </c>
      <c r="I542" s="53" t="s">
        <v>11963</v>
      </c>
      <c r="J542" s="53" t="s">
        <v>899</v>
      </c>
      <c r="K542" s="219"/>
      <c r="L542" s="194"/>
      <c r="M542" s="195">
        <v>1200000</v>
      </c>
      <c r="N542" s="195">
        <v>2000000</v>
      </c>
      <c r="O542" s="189" t="s">
        <v>10766</v>
      </c>
      <c r="P542" s="53" t="s">
        <v>11964</v>
      </c>
      <c r="Q542" s="53" t="s">
        <v>1939</v>
      </c>
      <c r="R542" s="53" t="s">
        <v>11965</v>
      </c>
      <c r="T542" s="53"/>
      <c r="U542" s="53" t="s">
        <v>1327</v>
      </c>
      <c r="V542" s="53"/>
    </row>
    <row r="543" spans="1:22" ht="45" x14ac:dyDescent="0.25">
      <c r="A543" s="193">
        <v>43311</v>
      </c>
      <c r="B543" s="53" t="s">
        <v>328</v>
      </c>
      <c r="C543" s="53" t="s">
        <v>603</v>
      </c>
      <c r="D543" s="53" t="s">
        <v>8941</v>
      </c>
      <c r="E543" s="53" t="s">
        <v>588</v>
      </c>
      <c r="F543" s="53" t="s">
        <v>11968</v>
      </c>
      <c r="G543" s="53" t="s">
        <v>11967</v>
      </c>
      <c r="H543" s="53" t="s">
        <v>10831</v>
      </c>
      <c r="I543" s="53" t="s">
        <v>7457</v>
      </c>
      <c r="J543" s="53" t="s">
        <v>644</v>
      </c>
      <c r="K543" s="219"/>
      <c r="L543" s="194">
        <v>10</v>
      </c>
      <c r="M543" s="195">
        <v>260034</v>
      </c>
      <c r="N543" s="113">
        <v>412040</v>
      </c>
      <c r="O543" s="189" t="s">
        <v>7124</v>
      </c>
      <c r="P543" s="53" t="s">
        <v>11970</v>
      </c>
      <c r="Q543" s="53" t="s">
        <v>1939</v>
      </c>
      <c r="R543" s="53" t="s">
        <v>11966</v>
      </c>
      <c r="T543" s="53"/>
      <c r="U543" s="53" t="s">
        <v>1327</v>
      </c>
      <c r="V543" s="53"/>
    </row>
    <row r="544" spans="1:22" ht="45" x14ac:dyDescent="0.25">
      <c r="A544" s="193">
        <v>43311</v>
      </c>
      <c r="B544" s="53" t="s">
        <v>328</v>
      </c>
      <c r="C544" s="53" t="s">
        <v>603</v>
      </c>
      <c r="D544" s="53" t="s">
        <v>8941</v>
      </c>
      <c r="E544" s="53" t="s">
        <v>588</v>
      </c>
      <c r="F544" s="53" t="s">
        <v>11968</v>
      </c>
      <c r="G544" s="53" t="s">
        <v>11967</v>
      </c>
      <c r="H544" s="53" t="s">
        <v>10831</v>
      </c>
      <c r="I544" s="53" t="s">
        <v>7457</v>
      </c>
      <c r="J544" s="53" t="s">
        <v>644</v>
      </c>
      <c r="K544" s="219"/>
      <c r="L544" s="194">
        <v>10</v>
      </c>
      <c r="M544" s="195">
        <v>260034</v>
      </c>
      <c r="N544" s="195">
        <v>412040</v>
      </c>
      <c r="O544" s="189" t="s">
        <v>7124</v>
      </c>
      <c r="P544" s="53" t="s">
        <v>11969</v>
      </c>
      <c r="Q544" s="53" t="s">
        <v>1939</v>
      </c>
      <c r="R544" s="53" t="s">
        <v>11966</v>
      </c>
      <c r="T544" s="53"/>
      <c r="U544" s="53" t="s">
        <v>1327</v>
      </c>
      <c r="V544" s="53"/>
    </row>
    <row r="545" spans="1:23" ht="30" x14ac:dyDescent="0.25">
      <c r="A545" s="193">
        <v>43312</v>
      </c>
      <c r="B545" s="53" t="s">
        <v>569</v>
      </c>
      <c r="C545" s="53" t="s">
        <v>899</v>
      </c>
      <c r="D545" s="53" t="s">
        <v>732</v>
      </c>
      <c r="E545" s="53" t="s">
        <v>588</v>
      </c>
      <c r="F545" s="53" t="s">
        <v>11495</v>
      </c>
      <c r="G545" s="53" t="s">
        <v>7761</v>
      </c>
      <c r="H545" s="53" t="s">
        <v>607</v>
      </c>
      <c r="I545" s="53" t="s">
        <v>3672</v>
      </c>
      <c r="J545" s="53" t="s">
        <v>899</v>
      </c>
      <c r="K545" s="219"/>
      <c r="L545" s="194">
        <v>3</v>
      </c>
      <c r="M545" s="195">
        <v>1038000</v>
      </c>
      <c r="N545" s="195">
        <v>1640600</v>
      </c>
      <c r="O545" s="189" t="s">
        <v>7564</v>
      </c>
      <c r="P545" s="53" t="s">
        <v>11883</v>
      </c>
      <c r="Q545" s="53" t="s">
        <v>592</v>
      </c>
      <c r="R545" s="53" t="s">
        <v>10190</v>
      </c>
      <c r="T545" s="53"/>
      <c r="U545" s="53" t="s">
        <v>491</v>
      </c>
      <c r="V545" s="53"/>
    </row>
    <row r="546" spans="1:23" ht="60" x14ac:dyDescent="0.25">
      <c r="A546" s="193">
        <v>43312</v>
      </c>
      <c r="B546" s="53" t="s">
        <v>328</v>
      </c>
      <c r="C546" s="53" t="s">
        <v>603</v>
      </c>
      <c r="D546" s="53" t="s">
        <v>757</v>
      </c>
      <c r="E546" s="53" t="s">
        <v>588</v>
      </c>
      <c r="F546" s="53" t="s">
        <v>7868</v>
      </c>
      <c r="G546" s="53" t="s">
        <v>11884</v>
      </c>
      <c r="H546" s="53" t="s">
        <v>10831</v>
      </c>
      <c r="I546" s="53" t="s">
        <v>11885</v>
      </c>
      <c r="J546" s="53" t="s">
        <v>899</v>
      </c>
      <c r="K546" s="219"/>
      <c r="L546" s="194">
        <v>10</v>
      </c>
      <c r="M546" s="195">
        <v>323000</v>
      </c>
      <c r="N546" s="195">
        <v>365300</v>
      </c>
      <c r="O546" s="189" t="s">
        <v>7124</v>
      </c>
      <c r="P546" s="53" t="s">
        <v>11886</v>
      </c>
      <c r="Q546" s="53" t="s">
        <v>29</v>
      </c>
      <c r="R546" s="53" t="s">
        <v>11887</v>
      </c>
      <c r="T546" s="53"/>
      <c r="U546" s="53" t="s">
        <v>491</v>
      </c>
      <c r="V546" s="53"/>
    </row>
    <row r="547" spans="1:23" ht="105" x14ac:dyDescent="0.25">
      <c r="A547" s="193">
        <v>43312</v>
      </c>
      <c r="B547" s="53" t="s">
        <v>328</v>
      </c>
      <c r="C547" s="53" t="s">
        <v>603</v>
      </c>
      <c r="D547" s="53" t="s">
        <v>10338</v>
      </c>
      <c r="E547" s="53" t="s">
        <v>588</v>
      </c>
      <c r="F547" s="53" t="s">
        <v>11888</v>
      </c>
      <c r="G547" s="53" t="s">
        <v>7880</v>
      </c>
      <c r="H547" s="53" t="s">
        <v>607</v>
      </c>
      <c r="I547" s="53" t="s">
        <v>295</v>
      </c>
      <c r="J547" s="53" t="s">
        <v>5562</v>
      </c>
      <c r="K547" s="219"/>
      <c r="L547" s="194">
        <v>10</v>
      </c>
      <c r="M547" s="195">
        <v>278900</v>
      </c>
      <c r="N547" s="195">
        <v>585690</v>
      </c>
      <c r="O547" s="189" t="s">
        <v>4533</v>
      </c>
      <c r="P547" s="53" t="s">
        <v>11889</v>
      </c>
      <c r="Q547" s="53" t="s">
        <v>1939</v>
      </c>
      <c r="R547" s="53" t="s">
        <v>11890</v>
      </c>
      <c r="T547" s="53"/>
      <c r="U547" s="53" t="s">
        <v>491</v>
      </c>
      <c r="V547" s="53"/>
    </row>
    <row r="548" spans="1:23" ht="15.75" x14ac:dyDescent="0.25">
      <c r="A548" s="193">
        <v>43312</v>
      </c>
      <c r="B548" s="53" t="s">
        <v>328</v>
      </c>
      <c r="C548" s="53" t="s">
        <v>603</v>
      </c>
      <c r="D548" s="53" t="s">
        <v>8941</v>
      </c>
      <c r="E548" s="53" t="s">
        <v>588</v>
      </c>
      <c r="F548" s="53" t="s">
        <v>11971</v>
      </c>
      <c r="G548" s="53" t="s">
        <v>11972</v>
      </c>
      <c r="H548" s="53" t="s">
        <v>5321</v>
      </c>
      <c r="I548" s="53" t="s">
        <v>4373</v>
      </c>
      <c r="J548" s="53" t="s">
        <v>899</v>
      </c>
      <c r="K548" s="219"/>
      <c r="L548" s="194">
        <v>3</v>
      </c>
      <c r="M548" s="195">
        <v>920000</v>
      </c>
      <c r="N548" s="195">
        <v>1564000</v>
      </c>
      <c r="O548" s="189" t="s">
        <v>7564</v>
      </c>
      <c r="P548" s="53" t="s">
        <v>11973</v>
      </c>
      <c r="Q548" s="53" t="s">
        <v>1939</v>
      </c>
      <c r="R548" s="53" t="s">
        <v>11974</v>
      </c>
      <c r="T548" s="53"/>
      <c r="U548" s="53" t="s">
        <v>1327</v>
      </c>
      <c r="V548" s="53"/>
    </row>
    <row r="549" spans="1:23" ht="15.75" x14ac:dyDescent="0.25">
      <c r="A549" s="197">
        <v>43312</v>
      </c>
      <c r="B549" s="149" t="s">
        <v>569</v>
      </c>
      <c r="C549" s="149" t="s">
        <v>899</v>
      </c>
      <c r="D549" s="149" t="s">
        <v>624</v>
      </c>
      <c r="E549" s="149" t="s">
        <v>588</v>
      </c>
      <c r="F549" s="149" t="s">
        <v>11977</v>
      </c>
      <c r="G549" s="149" t="s">
        <v>11976</v>
      </c>
      <c r="H549" s="149" t="s">
        <v>607</v>
      </c>
      <c r="I549" s="149" t="s">
        <v>5340</v>
      </c>
      <c r="J549" s="149" t="s">
        <v>899</v>
      </c>
      <c r="K549" s="220"/>
      <c r="L549" s="198">
        <v>3</v>
      </c>
      <c r="M549" s="199">
        <v>2500000</v>
      </c>
      <c r="N549" s="199">
        <v>4000000</v>
      </c>
      <c r="O549" s="191" t="s">
        <v>560</v>
      </c>
      <c r="P549" s="149" t="s">
        <v>11944</v>
      </c>
      <c r="Q549" s="149" t="s">
        <v>592</v>
      </c>
      <c r="R549" s="149" t="s">
        <v>11975</v>
      </c>
      <c r="S549" s="149"/>
      <c r="T549" s="149"/>
      <c r="U549" s="149" t="s">
        <v>1327</v>
      </c>
      <c r="V549" s="149"/>
      <c r="W549" s="149"/>
    </row>
    <row r="550" spans="1:23" ht="60" x14ac:dyDescent="0.25">
      <c r="A550" s="193">
        <v>43313</v>
      </c>
      <c r="B550" s="53" t="s">
        <v>328</v>
      </c>
      <c r="C550" s="53" t="s">
        <v>603</v>
      </c>
      <c r="D550" s="53" t="s">
        <v>10338</v>
      </c>
      <c r="E550" s="53" t="s">
        <v>588</v>
      </c>
      <c r="F550" s="53" t="s">
        <v>363</v>
      </c>
      <c r="G550" s="53" t="s">
        <v>11978</v>
      </c>
      <c r="H550" s="53" t="s">
        <v>607</v>
      </c>
      <c r="I550" s="53"/>
      <c r="J550" s="53" t="s">
        <v>3733</v>
      </c>
      <c r="K550" s="219"/>
      <c r="L550" s="194">
        <v>4</v>
      </c>
      <c r="M550" s="195">
        <v>1118000</v>
      </c>
      <c r="N550" s="195">
        <v>2307450</v>
      </c>
      <c r="O550" s="189" t="s">
        <v>7564</v>
      </c>
      <c r="P550" s="53" t="s">
        <v>12489</v>
      </c>
      <c r="Q550" s="53" t="s">
        <v>1939</v>
      </c>
      <c r="R550" s="53" t="s">
        <v>11979</v>
      </c>
      <c r="T550" s="53"/>
      <c r="U550" s="53" t="s">
        <v>1327</v>
      </c>
      <c r="V550" s="53"/>
    </row>
    <row r="551" spans="1:23" ht="45" x14ac:dyDescent="0.25">
      <c r="A551" s="193">
        <v>43313</v>
      </c>
      <c r="B551" s="53" t="s">
        <v>5956</v>
      </c>
      <c r="C551" s="53" t="s">
        <v>3369</v>
      </c>
      <c r="D551" s="53" t="s">
        <v>8126</v>
      </c>
      <c r="E551" s="53" t="s">
        <v>588</v>
      </c>
      <c r="F551" s="53" t="s">
        <v>11982</v>
      </c>
      <c r="G551" s="53" t="s">
        <v>11981</v>
      </c>
      <c r="H551" s="53" t="s">
        <v>607</v>
      </c>
      <c r="I551" s="53" t="s">
        <v>11589</v>
      </c>
      <c r="J551" s="53" t="s">
        <v>4825</v>
      </c>
      <c r="K551" s="219"/>
      <c r="L551" s="194">
        <v>9</v>
      </c>
      <c r="M551" s="195">
        <v>252290</v>
      </c>
      <c r="N551" s="195">
        <v>504581</v>
      </c>
      <c r="O551" s="189" t="s">
        <v>10766</v>
      </c>
      <c r="P551" s="53" t="s">
        <v>11980</v>
      </c>
      <c r="Q551" s="53" t="s">
        <v>592</v>
      </c>
      <c r="R551" s="53" t="s">
        <v>10860</v>
      </c>
      <c r="T551" s="53"/>
      <c r="U551" s="53" t="s">
        <v>1327</v>
      </c>
      <c r="V551" s="53"/>
    </row>
    <row r="552" spans="1:23" ht="60" x14ac:dyDescent="0.25">
      <c r="A552" s="193">
        <v>43313</v>
      </c>
      <c r="B552" s="53" t="s">
        <v>9240</v>
      </c>
      <c r="C552" s="53" t="s">
        <v>603</v>
      </c>
      <c r="D552" s="53" t="s">
        <v>9241</v>
      </c>
      <c r="E552" s="53" t="s">
        <v>588</v>
      </c>
      <c r="F552" s="53" t="s">
        <v>11983</v>
      </c>
      <c r="G552" s="53" t="s">
        <v>11984</v>
      </c>
      <c r="H552" s="53" t="s">
        <v>607</v>
      </c>
      <c r="I552" s="53" t="s">
        <v>1487</v>
      </c>
      <c r="J552" s="53" t="s">
        <v>5610</v>
      </c>
      <c r="K552" s="219"/>
      <c r="L552" s="194">
        <v>6</v>
      </c>
      <c r="M552" s="195">
        <v>298000</v>
      </c>
      <c r="N552" s="195">
        <v>596000</v>
      </c>
      <c r="O552" s="189" t="s">
        <v>10762</v>
      </c>
      <c r="P552" s="53" t="s">
        <v>12022</v>
      </c>
      <c r="Q552" s="53" t="s">
        <v>1939</v>
      </c>
      <c r="R552" s="53" t="s">
        <v>12023</v>
      </c>
      <c r="T552" s="53"/>
      <c r="U552" s="53" t="s">
        <v>1327</v>
      </c>
      <c r="V552" s="53"/>
    </row>
    <row r="553" spans="1:23" s="146" customFormat="1" ht="45" x14ac:dyDescent="0.25">
      <c r="A553" s="193">
        <v>43313</v>
      </c>
      <c r="B553" s="53" t="s">
        <v>328</v>
      </c>
      <c r="C553" s="53" t="s">
        <v>603</v>
      </c>
      <c r="D553" s="53" t="s">
        <v>7595</v>
      </c>
      <c r="E553" s="53" t="s">
        <v>588</v>
      </c>
      <c r="F553" s="53" t="s">
        <v>11987</v>
      </c>
      <c r="G553" s="53" t="s">
        <v>11986</v>
      </c>
      <c r="H553" s="53" t="s">
        <v>607</v>
      </c>
      <c r="I553" s="53" t="s">
        <v>11985</v>
      </c>
      <c r="J553" s="53" t="s">
        <v>6015</v>
      </c>
      <c r="K553" s="219"/>
      <c r="L553" s="194">
        <v>10</v>
      </c>
      <c r="M553" s="201">
        <v>750000</v>
      </c>
      <c r="N553" s="118">
        <v>1275000</v>
      </c>
      <c r="O553" s="189" t="s">
        <v>7124</v>
      </c>
      <c r="P553" s="53" t="s">
        <v>12045</v>
      </c>
      <c r="Q553" s="53" t="s">
        <v>1939</v>
      </c>
      <c r="R553" s="53" t="s">
        <v>12046</v>
      </c>
      <c r="S553" s="53" t="s">
        <v>833</v>
      </c>
      <c r="T553" s="53"/>
      <c r="U553" s="53" t="s">
        <v>491</v>
      </c>
      <c r="V553" s="53"/>
      <c r="W553" s="53"/>
    </row>
    <row r="554" spans="1:23" ht="30" x14ac:dyDescent="0.25">
      <c r="A554" s="193">
        <v>43313</v>
      </c>
      <c r="B554" s="53" t="s">
        <v>328</v>
      </c>
      <c r="C554" s="53" t="s">
        <v>603</v>
      </c>
      <c r="D554" s="53" t="s">
        <v>1401</v>
      </c>
      <c r="E554" s="53" t="s">
        <v>588</v>
      </c>
      <c r="F554" s="53" t="s">
        <v>11988</v>
      </c>
      <c r="G554" s="53" t="s">
        <v>11989</v>
      </c>
      <c r="H554" s="53" t="s">
        <v>10831</v>
      </c>
      <c r="I554" s="53" t="s">
        <v>106</v>
      </c>
      <c r="J554" s="53" t="s">
        <v>3733</v>
      </c>
      <c r="K554" s="219"/>
      <c r="L554" s="194">
        <v>10</v>
      </c>
      <c r="M554" s="195">
        <v>677300</v>
      </c>
      <c r="N554" s="195">
        <v>743227</v>
      </c>
      <c r="O554" s="189" t="s">
        <v>7124</v>
      </c>
      <c r="P554" s="53" t="s">
        <v>11990</v>
      </c>
      <c r="Q554" s="53" t="s">
        <v>592</v>
      </c>
      <c r="R554" s="53" t="s">
        <v>11991</v>
      </c>
      <c r="T554" s="53"/>
      <c r="U554" s="53" t="s">
        <v>1327</v>
      </c>
      <c r="V554" s="53"/>
    </row>
    <row r="555" spans="1:23" ht="120" x14ac:dyDescent="0.25">
      <c r="A555" s="193">
        <v>43313</v>
      </c>
      <c r="B555" s="53" t="s">
        <v>643</v>
      </c>
      <c r="C555" s="53" t="s">
        <v>644</v>
      </c>
      <c r="D555" s="53" t="s">
        <v>645</v>
      </c>
      <c r="E555" s="53" t="s">
        <v>588</v>
      </c>
      <c r="F555" s="53" t="s">
        <v>12083</v>
      </c>
      <c r="G555" s="53" t="s">
        <v>12084</v>
      </c>
      <c r="H555" s="53" t="s">
        <v>607</v>
      </c>
      <c r="I555" s="53" t="s">
        <v>7022</v>
      </c>
      <c r="J555" s="53" t="s">
        <v>644</v>
      </c>
      <c r="K555" s="219"/>
      <c r="L555" s="194">
        <v>2</v>
      </c>
      <c r="M555" s="195"/>
      <c r="N555" s="195">
        <v>2987300</v>
      </c>
      <c r="O555" s="189" t="s">
        <v>10766</v>
      </c>
      <c r="P555" s="53" t="s">
        <v>12085</v>
      </c>
      <c r="Q555" s="53" t="s">
        <v>1939</v>
      </c>
      <c r="R555" s="53" t="s">
        <v>12086</v>
      </c>
      <c r="T555" s="53"/>
      <c r="U555" s="53" t="s">
        <v>1327</v>
      </c>
      <c r="V555" s="53"/>
    </row>
    <row r="556" spans="1:23" ht="30" x14ac:dyDescent="0.25">
      <c r="A556" s="193">
        <v>43314</v>
      </c>
      <c r="B556" s="53" t="s">
        <v>569</v>
      </c>
      <c r="C556" s="53" t="s">
        <v>899</v>
      </c>
      <c r="D556" s="53" t="s">
        <v>3505</v>
      </c>
      <c r="E556" s="53" t="s">
        <v>588</v>
      </c>
      <c r="F556" s="53" t="s">
        <v>11992</v>
      </c>
      <c r="G556" s="53" t="s">
        <v>11993</v>
      </c>
      <c r="H556" s="53" t="s">
        <v>607</v>
      </c>
      <c r="I556" s="53" t="s">
        <v>4256</v>
      </c>
      <c r="J556" s="53" t="s">
        <v>899</v>
      </c>
      <c r="K556" s="219"/>
      <c r="L556" s="194">
        <v>1</v>
      </c>
      <c r="M556" s="195">
        <v>2200000</v>
      </c>
      <c r="N556" s="195">
        <v>4600000</v>
      </c>
      <c r="O556" s="189" t="s">
        <v>560</v>
      </c>
      <c r="P556" s="53" t="s">
        <v>11994</v>
      </c>
      <c r="Q556" s="53" t="s">
        <v>592</v>
      </c>
      <c r="R556" s="53" t="s">
        <v>11995</v>
      </c>
      <c r="T556" s="53"/>
      <c r="U556" s="53" t="s">
        <v>491</v>
      </c>
      <c r="V556" s="53"/>
    </row>
    <row r="557" spans="1:23" ht="90" x14ac:dyDescent="0.25">
      <c r="A557" s="56">
        <v>43314</v>
      </c>
      <c r="B557" s="29" t="s">
        <v>328</v>
      </c>
      <c r="C557" s="29" t="s">
        <v>603</v>
      </c>
      <c r="D557" s="29" t="s">
        <v>5701</v>
      </c>
      <c r="E557" s="29" t="s">
        <v>588</v>
      </c>
      <c r="F557" s="29" t="s">
        <v>12017</v>
      </c>
      <c r="G557" s="29" t="s">
        <v>11205</v>
      </c>
      <c r="H557" s="29" t="s">
        <v>10831</v>
      </c>
      <c r="I557" s="29" t="s">
        <v>7088</v>
      </c>
      <c r="J557" s="29" t="s">
        <v>899</v>
      </c>
      <c r="M557" s="113">
        <v>1600000</v>
      </c>
      <c r="N557" s="126">
        <v>2550000</v>
      </c>
      <c r="O557" s="189" t="s">
        <v>4533</v>
      </c>
      <c r="P557" s="53" t="s">
        <v>12018</v>
      </c>
      <c r="Q557" s="53" t="s">
        <v>1939</v>
      </c>
      <c r="R557" s="53" t="s">
        <v>12025</v>
      </c>
      <c r="U557" s="29" t="s">
        <v>491</v>
      </c>
    </row>
    <row r="558" spans="1:23" ht="60" x14ac:dyDescent="0.25">
      <c r="A558" s="56">
        <v>43314</v>
      </c>
      <c r="B558" s="29" t="s">
        <v>110</v>
      </c>
      <c r="C558" s="29" t="s">
        <v>761</v>
      </c>
      <c r="D558" s="29" t="s">
        <v>715</v>
      </c>
      <c r="E558" s="29" t="s">
        <v>588</v>
      </c>
      <c r="F558" s="29" t="s">
        <v>12019</v>
      </c>
      <c r="G558" s="29" t="s">
        <v>12020</v>
      </c>
      <c r="H558" s="29" t="s">
        <v>905</v>
      </c>
      <c r="I558" s="29" t="s">
        <v>3059</v>
      </c>
      <c r="J558" s="29" t="s">
        <v>761</v>
      </c>
      <c r="O558" s="189" t="s">
        <v>7564</v>
      </c>
      <c r="P558" s="53" t="s">
        <v>12021</v>
      </c>
      <c r="Q558" s="53" t="s">
        <v>29</v>
      </c>
      <c r="R558" s="53" t="s">
        <v>12024</v>
      </c>
      <c r="U558" s="29" t="s">
        <v>491</v>
      </c>
    </row>
    <row r="559" spans="1:23" ht="75" x14ac:dyDescent="0.25">
      <c r="A559" s="56">
        <v>43314</v>
      </c>
      <c r="B559" s="29" t="s">
        <v>569</v>
      </c>
      <c r="C559" s="29" t="s">
        <v>899</v>
      </c>
      <c r="D559" s="29" t="s">
        <v>624</v>
      </c>
      <c r="E559" s="29" t="s">
        <v>588</v>
      </c>
      <c r="F559" s="29" t="s">
        <v>12026</v>
      </c>
      <c r="H559" s="29" t="s">
        <v>905</v>
      </c>
      <c r="I559" s="29" t="s">
        <v>12027</v>
      </c>
      <c r="J559" s="29" t="s">
        <v>899</v>
      </c>
      <c r="L559" s="182">
        <v>3</v>
      </c>
      <c r="M559" s="113">
        <v>1600000</v>
      </c>
      <c r="N559" s="113">
        <v>1920000</v>
      </c>
      <c r="O559" s="189" t="s">
        <v>10766</v>
      </c>
      <c r="P559" s="53" t="s">
        <v>12028</v>
      </c>
      <c r="Q559" s="53" t="s">
        <v>620</v>
      </c>
      <c r="R559" s="53" t="s">
        <v>12029</v>
      </c>
      <c r="U559" s="29" t="s">
        <v>491</v>
      </c>
    </row>
    <row r="560" spans="1:23" ht="45" x14ac:dyDescent="0.25">
      <c r="A560" s="56">
        <v>43315</v>
      </c>
      <c r="B560" s="29" t="s">
        <v>569</v>
      </c>
      <c r="C560" s="29" t="s">
        <v>899</v>
      </c>
      <c r="D560" s="29" t="s">
        <v>11359</v>
      </c>
      <c r="E560" s="29" t="s">
        <v>588</v>
      </c>
      <c r="F560" s="29" t="s">
        <v>12030</v>
      </c>
      <c r="G560" s="29" t="s">
        <v>9170</v>
      </c>
      <c r="H560" s="29" t="s">
        <v>10831</v>
      </c>
      <c r="I560" s="29" t="s">
        <v>3649</v>
      </c>
      <c r="J560" s="29" t="s">
        <v>899</v>
      </c>
      <c r="L560" s="182">
        <v>5</v>
      </c>
      <c r="M560" s="113">
        <v>2500000</v>
      </c>
      <c r="N560" s="113">
        <v>3350000</v>
      </c>
      <c r="O560" s="189" t="s">
        <v>560</v>
      </c>
      <c r="P560" s="53" t="s">
        <v>12032</v>
      </c>
      <c r="Q560" s="53" t="s">
        <v>592</v>
      </c>
      <c r="R560" s="53" t="s">
        <v>11809</v>
      </c>
      <c r="U560" s="29" t="s">
        <v>491</v>
      </c>
    </row>
    <row r="561" spans="1:22" ht="75" x14ac:dyDescent="0.25">
      <c r="A561" s="193">
        <v>43315</v>
      </c>
      <c r="B561" s="53" t="s">
        <v>569</v>
      </c>
      <c r="C561" s="53" t="s">
        <v>899</v>
      </c>
      <c r="D561" s="53" t="s">
        <v>11359</v>
      </c>
      <c r="E561" s="53" t="s">
        <v>588</v>
      </c>
      <c r="F561" s="53" t="s">
        <v>12031</v>
      </c>
      <c r="G561" s="53"/>
      <c r="H561" s="53" t="s">
        <v>607</v>
      </c>
      <c r="I561" s="53" t="s">
        <v>4438</v>
      </c>
      <c r="J561" s="53" t="s">
        <v>899</v>
      </c>
      <c r="K561" s="219"/>
      <c r="L561" s="194">
        <v>1</v>
      </c>
      <c r="M561" s="195">
        <v>1200000</v>
      </c>
      <c r="N561" s="195">
        <v>1520000</v>
      </c>
      <c r="O561" s="189" t="s">
        <v>560</v>
      </c>
      <c r="P561" s="53" t="s">
        <v>12033</v>
      </c>
      <c r="Q561" s="53" t="s">
        <v>592</v>
      </c>
      <c r="R561" s="53" t="s">
        <v>12490</v>
      </c>
      <c r="T561" s="53"/>
      <c r="U561" s="53" t="s">
        <v>491</v>
      </c>
      <c r="V561" s="53"/>
    </row>
    <row r="562" spans="1:22" ht="60" x14ac:dyDescent="0.25">
      <c r="A562" s="193">
        <v>43315</v>
      </c>
      <c r="B562" s="53" t="s">
        <v>569</v>
      </c>
      <c r="C562" s="53" t="s">
        <v>899</v>
      </c>
      <c r="D562" s="53" t="s">
        <v>9981</v>
      </c>
      <c r="E562" s="53" t="s">
        <v>588</v>
      </c>
      <c r="F562" s="53" t="s">
        <v>12034</v>
      </c>
      <c r="G562" s="53" t="s">
        <v>12035</v>
      </c>
      <c r="H562" s="53" t="s">
        <v>886</v>
      </c>
      <c r="I562" s="53" t="s">
        <v>11206</v>
      </c>
      <c r="J562" s="53" t="s">
        <v>899</v>
      </c>
      <c r="K562" s="219"/>
      <c r="L562" s="194" t="s">
        <v>833</v>
      </c>
      <c r="M562" s="195">
        <v>1600000</v>
      </c>
      <c r="N562" s="195">
        <v>1600000</v>
      </c>
      <c r="O562" s="189" t="s">
        <v>2295</v>
      </c>
      <c r="P562" s="53" t="s">
        <v>12036</v>
      </c>
      <c r="Q562" s="53" t="s">
        <v>29</v>
      </c>
      <c r="R562" s="53" t="s">
        <v>12037</v>
      </c>
      <c r="T562" s="53"/>
      <c r="U562" s="53" t="s">
        <v>491</v>
      </c>
      <c r="V562" s="53"/>
    </row>
    <row r="563" spans="1:22" ht="30" x14ac:dyDescent="0.25">
      <c r="A563" s="193">
        <v>43315</v>
      </c>
      <c r="B563" s="53" t="s">
        <v>643</v>
      </c>
      <c r="C563" s="53" t="s">
        <v>644</v>
      </c>
      <c r="D563" s="53" t="s">
        <v>645</v>
      </c>
      <c r="E563" s="53" t="s">
        <v>588</v>
      </c>
      <c r="F563" s="53" t="s">
        <v>12038</v>
      </c>
      <c r="G563" s="53" t="s">
        <v>12039</v>
      </c>
      <c r="H563" s="53" t="s">
        <v>886</v>
      </c>
      <c r="I563" s="53" t="s">
        <v>4412</v>
      </c>
      <c r="J563" s="53" t="s">
        <v>899</v>
      </c>
      <c r="K563" s="219"/>
      <c r="L563" s="194">
        <v>2</v>
      </c>
      <c r="M563" s="195">
        <v>750000</v>
      </c>
      <c r="N563" s="195">
        <v>1168000</v>
      </c>
      <c r="O563" s="189" t="s">
        <v>2295</v>
      </c>
      <c r="P563" s="53" t="s">
        <v>12040</v>
      </c>
      <c r="Q563" s="53" t="s">
        <v>1939</v>
      </c>
      <c r="R563" s="53" t="s">
        <v>12041</v>
      </c>
      <c r="T563" s="53"/>
      <c r="U563" s="53" t="s">
        <v>491</v>
      </c>
      <c r="V563" s="53"/>
    </row>
    <row r="564" spans="1:22" ht="45" x14ac:dyDescent="0.25">
      <c r="A564" s="193">
        <v>43318</v>
      </c>
      <c r="B564" s="53" t="s">
        <v>9240</v>
      </c>
      <c r="C564" s="53" t="s">
        <v>603</v>
      </c>
      <c r="D564" s="53" t="s">
        <v>9241</v>
      </c>
      <c r="E564" s="53" t="s">
        <v>588</v>
      </c>
      <c r="F564" s="53" t="s">
        <v>12042</v>
      </c>
      <c r="G564" s="53" t="s">
        <v>12043</v>
      </c>
      <c r="H564" s="53" t="s">
        <v>607</v>
      </c>
      <c r="I564" s="53" t="s">
        <v>11495</v>
      </c>
      <c r="J564" s="53" t="s">
        <v>608</v>
      </c>
      <c r="K564" s="219"/>
      <c r="L564" s="194"/>
      <c r="M564" s="195">
        <v>194000</v>
      </c>
      <c r="N564" s="195">
        <v>391000</v>
      </c>
      <c r="O564" s="189" t="s">
        <v>10763</v>
      </c>
      <c r="P564" s="53" t="s">
        <v>12491</v>
      </c>
      <c r="Q564" s="53" t="s">
        <v>29</v>
      </c>
      <c r="R564" s="53" t="s">
        <v>12044</v>
      </c>
      <c r="T564" s="53"/>
      <c r="U564" s="53" t="s">
        <v>491</v>
      </c>
      <c r="V564" s="53"/>
    </row>
    <row r="565" spans="1:22" ht="30" x14ac:dyDescent="0.25">
      <c r="A565" s="193">
        <v>43318</v>
      </c>
      <c r="B565" s="53" t="s">
        <v>569</v>
      </c>
      <c r="C565" s="53" t="s">
        <v>899</v>
      </c>
      <c r="D565" s="53" t="s">
        <v>3505</v>
      </c>
      <c r="E565" s="53" t="s">
        <v>588</v>
      </c>
      <c r="F565" s="53" t="s">
        <v>11487</v>
      </c>
      <c r="G565" s="53" t="s">
        <v>7457</v>
      </c>
      <c r="H565" s="53" t="s">
        <v>607</v>
      </c>
      <c r="I565" s="53" t="s">
        <v>12080</v>
      </c>
      <c r="J565" s="53" t="s">
        <v>899</v>
      </c>
      <c r="K565" s="219"/>
      <c r="L565" s="194">
        <v>1</v>
      </c>
      <c r="M565" s="195">
        <v>2500000</v>
      </c>
      <c r="N565" s="195">
        <v>4500000</v>
      </c>
      <c r="O565" s="189" t="s">
        <v>7564</v>
      </c>
      <c r="P565" s="53" t="s">
        <v>12081</v>
      </c>
      <c r="Q565" s="53" t="s">
        <v>592</v>
      </c>
      <c r="R565" s="53" t="s">
        <v>12082</v>
      </c>
      <c r="T565" s="53"/>
      <c r="U565" s="53" t="s">
        <v>1327</v>
      </c>
      <c r="V565" s="53"/>
    </row>
    <row r="566" spans="1:22" ht="45" x14ac:dyDescent="0.25">
      <c r="A566" s="193">
        <v>43318</v>
      </c>
      <c r="B566" s="53" t="s">
        <v>328</v>
      </c>
      <c r="C566" s="53" t="s">
        <v>603</v>
      </c>
      <c r="D566" s="53" t="s">
        <v>7595</v>
      </c>
      <c r="E566" s="53" t="s">
        <v>588</v>
      </c>
      <c r="F566" s="53" t="s">
        <v>12087</v>
      </c>
      <c r="G566" s="53" t="s">
        <v>8777</v>
      </c>
      <c r="H566" s="53" t="s">
        <v>905</v>
      </c>
      <c r="I566" s="53"/>
      <c r="J566" s="53" t="s">
        <v>5562</v>
      </c>
      <c r="K566" s="219"/>
      <c r="L566" s="194">
        <v>5</v>
      </c>
      <c r="M566" s="195">
        <v>173000</v>
      </c>
      <c r="N566" s="195">
        <v>242200</v>
      </c>
      <c r="O566" s="189" t="s">
        <v>4533</v>
      </c>
      <c r="P566" s="53" t="s">
        <v>12492</v>
      </c>
      <c r="Q566" s="53" t="s">
        <v>1939</v>
      </c>
      <c r="R566" s="53" t="s">
        <v>12088</v>
      </c>
      <c r="T566" s="53"/>
      <c r="U566" s="53" t="s">
        <v>1327</v>
      </c>
      <c r="V566" s="53"/>
    </row>
    <row r="567" spans="1:22" ht="75" x14ac:dyDescent="0.25">
      <c r="A567" s="193">
        <v>43318</v>
      </c>
      <c r="B567" s="53" t="s">
        <v>5956</v>
      </c>
      <c r="C567" s="53" t="s">
        <v>3369</v>
      </c>
      <c r="D567" s="53" t="s">
        <v>8126</v>
      </c>
      <c r="E567" s="53" t="s">
        <v>588</v>
      </c>
      <c r="F567" s="53" t="s">
        <v>12093</v>
      </c>
      <c r="G567" s="53" t="s">
        <v>12092</v>
      </c>
      <c r="H567" s="53" t="s">
        <v>905</v>
      </c>
      <c r="I567" s="53" t="s">
        <v>12091</v>
      </c>
      <c r="J567" s="53" t="s">
        <v>4825</v>
      </c>
      <c r="K567" s="219"/>
      <c r="L567" s="194">
        <v>1</v>
      </c>
      <c r="M567" s="195">
        <v>320000</v>
      </c>
      <c r="N567" s="195">
        <v>358000</v>
      </c>
      <c r="O567" s="189" t="s">
        <v>10879</v>
      </c>
      <c r="P567" s="53" t="s">
        <v>12090</v>
      </c>
      <c r="Q567" s="53" t="s">
        <v>1939</v>
      </c>
      <c r="R567" s="53" t="s">
        <v>12089</v>
      </c>
      <c r="T567" s="53"/>
      <c r="U567" s="53" t="s">
        <v>1327</v>
      </c>
      <c r="V567" s="53"/>
    </row>
    <row r="568" spans="1:22" ht="30" x14ac:dyDescent="0.25">
      <c r="A568" s="193">
        <v>43318</v>
      </c>
      <c r="B568" s="53" t="s">
        <v>569</v>
      </c>
      <c r="C568" s="53" t="s">
        <v>899</v>
      </c>
      <c r="D568" s="53" t="s">
        <v>624</v>
      </c>
      <c r="E568" s="53" t="s">
        <v>588</v>
      </c>
      <c r="F568" s="53" t="s">
        <v>12094</v>
      </c>
      <c r="G568" s="53" t="s">
        <v>9072</v>
      </c>
      <c r="H568" s="53" t="s">
        <v>886</v>
      </c>
      <c r="I568" s="53" t="s">
        <v>9351</v>
      </c>
      <c r="J568" s="53" t="s">
        <v>899</v>
      </c>
      <c r="K568" s="219"/>
      <c r="L568" s="194">
        <v>2</v>
      </c>
      <c r="M568" s="195">
        <v>700000</v>
      </c>
      <c r="N568" s="195">
        <v>850000</v>
      </c>
      <c r="O568" s="189" t="s">
        <v>6745</v>
      </c>
      <c r="P568" s="53" t="s">
        <v>12095</v>
      </c>
      <c r="Q568" s="53" t="s">
        <v>29</v>
      </c>
      <c r="R568" s="53" t="s">
        <v>12493</v>
      </c>
      <c r="T568" s="53"/>
      <c r="U568" s="53" t="s">
        <v>1327</v>
      </c>
      <c r="V568" s="53"/>
    </row>
    <row r="569" spans="1:22" ht="45" x14ac:dyDescent="0.25">
      <c r="A569" s="193">
        <v>43319</v>
      </c>
      <c r="B569" s="53" t="s">
        <v>569</v>
      </c>
      <c r="C569" s="53" t="s">
        <v>899</v>
      </c>
      <c r="D569" s="53" t="s">
        <v>11286</v>
      </c>
      <c r="E569" s="53" t="s">
        <v>588</v>
      </c>
      <c r="F569" s="53" t="s">
        <v>12096</v>
      </c>
      <c r="G569" s="53" t="s">
        <v>12097</v>
      </c>
      <c r="H569" s="53" t="s">
        <v>607</v>
      </c>
      <c r="I569" s="53" t="s">
        <v>12098</v>
      </c>
      <c r="J569" s="53" t="s">
        <v>899</v>
      </c>
      <c r="K569" s="219"/>
      <c r="L569" s="194">
        <v>1</v>
      </c>
      <c r="M569" s="195">
        <v>463000</v>
      </c>
      <c r="N569" s="195">
        <v>1134350</v>
      </c>
      <c r="O569" s="189" t="s">
        <v>6745</v>
      </c>
      <c r="P569" s="53" t="s">
        <v>12099</v>
      </c>
      <c r="Q569" s="53" t="s">
        <v>592</v>
      </c>
      <c r="R569" s="53" t="s">
        <v>12100</v>
      </c>
      <c r="T569" s="53"/>
      <c r="U569" s="53" t="s">
        <v>1327</v>
      </c>
      <c r="V569" s="53"/>
    </row>
    <row r="570" spans="1:22" ht="45" x14ac:dyDescent="0.25">
      <c r="A570" s="193">
        <v>43319</v>
      </c>
      <c r="B570" s="53" t="s">
        <v>569</v>
      </c>
      <c r="C570" s="53" t="s">
        <v>899</v>
      </c>
      <c r="D570" s="53" t="s">
        <v>3505</v>
      </c>
      <c r="E570" s="53" t="s">
        <v>588</v>
      </c>
      <c r="F570" s="53" t="s">
        <v>12102</v>
      </c>
      <c r="G570" s="53" t="s">
        <v>4118</v>
      </c>
      <c r="H570" s="53" t="s">
        <v>607</v>
      </c>
      <c r="I570" s="53" t="s">
        <v>2054</v>
      </c>
      <c r="J570" s="53" t="s">
        <v>899</v>
      </c>
      <c r="K570" s="219"/>
      <c r="L570" s="194">
        <v>1</v>
      </c>
      <c r="M570" s="195">
        <v>2500000</v>
      </c>
      <c r="N570" s="195">
        <v>4000000</v>
      </c>
      <c r="O570" s="189" t="s">
        <v>560</v>
      </c>
      <c r="P570" s="53" t="s">
        <v>12103</v>
      </c>
      <c r="Q570" s="53" t="s">
        <v>592</v>
      </c>
      <c r="R570" s="53" t="s">
        <v>12101</v>
      </c>
      <c r="T570" s="53"/>
      <c r="U570" s="53" t="s">
        <v>1327</v>
      </c>
      <c r="V570" s="53"/>
    </row>
    <row r="571" spans="1:22" ht="30" x14ac:dyDescent="0.25">
      <c r="A571" s="193">
        <v>43319</v>
      </c>
      <c r="B571" s="53" t="s">
        <v>328</v>
      </c>
      <c r="C571" s="53" t="s">
        <v>603</v>
      </c>
      <c r="D571" s="53" t="s">
        <v>649</v>
      </c>
      <c r="E571" s="53" t="s">
        <v>588</v>
      </c>
      <c r="F571" s="53" t="s">
        <v>12104</v>
      </c>
      <c r="G571" s="53" t="s">
        <v>12105</v>
      </c>
      <c r="H571" s="53" t="s">
        <v>10831</v>
      </c>
      <c r="I571" s="53" t="s">
        <v>12106</v>
      </c>
      <c r="J571" s="53" t="s">
        <v>3501</v>
      </c>
      <c r="K571" s="219"/>
      <c r="L571" s="194">
        <v>10</v>
      </c>
      <c r="M571" s="195">
        <v>1300000</v>
      </c>
      <c r="N571" s="195">
        <v>1540000</v>
      </c>
      <c r="O571" s="189" t="s">
        <v>7124</v>
      </c>
      <c r="P571" s="53" t="s">
        <v>12107</v>
      </c>
      <c r="Q571" s="53" t="s">
        <v>29</v>
      </c>
      <c r="R571" s="53" t="s">
        <v>12108</v>
      </c>
      <c r="T571" s="53"/>
      <c r="U571" s="53" t="s">
        <v>1327</v>
      </c>
      <c r="V571" s="53"/>
    </row>
    <row r="572" spans="1:22" ht="60" x14ac:dyDescent="0.25">
      <c r="A572" s="193">
        <v>43319</v>
      </c>
      <c r="B572" s="53" t="s">
        <v>569</v>
      </c>
      <c r="C572" s="53" t="s">
        <v>899</v>
      </c>
      <c r="D572" s="53" t="s">
        <v>11031</v>
      </c>
      <c r="E572" s="53" t="s">
        <v>588</v>
      </c>
      <c r="F572" s="53" t="s">
        <v>12112</v>
      </c>
      <c r="G572" s="53" t="s">
        <v>12111</v>
      </c>
      <c r="H572" s="53" t="s">
        <v>607</v>
      </c>
      <c r="I572" s="53" t="s">
        <v>8952</v>
      </c>
      <c r="J572" s="53" t="s">
        <v>899</v>
      </c>
      <c r="K572" s="219"/>
      <c r="L572" s="194">
        <v>3</v>
      </c>
      <c r="M572" s="195">
        <v>950000</v>
      </c>
      <c r="N572" s="195">
        <v>2185000</v>
      </c>
      <c r="O572" s="189" t="s">
        <v>10765</v>
      </c>
      <c r="P572" s="53" t="s">
        <v>12110</v>
      </c>
      <c r="Q572" s="53" t="s">
        <v>1939</v>
      </c>
      <c r="R572" s="53" t="s">
        <v>12109</v>
      </c>
      <c r="T572" s="53"/>
      <c r="U572" s="53" t="s">
        <v>1327</v>
      </c>
      <c r="V572" s="53"/>
    </row>
    <row r="573" spans="1:22" ht="30" x14ac:dyDescent="0.25">
      <c r="A573" s="193">
        <v>43319</v>
      </c>
      <c r="B573" s="53" t="s">
        <v>328</v>
      </c>
      <c r="C573" s="53" t="s">
        <v>603</v>
      </c>
      <c r="D573" s="53" t="s">
        <v>649</v>
      </c>
      <c r="E573" s="53" t="s">
        <v>588</v>
      </c>
      <c r="F573" s="53" t="s">
        <v>12113</v>
      </c>
      <c r="G573" s="53" t="s">
        <v>9300</v>
      </c>
      <c r="H573" s="53" t="s">
        <v>1050</v>
      </c>
      <c r="I573" s="53"/>
      <c r="J573" s="53" t="s">
        <v>3751</v>
      </c>
      <c r="K573" s="219"/>
      <c r="L573" s="194">
        <v>3</v>
      </c>
      <c r="M573" s="195">
        <v>400000</v>
      </c>
      <c r="N573" s="195">
        <v>400000</v>
      </c>
      <c r="O573" s="189" t="s">
        <v>10766</v>
      </c>
      <c r="P573" s="53" t="s">
        <v>12114</v>
      </c>
      <c r="Q573" s="53" t="s">
        <v>592</v>
      </c>
      <c r="R573" s="53" t="s">
        <v>12115</v>
      </c>
      <c r="T573" s="53"/>
      <c r="U573" s="53" t="s">
        <v>1327</v>
      </c>
      <c r="V573" s="53"/>
    </row>
    <row r="574" spans="1:22" ht="75" x14ac:dyDescent="0.25">
      <c r="A574" s="193">
        <v>43320</v>
      </c>
      <c r="B574" s="53" t="s">
        <v>643</v>
      </c>
      <c r="C574" s="53" t="s">
        <v>644</v>
      </c>
      <c r="D574" s="53" t="s">
        <v>645</v>
      </c>
      <c r="E574" s="53" t="s">
        <v>588</v>
      </c>
      <c r="F574" s="53" t="s">
        <v>12047</v>
      </c>
      <c r="G574" s="53" t="s">
        <v>9305</v>
      </c>
      <c r="H574" s="53" t="s">
        <v>607</v>
      </c>
      <c r="I574" s="53" t="s">
        <v>12048</v>
      </c>
      <c r="J574" s="53" t="s">
        <v>899</v>
      </c>
      <c r="K574" s="219"/>
      <c r="L574" s="194">
        <v>3</v>
      </c>
      <c r="M574" s="195">
        <v>700000</v>
      </c>
      <c r="N574" s="195">
        <v>1310000</v>
      </c>
      <c r="O574" s="189" t="s">
        <v>7564</v>
      </c>
      <c r="P574" s="53" t="s">
        <v>12049</v>
      </c>
      <c r="Q574" s="53" t="s">
        <v>1939</v>
      </c>
      <c r="R574" s="53" t="s">
        <v>12050</v>
      </c>
      <c r="T574" s="53"/>
      <c r="U574" s="53" t="s">
        <v>491</v>
      </c>
      <c r="V574" s="53"/>
    </row>
    <row r="575" spans="1:22" ht="75" x14ac:dyDescent="0.25">
      <c r="A575" s="193">
        <v>43320</v>
      </c>
      <c r="B575" s="53" t="s">
        <v>643</v>
      </c>
      <c r="C575" s="53" t="s">
        <v>644</v>
      </c>
      <c r="D575" s="53" t="s">
        <v>645</v>
      </c>
      <c r="E575" s="53" t="s">
        <v>588</v>
      </c>
      <c r="F575" s="53" t="s">
        <v>12051</v>
      </c>
      <c r="G575" s="53" t="s">
        <v>12052</v>
      </c>
      <c r="H575" s="53" t="s">
        <v>809</v>
      </c>
      <c r="I575" s="53" t="s">
        <v>3913</v>
      </c>
      <c r="J575" s="53" t="s">
        <v>644</v>
      </c>
      <c r="K575" s="219"/>
      <c r="L575" s="194">
        <v>1</v>
      </c>
      <c r="M575" s="195">
        <v>10000</v>
      </c>
      <c r="N575" s="195">
        <v>250000</v>
      </c>
      <c r="O575" s="189" t="s">
        <v>10762</v>
      </c>
      <c r="P575" s="53" t="s">
        <v>12053</v>
      </c>
      <c r="Q575" s="53" t="s">
        <v>1939</v>
      </c>
      <c r="R575" s="53" t="s">
        <v>12055</v>
      </c>
      <c r="S575" s="53" t="s">
        <v>12054</v>
      </c>
      <c r="T575" s="53"/>
      <c r="U575" s="53" t="s">
        <v>491</v>
      </c>
      <c r="V575" s="53"/>
    </row>
    <row r="576" spans="1:22" ht="45" x14ac:dyDescent="0.25">
      <c r="A576" s="193">
        <v>43320</v>
      </c>
      <c r="B576" s="53" t="s">
        <v>569</v>
      </c>
      <c r="C576" s="53" t="s">
        <v>899</v>
      </c>
      <c r="D576" s="53" t="s">
        <v>11286</v>
      </c>
      <c r="E576" s="53" t="s">
        <v>588</v>
      </c>
      <c r="F576" s="53" t="s">
        <v>12056</v>
      </c>
      <c r="G576" s="53" t="s">
        <v>12057</v>
      </c>
      <c r="H576" s="53" t="s">
        <v>809</v>
      </c>
      <c r="I576" s="53" t="s">
        <v>9725</v>
      </c>
      <c r="J576" s="53" t="s">
        <v>899</v>
      </c>
      <c r="K576" s="219"/>
      <c r="L576" s="194"/>
      <c r="M576" s="195">
        <v>3000000</v>
      </c>
      <c r="N576" s="195">
        <v>3050000</v>
      </c>
      <c r="O576" s="189" t="s">
        <v>560</v>
      </c>
      <c r="P576" s="53" t="s">
        <v>12058</v>
      </c>
      <c r="Q576" s="53" t="s">
        <v>1939</v>
      </c>
      <c r="R576" s="53" t="s">
        <v>12494</v>
      </c>
      <c r="S576" s="53" t="s">
        <v>12059</v>
      </c>
      <c r="T576" s="53"/>
      <c r="U576" s="53" t="s">
        <v>491</v>
      </c>
      <c r="V576" s="53"/>
    </row>
    <row r="577" spans="1:22" ht="90" x14ac:dyDescent="0.25">
      <c r="A577" s="193">
        <v>43320</v>
      </c>
      <c r="B577" s="53" t="s">
        <v>328</v>
      </c>
      <c r="C577" s="53" t="s">
        <v>603</v>
      </c>
      <c r="D577" s="53" t="s">
        <v>7595</v>
      </c>
      <c r="E577" s="53" t="s">
        <v>588</v>
      </c>
      <c r="F577" s="53" t="s">
        <v>11560</v>
      </c>
      <c r="G577" s="53" t="s">
        <v>7814</v>
      </c>
      <c r="H577" s="53" t="s">
        <v>905</v>
      </c>
      <c r="I577" s="53" t="s">
        <v>12060</v>
      </c>
      <c r="J577" s="53" t="s">
        <v>899</v>
      </c>
      <c r="K577" s="219"/>
      <c r="L577" s="194">
        <v>1</v>
      </c>
      <c r="M577" s="195">
        <v>300000</v>
      </c>
      <c r="N577" s="195">
        <v>335000</v>
      </c>
      <c r="O577" s="189" t="s">
        <v>10766</v>
      </c>
      <c r="P577" s="53" t="s">
        <v>12061</v>
      </c>
      <c r="Q577" s="53" t="s">
        <v>592</v>
      </c>
      <c r="R577" s="53" t="s">
        <v>12069</v>
      </c>
      <c r="S577" s="53" t="s">
        <v>12062</v>
      </c>
      <c r="T577" s="53"/>
      <c r="U577" s="53" t="s">
        <v>491</v>
      </c>
      <c r="V577" s="53"/>
    </row>
    <row r="578" spans="1:22" ht="45" x14ac:dyDescent="0.25">
      <c r="A578" s="193">
        <v>43321</v>
      </c>
      <c r="B578" s="53" t="s">
        <v>643</v>
      </c>
      <c r="C578" s="53" t="s">
        <v>644</v>
      </c>
      <c r="D578" s="53" t="s">
        <v>645</v>
      </c>
      <c r="E578" s="53" t="s">
        <v>588</v>
      </c>
      <c r="F578" s="53" t="s">
        <v>12063</v>
      </c>
      <c r="G578" s="53" t="s">
        <v>12064</v>
      </c>
      <c r="H578" s="53" t="s">
        <v>607</v>
      </c>
      <c r="I578" s="53" t="s">
        <v>5910</v>
      </c>
      <c r="J578" s="53" t="s">
        <v>899</v>
      </c>
      <c r="K578" s="219"/>
      <c r="L578" s="194">
        <v>3</v>
      </c>
      <c r="M578" s="195">
        <v>1500000</v>
      </c>
      <c r="N578" s="195">
        <v>3100000</v>
      </c>
      <c r="O578" s="189" t="s">
        <v>560</v>
      </c>
      <c r="P578" s="53" t="s">
        <v>12065</v>
      </c>
      <c r="Q578" s="53" t="s">
        <v>1939</v>
      </c>
      <c r="R578" s="53" t="s">
        <v>12066</v>
      </c>
      <c r="T578" s="53"/>
      <c r="U578" s="53" t="s">
        <v>491</v>
      </c>
      <c r="V578" s="53"/>
    </row>
    <row r="579" spans="1:22" ht="45" x14ac:dyDescent="0.25">
      <c r="A579" s="193">
        <v>43321</v>
      </c>
      <c r="B579" s="53" t="s">
        <v>643</v>
      </c>
      <c r="C579" s="53" t="s">
        <v>644</v>
      </c>
      <c r="D579" s="53" t="s">
        <v>645</v>
      </c>
      <c r="E579" s="53" t="s">
        <v>588</v>
      </c>
      <c r="F579" s="53" t="s">
        <v>12067</v>
      </c>
      <c r="G579" s="53" t="s">
        <v>10007</v>
      </c>
      <c r="H579" s="53" t="s">
        <v>905</v>
      </c>
      <c r="I579" s="53" t="s">
        <v>3563</v>
      </c>
      <c r="J579" s="53" t="s">
        <v>644</v>
      </c>
      <c r="K579" s="219"/>
      <c r="L579" s="194">
        <v>4</v>
      </c>
      <c r="M579" s="195">
        <v>385000</v>
      </c>
      <c r="N579" s="195">
        <v>410000</v>
      </c>
      <c r="O579" s="189" t="s">
        <v>10764</v>
      </c>
      <c r="P579" s="53" t="s">
        <v>12068</v>
      </c>
      <c r="Q579" s="53" t="s">
        <v>620</v>
      </c>
      <c r="R579" s="53" t="s">
        <v>12079</v>
      </c>
      <c r="T579" s="53"/>
      <c r="U579" s="53" t="s">
        <v>491</v>
      </c>
      <c r="V579" s="53"/>
    </row>
    <row r="580" spans="1:22" ht="15.75" x14ac:dyDescent="0.25">
      <c r="A580" s="193">
        <v>43321</v>
      </c>
      <c r="B580" s="53" t="s">
        <v>569</v>
      </c>
      <c r="C580" s="53" t="s">
        <v>899</v>
      </c>
      <c r="D580" s="53" t="s">
        <v>3505</v>
      </c>
      <c r="E580" s="53" t="s">
        <v>588</v>
      </c>
      <c r="F580" s="53" t="s">
        <v>12070</v>
      </c>
      <c r="G580" s="53" t="s">
        <v>7814</v>
      </c>
      <c r="H580" s="53" t="s">
        <v>607</v>
      </c>
      <c r="I580" s="53" t="s">
        <v>3649</v>
      </c>
      <c r="J580" s="53" t="s">
        <v>899</v>
      </c>
      <c r="K580" s="219"/>
      <c r="L580" s="194">
        <v>2</v>
      </c>
      <c r="M580" s="195">
        <v>1000000</v>
      </c>
      <c r="N580" s="195">
        <v>1800000</v>
      </c>
      <c r="O580" s="189" t="s">
        <v>560</v>
      </c>
      <c r="P580" s="53" t="s">
        <v>12071</v>
      </c>
      <c r="Q580" s="53" t="s">
        <v>1939</v>
      </c>
      <c r="R580" s="53" t="s">
        <v>12072</v>
      </c>
      <c r="T580" s="53"/>
      <c r="U580" s="53" t="s">
        <v>491</v>
      </c>
      <c r="V580" s="53"/>
    </row>
    <row r="581" spans="1:22" ht="90" x14ac:dyDescent="0.25">
      <c r="A581" s="193">
        <v>43321</v>
      </c>
      <c r="B581" s="53" t="s">
        <v>5176</v>
      </c>
      <c r="C581" s="53" t="s">
        <v>604</v>
      </c>
      <c r="D581" s="53" t="s">
        <v>595</v>
      </c>
      <c r="E581" s="53" t="s">
        <v>588</v>
      </c>
      <c r="F581" s="53" t="s">
        <v>12073</v>
      </c>
      <c r="G581" s="53" t="s">
        <v>12074</v>
      </c>
      <c r="H581" s="53" t="s">
        <v>607</v>
      </c>
      <c r="I581" s="53" t="s">
        <v>12075</v>
      </c>
      <c r="J581" s="53" t="s">
        <v>959</v>
      </c>
      <c r="K581" s="219"/>
      <c r="L581" s="194"/>
      <c r="M581" s="195">
        <v>215000</v>
      </c>
      <c r="N581" s="195">
        <v>415000</v>
      </c>
      <c r="O581" s="189" t="s">
        <v>10766</v>
      </c>
      <c r="P581" s="53" t="s">
        <v>12076</v>
      </c>
      <c r="Q581" s="53" t="s">
        <v>29</v>
      </c>
      <c r="R581" s="53" t="s">
        <v>12077</v>
      </c>
      <c r="S581" s="53" t="s">
        <v>12078</v>
      </c>
      <c r="T581" s="53"/>
      <c r="U581" s="53" t="s">
        <v>491</v>
      </c>
      <c r="V581" s="53"/>
    </row>
    <row r="582" spans="1:22" ht="45" x14ac:dyDescent="0.25">
      <c r="A582" s="193">
        <v>43321</v>
      </c>
      <c r="B582" s="53" t="s">
        <v>328</v>
      </c>
      <c r="C582" s="53" t="s">
        <v>603</v>
      </c>
      <c r="D582" s="53" t="s">
        <v>7595</v>
      </c>
      <c r="E582" s="53" t="s">
        <v>588</v>
      </c>
      <c r="F582" s="53" t="s">
        <v>12119</v>
      </c>
      <c r="G582" s="53" t="s">
        <v>12120</v>
      </c>
      <c r="H582" s="53" t="s">
        <v>905</v>
      </c>
      <c r="I582" s="53"/>
      <c r="J582" s="53" t="s">
        <v>608</v>
      </c>
      <c r="K582" s="219"/>
      <c r="L582" s="194">
        <v>4</v>
      </c>
      <c r="M582" s="195">
        <v>228000</v>
      </c>
      <c r="N582" s="195">
        <v>270800</v>
      </c>
      <c r="O582" s="189" t="s">
        <v>49</v>
      </c>
      <c r="P582" s="53" t="s">
        <v>12121</v>
      </c>
      <c r="Q582" s="53" t="s">
        <v>1939</v>
      </c>
      <c r="R582" s="53" t="s">
        <v>12122</v>
      </c>
      <c r="T582" s="53"/>
      <c r="U582" s="53" t="s">
        <v>1327</v>
      </c>
      <c r="V582" s="53"/>
    </row>
    <row r="583" spans="1:22" ht="60" x14ac:dyDescent="0.25">
      <c r="A583" s="193">
        <v>43321</v>
      </c>
      <c r="B583" s="53" t="s">
        <v>328</v>
      </c>
      <c r="C583" s="53" t="s">
        <v>603</v>
      </c>
      <c r="D583" s="53" t="s">
        <v>649</v>
      </c>
      <c r="E583" s="53" t="s">
        <v>588</v>
      </c>
      <c r="F583" s="53" t="s">
        <v>12125</v>
      </c>
      <c r="G583" s="53" t="s">
        <v>8490</v>
      </c>
      <c r="H583" s="53" t="s">
        <v>607</v>
      </c>
      <c r="I583" s="53"/>
      <c r="J583" s="53" t="s">
        <v>5402</v>
      </c>
      <c r="K583" s="219"/>
      <c r="L583" s="194">
        <v>1</v>
      </c>
      <c r="M583" s="195">
        <v>105100</v>
      </c>
      <c r="N583" s="195">
        <v>189180</v>
      </c>
      <c r="O583" s="189"/>
      <c r="P583" s="53" t="s">
        <v>12124</v>
      </c>
      <c r="Q583" s="53" t="s">
        <v>1939</v>
      </c>
      <c r="R583" s="53" t="s">
        <v>12123</v>
      </c>
      <c r="T583" s="53"/>
      <c r="U583" s="53" t="s">
        <v>1327</v>
      </c>
      <c r="V583" s="53"/>
    </row>
    <row r="584" spans="1:22" ht="45" x14ac:dyDescent="0.25">
      <c r="A584" s="193">
        <v>43321</v>
      </c>
      <c r="B584" s="53" t="s">
        <v>569</v>
      </c>
      <c r="C584" s="53" t="s">
        <v>899</v>
      </c>
      <c r="D584" s="53" t="s">
        <v>12126</v>
      </c>
      <c r="E584" s="53" t="s">
        <v>588</v>
      </c>
      <c r="F584" s="53" t="s">
        <v>10173</v>
      </c>
      <c r="G584" s="53" t="s">
        <v>12128</v>
      </c>
      <c r="H584" s="53" t="s">
        <v>607</v>
      </c>
      <c r="I584" s="53" t="s">
        <v>12127</v>
      </c>
      <c r="J584" s="53" t="s">
        <v>899</v>
      </c>
      <c r="K584" s="219"/>
      <c r="L584" s="194">
        <v>2</v>
      </c>
      <c r="M584" s="195">
        <v>2600000</v>
      </c>
      <c r="N584" s="195">
        <v>4420000</v>
      </c>
      <c r="O584" s="189" t="s">
        <v>560</v>
      </c>
      <c r="P584" s="53" t="s">
        <v>12129</v>
      </c>
      <c r="Q584" s="53" t="s">
        <v>592</v>
      </c>
      <c r="R584" s="53" t="s">
        <v>12130</v>
      </c>
      <c r="T584" s="53"/>
      <c r="U584" s="53" t="s">
        <v>1327</v>
      </c>
      <c r="V584" s="53"/>
    </row>
    <row r="585" spans="1:22" ht="30" x14ac:dyDescent="0.25">
      <c r="A585" s="193">
        <v>43321</v>
      </c>
      <c r="B585" s="53" t="s">
        <v>569</v>
      </c>
      <c r="C585" s="53" t="s">
        <v>899</v>
      </c>
      <c r="D585" s="53" t="s">
        <v>11286</v>
      </c>
      <c r="E585" s="53" t="s">
        <v>588</v>
      </c>
      <c r="F585" s="53" t="s">
        <v>12134</v>
      </c>
      <c r="G585" s="53" t="s">
        <v>12133</v>
      </c>
      <c r="H585" s="53" t="s">
        <v>607</v>
      </c>
      <c r="I585" s="53" t="s">
        <v>5340</v>
      </c>
      <c r="J585" s="53" t="s">
        <v>899</v>
      </c>
      <c r="K585" s="219"/>
      <c r="L585" s="194">
        <v>1</v>
      </c>
      <c r="M585" s="195">
        <v>1900000</v>
      </c>
      <c r="N585" s="195">
        <v>3270000</v>
      </c>
      <c r="O585" s="189" t="s">
        <v>560</v>
      </c>
      <c r="P585" s="53" t="s">
        <v>12132</v>
      </c>
      <c r="Q585" s="53" t="s">
        <v>592</v>
      </c>
      <c r="R585" s="53" t="s">
        <v>12131</v>
      </c>
      <c r="T585" s="53"/>
      <c r="U585" s="53" t="s">
        <v>1327</v>
      </c>
      <c r="V585" s="53"/>
    </row>
    <row r="586" spans="1:22" ht="15.75" x14ac:dyDescent="0.25">
      <c r="A586" s="193">
        <v>43322</v>
      </c>
      <c r="B586" s="53" t="s">
        <v>569</v>
      </c>
      <c r="C586" s="53" t="s">
        <v>899</v>
      </c>
      <c r="D586" s="53" t="s">
        <v>11031</v>
      </c>
      <c r="E586" s="53" t="s">
        <v>588</v>
      </c>
      <c r="F586" s="53" t="s">
        <v>12070</v>
      </c>
      <c r="G586" s="53" t="s">
        <v>7814</v>
      </c>
      <c r="H586" s="53" t="s">
        <v>607</v>
      </c>
      <c r="I586" s="53" t="s">
        <v>3649</v>
      </c>
      <c r="J586" s="53" t="s">
        <v>899</v>
      </c>
      <c r="K586" s="219"/>
      <c r="L586" s="194"/>
      <c r="M586" s="195">
        <v>1000000</v>
      </c>
      <c r="N586" s="195">
        <v>1750000</v>
      </c>
      <c r="O586" s="189" t="s">
        <v>560</v>
      </c>
      <c r="P586" s="53" t="s">
        <v>12135</v>
      </c>
      <c r="Q586" s="53" t="s">
        <v>592</v>
      </c>
      <c r="R586" s="53" t="s">
        <v>12136</v>
      </c>
      <c r="T586" s="53"/>
      <c r="U586" s="53" t="s">
        <v>1327</v>
      </c>
      <c r="V586" s="53"/>
    </row>
    <row r="587" spans="1:22" ht="75" x14ac:dyDescent="0.25">
      <c r="A587" s="193">
        <v>43322</v>
      </c>
      <c r="B587" s="53" t="s">
        <v>569</v>
      </c>
      <c r="C587" s="53" t="s">
        <v>899</v>
      </c>
      <c r="D587" s="53" t="s">
        <v>11031</v>
      </c>
      <c r="E587" s="53" t="s">
        <v>588</v>
      </c>
      <c r="F587" s="53" t="s">
        <v>12139</v>
      </c>
      <c r="G587" s="53" t="s">
        <v>12139</v>
      </c>
      <c r="H587" s="53" t="s">
        <v>10831</v>
      </c>
      <c r="I587" s="53" t="s">
        <v>3649</v>
      </c>
      <c r="J587" s="53" t="s">
        <v>899</v>
      </c>
      <c r="K587" s="219"/>
      <c r="L587" s="194">
        <v>8</v>
      </c>
      <c r="M587" s="195">
        <v>2526400</v>
      </c>
      <c r="N587" s="195">
        <v>4006400</v>
      </c>
      <c r="O587" s="189" t="s">
        <v>560</v>
      </c>
      <c r="P587" s="53" t="s">
        <v>12138</v>
      </c>
      <c r="Q587" s="53" t="s">
        <v>29</v>
      </c>
      <c r="R587" s="53" t="s">
        <v>12137</v>
      </c>
      <c r="T587" s="53"/>
      <c r="U587" s="53" t="s">
        <v>1327</v>
      </c>
      <c r="V587" s="53"/>
    </row>
    <row r="588" spans="1:22" ht="90" x14ac:dyDescent="0.25">
      <c r="A588" s="193">
        <v>43322</v>
      </c>
      <c r="B588" s="53" t="s">
        <v>9240</v>
      </c>
      <c r="C588" s="53" t="s">
        <v>603</v>
      </c>
      <c r="D588" s="53" t="s">
        <v>9241</v>
      </c>
      <c r="E588" s="53" t="s">
        <v>588</v>
      </c>
      <c r="F588" s="53" t="s">
        <v>8290</v>
      </c>
      <c r="G588" s="53" t="s">
        <v>7855</v>
      </c>
      <c r="H588" s="53" t="s">
        <v>607</v>
      </c>
      <c r="I588" s="53"/>
      <c r="J588" s="53" t="s">
        <v>5402</v>
      </c>
      <c r="K588" s="219"/>
      <c r="L588" s="194"/>
      <c r="M588" s="195">
        <v>115000</v>
      </c>
      <c r="N588" s="195"/>
      <c r="O588" s="189" t="s">
        <v>10766</v>
      </c>
      <c r="P588" s="53" t="s">
        <v>12140</v>
      </c>
      <c r="Q588" s="53" t="s">
        <v>1939</v>
      </c>
      <c r="R588" s="53" t="s">
        <v>12141</v>
      </c>
      <c r="T588" s="53"/>
      <c r="U588" s="53" t="s">
        <v>1327</v>
      </c>
      <c r="V588" s="53"/>
    </row>
    <row r="589" spans="1:22" ht="30" x14ac:dyDescent="0.25">
      <c r="A589" s="193">
        <v>43322</v>
      </c>
      <c r="B589" s="53" t="s">
        <v>328</v>
      </c>
      <c r="C589" s="53" t="s">
        <v>603</v>
      </c>
      <c r="D589" s="53" t="s">
        <v>649</v>
      </c>
      <c r="E589" s="53" t="s">
        <v>588</v>
      </c>
      <c r="F589" s="53" t="s">
        <v>12144</v>
      </c>
      <c r="G589" s="53" t="s">
        <v>10951</v>
      </c>
      <c r="H589" s="53" t="s">
        <v>809</v>
      </c>
      <c r="I589" s="53"/>
      <c r="J589" s="53" t="s">
        <v>4031</v>
      </c>
      <c r="K589" s="219"/>
      <c r="L589" s="194">
        <v>10</v>
      </c>
      <c r="M589" s="195">
        <v>521029</v>
      </c>
      <c r="N589" s="195">
        <v>583131</v>
      </c>
      <c r="O589" s="189" t="s">
        <v>7124</v>
      </c>
      <c r="P589" s="53" t="s">
        <v>12143</v>
      </c>
      <c r="Q589" s="53" t="s">
        <v>1939</v>
      </c>
      <c r="R589" s="53" t="s">
        <v>12142</v>
      </c>
      <c r="T589" s="53"/>
      <c r="U589" s="53" t="s">
        <v>1327</v>
      </c>
      <c r="V589" s="53"/>
    </row>
    <row r="590" spans="1:22" ht="60" x14ac:dyDescent="0.25">
      <c r="A590" s="193">
        <v>43322</v>
      </c>
      <c r="B590" s="53" t="s">
        <v>328</v>
      </c>
      <c r="C590" s="53" t="s">
        <v>603</v>
      </c>
      <c r="D590" s="53" t="s">
        <v>8941</v>
      </c>
      <c r="E590" s="53" t="s">
        <v>588</v>
      </c>
      <c r="F590" s="53" t="s">
        <v>12147</v>
      </c>
      <c r="G590" s="53" t="s">
        <v>12147</v>
      </c>
      <c r="H590" s="53" t="s">
        <v>905</v>
      </c>
      <c r="I590" s="53" t="s">
        <v>12146</v>
      </c>
      <c r="J590" s="53" t="s">
        <v>644</v>
      </c>
      <c r="K590" s="219"/>
      <c r="L590" s="194">
        <v>3</v>
      </c>
      <c r="M590" s="195">
        <v>350000</v>
      </c>
      <c r="N590" s="195">
        <v>430000</v>
      </c>
      <c r="O590" s="189" t="s">
        <v>6745</v>
      </c>
      <c r="P590" s="53" t="s">
        <v>12495</v>
      </c>
      <c r="Q590" s="53" t="s">
        <v>1939</v>
      </c>
      <c r="R590" s="53" t="s">
        <v>12145</v>
      </c>
      <c r="T590" s="53"/>
      <c r="U590" s="53" t="s">
        <v>1327</v>
      </c>
      <c r="V590" s="53"/>
    </row>
    <row r="591" spans="1:22" ht="30" x14ac:dyDescent="0.25">
      <c r="A591" s="193">
        <v>43322</v>
      </c>
      <c r="B591" s="53" t="s">
        <v>5360</v>
      </c>
      <c r="C591" s="53" t="s">
        <v>899</v>
      </c>
      <c r="D591" s="53" t="s">
        <v>611</v>
      </c>
      <c r="E591" s="53" t="s">
        <v>588</v>
      </c>
      <c r="F591" s="53" t="s">
        <v>12148</v>
      </c>
      <c r="G591" s="53" t="s">
        <v>12149</v>
      </c>
      <c r="H591" s="53" t="s">
        <v>10831</v>
      </c>
      <c r="I591" s="53" t="s">
        <v>3959</v>
      </c>
      <c r="J591" s="53" t="s">
        <v>899</v>
      </c>
      <c r="K591" s="219"/>
      <c r="L591" s="194"/>
      <c r="M591" s="195">
        <v>345000</v>
      </c>
      <c r="N591" s="195">
        <v>360000</v>
      </c>
      <c r="O591" s="189" t="s">
        <v>10765</v>
      </c>
      <c r="P591" s="53" t="s">
        <v>12150</v>
      </c>
      <c r="Q591" s="53" t="s">
        <v>29</v>
      </c>
      <c r="R591" s="53" t="s">
        <v>12151</v>
      </c>
      <c r="T591" s="53"/>
      <c r="U591" s="53" t="s">
        <v>1327</v>
      </c>
      <c r="V591" s="53"/>
    </row>
    <row r="592" spans="1:22" ht="30" x14ac:dyDescent="0.25">
      <c r="A592" s="193">
        <v>43322</v>
      </c>
      <c r="B592" s="53" t="s">
        <v>569</v>
      </c>
      <c r="C592" s="53" t="s">
        <v>899</v>
      </c>
      <c r="D592" s="53" t="s">
        <v>11031</v>
      </c>
      <c r="E592" s="53" t="s">
        <v>588</v>
      </c>
      <c r="F592" s="53" t="s">
        <v>12153</v>
      </c>
      <c r="G592" s="53" t="s">
        <v>12153</v>
      </c>
      <c r="H592" s="53" t="s">
        <v>10832</v>
      </c>
      <c r="I592" s="53" t="s">
        <v>3649</v>
      </c>
      <c r="J592" s="53" t="s">
        <v>899</v>
      </c>
      <c r="K592" s="219"/>
      <c r="L592" s="194">
        <v>4</v>
      </c>
      <c r="M592" s="195">
        <v>650000</v>
      </c>
      <c r="N592" s="195">
        <v>945000</v>
      </c>
      <c r="O592" s="189" t="s">
        <v>560</v>
      </c>
      <c r="P592" s="53" t="s">
        <v>12496</v>
      </c>
      <c r="Q592" s="53" t="s">
        <v>592</v>
      </c>
      <c r="R592" s="53" t="s">
        <v>12152</v>
      </c>
      <c r="T592" s="53"/>
      <c r="U592" s="53" t="s">
        <v>1327</v>
      </c>
      <c r="V592" s="53"/>
    </row>
    <row r="593" spans="1:22" ht="45" x14ac:dyDescent="0.25">
      <c r="A593" s="193">
        <v>43322</v>
      </c>
      <c r="B593" s="53" t="s">
        <v>5956</v>
      </c>
      <c r="C593" s="53" t="s">
        <v>3369</v>
      </c>
      <c r="D593" s="53" t="s">
        <v>8126</v>
      </c>
      <c r="E593" s="53" t="s">
        <v>588</v>
      </c>
      <c r="F593" s="53" t="s">
        <v>10173</v>
      </c>
      <c r="G593" s="53" t="s">
        <v>11614</v>
      </c>
      <c r="H593" s="53" t="s">
        <v>607</v>
      </c>
      <c r="I593" s="53"/>
      <c r="J593" s="53" t="s">
        <v>4825</v>
      </c>
      <c r="K593" s="219"/>
      <c r="L593" s="194">
        <v>4</v>
      </c>
      <c r="M593" s="195">
        <v>340800</v>
      </c>
      <c r="N593" s="195">
        <v>732720</v>
      </c>
      <c r="O593" s="189" t="s">
        <v>10766</v>
      </c>
      <c r="P593" s="53" t="s">
        <v>12497</v>
      </c>
      <c r="Q593" s="53" t="s">
        <v>592</v>
      </c>
      <c r="R593" s="53" t="s">
        <v>11936</v>
      </c>
      <c r="T593" s="53"/>
      <c r="U593" s="53" t="s">
        <v>1327</v>
      </c>
      <c r="V593" s="53"/>
    </row>
    <row r="594" spans="1:22" ht="15.75" x14ac:dyDescent="0.25">
      <c r="A594" s="193">
        <v>43322</v>
      </c>
      <c r="B594" s="53" t="s">
        <v>569</v>
      </c>
      <c r="C594" s="53" t="s">
        <v>899</v>
      </c>
      <c r="D594" s="53" t="s">
        <v>3505</v>
      </c>
      <c r="E594" s="53" t="s">
        <v>588</v>
      </c>
      <c r="F594" s="53" t="s">
        <v>12157</v>
      </c>
      <c r="G594" s="53" t="s">
        <v>12156</v>
      </c>
      <c r="H594" s="53" t="s">
        <v>607</v>
      </c>
      <c r="I594" s="53" t="s">
        <v>4438</v>
      </c>
      <c r="J594" s="53" t="s">
        <v>899</v>
      </c>
      <c r="K594" s="219"/>
      <c r="L594" s="194"/>
      <c r="M594" s="195">
        <v>2750000</v>
      </c>
      <c r="N594" s="195">
        <v>4850000</v>
      </c>
      <c r="O594" s="189" t="s">
        <v>560</v>
      </c>
      <c r="P594" s="53" t="s">
        <v>12155</v>
      </c>
      <c r="Q594" s="53" t="s">
        <v>29</v>
      </c>
      <c r="R594" s="53" t="s">
        <v>12154</v>
      </c>
      <c r="T594" s="53"/>
      <c r="U594" s="53" t="s">
        <v>1327</v>
      </c>
      <c r="V594" s="53"/>
    </row>
    <row r="595" spans="1:22" ht="30" x14ac:dyDescent="0.25">
      <c r="A595" s="193">
        <v>43322</v>
      </c>
      <c r="B595" s="53" t="s">
        <v>328</v>
      </c>
      <c r="C595" s="53" t="s">
        <v>603</v>
      </c>
      <c r="D595" s="53" t="s">
        <v>649</v>
      </c>
      <c r="E595" s="53" t="s">
        <v>588</v>
      </c>
      <c r="F595" s="53" t="s">
        <v>12158</v>
      </c>
      <c r="G595" s="53" t="s">
        <v>15</v>
      </c>
      <c r="H595" s="53" t="s">
        <v>10831</v>
      </c>
      <c r="I595" s="53" t="s">
        <v>9243</v>
      </c>
      <c r="J595" s="53" t="s">
        <v>603</v>
      </c>
      <c r="K595" s="219"/>
      <c r="L595" s="194">
        <v>10</v>
      </c>
      <c r="M595" s="195">
        <v>144000</v>
      </c>
      <c r="N595" s="195">
        <v>294000</v>
      </c>
      <c r="O595" s="189" t="s">
        <v>7124</v>
      </c>
      <c r="P595" s="53" t="s">
        <v>12159</v>
      </c>
      <c r="Q595" s="53" t="s">
        <v>592</v>
      </c>
      <c r="R595" s="53" t="s">
        <v>12160</v>
      </c>
      <c r="T595" s="53"/>
      <c r="U595" s="53" t="s">
        <v>1327</v>
      </c>
      <c r="V595" s="53"/>
    </row>
    <row r="596" spans="1:22" ht="15.75" x14ac:dyDescent="0.25">
      <c r="A596" s="193">
        <v>43325</v>
      </c>
      <c r="B596" s="53" t="s">
        <v>569</v>
      </c>
      <c r="C596" s="53" t="s">
        <v>899</v>
      </c>
      <c r="D596" s="53" t="s">
        <v>624</v>
      </c>
      <c r="E596" s="53" t="s">
        <v>588</v>
      </c>
      <c r="F596" s="53" t="s">
        <v>12164</v>
      </c>
      <c r="G596" s="53" t="s">
        <v>12163</v>
      </c>
      <c r="H596" s="53" t="s">
        <v>607</v>
      </c>
      <c r="I596" s="53" t="s">
        <v>4070</v>
      </c>
      <c r="J596" s="53" t="s">
        <v>899</v>
      </c>
      <c r="K596" s="219"/>
      <c r="L596" s="194">
        <v>1</v>
      </c>
      <c r="M596" s="195">
        <v>1200000</v>
      </c>
      <c r="N596" s="195">
        <v>1785000</v>
      </c>
      <c r="O596" s="189" t="s">
        <v>6745</v>
      </c>
      <c r="P596" s="53" t="s">
        <v>12162</v>
      </c>
      <c r="Q596" s="53" t="s">
        <v>1939</v>
      </c>
      <c r="R596" s="53" t="s">
        <v>12161</v>
      </c>
      <c r="T596" s="53"/>
      <c r="U596" s="53" t="s">
        <v>1327</v>
      </c>
      <c r="V596" s="53"/>
    </row>
    <row r="597" spans="1:22" ht="45" x14ac:dyDescent="0.25">
      <c r="A597" s="193">
        <v>43325</v>
      </c>
      <c r="B597" s="53" t="s">
        <v>328</v>
      </c>
      <c r="C597" s="53" t="s">
        <v>603</v>
      </c>
      <c r="D597" s="53" t="s">
        <v>7595</v>
      </c>
      <c r="E597" s="53" t="s">
        <v>588</v>
      </c>
      <c r="F597" s="53" t="s">
        <v>12165</v>
      </c>
      <c r="G597" s="53" t="s">
        <v>12166</v>
      </c>
      <c r="H597" s="53" t="s">
        <v>607</v>
      </c>
      <c r="I597" s="53"/>
      <c r="J597" s="53" t="s">
        <v>3533</v>
      </c>
      <c r="K597" s="219"/>
      <c r="L597" s="194"/>
      <c r="M597" s="195">
        <v>178000</v>
      </c>
      <c r="N597" s="195">
        <v>302600</v>
      </c>
      <c r="O597" s="189" t="s">
        <v>10766</v>
      </c>
      <c r="P597" s="53" t="s">
        <v>12498</v>
      </c>
      <c r="Q597" s="53" t="s">
        <v>29</v>
      </c>
      <c r="R597" s="53" t="s">
        <v>12167</v>
      </c>
      <c r="T597" s="53"/>
      <c r="U597" s="53" t="s">
        <v>1327</v>
      </c>
      <c r="V597" s="53"/>
    </row>
    <row r="598" spans="1:22" ht="45" x14ac:dyDescent="0.25">
      <c r="A598" s="193">
        <v>43325</v>
      </c>
      <c r="B598" s="53" t="s">
        <v>328</v>
      </c>
      <c r="C598" s="53" t="s">
        <v>603</v>
      </c>
      <c r="D598" s="53" t="s">
        <v>8941</v>
      </c>
      <c r="E598" s="53" t="s">
        <v>588</v>
      </c>
      <c r="F598" s="53" t="s">
        <v>12171</v>
      </c>
      <c r="G598" s="53" t="s">
        <v>10007</v>
      </c>
      <c r="H598" s="53" t="s">
        <v>607</v>
      </c>
      <c r="I598" s="53" t="s">
        <v>12170</v>
      </c>
      <c r="J598" s="53" t="s">
        <v>3501</v>
      </c>
      <c r="K598" s="219"/>
      <c r="L598" s="194">
        <v>4</v>
      </c>
      <c r="M598" s="195">
        <v>175900</v>
      </c>
      <c r="N598" s="195"/>
      <c r="O598" s="189" t="s">
        <v>10766</v>
      </c>
      <c r="P598" s="53" t="s">
        <v>12169</v>
      </c>
      <c r="Q598" s="53" t="s">
        <v>1939</v>
      </c>
      <c r="R598" s="53" t="s">
        <v>12168</v>
      </c>
      <c r="T598" s="53"/>
      <c r="U598" s="53" t="s">
        <v>1327</v>
      </c>
      <c r="V598" s="53"/>
    </row>
    <row r="599" spans="1:22" ht="60" x14ac:dyDescent="0.25">
      <c r="A599" s="193">
        <v>43325</v>
      </c>
      <c r="B599" s="53" t="s">
        <v>569</v>
      </c>
      <c r="C599" s="53" t="s">
        <v>899</v>
      </c>
      <c r="D599" s="53" t="s">
        <v>3505</v>
      </c>
      <c r="E599" s="53" t="s">
        <v>588</v>
      </c>
      <c r="F599" s="53" t="s">
        <v>12172</v>
      </c>
      <c r="G599" s="53" t="s">
        <v>12173</v>
      </c>
      <c r="H599" s="53" t="s">
        <v>607</v>
      </c>
      <c r="I599" s="53" t="s">
        <v>4967</v>
      </c>
      <c r="J599" s="53" t="s">
        <v>899</v>
      </c>
      <c r="K599" s="219"/>
      <c r="L599" s="194"/>
      <c r="M599" s="195">
        <v>846300</v>
      </c>
      <c r="N599" s="195">
        <v>1438710</v>
      </c>
      <c r="O599" s="189" t="s">
        <v>10763</v>
      </c>
      <c r="P599" s="53" t="s">
        <v>12174</v>
      </c>
      <c r="Q599" s="53" t="s">
        <v>592</v>
      </c>
      <c r="R599" s="53" t="s">
        <v>12175</v>
      </c>
      <c r="T599" s="53"/>
      <c r="U599" s="53" t="s">
        <v>1327</v>
      </c>
      <c r="V599" s="53"/>
    </row>
    <row r="600" spans="1:22" ht="45" x14ac:dyDescent="0.25">
      <c r="A600" s="193">
        <v>43325</v>
      </c>
      <c r="B600" s="53" t="s">
        <v>328</v>
      </c>
      <c r="C600" s="53" t="s">
        <v>603</v>
      </c>
      <c r="D600" s="53" t="s">
        <v>757</v>
      </c>
      <c r="E600" s="53" t="s">
        <v>588</v>
      </c>
      <c r="F600" s="53" t="s">
        <v>12178</v>
      </c>
      <c r="G600" s="53" t="s">
        <v>10804</v>
      </c>
      <c r="H600" s="53" t="s">
        <v>886</v>
      </c>
      <c r="I600" s="53" t="s">
        <v>8721</v>
      </c>
      <c r="J600" s="53" t="s">
        <v>4031</v>
      </c>
      <c r="K600" s="219"/>
      <c r="L600" s="194" t="s">
        <v>10512</v>
      </c>
      <c r="M600" s="195"/>
      <c r="N600" s="195">
        <v>4500000</v>
      </c>
      <c r="O600" s="189" t="s">
        <v>2295</v>
      </c>
      <c r="P600" s="53" t="s">
        <v>12177</v>
      </c>
      <c r="Q600" s="53" t="s">
        <v>1939</v>
      </c>
      <c r="R600" s="53" t="s">
        <v>12176</v>
      </c>
      <c r="T600" s="53"/>
      <c r="U600" s="53" t="s">
        <v>1327</v>
      </c>
      <c r="V600" s="53"/>
    </row>
    <row r="601" spans="1:22" ht="45" x14ac:dyDescent="0.25">
      <c r="A601" s="193">
        <v>43325</v>
      </c>
      <c r="B601" s="53" t="s">
        <v>569</v>
      </c>
      <c r="C601" s="53" t="s">
        <v>899</v>
      </c>
      <c r="D601" s="53" t="s">
        <v>11031</v>
      </c>
      <c r="E601" s="53" t="s">
        <v>588</v>
      </c>
      <c r="F601" s="53" t="s">
        <v>10173</v>
      </c>
      <c r="G601" s="53" t="s">
        <v>12128</v>
      </c>
      <c r="H601" s="53" t="s">
        <v>607</v>
      </c>
      <c r="I601" s="53" t="s">
        <v>12127</v>
      </c>
      <c r="J601" s="53" t="s">
        <v>899</v>
      </c>
      <c r="K601" s="219"/>
      <c r="L601" s="194">
        <v>2</v>
      </c>
      <c r="M601" s="195">
        <v>2600000</v>
      </c>
      <c r="N601" s="195">
        <v>4420000</v>
      </c>
      <c r="O601" s="189" t="s">
        <v>10762</v>
      </c>
      <c r="P601" s="53" t="s">
        <v>12183</v>
      </c>
      <c r="Q601" s="53" t="s">
        <v>592</v>
      </c>
      <c r="R601" s="53" t="s">
        <v>12182</v>
      </c>
      <c r="T601" s="53"/>
      <c r="U601" s="53" t="s">
        <v>1327</v>
      </c>
      <c r="V601" s="53"/>
    </row>
    <row r="602" spans="1:22" ht="60" x14ac:dyDescent="0.25">
      <c r="A602" s="193">
        <v>43325</v>
      </c>
      <c r="B602" s="53" t="s">
        <v>328</v>
      </c>
      <c r="C602" s="53" t="s">
        <v>603</v>
      </c>
      <c r="D602" s="53" t="s">
        <v>5701</v>
      </c>
      <c r="E602" s="53" t="s">
        <v>588</v>
      </c>
      <c r="F602" s="53" t="s">
        <v>12179</v>
      </c>
      <c r="G602" s="53" t="s">
        <v>2346</v>
      </c>
      <c r="H602" s="53" t="s">
        <v>809</v>
      </c>
      <c r="I602" s="53"/>
      <c r="J602" s="53" t="s">
        <v>3533</v>
      </c>
      <c r="K602" s="219"/>
      <c r="L602" s="194">
        <v>2</v>
      </c>
      <c r="M602" s="195">
        <v>521000</v>
      </c>
      <c r="N602" s="195">
        <v>521000</v>
      </c>
      <c r="O602" s="189" t="s">
        <v>10762</v>
      </c>
      <c r="P602" s="53" t="s">
        <v>12181</v>
      </c>
      <c r="Q602" s="53" t="s">
        <v>1939</v>
      </c>
      <c r="R602" s="53" t="s">
        <v>12180</v>
      </c>
      <c r="T602" s="53"/>
      <c r="U602" s="53" t="s">
        <v>1327</v>
      </c>
      <c r="V602" s="53"/>
    </row>
    <row r="603" spans="1:22" ht="30" x14ac:dyDescent="0.25">
      <c r="A603" s="193">
        <v>43326</v>
      </c>
      <c r="B603" s="53" t="s">
        <v>328</v>
      </c>
      <c r="C603" s="53" t="s">
        <v>603</v>
      </c>
      <c r="D603" s="53" t="s">
        <v>8941</v>
      </c>
      <c r="E603" s="53" t="s">
        <v>588</v>
      </c>
      <c r="F603" s="53" t="s">
        <v>12184</v>
      </c>
      <c r="G603" s="53" t="s">
        <v>8515</v>
      </c>
      <c r="H603" s="53" t="s">
        <v>607</v>
      </c>
      <c r="I603" s="53" t="s">
        <v>12185</v>
      </c>
      <c r="J603" s="53" t="s">
        <v>3373</v>
      </c>
      <c r="K603" s="219"/>
      <c r="L603" s="194">
        <v>9</v>
      </c>
      <c r="M603" s="195">
        <v>602000</v>
      </c>
      <c r="N603" s="195">
        <v>1173000</v>
      </c>
      <c r="O603" s="189" t="s">
        <v>10766</v>
      </c>
      <c r="P603" s="53" t="s">
        <v>12499</v>
      </c>
      <c r="Q603" s="53" t="s">
        <v>1939</v>
      </c>
      <c r="R603" s="53" t="s">
        <v>12186</v>
      </c>
      <c r="T603" s="53"/>
      <c r="U603" s="53" t="s">
        <v>1327</v>
      </c>
      <c r="V603" s="53"/>
    </row>
    <row r="604" spans="1:22" ht="105" x14ac:dyDescent="0.25">
      <c r="A604" s="193">
        <v>43326</v>
      </c>
      <c r="B604" s="53" t="s">
        <v>569</v>
      </c>
      <c r="C604" s="53" t="s">
        <v>899</v>
      </c>
      <c r="D604" s="53" t="s">
        <v>3505</v>
      </c>
      <c r="E604" s="53" t="s">
        <v>588</v>
      </c>
      <c r="F604" s="53" t="s">
        <v>12190</v>
      </c>
      <c r="G604" s="53" t="s">
        <v>12189</v>
      </c>
      <c r="H604" s="53" t="s">
        <v>607</v>
      </c>
      <c r="I604" s="53" t="s">
        <v>5998</v>
      </c>
      <c r="J604" s="53" t="s">
        <v>899</v>
      </c>
      <c r="K604" s="219"/>
      <c r="L604" s="194"/>
      <c r="M604" s="195">
        <v>425000</v>
      </c>
      <c r="N604" s="195">
        <v>956350</v>
      </c>
      <c r="O604" s="189" t="s">
        <v>6745</v>
      </c>
      <c r="P604" s="53" t="s">
        <v>12188</v>
      </c>
      <c r="Q604" s="53" t="s">
        <v>1939</v>
      </c>
      <c r="R604" s="53" t="s">
        <v>12187</v>
      </c>
      <c r="T604" s="53"/>
      <c r="U604" s="53" t="s">
        <v>1327</v>
      </c>
      <c r="V604" s="53"/>
    </row>
    <row r="605" spans="1:22" ht="15.75" x14ac:dyDescent="0.25">
      <c r="A605" s="193">
        <v>43326</v>
      </c>
      <c r="B605" s="53" t="s">
        <v>328</v>
      </c>
      <c r="C605" s="53" t="s">
        <v>603</v>
      </c>
      <c r="D605" s="53" t="s">
        <v>7595</v>
      </c>
      <c r="E605" s="53" t="s">
        <v>588</v>
      </c>
      <c r="F605" s="53" t="s">
        <v>12191</v>
      </c>
      <c r="G605" s="53" t="s">
        <v>7714</v>
      </c>
      <c r="H605" s="53" t="s">
        <v>607</v>
      </c>
      <c r="I605" s="53"/>
      <c r="J605" s="53" t="s">
        <v>603</v>
      </c>
      <c r="K605" s="219"/>
      <c r="L605" s="194"/>
      <c r="M605" s="195">
        <v>480000</v>
      </c>
      <c r="N605" s="195">
        <v>960000</v>
      </c>
      <c r="O605" s="189" t="s">
        <v>10766</v>
      </c>
      <c r="P605" s="53" t="s">
        <v>12192</v>
      </c>
      <c r="Q605" s="53" t="s">
        <v>1939</v>
      </c>
      <c r="R605" s="53" t="s">
        <v>12193</v>
      </c>
      <c r="T605" s="53"/>
      <c r="U605" s="53" t="s">
        <v>1327</v>
      </c>
      <c r="V605" s="53"/>
    </row>
    <row r="606" spans="1:22" ht="45" x14ac:dyDescent="0.25">
      <c r="A606" s="193">
        <v>43326</v>
      </c>
      <c r="B606" s="53" t="s">
        <v>9240</v>
      </c>
      <c r="C606" s="53" t="s">
        <v>603</v>
      </c>
      <c r="D606" s="53" t="s">
        <v>9241</v>
      </c>
      <c r="E606" s="53" t="s">
        <v>588</v>
      </c>
      <c r="F606" s="53" t="s">
        <v>12197</v>
      </c>
      <c r="G606" s="53" t="s">
        <v>12196</v>
      </c>
      <c r="H606" s="53" t="s">
        <v>607</v>
      </c>
      <c r="I606" s="53" t="s">
        <v>9854</v>
      </c>
      <c r="J606" s="53" t="s">
        <v>5402</v>
      </c>
      <c r="K606" s="219"/>
      <c r="L606" s="194"/>
      <c r="M606" s="195">
        <v>408000</v>
      </c>
      <c r="N606" s="195">
        <v>754000</v>
      </c>
      <c r="O606" s="189" t="s">
        <v>10766</v>
      </c>
      <c r="P606" s="53" t="s">
        <v>12195</v>
      </c>
      <c r="Q606" s="53" t="s">
        <v>1939</v>
      </c>
      <c r="R606" s="53" t="s">
        <v>12194</v>
      </c>
      <c r="T606" s="53"/>
      <c r="U606" s="53" t="s">
        <v>1327</v>
      </c>
      <c r="V606" s="53"/>
    </row>
    <row r="607" spans="1:22" ht="30" x14ac:dyDescent="0.25">
      <c r="A607" s="193">
        <v>43326</v>
      </c>
      <c r="B607" s="53" t="s">
        <v>9240</v>
      </c>
      <c r="C607" s="53" t="s">
        <v>603</v>
      </c>
      <c r="D607" s="53" t="s">
        <v>9241</v>
      </c>
      <c r="E607" s="53" t="s">
        <v>588</v>
      </c>
      <c r="F607" s="53" t="s">
        <v>12198</v>
      </c>
      <c r="G607" s="53" t="s">
        <v>12199</v>
      </c>
      <c r="H607" s="53" t="s">
        <v>607</v>
      </c>
      <c r="I607" s="53" t="s">
        <v>8806</v>
      </c>
      <c r="J607" s="53" t="s">
        <v>5402</v>
      </c>
      <c r="K607" s="219"/>
      <c r="L607" s="194">
        <v>3</v>
      </c>
      <c r="M607" s="195">
        <v>680000</v>
      </c>
      <c r="N607" s="195">
        <v>1224000</v>
      </c>
      <c r="O607" s="189" t="s">
        <v>10766</v>
      </c>
      <c r="P607" s="53" t="s">
        <v>12200</v>
      </c>
      <c r="Q607" s="53" t="s">
        <v>1939</v>
      </c>
      <c r="R607" s="53" t="s">
        <v>12201</v>
      </c>
      <c r="T607" s="53"/>
      <c r="U607" s="53" t="s">
        <v>1327</v>
      </c>
      <c r="V607" s="53"/>
    </row>
    <row r="608" spans="1:22" ht="105" x14ac:dyDescent="0.25">
      <c r="A608" s="193">
        <v>43327</v>
      </c>
      <c r="B608" s="53" t="s">
        <v>569</v>
      </c>
      <c r="C608" s="53" t="s">
        <v>899</v>
      </c>
      <c r="D608" s="53" t="s">
        <v>611</v>
      </c>
      <c r="E608" s="53" t="s">
        <v>588</v>
      </c>
      <c r="F608" s="53" t="s">
        <v>12116</v>
      </c>
      <c r="G608" s="53" t="s">
        <v>7714</v>
      </c>
      <c r="H608" s="53" t="s">
        <v>607</v>
      </c>
      <c r="I608" s="53" t="s">
        <v>2054</v>
      </c>
      <c r="J608" s="53" t="s">
        <v>899</v>
      </c>
      <c r="K608" s="219"/>
      <c r="L608" s="194"/>
      <c r="M608" s="195">
        <v>225000</v>
      </c>
      <c r="N608" s="195">
        <v>280000</v>
      </c>
      <c r="O608" s="189" t="s">
        <v>10766</v>
      </c>
      <c r="P608" s="53" t="s">
        <v>12117</v>
      </c>
      <c r="Q608" s="53" t="s">
        <v>1939</v>
      </c>
      <c r="R608" s="53" t="s">
        <v>12118</v>
      </c>
      <c r="T608" s="53"/>
      <c r="U608" s="53" t="s">
        <v>491</v>
      </c>
      <c r="V608" s="53"/>
    </row>
    <row r="609" spans="1:22" ht="45" x14ac:dyDescent="0.25">
      <c r="A609" s="193">
        <v>43327</v>
      </c>
      <c r="B609" s="53" t="s">
        <v>328</v>
      </c>
      <c r="C609" s="53" t="s">
        <v>603</v>
      </c>
      <c r="D609" s="53" t="s">
        <v>757</v>
      </c>
      <c r="E609" s="53" t="s">
        <v>588</v>
      </c>
      <c r="F609" s="53" t="s">
        <v>12202</v>
      </c>
      <c r="G609" s="53" t="s">
        <v>12203</v>
      </c>
      <c r="H609" s="53" t="s">
        <v>1050</v>
      </c>
      <c r="I609" s="53" t="s">
        <v>7593</v>
      </c>
      <c r="J609" s="53" t="s">
        <v>3426</v>
      </c>
      <c r="K609" s="219"/>
      <c r="L609" s="194">
        <v>3</v>
      </c>
      <c r="M609" s="195">
        <v>250000</v>
      </c>
      <c r="N609" s="195">
        <v>250000</v>
      </c>
      <c r="O609" s="189" t="s">
        <v>10766</v>
      </c>
      <c r="P609" s="53" t="s">
        <v>12500</v>
      </c>
      <c r="Q609" s="53" t="s">
        <v>592</v>
      </c>
      <c r="R609" s="53" t="s">
        <v>12204</v>
      </c>
      <c r="T609" s="53"/>
      <c r="U609" s="53" t="s">
        <v>1327</v>
      </c>
      <c r="V609" s="53"/>
    </row>
    <row r="610" spans="1:22" ht="135" x14ac:dyDescent="0.25">
      <c r="A610" s="193">
        <v>43327</v>
      </c>
      <c r="B610" s="53" t="s">
        <v>328</v>
      </c>
      <c r="C610" s="53" t="s">
        <v>603</v>
      </c>
      <c r="D610" s="53" t="s">
        <v>1401</v>
      </c>
      <c r="E610" s="53" t="s">
        <v>588</v>
      </c>
      <c r="F610" s="53" t="s">
        <v>12207</v>
      </c>
      <c r="G610" s="53" t="s">
        <v>12207</v>
      </c>
      <c r="H610" s="53" t="s">
        <v>1050</v>
      </c>
      <c r="I610" s="53" t="s">
        <v>12206</v>
      </c>
      <c r="J610" s="53" t="s">
        <v>4031</v>
      </c>
      <c r="K610" s="219"/>
      <c r="L610" s="194"/>
      <c r="M610" s="195">
        <v>900500</v>
      </c>
      <c r="N610" s="195">
        <v>900500</v>
      </c>
      <c r="O610" s="189" t="s">
        <v>10766</v>
      </c>
      <c r="P610" s="53" t="s">
        <v>12501</v>
      </c>
      <c r="Q610" s="53" t="s">
        <v>29</v>
      </c>
      <c r="R610" s="53" t="s">
        <v>12205</v>
      </c>
      <c r="T610" s="53"/>
      <c r="U610" s="53" t="s">
        <v>1327</v>
      </c>
      <c r="V610" s="53"/>
    </row>
    <row r="611" spans="1:22" ht="75" x14ac:dyDescent="0.25">
      <c r="A611" s="193">
        <v>43327</v>
      </c>
      <c r="B611" s="53" t="s">
        <v>9240</v>
      </c>
      <c r="C611" s="53" t="s">
        <v>603</v>
      </c>
      <c r="D611" s="53" t="s">
        <v>9849</v>
      </c>
      <c r="E611" s="53" t="s">
        <v>588</v>
      </c>
      <c r="F611" s="53" t="s">
        <v>12208</v>
      </c>
      <c r="G611" s="53" t="s">
        <v>12208</v>
      </c>
      <c r="H611" s="53" t="s">
        <v>607</v>
      </c>
      <c r="I611" s="53" t="s">
        <v>9791</v>
      </c>
      <c r="J611" s="53" t="s">
        <v>4031</v>
      </c>
      <c r="K611" s="219"/>
      <c r="L611" s="194">
        <v>2</v>
      </c>
      <c r="M611" s="195">
        <v>222000</v>
      </c>
      <c r="N611" s="195">
        <v>421800</v>
      </c>
      <c r="O611" s="189" t="s">
        <v>10766</v>
      </c>
      <c r="P611" s="53" t="s">
        <v>12502</v>
      </c>
      <c r="Q611" s="53" t="s">
        <v>1939</v>
      </c>
      <c r="R611" s="53" t="s">
        <v>12209</v>
      </c>
      <c r="T611" s="53"/>
      <c r="U611" s="53" t="s">
        <v>1327</v>
      </c>
      <c r="V611" s="53"/>
    </row>
    <row r="612" spans="1:22" ht="75" x14ac:dyDescent="0.25">
      <c r="A612" s="193">
        <v>43327</v>
      </c>
      <c r="B612" s="53" t="s">
        <v>328</v>
      </c>
      <c r="C612" s="53" t="s">
        <v>603</v>
      </c>
      <c r="D612" s="53" t="s">
        <v>10338</v>
      </c>
      <c r="E612" s="53" t="s">
        <v>588</v>
      </c>
      <c r="F612" s="53" t="s">
        <v>12210</v>
      </c>
      <c r="G612" s="53" t="s">
        <v>5310</v>
      </c>
      <c r="H612" s="53" t="s">
        <v>10829</v>
      </c>
      <c r="I612" s="53"/>
      <c r="J612" s="53" t="s">
        <v>899</v>
      </c>
      <c r="K612" s="219"/>
      <c r="L612" s="194">
        <v>9</v>
      </c>
      <c r="M612" s="195">
        <v>237000</v>
      </c>
      <c r="N612" s="195">
        <v>426600</v>
      </c>
      <c r="O612" s="189" t="s">
        <v>4533</v>
      </c>
      <c r="P612" s="53" t="s">
        <v>12211</v>
      </c>
      <c r="Q612" s="53" t="s">
        <v>592</v>
      </c>
      <c r="R612" s="53" t="s">
        <v>12212</v>
      </c>
      <c r="T612" s="53"/>
      <c r="U612" s="53" t="s">
        <v>1327</v>
      </c>
      <c r="V612" s="53"/>
    </row>
    <row r="613" spans="1:22" ht="15.75" x14ac:dyDescent="0.25">
      <c r="A613" s="193">
        <v>43327</v>
      </c>
      <c r="B613" s="53" t="s">
        <v>569</v>
      </c>
      <c r="C613" s="53" t="s">
        <v>899</v>
      </c>
      <c r="D613" s="53" t="s">
        <v>11031</v>
      </c>
      <c r="E613" s="53" t="s">
        <v>588</v>
      </c>
      <c r="F613" s="53" t="s">
        <v>12216</v>
      </c>
      <c r="G613" s="53" t="s">
        <v>7855</v>
      </c>
      <c r="H613" s="53" t="s">
        <v>607</v>
      </c>
      <c r="I613" s="53" t="s">
        <v>12215</v>
      </c>
      <c r="J613" s="53" t="s">
        <v>899</v>
      </c>
      <c r="K613" s="219"/>
      <c r="L613" s="194">
        <v>8</v>
      </c>
      <c r="M613" s="195">
        <v>1800000</v>
      </c>
      <c r="N613" s="195">
        <v>2160000</v>
      </c>
      <c r="O613" s="189" t="s">
        <v>2295</v>
      </c>
      <c r="P613" s="53" t="s">
        <v>12214</v>
      </c>
      <c r="Q613" s="53" t="s">
        <v>592</v>
      </c>
      <c r="R613" s="53" t="s">
        <v>12213</v>
      </c>
      <c r="T613" s="53"/>
      <c r="U613" s="53" t="s">
        <v>1327</v>
      </c>
      <c r="V613" s="53"/>
    </row>
    <row r="614" spans="1:22" ht="30" x14ac:dyDescent="0.25">
      <c r="A614" s="193">
        <v>43327</v>
      </c>
      <c r="B614" s="53" t="s">
        <v>9240</v>
      </c>
      <c r="C614" s="53" t="s">
        <v>603</v>
      </c>
      <c r="D614" s="53" t="s">
        <v>7814</v>
      </c>
      <c r="E614" s="53" t="s">
        <v>588</v>
      </c>
      <c r="F614" s="53" t="s">
        <v>12217</v>
      </c>
      <c r="G614" s="53" t="s">
        <v>12217</v>
      </c>
      <c r="H614" s="53" t="s">
        <v>905</v>
      </c>
      <c r="I614" s="53" t="s">
        <v>6193</v>
      </c>
      <c r="J614" s="53" t="s">
        <v>608</v>
      </c>
      <c r="K614" s="219"/>
      <c r="L614" s="194"/>
      <c r="M614" s="195"/>
      <c r="N614" s="195"/>
      <c r="O614" s="189" t="s">
        <v>10762</v>
      </c>
      <c r="P614" s="53" t="s">
        <v>12218</v>
      </c>
      <c r="Q614" s="53" t="s">
        <v>1939</v>
      </c>
      <c r="R614" s="53" t="s">
        <v>12219</v>
      </c>
      <c r="T614" s="53"/>
      <c r="U614" s="53" t="s">
        <v>1327</v>
      </c>
      <c r="V614" s="53"/>
    </row>
    <row r="615" spans="1:22" ht="90" x14ac:dyDescent="0.25">
      <c r="A615" s="193">
        <v>43327</v>
      </c>
      <c r="B615" s="53" t="s">
        <v>9240</v>
      </c>
      <c r="C615" s="53" t="s">
        <v>603</v>
      </c>
      <c r="D615" s="53" t="s">
        <v>9241</v>
      </c>
      <c r="E615" s="53" t="s">
        <v>588</v>
      </c>
      <c r="F615" s="53" t="s">
        <v>12223</v>
      </c>
      <c r="G615" s="53" t="s">
        <v>12222</v>
      </c>
      <c r="H615" s="53" t="s">
        <v>607</v>
      </c>
      <c r="I615" s="53" t="s">
        <v>12221</v>
      </c>
      <c r="J615" s="53" t="s">
        <v>3751</v>
      </c>
      <c r="K615" s="219"/>
      <c r="L615" s="194">
        <v>2</v>
      </c>
      <c r="M615" s="195">
        <v>191900</v>
      </c>
      <c r="N615" s="195">
        <v>307040</v>
      </c>
      <c r="O615" s="189" t="s">
        <v>10766</v>
      </c>
      <c r="P615" s="53" t="s">
        <v>12220</v>
      </c>
      <c r="Q615" s="53" t="s">
        <v>1939</v>
      </c>
      <c r="R615" s="53" t="s">
        <v>12224</v>
      </c>
      <c r="T615" s="53"/>
      <c r="U615" s="53" t="s">
        <v>1327</v>
      </c>
      <c r="V615" s="53"/>
    </row>
    <row r="616" spans="1:22" ht="45" x14ac:dyDescent="0.25">
      <c r="A616" s="193">
        <v>43327</v>
      </c>
      <c r="B616" s="53" t="s">
        <v>328</v>
      </c>
      <c r="C616" s="53" t="s">
        <v>603</v>
      </c>
      <c r="D616" s="53" t="s">
        <v>1401</v>
      </c>
      <c r="E616" s="53" t="s">
        <v>588</v>
      </c>
      <c r="F616" s="53" t="s">
        <v>12225</v>
      </c>
      <c r="G616" s="53" t="s">
        <v>12225</v>
      </c>
      <c r="H616" s="53" t="s">
        <v>809</v>
      </c>
      <c r="I616" s="53" t="s">
        <v>12226</v>
      </c>
      <c r="J616" s="53" t="s">
        <v>3733</v>
      </c>
      <c r="K616" s="219"/>
      <c r="L616" s="194">
        <v>5</v>
      </c>
      <c r="M616" s="195">
        <v>100000</v>
      </c>
      <c r="N616" s="195">
        <v>100000</v>
      </c>
      <c r="O616" s="189" t="s">
        <v>10764</v>
      </c>
      <c r="P616" s="53" t="s">
        <v>12503</v>
      </c>
      <c r="Q616" s="53" t="s">
        <v>1939</v>
      </c>
      <c r="R616" s="53" t="s">
        <v>12227</v>
      </c>
      <c r="T616" s="53"/>
      <c r="U616" s="53" t="s">
        <v>1327</v>
      </c>
      <c r="V616" s="53"/>
    </row>
    <row r="617" spans="1:22" ht="90" x14ac:dyDescent="0.25">
      <c r="A617" s="193">
        <v>43327</v>
      </c>
      <c r="B617" s="53" t="s">
        <v>328</v>
      </c>
      <c r="C617" s="53" t="s">
        <v>603</v>
      </c>
      <c r="D617" s="53" t="s">
        <v>757</v>
      </c>
      <c r="E617" s="53" t="s">
        <v>588</v>
      </c>
      <c r="F617" s="53" t="s">
        <v>12230</v>
      </c>
      <c r="G617" s="53" t="s">
        <v>10065</v>
      </c>
      <c r="H617" s="53" t="s">
        <v>607</v>
      </c>
      <c r="I617" s="53" t="s">
        <v>12229</v>
      </c>
      <c r="J617" s="53" t="s">
        <v>603</v>
      </c>
      <c r="K617" s="219"/>
      <c r="L617" s="194">
        <v>5</v>
      </c>
      <c r="M617" s="195">
        <v>894000</v>
      </c>
      <c r="N617" s="195">
        <v>1788000</v>
      </c>
      <c r="O617" s="189" t="s">
        <v>4533</v>
      </c>
      <c r="P617" s="53" t="s">
        <v>12228</v>
      </c>
      <c r="Q617" s="53" t="s">
        <v>592</v>
      </c>
      <c r="R617" s="53" t="s">
        <v>10860</v>
      </c>
      <c r="T617" s="53"/>
      <c r="U617" s="53" t="s">
        <v>1327</v>
      </c>
      <c r="V617" s="53"/>
    </row>
    <row r="618" spans="1:22" ht="30" x14ac:dyDescent="0.25">
      <c r="A618" s="193">
        <v>43328</v>
      </c>
      <c r="B618" s="53" t="s">
        <v>5360</v>
      </c>
      <c r="C618" s="53" t="s">
        <v>899</v>
      </c>
      <c r="D618" s="53" t="s">
        <v>611</v>
      </c>
      <c r="E618" s="53" t="s">
        <v>588</v>
      </c>
      <c r="F618" s="53" t="s">
        <v>12231</v>
      </c>
      <c r="G618" s="53" t="s">
        <v>12232</v>
      </c>
      <c r="H618" s="53" t="s">
        <v>886</v>
      </c>
      <c r="I618" s="53"/>
      <c r="J618" s="53" t="s">
        <v>899</v>
      </c>
      <c r="K618" s="219"/>
      <c r="L618" s="194">
        <v>1</v>
      </c>
      <c r="M618" s="195">
        <v>3700000</v>
      </c>
      <c r="N618" s="195">
        <v>3700000</v>
      </c>
      <c r="O618" s="189" t="s">
        <v>2295</v>
      </c>
      <c r="P618" s="53" t="s">
        <v>12233</v>
      </c>
      <c r="Q618" s="53" t="s">
        <v>592</v>
      </c>
      <c r="R618" s="53" t="s">
        <v>12234</v>
      </c>
      <c r="T618" s="53"/>
      <c r="U618" s="53" t="s">
        <v>1327</v>
      </c>
      <c r="V618" s="53"/>
    </row>
    <row r="619" spans="1:22" ht="30" x14ac:dyDescent="0.25">
      <c r="A619" s="193">
        <v>43328</v>
      </c>
      <c r="B619" s="53" t="s">
        <v>643</v>
      </c>
      <c r="C619" s="53" t="s">
        <v>644</v>
      </c>
      <c r="D619" s="53" t="s">
        <v>645</v>
      </c>
      <c r="E619" s="53" t="s">
        <v>588</v>
      </c>
      <c r="F619" s="53" t="s">
        <v>12235</v>
      </c>
      <c r="G619" s="53" t="s">
        <v>12235</v>
      </c>
      <c r="H619" s="53" t="s">
        <v>607</v>
      </c>
      <c r="I619" s="53"/>
      <c r="J619" s="53" t="s">
        <v>899</v>
      </c>
      <c r="K619" s="219"/>
      <c r="L619" s="194">
        <v>1</v>
      </c>
      <c r="M619" s="195"/>
      <c r="N619" s="195">
        <v>3774446</v>
      </c>
      <c r="O619" s="189" t="s">
        <v>10766</v>
      </c>
      <c r="P619" s="53" t="s">
        <v>12236</v>
      </c>
      <c r="Q619" s="53" t="s">
        <v>1939</v>
      </c>
      <c r="R619" s="53" t="s">
        <v>12237</v>
      </c>
      <c r="T619" s="53"/>
      <c r="U619" s="53" t="s">
        <v>1327</v>
      </c>
      <c r="V619" s="53"/>
    </row>
    <row r="620" spans="1:22" ht="30" x14ac:dyDescent="0.25">
      <c r="A620" s="193">
        <v>43328</v>
      </c>
      <c r="B620" s="53" t="s">
        <v>569</v>
      </c>
      <c r="C620" s="53" t="s">
        <v>899</v>
      </c>
      <c r="D620" s="53" t="s">
        <v>11031</v>
      </c>
      <c r="E620" s="53" t="s">
        <v>588</v>
      </c>
      <c r="F620" s="53" t="s">
        <v>8275</v>
      </c>
      <c r="G620" s="53" t="s">
        <v>12239</v>
      </c>
      <c r="H620" s="53" t="s">
        <v>607</v>
      </c>
      <c r="I620" s="53" t="s">
        <v>12240</v>
      </c>
      <c r="J620" s="53" t="s">
        <v>899</v>
      </c>
      <c r="K620" s="219"/>
      <c r="L620" s="194">
        <v>3</v>
      </c>
      <c r="M620" s="195">
        <v>550000</v>
      </c>
      <c r="N620" s="195">
        <v>990000</v>
      </c>
      <c r="O620" s="189" t="s">
        <v>10766</v>
      </c>
      <c r="P620" s="53" t="s">
        <v>12241</v>
      </c>
      <c r="Q620" s="53" t="s">
        <v>1939</v>
      </c>
      <c r="R620" s="53" t="s">
        <v>12238</v>
      </c>
      <c r="T620" s="53"/>
      <c r="U620" s="53" t="s">
        <v>1327</v>
      </c>
      <c r="V620" s="53"/>
    </row>
    <row r="621" spans="1:22" ht="30" x14ac:dyDescent="0.25">
      <c r="A621" s="193">
        <v>43328</v>
      </c>
      <c r="B621" s="53" t="s">
        <v>12367</v>
      </c>
      <c r="C621" s="53" t="s">
        <v>5610</v>
      </c>
      <c r="D621" s="53" t="s">
        <v>10458</v>
      </c>
      <c r="E621" s="53" t="s">
        <v>588</v>
      </c>
      <c r="F621" s="53" t="s">
        <v>12246</v>
      </c>
      <c r="G621" s="53" t="s">
        <v>12245</v>
      </c>
      <c r="H621" s="53" t="s">
        <v>607</v>
      </c>
      <c r="I621" s="53" t="s">
        <v>12244</v>
      </c>
      <c r="J621" s="53" t="s">
        <v>3523</v>
      </c>
      <c r="K621" s="219"/>
      <c r="L621" s="194">
        <v>6</v>
      </c>
      <c r="M621" s="195">
        <v>444000</v>
      </c>
      <c r="N621" s="195">
        <v>763680</v>
      </c>
      <c r="O621" s="189" t="s">
        <v>10765</v>
      </c>
      <c r="P621" s="53" t="s">
        <v>12243</v>
      </c>
      <c r="Q621" s="53" t="s">
        <v>1939</v>
      </c>
      <c r="R621" s="53" t="s">
        <v>12242</v>
      </c>
      <c r="T621" s="53"/>
      <c r="U621" s="53" t="s">
        <v>1327</v>
      </c>
      <c r="V621" s="53"/>
    </row>
    <row r="622" spans="1:22" ht="15.75" x14ac:dyDescent="0.25">
      <c r="A622" s="193">
        <v>43328</v>
      </c>
      <c r="B622" s="53" t="s">
        <v>5956</v>
      </c>
      <c r="C622" s="53"/>
      <c r="D622" s="53"/>
      <c r="E622" s="53"/>
      <c r="F622" s="53"/>
      <c r="G622" s="53"/>
      <c r="H622" s="53"/>
      <c r="I622" s="53"/>
      <c r="J622" s="53"/>
      <c r="K622" s="219"/>
      <c r="L622" s="194"/>
      <c r="M622" s="195"/>
      <c r="N622" s="195"/>
      <c r="O622" s="189"/>
      <c r="Q622" s="53" t="s">
        <v>592</v>
      </c>
      <c r="T622" s="53"/>
      <c r="U622" s="53" t="s">
        <v>1327</v>
      </c>
      <c r="V622" s="53"/>
    </row>
    <row r="623" spans="1:22" ht="60" x14ac:dyDescent="0.25">
      <c r="A623" s="193">
        <v>43328</v>
      </c>
      <c r="B623" s="53" t="s">
        <v>5956</v>
      </c>
      <c r="C623" s="53" t="s">
        <v>3369</v>
      </c>
      <c r="D623" s="53" t="s">
        <v>9234</v>
      </c>
      <c r="E623" s="53" t="s">
        <v>588</v>
      </c>
      <c r="F623" s="53" t="s">
        <v>12368</v>
      </c>
      <c r="G623" s="53" t="s">
        <v>649</v>
      </c>
      <c r="H623" s="53" t="s">
        <v>905</v>
      </c>
      <c r="I623" s="53" t="s">
        <v>12369</v>
      </c>
      <c r="J623" s="53" t="s">
        <v>4825</v>
      </c>
      <c r="K623" s="219"/>
      <c r="L623" s="194"/>
      <c r="M623" s="195">
        <v>500000</v>
      </c>
      <c r="N623" s="195">
        <v>650000</v>
      </c>
      <c r="O623" s="189" t="s">
        <v>10765</v>
      </c>
      <c r="P623" s="53" t="s">
        <v>12504</v>
      </c>
      <c r="Q623" s="53" t="s">
        <v>29</v>
      </c>
      <c r="R623" s="53" t="s">
        <v>12370</v>
      </c>
      <c r="T623" s="53"/>
      <c r="U623" s="53" t="s">
        <v>1327</v>
      </c>
      <c r="V623" s="53"/>
    </row>
    <row r="624" spans="1:22" ht="30" x14ac:dyDescent="0.25">
      <c r="A624" s="193">
        <v>43328</v>
      </c>
      <c r="B624" s="53" t="s">
        <v>9240</v>
      </c>
      <c r="C624" s="53" t="s">
        <v>603</v>
      </c>
      <c r="D624" s="53" t="s">
        <v>9849</v>
      </c>
      <c r="E624" s="53" t="s">
        <v>2200</v>
      </c>
      <c r="F624" s="53" t="s">
        <v>12371</v>
      </c>
      <c r="G624" s="53" t="s">
        <v>12372</v>
      </c>
      <c r="H624" s="53" t="s">
        <v>607</v>
      </c>
      <c r="I624" s="53" t="s">
        <v>12373</v>
      </c>
      <c r="J624" s="53" t="s">
        <v>5402</v>
      </c>
      <c r="K624" s="219"/>
      <c r="L624" s="194">
        <v>6</v>
      </c>
      <c r="M624" s="195">
        <v>270000</v>
      </c>
      <c r="N624" s="195">
        <v>540000</v>
      </c>
      <c r="O624" s="189" t="s">
        <v>10766</v>
      </c>
      <c r="P624" s="53" t="s">
        <v>12374</v>
      </c>
      <c r="Q624" s="53" t="s">
        <v>1939</v>
      </c>
      <c r="R624" s="53" t="s">
        <v>12375</v>
      </c>
      <c r="T624" s="53"/>
      <c r="U624" s="53" t="s">
        <v>1327</v>
      </c>
      <c r="V624" s="53"/>
    </row>
    <row r="625" spans="1:23" ht="30" x14ac:dyDescent="0.25">
      <c r="A625" s="193">
        <v>43329</v>
      </c>
      <c r="B625" s="53" t="s">
        <v>328</v>
      </c>
      <c r="C625" s="53" t="s">
        <v>603</v>
      </c>
      <c r="D625" s="53" t="s">
        <v>649</v>
      </c>
      <c r="E625" s="53" t="s">
        <v>588</v>
      </c>
      <c r="F625" s="53" t="s">
        <v>12376</v>
      </c>
      <c r="G625" s="53" t="s">
        <v>12377</v>
      </c>
      <c r="H625" s="53" t="s">
        <v>10831</v>
      </c>
      <c r="I625" s="53"/>
      <c r="J625" s="53" t="s">
        <v>603</v>
      </c>
      <c r="K625" s="219"/>
      <c r="L625" s="194">
        <v>10</v>
      </c>
      <c r="M625" s="195">
        <v>91000</v>
      </c>
      <c r="N625" s="195">
        <v>143300</v>
      </c>
      <c r="O625" s="189" t="s">
        <v>7124</v>
      </c>
      <c r="P625" s="53" t="s">
        <v>12505</v>
      </c>
      <c r="Q625" s="53" t="s">
        <v>1939</v>
      </c>
      <c r="R625" s="53" t="s">
        <v>12378</v>
      </c>
      <c r="T625" s="53"/>
      <c r="U625" s="53" t="s">
        <v>1327</v>
      </c>
      <c r="V625" s="53"/>
    </row>
    <row r="626" spans="1:23" ht="15.75" x14ac:dyDescent="0.25">
      <c r="A626" s="193">
        <v>43329</v>
      </c>
      <c r="B626" s="53" t="s">
        <v>569</v>
      </c>
      <c r="C626" s="53" t="s">
        <v>899</v>
      </c>
      <c r="D626" s="53" t="s">
        <v>624</v>
      </c>
      <c r="E626" s="53" t="s">
        <v>588</v>
      </c>
      <c r="F626" s="53" t="s">
        <v>12386</v>
      </c>
      <c r="G626" s="53" t="s">
        <v>12379</v>
      </c>
      <c r="H626" s="53" t="s">
        <v>607</v>
      </c>
      <c r="I626" s="53" t="s">
        <v>3649</v>
      </c>
      <c r="J626" s="53" t="s">
        <v>899</v>
      </c>
      <c r="K626" s="219"/>
      <c r="L626" s="194">
        <v>2</v>
      </c>
      <c r="M626" s="195">
        <v>1120000</v>
      </c>
      <c r="N626" s="195">
        <v>2016000</v>
      </c>
      <c r="O626" s="189" t="s">
        <v>560</v>
      </c>
      <c r="P626" s="53" t="s">
        <v>12380</v>
      </c>
      <c r="Q626" s="53" t="s">
        <v>592</v>
      </c>
      <c r="R626" s="53" t="s">
        <v>12381</v>
      </c>
      <c r="T626" s="53"/>
      <c r="U626" s="53" t="s">
        <v>1327</v>
      </c>
      <c r="V626" s="53"/>
    </row>
    <row r="627" spans="1:23" ht="90" x14ac:dyDescent="0.25">
      <c r="A627" s="193">
        <v>43329</v>
      </c>
      <c r="B627" s="53" t="s">
        <v>9240</v>
      </c>
      <c r="C627" s="53" t="s">
        <v>603</v>
      </c>
      <c r="D627" s="53" t="s">
        <v>9241</v>
      </c>
      <c r="E627" s="53" t="s">
        <v>588</v>
      </c>
      <c r="F627" s="53" t="s">
        <v>12385</v>
      </c>
      <c r="G627" s="53" t="s">
        <v>12384</v>
      </c>
      <c r="H627" s="53" t="s">
        <v>1050</v>
      </c>
      <c r="I627" s="53"/>
      <c r="J627" s="53" t="s">
        <v>3533</v>
      </c>
      <c r="K627" s="219"/>
      <c r="L627" s="194"/>
      <c r="M627" s="195"/>
      <c r="N627" s="195"/>
      <c r="O627" s="189" t="s">
        <v>2295</v>
      </c>
      <c r="P627" s="53" t="s">
        <v>12383</v>
      </c>
      <c r="Q627" s="53" t="s">
        <v>29</v>
      </c>
      <c r="R627" s="53" t="s">
        <v>12382</v>
      </c>
      <c r="T627" s="53"/>
      <c r="U627" s="53" t="s">
        <v>1327</v>
      </c>
      <c r="V627" s="53"/>
    </row>
    <row r="628" spans="1:23" ht="15.75" x14ac:dyDescent="0.25">
      <c r="A628" s="193">
        <v>43329</v>
      </c>
      <c r="B628" s="53" t="s">
        <v>569</v>
      </c>
      <c r="C628" s="53" t="s">
        <v>899</v>
      </c>
      <c r="D628" s="53" t="s">
        <v>624</v>
      </c>
      <c r="E628" s="53" t="s">
        <v>588</v>
      </c>
      <c r="F628" s="53" t="s">
        <v>12386</v>
      </c>
      <c r="G628" s="53" t="s">
        <v>12379</v>
      </c>
      <c r="H628" s="53" t="s">
        <v>905</v>
      </c>
      <c r="I628" s="53" t="s">
        <v>3649</v>
      </c>
      <c r="J628" s="53" t="s">
        <v>899</v>
      </c>
      <c r="K628" s="219"/>
      <c r="L628" s="194">
        <v>2</v>
      </c>
      <c r="M628" s="195">
        <v>1000000</v>
      </c>
      <c r="N628" s="195">
        <v>1325000</v>
      </c>
      <c r="O628" s="189" t="s">
        <v>560</v>
      </c>
      <c r="P628" s="53" t="s">
        <v>12380</v>
      </c>
      <c r="Q628" s="53" t="s">
        <v>592</v>
      </c>
      <c r="R628" s="53" t="s">
        <v>11659</v>
      </c>
      <c r="T628" s="53"/>
      <c r="U628" s="53" t="s">
        <v>1327</v>
      </c>
      <c r="V628" s="53"/>
    </row>
    <row r="629" spans="1:23" ht="15.75" x14ac:dyDescent="0.25">
      <c r="A629" s="193">
        <v>43329</v>
      </c>
      <c r="B629" s="53" t="s">
        <v>5360</v>
      </c>
      <c r="C629" s="53" t="s">
        <v>899</v>
      </c>
      <c r="D629" s="53" t="s">
        <v>732</v>
      </c>
      <c r="E629" s="53" t="s">
        <v>588</v>
      </c>
      <c r="F629" s="53" t="s">
        <v>12389</v>
      </c>
      <c r="G629" s="53" t="s">
        <v>10870</v>
      </c>
      <c r="H629" s="53" t="s">
        <v>607</v>
      </c>
      <c r="I629" s="53" t="s">
        <v>5998</v>
      </c>
      <c r="J629" s="53" t="s">
        <v>899</v>
      </c>
      <c r="K629" s="219"/>
      <c r="L629" s="194">
        <v>2</v>
      </c>
      <c r="M629" s="195">
        <v>2100600</v>
      </c>
      <c r="N629" s="195">
        <v>3362580</v>
      </c>
      <c r="O629" s="189" t="s">
        <v>560</v>
      </c>
      <c r="P629" s="53" t="s">
        <v>12388</v>
      </c>
      <c r="Q629" s="53" t="s">
        <v>29</v>
      </c>
      <c r="R629" s="53" t="s">
        <v>12387</v>
      </c>
      <c r="T629" s="53"/>
      <c r="U629" s="53" t="s">
        <v>1327</v>
      </c>
      <c r="V629" s="53"/>
    </row>
    <row r="630" spans="1:23" ht="30" x14ac:dyDescent="0.25">
      <c r="A630" s="193">
        <v>43329</v>
      </c>
      <c r="B630" s="53" t="s">
        <v>5956</v>
      </c>
      <c r="C630" s="53" t="s">
        <v>3369</v>
      </c>
      <c r="D630" s="53" t="s">
        <v>9234</v>
      </c>
      <c r="E630" s="53" t="s">
        <v>10290</v>
      </c>
      <c r="F630" s="53" t="s">
        <v>12390</v>
      </c>
      <c r="G630" s="53" t="s">
        <v>8383</v>
      </c>
      <c r="H630" s="53" t="s">
        <v>905</v>
      </c>
      <c r="I630" s="53" t="s">
        <v>12391</v>
      </c>
      <c r="J630" s="53" t="s">
        <v>603</v>
      </c>
      <c r="K630" s="219"/>
      <c r="L630" s="194"/>
      <c r="M630" s="195">
        <v>350000</v>
      </c>
      <c r="N630" s="195">
        <v>375000</v>
      </c>
      <c r="O630" s="189" t="s">
        <v>10765</v>
      </c>
      <c r="P630" s="53" t="s">
        <v>12392</v>
      </c>
      <c r="Q630" s="53" t="s">
        <v>1939</v>
      </c>
      <c r="R630" s="53" t="s">
        <v>12393</v>
      </c>
      <c r="T630" s="53"/>
      <c r="U630" s="53" t="s">
        <v>1327</v>
      </c>
      <c r="V630" s="53"/>
    </row>
    <row r="631" spans="1:23" ht="45" x14ac:dyDescent="0.25">
      <c r="A631" s="193">
        <v>43329</v>
      </c>
      <c r="B631" s="53" t="s">
        <v>5360</v>
      </c>
      <c r="C631" s="53" t="s">
        <v>899</v>
      </c>
      <c r="D631" s="53" t="s">
        <v>11031</v>
      </c>
      <c r="E631" s="53" t="s">
        <v>588</v>
      </c>
      <c r="F631" s="53" t="s">
        <v>12397</v>
      </c>
      <c r="G631" s="53" t="s">
        <v>12396</v>
      </c>
      <c r="H631" s="53" t="s">
        <v>607</v>
      </c>
      <c r="I631" s="53" t="s">
        <v>8058</v>
      </c>
      <c r="J631" s="53" t="s">
        <v>899</v>
      </c>
      <c r="K631" s="219"/>
      <c r="L631" s="194">
        <v>3</v>
      </c>
      <c r="M631" s="195">
        <v>522000</v>
      </c>
      <c r="N631" s="195">
        <v>1017900</v>
      </c>
      <c r="O631" s="189" t="s">
        <v>10766</v>
      </c>
      <c r="P631" s="53" t="s">
        <v>12395</v>
      </c>
      <c r="Q631" s="53" t="s">
        <v>592</v>
      </c>
      <c r="R631" s="53" t="s">
        <v>12394</v>
      </c>
      <c r="T631" s="53"/>
      <c r="U631" s="53" t="s">
        <v>1327</v>
      </c>
      <c r="V631" s="53"/>
    </row>
    <row r="632" spans="1:23" ht="45" x14ac:dyDescent="0.25">
      <c r="A632" s="193">
        <v>43332</v>
      </c>
      <c r="B632" s="53" t="s">
        <v>328</v>
      </c>
      <c r="C632" s="53" t="s">
        <v>603</v>
      </c>
      <c r="D632" s="53" t="s">
        <v>8941</v>
      </c>
      <c r="E632" s="53" t="s">
        <v>588</v>
      </c>
      <c r="F632" s="53" t="s">
        <v>12247</v>
      </c>
      <c r="G632" s="53" t="s">
        <v>7855</v>
      </c>
      <c r="H632" s="53" t="s">
        <v>607</v>
      </c>
      <c r="I632" s="53" t="s">
        <v>12248</v>
      </c>
      <c r="J632" s="53" t="s">
        <v>3368</v>
      </c>
      <c r="K632" s="219"/>
      <c r="L632" s="194">
        <v>10</v>
      </c>
      <c r="M632" s="195">
        <v>120000</v>
      </c>
      <c r="N632" s="195">
        <v>195000</v>
      </c>
      <c r="O632" s="189" t="s">
        <v>7124</v>
      </c>
      <c r="P632" s="53" t="s">
        <v>12249</v>
      </c>
      <c r="Q632" s="53" t="s">
        <v>592</v>
      </c>
      <c r="R632" s="53" t="s">
        <v>12250</v>
      </c>
      <c r="S632" s="53" t="s">
        <v>12251</v>
      </c>
      <c r="T632" s="53"/>
      <c r="U632" s="53" t="s">
        <v>491</v>
      </c>
      <c r="V632" s="53"/>
    </row>
    <row r="633" spans="1:23" ht="30" x14ac:dyDescent="0.25">
      <c r="A633" s="193">
        <v>43332</v>
      </c>
      <c r="B633" s="53" t="s">
        <v>5956</v>
      </c>
      <c r="C633" s="53" t="s">
        <v>3369</v>
      </c>
      <c r="D633" s="53" t="s">
        <v>8126</v>
      </c>
      <c r="E633" s="53" t="s">
        <v>588</v>
      </c>
      <c r="F633" s="53" t="s">
        <v>12398</v>
      </c>
      <c r="G633" s="53" t="s">
        <v>10768</v>
      </c>
      <c r="H633" s="53" t="s">
        <v>607</v>
      </c>
      <c r="I633" s="53"/>
      <c r="J633" s="53" t="s">
        <v>4825</v>
      </c>
      <c r="K633" s="219"/>
      <c r="L633" s="194">
        <v>4</v>
      </c>
      <c r="M633" s="195">
        <v>180000</v>
      </c>
      <c r="N633" s="195">
        <v>324000</v>
      </c>
      <c r="O633" s="189" t="s">
        <v>10766</v>
      </c>
      <c r="P633" s="53" t="s">
        <v>12399</v>
      </c>
      <c r="Q633" s="53" t="s">
        <v>1939</v>
      </c>
      <c r="R633" s="53" t="s">
        <v>12400</v>
      </c>
      <c r="T633" s="53"/>
      <c r="U633" s="53" t="s">
        <v>1327</v>
      </c>
      <c r="V633" s="53"/>
    </row>
    <row r="634" spans="1:23" ht="60" x14ac:dyDescent="0.25">
      <c r="A634" s="193">
        <v>43332</v>
      </c>
      <c r="B634" s="53" t="s">
        <v>328</v>
      </c>
      <c r="C634" s="53" t="s">
        <v>603</v>
      </c>
      <c r="D634" s="53" t="s">
        <v>7595</v>
      </c>
      <c r="E634" s="53" t="s">
        <v>588</v>
      </c>
      <c r="F634" s="53" t="s">
        <v>12281</v>
      </c>
      <c r="G634" s="53" t="s">
        <v>8263</v>
      </c>
      <c r="H634" s="53" t="s">
        <v>607</v>
      </c>
      <c r="I634" s="53" t="s">
        <v>10273</v>
      </c>
      <c r="J634" s="53" t="s">
        <v>899</v>
      </c>
      <c r="K634" s="219"/>
      <c r="L634" s="194">
        <v>2</v>
      </c>
      <c r="M634" s="195">
        <v>288000</v>
      </c>
      <c r="N634" s="195">
        <v>560000</v>
      </c>
      <c r="O634" s="189" t="s">
        <v>10766</v>
      </c>
      <c r="P634" s="53" t="s">
        <v>12401</v>
      </c>
      <c r="Q634" s="53" t="s">
        <v>29</v>
      </c>
      <c r="R634" s="53" t="s">
        <v>12506</v>
      </c>
      <c r="T634" s="53"/>
      <c r="U634" s="53" t="s">
        <v>1327</v>
      </c>
      <c r="V634" s="53"/>
    </row>
    <row r="635" spans="1:23" ht="15.75" x14ac:dyDescent="0.25">
      <c r="A635" s="193">
        <v>43333</v>
      </c>
      <c r="B635" s="53" t="s">
        <v>569</v>
      </c>
      <c r="C635" s="53" t="s">
        <v>899</v>
      </c>
      <c r="D635" s="53" t="s">
        <v>624</v>
      </c>
      <c r="E635" s="53" t="s">
        <v>588</v>
      </c>
      <c r="F635" s="53" t="s">
        <v>12403</v>
      </c>
      <c r="G635" s="53" t="s">
        <v>12402</v>
      </c>
      <c r="H635" s="53" t="s">
        <v>607</v>
      </c>
      <c r="I635" s="53" t="s">
        <v>3649</v>
      </c>
      <c r="J635" s="53" t="s">
        <v>899</v>
      </c>
      <c r="K635" s="219"/>
      <c r="L635" s="194">
        <v>2</v>
      </c>
      <c r="M635" s="195">
        <v>1200000</v>
      </c>
      <c r="N635" s="195">
        <v>1800000</v>
      </c>
      <c r="O635" s="189" t="s">
        <v>560</v>
      </c>
      <c r="P635" s="53" t="s">
        <v>12380</v>
      </c>
      <c r="Q635" s="53" t="s">
        <v>592</v>
      </c>
      <c r="R635" s="53" t="s">
        <v>11659</v>
      </c>
      <c r="T635" s="53"/>
      <c r="U635" s="53" t="s">
        <v>1327</v>
      </c>
      <c r="V635" s="53"/>
    </row>
    <row r="636" spans="1:23" ht="30" x14ac:dyDescent="0.25">
      <c r="A636" s="193">
        <v>43333</v>
      </c>
      <c r="B636" s="53" t="s">
        <v>328</v>
      </c>
      <c r="C636" s="53" t="s">
        <v>603</v>
      </c>
      <c r="D636" s="53" t="s">
        <v>10338</v>
      </c>
      <c r="E636" s="53" t="s">
        <v>588</v>
      </c>
      <c r="F636" s="53" t="s">
        <v>12404</v>
      </c>
      <c r="G636" s="53" t="s">
        <v>12405</v>
      </c>
      <c r="H636" s="53" t="s">
        <v>886</v>
      </c>
      <c r="I636" s="53"/>
      <c r="J636" s="53" t="s">
        <v>3523</v>
      </c>
      <c r="K636" s="219"/>
      <c r="L636" s="194"/>
      <c r="M636" s="195">
        <v>135000</v>
      </c>
      <c r="N636" s="195">
        <v>135000</v>
      </c>
      <c r="O636" s="189" t="s">
        <v>10762</v>
      </c>
      <c r="P636" s="53" t="s">
        <v>12406</v>
      </c>
      <c r="Q636" s="53" t="s">
        <v>29</v>
      </c>
      <c r="R636" s="53" t="s">
        <v>12407</v>
      </c>
      <c r="T636" s="53"/>
      <c r="U636" s="53" t="s">
        <v>1327</v>
      </c>
      <c r="V636" s="53"/>
    </row>
    <row r="637" spans="1:23" ht="45" x14ac:dyDescent="0.25">
      <c r="A637" s="193">
        <v>43333</v>
      </c>
      <c r="B637" s="53" t="s">
        <v>328</v>
      </c>
      <c r="C637" s="53" t="s">
        <v>603</v>
      </c>
      <c r="D637" s="53" t="s">
        <v>748</v>
      </c>
      <c r="E637" s="53" t="s">
        <v>588</v>
      </c>
      <c r="F637" s="53" t="s">
        <v>7892</v>
      </c>
      <c r="G637" s="53" t="s">
        <v>9305</v>
      </c>
      <c r="H637" s="53" t="s">
        <v>607</v>
      </c>
      <c r="I637" s="53"/>
      <c r="J637" s="53" t="s">
        <v>3523</v>
      </c>
      <c r="K637" s="219"/>
      <c r="L637" s="194"/>
      <c r="M637" s="195">
        <v>342000</v>
      </c>
      <c r="N637" s="195">
        <v>669800</v>
      </c>
      <c r="O637" s="189" t="s">
        <v>7564</v>
      </c>
      <c r="P637" s="53" t="s">
        <v>12408</v>
      </c>
      <c r="Q637" s="53" t="s">
        <v>592</v>
      </c>
      <c r="R637" s="53" t="s">
        <v>12409</v>
      </c>
      <c r="T637" s="53"/>
      <c r="U637" s="53" t="s">
        <v>1327</v>
      </c>
      <c r="V637" s="53"/>
    </row>
    <row r="638" spans="1:23" ht="60" x14ac:dyDescent="0.25">
      <c r="A638" s="193">
        <v>43334</v>
      </c>
      <c r="B638" s="53" t="s">
        <v>569</v>
      </c>
      <c r="C638" s="53" t="s">
        <v>899</v>
      </c>
      <c r="D638" s="53" t="s">
        <v>11359</v>
      </c>
      <c r="E638" s="53" t="s">
        <v>588</v>
      </c>
      <c r="F638" s="53" t="s">
        <v>10135</v>
      </c>
      <c r="G638" s="53" t="s">
        <v>11192</v>
      </c>
      <c r="H638" s="53" t="s">
        <v>5321</v>
      </c>
      <c r="I638" s="53" t="s">
        <v>4438</v>
      </c>
      <c r="J638" s="53" t="s">
        <v>899</v>
      </c>
      <c r="K638" s="219"/>
      <c r="L638" s="194">
        <v>2</v>
      </c>
      <c r="M638" s="195">
        <v>1537000</v>
      </c>
      <c r="N638" s="195">
        <v>2100000</v>
      </c>
      <c r="O638" s="189" t="s">
        <v>560</v>
      </c>
      <c r="P638" s="53" t="s">
        <v>12252</v>
      </c>
      <c r="Q638" s="53" t="s">
        <v>592</v>
      </c>
      <c r="R638" s="53" t="s">
        <v>12253</v>
      </c>
      <c r="T638" s="53"/>
      <c r="U638" s="53" t="s">
        <v>491</v>
      </c>
      <c r="V638" s="53"/>
    </row>
    <row r="639" spans="1:23" ht="45" x14ac:dyDescent="0.25">
      <c r="A639" s="193">
        <v>43334</v>
      </c>
      <c r="B639" s="53" t="s">
        <v>569</v>
      </c>
      <c r="C639" s="53" t="s">
        <v>899</v>
      </c>
      <c r="D639" s="53" t="s">
        <v>11359</v>
      </c>
      <c r="E639" s="53" t="s">
        <v>588</v>
      </c>
      <c r="F639" s="53" t="s">
        <v>12254</v>
      </c>
      <c r="G639" s="53" t="s">
        <v>12255</v>
      </c>
      <c r="H639" s="53" t="s">
        <v>607</v>
      </c>
      <c r="I639" s="53" t="s">
        <v>2054</v>
      </c>
      <c r="J639" s="53" t="s">
        <v>899</v>
      </c>
      <c r="K639" s="219"/>
      <c r="L639" s="194">
        <v>2</v>
      </c>
      <c r="M639" s="195">
        <v>1770300</v>
      </c>
      <c r="N639" s="195">
        <v>3200000</v>
      </c>
      <c r="O639" s="189" t="s">
        <v>560</v>
      </c>
      <c r="P639" s="53" t="s">
        <v>12256</v>
      </c>
      <c r="Q639" s="53" t="s">
        <v>1939</v>
      </c>
      <c r="R639" s="53" t="s">
        <v>12257</v>
      </c>
      <c r="T639" s="53"/>
      <c r="U639" s="53" t="s">
        <v>491</v>
      </c>
      <c r="V639" s="53" t="s">
        <v>3985</v>
      </c>
      <c r="W639" s="53" t="s">
        <v>12258</v>
      </c>
    </row>
    <row r="640" spans="1:23" ht="45" x14ac:dyDescent="0.25">
      <c r="A640" s="193">
        <v>43334</v>
      </c>
      <c r="B640" s="53" t="s">
        <v>328</v>
      </c>
      <c r="C640" s="53" t="s">
        <v>603</v>
      </c>
      <c r="D640" s="53" t="s">
        <v>7595</v>
      </c>
      <c r="E640" s="53" t="s">
        <v>588</v>
      </c>
      <c r="F640" s="53" t="s">
        <v>12259</v>
      </c>
      <c r="G640" s="53" t="s">
        <v>8289</v>
      </c>
      <c r="H640" s="53" t="s">
        <v>607</v>
      </c>
      <c r="I640" s="53" t="s">
        <v>3408</v>
      </c>
      <c r="J640" s="53" t="s">
        <v>3371</v>
      </c>
      <c r="K640" s="219"/>
      <c r="L640" s="194">
        <v>10</v>
      </c>
      <c r="M640" s="195">
        <v>731530</v>
      </c>
      <c r="N640" s="195">
        <v>1462943</v>
      </c>
      <c r="O640" s="189" t="s">
        <v>10766</v>
      </c>
      <c r="P640" s="53" t="s">
        <v>12260</v>
      </c>
      <c r="Q640" s="53" t="s">
        <v>1939</v>
      </c>
      <c r="R640" s="53" t="s">
        <v>12261</v>
      </c>
      <c r="T640" s="53"/>
      <c r="U640" s="53" t="s">
        <v>491</v>
      </c>
      <c r="V640" s="53"/>
    </row>
    <row r="641" spans="1:22" ht="45" x14ac:dyDescent="0.25">
      <c r="A641" s="193">
        <v>43334</v>
      </c>
      <c r="B641" s="53" t="s">
        <v>328</v>
      </c>
      <c r="C641" s="53" t="s">
        <v>603</v>
      </c>
      <c r="D641" s="53" t="s">
        <v>672</v>
      </c>
      <c r="E641" s="53" t="s">
        <v>588</v>
      </c>
      <c r="F641" s="53" t="s">
        <v>9671</v>
      </c>
      <c r="G641" s="53" t="s">
        <v>8044</v>
      </c>
      <c r="H641" s="53" t="s">
        <v>607</v>
      </c>
      <c r="I641" s="53" t="s">
        <v>12262</v>
      </c>
      <c r="J641" s="53" t="s">
        <v>3373</v>
      </c>
      <c r="K641" s="219"/>
      <c r="L641" s="194"/>
      <c r="M641" s="195">
        <v>1880400</v>
      </c>
      <c r="N641" s="195">
        <v>3383720</v>
      </c>
      <c r="O641" s="189" t="s">
        <v>10765</v>
      </c>
      <c r="P641" s="53" t="s">
        <v>12267</v>
      </c>
      <c r="Q641" s="53" t="s">
        <v>29</v>
      </c>
      <c r="R641" s="53" t="s">
        <v>12264</v>
      </c>
      <c r="S641" s="53" t="s">
        <v>12263</v>
      </c>
      <c r="T641" s="53"/>
      <c r="U641" s="53" t="s">
        <v>491</v>
      </c>
      <c r="V641" s="53"/>
    </row>
    <row r="642" spans="1:22" ht="45" x14ac:dyDescent="0.25">
      <c r="A642" s="193">
        <v>43334</v>
      </c>
      <c r="B642" s="53" t="s">
        <v>328</v>
      </c>
      <c r="C642" s="53" t="s">
        <v>603</v>
      </c>
      <c r="D642" s="53" t="s">
        <v>672</v>
      </c>
      <c r="E642" s="53" t="s">
        <v>588</v>
      </c>
      <c r="F642" s="53" t="s">
        <v>8013</v>
      </c>
      <c r="G642" s="53" t="s">
        <v>12265</v>
      </c>
      <c r="H642" s="53" t="s">
        <v>607</v>
      </c>
      <c r="I642" s="53" t="s">
        <v>8784</v>
      </c>
      <c r="J642" s="53" t="s">
        <v>959</v>
      </c>
      <c r="K642" s="219"/>
      <c r="L642" s="194">
        <v>9</v>
      </c>
      <c r="M642" s="195">
        <v>175000</v>
      </c>
      <c r="N642" s="195">
        <v>297500</v>
      </c>
      <c r="O642" s="189" t="s">
        <v>10765</v>
      </c>
      <c r="P642" s="53" t="s">
        <v>12266</v>
      </c>
      <c r="Q642" s="53" t="s">
        <v>29</v>
      </c>
      <c r="R642" s="53" t="s">
        <v>12268</v>
      </c>
      <c r="T642" s="53"/>
      <c r="U642" s="53" t="s">
        <v>491</v>
      </c>
      <c r="V642" s="53"/>
    </row>
    <row r="643" spans="1:22" ht="30" x14ac:dyDescent="0.25">
      <c r="A643" s="193">
        <v>43334</v>
      </c>
      <c r="B643" s="53" t="s">
        <v>328</v>
      </c>
      <c r="C643" s="53" t="s">
        <v>603</v>
      </c>
      <c r="D643" s="53" t="s">
        <v>5701</v>
      </c>
      <c r="E643" s="53" t="s">
        <v>588</v>
      </c>
      <c r="F643" s="53" t="s">
        <v>12269</v>
      </c>
      <c r="G643" s="53" t="s">
        <v>12270</v>
      </c>
      <c r="H643" s="53" t="s">
        <v>607</v>
      </c>
      <c r="I643" s="53" t="s">
        <v>12271</v>
      </c>
      <c r="J643" s="53" t="s">
        <v>3751</v>
      </c>
      <c r="K643" s="219"/>
      <c r="L643" s="194"/>
      <c r="M643" s="195">
        <v>244644</v>
      </c>
      <c r="N643" s="195">
        <v>489286</v>
      </c>
      <c r="O643" s="189" t="s">
        <v>10766</v>
      </c>
      <c r="P643" s="53" t="s">
        <v>12272</v>
      </c>
      <c r="Q643" s="53" t="s">
        <v>592</v>
      </c>
      <c r="R643" s="53" t="s">
        <v>12273</v>
      </c>
      <c r="T643" s="53"/>
      <c r="U643" s="53" t="s">
        <v>491</v>
      </c>
      <c r="V643" s="53"/>
    </row>
    <row r="644" spans="1:22" ht="45" x14ac:dyDescent="0.25">
      <c r="A644" s="193">
        <v>43334</v>
      </c>
      <c r="B644" s="53" t="s">
        <v>328</v>
      </c>
      <c r="C644" s="53" t="s">
        <v>603</v>
      </c>
      <c r="D644" s="53" t="s">
        <v>12274</v>
      </c>
      <c r="E644" s="53" t="s">
        <v>588</v>
      </c>
      <c r="F644" s="53" t="s">
        <v>12275</v>
      </c>
      <c r="G644" s="53" t="s">
        <v>10080</v>
      </c>
      <c r="H644" s="53" t="s">
        <v>607</v>
      </c>
      <c r="I644" s="53" t="s">
        <v>11028</v>
      </c>
      <c r="J644" s="53" t="s">
        <v>3733</v>
      </c>
      <c r="K644" s="219"/>
      <c r="L644" s="194">
        <v>2</v>
      </c>
      <c r="M644" s="195">
        <v>615000</v>
      </c>
      <c r="N644" s="195">
        <v>669220</v>
      </c>
      <c r="O644" s="189" t="s">
        <v>2295</v>
      </c>
      <c r="P644" s="53" t="s">
        <v>12276</v>
      </c>
      <c r="Q644" s="53" t="s">
        <v>592</v>
      </c>
      <c r="R644" s="53" t="s">
        <v>12277</v>
      </c>
      <c r="T644" s="53"/>
      <c r="U644" s="53" t="s">
        <v>491</v>
      </c>
      <c r="V644" s="53"/>
    </row>
    <row r="645" spans="1:22" ht="60" x14ac:dyDescent="0.25">
      <c r="A645" s="193">
        <v>43335</v>
      </c>
      <c r="B645" s="53" t="s">
        <v>5473</v>
      </c>
      <c r="C645" s="53" t="s">
        <v>608</v>
      </c>
      <c r="D645" s="53" t="s">
        <v>11800</v>
      </c>
      <c r="E645" s="53" t="s">
        <v>588</v>
      </c>
      <c r="F645" s="53" t="s">
        <v>10367</v>
      </c>
      <c r="G645" s="53" t="s">
        <v>9896</v>
      </c>
      <c r="H645" s="53" t="s">
        <v>607</v>
      </c>
      <c r="I645" s="53" t="s">
        <v>12278</v>
      </c>
      <c r="J645" s="53" t="s">
        <v>608</v>
      </c>
      <c r="K645" s="219"/>
      <c r="L645" s="194">
        <v>9</v>
      </c>
      <c r="M645" s="195">
        <v>2101200</v>
      </c>
      <c r="N645" s="195">
        <v>4412520</v>
      </c>
      <c r="O645" s="189" t="s">
        <v>560</v>
      </c>
      <c r="P645" s="53" t="s">
        <v>12298</v>
      </c>
      <c r="Q645" s="53" t="s">
        <v>620</v>
      </c>
      <c r="R645" s="53" t="s">
        <v>12299</v>
      </c>
      <c r="T645" s="53"/>
      <c r="U645" s="53" t="s">
        <v>491</v>
      </c>
      <c r="V645" s="53"/>
    </row>
    <row r="646" spans="1:22" ht="90" x14ac:dyDescent="0.25">
      <c r="A646" s="193">
        <v>43335</v>
      </c>
      <c r="B646" s="53" t="s">
        <v>569</v>
      </c>
      <c r="C646" s="53" t="s">
        <v>899</v>
      </c>
      <c r="D646" s="53" t="s">
        <v>11359</v>
      </c>
      <c r="E646" s="53" t="s">
        <v>588</v>
      </c>
      <c r="F646" s="53" t="s">
        <v>12279</v>
      </c>
      <c r="G646" s="53"/>
      <c r="H646" s="53" t="s">
        <v>607</v>
      </c>
      <c r="I646" s="53" t="s">
        <v>12280</v>
      </c>
      <c r="J646" s="53" t="s">
        <v>3374</v>
      </c>
      <c r="K646" s="219"/>
      <c r="L646" s="194"/>
      <c r="M646" s="195"/>
      <c r="N646" s="195"/>
      <c r="O646" s="189" t="s">
        <v>2295</v>
      </c>
      <c r="P646" s="53" t="s">
        <v>12424</v>
      </c>
      <c r="Q646" s="53" t="s">
        <v>1612</v>
      </c>
      <c r="R646" s="53" t="s">
        <v>12425</v>
      </c>
      <c r="T646" s="53"/>
      <c r="U646" s="53" t="s">
        <v>491</v>
      </c>
      <c r="V646" s="53"/>
    </row>
    <row r="647" spans="1:22" ht="60" x14ac:dyDescent="0.25">
      <c r="A647" s="193">
        <v>43335</v>
      </c>
      <c r="B647" s="53" t="s">
        <v>569</v>
      </c>
      <c r="C647" s="53" t="s">
        <v>899</v>
      </c>
      <c r="D647" s="53" t="s">
        <v>624</v>
      </c>
      <c r="E647" s="53" t="s">
        <v>588</v>
      </c>
      <c r="F647" s="53" t="s">
        <v>12281</v>
      </c>
      <c r="G647" s="53" t="s">
        <v>12282</v>
      </c>
      <c r="H647" s="53" t="s">
        <v>607</v>
      </c>
      <c r="I647" s="53" t="s">
        <v>10273</v>
      </c>
      <c r="J647" s="53" t="s">
        <v>899</v>
      </c>
      <c r="K647" s="219"/>
      <c r="L647" s="194">
        <v>2</v>
      </c>
      <c r="M647" s="195">
        <v>288000</v>
      </c>
      <c r="N647" s="195">
        <v>560000</v>
      </c>
      <c r="O647" s="189" t="s">
        <v>10766</v>
      </c>
      <c r="P647" s="53" t="s">
        <v>12283</v>
      </c>
      <c r="Q647" s="53" t="s">
        <v>620</v>
      </c>
      <c r="R647" s="53" t="s">
        <v>12284</v>
      </c>
      <c r="T647" s="53"/>
      <c r="U647" s="53" t="s">
        <v>491</v>
      </c>
      <c r="V647" s="53"/>
    </row>
    <row r="648" spans="1:22" ht="60" x14ac:dyDescent="0.25">
      <c r="A648" s="193">
        <v>43335</v>
      </c>
      <c r="B648" s="53" t="s">
        <v>328</v>
      </c>
      <c r="C648" s="53" t="s">
        <v>603</v>
      </c>
      <c r="D648" s="53" t="s">
        <v>7595</v>
      </c>
      <c r="E648" s="53" t="s">
        <v>588</v>
      </c>
      <c r="F648" s="53" t="s">
        <v>12285</v>
      </c>
      <c r="G648" s="53" t="s">
        <v>12286</v>
      </c>
      <c r="H648" s="53" t="s">
        <v>607</v>
      </c>
      <c r="I648" s="53" t="s">
        <v>12287</v>
      </c>
      <c r="J648" s="53" t="s">
        <v>899</v>
      </c>
      <c r="K648" s="219"/>
      <c r="L648" s="194">
        <v>4</v>
      </c>
      <c r="M648" s="195">
        <v>708000</v>
      </c>
      <c r="N648" s="195">
        <v>1345200</v>
      </c>
      <c r="O648" s="189" t="s">
        <v>10766</v>
      </c>
      <c r="P648" s="53" t="s">
        <v>12288</v>
      </c>
      <c r="Q648" s="53" t="s">
        <v>620</v>
      </c>
      <c r="R648" s="53" t="s">
        <v>12289</v>
      </c>
      <c r="T648" s="53"/>
      <c r="U648" s="53" t="s">
        <v>491</v>
      </c>
      <c r="V648" s="53"/>
    </row>
    <row r="649" spans="1:22" ht="60" x14ac:dyDescent="0.25">
      <c r="A649" s="193">
        <v>43335</v>
      </c>
      <c r="B649" s="53" t="s">
        <v>9240</v>
      </c>
      <c r="C649" s="53" t="s">
        <v>603</v>
      </c>
      <c r="D649" s="53" t="s">
        <v>7814</v>
      </c>
      <c r="E649" s="53" t="s">
        <v>588</v>
      </c>
      <c r="F649" s="53" t="s">
        <v>12290</v>
      </c>
      <c r="G649" s="53" t="s">
        <v>12291</v>
      </c>
      <c r="H649" s="53" t="s">
        <v>905</v>
      </c>
      <c r="I649" s="53" t="s">
        <v>6992</v>
      </c>
      <c r="J649" s="53" t="s">
        <v>603</v>
      </c>
      <c r="K649" s="219"/>
      <c r="L649" s="194">
        <v>4</v>
      </c>
      <c r="M649" s="195">
        <v>210000</v>
      </c>
      <c r="N649" s="195">
        <v>215000</v>
      </c>
      <c r="O649" s="189" t="s">
        <v>6745</v>
      </c>
      <c r="P649" s="53" t="s">
        <v>12292</v>
      </c>
      <c r="Q649" s="53" t="s">
        <v>29</v>
      </c>
      <c r="R649" s="53" t="s">
        <v>12293</v>
      </c>
      <c r="T649" s="53"/>
      <c r="U649" s="53" t="s">
        <v>491</v>
      </c>
      <c r="V649" s="53"/>
    </row>
    <row r="650" spans="1:22" ht="60" x14ac:dyDescent="0.25">
      <c r="A650" s="193">
        <v>43335</v>
      </c>
      <c r="B650" s="53" t="s">
        <v>569</v>
      </c>
      <c r="C650" s="53" t="s">
        <v>899</v>
      </c>
      <c r="D650" s="53" t="s">
        <v>11359</v>
      </c>
      <c r="E650" s="53" t="s">
        <v>588</v>
      </c>
      <c r="F650" s="53" t="s">
        <v>12294</v>
      </c>
      <c r="G650" s="53" t="s">
        <v>12295</v>
      </c>
      <c r="H650" s="53" t="s">
        <v>607</v>
      </c>
      <c r="I650" s="53" t="s">
        <v>11640</v>
      </c>
      <c r="J650" s="53" t="s">
        <v>899</v>
      </c>
      <c r="K650" s="219"/>
      <c r="L650" s="194"/>
      <c r="M650" s="195">
        <v>1200000</v>
      </c>
      <c r="N650" s="195">
        <v>3000000</v>
      </c>
      <c r="O650" s="189" t="s">
        <v>10766</v>
      </c>
      <c r="P650" s="53" t="s">
        <v>12296</v>
      </c>
      <c r="Q650" s="53" t="s">
        <v>29</v>
      </c>
      <c r="R650" s="53" t="s">
        <v>12297</v>
      </c>
      <c r="T650" s="53"/>
      <c r="U650" s="53" t="s">
        <v>491</v>
      </c>
      <c r="V650" s="53"/>
    </row>
    <row r="651" spans="1:22" ht="75" x14ac:dyDescent="0.25">
      <c r="A651" s="193">
        <v>43335</v>
      </c>
      <c r="B651" s="53" t="s">
        <v>328</v>
      </c>
      <c r="C651" s="53" t="s">
        <v>603</v>
      </c>
      <c r="D651" s="53" t="s">
        <v>649</v>
      </c>
      <c r="E651" s="53" t="s">
        <v>588</v>
      </c>
      <c r="F651" s="53" t="s">
        <v>9465</v>
      </c>
      <c r="G651" s="53" t="s">
        <v>12300</v>
      </c>
      <c r="H651" s="53" t="s">
        <v>607</v>
      </c>
      <c r="I651" s="53" t="s">
        <v>12301</v>
      </c>
      <c r="J651" s="53" t="s">
        <v>3733</v>
      </c>
      <c r="K651" s="219"/>
      <c r="L651" s="194">
        <v>4</v>
      </c>
      <c r="M651" s="195">
        <v>260000</v>
      </c>
      <c r="N651" s="195">
        <v>490000</v>
      </c>
      <c r="O651" s="189" t="s">
        <v>4533</v>
      </c>
      <c r="P651" s="53" t="s">
        <v>12302</v>
      </c>
      <c r="Q651" s="53" t="s">
        <v>29</v>
      </c>
      <c r="R651" s="53" t="s">
        <v>12303</v>
      </c>
      <c r="T651" s="53"/>
      <c r="U651" s="53" t="s">
        <v>491</v>
      </c>
      <c r="V651" s="53"/>
    </row>
    <row r="652" spans="1:22" ht="45" x14ac:dyDescent="0.25">
      <c r="A652" s="193">
        <v>43335</v>
      </c>
      <c r="B652" s="53" t="s">
        <v>328</v>
      </c>
      <c r="C652" s="53" t="s">
        <v>603</v>
      </c>
      <c r="D652" s="53" t="s">
        <v>649</v>
      </c>
      <c r="E652" s="53" t="s">
        <v>588</v>
      </c>
      <c r="F652" s="53" t="s">
        <v>12304</v>
      </c>
      <c r="G652" s="53" t="s">
        <v>12305</v>
      </c>
      <c r="H652" s="53" t="s">
        <v>607</v>
      </c>
      <c r="I652" s="53" t="s">
        <v>4399</v>
      </c>
      <c r="J652" s="53" t="s">
        <v>3398</v>
      </c>
      <c r="K652" s="219"/>
      <c r="L652" s="194">
        <v>4</v>
      </c>
      <c r="M652" s="195">
        <v>386600</v>
      </c>
      <c r="N652" s="195">
        <v>635000</v>
      </c>
      <c r="O652" s="189" t="s">
        <v>4533</v>
      </c>
      <c r="P652" s="53" t="s">
        <v>12306</v>
      </c>
      <c r="Q652" s="53" t="s">
        <v>592</v>
      </c>
      <c r="R652" s="53" t="s">
        <v>12307</v>
      </c>
      <c r="T652" s="53"/>
      <c r="U652" s="53" t="s">
        <v>491</v>
      </c>
      <c r="V652" s="53"/>
    </row>
    <row r="653" spans="1:22" ht="75" x14ac:dyDescent="0.25">
      <c r="A653" s="193">
        <v>43336</v>
      </c>
      <c r="B653" s="53" t="s">
        <v>569</v>
      </c>
      <c r="C653" s="53" t="s">
        <v>603</v>
      </c>
      <c r="D653" s="53" t="s">
        <v>11286</v>
      </c>
      <c r="E653" s="53" t="s">
        <v>588</v>
      </c>
      <c r="F653" s="53" t="s">
        <v>12308</v>
      </c>
      <c r="G653" s="53"/>
      <c r="H653" s="53" t="s">
        <v>886</v>
      </c>
      <c r="I653" s="53" t="s">
        <v>2054</v>
      </c>
      <c r="J653" s="53" t="s">
        <v>899</v>
      </c>
      <c r="K653" s="219"/>
      <c r="L653" s="194"/>
      <c r="M653" s="195">
        <v>2608164</v>
      </c>
      <c r="N653" s="195">
        <v>3308164</v>
      </c>
      <c r="O653" s="189" t="s">
        <v>2295</v>
      </c>
      <c r="P653" s="53" t="s">
        <v>12309</v>
      </c>
      <c r="Q653" s="53" t="s">
        <v>620</v>
      </c>
      <c r="R653" s="53" t="s">
        <v>12310</v>
      </c>
      <c r="T653" s="53"/>
      <c r="U653" s="53" t="s">
        <v>491</v>
      </c>
      <c r="V653" s="53"/>
    </row>
    <row r="654" spans="1:22" ht="30" x14ac:dyDescent="0.25">
      <c r="A654" s="193">
        <v>43336</v>
      </c>
      <c r="B654" s="53" t="s">
        <v>328</v>
      </c>
      <c r="C654" s="53" t="s">
        <v>603</v>
      </c>
      <c r="D654" s="53" t="s">
        <v>5701</v>
      </c>
      <c r="E654" s="53" t="s">
        <v>588</v>
      </c>
      <c r="F654" s="53" t="s">
        <v>5076</v>
      </c>
      <c r="G654" s="53" t="s">
        <v>9525</v>
      </c>
      <c r="H654" s="53" t="s">
        <v>12311</v>
      </c>
      <c r="I654" s="53" t="s">
        <v>2054</v>
      </c>
      <c r="J654" s="53" t="s">
        <v>899</v>
      </c>
      <c r="K654" s="219"/>
      <c r="L654" s="194">
        <v>1</v>
      </c>
      <c r="M654" s="195">
        <v>1000000</v>
      </c>
      <c r="N654" s="195">
        <v>1594000</v>
      </c>
      <c r="O654" s="189" t="s">
        <v>560</v>
      </c>
      <c r="P654" s="53" t="s">
        <v>12312</v>
      </c>
      <c r="Q654" s="53" t="s">
        <v>592</v>
      </c>
      <c r="R654" s="53" t="s">
        <v>12313</v>
      </c>
      <c r="T654" s="53"/>
      <c r="U654" s="53" t="s">
        <v>491</v>
      </c>
      <c r="V654" s="53"/>
    </row>
    <row r="655" spans="1:22" ht="75" x14ac:dyDescent="0.25">
      <c r="A655" s="193">
        <v>43336</v>
      </c>
      <c r="B655" s="53" t="s">
        <v>328</v>
      </c>
      <c r="C655" s="53" t="s">
        <v>603</v>
      </c>
      <c r="D655" s="53" t="s">
        <v>672</v>
      </c>
      <c r="E655" s="53" t="s">
        <v>588</v>
      </c>
      <c r="F655" s="53" t="s">
        <v>12314</v>
      </c>
      <c r="G655" s="53" t="s">
        <v>2186</v>
      </c>
      <c r="H655" s="53" t="s">
        <v>607</v>
      </c>
      <c r="I655" s="53" t="s">
        <v>6965</v>
      </c>
      <c r="J655" s="53" t="s">
        <v>3371</v>
      </c>
      <c r="K655" s="219"/>
      <c r="L655" s="194"/>
      <c r="M655" s="195">
        <v>564000</v>
      </c>
      <c r="N655" s="195">
        <v>1156200</v>
      </c>
      <c r="O655" s="189" t="s">
        <v>4533</v>
      </c>
      <c r="P655" s="53" t="s">
        <v>12333</v>
      </c>
      <c r="Q655" s="53" t="s">
        <v>1939</v>
      </c>
      <c r="R655" s="53" t="s">
        <v>12315</v>
      </c>
      <c r="S655" s="149" t="s">
        <v>12418</v>
      </c>
      <c r="T655" s="53"/>
      <c r="U655" s="53" t="s">
        <v>491</v>
      </c>
      <c r="V655" s="53"/>
    </row>
    <row r="656" spans="1:22" ht="45" x14ac:dyDescent="0.25">
      <c r="A656" s="193">
        <v>43336</v>
      </c>
      <c r="B656" s="53" t="s">
        <v>328</v>
      </c>
      <c r="C656" s="53" t="s">
        <v>603</v>
      </c>
      <c r="D656" s="53" t="s">
        <v>672</v>
      </c>
      <c r="E656" s="53" t="s">
        <v>588</v>
      </c>
      <c r="F656" s="53" t="s">
        <v>12316</v>
      </c>
      <c r="G656" s="53" t="s">
        <v>12317</v>
      </c>
      <c r="H656" s="53" t="s">
        <v>607</v>
      </c>
      <c r="I656" s="53" t="s">
        <v>5212</v>
      </c>
      <c r="J656" s="53" t="s">
        <v>644</v>
      </c>
      <c r="K656" s="219"/>
      <c r="L656" s="194">
        <v>4</v>
      </c>
      <c r="M656" s="195">
        <v>490000</v>
      </c>
      <c r="N656" s="195">
        <v>999600</v>
      </c>
      <c r="O656" s="189" t="s">
        <v>10765</v>
      </c>
      <c r="P656" s="53" t="s">
        <v>12318</v>
      </c>
      <c r="Q656" s="53" t="s">
        <v>592</v>
      </c>
      <c r="R656" s="53" t="s">
        <v>12319</v>
      </c>
      <c r="T656" s="53"/>
      <c r="U656" s="53" t="s">
        <v>491</v>
      </c>
      <c r="V656" s="53"/>
    </row>
    <row r="657" spans="1:23" ht="75" x14ac:dyDescent="0.25">
      <c r="A657" s="193">
        <v>43336</v>
      </c>
      <c r="B657" s="53" t="s">
        <v>328</v>
      </c>
      <c r="C657" s="53" t="s">
        <v>603</v>
      </c>
      <c r="D657" s="53" t="s">
        <v>672</v>
      </c>
      <c r="E657" s="53" t="s">
        <v>588</v>
      </c>
      <c r="F657" s="53" t="s">
        <v>6744</v>
      </c>
      <c r="G657" s="53" t="s">
        <v>12320</v>
      </c>
      <c r="H657" s="53" t="s">
        <v>12311</v>
      </c>
      <c r="I657" s="53" t="s">
        <v>7593</v>
      </c>
      <c r="J657" s="53" t="s">
        <v>3426</v>
      </c>
      <c r="K657" s="219"/>
      <c r="L657" s="194"/>
      <c r="M657" s="195">
        <v>10000</v>
      </c>
      <c r="N657" s="195">
        <v>682000</v>
      </c>
      <c r="O657" s="189" t="s">
        <v>10766</v>
      </c>
      <c r="P657" s="53" t="s">
        <v>12321</v>
      </c>
      <c r="Q657" s="53" t="s">
        <v>1939</v>
      </c>
      <c r="R657" s="53" t="s">
        <v>12322</v>
      </c>
      <c r="T657" s="53"/>
      <c r="U657" s="53" t="s">
        <v>491</v>
      </c>
      <c r="V657" s="53"/>
    </row>
    <row r="658" spans="1:23" ht="60" x14ac:dyDescent="0.25">
      <c r="A658" s="193">
        <v>43339</v>
      </c>
      <c r="B658" s="53" t="s">
        <v>569</v>
      </c>
      <c r="C658" s="53" t="s">
        <v>899</v>
      </c>
      <c r="D658" s="53" t="s">
        <v>3505</v>
      </c>
      <c r="E658" s="53" t="s">
        <v>588</v>
      </c>
      <c r="F658" s="53" t="s">
        <v>12323</v>
      </c>
      <c r="G658" s="53" t="s">
        <v>9170</v>
      </c>
      <c r="H658" s="53" t="s">
        <v>809</v>
      </c>
      <c r="I658" s="53" t="s">
        <v>6676</v>
      </c>
      <c r="J658" s="53" t="s">
        <v>899</v>
      </c>
      <c r="K658" s="219"/>
      <c r="L658" s="194"/>
      <c r="M658" s="195">
        <v>350000</v>
      </c>
      <c r="N658" s="195">
        <v>385000</v>
      </c>
      <c r="O658" s="189" t="s">
        <v>2295</v>
      </c>
      <c r="P658" s="53" t="s">
        <v>12324</v>
      </c>
      <c r="Q658" s="53" t="s">
        <v>29</v>
      </c>
      <c r="R658" s="53" t="s">
        <v>12325</v>
      </c>
      <c r="T658" s="53"/>
      <c r="U658" s="53" t="s">
        <v>491</v>
      </c>
      <c r="V658" s="53"/>
    </row>
    <row r="659" spans="1:23" ht="30" x14ac:dyDescent="0.25">
      <c r="A659" s="193">
        <v>43339</v>
      </c>
      <c r="B659" s="53" t="s">
        <v>5956</v>
      </c>
      <c r="C659" s="53" t="s">
        <v>3369</v>
      </c>
      <c r="D659" s="53" t="s">
        <v>8126</v>
      </c>
      <c r="E659" s="53" t="s">
        <v>588</v>
      </c>
      <c r="F659" s="53" t="s">
        <v>12326</v>
      </c>
      <c r="G659" s="53" t="s">
        <v>12327</v>
      </c>
      <c r="H659" s="53" t="s">
        <v>886</v>
      </c>
      <c r="I659" s="53"/>
      <c r="J659" s="53" t="s">
        <v>6575</v>
      </c>
      <c r="K659" s="219"/>
      <c r="L659" s="194"/>
      <c r="M659" s="195">
        <v>379000</v>
      </c>
      <c r="N659" s="195">
        <v>520000</v>
      </c>
      <c r="O659" s="189" t="s">
        <v>2295</v>
      </c>
      <c r="P659" s="53" t="s">
        <v>12328</v>
      </c>
      <c r="Q659" s="53" t="s">
        <v>29</v>
      </c>
      <c r="R659" s="53" t="s">
        <v>12329</v>
      </c>
      <c r="T659" s="53"/>
      <c r="U659" s="53" t="s">
        <v>491</v>
      </c>
      <c r="V659" s="53"/>
    </row>
    <row r="660" spans="1:23" ht="60" x14ac:dyDescent="0.25">
      <c r="A660" s="193">
        <v>43339</v>
      </c>
      <c r="B660" s="53" t="s">
        <v>328</v>
      </c>
      <c r="C660" s="53" t="s">
        <v>603</v>
      </c>
      <c r="D660" s="53" t="s">
        <v>5701</v>
      </c>
      <c r="E660" s="53" t="s">
        <v>588</v>
      </c>
      <c r="F660" s="53" t="s">
        <v>12330</v>
      </c>
      <c r="G660" s="53" t="s">
        <v>465</v>
      </c>
      <c r="H660" s="53" t="s">
        <v>607</v>
      </c>
      <c r="I660" s="53" t="s">
        <v>5691</v>
      </c>
      <c r="J660" s="53" t="s">
        <v>3751</v>
      </c>
      <c r="K660" s="219"/>
      <c r="L660" s="194">
        <v>4</v>
      </c>
      <c r="M660" s="195">
        <v>300000</v>
      </c>
      <c r="N660" s="195">
        <v>510000</v>
      </c>
      <c r="O660" s="189" t="s">
        <v>10766</v>
      </c>
      <c r="P660" s="53" t="s">
        <v>12331</v>
      </c>
      <c r="Q660" s="53" t="s">
        <v>1939</v>
      </c>
      <c r="R660" s="53" t="s">
        <v>12332</v>
      </c>
      <c r="T660" s="53"/>
      <c r="U660" s="53" t="s">
        <v>491</v>
      </c>
      <c r="V660" s="53" t="s">
        <v>3985</v>
      </c>
      <c r="W660" s="53" t="s">
        <v>12345</v>
      </c>
    </row>
    <row r="661" spans="1:23" ht="30" x14ac:dyDescent="0.25">
      <c r="A661" s="193">
        <v>43339</v>
      </c>
      <c r="B661" s="53" t="s">
        <v>328</v>
      </c>
      <c r="C661" s="53" t="s">
        <v>603</v>
      </c>
      <c r="D661" s="53" t="s">
        <v>11286</v>
      </c>
      <c r="E661" s="53" t="s">
        <v>588</v>
      </c>
      <c r="F661" s="53" t="s">
        <v>12334</v>
      </c>
      <c r="G661" s="53" t="s">
        <v>12335</v>
      </c>
      <c r="H661" s="53" t="s">
        <v>607</v>
      </c>
      <c r="I661" s="53" t="s">
        <v>10273</v>
      </c>
      <c r="J661" s="53" t="s">
        <v>899</v>
      </c>
      <c r="K661" s="219"/>
      <c r="L661" s="194">
        <v>1</v>
      </c>
      <c r="M661" s="195">
        <v>376000</v>
      </c>
      <c r="N661" s="195">
        <v>900000</v>
      </c>
      <c r="O661" s="189" t="s">
        <v>10766</v>
      </c>
      <c r="P661" s="53" t="s">
        <v>12336</v>
      </c>
      <c r="Q661" s="53" t="s">
        <v>592</v>
      </c>
      <c r="R661" s="53" t="s">
        <v>12337</v>
      </c>
      <c r="T661" s="53"/>
      <c r="U661" s="53" t="s">
        <v>491</v>
      </c>
      <c r="V661" s="53"/>
    </row>
    <row r="662" spans="1:23" ht="75" x14ac:dyDescent="0.25">
      <c r="A662" s="193">
        <v>43339</v>
      </c>
      <c r="B662" s="53" t="s">
        <v>328</v>
      </c>
      <c r="C662" s="53" t="s">
        <v>603</v>
      </c>
      <c r="D662" s="53" t="s">
        <v>8941</v>
      </c>
      <c r="E662" s="53" t="s">
        <v>588</v>
      </c>
      <c r="F662" s="53" t="s">
        <v>12338</v>
      </c>
      <c r="G662" s="53" t="s">
        <v>9020</v>
      </c>
      <c r="H662" s="53" t="s">
        <v>607</v>
      </c>
      <c r="I662" s="53" t="s">
        <v>10658</v>
      </c>
      <c r="J662" s="53" t="s">
        <v>3612</v>
      </c>
      <c r="K662" s="219"/>
      <c r="L662" s="194">
        <v>2</v>
      </c>
      <c r="M662" s="195">
        <v>278900</v>
      </c>
      <c r="N662" s="195">
        <v>557800</v>
      </c>
      <c r="O662" s="189" t="s">
        <v>4533</v>
      </c>
      <c r="P662" s="53" t="s">
        <v>12339</v>
      </c>
      <c r="Q662" s="53" t="s">
        <v>29</v>
      </c>
      <c r="R662" s="53" t="s">
        <v>12419</v>
      </c>
      <c r="T662" s="53"/>
      <c r="U662" s="53" t="s">
        <v>12344</v>
      </c>
      <c r="V662" s="53"/>
    </row>
    <row r="663" spans="1:23" ht="45" x14ac:dyDescent="0.25">
      <c r="A663" s="193">
        <v>43339</v>
      </c>
      <c r="B663" s="53" t="s">
        <v>328</v>
      </c>
      <c r="C663" s="53" t="s">
        <v>603</v>
      </c>
      <c r="D663" s="53" t="s">
        <v>8941</v>
      </c>
      <c r="E663" s="53" t="s">
        <v>588</v>
      </c>
      <c r="F663" s="53" t="s">
        <v>12340</v>
      </c>
      <c r="G663" s="53" t="s">
        <v>12341</v>
      </c>
      <c r="H663" s="53" t="s">
        <v>1050</v>
      </c>
      <c r="I663" s="53" t="s">
        <v>12091</v>
      </c>
      <c r="J663" s="53" t="s">
        <v>3751</v>
      </c>
      <c r="K663" s="219"/>
      <c r="L663" s="194">
        <v>5</v>
      </c>
      <c r="M663" s="195">
        <v>100000</v>
      </c>
      <c r="N663" s="195">
        <v>100000</v>
      </c>
      <c r="O663" s="189" t="s">
        <v>2295</v>
      </c>
      <c r="P663" s="53" t="s">
        <v>12342</v>
      </c>
      <c r="Q663" s="53" t="s">
        <v>620</v>
      </c>
      <c r="R663" s="53" t="s">
        <v>12343</v>
      </c>
      <c r="T663" s="53"/>
      <c r="U663" s="53" t="s">
        <v>491</v>
      </c>
      <c r="V663" s="53"/>
    </row>
    <row r="664" spans="1:23" ht="90" x14ac:dyDescent="0.25">
      <c r="A664" s="193">
        <v>43340</v>
      </c>
      <c r="B664" s="53" t="s">
        <v>569</v>
      </c>
      <c r="C664" s="53" t="s">
        <v>899</v>
      </c>
      <c r="D664" s="53" t="s">
        <v>3505</v>
      </c>
      <c r="E664" s="53" t="s">
        <v>588</v>
      </c>
      <c r="F664" s="53" t="s">
        <v>12346</v>
      </c>
      <c r="G664" s="53" t="s">
        <v>7747</v>
      </c>
      <c r="H664" s="53" t="s">
        <v>607</v>
      </c>
      <c r="I664" s="53" t="s">
        <v>12347</v>
      </c>
      <c r="J664" s="53" t="s">
        <v>899</v>
      </c>
      <c r="K664" s="219"/>
      <c r="L664" s="194">
        <v>3</v>
      </c>
      <c r="M664" s="195">
        <v>1007000</v>
      </c>
      <c r="N664" s="195">
        <v>1812600</v>
      </c>
      <c r="O664" s="189" t="s">
        <v>10766</v>
      </c>
      <c r="P664" s="53" t="s">
        <v>12507</v>
      </c>
      <c r="Q664" s="53" t="s">
        <v>592</v>
      </c>
      <c r="R664" s="53" t="s">
        <v>12348</v>
      </c>
      <c r="T664" s="53"/>
      <c r="U664" s="53" t="s">
        <v>491</v>
      </c>
      <c r="V664" s="53"/>
    </row>
    <row r="665" spans="1:23" ht="90" x14ac:dyDescent="0.25">
      <c r="A665" s="193">
        <v>43340</v>
      </c>
      <c r="B665" s="53" t="s">
        <v>569</v>
      </c>
      <c r="C665" s="53" t="s">
        <v>899</v>
      </c>
      <c r="D665" s="53" t="s">
        <v>3505</v>
      </c>
      <c r="E665" s="53" t="s">
        <v>588</v>
      </c>
      <c r="F665" s="53" t="s">
        <v>12346</v>
      </c>
      <c r="G665" s="53" t="s">
        <v>7747</v>
      </c>
      <c r="H665" s="53" t="s">
        <v>607</v>
      </c>
      <c r="I665" s="53" t="s">
        <v>12347</v>
      </c>
      <c r="J665" s="53" t="s">
        <v>899</v>
      </c>
      <c r="K665" s="219"/>
      <c r="L665" s="194">
        <v>3</v>
      </c>
      <c r="M665" s="195">
        <v>1600000</v>
      </c>
      <c r="N665" s="195">
        <v>2900000</v>
      </c>
      <c r="O665" s="189" t="s">
        <v>10766</v>
      </c>
      <c r="P665" s="53" t="s">
        <v>12508</v>
      </c>
      <c r="Q665" s="53" t="s">
        <v>592</v>
      </c>
      <c r="R665" s="53" t="s">
        <v>12348</v>
      </c>
      <c r="T665" s="53"/>
      <c r="U665" s="53" t="s">
        <v>491</v>
      </c>
      <c r="V665" s="53"/>
    </row>
    <row r="666" spans="1:23" ht="75" x14ac:dyDescent="0.25">
      <c r="A666" s="193">
        <v>43340</v>
      </c>
      <c r="B666" s="53" t="s">
        <v>328</v>
      </c>
      <c r="C666" s="53" t="s">
        <v>603</v>
      </c>
      <c r="D666" s="53" t="s">
        <v>10338</v>
      </c>
      <c r="E666" s="53" t="s">
        <v>588</v>
      </c>
      <c r="F666" s="53" t="s">
        <v>12349</v>
      </c>
      <c r="G666" s="53" t="s">
        <v>7880</v>
      </c>
      <c r="H666" s="53" t="s">
        <v>10831</v>
      </c>
      <c r="I666" s="53" t="s">
        <v>5390</v>
      </c>
      <c r="J666" s="53" t="s">
        <v>3617</v>
      </c>
      <c r="K666" s="219"/>
      <c r="L666" s="194">
        <v>9</v>
      </c>
      <c r="M666" s="195">
        <v>304164</v>
      </c>
      <c r="N666" s="195">
        <v>998993</v>
      </c>
      <c r="O666" s="189" t="s">
        <v>10763</v>
      </c>
      <c r="P666" s="53" t="s">
        <v>12350</v>
      </c>
      <c r="Q666" s="53" t="s">
        <v>1612</v>
      </c>
      <c r="R666" s="53" t="s">
        <v>12509</v>
      </c>
      <c r="T666" s="53"/>
      <c r="U666" s="53" t="s">
        <v>491</v>
      </c>
      <c r="V666" s="53"/>
    </row>
    <row r="667" spans="1:23" ht="15.75" x14ac:dyDescent="0.25">
      <c r="A667" s="193">
        <v>43340</v>
      </c>
      <c r="B667" s="53" t="s">
        <v>9240</v>
      </c>
      <c r="C667" s="53" t="s">
        <v>603</v>
      </c>
      <c r="D667" s="53" t="s">
        <v>9241</v>
      </c>
      <c r="E667" s="53" t="s">
        <v>588</v>
      </c>
      <c r="F667" s="53" t="s">
        <v>12351</v>
      </c>
      <c r="G667" s="53" t="s">
        <v>12352</v>
      </c>
      <c r="H667" s="53" t="s">
        <v>607</v>
      </c>
      <c r="I667" s="53" t="s">
        <v>5691</v>
      </c>
      <c r="J667" s="53" t="s">
        <v>3751</v>
      </c>
      <c r="K667" s="219"/>
      <c r="L667" s="194">
        <v>9</v>
      </c>
      <c r="M667" s="195">
        <v>484600</v>
      </c>
      <c r="N667" s="195">
        <v>750000</v>
      </c>
      <c r="O667" s="189" t="s">
        <v>10766</v>
      </c>
      <c r="P667" s="53" t="s">
        <v>12353</v>
      </c>
      <c r="Q667" s="53" t="s">
        <v>592</v>
      </c>
      <c r="R667" s="53" t="s">
        <v>12354</v>
      </c>
      <c r="T667" s="53"/>
      <c r="U667" s="53" t="s">
        <v>491</v>
      </c>
      <c r="V667" s="53"/>
    </row>
    <row r="668" spans="1:23" ht="45" x14ac:dyDescent="0.25">
      <c r="A668" s="193">
        <v>43340</v>
      </c>
      <c r="B668" s="53" t="s">
        <v>328</v>
      </c>
      <c r="C668" s="53" t="s">
        <v>603</v>
      </c>
      <c r="D668" s="53" t="s">
        <v>649</v>
      </c>
      <c r="E668" s="53" t="s">
        <v>2200</v>
      </c>
      <c r="F668" s="53" t="s">
        <v>272</v>
      </c>
      <c r="G668" s="53" t="s">
        <v>8044</v>
      </c>
      <c r="H668" s="53" t="s">
        <v>809</v>
      </c>
      <c r="I668" s="53" t="s">
        <v>12355</v>
      </c>
      <c r="J668" s="53" t="s">
        <v>6329</v>
      </c>
      <c r="K668" s="219"/>
      <c r="L668" s="194">
        <v>4</v>
      </c>
      <c r="M668" s="195">
        <v>350000</v>
      </c>
      <c r="N668" s="195">
        <v>350000</v>
      </c>
      <c r="O668" s="189" t="s">
        <v>2295</v>
      </c>
      <c r="P668" s="53" t="s">
        <v>12356</v>
      </c>
      <c r="Q668" s="53" t="s">
        <v>592</v>
      </c>
      <c r="R668" s="53" t="s">
        <v>12510</v>
      </c>
      <c r="T668" s="53"/>
      <c r="U668" s="53" t="s">
        <v>12344</v>
      </c>
      <c r="V668" s="53"/>
    </row>
    <row r="669" spans="1:23" ht="90" x14ac:dyDescent="0.25">
      <c r="A669" s="193">
        <v>43340</v>
      </c>
      <c r="B669" s="53" t="s">
        <v>6076</v>
      </c>
      <c r="C669" s="53" t="s">
        <v>3370</v>
      </c>
      <c r="D669" s="53" t="s">
        <v>10524</v>
      </c>
      <c r="E669" s="53" t="s">
        <v>588</v>
      </c>
      <c r="F669" s="53" t="s">
        <v>12357</v>
      </c>
      <c r="G669" s="53" t="s">
        <v>15</v>
      </c>
      <c r="H669" s="53" t="s">
        <v>607</v>
      </c>
      <c r="I669" s="53" t="s">
        <v>12358</v>
      </c>
      <c r="J669" s="53" t="s">
        <v>3370</v>
      </c>
      <c r="K669" s="219"/>
      <c r="L669" s="194"/>
      <c r="M669" s="195">
        <v>125000</v>
      </c>
      <c r="N669" s="195">
        <v>175000</v>
      </c>
      <c r="O669" s="189" t="s">
        <v>4533</v>
      </c>
      <c r="P669" s="53" t="s">
        <v>12360</v>
      </c>
      <c r="Q669" s="53" t="s">
        <v>29</v>
      </c>
      <c r="R669" s="53" t="s">
        <v>12359</v>
      </c>
      <c r="T669" s="53"/>
      <c r="U669" s="53" t="s">
        <v>491</v>
      </c>
      <c r="V669" s="53"/>
    </row>
    <row r="670" spans="1:23" ht="60" x14ac:dyDescent="0.25">
      <c r="A670" s="193">
        <v>43340</v>
      </c>
      <c r="B670" s="53" t="s">
        <v>569</v>
      </c>
      <c r="C670" s="53" t="s">
        <v>899</v>
      </c>
      <c r="D670" s="53" t="s">
        <v>3505</v>
      </c>
      <c r="E670" s="53" t="s">
        <v>588</v>
      </c>
      <c r="F670" s="53" t="s">
        <v>12361</v>
      </c>
      <c r="G670" s="53" t="s">
        <v>11509</v>
      </c>
      <c r="H670" s="53" t="s">
        <v>607</v>
      </c>
      <c r="I670" s="53" t="s">
        <v>12347</v>
      </c>
      <c r="J670" s="53" t="s">
        <v>899</v>
      </c>
      <c r="K670" s="219"/>
      <c r="L670" s="194">
        <v>3</v>
      </c>
      <c r="M670" s="195">
        <v>2200000</v>
      </c>
      <c r="N670" s="195">
        <v>3960000</v>
      </c>
      <c r="O670" s="189" t="s">
        <v>560</v>
      </c>
      <c r="P670" s="53" t="s">
        <v>12362</v>
      </c>
      <c r="Q670" s="53" t="s">
        <v>1939</v>
      </c>
      <c r="R670" s="53" t="s">
        <v>12363</v>
      </c>
      <c r="T670" s="53"/>
      <c r="U670" s="53" t="s">
        <v>1327</v>
      </c>
      <c r="V670" s="53"/>
    </row>
    <row r="671" spans="1:23" ht="30" x14ac:dyDescent="0.25">
      <c r="A671" s="193">
        <v>43340</v>
      </c>
      <c r="B671" s="53" t="s">
        <v>328</v>
      </c>
      <c r="C671" s="53" t="s">
        <v>603</v>
      </c>
      <c r="D671" s="53" t="s">
        <v>10957</v>
      </c>
      <c r="E671" s="53" t="s">
        <v>588</v>
      </c>
      <c r="F671" s="53" t="s">
        <v>12364</v>
      </c>
      <c r="G671" s="53" t="s">
        <v>11755</v>
      </c>
      <c r="H671" s="53" t="s">
        <v>10831</v>
      </c>
      <c r="I671" s="53" t="s">
        <v>11589</v>
      </c>
      <c r="J671" s="53" t="s">
        <v>959</v>
      </c>
      <c r="K671" s="219"/>
      <c r="L671" s="194">
        <v>4</v>
      </c>
      <c r="M671" s="195">
        <v>120000</v>
      </c>
      <c r="N671" s="195">
        <v>132000</v>
      </c>
      <c r="O671" s="189" t="s">
        <v>10764</v>
      </c>
      <c r="P671" s="53" t="s">
        <v>12365</v>
      </c>
      <c r="Q671" s="53" t="s">
        <v>1939</v>
      </c>
      <c r="R671" s="53" t="s">
        <v>12366</v>
      </c>
      <c r="T671" s="53"/>
      <c r="U671" s="53" t="s">
        <v>12344</v>
      </c>
      <c r="V671" s="53"/>
    </row>
    <row r="672" spans="1:23" ht="45" x14ac:dyDescent="0.25">
      <c r="A672" s="56">
        <v>43340</v>
      </c>
      <c r="B672" s="53" t="s">
        <v>9240</v>
      </c>
      <c r="C672" s="53" t="s">
        <v>603</v>
      </c>
      <c r="D672" s="53" t="s">
        <v>9849</v>
      </c>
      <c r="E672" s="53" t="s">
        <v>588</v>
      </c>
      <c r="F672" s="53" t="s">
        <v>12410</v>
      </c>
      <c r="G672" s="53" t="s">
        <v>12411</v>
      </c>
      <c r="H672" s="53" t="s">
        <v>607</v>
      </c>
      <c r="I672" s="53" t="s">
        <v>12412</v>
      </c>
      <c r="J672" s="53" t="s">
        <v>4031</v>
      </c>
      <c r="K672" s="219"/>
      <c r="L672" s="194">
        <v>4</v>
      </c>
      <c r="M672" s="195">
        <v>396000</v>
      </c>
      <c r="N672" s="195">
        <v>840000</v>
      </c>
      <c r="O672" s="189" t="s">
        <v>10766</v>
      </c>
      <c r="P672" s="53" t="s">
        <v>12413</v>
      </c>
      <c r="Q672" s="53" t="s">
        <v>592</v>
      </c>
      <c r="R672" s="53" t="s">
        <v>12414</v>
      </c>
      <c r="T672" s="53"/>
      <c r="U672" s="53" t="s">
        <v>491</v>
      </c>
      <c r="V672" s="53"/>
    </row>
    <row r="673" spans="1:23" s="46" customFormat="1" ht="120" x14ac:dyDescent="0.25">
      <c r="A673" s="205">
        <v>43340</v>
      </c>
      <c r="B673" s="47" t="s">
        <v>569</v>
      </c>
      <c r="C673" s="47" t="s">
        <v>899</v>
      </c>
      <c r="D673" s="47" t="s">
        <v>9981</v>
      </c>
      <c r="E673" s="47" t="s">
        <v>588</v>
      </c>
      <c r="F673" s="47" t="s">
        <v>12415</v>
      </c>
      <c r="G673" s="47" t="s">
        <v>12416</v>
      </c>
      <c r="H673" s="47" t="s">
        <v>10832</v>
      </c>
      <c r="I673" s="47" t="s">
        <v>5972</v>
      </c>
      <c r="J673" s="47" t="s">
        <v>899</v>
      </c>
      <c r="K673" s="221"/>
      <c r="L673" s="206">
        <v>3</v>
      </c>
      <c r="M673" s="153">
        <v>1500000</v>
      </c>
      <c r="N673" s="153">
        <v>2300000</v>
      </c>
      <c r="O673" s="189" t="s">
        <v>4533</v>
      </c>
      <c r="P673" s="47" t="s">
        <v>12417</v>
      </c>
      <c r="Q673" s="53" t="s">
        <v>1939</v>
      </c>
      <c r="R673" s="47" t="s">
        <v>12614</v>
      </c>
      <c r="S673" s="47"/>
      <c r="T673" s="47"/>
      <c r="U673" s="47" t="s">
        <v>491</v>
      </c>
      <c r="V673" s="47"/>
      <c r="W673" s="47"/>
    </row>
    <row r="674" spans="1:23" ht="75" x14ac:dyDescent="0.25">
      <c r="A674" s="193">
        <v>43341</v>
      </c>
      <c r="B674" s="53" t="s">
        <v>328</v>
      </c>
      <c r="C674" s="53" t="s">
        <v>603</v>
      </c>
      <c r="D674" s="53" t="s">
        <v>7595</v>
      </c>
      <c r="E674" s="53" t="s">
        <v>588</v>
      </c>
      <c r="F674" s="53" t="s">
        <v>12420</v>
      </c>
      <c r="G674" s="53" t="s">
        <v>12421</v>
      </c>
      <c r="H674" s="53" t="s">
        <v>607</v>
      </c>
      <c r="I674" s="53" t="s">
        <v>8902</v>
      </c>
      <c r="J674" s="53" t="s">
        <v>899</v>
      </c>
      <c r="K674" s="219"/>
      <c r="L674" s="194">
        <v>2</v>
      </c>
      <c r="M674" s="195">
        <v>384000</v>
      </c>
      <c r="N674" s="195">
        <v>768000</v>
      </c>
      <c r="O674" s="189" t="s">
        <v>10766</v>
      </c>
      <c r="P674" s="53" t="s">
        <v>12422</v>
      </c>
      <c r="Q674" s="53" t="s">
        <v>1939</v>
      </c>
      <c r="R674" s="53" t="s">
        <v>12485</v>
      </c>
      <c r="T674" s="53"/>
      <c r="U674" s="53" t="s">
        <v>12344</v>
      </c>
      <c r="V674" s="53"/>
    </row>
    <row r="675" spans="1:23" ht="90" x14ac:dyDescent="0.25">
      <c r="A675" s="193">
        <v>43342</v>
      </c>
      <c r="B675" s="53" t="s">
        <v>5360</v>
      </c>
      <c r="C675" s="53" t="s">
        <v>899</v>
      </c>
      <c r="D675" s="53" t="s">
        <v>732</v>
      </c>
      <c r="E675" s="53" t="s">
        <v>588</v>
      </c>
      <c r="F675" s="53" t="s">
        <v>10367</v>
      </c>
      <c r="G675" s="53" t="s">
        <v>11187</v>
      </c>
      <c r="H675" s="53" t="s">
        <v>607</v>
      </c>
      <c r="I675" s="53" t="s">
        <v>7164</v>
      </c>
      <c r="J675" s="53" t="s">
        <v>899</v>
      </c>
      <c r="K675" s="219"/>
      <c r="L675" s="194">
        <v>2</v>
      </c>
      <c r="M675" s="195">
        <v>935000</v>
      </c>
      <c r="N675" s="195">
        <v>1515500</v>
      </c>
      <c r="O675" s="189" t="s">
        <v>2295</v>
      </c>
      <c r="P675" s="53" t="s">
        <v>12423</v>
      </c>
      <c r="Q675" s="53" t="s">
        <v>1612</v>
      </c>
      <c r="R675" s="53" t="s">
        <v>12434</v>
      </c>
      <c r="T675" s="53"/>
      <c r="U675" s="53" t="s">
        <v>491</v>
      </c>
      <c r="V675" s="53"/>
    </row>
    <row r="676" spans="1:23" ht="30" x14ac:dyDescent="0.25">
      <c r="A676" s="193">
        <v>43342</v>
      </c>
      <c r="B676" s="53" t="s">
        <v>9240</v>
      </c>
      <c r="C676" s="53" t="s">
        <v>603</v>
      </c>
      <c r="D676" s="53" t="s">
        <v>9241</v>
      </c>
      <c r="E676" s="53" t="s">
        <v>588</v>
      </c>
      <c r="F676" s="53" t="s">
        <v>12426</v>
      </c>
      <c r="G676" s="53" t="s">
        <v>12427</v>
      </c>
      <c r="H676" s="53" t="s">
        <v>607</v>
      </c>
      <c r="I676" s="53" t="s">
        <v>12430</v>
      </c>
      <c r="J676" s="53" t="s">
        <v>5610</v>
      </c>
      <c r="K676" s="219"/>
      <c r="L676" s="194">
        <v>2</v>
      </c>
      <c r="M676" s="195">
        <v>220000</v>
      </c>
      <c r="N676" s="195">
        <v>440000</v>
      </c>
      <c r="O676" s="189" t="s">
        <v>10765</v>
      </c>
      <c r="P676" s="53" t="s">
        <v>12428</v>
      </c>
      <c r="Q676" s="53" t="s">
        <v>29</v>
      </c>
      <c r="R676" s="53" t="s">
        <v>12429</v>
      </c>
      <c r="T676" s="53"/>
      <c r="U676" s="53" t="s">
        <v>491</v>
      </c>
      <c r="V676" s="53"/>
    </row>
    <row r="677" spans="1:23" ht="30" x14ac:dyDescent="0.25">
      <c r="A677" s="193">
        <v>43342</v>
      </c>
      <c r="B677" s="53" t="s">
        <v>328</v>
      </c>
      <c r="C677" s="53" t="s">
        <v>603</v>
      </c>
      <c r="D677" s="53" t="s">
        <v>8941</v>
      </c>
      <c r="E677" s="53" t="s">
        <v>588</v>
      </c>
      <c r="F677" s="53" t="s">
        <v>12431</v>
      </c>
      <c r="G677" s="53" t="s">
        <v>9395</v>
      </c>
      <c r="H677" s="53" t="s">
        <v>607</v>
      </c>
      <c r="I677" s="53" t="s">
        <v>11055</v>
      </c>
      <c r="J677" s="53" t="s">
        <v>5402</v>
      </c>
      <c r="K677" s="219"/>
      <c r="L677" s="194">
        <v>10</v>
      </c>
      <c r="M677" s="195">
        <v>253000</v>
      </c>
      <c r="N677" s="195">
        <v>500000</v>
      </c>
      <c r="O677" s="189" t="s">
        <v>10766</v>
      </c>
      <c r="P677" s="53" t="s">
        <v>12432</v>
      </c>
      <c r="Q677" s="53" t="s">
        <v>29</v>
      </c>
      <c r="R677" s="53" t="s">
        <v>12433</v>
      </c>
      <c r="T677" s="53"/>
      <c r="U677" s="53" t="s">
        <v>491</v>
      </c>
      <c r="V677" s="53"/>
    </row>
    <row r="678" spans="1:23" ht="45" x14ac:dyDescent="0.25">
      <c r="A678" s="193">
        <v>43342</v>
      </c>
      <c r="B678" s="53" t="s">
        <v>328</v>
      </c>
      <c r="C678" s="53" t="s">
        <v>603</v>
      </c>
      <c r="D678" s="53" t="s">
        <v>8941</v>
      </c>
      <c r="E678" s="53" t="s">
        <v>588</v>
      </c>
      <c r="F678" s="53" t="s">
        <v>12435</v>
      </c>
      <c r="G678" s="53" t="s">
        <v>256</v>
      </c>
      <c r="H678" s="53" t="s">
        <v>607</v>
      </c>
      <c r="I678" s="53" t="s">
        <v>8479</v>
      </c>
      <c r="J678" s="53" t="s">
        <v>899</v>
      </c>
      <c r="K678" s="219"/>
      <c r="L678" s="194">
        <v>10</v>
      </c>
      <c r="M678" s="195">
        <v>1400000</v>
      </c>
      <c r="N678" s="195">
        <v>2520000</v>
      </c>
      <c r="O678" s="189" t="s">
        <v>49</v>
      </c>
      <c r="P678" s="53" t="s">
        <v>12436</v>
      </c>
      <c r="Q678" s="53" t="s">
        <v>29</v>
      </c>
      <c r="R678" s="53" t="s">
        <v>12437</v>
      </c>
      <c r="S678" s="53" t="s">
        <v>12438</v>
      </c>
      <c r="T678" s="53"/>
      <c r="U678" s="53" t="s">
        <v>12344</v>
      </c>
      <c r="V678" s="53"/>
    </row>
    <row r="679" spans="1:23" ht="60" x14ac:dyDescent="0.25">
      <c r="A679" s="193">
        <v>43342</v>
      </c>
      <c r="B679" s="53" t="s">
        <v>569</v>
      </c>
      <c r="C679" s="53" t="s">
        <v>623</v>
      </c>
      <c r="D679" s="53" t="s">
        <v>11286</v>
      </c>
      <c r="E679" s="53" t="s">
        <v>588</v>
      </c>
      <c r="F679" s="53" t="s">
        <v>12439</v>
      </c>
      <c r="G679" s="53" t="s">
        <v>10007</v>
      </c>
      <c r="H679" s="53" t="s">
        <v>809</v>
      </c>
      <c r="I679" s="53"/>
      <c r="J679" s="53" t="s">
        <v>899</v>
      </c>
      <c r="K679" s="219"/>
      <c r="L679" s="194"/>
      <c r="M679" s="195">
        <v>1151258</v>
      </c>
      <c r="N679" s="195"/>
      <c r="O679" s="189" t="s">
        <v>10766</v>
      </c>
      <c r="P679" s="53" t="s">
        <v>12511</v>
      </c>
      <c r="Q679" s="53" t="s">
        <v>1939</v>
      </c>
      <c r="R679" s="53" t="s">
        <v>12512</v>
      </c>
      <c r="T679" s="53"/>
      <c r="U679" s="53" t="s">
        <v>12344</v>
      </c>
      <c r="V679" s="53"/>
    </row>
    <row r="680" spans="1:23" ht="75" x14ac:dyDescent="0.25">
      <c r="A680" s="56">
        <v>43343</v>
      </c>
      <c r="B680" s="53" t="s">
        <v>328</v>
      </c>
      <c r="C680" s="29" t="s">
        <v>603</v>
      </c>
      <c r="D680" s="29" t="s">
        <v>649</v>
      </c>
      <c r="E680" s="29" t="s">
        <v>588</v>
      </c>
      <c r="F680" s="29" t="s">
        <v>12440</v>
      </c>
      <c r="G680" s="29" t="s">
        <v>12441</v>
      </c>
      <c r="H680" s="29" t="s">
        <v>607</v>
      </c>
      <c r="I680" s="29" t="s">
        <v>9550</v>
      </c>
      <c r="J680" s="29" t="s">
        <v>3733</v>
      </c>
      <c r="M680" s="113">
        <v>277208</v>
      </c>
      <c r="N680" s="113">
        <v>530000</v>
      </c>
      <c r="O680" s="190" t="s">
        <v>4533</v>
      </c>
      <c r="P680" s="53" t="s">
        <v>12442</v>
      </c>
      <c r="Q680" s="29" t="s">
        <v>12443</v>
      </c>
      <c r="R680" s="53" t="s">
        <v>12444</v>
      </c>
      <c r="U680" s="29" t="s">
        <v>491</v>
      </c>
    </row>
    <row r="681" spans="1:23" ht="30" x14ac:dyDescent="0.25">
      <c r="A681" s="56">
        <v>43343</v>
      </c>
      <c r="B681" s="53" t="s">
        <v>9240</v>
      </c>
      <c r="C681" s="29" t="s">
        <v>603</v>
      </c>
      <c r="D681" s="29" t="s">
        <v>7814</v>
      </c>
      <c r="E681" s="29" t="s">
        <v>588</v>
      </c>
      <c r="F681" s="29" t="s">
        <v>10068</v>
      </c>
      <c r="G681" s="29" t="s">
        <v>2204</v>
      </c>
      <c r="H681" s="29" t="s">
        <v>607</v>
      </c>
      <c r="I681" s="29" t="s">
        <v>5390</v>
      </c>
      <c r="J681" s="29" t="s">
        <v>5309</v>
      </c>
      <c r="L681" s="182" t="s">
        <v>833</v>
      </c>
      <c r="M681" s="113">
        <v>6000</v>
      </c>
      <c r="N681" s="113">
        <v>9500</v>
      </c>
      <c r="O681" s="190" t="s">
        <v>10763</v>
      </c>
      <c r="P681" s="53" t="s">
        <v>12445</v>
      </c>
      <c r="Q681" s="29" t="s">
        <v>29</v>
      </c>
      <c r="R681" s="53" t="s">
        <v>12446</v>
      </c>
      <c r="U681" s="29" t="s">
        <v>491</v>
      </c>
    </row>
    <row r="682" spans="1:23" ht="30" x14ac:dyDescent="0.25">
      <c r="A682" s="193">
        <v>43343</v>
      </c>
      <c r="B682" s="53" t="s">
        <v>328</v>
      </c>
      <c r="C682" s="53" t="s">
        <v>603</v>
      </c>
      <c r="D682" s="53" t="s">
        <v>8941</v>
      </c>
      <c r="E682" s="53" t="s">
        <v>588</v>
      </c>
      <c r="F682" s="53" t="s">
        <v>12447</v>
      </c>
      <c r="G682" s="53" t="s">
        <v>4118</v>
      </c>
      <c r="H682" s="53" t="s">
        <v>10831</v>
      </c>
      <c r="I682" s="53" t="s">
        <v>12448</v>
      </c>
      <c r="J682" s="53" t="s">
        <v>6329</v>
      </c>
      <c r="K682" s="219"/>
      <c r="L682" s="194">
        <v>10</v>
      </c>
      <c r="M682" s="195">
        <v>200000</v>
      </c>
      <c r="N682" s="195">
        <v>200000</v>
      </c>
      <c r="O682" s="189" t="s">
        <v>7124</v>
      </c>
      <c r="P682" s="53" t="s">
        <v>12449</v>
      </c>
      <c r="Q682" s="53" t="s">
        <v>592</v>
      </c>
      <c r="R682" s="53" t="s">
        <v>12450</v>
      </c>
      <c r="T682" s="53"/>
      <c r="U682" s="53" t="s">
        <v>491</v>
      </c>
      <c r="V682" s="53"/>
    </row>
    <row r="683" spans="1:23" ht="45" x14ac:dyDescent="0.25">
      <c r="A683" s="193">
        <v>43343</v>
      </c>
      <c r="B683" s="53" t="s">
        <v>328</v>
      </c>
      <c r="C683" s="53" t="s">
        <v>603</v>
      </c>
      <c r="D683" s="53" t="s">
        <v>672</v>
      </c>
      <c r="E683" s="53" t="s">
        <v>588</v>
      </c>
      <c r="F683" s="53" t="s">
        <v>12451</v>
      </c>
      <c r="G683" s="53" t="s">
        <v>9221</v>
      </c>
      <c r="H683" s="53" t="s">
        <v>12452</v>
      </c>
      <c r="I683" s="53"/>
      <c r="J683" s="53" t="s">
        <v>6329</v>
      </c>
      <c r="K683" s="219"/>
      <c r="L683" s="194">
        <v>5</v>
      </c>
      <c r="M683" s="195">
        <v>140000</v>
      </c>
      <c r="N683" s="195">
        <v>140000</v>
      </c>
      <c r="O683" s="189" t="s">
        <v>10764</v>
      </c>
      <c r="P683" s="53" t="s">
        <v>12453</v>
      </c>
      <c r="Q683" s="53" t="s">
        <v>1939</v>
      </c>
      <c r="R683" s="53" t="s">
        <v>12456</v>
      </c>
      <c r="T683" s="53"/>
      <c r="U683" s="53" t="s">
        <v>491</v>
      </c>
      <c r="V683" s="53"/>
    </row>
    <row r="684" spans="1:23" ht="45" x14ac:dyDescent="0.25">
      <c r="A684" s="193">
        <v>43343</v>
      </c>
      <c r="B684" s="53" t="s">
        <v>328</v>
      </c>
      <c r="C684" s="53" t="s">
        <v>603</v>
      </c>
      <c r="D684" s="53" t="s">
        <v>7595</v>
      </c>
      <c r="E684" s="53" t="s">
        <v>588</v>
      </c>
      <c r="F684" s="53" t="s">
        <v>12454</v>
      </c>
      <c r="G684" s="53" t="s">
        <v>11900</v>
      </c>
      <c r="H684" s="53" t="s">
        <v>607</v>
      </c>
      <c r="I684" s="53" t="s">
        <v>3776</v>
      </c>
      <c r="J684" s="53" t="s">
        <v>3373</v>
      </c>
      <c r="K684" s="219"/>
      <c r="L684" s="194">
        <v>3</v>
      </c>
      <c r="M684" s="195">
        <v>783000</v>
      </c>
      <c r="N684" s="195">
        <v>1683450</v>
      </c>
      <c r="O684" s="189" t="s">
        <v>10766</v>
      </c>
      <c r="P684" s="53" t="s">
        <v>12455</v>
      </c>
      <c r="Q684" s="53" t="s">
        <v>1939</v>
      </c>
      <c r="R684" s="53" t="s">
        <v>12457</v>
      </c>
      <c r="T684" s="53"/>
      <c r="U684" s="53" t="s">
        <v>491</v>
      </c>
      <c r="V684" s="53"/>
    </row>
    <row r="685" spans="1:23" ht="30" x14ac:dyDescent="0.25">
      <c r="A685" s="193">
        <v>43343</v>
      </c>
      <c r="B685" s="53" t="s">
        <v>5360</v>
      </c>
      <c r="C685" s="53" t="s">
        <v>899</v>
      </c>
      <c r="D685" s="53" t="s">
        <v>732</v>
      </c>
      <c r="E685" s="53" t="s">
        <v>588</v>
      </c>
      <c r="F685" s="53" t="s">
        <v>12458</v>
      </c>
      <c r="G685" s="53" t="s">
        <v>7814</v>
      </c>
      <c r="H685" s="53" t="s">
        <v>886</v>
      </c>
      <c r="I685" s="53" t="s">
        <v>12459</v>
      </c>
      <c r="J685" s="53" t="s">
        <v>899</v>
      </c>
      <c r="K685" s="219"/>
      <c r="L685" s="194">
        <v>6</v>
      </c>
      <c r="M685" s="195">
        <v>205000</v>
      </c>
      <c r="N685" s="195">
        <v>215000</v>
      </c>
      <c r="O685" s="189" t="s">
        <v>2295</v>
      </c>
      <c r="P685" s="53" t="s">
        <v>12460</v>
      </c>
      <c r="Q685" s="53" t="s">
        <v>592</v>
      </c>
      <c r="R685" s="53" t="s">
        <v>12461</v>
      </c>
      <c r="T685" s="53"/>
      <c r="U685" s="53" t="s">
        <v>491</v>
      </c>
      <c r="V685" s="53"/>
    </row>
    <row r="686" spans="1:23" ht="30" x14ac:dyDescent="0.25">
      <c r="A686" s="193">
        <v>43343</v>
      </c>
      <c r="B686" s="53" t="s">
        <v>328</v>
      </c>
      <c r="C686" s="53" t="s">
        <v>603</v>
      </c>
      <c r="D686" s="53" t="s">
        <v>649</v>
      </c>
      <c r="E686" s="53" t="s">
        <v>588</v>
      </c>
      <c r="F686" s="53" t="s">
        <v>12462</v>
      </c>
      <c r="G686" s="53"/>
      <c r="H686" s="53" t="s">
        <v>10829</v>
      </c>
      <c r="I686" s="53" t="s">
        <v>12463</v>
      </c>
      <c r="J686" s="53" t="s">
        <v>3612</v>
      </c>
      <c r="K686" s="219"/>
      <c r="L686" s="194">
        <v>10</v>
      </c>
      <c r="M686" s="195">
        <v>160000</v>
      </c>
      <c r="N686" s="195">
        <v>160000</v>
      </c>
      <c r="O686" s="189" t="s">
        <v>7124</v>
      </c>
      <c r="P686" s="53" t="s">
        <v>12464</v>
      </c>
      <c r="Q686" s="53" t="s">
        <v>1939</v>
      </c>
      <c r="R686" s="53" t="s">
        <v>12465</v>
      </c>
      <c r="T686" s="53"/>
      <c r="U686" s="53" t="s">
        <v>491</v>
      </c>
      <c r="V686" s="53"/>
    </row>
    <row r="687" spans="1:23" s="146" customFormat="1" ht="45" x14ac:dyDescent="0.25">
      <c r="A687" s="197">
        <v>43343</v>
      </c>
      <c r="B687" s="149" t="s">
        <v>328</v>
      </c>
      <c r="C687" s="149" t="s">
        <v>603</v>
      </c>
      <c r="D687" s="149" t="s">
        <v>7595</v>
      </c>
      <c r="E687" s="149" t="s">
        <v>588</v>
      </c>
      <c r="F687" s="149" t="s">
        <v>12466</v>
      </c>
      <c r="G687" s="149" t="s">
        <v>12467</v>
      </c>
      <c r="H687" s="149" t="s">
        <v>10831</v>
      </c>
      <c r="I687" s="149" t="s">
        <v>12468</v>
      </c>
      <c r="J687" s="149" t="s">
        <v>6015</v>
      </c>
      <c r="K687" s="220"/>
      <c r="L687" s="198">
        <v>10</v>
      </c>
      <c r="M687" s="199">
        <v>109700</v>
      </c>
      <c r="N687" s="199">
        <v>136670</v>
      </c>
      <c r="O687" s="191" t="s">
        <v>10764</v>
      </c>
      <c r="P687" s="149" t="s">
        <v>12469</v>
      </c>
      <c r="Q687" s="149" t="s">
        <v>1939</v>
      </c>
      <c r="R687" s="149" t="s">
        <v>12470</v>
      </c>
      <c r="S687" s="149"/>
      <c r="T687" s="149"/>
      <c r="U687" s="149" t="s">
        <v>491</v>
      </c>
      <c r="V687" s="149"/>
      <c r="W687" s="149"/>
    </row>
    <row r="688" spans="1:23" ht="30" x14ac:dyDescent="0.25">
      <c r="A688" s="193">
        <v>43347</v>
      </c>
      <c r="B688" s="53" t="s">
        <v>5360</v>
      </c>
      <c r="C688" s="53" t="s">
        <v>899</v>
      </c>
      <c r="D688" s="53" t="s">
        <v>1027</v>
      </c>
      <c r="E688" s="53" t="s">
        <v>588</v>
      </c>
      <c r="F688" s="53" t="s">
        <v>8966</v>
      </c>
      <c r="G688" s="53"/>
      <c r="H688" s="53" t="s">
        <v>607</v>
      </c>
      <c r="I688" s="53"/>
      <c r="J688" s="53"/>
      <c r="K688" s="219"/>
      <c r="L688" s="194"/>
      <c r="M688" s="195"/>
      <c r="N688" s="195"/>
      <c r="O688" s="189" t="s">
        <v>10763</v>
      </c>
      <c r="P688" s="53" t="s">
        <v>12471</v>
      </c>
      <c r="Q688" s="53" t="s">
        <v>29</v>
      </c>
      <c r="R688" s="204" t="s">
        <v>12472</v>
      </c>
      <c r="T688" s="53"/>
      <c r="U688" s="53" t="s">
        <v>491</v>
      </c>
      <c r="V688" s="53"/>
    </row>
    <row r="689" spans="1:22" ht="75" x14ac:dyDescent="0.25">
      <c r="A689" s="193">
        <v>43347</v>
      </c>
      <c r="B689" s="53" t="s">
        <v>328</v>
      </c>
      <c r="C689" s="53" t="s">
        <v>603</v>
      </c>
      <c r="D689" s="53" t="s">
        <v>7595</v>
      </c>
      <c r="E689" s="53" t="s">
        <v>588</v>
      </c>
      <c r="F689" s="53" t="s">
        <v>12473</v>
      </c>
      <c r="G689" s="53" t="s">
        <v>7880</v>
      </c>
      <c r="H689" s="53" t="s">
        <v>905</v>
      </c>
      <c r="I689" s="53" t="s">
        <v>9154</v>
      </c>
      <c r="J689" s="53" t="s">
        <v>604</v>
      </c>
      <c r="K689" s="219"/>
      <c r="L689" s="194">
        <v>6</v>
      </c>
      <c r="M689" s="195">
        <v>194000</v>
      </c>
      <c r="N689" s="195">
        <v>204080</v>
      </c>
      <c r="O689" s="189" t="s">
        <v>10766</v>
      </c>
      <c r="P689" s="53" t="s">
        <v>12474</v>
      </c>
      <c r="Q689" s="53" t="s">
        <v>592</v>
      </c>
      <c r="R689" s="53" t="s">
        <v>12475</v>
      </c>
      <c r="T689" s="53"/>
      <c r="U689" s="53" t="s">
        <v>1327</v>
      </c>
      <c r="V689" s="53"/>
    </row>
    <row r="690" spans="1:22" ht="45" x14ac:dyDescent="0.25">
      <c r="A690" s="193">
        <v>43347</v>
      </c>
      <c r="B690" s="53" t="s">
        <v>328</v>
      </c>
      <c r="C690" s="53" t="s">
        <v>603</v>
      </c>
      <c r="D690" s="53" t="s">
        <v>7595</v>
      </c>
      <c r="E690" s="53" t="s">
        <v>588</v>
      </c>
      <c r="F690" s="53" t="s">
        <v>12478</v>
      </c>
      <c r="G690" s="53" t="s">
        <v>10281</v>
      </c>
      <c r="H690" s="53" t="s">
        <v>607</v>
      </c>
      <c r="I690" s="53" t="s">
        <v>4237</v>
      </c>
      <c r="J690" s="53" t="s">
        <v>899</v>
      </c>
      <c r="K690" s="219"/>
      <c r="L690" s="194">
        <v>2</v>
      </c>
      <c r="M690" s="195">
        <v>1850000</v>
      </c>
      <c r="N690" s="195">
        <v>3255000</v>
      </c>
      <c r="O690" s="189" t="s">
        <v>7564</v>
      </c>
      <c r="P690" s="53" t="s">
        <v>12477</v>
      </c>
      <c r="Q690" s="53" t="s">
        <v>1939</v>
      </c>
      <c r="R690" s="53" t="s">
        <v>12476</v>
      </c>
      <c r="T690" s="53"/>
      <c r="U690" s="53" t="s">
        <v>1327</v>
      </c>
      <c r="V690" s="53"/>
    </row>
    <row r="691" spans="1:22" ht="45" x14ac:dyDescent="0.25">
      <c r="A691" s="193">
        <v>43347</v>
      </c>
      <c r="B691" s="53" t="s">
        <v>569</v>
      </c>
      <c r="C691" s="53" t="s">
        <v>899</v>
      </c>
      <c r="D691" s="53" t="s">
        <v>11031</v>
      </c>
      <c r="E691" s="53" t="s">
        <v>588</v>
      </c>
      <c r="F691" s="53" t="s">
        <v>12479</v>
      </c>
      <c r="G691" s="53" t="s">
        <v>12479</v>
      </c>
      <c r="H691" s="53" t="s">
        <v>5321</v>
      </c>
      <c r="I691" s="53" t="s">
        <v>12480</v>
      </c>
      <c r="J691" s="53" t="s">
        <v>899</v>
      </c>
      <c r="K691" s="219"/>
      <c r="L691" s="194">
        <v>1</v>
      </c>
      <c r="M691" s="195">
        <v>496000</v>
      </c>
      <c r="N691" s="195">
        <v>1215200</v>
      </c>
      <c r="O691" s="189" t="s">
        <v>10762</v>
      </c>
      <c r="P691" s="53" t="s">
        <v>12513</v>
      </c>
      <c r="Q691" s="53" t="s">
        <v>592</v>
      </c>
      <c r="R691" s="53" t="s">
        <v>12481</v>
      </c>
      <c r="T691" s="53"/>
      <c r="U691" s="53" t="s">
        <v>1327</v>
      </c>
      <c r="V691" s="53"/>
    </row>
    <row r="692" spans="1:22" ht="30" x14ac:dyDescent="0.25">
      <c r="A692" s="193">
        <v>43347</v>
      </c>
      <c r="B692" s="53" t="s">
        <v>569</v>
      </c>
      <c r="C692" s="53" t="s">
        <v>899</v>
      </c>
      <c r="D692" s="53" t="s">
        <v>3505</v>
      </c>
      <c r="E692" s="53" t="s">
        <v>588</v>
      </c>
      <c r="F692" s="53" t="s">
        <v>12484</v>
      </c>
      <c r="G692" s="53" t="s">
        <v>12483</v>
      </c>
      <c r="H692" s="53" t="s">
        <v>607</v>
      </c>
      <c r="I692" s="53" t="s">
        <v>3388</v>
      </c>
      <c r="J692" s="53" t="s">
        <v>899</v>
      </c>
      <c r="K692" s="219"/>
      <c r="L692" s="194">
        <v>1</v>
      </c>
      <c r="M692" s="195">
        <v>1364000</v>
      </c>
      <c r="N692" s="195">
        <v>2318000</v>
      </c>
      <c r="O692" s="189" t="s">
        <v>560</v>
      </c>
      <c r="P692" s="53" t="s">
        <v>12482</v>
      </c>
      <c r="Q692" s="53" t="s">
        <v>592</v>
      </c>
      <c r="R692" s="53" t="s">
        <v>12514</v>
      </c>
      <c r="T692" s="53"/>
      <c r="U692" s="53" t="s">
        <v>1327</v>
      </c>
      <c r="V692" s="53"/>
    </row>
    <row r="693" spans="1:22" ht="60" x14ac:dyDescent="0.25">
      <c r="A693" s="193">
        <v>43347</v>
      </c>
      <c r="B693" s="53" t="s">
        <v>328</v>
      </c>
      <c r="C693" s="53" t="s">
        <v>603</v>
      </c>
      <c r="D693" s="53" t="s">
        <v>10338</v>
      </c>
      <c r="E693" s="53" t="s">
        <v>588</v>
      </c>
      <c r="F693" s="53" t="s">
        <v>12486</v>
      </c>
      <c r="G693" s="53" t="s">
        <v>7714</v>
      </c>
      <c r="H693" s="53" t="s">
        <v>10831</v>
      </c>
      <c r="I693" s="53" t="s">
        <v>12487</v>
      </c>
      <c r="J693" s="53" t="s">
        <v>3617</v>
      </c>
      <c r="K693" s="219"/>
      <c r="L693" s="194">
        <v>6</v>
      </c>
      <c r="M693" s="195">
        <v>234000</v>
      </c>
      <c r="N693" s="195">
        <v>397800</v>
      </c>
      <c r="O693" s="189" t="s">
        <v>10764</v>
      </c>
      <c r="P693" s="53" t="s">
        <v>12488</v>
      </c>
      <c r="Q693" s="53" t="s">
        <v>1939</v>
      </c>
      <c r="R693" s="53" t="s">
        <v>12525</v>
      </c>
      <c r="T693" s="53"/>
      <c r="U693" s="53" t="s">
        <v>12344</v>
      </c>
      <c r="V693" s="53"/>
    </row>
    <row r="694" spans="1:22" ht="75" x14ac:dyDescent="0.25">
      <c r="A694" s="193">
        <v>43348</v>
      </c>
      <c r="B694" s="53" t="s">
        <v>9240</v>
      </c>
      <c r="C694" s="53" t="s">
        <v>603</v>
      </c>
      <c r="D694" s="53" t="s">
        <v>7814</v>
      </c>
      <c r="E694" s="53" t="s">
        <v>588</v>
      </c>
      <c r="F694" s="53" t="s">
        <v>12515</v>
      </c>
      <c r="G694" s="53" t="s">
        <v>12516</v>
      </c>
      <c r="H694" s="53" t="s">
        <v>607</v>
      </c>
      <c r="I694" s="53" t="s">
        <v>266</v>
      </c>
      <c r="J694" s="53" t="s">
        <v>3888</v>
      </c>
      <c r="K694" s="219"/>
      <c r="L694" s="194">
        <v>6</v>
      </c>
      <c r="M694" s="195">
        <v>220000</v>
      </c>
      <c r="N694" s="195">
        <v>300000</v>
      </c>
      <c r="O694" s="189" t="s">
        <v>10766</v>
      </c>
      <c r="P694" s="53" t="s">
        <v>12517</v>
      </c>
      <c r="Q694" s="53" t="s">
        <v>620</v>
      </c>
      <c r="R694" s="53" t="s">
        <v>12518</v>
      </c>
      <c r="T694" s="53"/>
      <c r="U694" s="53" t="s">
        <v>491</v>
      </c>
      <c r="V694" s="53"/>
    </row>
    <row r="695" spans="1:22" ht="75" x14ac:dyDescent="0.25">
      <c r="A695" s="193">
        <v>43348</v>
      </c>
      <c r="B695" s="53" t="s">
        <v>328</v>
      </c>
      <c r="C695" s="53" t="s">
        <v>603</v>
      </c>
      <c r="D695" s="53" t="s">
        <v>9977</v>
      </c>
      <c r="E695" s="53" t="s">
        <v>588</v>
      </c>
      <c r="F695" s="53" t="s">
        <v>12473</v>
      </c>
      <c r="G695" s="53" t="s">
        <v>7880</v>
      </c>
      <c r="H695" s="53" t="s">
        <v>905</v>
      </c>
      <c r="I695" s="53" t="s">
        <v>9154</v>
      </c>
      <c r="J695" s="53" t="s">
        <v>604</v>
      </c>
      <c r="K695" s="219"/>
      <c r="L695" s="194">
        <v>6</v>
      </c>
      <c r="M695" s="195">
        <v>388000</v>
      </c>
      <c r="N695" s="195">
        <v>412200</v>
      </c>
      <c r="O695" s="189" t="s">
        <v>10766</v>
      </c>
      <c r="P695" s="53" t="s">
        <v>12519</v>
      </c>
      <c r="Q695" s="53" t="s">
        <v>1939</v>
      </c>
      <c r="R695" s="53" t="s">
        <v>12520</v>
      </c>
      <c r="T695" s="53"/>
      <c r="U695" s="53" t="s">
        <v>1327</v>
      </c>
      <c r="V695" s="53"/>
    </row>
    <row r="696" spans="1:22" ht="60" x14ac:dyDescent="0.25">
      <c r="A696" s="193">
        <v>43348</v>
      </c>
      <c r="B696" s="53" t="s">
        <v>328</v>
      </c>
      <c r="C696" s="53" t="s">
        <v>603</v>
      </c>
      <c r="D696" s="53" t="s">
        <v>1401</v>
      </c>
      <c r="E696" s="53" t="s">
        <v>588</v>
      </c>
      <c r="F696" s="53" t="s">
        <v>12521</v>
      </c>
      <c r="G696" s="53" t="s">
        <v>256</v>
      </c>
      <c r="H696" s="53" t="s">
        <v>10832</v>
      </c>
      <c r="I696" s="53" t="s">
        <v>12522</v>
      </c>
      <c r="J696" s="53" t="s">
        <v>4458</v>
      </c>
      <c r="K696" s="219"/>
      <c r="L696" s="194">
        <v>10</v>
      </c>
      <c r="M696" s="195">
        <v>200000</v>
      </c>
      <c r="N696" s="195">
        <v>295000</v>
      </c>
      <c r="O696" s="189" t="s">
        <v>7124</v>
      </c>
      <c r="P696" s="53" t="s">
        <v>12524</v>
      </c>
      <c r="Q696" s="53" t="s">
        <v>620</v>
      </c>
      <c r="R696" s="53" t="s">
        <v>12523</v>
      </c>
      <c r="T696" s="53"/>
      <c r="U696" s="53" t="s">
        <v>12344</v>
      </c>
      <c r="V696" s="53"/>
    </row>
    <row r="697" spans="1:22" ht="60" x14ac:dyDescent="0.25">
      <c r="A697" s="193">
        <v>43348</v>
      </c>
      <c r="B697" s="53" t="s">
        <v>328</v>
      </c>
      <c r="C697" s="53" t="s">
        <v>603</v>
      </c>
      <c r="D697" s="53" t="s">
        <v>7595</v>
      </c>
      <c r="E697" s="53" t="s">
        <v>588</v>
      </c>
      <c r="F697" s="53" t="s">
        <v>12526</v>
      </c>
      <c r="G697" s="53" t="s">
        <v>12527</v>
      </c>
      <c r="H697" s="53" t="s">
        <v>607</v>
      </c>
      <c r="I697" s="53" t="s">
        <v>12529</v>
      </c>
      <c r="J697" s="53" t="s">
        <v>4785</v>
      </c>
      <c r="K697" s="219"/>
      <c r="L697" s="194">
        <v>10</v>
      </c>
      <c r="M697" s="195">
        <v>350000</v>
      </c>
      <c r="N697" s="195">
        <v>665000</v>
      </c>
      <c r="O697" s="189" t="s">
        <v>7124</v>
      </c>
      <c r="P697" s="53" t="s">
        <v>12528</v>
      </c>
      <c r="Q697" s="47" t="s">
        <v>1939</v>
      </c>
      <c r="R697" s="47" t="s">
        <v>12542</v>
      </c>
      <c r="T697" s="53"/>
      <c r="U697" s="53" t="s">
        <v>12344</v>
      </c>
      <c r="V697" s="53"/>
    </row>
    <row r="698" spans="1:22" ht="45" x14ac:dyDescent="0.25">
      <c r="A698" s="193">
        <v>43348</v>
      </c>
      <c r="B698" s="53" t="s">
        <v>569</v>
      </c>
      <c r="C698" s="53" t="s">
        <v>899</v>
      </c>
      <c r="D698" s="53" t="s">
        <v>9981</v>
      </c>
      <c r="E698" s="53" t="s">
        <v>588</v>
      </c>
      <c r="F698" s="53" t="s">
        <v>12530</v>
      </c>
      <c r="G698" s="53" t="s">
        <v>2282</v>
      </c>
      <c r="H698" s="53" t="s">
        <v>607</v>
      </c>
      <c r="I698" s="53" t="s">
        <v>3649</v>
      </c>
      <c r="J698" s="53" t="s">
        <v>899</v>
      </c>
      <c r="K698" s="219"/>
      <c r="L698" s="194">
        <v>1</v>
      </c>
      <c r="M698" s="195">
        <v>700000</v>
      </c>
      <c r="N698" s="195">
        <v>1020000</v>
      </c>
      <c r="O698" s="189" t="s">
        <v>560</v>
      </c>
      <c r="P698" s="53" t="s">
        <v>12531</v>
      </c>
      <c r="Q698" s="53" t="s">
        <v>1939</v>
      </c>
      <c r="R698" s="53" t="s">
        <v>12532</v>
      </c>
      <c r="T698" s="53"/>
      <c r="U698" s="53" t="s">
        <v>491</v>
      </c>
      <c r="V698" s="53"/>
    </row>
    <row r="699" spans="1:22" ht="60" x14ac:dyDescent="0.25">
      <c r="A699" s="193">
        <v>43348</v>
      </c>
      <c r="B699" s="53" t="s">
        <v>569</v>
      </c>
      <c r="C699" s="53" t="s">
        <v>899</v>
      </c>
      <c r="D699" s="53" t="s">
        <v>624</v>
      </c>
      <c r="E699" s="53" t="s">
        <v>588</v>
      </c>
      <c r="F699" s="53" t="s">
        <v>8354</v>
      </c>
      <c r="G699" s="53" t="s">
        <v>12533</v>
      </c>
      <c r="H699" s="53" t="s">
        <v>607</v>
      </c>
      <c r="I699" s="53" t="s">
        <v>11963</v>
      </c>
      <c r="J699" s="53" t="s">
        <v>899</v>
      </c>
      <c r="K699" s="219"/>
      <c r="L699" s="194">
        <v>2</v>
      </c>
      <c r="M699" s="195">
        <v>3000000</v>
      </c>
      <c r="N699" s="195">
        <v>3382200</v>
      </c>
      <c r="O699" s="189" t="s">
        <v>560</v>
      </c>
      <c r="P699" s="53" t="s">
        <v>12534</v>
      </c>
      <c r="Q699" s="53" t="s">
        <v>1939</v>
      </c>
      <c r="R699" s="53" t="s">
        <v>12535</v>
      </c>
      <c r="T699" s="53"/>
      <c r="U699" s="53" t="s">
        <v>491</v>
      </c>
      <c r="V699" s="53"/>
    </row>
    <row r="700" spans="1:22" ht="30" x14ac:dyDescent="0.25">
      <c r="A700" s="193">
        <v>43349</v>
      </c>
      <c r="B700" s="53" t="s">
        <v>569</v>
      </c>
      <c r="C700" s="53" t="s">
        <v>899</v>
      </c>
      <c r="D700" s="53" t="s">
        <v>11031</v>
      </c>
      <c r="E700" s="53" t="s">
        <v>588</v>
      </c>
      <c r="F700" s="53" t="s">
        <v>12538</v>
      </c>
      <c r="G700" s="53" t="s">
        <v>12537</v>
      </c>
      <c r="H700" s="53" t="s">
        <v>607</v>
      </c>
      <c r="I700" s="53" t="s">
        <v>8144</v>
      </c>
      <c r="J700" s="53" t="s">
        <v>899</v>
      </c>
      <c r="K700" s="219"/>
      <c r="L700" s="194">
        <v>2</v>
      </c>
      <c r="M700" s="195">
        <v>2198500</v>
      </c>
      <c r="N700" s="127">
        <v>4138500</v>
      </c>
      <c r="O700" s="189" t="s">
        <v>560</v>
      </c>
      <c r="P700" s="53" t="s">
        <v>12536</v>
      </c>
      <c r="Q700" s="53" t="s">
        <v>29</v>
      </c>
      <c r="R700" s="53" t="s">
        <v>12154</v>
      </c>
      <c r="T700" s="53"/>
      <c r="U700" s="53" t="s">
        <v>1327</v>
      </c>
      <c r="V700" s="53"/>
    </row>
    <row r="701" spans="1:22" ht="75" x14ac:dyDescent="0.25">
      <c r="A701" s="193">
        <v>43349</v>
      </c>
      <c r="B701" s="53" t="s">
        <v>569</v>
      </c>
      <c r="C701" s="53" t="s">
        <v>899</v>
      </c>
      <c r="D701" s="53" t="s">
        <v>3505</v>
      </c>
      <c r="E701" s="53" t="s">
        <v>588</v>
      </c>
      <c r="F701" s="53" t="s">
        <v>12539</v>
      </c>
      <c r="G701" s="53"/>
      <c r="H701" s="53" t="s">
        <v>607</v>
      </c>
      <c r="I701" s="53" t="s">
        <v>3649</v>
      </c>
      <c r="J701" s="53" t="s">
        <v>899</v>
      </c>
      <c r="K701" s="219"/>
      <c r="L701" s="194">
        <v>2</v>
      </c>
      <c r="M701" s="195">
        <v>3159469</v>
      </c>
      <c r="N701" s="195">
        <v>4157415</v>
      </c>
      <c r="O701" s="189" t="s">
        <v>560</v>
      </c>
      <c r="P701" s="53" t="s">
        <v>12541</v>
      </c>
      <c r="Q701" s="53" t="s">
        <v>620</v>
      </c>
      <c r="R701" s="53" t="s">
        <v>12540</v>
      </c>
      <c r="T701" s="53"/>
      <c r="U701" s="53" t="s">
        <v>12344</v>
      </c>
      <c r="V701" s="53"/>
    </row>
    <row r="702" spans="1:22" ht="30" x14ac:dyDescent="0.25">
      <c r="A702" s="193">
        <v>43350</v>
      </c>
      <c r="B702" s="53" t="s">
        <v>9240</v>
      </c>
      <c r="C702" s="53" t="s">
        <v>603</v>
      </c>
      <c r="D702" s="53" t="s">
        <v>12543</v>
      </c>
      <c r="E702" s="53" t="s">
        <v>588</v>
      </c>
      <c r="F702" s="53" t="s">
        <v>12544</v>
      </c>
      <c r="G702" s="53" t="s">
        <v>12545</v>
      </c>
      <c r="H702" s="53" t="s">
        <v>607</v>
      </c>
      <c r="I702" s="53" t="s">
        <v>12546</v>
      </c>
      <c r="J702" s="53" t="s">
        <v>4031</v>
      </c>
      <c r="K702" s="219"/>
      <c r="L702" s="194"/>
      <c r="M702" s="195">
        <v>350000</v>
      </c>
      <c r="N702" s="195">
        <v>630000</v>
      </c>
      <c r="O702" s="189" t="s">
        <v>10766</v>
      </c>
      <c r="P702" s="53" t="s">
        <v>12547</v>
      </c>
      <c r="Q702" s="53" t="s">
        <v>29</v>
      </c>
      <c r="R702" s="53" t="s">
        <v>12548</v>
      </c>
      <c r="T702" s="53"/>
      <c r="U702" s="53" t="s">
        <v>12344</v>
      </c>
      <c r="V702" s="53"/>
    </row>
    <row r="703" spans="1:22" ht="60" x14ac:dyDescent="0.25">
      <c r="A703" s="193">
        <v>43351</v>
      </c>
      <c r="B703" s="53" t="s">
        <v>328</v>
      </c>
      <c r="C703" s="53" t="s">
        <v>603</v>
      </c>
      <c r="D703" s="53" t="s">
        <v>649</v>
      </c>
      <c r="E703" s="53" t="s">
        <v>588</v>
      </c>
      <c r="F703" s="53" t="s">
        <v>12549</v>
      </c>
      <c r="G703" s="53" t="s">
        <v>12550</v>
      </c>
      <c r="H703" s="53" t="s">
        <v>607</v>
      </c>
      <c r="I703" s="53" t="s">
        <v>12551</v>
      </c>
      <c r="J703" s="53" t="s">
        <v>899</v>
      </c>
      <c r="K703" s="219"/>
      <c r="L703" s="194">
        <v>4</v>
      </c>
      <c r="M703" s="195">
        <v>305400</v>
      </c>
      <c r="N703" s="195">
        <v>549740</v>
      </c>
      <c r="O703" s="189" t="s">
        <v>10766</v>
      </c>
      <c r="P703" s="53" t="s">
        <v>12552</v>
      </c>
      <c r="Q703" s="53" t="s">
        <v>1939</v>
      </c>
      <c r="R703" s="53" t="s">
        <v>12553</v>
      </c>
      <c r="T703" s="53"/>
      <c r="U703" s="53" t="s">
        <v>12344</v>
      </c>
      <c r="V703" s="53"/>
    </row>
    <row r="704" spans="1:22" ht="45" x14ac:dyDescent="0.25">
      <c r="A704" s="193">
        <v>43353</v>
      </c>
      <c r="B704" s="53" t="s">
        <v>328</v>
      </c>
      <c r="C704" s="53" t="s">
        <v>603</v>
      </c>
      <c r="D704" s="53" t="s">
        <v>8941</v>
      </c>
      <c r="E704" s="53" t="s">
        <v>588</v>
      </c>
      <c r="F704" s="53" t="s">
        <v>12554</v>
      </c>
      <c r="G704" s="53" t="s">
        <v>12555</v>
      </c>
      <c r="H704" s="53" t="s">
        <v>905</v>
      </c>
      <c r="I704" s="53" t="s">
        <v>11775</v>
      </c>
      <c r="J704" s="53" t="s">
        <v>11776</v>
      </c>
      <c r="K704" s="219"/>
      <c r="L704" s="194">
        <v>2</v>
      </c>
      <c r="M704" s="195">
        <v>777500</v>
      </c>
      <c r="N704" s="195">
        <v>1052000</v>
      </c>
      <c r="O704" s="189" t="s">
        <v>10763</v>
      </c>
      <c r="P704" s="53" t="s">
        <v>12556</v>
      </c>
      <c r="Q704" s="53" t="s">
        <v>1939</v>
      </c>
      <c r="R704" s="53" t="s">
        <v>12557</v>
      </c>
      <c r="T704" s="53"/>
      <c r="U704" s="53" t="s">
        <v>12344</v>
      </c>
      <c r="V704" s="53"/>
    </row>
    <row r="705" spans="1:22" ht="75" x14ac:dyDescent="0.25">
      <c r="A705" s="193">
        <v>43353</v>
      </c>
      <c r="B705" s="53" t="s">
        <v>5176</v>
      </c>
      <c r="C705" s="53" t="s">
        <v>604</v>
      </c>
      <c r="D705" s="53" t="s">
        <v>6995</v>
      </c>
      <c r="E705" s="53" t="s">
        <v>588</v>
      </c>
      <c r="F705" s="53" t="s">
        <v>12558</v>
      </c>
      <c r="G705" s="53" t="s">
        <v>7714</v>
      </c>
      <c r="H705" s="53" t="s">
        <v>886</v>
      </c>
      <c r="I705" s="53" t="s">
        <v>12561</v>
      </c>
      <c r="J705" s="53" t="s">
        <v>959</v>
      </c>
      <c r="K705" s="219"/>
      <c r="L705" s="194">
        <v>5</v>
      </c>
      <c r="M705" s="195">
        <v>469000</v>
      </c>
      <c r="N705" s="195">
        <v>599000</v>
      </c>
      <c r="O705" s="189" t="s">
        <v>10763</v>
      </c>
      <c r="P705" s="53" t="s">
        <v>12560</v>
      </c>
      <c r="Q705" s="53" t="s">
        <v>29</v>
      </c>
      <c r="R705" s="53" t="s">
        <v>12559</v>
      </c>
      <c r="T705" s="53"/>
      <c r="U705" s="53" t="s">
        <v>12344</v>
      </c>
      <c r="V705" s="53"/>
    </row>
    <row r="706" spans="1:22" ht="45" x14ac:dyDescent="0.25">
      <c r="A706" s="193">
        <v>43353</v>
      </c>
      <c r="B706" s="53" t="s">
        <v>328</v>
      </c>
      <c r="C706" s="53" t="s">
        <v>603</v>
      </c>
      <c r="D706" s="53" t="s">
        <v>672</v>
      </c>
      <c r="E706" s="53" t="s">
        <v>588</v>
      </c>
      <c r="F706" s="53" t="s">
        <v>12565</v>
      </c>
      <c r="G706" s="53" t="s">
        <v>8198</v>
      </c>
      <c r="H706" s="53" t="s">
        <v>607</v>
      </c>
      <c r="I706" s="53" t="s">
        <v>12566</v>
      </c>
      <c r="J706" s="53" t="s">
        <v>3751</v>
      </c>
      <c r="K706" s="219"/>
      <c r="L706" s="194"/>
      <c r="M706" s="195">
        <v>305400</v>
      </c>
      <c r="N706" s="195"/>
      <c r="O706" s="189" t="s">
        <v>10766</v>
      </c>
      <c r="P706" s="53" t="s">
        <v>12568</v>
      </c>
      <c r="Q706" s="53" t="s">
        <v>1939</v>
      </c>
      <c r="R706" s="53" t="s">
        <v>12567</v>
      </c>
      <c r="T706" s="53"/>
      <c r="U706" s="53" t="s">
        <v>12344</v>
      </c>
      <c r="V706" s="53"/>
    </row>
    <row r="707" spans="1:22" ht="60" x14ac:dyDescent="0.25">
      <c r="A707" s="193">
        <v>43354</v>
      </c>
      <c r="B707" s="53" t="s">
        <v>328</v>
      </c>
      <c r="C707" s="53" t="s">
        <v>603</v>
      </c>
      <c r="D707" s="53" t="s">
        <v>672</v>
      </c>
      <c r="E707" s="53" t="s">
        <v>588</v>
      </c>
      <c r="F707" s="53" t="s">
        <v>12562</v>
      </c>
      <c r="G707" s="53" t="s">
        <v>1401</v>
      </c>
      <c r="H707" s="53" t="s">
        <v>607</v>
      </c>
      <c r="I707" s="53" t="s">
        <v>7022</v>
      </c>
      <c r="J707" s="53" t="s">
        <v>644</v>
      </c>
      <c r="K707" s="219"/>
      <c r="L707" s="194">
        <v>3</v>
      </c>
      <c r="M707" s="195">
        <v>812000</v>
      </c>
      <c r="N707" s="195">
        <v>1461600</v>
      </c>
      <c r="O707" s="189" t="s">
        <v>10766</v>
      </c>
      <c r="P707" s="53" t="s">
        <v>12563</v>
      </c>
      <c r="Q707" s="53" t="s">
        <v>1939</v>
      </c>
      <c r="R707" s="53" t="s">
        <v>12564</v>
      </c>
      <c r="T707" s="53"/>
      <c r="U707" s="53" t="s">
        <v>491</v>
      </c>
      <c r="V707" s="53"/>
    </row>
    <row r="708" spans="1:22" ht="75" x14ac:dyDescent="0.25">
      <c r="A708" s="193">
        <v>43354</v>
      </c>
      <c r="B708" s="53" t="s">
        <v>328</v>
      </c>
      <c r="C708" s="53" t="s">
        <v>603</v>
      </c>
      <c r="D708" s="53" t="s">
        <v>7595</v>
      </c>
      <c r="E708" s="53" t="s">
        <v>588</v>
      </c>
      <c r="F708" s="53" t="s">
        <v>12569</v>
      </c>
      <c r="G708" s="53" t="s">
        <v>12570</v>
      </c>
      <c r="H708" s="53" t="s">
        <v>607</v>
      </c>
      <c r="I708" s="53" t="s">
        <v>12571</v>
      </c>
      <c r="J708" s="53" t="s">
        <v>899</v>
      </c>
      <c r="K708" s="219"/>
      <c r="L708" s="194">
        <v>9</v>
      </c>
      <c r="M708" s="195">
        <v>265000</v>
      </c>
      <c r="N708" s="195">
        <v>450500</v>
      </c>
      <c r="O708" s="189" t="s">
        <v>10762</v>
      </c>
      <c r="P708" s="53" t="s">
        <v>12812</v>
      </c>
      <c r="Q708" s="53" t="s">
        <v>1939</v>
      </c>
      <c r="R708" s="53" t="s">
        <v>12572</v>
      </c>
      <c r="T708" s="53"/>
      <c r="U708" s="53" t="s">
        <v>491</v>
      </c>
      <c r="V708" s="53"/>
    </row>
    <row r="709" spans="1:22" ht="60" x14ac:dyDescent="0.25">
      <c r="A709" s="193">
        <v>43320</v>
      </c>
      <c r="B709" s="53" t="s">
        <v>328</v>
      </c>
      <c r="C709" s="53" t="s">
        <v>603</v>
      </c>
      <c r="D709" s="53" t="s">
        <v>757</v>
      </c>
      <c r="E709" s="53" t="s">
        <v>588</v>
      </c>
      <c r="F709" s="53" t="s">
        <v>11560</v>
      </c>
      <c r="G709" s="53" t="s">
        <v>7814</v>
      </c>
      <c r="H709" s="53" t="s">
        <v>905</v>
      </c>
      <c r="I709" s="53" t="s">
        <v>12060</v>
      </c>
      <c r="J709" s="53" t="s">
        <v>899</v>
      </c>
      <c r="K709" s="219"/>
      <c r="L709" s="194">
        <v>1</v>
      </c>
      <c r="M709" s="195">
        <v>264000</v>
      </c>
      <c r="N709" s="195">
        <v>321000</v>
      </c>
      <c r="O709" s="189" t="s">
        <v>10766</v>
      </c>
      <c r="P709" s="53" t="s">
        <v>12061</v>
      </c>
      <c r="Q709" s="53" t="s">
        <v>1939</v>
      </c>
      <c r="R709" s="53" t="s">
        <v>12573</v>
      </c>
      <c r="S709" s="53" t="s">
        <v>12574</v>
      </c>
      <c r="T709" s="53"/>
      <c r="U709" s="53" t="s">
        <v>491</v>
      </c>
      <c r="V709" s="53"/>
    </row>
    <row r="710" spans="1:22" ht="30" x14ac:dyDescent="0.25">
      <c r="A710" s="193">
        <v>43355</v>
      </c>
      <c r="B710" s="53" t="s">
        <v>569</v>
      </c>
      <c r="C710" s="53" t="s">
        <v>899</v>
      </c>
      <c r="D710" s="53" t="s">
        <v>11286</v>
      </c>
      <c r="E710" s="53" t="s">
        <v>588</v>
      </c>
      <c r="F710" s="53" t="s">
        <v>12575</v>
      </c>
      <c r="G710" s="53" t="s">
        <v>12405</v>
      </c>
      <c r="H710" s="53" t="s">
        <v>607</v>
      </c>
      <c r="I710" s="53" t="s">
        <v>3649</v>
      </c>
      <c r="J710" s="53" t="s">
        <v>899</v>
      </c>
      <c r="K710" s="219"/>
      <c r="L710" s="194">
        <v>5</v>
      </c>
      <c r="M710" s="195">
        <v>2000000</v>
      </c>
      <c r="N710" s="195">
        <v>3400000</v>
      </c>
      <c r="O710" s="189" t="s">
        <v>10763</v>
      </c>
      <c r="P710" s="53" t="s">
        <v>12576</v>
      </c>
      <c r="Q710" s="53" t="s">
        <v>592</v>
      </c>
      <c r="R710" s="53" t="s">
        <v>12577</v>
      </c>
      <c r="T710" s="53"/>
      <c r="U710" s="53" t="s">
        <v>12344</v>
      </c>
      <c r="V710" s="53"/>
    </row>
    <row r="711" spans="1:22" ht="105" x14ac:dyDescent="0.25">
      <c r="A711" s="193">
        <v>43355</v>
      </c>
      <c r="B711" s="53" t="s">
        <v>569</v>
      </c>
      <c r="C711" s="53" t="s">
        <v>899</v>
      </c>
      <c r="D711" s="53" t="s">
        <v>11286</v>
      </c>
      <c r="E711" s="53" t="s">
        <v>588</v>
      </c>
      <c r="F711" s="53" t="s">
        <v>12578</v>
      </c>
      <c r="G711" s="53" t="s">
        <v>12579</v>
      </c>
      <c r="H711" s="53" t="s">
        <v>607</v>
      </c>
      <c r="I711" s="53" t="s">
        <v>3947</v>
      </c>
      <c r="J711" s="53" t="s">
        <v>899</v>
      </c>
      <c r="K711" s="219"/>
      <c r="L711" s="194">
        <v>5</v>
      </c>
      <c r="M711" s="195">
        <v>600000</v>
      </c>
      <c r="N711" s="195">
        <v>1121000</v>
      </c>
      <c r="O711" s="189" t="s">
        <v>4533</v>
      </c>
      <c r="P711" s="53" t="s">
        <v>12580</v>
      </c>
      <c r="Q711" s="53" t="s">
        <v>29</v>
      </c>
      <c r="R711" s="53" t="s">
        <v>13387</v>
      </c>
      <c r="T711" s="53"/>
      <c r="U711" s="53" t="s">
        <v>12344</v>
      </c>
      <c r="V711" s="53"/>
    </row>
    <row r="712" spans="1:22" ht="90" x14ac:dyDescent="0.25">
      <c r="A712" s="193">
        <v>43355</v>
      </c>
      <c r="B712" s="53" t="s">
        <v>569</v>
      </c>
      <c r="C712" s="53" t="s">
        <v>899</v>
      </c>
      <c r="D712" s="53" t="s">
        <v>624</v>
      </c>
      <c r="E712" s="53" t="s">
        <v>588</v>
      </c>
      <c r="F712" s="53" t="s">
        <v>12582</v>
      </c>
      <c r="G712" s="53" t="s">
        <v>12581</v>
      </c>
      <c r="H712" s="53" t="s">
        <v>607</v>
      </c>
      <c r="I712" s="53" t="s">
        <v>12584</v>
      </c>
      <c r="J712" s="53" t="s">
        <v>899</v>
      </c>
      <c r="K712" s="219"/>
      <c r="L712" s="194">
        <v>2</v>
      </c>
      <c r="M712" s="195">
        <v>160000</v>
      </c>
      <c r="N712" s="195">
        <v>225000</v>
      </c>
      <c r="O712" s="189" t="s">
        <v>10763</v>
      </c>
      <c r="P712" s="53" t="s">
        <v>12583</v>
      </c>
      <c r="Q712" s="53" t="s">
        <v>1939</v>
      </c>
      <c r="R712" s="53" t="s">
        <v>12588</v>
      </c>
      <c r="T712" s="53"/>
      <c r="U712" s="53" t="s">
        <v>12344</v>
      </c>
      <c r="V712" s="53"/>
    </row>
    <row r="713" spans="1:22" ht="120" x14ac:dyDescent="0.25">
      <c r="A713" s="193">
        <v>43355</v>
      </c>
      <c r="B713" s="53" t="s">
        <v>569</v>
      </c>
      <c r="C713" s="53" t="s">
        <v>899</v>
      </c>
      <c r="D713" s="53" t="s">
        <v>611</v>
      </c>
      <c r="E713" s="53" t="s">
        <v>588</v>
      </c>
      <c r="F713" s="53" t="s">
        <v>12585</v>
      </c>
      <c r="G713" s="53" t="s">
        <v>7855</v>
      </c>
      <c r="H713" s="53"/>
      <c r="I713" s="53"/>
      <c r="J713" s="53"/>
      <c r="K713" s="219"/>
      <c r="L713" s="194"/>
      <c r="M713" s="195"/>
      <c r="N713" s="195"/>
      <c r="O713" s="189" t="s">
        <v>10763</v>
      </c>
      <c r="P713" s="53" t="s">
        <v>12586</v>
      </c>
      <c r="Q713" s="53" t="s">
        <v>592</v>
      </c>
      <c r="R713" s="53" t="s">
        <v>12587</v>
      </c>
      <c r="T713" s="53"/>
      <c r="U713" s="53" t="s">
        <v>12344</v>
      </c>
      <c r="V713" s="53"/>
    </row>
    <row r="714" spans="1:22" ht="105" x14ac:dyDescent="0.25">
      <c r="A714" s="193">
        <v>43355</v>
      </c>
      <c r="B714" s="53" t="s">
        <v>328</v>
      </c>
      <c r="C714" s="53" t="s">
        <v>603</v>
      </c>
      <c r="D714" s="53" t="s">
        <v>1401</v>
      </c>
      <c r="E714" s="53" t="s">
        <v>588</v>
      </c>
      <c r="F714" s="53" t="s">
        <v>12631</v>
      </c>
      <c r="G714" s="53" t="s">
        <v>10007</v>
      </c>
      <c r="H714" s="53" t="s">
        <v>607</v>
      </c>
      <c r="I714" s="53" t="s">
        <v>6230</v>
      </c>
      <c r="J714" s="53" t="s">
        <v>899</v>
      </c>
      <c r="K714" s="219"/>
      <c r="L714" s="194">
        <v>4</v>
      </c>
      <c r="M714" s="195">
        <v>294000</v>
      </c>
      <c r="N714" s="195">
        <f>+M714+29400+29400+205800</f>
        <v>558600</v>
      </c>
      <c r="O714" s="189" t="s">
        <v>560</v>
      </c>
      <c r="P714" s="53" t="s">
        <v>12632</v>
      </c>
      <c r="Q714" s="53" t="s">
        <v>1939</v>
      </c>
      <c r="R714" s="53" t="s">
        <v>12633</v>
      </c>
      <c r="T714" s="53"/>
      <c r="U714" s="53" t="s">
        <v>12344</v>
      </c>
      <c r="V714" s="53"/>
    </row>
    <row r="715" spans="1:22" ht="105" x14ac:dyDescent="0.25">
      <c r="A715" s="193">
        <v>43356</v>
      </c>
      <c r="B715" s="53" t="s">
        <v>5956</v>
      </c>
      <c r="C715" s="53" t="s">
        <v>3369</v>
      </c>
      <c r="D715" s="53" t="s">
        <v>9234</v>
      </c>
      <c r="E715" s="53" t="s">
        <v>588</v>
      </c>
      <c r="F715" s="53" t="s">
        <v>12589</v>
      </c>
      <c r="G715" s="53" t="s">
        <v>12590</v>
      </c>
      <c r="H715" s="53" t="s">
        <v>905</v>
      </c>
      <c r="I715" s="53" t="s">
        <v>9632</v>
      </c>
      <c r="J715" s="53" t="s">
        <v>959</v>
      </c>
      <c r="K715" s="219"/>
      <c r="L715" s="194">
        <v>5</v>
      </c>
      <c r="M715" s="195">
        <v>768000</v>
      </c>
      <c r="N715" s="195">
        <v>1020400</v>
      </c>
      <c r="O715" s="189" t="s">
        <v>10766</v>
      </c>
      <c r="P715" s="53" t="s">
        <v>13388</v>
      </c>
      <c r="Q715" s="53" t="s">
        <v>29</v>
      </c>
      <c r="R715" s="53" t="s">
        <v>12591</v>
      </c>
      <c r="T715" s="53"/>
      <c r="U715" s="53" t="s">
        <v>12344</v>
      </c>
      <c r="V715" s="53"/>
    </row>
    <row r="716" spans="1:22" ht="75" x14ac:dyDescent="0.25">
      <c r="A716" s="193">
        <v>43356</v>
      </c>
      <c r="B716" s="53" t="s">
        <v>328</v>
      </c>
      <c r="C716" s="53" t="s">
        <v>603</v>
      </c>
      <c r="D716" s="53" t="s">
        <v>5701</v>
      </c>
      <c r="E716" s="53" t="s">
        <v>588</v>
      </c>
      <c r="F716" s="53" t="s">
        <v>12592</v>
      </c>
      <c r="G716" s="53" t="s">
        <v>12593</v>
      </c>
      <c r="H716" s="53" t="s">
        <v>607</v>
      </c>
      <c r="I716" s="53" t="s">
        <v>12594</v>
      </c>
      <c r="J716" s="53" t="s">
        <v>4031</v>
      </c>
      <c r="K716" s="219"/>
      <c r="L716" s="194"/>
      <c r="M716" s="195">
        <v>141478410</v>
      </c>
      <c r="N716" s="195">
        <v>1774092</v>
      </c>
      <c r="O716" s="189" t="s">
        <v>10766</v>
      </c>
      <c r="P716" s="53" t="s">
        <v>12595</v>
      </c>
      <c r="Q716" s="53" t="s">
        <v>1939</v>
      </c>
      <c r="R716" s="53" t="s">
        <v>12596</v>
      </c>
      <c r="T716" s="53"/>
      <c r="U716" s="53" t="s">
        <v>12344</v>
      </c>
      <c r="V716" s="53"/>
    </row>
    <row r="717" spans="1:22" ht="30" x14ac:dyDescent="0.25">
      <c r="A717" s="193">
        <v>43356</v>
      </c>
      <c r="B717" s="53" t="s">
        <v>569</v>
      </c>
      <c r="C717" s="53" t="s">
        <v>899</v>
      </c>
      <c r="D717" s="53" t="s">
        <v>611</v>
      </c>
      <c r="E717" s="53" t="s">
        <v>588</v>
      </c>
      <c r="F717" s="53" t="s">
        <v>12597</v>
      </c>
      <c r="G717" s="53" t="s">
        <v>8853</v>
      </c>
      <c r="H717" s="53" t="s">
        <v>607</v>
      </c>
      <c r="I717" s="53"/>
      <c r="J717" s="53"/>
      <c r="K717" s="219"/>
      <c r="L717" s="194"/>
      <c r="M717" s="195"/>
      <c r="N717" s="195"/>
      <c r="O717" s="189" t="s">
        <v>10765</v>
      </c>
      <c r="P717" s="53" t="s">
        <v>12598</v>
      </c>
      <c r="Q717" s="53" t="s">
        <v>592</v>
      </c>
      <c r="R717" s="53" t="s">
        <v>12599</v>
      </c>
      <c r="T717" s="53"/>
      <c r="U717" s="53" t="s">
        <v>12344</v>
      </c>
      <c r="V717" s="53"/>
    </row>
    <row r="718" spans="1:22" ht="75" x14ac:dyDescent="0.25">
      <c r="A718" s="193">
        <v>43356</v>
      </c>
      <c r="B718" s="53" t="s">
        <v>328</v>
      </c>
      <c r="C718" s="53" t="s">
        <v>603</v>
      </c>
      <c r="D718" s="53" t="s">
        <v>8941</v>
      </c>
      <c r="E718" s="53" t="s">
        <v>588</v>
      </c>
      <c r="F718" s="53" t="s">
        <v>12600</v>
      </c>
      <c r="G718" s="53" t="s">
        <v>11799</v>
      </c>
      <c r="H718" s="53" t="s">
        <v>905</v>
      </c>
      <c r="I718" s="53" t="s">
        <v>12601</v>
      </c>
      <c r="J718" s="53" t="s">
        <v>3398</v>
      </c>
      <c r="K718" s="219"/>
      <c r="L718" s="194">
        <v>5</v>
      </c>
      <c r="M718" s="195">
        <v>860000</v>
      </c>
      <c r="N718" s="195">
        <v>1381000</v>
      </c>
      <c r="O718" s="189" t="s">
        <v>10762</v>
      </c>
      <c r="P718" s="53" t="s">
        <v>12602</v>
      </c>
      <c r="Q718" s="53" t="s">
        <v>1939</v>
      </c>
      <c r="R718" s="53" t="s">
        <v>12603</v>
      </c>
      <c r="T718" s="53" t="s">
        <v>491</v>
      </c>
      <c r="U718" s="53" t="s">
        <v>491</v>
      </c>
      <c r="V718" s="53"/>
    </row>
    <row r="719" spans="1:22" ht="60" x14ac:dyDescent="0.25">
      <c r="A719" s="193">
        <v>43357</v>
      </c>
      <c r="B719" s="53" t="s">
        <v>9240</v>
      </c>
      <c r="C719" s="53" t="s">
        <v>603</v>
      </c>
      <c r="D719" s="53" t="s">
        <v>9849</v>
      </c>
      <c r="E719" s="53" t="s">
        <v>588</v>
      </c>
      <c r="F719" s="53" t="s">
        <v>12604</v>
      </c>
      <c r="G719" s="53"/>
      <c r="H719" s="53" t="s">
        <v>809</v>
      </c>
      <c r="I719" s="53" t="s">
        <v>6464</v>
      </c>
      <c r="J719" s="53" t="s">
        <v>4031</v>
      </c>
      <c r="K719" s="219"/>
      <c r="L719" s="194"/>
      <c r="M719" s="195">
        <v>233700</v>
      </c>
      <c r="N719" s="195">
        <v>520000</v>
      </c>
      <c r="O719" s="189" t="s">
        <v>10766</v>
      </c>
      <c r="P719" s="53" t="s">
        <v>12605</v>
      </c>
      <c r="Q719" s="53" t="s">
        <v>29</v>
      </c>
      <c r="R719" s="53" t="s">
        <v>12606</v>
      </c>
      <c r="T719" s="53"/>
      <c r="U719" s="53" t="s">
        <v>491</v>
      </c>
      <c r="V719" s="53"/>
    </row>
    <row r="720" spans="1:22" ht="30" x14ac:dyDescent="0.25">
      <c r="A720" s="193">
        <v>43357</v>
      </c>
      <c r="B720" s="53" t="s">
        <v>569</v>
      </c>
      <c r="C720" s="53" t="s">
        <v>899</v>
      </c>
      <c r="D720" s="53" t="s">
        <v>3505</v>
      </c>
      <c r="E720" s="53" t="s">
        <v>588</v>
      </c>
      <c r="F720" s="53" t="s">
        <v>7831</v>
      </c>
      <c r="G720" s="53" t="s">
        <v>10268</v>
      </c>
      <c r="H720" s="53" t="s">
        <v>607</v>
      </c>
      <c r="I720" s="53" t="s">
        <v>2054</v>
      </c>
      <c r="J720" s="53" t="s">
        <v>899</v>
      </c>
      <c r="K720" s="219"/>
      <c r="L720" s="194">
        <v>1</v>
      </c>
      <c r="M720" s="195">
        <v>1000000</v>
      </c>
      <c r="N720" s="195">
        <v>1650000</v>
      </c>
      <c r="O720" s="189" t="s">
        <v>10763</v>
      </c>
      <c r="P720" s="53" t="s">
        <v>13389</v>
      </c>
      <c r="Q720" s="53" t="s">
        <v>592</v>
      </c>
      <c r="R720" s="53" t="s">
        <v>12607</v>
      </c>
      <c r="T720" s="53"/>
      <c r="U720" s="53" t="s">
        <v>12344</v>
      </c>
      <c r="V720" s="53"/>
    </row>
    <row r="721" spans="1:23" ht="45" x14ac:dyDescent="0.25">
      <c r="A721" s="193">
        <v>43357</v>
      </c>
      <c r="B721" s="53" t="s">
        <v>6076</v>
      </c>
      <c r="C721" s="53" t="s">
        <v>12608</v>
      </c>
      <c r="D721" s="53" t="s">
        <v>10524</v>
      </c>
      <c r="E721" s="53" t="s">
        <v>588</v>
      </c>
      <c r="F721" s="53" t="s">
        <v>12609</v>
      </c>
      <c r="G721" s="53" t="s">
        <v>7714</v>
      </c>
      <c r="H721" s="53" t="s">
        <v>607</v>
      </c>
      <c r="I721" s="53" t="s">
        <v>12610</v>
      </c>
      <c r="J721" s="53" t="s">
        <v>3370</v>
      </c>
      <c r="K721" s="219"/>
      <c r="L721" s="194">
        <v>6</v>
      </c>
      <c r="M721" s="195">
        <v>300000</v>
      </c>
      <c r="N721" s="195">
        <v>495000</v>
      </c>
      <c r="O721" s="189" t="s">
        <v>10763</v>
      </c>
      <c r="P721" s="53" t="s">
        <v>13390</v>
      </c>
      <c r="Q721" s="53" t="s">
        <v>29</v>
      </c>
      <c r="R721" s="53" t="s">
        <v>12611</v>
      </c>
      <c r="T721" s="53"/>
      <c r="U721" s="53" t="s">
        <v>12344</v>
      </c>
      <c r="V721" s="53"/>
    </row>
    <row r="722" spans="1:23" ht="150" x14ac:dyDescent="0.25">
      <c r="A722" s="193">
        <v>43357</v>
      </c>
      <c r="B722" s="53" t="s">
        <v>328</v>
      </c>
      <c r="C722" s="53" t="s">
        <v>603</v>
      </c>
      <c r="D722" s="53" t="s">
        <v>7595</v>
      </c>
      <c r="E722" s="53" t="s">
        <v>588</v>
      </c>
      <c r="F722" s="53" t="s">
        <v>12612</v>
      </c>
      <c r="G722" s="53" t="s">
        <v>10007</v>
      </c>
      <c r="H722" s="53" t="s">
        <v>607</v>
      </c>
      <c r="I722" s="53" t="s">
        <v>12613</v>
      </c>
      <c r="J722" s="53" t="s">
        <v>4031</v>
      </c>
      <c r="K722" s="219"/>
      <c r="L722" s="194">
        <v>9</v>
      </c>
      <c r="M722" s="195">
        <v>421000</v>
      </c>
      <c r="N722" s="195">
        <f>421000+42100+316000+105250</f>
        <v>884350</v>
      </c>
      <c r="O722" s="189" t="s">
        <v>4533</v>
      </c>
      <c r="P722" s="53" t="s">
        <v>12649</v>
      </c>
      <c r="Q722" s="53" t="s">
        <v>1939</v>
      </c>
      <c r="R722" s="53" t="s">
        <v>12650</v>
      </c>
      <c r="T722" s="53"/>
      <c r="U722" s="53" t="s">
        <v>12344</v>
      </c>
      <c r="V722" s="53"/>
    </row>
    <row r="723" spans="1:23" s="146" customFormat="1" ht="30" x14ac:dyDescent="0.25">
      <c r="A723" s="197">
        <v>43360</v>
      </c>
      <c r="B723" s="149" t="s">
        <v>569</v>
      </c>
      <c r="C723" s="149" t="s">
        <v>899</v>
      </c>
      <c r="D723" s="149" t="s">
        <v>9981</v>
      </c>
      <c r="E723" s="149" t="s">
        <v>588</v>
      </c>
      <c r="F723" s="149" t="s">
        <v>8789</v>
      </c>
      <c r="G723" s="149" t="s">
        <v>12615</v>
      </c>
      <c r="H723" s="149" t="s">
        <v>607</v>
      </c>
      <c r="I723" s="149"/>
      <c r="J723" s="149"/>
      <c r="K723" s="220"/>
      <c r="L723" s="198"/>
      <c r="M723" s="199"/>
      <c r="N723" s="199"/>
      <c r="O723" s="191" t="s">
        <v>10766</v>
      </c>
      <c r="P723" s="149" t="s">
        <v>12616</v>
      </c>
      <c r="Q723" s="149" t="s">
        <v>1939</v>
      </c>
      <c r="R723" s="149" t="s">
        <v>12617</v>
      </c>
      <c r="S723" s="149"/>
      <c r="T723" s="149"/>
      <c r="U723" s="149" t="s">
        <v>12344</v>
      </c>
      <c r="V723" s="149"/>
      <c r="W723" s="149"/>
    </row>
    <row r="724" spans="1:23" ht="90" x14ac:dyDescent="0.25">
      <c r="A724" s="193">
        <v>43360</v>
      </c>
      <c r="B724" s="53" t="s">
        <v>328</v>
      </c>
      <c r="C724" s="53" t="s">
        <v>603</v>
      </c>
      <c r="D724" s="53" t="s">
        <v>5701</v>
      </c>
      <c r="E724" s="53" t="s">
        <v>588</v>
      </c>
      <c r="F724" s="53" t="s">
        <v>12618</v>
      </c>
      <c r="G724" s="53" t="s">
        <v>12619</v>
      </c>
      <c r="H724" s="53" t="s">
        <v>809</v>
      </c>
      <c r="I724" s="53" t="s">
        <v>12620</v>
      </c>
      <c r="J724" s="53" t="s">
        <v>3528</v>
      </c>
      <c r="K724" s="219"/>
      <c r="L724" s="194">
        <v>10</v>
      </c>
      <c r="M724" s="195">
        <v>477000</v>
      </c>
      <c r="N724" s="195">
        <v>524700</v>
      </c>
      <c r="O724" s="189" t="s">
        <v>10766</v>
      </c>
      <c r="P724" s="53" t="s">
        <v>12621</v>
      </c>
      <c r="Q724" s="47" t="s">
        <v>1939</v>
      </c>
      <c r="R724" s="53" t="s">
        <v>13391</v>
      </c>
      <c r="T724" s="53"/>
      <c r="U724" s="53" t="s">
        <v>12344</v>
      </c>
      <c r="V724" s="53"/>
    </row>
    <row r="725" spans="1:23" ht="90" x14ac:dyDescent="0.25">
      <c r="A725" s="56">
        <v>43360</v>
      </c>
      <c r="B725" s="53" t="s">
        <v>569</v>
      </c>
      <c r="C725" s="29" t="s">
        <v>899</v>
      </c>
      <c r="D725" s="29" t="s">
        <v>11031</v>
      </c>
      <c r="E725" s="29" t="s">
        <v>588</v>
      </c>
      <c r="F725" s="29" t="s">
        <v>4</v>
      </c>
      <c r="G725" s="29" t="s">
        <v>12622</v>
      </c>
      <c r="H725" s="53" t="s">
        <v>607</v>
      </c>
      <c r="I725" s="29" t="s">
        <v>3959</v>
      </c>
      <c r="J725" s="29" t="s">
        <v>899</v>
      </c>
      <c r="M725" s="113">
        <v>2014000</v>
      </c>
      <c r="N725" s="113">
        <f>+M725+201400+1000700+402800</f>
        <v>3618900</v>
      </c>
      <c r="O725" s="189" t="s">
        <v>560</v>
      </c>
      <c r="P725" s="53" t="s">
        <v>12623</v>
      </c>
      <c r="Q725" s="53" t="s">
        <v>1939</v>
      </c>
      <c r="R725" s="53" t="s">
        <v>12647</v>
      </c>
      <c r="U725" s="53" t="s">
        <v>12344</v>
      </c>
    </row>
    <row r="726" spans="1:23" ht="75" x14ac:dyDescent="0.25">
      <c r="A726" s="56">
        <v>43360</v>
      </c>
      <c r="B726" s="53" t="s">
        <v>328</v>
      </c>
      <c r="C726" s="53" t="s">
        <v>603</v>
      </c>
      <c r="D726" s="29" t="s">
        <v>7595</v>
      </c>
      <c r="E726" s="29" t="s">
        <v>588</v>
      </c>
      <c r="F726" s="29" t="s">
        <v>12624</v>
      </c>
      <c r="G726" s="29" t="s">
        <v>12555</v>
      </c>
      <c r="H726" s="53" t="s">
        <v>607</v>
      </c>
      <c r="I726" s="29" t="s">
        <v>12625</v>
      </c>
      <c r="J726" s="29" t="s">
        <v>899</v>
      </c>
      <c r="L726" s="182">
        <v>2</v>
      </c>
      <c r="M726" s="113">
        <v>550000</v>
      </c>
      <c r="N726" s="113">
        <v>990000</v>
      </c>
      <c r="O726" s="189" t="s">
        <v>4533</v>
      </c>
      <c r="P726" s="53" t="s">
        <v>12626</v>
      </c>
      <c r="Q726" s="53" t="s">
        <v>29</v>
      </c>
      <c r="R726" s="53" t="s">
        <v>12627</v>
      </c>
      <c r="U726" s="29" t="s">
        <v>12344</v>
      </c>
    </row>
    <row r="727" spans="1:23" ht="135" x14ac:dyDescent="0.25">
      <c r="A727" s="56">
        <v>43361</v>
      </c>
      <c r="B727" s="53" t="s">
        <v>5176</v>
      </c>
      <c r="C727" s="29" t="s">
        <v>604</v>
      </c>
      <c r="D727" s="29" t="s">
        <v>6995</v>
      </c>
      <c r="E727" s="29" t="s">
        <v>588</v>
      </c>
      <c r="F727" s="29" t="s">
        <v>12628</v>
      </c>
      <c r="H727" s="29" t="s">
        <v>1050</v>
      </c>
      <c r="I727" s="29" t="s">
        <v>12629</v>
      </c>
      <c r="J727" s="29" t="s">
        <v>959</v>
      </c>
      <c r="L727" s="182">
        <v>5</v>
      </c>
      <c r="M727" s="113">
        <v>304000</v>
      </c>
      <c r="N727" s="113">
        <v>304000</v>
      </c>
      <c r="O727" s="189" t="s">
        <v>2295</v>
      </c>
      <c r="P727" s="53" t="s">
        <v>12630</v>
      </c>
      <c r="Q727" s="53" t="s">
        <v>1939</v>
      </c>
      <c r="R727" s="53" t="s">
        <v>12639</v>
      </c>
      <c r="U727" s="29" t="s">
        <v>12344</v>
      </c>
    </row>
    <row r="728" spans="1:23" ht="45" x14ac:dyDescent="0.25">
      <c r="A728" s="56">
        <v>43361</v>
      </c>
      <c r="B728" s="53" t="s">
        <v>328</v>
      </c>
      <c r="C728" s="29" t="s">
        <v>603</v>
      </c>
      <c r="D728" s="29" t="s">
        <v>649</v>
      </c>
      <c r="E728" s="29" t="s">
        <v>588</v>
      </c>
      <c r="F728" s="29" t="s">
        <v>12634</v>
      </c>
      <c r="G728" s="29" t="s">
        <v>12635</v>
      </c>
      <c r="H728" s="29" t="s">
        <v>1963</v>
      </c>
      <c r="I728" s="29" t="s">
        <v>12636</v>
      </c>
      <c r="J728" s="29" t="s">
        <v>3751</v>
      </c>
      <c r="L728" s="182">
        <v>8</v>
      </c>
      <c r="M728" s="113">
        <v>170000</v>
      </c>
      <c r="N728" s="113">
        <f>+M728+50000+175000</f>
        <v>395000</v>
      </c>
      <c r="O728" s="189" t="s">
        <v>4533</v>
      </c>
      <c r="P728" s="53" t="s">
        <v>12637</v>
      </c>
      <c r="Q728" s="53" t="s">
        <v>29</v>
      </c>
      <c r="R728" s="53" t="s">
        <v>12638</v>
      </c>
      <c r="U728" s="29" t="s">
        <v>12344</v>
      </c>
    </row>
    <row r="729" spans="1:23" ht="60" x14ac:dyDescent="0.25">
      <c r="A729" s="56">
        <v>43361</v>
      </c>
      <c r="B729" s="53" t="s">
        <v>5956</v>
      </c>
      <c r="C729" s="29" t="s">
        <v>3369</v>
      </c>
      <c r="D729" s="29" t="s">
        <v>8126</v>
      </c>
      <c r="E729" s="29" t="s">
        <v>588</v>
      </c>
      <c r="F729" s="29" t="s">
        <v>12641</v>
      </c>
      <c r="G729" s="29" t="s">
        <v>12640</v>
      </c>
      <c r="H729" s="29" t="s">
        <v>607</v>
      </c>
      <c r="I729" s="29" t="s">
        <v>543</v>
      </c>
      <c r="J729" s="29" t="s">
        <v>4825</v>
      </c>
      <c r="L729" s="182" t="s">
        <v>543</v>
      </c>
      <c r="M729" s="182" t="s">
        <v>543</v>
      </c>
      <c r="N729" s="182" t="s">
        <v>543</v>
      </c>
      <c r="O729" s="189" t="s">
        <v>10766</v>
      </c>
      <c r="P729" s="53" t="s">
        <v>12642</v>
      </c>
      <c r="Q729" s="53" t="s">
        <v>1939</v>
      </c>
      <c r="R729" s="53" t="s">
        <v>12643</v>
      </c>
      <c r="U729" s="29" t="s">
        <v>12344</v>
      </c>
    </row>
    <row r="730" spans="1:23" ht="105" x14ac:dyDescent="0.25">
      <c r="A730" s="56">
        <v>43361</v>
      </c>
      <c r="B730" s="53" t="s">
        <v>328</v>
      </c>
      <c r="C730" s="29" t="s">
        <v>603</v>
      </c>
      <c r="D730" s="29" t="s">
        <v>7595</v>
      </c>
      <c r="E730" s="29" t="s">
        <v>588</v>
      </c>
      <c r="F730" s="29" t="s">
        <v>12644</v>
      </c>
      <c r="G730" s="29" t="s">
        <v>12645</v>
      </c>
      <c r="H730" s="29" t="s">
        <v>607</v>
      </c>
      <c r="I730" s="29" t="s">
        <v>12652</v>
      </c>
      <c r="J730" s="29" t="s">
        <v>603</v>
      </c>
      <c r="L730" s="182">
        <v>5</v>
      </c>
      <c r="M730" s="113">
        <v>391400</v>
      </c>
      <c r="N730" s="113">
        <v>782800</v>
      </c>
      <c r="O730" s="189" t="s">
        <v>4533</v>
      </c>
      <c r="P730" s="53" t="s">
        <v>12646</v>
      </c>
      <c r="Q730" s="53" t="s">
        <v>1939</v>
      </c>
      <c r="R730" s="53" t="s">
        <v>12648</v>
      </c>
      <c r="U730" s="29" t="s">
        <v>12344</v>
      </c>
    </row>
    <row r="731" spans="1:23" ht="90" x14ac:dyDescent="0.25">
      <c r="A731" s="56">
        <v>43362</v>
      </c>
      <c r="B731" s="53" t="s">
        <v>328</v>
      </c>
      <c r="C731" s="29" t="s">
        <v>603</v>
      </c>
      <c r="D731" s="29" t="s">
        <v>672</v>
      </c>
      <c r="E731" s="29" t="s">
        <v>588</v>
      </c>
      <c r="F731" s="29" t="s">
        <v>10501</v>
      </c>
      <c r="G731" s="29" t="s">
        <v>8941</v>
      </c>
      <c r="H731" s="29" t="s">
        <v>607</v>
      </c>
      <c r="I731" s="29" t="s">
        <v>4759</v>
      </c>
      <c r="J731" s="29" t="s">
        <v>899</v>
      </c>
      <c r="L731" s="182">
        <v>2</v>
      </c>
      <c r="M731" s="113">
        <v>735000</v>
      </c>
      <c r="N731" s="113">
        <v>1323000</v>
      </c>
      <c r="O731" s="189" t="s">
        <v>10766</v>
      </c>
      <c r="P731" s="53" t="s">
        <v>13392</v>
      </c>
      <c r="Q731" s="53" t="s">
        <v>1939</v>
      </c>
      <c r="R731" s="53" t="s">
        <v>12651</v>
      </c>
      <c r="U731" s="29" t="s">
        <v>12344</v>
      </c>
    </row>
    <row r="732" spans="1:23" ht="30" x14ac:dyDescent="0.25">
      <c r="A732" s="56">
        <v>43362</v>
      </c>
      <c r="B732" s="53" t="s">
        <v>5473</v>
      </c>
      <c r="C732" s="29" t="s">
        <v>608</v>
      </c>
      <c r="D732" s="29" t="s">
        <v>1382</v>
      </c>
      <c r="E732" s="29" t="s">
        <v>588</v>
      </c>
      <c r="F732" s="29" t="s">
        <v>12653</v>
      </c>
      <c r="G732" s="29" t="s">
        <v>8044</v>
      </c>
      <c r="H732" s="29" t="s">
        <v>12311</v>
      </c>
      <c r="I732" s="29" t="s">
        <v>3809</v>
      </c>
      <c r="J732" s="29" t="s">
        <v>602</v>
      </c>
      <c r="L732" s="182">
        <v>3</v>
      </c>
      <c r="M732" s="113">
        <v>450000</v>
      </c>
      <c r="N732" s="113">
        <v>750000</v>
      </c>
      <c r="O732" s="189" t="s">
        <v>560</v>
      </c>
      <c r="P732" s="53" t="s">
        <v>12654</v>
      </c>
      <c r="Q732" s="53" t="s">
        <v>620</v>
      </c>
      <c r="R732" s="53" t="s">
        <v>12655</v>
      </c>
      <c r="U732" s="29" t="s">
        <v>12344</v>
      </c>
    </row>
    <row r="733" spans="1:23" ht="60" x14ac:dyDescent="0.25">
      <c r="A733" s="56">
        <v>43362</v>
      </c>
      <c r="B733" s="53" t="s">
        <v>569</v>
      </c>
      <c r="C733" s="29" t="s">
        <v>899</v>
      </c>
      <c r="D733" s="29" t="s">
        <v>11286</v>
      </c>
      <c r="E733" s="29" t="s">
        <v>588</v>
      </c>
      <c r="F733" s="29" t="s">
        <v>12656</v>
      </c>
      <c r="G733" s="29" t="s">
        <v>9461</v>
      </c>
      <c r="H733" s="29" t="s">
        <v>607</v>
      </c>
      <c r="I733" s="29" t="s">
        <v>5340</v>
      </c>
      <c r="J733" s="29" t="s">
        <v>899</v>
      </c>
      <c r="L733" s="182">
        <v>1</v>
      </c>
      <c r="M733" s="113">
        <v>2500000</v>
      </c>
      <c r="N733" s="113">
        <v>4400000</v>
      </c>
      <c r="O733" s="189" t="s">
        <v>10766</v>
      </c>
      <c r="P733" s="53" t="s">
        <v>12657</v>
      </c>
      <c r="Q733" s="53" t="s">
        <v>1939</v>
      </c>
      <c r="R733" s="53" t="s">
        <v>12658</v>
      </c>
      <c r="U733" s="29" t="s">
        <v>12344</v>
      </c>
    </row>
    <row r="734" spans="1:23" ht="90" x14ac:dyDescent="0.25">
      <c r="A734" s="56">
        <v>43362</v>
      </c>
      <c r="B734" s="53" t="s">
        <v>569</v>
      </c>
      <c r="C734" s="29" t="s">
        <v>899</v>
      </c>
      <c r="D734" s="29" t="s">
        <v>11286</v>
      </c>
      <c r="E734" s="29" t="s">
        <v>588</v>
      </c>
      <c r="F734" s="29" t="s">
        <v>12673</v>
      </c>
      <c r="G734" s="29" t="s">
        <v>12020</v>
      </c>
      <c r="H734" s="29" t="s">
        <v>886</v>
      </c>
      <c r="I734" s="29" t="s">
        <v>6894</v>
      </c>
      <c r="J734" s="29" t="s">
        <v>899</v>
      </c>
      <c r="M734" s="113">
        <v>2000000</v>
      </c>
      <c r="N734" s="113">
        <v>2150000</v>
      </c>
      <c r="O734" s="189" t="s">
        <v>2295</v>
      </c>
      <c r="P734" s="53" t="s">
        <v>12659</v>
      </c>
      <c r="Q734" s="53" t="s">
        <v>1612</v>
      </c>
      <c r="R734" s="53" t="s">
        <v>12675</v>
      </c>
      <c r="U734" s="29" t="s">
        <v>12344</v>
      </c>
    </row>
    <row r="735" spans="1:23" ht="45" x14ac:dyDescent="0.25">
      <c r="A735" s="56">
        <v>43362</v>
      </c>
      <c r="B735" s="53" t="s">
        <v>328</v>
      </c>
      <c r="C735" s="29" t="s">
        <v>603</v>
      </c>
      <c r="D735" s="29" t="s">
        <v>1401</v>
      </c>
      <c r="E735" s="29" t="s">
        <v>588</v>
      </c>
      <c r="F735" s="29" t="s">
        <v>12660</v>
      </c>
      <c r="G735" s="29" t="s">
        <v>7714</v>
      </c>
      <c r="H735" s="29" t="s">
        <v>607</v>
      </c>
      <c r="I735" s="29" t="s">
        <v>12661</v>
      </c>
      <c r="J735" s="29" t="s">
        <v>3533</v>
      </c>
      <c r="L735" s="182">
        <v>3</v>
      </c>
      <c r="M735" s="113">
        <v>849589</v>
      </c>
      <c r="N735" s="113">
        <f>+M735+424790+91600+84958</f>
        <v>1450937</v>
      </c>
      <c r="O735" s="189" t="s">
        <v>10766</v>
      </c>
      <c r="P735" s="53" t="s">
        <v>12662</v>
      </c>
      <c r="Q735" s="53" t="s">
        <v>592</v>
      </c>
      <c r="R735" s="53" t="s">
        <v>12663</v>
      </c>
      <c r="U735" s="29" t="s">
        <v>12344</v>
      </c>
    </row>
    <row r="736" spans="1:23" ht="30" x14ac:dyDescent="0.25">
      <c r="A736" s="56">
        <v>43362</v>
      </c>
      <c r="B736" s="53" t="s">
        <v>569</v>
      </c>
      <c r="C736" s="29" t="s">
        <v>899</v>
      </c>
      <c r="D736" s="29" t="s">
        <v>611</v>
      </c>
      <c r="E736" s="29" t="s">
        <v>588</v>
      </c>
      <c r="F736" s="29" t="s">
        <v>8626</v>
      </c>
      <c r="G736" s="29" t="s">
        <v>10007</v>
      </c>
      <c r="H736" s="29" t="s">
        <v>607</v>
      </c>
      <c r="O736" s="189" t="s">
        <v>10763</v>
      </c>
      <c r="P736" s="53" t="s">
        <v>12697</v>
      </c>
      <c r="Q736" s="53" t="s">
        <v>592</v>
      </c>
      <c r="R736" s="53" t="s">
        <v>12664</v>
      </c>
      <c r="U736" s="29" t="s">
        <v>12344</v>
      </c>
    </row>
    <row r="737" spans="1:21" ht="30" x14ac:dyDescent="0.25">
      <c r="A737" s="56">
        <v>43363</v>
      </c>
      <c r="B737" s="53" t="s">
        <v>569</v>
      </c>
      <c r="C737" s="29" t="s">
        <v>899</v>
      </c>
      <c r="D737" s="29" t="s">
        <v>1070</v>
      </c>
      <c r="E737" s="29" t="s">
        <v>588</v>
      </c>
      <c r="F737" s="29" t="s">
        <v>12665</v>
      </c>
      <c r="G737" s="29" t="s">
        <v>8135</v>
      </c>
      <c r="O737" s="189" t="s">
        <v>10765</v>
      </c>
      <c r="P737" s="53" t="s">
        <v>12666</v>
      </c>
      <c r="Q737" s="53" t="s">
        <v>620</v>
      </c>
      <c r="R737" s="53" t="s">
        <v>12667</v>
      </c>
      <c r="U737" s="29" t="s">
        <v>12344</v>
      </c>
    </row>
    <row r="738" spans="1:21" ht="30" x14ac:dyDescent="0.25">
      <c r="A738" s="56">
        <v>43363</v>
      </c>
      <c r="B738" s="53" t="s">
        <v>569</v>
      </c>
      <c r="C738" s="29" t="s">
        <v>899</v>
      </c>
      <c r="D738" s="29" t="s">
        <v>11286</v>
      </c>
      <c r="E738" s="29" t="s">
        <v>588</v>
      </c>
      <c r="F738" s="29" t="s">
        <v>12668</v>
      </c>
      <c r="G738" s="29" t="s">
        <v>4118</v>
      </c>
      <c r="O738" s="189" t="s">
        <v>10763</v>
      </c>
      <c r="P738" s="53" t="s">
        <v>13393</v>
      </c>
      <c r="Q738" s="53" t="s">
        <v>592</v>
      </c>
      <c r="R738" s="53" t="s">
        <v>12669</v>
      </c>
      <c r="U738" s="29" t="s">
        <v>12344</v>
      </c>
    </row>
    <row r="739" spans="1:21" ht="45" x14ac:dyDescent="0.25">
      <c r="A739" s="56">
        <v>43363</v>
      </c>
      <c r="B739" s="53" t="s">
        <v>9240</v>
      </c>
      <c r="C739" s="29" t="s">
        <v>603</v>
      </c>
      <c r="D739" s="29" t="s">
        <v>9241</v>
      </c>
      <c r="E739" s="29" t="s">
        <v>588</v>
      </c>
      <c r="F739" s="29" t="s">
        <v>12670</v>
      </c>
      <c r="G739" s="29" t="s">
        <v>9305</v>
      </c>
      <c r="H739" s="29" t="s">
        <v>607</v>
      </c>
      <c r="O739" s="189" t="s">
        <v>10766</v>
      </c>
      <c r="P739" s="53" t="s">
        <v>12671</v>
      </c>
      <c r="Q739" s="53" t="s">
        <v>620</v>
      </c>
      <c r="R739" s="53" t="s">
        <v>12672</v>
      </c>
      <c r="U739" s="29" t="s">
        <v>12344</v>
      </c>
    </row>
    <row r="740" spans="1:21" ht="45" x14ac:dyDescent="0.25">
      <c r="A740" s="56">
        <v>43363</v>
      </c>
      <c r="B740" s="53" t="s">
        <v>328</v>
      </c>
      <c r="C740" s="29" t="s">
        <v>603</v>
      </c>
      <c r="D740" s="29" t="s">
        <v>7595</v>
      </c>
      <c r="E740" s="29" t="s">
        <v>588</v>
      </c>
      <c r="F740" s="29" t="s">
        <v>12698</v>
      </c>
      <c r="G740" s="29" t="s">
        <v>12699</v>
      </c>
      <c r="H740" s="29" t="s">
        <v>1050</v>
      </c>
      <c r="I740" s="29" t="s">
        <v>12700</v>
      </c>
      <c r="J740" s="29" t="s">
        <v>4031</v>
      </c>
      <c r="L740" s="182">
        <v>2</v>
      </c>
      <c r="M740" s="113">
        <v>170000</v>
      </c>
      <c r="N740" s="113">
        <f>+M740+17000</f>
        <v>187000</v>
      </c>
      <c r="O740" s="189" t="s">
        <v>10766</v>
      </c>
      <c r="P740" s="53" t="s">
        <v>13394</v>
      </c>
      <c r="Q740" s="53" t="s">
        <v>1939</v>
      </c>
      <c r="R740" s="53" t="s">
        <v>12743</v>
      </c>
      <c r="U740" s="29" t="s">
        <v>12344</v>
      </c>
    </row>
    <row r="741" spans="1:21" ht="90" x14ac:dyDescent="0.25">
      <c r="A741" s="56">
        <v>43364</v>
      </c>
      <c r="B741" s="53" t="s">
        <v>328</v>
      </c>
      <c r="C741" s="29" t="s">
        <v>603</v>
      </c>
      <c r="D741" s="29" t="s">
        <v>7595</v>
      </c>
      <c r="E741" s="29" t="s">
        <v>588</v>
      </c>
      <c r="F741" s="29" t="s">
        <v>12674</v>
      </c>
      <c r="G741" s="29" t="s">
        <v>11949</v>
      </c>
      <c r="H741" s="29" t="s">
        <v>10831</v>
      </c>
      <c r="I741" s="29" t="s">
        <v>12676</v>
      </c>
      <c r="J741" s="29" t="s">
        <v>644</v>
      </c>
      <c r="L741" s="182">
        <v>10</v>
      </c>
      <c r="M741" s="113">
        <v>300000</v>
      </c>
      <c r="N741" s="113">
        <v>475000</v>
      </c>
      <c r="O741" s="189" t="s">
        <v>7124</v>
      </c>
      <c r="P741" s="53" t="s">
        <v>12677</v>
      </c>
      <c r="Q741" s="53" t="s">
        <v>592</v>
      </c>
      <c r="R741" s="53" t="s">
        <v>13395</v>
      </c>
      <c r="U741" s="29" t="s">
        <v>12344</v>
      </c>
    </row>
    <row r="742" spans="1:21" ht="45" x14ac:dyDescent="0.25">
      <c r="A742" s="56">
        <v>43364</v>
      </c>
      <c r="B742" s="53" t="s">
        <v>328</v>
      </c>
      <c r="C742" s="29" t="s">
        <v>603</v>
      </c>
      <c r="D742" s="29" t="s">
        <v>649</v>
      </c>
      <c r="E742" s="29" t="s">
        <v>588</v>
      </c>
      <c r="F742" s="29" t="s">
        <v>12678</v>
      </c>
      <c r="H742" s="29" t="s">
        <v>607</v>
      </c>
      <c r="I742" s="29" t="s">
        <v>228</v>
      </c>
      <c r="J742" s="29" t="s">
        <v>899</v>
      </c>
      <c r="L742" s="182">
        <v>4</v>
      </c>
      <c r="M742" s="113">
        <v>399000</v>
      </c>
      <c r="N742" s="113">
        <f>+M742+39900+119700+77000</f>
        <v>635600</v>
      </c>
      <c r="O742" s="189" t="s">
        <v>560</v>
      </c>
      <c r="P742" s="53" t="s">
        <v>12679</v>
      </c>
      <c r="Q742" s="53" t="s">
        <v>592</v>
      </c>
      <c r="R742" s="53" t="s">
        <v>12680</v>
      </c>
      <c r="U742" s="29" t="s">
        <v>12344</v>
      </c>
    </row>
    <row r="743" spans="1:21" ht="60" x14ac:dyDescent="0.25">
      <c r="A743" s="56">
        <v>43364</v>
      </c>
      <c r="B743" s="53" t="s">
        <v>569</v>
      </c>
      <c r="C743" s="29" t="s">
        <v>899</v>
      </c>
      <c r="D743" s="29" t="s">
        <v>624</v>
      </c>
      <c r="E743" s="29" t="s">
        <v>588</v>
      </c>
      <c r="F743" s="29" t="s">
        <v>12681</v>
      </c>
      <c r="G743" s="29" t="s">
        <v>1789</v>
      </c>
      <c r="H743" s="29" t="s">
        <v>809</v>
      </c>
      <c r="I743" s="29" t="s">
        <v>12682</v>
      </c>
      <c r="J743" s="29" t="s">
        <v>899</v>
      </c>
      <c r="L743" s="182">
        <v>4</v>
      </c>
      <c r="M743" s="113">
        <v>550000</v>
      </c>
      <c r="N743" s="113">
        <f>+M743+55000+5000</f>
        <v>610000</v>
      </c>
      <c r="O743" s="189" t="s">
        <v>10766</v>
      </c>
      <c r="P743" s="53" t="s">
        <v>12683</v>
      </c>
      <c r="Q743" s="53" t="s">
        <v>592</v>
      </c>
      <c r="R743" s="53" t="s">
        <v>12684</v>
      </c>
      <c r="U743" s="29" t="s">
        <v>12344</v>
      </c>
    </row>
    <row r="744" spans="1:21" ht="75" x14ac:dyDescent="0.25">
      <c r="A744" s="56">
        <v>43364</v>
      </c>
      <c r="B744" s="53" t="s">
        <v>569</v>
      </c>
      <c r="C744" s="29" t="s">
        <v>899</v>
      </c>
      <c r="D744" s="29" t="s">
        <v>11286</v>
      </c>
      <c r="E744" s="29" t="s">
        <v>588</v>
      </c>
      <c r="F744" s="29" t="s">
        <v>12685</v>
      </c>
      <c r="G744" s="29" t="s">
        <v>7855</v>
      </c>
      <c r="H744" s="29" t="s">
        <v>607</v>
      </c>
      <c r="I744" s="29" t="s">
        <v>6166</v>
      </c>
      <c r="J744" s="29" t="s">
        <v>899</v>
      </c>
      <c r="L744" s="182">
        <v>3</v>
      </c>
      <c r="M744" s="113">
        <v>2410000</v>
      </c>
      <c r="N744" s="113">
        <v>3540000</v>
      </c>
      <c r="O744" s="189" t="s">
        <v>560</v>
      </c>
      <c r="P744" s="53" t="s">
        <v>12687</v>
      </c>
      <c r="Q744" s="53" t="s">
        <v>1939</v>
      </c>
      <c r="R744" s="53" t="s">
        <v>12686</v>
      </c>
      <c r="U744" s="29" t="s">
        <v>12344</v>
      </c>
    </row>
    <row r="745" spans="1:21" ht="45" x14ac:dyDescent="0.25">
      <c r="A745" s="56">
        <v>43364</v>
      </c>
      <c r="B745" s="53" t="s">
        <v>328</v>
      </c>
      <c r="C745" s="29" t="s">
        <v>603</v>
      </c>
      <c r="E745" s="29" t="s">
        <v>588</v>
      </c>
      <c r="F745" s="29" t="s">
        <v>11269</v>
      </c>
      <c r="G745" s="29" t="s">
        <v>757</v>
      </c>
      <c r="H745" s="29" t="s">
        <v>607</v>
      </c>
      <c r="I745" s="29" t="s">
        <v>12584</v>
      </c>
      <c r="J745" s="29" t="s">
        <v>899</v>
      </c>
      <c r="M745" s="113">
        <v>750000</v>
      </c>
      <c r="N745" s="113">
        <f>+M745+150000+525000+150000</f>
        <v>1575000</v>
      </c>
      <c r="O745" s="189" t="s">
        <v>10763</v>
      </c>
      <c r="P745" s="53" t="s">
        <v>12688</v>
      </c>
      <c r="Q745" s="53" t="s">
        <v>592</v>
      </c>
      <c r="R745" s="53" t="s">
        <v>12689</v>
      </c>
      <c r="U745" s="29" t="s">
        <v>12344</v>
      </c>
    </row>
    <row r="746" spans="1:21" ht="45" x14ac:dyDescent="0.25">
      <c r="A746" s="56">
        <v>43367</v>
      </c>
      <c r="B746" s="53" t="s">
        <v>328</v>
      </c>
      <c r="C746" s="29" t="s">
        <v>603</v>
      </c>
      <c r="D746" s="29" t="s">
        <v>7595</v>
      </c>
      <c r="E746" s="29" t="s">
        <v>588</v>
      </c>
      <c r="F746" s="29" t="s">
        <v>12690</v>
      </c>
      <c r="G746" s="29" t="s">
        <v>12691</v>
      </c>
      <c r="H746" s="29" t="s">
        <v>886</v>
      </c>
      <c r="I746" s="29" t="s">
        <v>3861</v>
      </c>
      <c r="J746" s="29" t="s">
        <v>899</v>
      </c>
      <c r="L746" s="182">
        <v>2</v>
      </c>
      <c r="M746" s="113">
        <v>243000</v>
      </c>
      <c r="N746" s="113">
        <f>+M746+24300+121500+48600</f>
        <v>437400</v>
      </c>
      <c r="O746" s="189" t="s">
        <v>10766</v>
      </c>
      <c r="P746" s="53" t="s">
        <v>12695</v>
      </c>
      <c r="Q746" s="53" t="s">
        <v>1939</v>
      </c>
      <c r="R746" s="53" t="s">
        <v>12696</v>
      </c>
      <c r="U746" s="29" t="s">
        <v>12344</v>
      </c>
    </row>
    <row r="747" spans="1:21" ht="120" x14ac:dyDescent="0.25">
      <c r="A747" s="56">
        <v>43367</v>
      </c>
      <c r="B747" s="53" t="s">
        <v>569</v>
      </c>
      <c r="C747" s="29" t="s">
        <v>899</v>
      </c>
      <c r="D747" s="29" t="s">
        <v>11286</v>
      </c>
      <c r="E747" s="29" t="s">
        <v>588</v>
      </c>
      <c r="F747" s="29" t="s">
        <v>12692</v>
      </c>
      <c r="G747" s="29" t="s">
        <v>10804</v>
      </c>
      <c r="H747" s="29" t="s">
        <v>10831</v>
      </c>
      <c r="I747" s="29" t="s">
        <v>12693</v>
      </c>
      <c r="J747" s="29" t="s">
        <v>899</v>
      </c>
      <c r="L747" s="182">
        <v>10</v>
      </c>
      <c r="M747" s="113">
        <v>1065000</v>
      </c>
      <c r="N747" s="113">
        <f>+M747+106500+585750+213000</f>
        <v>1970250</v>
      </c>
      <c r="O747" s="189" t="s">
        <v>560</v>
      </c>
      <c r="P747" s="53" t="s">
        <v>12694</v>
      </c>
      <c r="Q747" s="53" t="s">
        <v>29</v>
      </c>
      <c r="R747" s="53" t="s">
        <v>12704</v>
      </c>
      <c r="U747" s="29" t="s">
        <v>12344</v>
      </c>
    </row>
    <row r="748" spans="1:21" ht="60" x14ac:dyDescent="0.25">
      <c r="A748" s="56">
        <v>43367</v>
      </c>
      <c r="B748" s="53" t="s">
        <v>569</v>
      </c>
      <c r="C748" s="29" t="s">
        <v>899</v>
      </c>
      <c r="D748" s="29" t="s">
        <v>11286</v>
      </c>
      <c r="E748" s="29" t="s">
        <v>588</v>
      </c>
      <c r="F748" s="29" t="s">
        <v>12701</v>
      </c>
      <c r="G748" s="29" t="s">
        <v>12702</v>
      </c>
      <c r="H748" s="29" t="s">
        <v>607</v>
      </c>
      <c r="I748" s="29" t="s">
        <v>5910</v>
      </c>
      <c r="J748" s="29" t="s">
        <v>899</v>
      </c>
      <c r="L748" s="182">
        <v>2</v>
      </c>
      <c r="M748" s="113">
        <v>1800000</v>
      </c>
      <c r="N748" s="113">
        <f>+M748+300000+750000+450000</f>
        <v>3300000</v>
      </c>
      <c r="O748" s="189" t="s">
        <v>560</v>
      </c>
      <c r="P748" s="53" t="s">
        <v>12703</v>
      </c>
      <c r="Q748" s="53" t="s">
        <v>1939</v>
      </c>
      <c r="R748" s="53" t="s">
        <v>12705</v>
      </c>
      <c r="U748" s="29" t="s">
        <v>12344</v>
      </c>
    </row>
    <row r="749" spans="1:21" ht="105" x14ac:dyDescent="0.25">
      <c r="A749" s="56">
        <v>43368</v>
      </c>
      <c r="B749" s="53" t="s">
        <v>328</v>
      </c>
      <c r="C749" s="29" t="s">
        <v>603</v>
      </c>
      <c r="D749" s="29" t="s">
        <v>8941</v>
      </c>
      <c r="E749" s="29" t="s">
        <v>588</v>
      </c>
      <c r="F749" s="29" t="s">
        <v>12706</v>
      </c>
      <c r="G749" s="29" t="s">
        <v>9461</v>
      </c>
      <c r="H749" s="29" t="s">
        <v>10831</v>
      </c>
      <c r="I749" s="29" t="s">
        <v>12709</v>
      </c>
      <c r="J749" s="29" t="s">
        <v>603</v>
      </c>
      <c r="L749" s="182" t="s">
        <v>12707</v>
      </c>
      <c r="M749" s="113">
        <v>1750000</v>
      </c>
      <c r="N749" s="113">
        <f>+M749+500+750000</f>
        <v>2500500</v>
      </c>
      <c r="O749" s="189" t="s">
        <v>7124</v>
      </c>
      <c r="P749" s="53" t="s">
        <v>12710</v>
      </c>
      <c r="Q749" s="53" t="s">
        <v>1939</v>
      </c>
      <c r="R749" s="53" t="s">
        <v>12708</v>
      </c>
      <c r="U749" s="29" t="s">
        <v>12344</v>
      </c>
    </row>
    <row r="750" spans="1:21" ht="45" x14ac:dyDescent="0.25">
      <c r="A750" s="56">
        <v>43368</v>
      </c>
      <c r="B750" s="53" t="s">
        <v>328</v>
      </c>
      <c r="C750" s="29" t="s">
        <v>603</v>
      </c>
      <c r="D750" s="29" t="s">
        <v>10338</v>
      </c>
      <c r="E750" s="29" t="s">
        <v>588</v>
      </c>
      <c r="F750" s="29" t="s">
        <v>12711</v>
      </c>
      <c r="G750" s="29" t="s">
        <v>12712</v>
      </c>
      <c r="H750" s="29" t="s">
        <v>905</v>
      </c>
      <c r="I750" s="29" t="s">
        <v>12713</v>
      </c>
      <c r="J750" s="29" t="s">
        <v>899</v>
      </c>
      <c r="L750" s="182">
        <v>9</v>
      </c>
      <c r="M750" s="113">
        <v>425000</v>
      </c>
      <c r="N750" s="113">
        <f>+M750+42500+25000+85000</f>
        <v>577500</v>
      </c>
      <c r="O750" s="189" t="s">
        <v>7124</v>
      </c>
      <c r="P750" s="53" t="s">
        <v>12714</v>
      </c>
      <c r="Q750" s="53" t="s">
        <v>29</v>
      </c>
      <c r="R750" s="53" t="s">
        <v>12715</v>
      </c>
      <c r="U750" s="29" t="s">
        <v>12344</v>
      </c>
    </row>
    <row r="751" spans="1:21" ht="15.75" x14ac:dyDescent="0.25">
      <c r="A751" s="56">
        <v>43368</v>
      </c>
      <c r="B751" s="53" t="s">
        <v>6076</v>
      </c>
      <c r="C751" s="29" t="s">
        <v>3370</v>
      </c>
      <c r="I751" s="29" t="s">
        <v>5187</v>
      </c>
      <c r="J751" s="29" t="s">
        <v>1228</v>
      </c>
      <c r="O751" s="189"/>
      <c r="P751" s="53" t="s">
        <v>12716</v>
      </c>
      <c r="Q751" s="53" t="s">
        <v>29</v>
      </c>
      <c r="R751" s="53" t="s">
        <v>12717</v>
      </c>
      <c r="U751" s="29" t="s">
        <v>12344</v>
      </c>
    </row>
    <row r="752" spans="1:21" ht="60" x14ac:dyDescent="0.25">
      <c r="A752" s="56">
        <v>43368</v>
      </c>
      <c r="B752" s="53" t="s">
        <v>328</v>
      </c>
      <c r="C752" s="29" t="s">
        <v>603</v>
      </c>
      <c r="D752" s="29" t="s">
        <v>649</v>
      </c>
      <c r="E752" s="29" t="s">
        <v>588</v>
      </c>
      <c r="F752" s="29" t="s">
        <v>12718</v>
      </c>
      <c r="G752" s="29" t="s">
        <v>9977</v>
      </c>
      <c r="H752" s="29" t="s">
        <v>607</v>
      </c>
      <c r="I752" s="29" t="s">
        <v>12719</v>
      </c>
      <c r="J752" s="29" t="s">
        <v>5610</v>
      </c>
      <c r="L752" s="182">
        <v>2</v>
      </c>
      <c r="M752" s="113">
        <v>252500</v>
      </c>
      <c r="N752" s="113">
        <f>+M752+126000+50400</f>
        <v>428900</v>
      </c>
      <c r="O752" s="189" t="s">
        <v>6745</v>
      </c>
      <c r="P752" s="53" t="s">
        <v>12720</v>
      </c>
      <c r="Q752" s="53" t="s">
        <v>1939</v>
      </c>
      <c r="R752" s="53" t="s">
        <v>12721</v>
      </c>
      <c r="U752" s="29" t="s">
        <v>12344</v>
      </c>
    </row>
    <row r="753" spans="1:22" ht="75" x14ac:dyDescent="0.25">
      <c r="A753" s="56">
        <v>43368</v>
      </c>
      <c r="B753" s="53" t="s">
        <v>569</v>
      </c>
      <c r="C753" s="29" t="s">
        <v>899</v>
      </c>
      <c r="D753" s="29" t="s">
        <v>3505</v>
      </c>
      <c r="E753" s="29" t="s">
        <v>588</v>
      </c>
      <c r="F753" s="29" t="s">
        <v>12722</v>
      </c>
      <c r="G753" s="29" t="s">
        <v>7761</v>
      </c>
      <c r="H753" s="29" t="s">
        <v>607</v>
      </c>
      <c r="I753" s="29" t="s">
        <v>2054</v>
      </c>
      <c r="J753" s="29" t="s">
        <v>899</v>
      </c>
      <c r="L753" s="182">
        <v>4</v>
      </c>
      <c r="M753" s="113">
        <v>3400000</v>
      </c>
      <c r="N753" s="113">
        <f>+M753+100000+750000+300000</f>
        <v>4550000</v>
      </c>
      <c r="O753" s="189" t="s">
        <v>560</v>
      </c>
      <c r="P753" s="53" t="s">
        <v>12723</v>
      </c>
      <c r="Q753" s="53" t="s">
        <v>29</v>
      </c>
      <c r="R753" s="53" t="s">
        <v>12724</v>
      </c>
      <c r="S753" s="53" t="s">
        <v>12726</v>
      </c>
      <c r="U753" s="29" t="s">
        <v>12344</v>
      </c>
      <c r="V753" s="29" t="s">
        <v>3985</v>
      </c>
    </row>
    <row r="754" spans="1:22" ht="60" x14ac:dyDescent="0.25">
      <c r="A754" s="56">
        <v>43369</v>
      </c>
      <c r="B754" s="53" t="s">
        <v>569</v>
      </c>
      <c r="C754" s="29" t="s">
        <v>899</v>
      </c>
      <c r="D754" s="29" t="s">
        <v>3505</v>
      </c>
      <c r="E754" s="29" t="s">
        <v>588</v>
      </c>
      <c r="F754" s="29" t="s">
        <v>10851</v>
      </c>
      <c r="G754" s="29" t="s">
        <v>12725</v>
      </c>
      <c r="H754" s="29" t="s">
        <v>905</v>
      </c>
      <c r="I754" s="29" t="s">
        <v>5505</v>
      </c>
      <c r="J754" s="29" t="s">
        <v>899</v>
      </c>
      <c r="M754" s="113">
        <v>2810500</v>
      </c>
      <c r="N754" s="113">
        <f>M754+281050+100000+281050</f>
        <v>3472600</v>
      </c>
      <c r="O754" s="189" t="s">
        <v>560</v>
      </c>
      <c r="P754" s="53" t="s">
        <v>12727</v>
      </c>
      <c r="Q754" s="53" t="s">
        <v>1939</v>
      </c>
      <c r="R754" s="53" t="s">
        <v>12728</v>
      </c>
      <c r="U754" s="29" t="s">
        <v>12344</v>
      </c>
    </row>
    <row r="755" spans="1:22" ht="75" x14ac:dyDescent="0.25">
      <c r="A755" s="56">
        <v>43369</v>
      </c>
      <c r="B755" s="53" t="s">
        <v>569</v>
      </c>
      <c r="C755" s="29" t="s">
        <v>899</v>
      </c>
      <c r="D755" s="29" t="s">
        <v>732</v>
      </c>
      <c r="E755" s="29" t="s">
        <v>588</v>
      </c>
      <c r="F755" s="29" t="s">
        <v>10173</v>
      </c>
      <c r="G755" s="29" t="s">
        <v>10348</v>
      </c>
      <c r="H755" s="29" t="s">
        <v>607</v>
      </c>
      <c r="I755" s="29" t="s">
        <v>4078</v>
      </c>
      <c r="J755" s="29" t="s">
        <v>899</v>
      </c>
      <c r="L755" s="182">
        <v>1</v>
      </c>
      <c r="M755" s="113">
        <v>1760000</v>
      </c>
      <c r="N755" s="113">
        <v>3088000</v>
      </c>
      <c r="O755" s="189" t="s">
        <v>560</v>
      </c>
      <c r="P755" s="53" t="s">
        <v>12730</v>
      </c>
      <c r="Q755" s="53" t="s">
        <v>1939</v>
      </c>
      <c r="R755" s="53" t="s">
        <v>12729</v>
      </c>
      <c r="U755" s="29" t="s">
        <v>12344</v>
      </c>
    </row>
    <row r="756" spans="1:22" ht="45" x14ac:dyDescent="0.25">
      <c r="A756" s="56">
        <v>43369</v>
      </c>
      <c r="B756" s="53" t="s">
        <v>6076</v>
      </c>
      <c r="C756" s="29" t="s">
        <v>12608</v>
      </c>
      <c r="D756" s="29" t="s">
        <v>10524</v>
      </c>
      <c r="E756" s="29" t="s">
        <v>588</v>
      </c>
      <c r="F756" s="29" t="s">
        <v>12731</v>
      </c>
      <c r="G756" s="29" t="s">
        <v>12732</v>
      </c>
      <c r="H756" s="29" t="s">
        <v>607</v>
      </c>
      <c r="I756" s="29" t="s">
        <v>12733</v>
      </c>
      <c r="J756" s="29" t="s">
        <v>3370</v>
      </c>
      <c r="L756" s="182">
        <v>5</v>
      </c>
      <c r="M756" s="113">
        <v>281000</v>
      </c>
      <c r="N756" s="113">
        <f>+M756+262000+100000+28100</f>
        <v>671100</v>
      </c>
      <c r="O756" s="189" t="s">
        <v>10763</v>
      </c>
      <c r="P756" s="53" t="s">
        <v>12734</v>
      </c>
      <c r="Q756" s="53" t="s">
        <v>29</v>
      </c>
      <c r="R756" s="53" t="s">
        <v>12735</v>
      </c>
      <c r="U756" s="29" t="s">
        <v>12344</v>
      </c>
    </row>
    <row r="757" spans="1:22" ht="45" x14ac:dyDescent="0.25">
      <c r="A757" s="56">
        <v>43369</v>
      </c>
      <c r="B757" s="53" t="s">
        <v>9240</v>
      </c>
      <c r="C757" s="29" t="s">
        <v>603</v>
      </c>
      <c r="D757" s="29" t="s">
        <v>9241</v>
      </c>
      <c r="E757" s="29" t="s">
        <v>588</v>
      </c>
      <c r="F757" s="29" t="s">
        <v>12736</v>
      </c>
      <c r="G757" s="29" t="s">
        <v>8607</v>
      </c>
      <c r="H757" s="29" t="s">
        <v>607</v>
      </c>
      <c r="I757" s="29" t="s">
        <v>5888</v>
      </c>
      <c r="J757" s="29" t="s">
        <v>3373</v>
      </c>
      <c r="L757" s="182">
        <v>2</v>
      </c>
      <c r="M757" s="113">
        <v>650000</v>
      </c>
      <c r="N757" s="113">
        <f>+M757+65000+487500</f>
        <v>1202500</v>
      </c>
      <c r="O757" s="189" t="s">
        <v>10766</v>
      </c>
      <c r="P757" s="53" t="s">
        <v>12737</v>
      </c>
      <c r="Q757" s="53" t="s">
        <v>592</v>
      </c>
      <c r="R757" s="53" t="s">
        <v>12738</v>
      </c>
      <c r="U757" s="29" t="s">
        <v>12344</v>
      </c>
    </row>
    <row r="758" spans="1:22" ht="90" x14ac:dyDescent="0.25">
      <c r="A758" s="193">
        <v>43369</v>
      </c>
      <c r="B758" s="53" t="s">
        <v>328</v>
      </c>
      <c r="C758" s="53" t="s">
        <v>603</v>
      </c>
      <c r="D758" s="53" t="s">
        <v>672</v>
      </c>
      <c r="E758" s="53" t="s">
        <v>588</v>
      </c>
      <c r="F758" s="53" t="s">
        <v>6744</v>
      </c>
      <c r="G758" s="53" t="s">
        <v>12320</v>
      </c>
      <c r="H758" s="53" t="s">
        <v>12311</v>
      </c>
      <c r="I758" s="53" t="s">
        <v>7593</v>
      </c>
      <c r="J758" s="53" t="s">
        <v>3426</v>
      </c>
      <c r="K758" s="219"/>
      <c r="L758" s="194"/>
      <c r="M758" s="195">
        <v>10000</v>
      </c>
      <c r="N758" s="195">
        <v>682000</v>
      </c>
      <c r="O758" s="189" t="s">
        <v>10766</v>
      </c>
      <c r="P758" s="53" t="s">
        <v>12739</v>
      </c>
      <c r="Q758" s="53" t="s">
        <v>592</v>
      </c>
      <c r="R758" s="53" t="s">
        <v>12740</v>
      </c>
      <c r="T758" s="53"/>
      <c r="U758" s="53" t="s">
        <v>12344</v>
      </c>
    </row>
    <row r="759" spans="1:22" ht="120" x14ac:dyDescent="0.25">
      <c r="A759" s="56">
        <v>43369</v>
      </c>
      <c r="B759" s="53" t="s">
        <v>5360</v>
      </c>
      <c r="C759" s="29" t="s">
        <v>899</v>
      </c>
      <c r="D759" s="29" t="s">
        <v>624</v>
      </c>
      <c r="E759" s="29" t="s">
        <v>12741</v>
      </c>
      <c r="F759" s="29" t="s">
        <v>12742</v>
      </c>
      <c r="G759" s="29" t="s">
        <v>10705</v>
      </c>
      <c r="H759" s="29" t="s">
        <v>607</v>
      </c>
      <c r="I759" s="29" t="s">
        <v>4078</v>
      </c>
      <c r="J759" s="29" t="s">
        <v>899</v>
      </c>
      <c r="L759" s="182">
        <v>3</v>
      </c>
      <c r="M759" s="113">
        <v>1850160</v>
      </c>
      <c r="N759" s="113">
        <f>+M759+185016+1110096+370032</f>
        <v>3515304</v>
      </c>
      <c r="O759" s="189" t="s">
        <v>560</v>
      </c>
      <c r="P759" s="53" t="s">
        <v>12892</v>
      </c>
      <c r="Q759" s="53" t="s">
        <v>1939</v>
      </c>
      <c r="R759" s="53" t="s">
        <v>13396</v>
      </c>
      <c r="U759" s="29" t="s">
        <v>12893</v>
      </c>
    </row>
    <row r="760" spans="1:22" ht="240" x14ac:dyDescent="0.25">
      <c r="A760" s="56">
        <v>43370</v>
      </c>
      <c r="B760" s="53" t="s">
        <v>5956</v>
      </c>
      <c r="C760" s="29" t="s">
        <v>644</v>
      </c>
      <c r="D760" s="29" t="s">
        <v>645</v>
      </c>
      <c r="E760" s="29" t="s">
        <v>588</v>
      </c>
      <c r="F760" s="29" t="s">
        <v>12744</v>
      </c>
      <c r="G760" s="29" t="s">
        <v>1016</v>
      </c>
      <c r="H760" s="29" t="s">
        <v>886</v>
      </c>
      <c r="I760" s="29" t="s">
        <v>12745</v>
      </c>
      <c r="J760" s="29" t="s">
        <v>644</v>
      </c>
      <c r="L760" s="182">
        <v>1</v>
      </c>
      <c r="M760" s="113">
        <v>1800000</v>
      </c>
      <c r="N760" s="113">
        <f>+M760+250000+960000</f>
        <v>3010000</v>
      </c>
      <c r="O760" s="189" t="s">
        <v>10766</v>
      </c>
      <c r="P760" s="53" t="s">
        <v>12746</v>
      </c>
      <c r="Q760" s="53" t="s">
        <v>1939</v>
      </c>
      <c r="R760" s="53" t="s">
        <v>12832</v>
      </c>
      <c r="U760" s="29" t="s">
        <v>12344</v>
      </c>
    </row>
    <row r="761" spans="1:22" ht="45" x14ac:dyDescent="0.25">
      <c r="A761" s="56">
        <v>43370</v>
      </c>
      <c r="B761" s="53" t="s">
        <v>569</v>
      </c>
      <c r="C761" s="29" t="s">
        <v>899</v>
      </c>
      <c r="D761" s="29" t="s">
        <v>3505</v>
      </c>
      <c r="E761" s="29" t="s">
        <v>588</v>
      </c>
      <c r="F761" s="29" t="s">
        <v>12747</v>
      </c>
      <c r="G761" s="29" t="s">
        <v>930</v>
      </c>
      <c r="H761" s="29" t="s">
        <v>886</v>
      </c>
      <c r="I761" s="29" t="s">
        <v>2054</v>
      </c>
      <c r="J761" s="29" t="s">
        <v>899</v>
      </c>
      <c r="L761" s="182">
        <v>2</v>
      </c>
      <c r="M761" s="113">
        <v>613000</v>
      </c>
      <c r="N761" s="113">
        <f>+M761+60000+300000+120000</f>
        <v>1093000</v>
      </c>
      <c r="O761" s="189" t="s">
        <v>10766</v>
      </c>
      <c r="P761" s="53" t="s">
        <v>12748</v>
      </c>
      <c r="Q761" s="53" t="s">
        <v>592</v>
      </c>
      <c r="R761" s="53" t="s">
        <v>12749</v>
      </c>
      <c r="U761" s="29" t="s">
        <v>12344</v>
      </c>
    </row>
    <row r="762" spans="1:22" ht="45" x14ac:dyDescent="0.25">
      <c r="A762" s="56">
        <v>43370</v>
      </c>
      <c r="B762" s="53" t="s">
        <v>328</v>
      </c>
      <c r="C762" s="29" t="s">
        <v>603</v>
      </c>
      <c r="D762" s="29" t="s">
        <v>8941</v>
      </c>
      <c r="E762" s="29" t="s">
        <v>588</v>
      </c>
      <c r="F762" s="29" t="s">
        <v>12750</v>
      </c>
      <c r="G762" s="29" t="s">
        <v>587</v>
      </c>
      <c r="H762" s="29" t="s">
        <v>10832</v>
      </c>
      <c r="I762" s="29" t="s">
        <v>11867</v>
      </c>
      <c r="J762" s="29" t="s">
        <v>8194</v>
      </c>
      <c r="L762" s="182">
        <v>10</v>
      </c>
      <c r="M762" s="113">
        <v>1005200</v>
      </c>
      <c r="N762" s="113">
        <v>2010400</v>
      </c>
      <c r="O762" s="189" t="s">
        <v>7124</v>
      </c>
      <c r="P762" s="53" t="s">
        <v>12751</v>
      </c>
      <c r="Q762" s="53" t="s">
        <v>29</v>
      </c>
      <c r="R762" s="53" t="s">
        <v>12752</v>
      </c>
      <c r="U762" s="29" t="s">
        <v>12344</v>
      </c>
    </row>
    <row r="763" spans="1:22" ht="90" x14ac:dyDescent="0.25">
      <c r="A763" s="56">
        <v>43370</v>
      </c>
      <c r="B763" s="53" t="s">
        <v>328</v>
      </c>
      <c r="C763" s="29" t="s">
        <v>603</v>
      </c>
      <c r="D763" s="29" t="s">
        <v>7595</v>
      </c>
      <c r="E763" s="29" t="s">
        <v>588</v>
      </c>
      <c r="F763" s="29" t="s">
        <v>12753</v>
      </c>
      <c r="G763" s="29" t="s">
        <v>10796</v>
      </c>
      <c r="H763" s="29" t="s">
        <v>10831</v>
      </c>
      <c r="I763" s="29" t="s">
        <v>9429</v>
      </c>
      <c r="J763" s="29" t="s">
        <v>3501</v>
      </c>
      <c r="L763" s="182">
        <v>10</v>
      </c>
      <c r="M763" s="113">
        <v>335000</v>
      </c>
      <c r="N763" s="113">
        <f>+M763+50000+100000</f>
        <v>485000</v>
      </c>
      <c r="O763" s="189" t="s">
        <v>7124</v>
      </c>
      <c r="P763" s="53" t="s">
        <v>12754</v>
      </c>
      <c r="Q763" s="53" t="s">
        <v>1939</v>
      </c>
      <c r="R763" s="53" t="s">
        <v>12755</v>
      </c>
      <c r="U763" s="29" t="s">
        <v>12344</v>
      </c>
    </row>
    <row r="764" spans="1:22" ht="30" x14ac:dyDescent="0.25">
      <c r="A764" s="56">
        <v>43370</v>
      </c>
      <c r="B764" s="53" t="s">
        <v>328</v>
      </c>
      <c r="C764" s="29" t="s">
        <v>603</v>
      </c>
      <c r="D764" s="29" t="s">
        <v>7595</v>
      </c>
      <c r="E764" s="29" t="s">
        <v>588</v>
      </c>
      <c r="F764" s="29" t="s">
        <v>12756</v>
      </c>
      <c r="G764" s="29" t="s">
        <v>7814</v>
      </c>
      <c r="H764" s="29" t="s">
        <v>886</v>
      </c>
      <c r="I764" s="29" t="s">
        <v>6656</v>
      </c>
      <c r="J764" s="29" t="s">
        <v>6657</v>
      </c>
      <c r="L764" s="182">
        <v>4</v>
      </c>
      <c r="M764" s="113">
        <v>1487130</v>
      </c>
      <c r="N764" s="113">
        <f>+M764+297425+743565</f>
        <v>2528120</v>
      </c>
      <c r="O764" s="189" t="s">
        <v>10766</v>
      </c>
      <c r="P764" s="53" t="s">
        <v>12757</v>
      </c>
      <c r="Q764" s="53" t="s">
        <v>592</v>
      </c>
      <c r="R764" s="53" t="s">
        <v>12758</v>
      </c>
      <c r="U764" s="29" t="s">
        <v>12344</v>
      </c>
    </row>
    <row r="765" spans="1:22" ht="30" x14ac:dyDescent="0.25">
      <c r="A765" s="56">
        <v>43370</v>
      </c>
      <c r="B765" s="53" t="s">
        <v>328</v>
      </c>
      <c r="C765" s="29" t="s">
        <v>603</v>
      </c>
      <c r="D765" s="29" t="s">
        <v>649</v>
      </c>
      <c r="E765" s="29" t="s">
        <v>588</v>
      </c>
      <c r="F765" s="29" t="s">
        <v>351</v>
      </c>
      <c r="G765" s="29" t="s">
        <v>7855</v>
      </c>
      <c r="H765" s="29" t="s">
        <v>10829</v>
      </c>
      <c r="I765" s="29" t="s">
        <v>11066</v>
      </c>
      <c r="J765" s="29" t="s">
        <v>3751</v>
      </c>
      <c r="L765" s="182">
        <v>10</v>
      </c>
      <c r="M765" s="113">
        <v>60000</v>
      </c>
      <c r="N765" s="113">
        <f>+M765</f>
        <v>60000</v>
      </c>
      <c r="O765" s="189" t="s">
        <v>7124</v>
      </c>
      <c r="P765" s="53" t="s">
        <v>12759</v>
      </c>
      <c r="Q765" s="53" t="s">
        <v>29</v>
      </c>
      <c r="R765" s="53" t="s">
        <v>13397</v>
      </c>
      <c r="U765" s="29" t="s">
        <v>12344</v>
      </c>
    </row>
    <row r="766" spans="1:22" ht="75" x14ac:dyDescent="0.25">
      <c r="A766" s="56">
        <v>43371</v>
      </c>
      <c r="B766" s="53" t="s">
        <v>643</v>
      </c>
      <c r="C766" s="29" t="s">
        <v>644</v>
      </c>
      <c r="D766" s="29" t="s">
        <v>645</v>
      </c>
      <c r="E766" s="29" t="s">
        <v>588</v>
      </c>
      <c r="F766" s="29" t="s">
        <v>12760</v>
      </c>
      <c r="G766" s="29" t="s">
        <v>1016</v>
      </c>
      <c r="H766" s="29" t="s">
        <v>809</v>
      </c>
      <c r="I766" s="29" t="s">
        <v>12761</v>
      </c>
      <c r="J766" s="29" t="s">
        <v>3367</v>
      </c>
      <c r="L766" s="182">
        <v>5</v>
      </c>
      <c r="M766" s="113">
        <v>50000</v>
      </c>
      <c r="N766" s="113">
        <v>50000</v>
      </c>
      <c r="O766" s="189" t="s">
        <v>10763</v>
      </c>
      <c r="P766" s="53" t="s">
        <v>13398</v>
      </c>
      <c r="Q766" s="53" t="s">
        <v>592</v>
      </c>
      <c r="R766" s="53" t="s">
        <v>12762</v>
      </c>
      <c r="U766" s="29" t="s">
        <v>12344</v>
      </c>
    </row>
    <row r="767" spans="1:22" ht="75" x14ac:dyDescent="0.25">
      <c r="A767" s="56">
        <v>43371</v>
      </c>
      <c r="B767" s="53" t="s">
        <v>328</v>
      </c>
      <c r="C767" s="29" t="s">
        <v>603</v>
      </c>
      <c r="D767" s="29" t="s">
        <v>8941</v>
      </c>
      <c r="E767" s="29" t="s">
        <v>588</v>
      </c>
      <c r="F767" s="29" t="s">
        <v>10367</v>
      </c>
      <c r="G767" s="29" t="s">
        <v>12763</v>
      </c>
      <c r="H767" s="29" t="s">
        <v>905</v>
      </c>
      <c r="I767" s="29" t="s">
        <v>12764</v>
      </c>
      <c r="J767" s="29" t="s">
        <v>899</v>
      </c>
      <c r="L767" s="182">
        <v>2</v>
      </c>
      <c r="M767" s="113">
        <v>295000</v>
      </c>
      <c r="N767" s="113">
        <f>+M767</f>
        <v>295000</v>
      </c>
      <c r="O767" s="189" t="s">
        <v>7564</v>
      </c>
      <c r="P767" s="53" t="s">
        <v>12765</v>
      </c>
      <c r="Q767" s="53" t="s">
        <v>1612</v>
      </c>
      <c r="R767" s="53" t="s">
        <v>12774</v>
      </c>
      <c r="U767" s="29" t="s">
        <v>12344</v>
      </c>
    </row>
    <row r="768" spans="1:22" ht="45" x14ac:dyDescent="0.25">
      <c r="A768" s="56">
        <v>43371</v>
      </c>
      <c r="B768" s="53" t="s">
        <v>569</v>
      </c>
      <c r="C768" s="29" t="s">
        <v>899</v>
      </c>
      <c r="D768" s="29" t="s">
        <v>625</v>
      </c>
      <c r="E768" s="29" t="s">
        <v>588</v>
      </c>
      <c r="F768" s="29" t="s">
        <v>12766</v>
      </c>
      <c r="G768" s="29" t="s">
        <v>11155</v>
      </c>
      <c r="H768" s="29" t="s">
        <v>607</v>
      </c>
      <c r="I768" s="29" t="s">
        <v>2054</v>
      </c>
      <c r="J768" s="29" t="s">
        <v>899</v>
      </c>
      <c r="M768" s="113">
        <v>1026000</v>
      </c>
      <c r="N768" s="113">
        <v>1846800</v>
      </c>
      <c r="O768" s="189" t="s">
        <v>7564</v>
      </c>
      <c r="P768" s="53" t="s">
        <v>12767</v>
      </c>
      <c r="Q768" s="53" t="s">
        <v>1939</v>
      </c>
      <c r="R768" s="53" t="s">
        <v>12978</v>
      </c>
      <c r="U768" s="29" t="s">
        <v>12344</v>
      </c>
    </row>
    <row r="769" spans="1:23" ht="90" x14ac:dyDescent="0.25">
      <c r="A769" s="56">
        <v>43371</v>
      </c>
      <c r="B769" s="53" t="s">
        <v>569</v>
      </c>
      <c r="C769" s="29" t="s">
        <v>899</v>
      </c>
      <c r="D769" s="29" t="s">
        <v>625</v>
      </c>
      <c r="E769" s="29" t="s">
        <v>588</v>
      </c>
      <c r="F769" s="29" t="s">
        <v>12768</v>
      </c>
      <c r="G769" s="29" t="s">
        <v>12769</v>
      </c>
      <c r="H769" s="29" t="s">
        <v>607</v>
      </c>
      <c r="I769" s="29" t="s">
        <v>4674</v>
      </c>
      <c r="J769" s="29" t="s">
        <v>899</v>
      </c>
      <c r="L769" s="182">
        <v>4</v>
      </c>
      <c r="M769" s="113">
        <v>645000</v>
      </c>
      <c r="N769" s="113">
        <f>+M769+64500+100000+100000</f>
        <v>909500</v>
      </c>
      <c r="O769" s="189" t="s">
        <v>10763</v>
      </c>
      <c r="P769" s="53" t="s">
        <v>12770</v>
      </c>
      <c r="Q769" s="53" t="s">
        <v>1939</v>
      </c>
      <c r="R769" s="53" t="s">
        <v>12771</v>
      </c>
      <c r="U769" s="29" t="s">
        <v>12344</v>
      </c>
    </row>
    <row r="770" spans="1:23" ht="15.75" x14ac:dyDescent="0.25">
      <c r="A770" s="56">
        <v>43374</v>
      </c>
      <c r="B770" s="53" t="s">
        <v>569</v>
      </c>
      <c r="C770" s="29" t="s">
        <v>899</v>
      </c>
      <c r="D770" s="29" t="s">
        <v>9981</v>
      </c>
      <c r="E770" s="29" t="s">
        <v>588</v>
      </c>
      <c r="F770" s="29" t="s">
        <v>3975</v>
      </c>
      <c r="G770" s="29" t="s">
        <v>12772</v>
      </c>
      <c r="H770" s="29" t="s">
        <v>905</v>
      </c>
      <c r="I770" s="29" t="s">
        <v>5910</v>
      </c>
      <c r="J770" s="29" t="s">
        <v>899</v>
      </c>
      <c r="M770" s="113">
        <v>1657000</v>
      </c>
      <c r="N770" s="113">
        <f>+M770+165700</f>
        <v>1822700</v>
      </c>
      <c r="O770" s="189" t="s">
        <v>10763</v>
      </c>
      <c r="P770" s="53" t="s">
        <v>12773</v>
      </c>
      <c r="Q770" s="53" t="s">
        <v>1939</v>
      </c>
      <c r="U770" s="29" t="s">
        <v>12344</v>
      </c>
    </row>
    <row r="771" spans="1:23" ht="45" x14ac:dyDescent="0.25">
      <c r="A771" s="56">
        <v>43374</v>
      </c>
      <c r="B771" s="53" t="s">
        <v>328</v>
      </c>
      <c r="C771" s="29" t="s">
        <v>603</v>
      </c>
      <c r="D771" s="29" t="s">
        <v>5701</v>
      </c>
      <c r="E771" s="29" t="s">
        <v>588</v>
      </c>
      <c r="F771" s="29" t="s">
        <v>12775</v>
      </c>
      <c r="G771" s="29" t="s">
        <v>11509</v>
      </c>
      <c r="H771" s="29" t="s">
        <v>607</v>
      </c>
      <c r="I771" s="29" t="s">
        <v>12799</v>
      </c>
      <c r="J771" s="29" t="s">
        <v>3426</v>
      </c>
      <c r="L771" s="182">
        <v>10</v>
      </c>
      <c r="M771" s="113">
        <v>274000</v>
      </c>
      <c r="N771" s="113">
        <f>+M771+27400+191800+54800</f>
        <v>548000</v>
      </c>
      <c r="O771" s="189" t="s">
        <v>7124</v>
      </c>
      <c r="P771" s="53" t="s">
        <v>12776</v>
      </c>
      <c r="Q771" s="53" t="s">
        <v>1939</v>
      </c>
      <c r="R771" s="53" t="s">
        <v>12800</v>
      </c>
      <c r="U771" s="29" t="s">
        <v>12344</v>
      </c>
    </row>
    <row r="772" spans="1:23" ht="15.75" x14ac:dyDescent="0.25">
      <c r="A772" s="56">
        <v>43374</v>
      </c>
      <c r="B772" s="53" t="s">
        <v>569</v>
      </c>
      <c r="C772" s="29" t="s">
        <v>899</v>
      </c>
      <c r="D772" s="29" t="s">
        <v>624</v>
      </c>
      <c r="E772" s="29" t="s">
        <v>588</v>
      </c>
      <c r="O772" s="189"/>
      <c r="Q772" s="53" t="s">
        <v>592</v>
      </c>
      <c r="U772" s="29" t="s">
        <v>12344</v>
      </c>
    </row>
    <row r="773" spans="1:23" ht="45" x14ac:dyDescent="0.25">
      <c r="A773" s="56">
        <v>43374</v>
      </c>
      <c r="B773" s="53" t="s">
        <v>9240</v>
      </c>
      <c r="C773" s="29" t="s">
        <v>603</v>
      </c>
      <c r="D773" s="29" t="s">
        <v>9241</v>
      </c>
      <c r="E773" s="29" t="s">
        <v>588</v>
      </c>
      <c r="F773" s="29" t="s">
        <v>491</v>
      </c>
      <c r="G773" s="29" t="s">
        <v>12777</v>
      </c>
      <c r="H773" s="29" t="s">
        <v>607</v>
      </c>
      <c r="I773" s="29" t="s">
        <v>9018</v>
      </c>
      <c r="J773" s="29" t="s">
        <v>3373</v>
      </c>
      <c r="L773" s="182">
        <v>5</v>
      </c>
      <c r="M773" s="113">
        <v>584608</v>
      </c>
      <c r="N773" s="113">
        <f>+M773+58460+409226+116921</f>
        <v>1169215</v>
      </c>
      <c r="O773" s="189" t="s">
        <v>10766</v>
      </c>
      <c r="P773" s="53" t="s">
        <v>12778</v>
      </c>
      <c r="Q773" s="53" t="s">
        <v>1939</v>
      </c>
      <c r="R773" s="53" t="s">
        <v>12779</v>
      </c>
      <c r="U773" s="29" t="s">
        <v>12344</v>
      </c>
    </row>
    <row r="774" spans="1:23" ht="45" x14ac:dyDescent="0.25">
      <c r="A774" s="56">
        <v>43374</v>
      </c>
      <c r="B774" s="53" t="s">
        <v>5956</v>
      </c>
      <c r="C774" s="29" t="s">
        <v>3369</v>
      </c>
      <c r="D774" s="29" t="s">
        <v>8126</v>
      </c>
      <c r="E774" s="29" t="s">
        <v>588</v>
      </c>
      <c r="F774" s="29" t="s">
        <v>12780</v>
      </c>
      <c r="G774" s="29" t="s">
        <v>9375</v>
      </c>
      <c r="H774" s="29" t="s">
        <v>607</v>
      </c>
      <c r="I774" s="29" t="s">
        <v>12781</v>
      </c>
      <c r="J774" s="29" t="s">
        <v>4825</v>
      </c>
      <c r="L774" s="182">
        <v>5</v>
      </c>
      <c r="M774" s="113">
        <v>250000</v>
      </c>
      <c r="N774" s="113">
        <f>+M774+25000+80000+450000</f>
        <v>805000</v>
      </c>
      <c r="O774" s="189" t="s">
        <v>10766</v>
      </c>
      <c r="P774" s="53" t="s">
        <v>12782</v>
      </c>
      <c r="Q774" s="53" t="s">
        <v>1939</v>
      </c>
      <c r="R774" s="53" t="s">
        <v>12783</v>
      </c>
      <c r="U774" s="29" t="s">
        <v>12344</v>
      </c>
    </row>
    <row r="775" spans="1:23" ht="45" x14ac:dyDescent="0.25">
      <c r="A775" s="56">
        <v>43374</v>
      </c>
      <c r="B775" s="53" t="s">
        <v>569</v>
      </c>
      <c r="C775" s="29" t="s">
        <v>899</v>
      </c>
      <c r="D775" s="29" t="s">
        <v>625</v>
      </c>
      <c r="E775" s="29" t="s">
        <v>588</v>
      </c>
      <c r="F775" s="29" t="s">
        <v>351</v>
      </c>
      <c r="G775" s="29" t="s">
        <v>12784</v>
      </c>
      <c r="H775" s="29" t="s">
        <v>607</v>
      </c>
      <c r="I775" s="29" t="s">
        <v>3947</v>
      </c>
      <c r="J775" s="29" t="s">
        <v>899</v>
      </c>
      <c r="L775" s="182">
        <v>3</v>
      </c>
      <c r="M775" s="113">
        <v>200000</v>
      </c>
      <c r="N775" s="113">
        <f>+M775+20000+60000+40000</f>
        <v>320000</v>
      </c>
      <c r="O775" s="189" t="s">
        <v>10763</v>
      </c>
      <c r="P775" s="53" t="s">
        <v>12786</v>
      </c>
      <c r="Q775" s="53" t="s">
        <v>620</v>
      </c>
      <c r="R775" s="53" t="s">
        <v>12785</v>
      </c>
      <c r="U775" s="29" t="s">
        <v>12344</v>
      </c>
    </row>
    <row r="776" spans="1:23" ht="60" x14ac:dyDescent="0.25">
      <c r="A776" s="56">
        <v>43375</v>
      </c>
      <c r="B776" s="53" t="s">
        <v>328</v>
      </c>
      <c r="C776" s="29" t="s">
        <v>603</v>
      </c>
      <c r="D776" s="29" t="s">
        <v>1401</v>
      </c>
      <c r="E776" s="29" t="s">
        <v>588</v>
      </c>
      <c r="F776" s="29" t="s">
        <v>12787</v>
      </c>
      <c r="G776" s="29" t="s">
        <v>7714</v>
      </c>
      <c r="H776" s="29" t="s">
        <v>607</v>
      </c>
      <c r="I776" s="29" t="s">
        <v>12788</v>
      </c>
      <c r="J776" s="29" t="s">
        <v>899</v>
      </c>
      <c r="L776" s="182">
        <v>3</v>
      </c>
      <c r="M776" s="113">
        <v>425000</v>
      </c>
      <c r="N776" s="113">
        <f>+M776+42500+212500+42500</f>
        <v>722500</v>
      </c>
      <c r="O776" s="189" t="s">
        <v>10763</v>
      </c>
      <c r="P776" s="53" t="s">
        <v>12789</v>
      </c>
      <c r="Q776" s="53" t="s">
        <v>29</v>
      </c>
      <c r="R776" s="53" t="s">
        <v>12790</v>
      </c>
      <c r="U776" s="29" t="s">
        <v>12344</v>
      </c>
    </row>
    <row r="777" spans="1:23" ht="75" x14ac:dyDescent="0.25">
      <c r="A777" s="56">
        <v>43375</v>
      </c>
      <c r="B777" s="53" t="s">
        <v>569</v>
      </c>
      <c r="C777" s="29" t="s">
        <v>899</v>
      </c>
      <c r="D777" s="29" t="s">
        <v>624</v>
      </c>
      <c r="E777" s="29" t="s">
        <v>588</v>
      </c>
      <c r="F777" s="29" t="s">
        <v>12791</v>
      </c>
      <c r="H777" s="29" t="s">
        <v>905</v>
      </c>
      <c r="I777" s="29" t="s">
        <v>9831</v>
      </c>
      <c r="J777" s="29" t="s">
        <v>899</v>
      </c>
      <c r="M777" s="113">
        <v>950000</v>
      </c>
      <c r="N777" s="113">
        <f>+M777+30000+100000+225000</f>
        <v>1305000</v>
      </c>
      <c r="O777" s="189" t="s">
        <v>560</v>
      </c>
      <c r="P777" s="53" t="s">
        <v>12792</v>
      </c>
      <c r="Q777" s="53" t="s">
        <v>1939</v>
      </c>
      <c r="R777" s="53" t="s">
        <v>12793</v>
      </c>
      <c r="U777" s="29" t="s">
        <v>12344</v>
      </c>
      <c r="W777" s="53" t="s">
        <v>12794</v>
      </c>
    </row>
    <row r="778" spans="1:23" ht="60" x14ac:dyDescent="0.25">
      <c r="A778" s="56">
        <v>43375</v>
      </c>
      <c r="B778" s="53" t="s">
        <v>328</v>
      </c>
      <c r="C778" s="29" t="s">
        <v>603</v>
      </c>
      <c r="D778" s="29" t="s">
        <v>10705</v>
      </c>
      <c r="E778" s="29" t="s">
        <v>588</v>
      </c>
      <c r="F778" s="29" t="s">
        <v>12795</v>
      </c>
      <c r="G778" s="29" t="s">
        <v>12796</v>
      </c>
      <c r="H778" s="29" t="s">
        <v>607</v>
      </c>
      <c r="I778" s="29" t="s">
        <v>5862</v>
      </c>
      <c r="J778" s="29" t="s">
        <v>3751</v>
      </c>
      <c r="L778" s="182">
        <v>2</v>
      </c>
      <c r="M778" s="113">
        <v>195000</v>
      </c>
      <c r="N778" s="113">
        <f>+M778+19500+97500+19500</f>
        <v>331500</v>
      </c>
      <c r="O778" s="189" t="s">
        <v>4533</v>
      </c>
      <c r="P778" s="53" t="s">
        <v>13399</v>
      </c>
      <c r="Q778" s="53" t="s">
        <v>1939</v>
      </c>
      <c r="R778" s="53" t="s">
        <v>12798</v>
      </c>
      <c r="U778" s="29" t="s">
        <v>12797</v>
      </c>
    </row>
    <row r="779" spans="1:23" ht="45" x14ac:dyDescent="0.25">
      <c r="A779" s="56">
        <v>43376</v>
      </c>
      <c r="B779" s="53" t="s">
        <v>328</v>
      </c>
      <c r="C779" s="29" t="s">
        <v>603</v>
      </c>
      <c r="D779" s="29" t="s">
        <v>625</v>
      </c>
      <c r="E779" s="29" t="s">
        <v>588</v>
      </c>
      <c r="F779" s="29" t="s">
        <v>12801</v>
      </c>
      <c r="G779" s="29" t="s">
        <v>7855</v>
      </c>
      <c r="H779" s="29" t="s">
        <v>607</v>
      </c>
      <c r="I779" s="29" t="s">
        <v>12802</v>
      </c>
      <c r="J779" s="29" t="s">
        <v>899</v>
      </c>
      <c r="L779" s="182" t="s">
        <v>12803</v>
      </c>
      <c r="M779" s="113">
        <v>2100000</v>
      </c>
      <c r="N779" s="113">
        <f>+M779+210000+1050000+1050000</f>
        <v>4410000</v>
      </c>
      <c r="O779" s="189" t="s">
        <v>560</v>
      </c>
      <c r="P779" s="53" t="s">
        <v>12804</v>
      </c>
      <c r="Q779" s="53" t="s">
        <v>1939</v>
      </c>
      <c r="R779" s="53" t="s">
        <v>12805</v>
      </c>
      <c r="U779" s="29" t="s">
        <v>12344</v>
      </c>
    </row>
    <row r="780" spans="1:23" ht="75" x14ac:dyDescent="0.25">
      <c r="A780" s="56">
        <v>43376</v>
      </c>
      <c r="B780" s="53" t="s">
        <v>569</v>
      </c>
      <c r="C780" s="29" t="s">
        <v>899</v>
      </c>
      <c r="D780" s="29" t="s">
        <v>624</v>
      </c>
      <c r="E780" s="29" t="s">
        <v>588</v>
      </c>
      <c r="F780" s="29" t="s">
        <v>12806</v>
      </c>
      <c r="G780" s="29" t="s">
        <v>10957</v>
      </c>
      <c r="H780" s="29" t="s">
        <v>10832</v>
      </c>
      <c r="I780" s="29" t="s">
        <v>7517</v>
      </c>
      <c r="J780" s="29" t="s">
        <v>899</v>
      </c>
      <c r="L780" s="182">
        <v>2</v>
      </c>
      <c r="M780" s="113">
        <v>682000</v>
      </c>
      <c r="N780" s="113">
        <f>M780+30000+100000+75000</f>
        <v>887000</v>
      </c>
      <c r="O780" s="189" t="s">
        <v>10763</v>
      </c>
      <c r="P780" s="53" t="s">
        <v>12807</v>
      </c>
      <c r="Q780" s="53" t="s">
        <v>1939</v>
      </c>
      <c r="R780" s="53" t="s">
        <v>12810</v>
      </c>
      <c r="U780" s="29" t="s">
        <v>12797</v>
      </c>
      <c r="W780" s="53" t="s">
        <v>12808</v>
      </c>
    </row>
    <row r="781" spans="1:23" ht="90" x14ac:dyDescent="0.25">
      <c r="A781" s="56">
        <v>43376</v>
      </c>
      <c r="B781" s="53" t="s">
        <v>569</v>
      </c>
      <c r="C781" s="29" t="s">
        <v>899</v>
      </c>
      <c r="D781" s="29" t="s">
        <v>625</v>
      </c>
      <c r="E781" s="29" t="s">
        <v>588</v>
      </c>
      <c r="F781" s="29" t="s">
        <v>12809</v>
      </c>
      <c r="G781" s="29" t="s">
        <v>3132</v>
      </c>
      <c r="H781" s="29" t="s">
        <v>905</v>
      </c>
      <c r="I781" s="29" t="s">
        <v>2054</v>
      </c>
      <c r="J781" s="29" t="s">
        <v>899</v>
      </c>
      <c r="L781" s="182">
        <v>1</v>
      </c>
      <c r="M781" s="113">
        <v>1200000</v>
      </c>
      <c r="N781" s="113">
        <f>M781+120000+100000+240000</f>
        <v>1660000</v>
      </c>
      <c r="O781" s="189" t="s">
        <v>4533</v>
      </c>
      <c r="P781" s="53" t="s">
        <v>13400</v>
      </c>
      <c r="Q781" s="53" t="s">
        <v>1939</v>
      </c>
      <c r="R781" s="53" t="s">
        <v>13401</v>
      </c>
      <c r="U781" s="29" t="s">
        <v>12797</v>
      </c>
    </row>
    <row r="782" spans="1:23" ht="75" x14ac:dyDescent="0.25">
      <c r="A782" s="56">
        <v>43376</v>
      </c>
      <c r="B782" s="53" t="s">
        <v>328</v>
      </c>
      <c r="C782" s="29" t="s">
        <v>603</v>
      </c>
      <c r="D782" s="29" t="s">
        <v>10705</v>
      </c>
      <c r="E782" s="29" t="s">
        <v>588</v>
      </c>
      <c r="F782" s="29" t="s">
        <v>12811</v>
      </c>
      <c r="H782" s="29" t="s">
        <v>10831</v>
      </c>
      <c r="I782" s="29" t="s">
        <v>9429</v>
      </c>
      <c r="J782" s="29" t="s">
        <v>3501</v>
      </c>
      <c r="L782" s="182">
        <v>6</v>
      </c>
      <c r="M782" s="113">
        <v>934800</v>
      </c>
      <c r="N782" s="113">
        <v>2076120</v>
      </c>
      <c r="O782" s="189" t="s">
        <v>4533</v>
      </c>
      <c r="P782" s="53" t="s">
        <v>13402</v>
      </c>
      <c r="Q782" s="53" t="s">
        <v>1939</v>
      </c>
      <c r="R782" s="53" t="s">
        <v>12813</v>
      </c>
      <c r="U782" s="29" t="s">
        <v>12344</v>
      </c>
    </row>
    <row r="783" spans="1:23" ht="75" x14ac:dyDescent="0.25">
      <c r="A783" s="56">
        <v>43376</v>
      </c>
      <c r="B783" s="53" t="s">
        <v>569</v>
      </c>
      <c r="C783" s="29" t="s">
        <v>899</v>
      </c>
      <c r="D783" s="29" t="s">
        <v>3505</v>
      </c>
      <c r="E783" s="29" t="s">
        <v>588</v>
      </c>
      <c r="F783" s="29" t="s">
        <v>12814</v>
      </c>
      <c r="G783" s="29" t="s">
        <v>10086</v>
      </c>
      <c r="H783" s="29" t="s">
        <v>607</v>
      </c>
      <c r="I783" s="29" t="s">
        <v>3837</v>
      </c>
      <c r="J783" s="29" t="s">
        <v>899</v>
      </c>
      <c r="L783" s="182">
        <v>2</v>
      </c>
      <c r="M783" s="113">
        <v>1800000</v>
      </c>
      <c r="N783" s="113">
        <f>+M783+180000+900000+360000</f>
        <v>3240000</v>
      </c>
      <c r="O783" s="189" t="s">
        <v>560</v>
      </c>
      <c r="P783" s="53" t="s">
        <v>12815</v>
      </c>
      <c r="Q783" s="53" t="s">
        <v>1939</v>
      </c>
      <c r="R783" s="53" t="s">
        <v>12816</v>
      </c>
      <c r="U783" s="29" t="s">
        <v>12344</v>
      </c>
    </row>
    <row r="784" spans="1:23" ht="60" x14ac:dyDescent="0.25">
      <c r="A784" s="56">
        <v>43376</v>
      </c>
      <c r="B784" s="53" t="s">
        <v>569</v>
      </c>
      <c r="C784" s="29" t="s">
        <v>899</v>
      </c>
      <c r="D784" s="29" t="s">
        <v>11286</v>
      </c>
      <c r="E784" s="29" t="s">
        <v>588</v>
      </c>
      <c r="F784" s="29" t="s">
        <v>12817</v>
      </c>
      <c r="G784" s="29" t="s">
        <v>12818</v>
      </c>
      <c r="H784" s="29" t="s">
        <v>886</v>
      </c>
      <c r="I784" s="29" t="s">
        <v>2054</v>
      </c>
      <c r="J784" s="29" t="s">
        <v>899</v>
      </c>
      <c r="L784" s="182">
        <v>2</v>
      </c>
      <c r="M784" s="113">
        <v>828300</v>
      </c>
      <c r="N784" s="113">
        <f>+M784+82830+579810+165660</f>
        <v>1656600</v>
      </c>
      <c r="O784" s="189" t="s">
        <v>560</v>
      </c>
      <c r="P784" s="53" t="s">
        <v>12819</v>
      </c>
      <c r="Q784" s="53" t="s">
        <v>29</v>
      </c>
      <c r="R784" s="53" t="s">
        <v>12820</v>
      </c>
      <c r="U784" s="29" t="s">
        <v>12344</v>
      </c>
    </row>
    <row r="785" spans="1:21" ht="45" x14ac:dyDescent="0.25">
      <c r="A785" s="56">
        <v>43376</v>
      </c>
      <c r="B785" s="53" t="s">
        <v>569</v>
      </c>
      <c r="C785" s="29" t="s">
        <v>899</v>
      </c>
      <c r="D785" s="29" t="s">
        <v>625</v>
      </c>
      <c r="E785" s="29" t="s">
        <v>588</v>
      </c>
      <c r="F785" s="29" t="s">
        <v>12821</v>
      </c>
      <c r="G785" s="29" t="s">
        <v>9305</v>
      </c>
      <c r="H785" s="29" t="s">
        <v>607</v>
      </c>
      <c r="I785" s="29" t="s">
        <v>12347</v>
      </c>
      <c r="J785" s="29" t="s">
        <v>899</v>
      </c>
      <c r="L785" s="182">
        <v>5</v>
      </c>
      <c r="M785" s="113">
        <v>1850000</v>
      </c>
      <c r="N785" s="113">
        <v>3330000</v>
      </c>
      <c r="O785" s="189" t="s">
        <v>560</v>
      </c>
      <c r="P785" s="53" t="s">
        <v>12822</v>
      </c>
      <c r="Q785" s="53" t="s">
        <v>592</v>
      </c>
      <c r="R785" s="53" t="s">
        <v>12823</v>
      </c>
      <c r="U785" s="29" t="s">
        <v>12344</v>
      </c>
    </row>
    <row r="786" spans="1:21" ht="60" x14ac:dyDescent="0.25">
      <c r="A786" s="56">
        <v>43376</v>
      </c>
      <c r="B786" s="53" t="s">
        <v>328</v>
      </c>
      <c r="C786" s="29" t="s">
        <v>603</v>
      </c>
      <c r="D786" s="29" t="s">
        <v>757</v>
      </c>
      <c r="E786" s="29" t="s">
        <v>588</v>
      </c>
      <c r="F786" s="29" t="s">
        <v>12824</v>
      </c>
      <c r="G786" s="29" t="s">
        <v>1401</v>
      </c>
      <c r="H786" s="29" t="s">
        <v>809</v>
      </c>
      <c r="I786" s="29" t="s">
        <v>8756</v>
      </c>
      <c r="J786" s="29" t="s">
        <v>3398</v>
      </c>
      <c r="L786" s="182">
        <v>3</v>
      </c>
      <c r="M786" s="113">
        <v>350000</v>
      </c>
      <c r="N786" s="113">
        <v>370000</v>
      </c>
      <c r="O786" s="189" t="s">
        <v>4533</v>
      </c>
      <c r="P786" s="53" t="s">
        <v>12825</v>
      </c>
      <c r="Q786" s="53" t="s">
        <v>29</v>
      </c>
      <c r="R786" s="53" t="s">
        <v>12826</v>
      </c>
      <c r="U786" s="29" t="s">
        <v>12344</v>
      </c>
    </row>
    <row r="787" spans="1:21" ht="60" x14ac:dyDescent="0.25">
      <c r="A787" s="56">
        <v>43376</v>
      </c>
      <c r="B787" s="53" t="s">
        <v>569</v>
      </c>
      <c r="C787" s="29" t="s">
        <v>899</v>
      </c>
      <c r="D787" s="29" t="s">
        <v>624</v>
      </c>
      <c r="E787" s="29" t="s">
        <v>588</v>
      </c>
      <c r="F787" s="29" t="s">
        <v>12827</v>
      </c>
      <c r="G787" s="29" t="s">
        <v>8490</v>
      </c>
      <c r="H787" s="29" t="s">
        <v>905</v>
      </c>
      <c r="I787" s="29" t="s">
        <v>3462</v>
      </c>
      <c r="J787" s="29" t="s">
        <v>899</v>
      </c>
      <c r="L787" s="182">
        <v>2</v>
      </c>
      <c r="M787" s="113">
        <v>3300000</v>
      </c>
      <c r="N787" s="113">
        <f>+M787+300000+150000</f>
        <v>3750000</v>
      </c>
      <c r="O787" s="189" t="s">
        <v>560</v>
      </c>
      <c r="P787" s="53" t="s">
        <v>12828</v>
      </c>
      <c r="Q787" s="53" t="s">
        <v>1939</v>
      </c>
      <c r="R787" s="53" t="s">
        <v>12829</v>
      </c>
      <c r="U787" s="29" t="s">
        <v>12344</v>
      </c>
    </row>
    <row r="788" spans="1:21" ht="90" x14ac:dyDescent="0.25">
      <c r="A788" s="56">
        <v>43376</v>
      </c>
      <c r="B788" s="53" t="s">
        <v>328</v>
      </c>
      <c r="C788" s="29" t="s">
        <v>603</v>
      </c>
      <c r="D788" s="29" t="s">
        <v>10705</v>
      </c>
      <c r="E788" s="29" t="s">
        <v>588</v>
      </c>
      <c r="F788" s="29" t="s">
        <v>12830</v>
      </c>
      <c r="G788" s="29" t="s">
        <v>9461</v>
      </c>
      <c r="H788" s="29" t="s">
        <v>607</v>
      </c>
      <c r="I788" s="29" t="s">
        <v>12831</v>
      </c>
      <c r="J788" s="29" t="s">
        <v>4031</v>
      </c>
      <c r="L788" s="182">
        <v>3</v>
      </c>
      <c r="M788" s="113">
        <v>450000</v>
      </c>
      <c r="N788" s="113">
        <v>900000</v>
      </c>
      <c r="O788" s="189" t="s">
        <v>10763</v>
      </c>
      <c r="P788" s="53" t="s">
        <v>13403</v>
      </c>
      <c r="Q788" s="53" t="s">
        <v>1939</v>
      </c>
      <c r="R788" s="53" t="s">
        <v>13404</v>
      </c>
      <c r="U788" s="29" t="s">
        <v>12344</v>
      </c>
    </row>
    <row r="789" spans="1:21" ht="60" x14ac:dyDescent="0.25">
      <c r="A789" s="56">
        <v>43377</v>
      </c>
      <c r="B789" s="53" t="s">
        <v>328</v>
      </c>
      <c r="C789" s="29" t="s">
        <v>603</v>
      </c>
      <c r="D789" s="29" t="s">
        <v>10705</v>
      </c>
      <c r="E789" s="29" t="s">
        <v>588</v>
      </c>
      <c r="F789" s="29" t="s">
        <v>12833</v>
      </c>
      <c r="G789" s="29" t="s">
        <v>12834</v>
      </c>
      <c r="H789" s="29" t="s">
        <v>607</v>
      </c>
      <c r="I789" s="29" t="s">
        <v>12835</v>
      </c>
      <c r="J789" s="29" t="s">
        <v>3733</v>
      </c>
      <c r="L789" s="182">
        <v>10</v>
      </c>
      <c r="M789" s="113">
        <v>799000</v>
      </c>
      <c r="N789" s="113">
        <v>1598000</v>
      </c>
      <c r="O789" s="189" t="s">
        <v>7124</v>
      </c>
      <c r="P789" s="122" t="s">
        <v>12837</v>
      </c>
      <c r="Q789" s="53" t="s">
        <v>1939</v>
      </c>
      <c r="R789" s="53" t="s">
        <v>12836</v>
      </c>
      <c r="U789" s="29" t="s">
        <v>12344</v>
      </c>
    </row>
    <row r="790" spans="1:21" ht="60" x14ac:dyDescent="0.25">
      <c r="A790" s="56">
        <v>43377</v>
      </c>
      <c r="B790" s="53" t="s">
        <v>328</v>
      </c>
      <c r="C790" s="29" t="s">
        <v>603</v>
      </c>
      <c r="D790" s="29" t="s">
        <v>7595</v>
      </c>
      <c r="E790" s="29" t="s">
        <v>588</v>
      </c>
      <c r="F790" s="29" t="s">
        <v>12838</v>
      </c>
      <c r="G790" s="29" t="s">
        <v>12839</v>
      </c>
      <c r="H790" s="29" t="s">
        <v>905</v>
      </c>
      <c r="I790" s="29" t="s">
        <v>12841</v>
      </c>
      <c r="J790" s="29" t="s">
        <v>644</v>
      </c>
      <c r="L790" s="182">
        <v>10</v>
      </c>
      <c r="M790" s="113">
        <v>141000</v>
      </c>
      <c r="N790" s="113">
        <v>216000</v>
      </c>
      <c r="O790" s="189" t="s">
        <v>7124</v>
      </c>
      <c r="P790" s="53" t="s">
        <v>12840</v>
      </c>
      <c r="Q790" s="53" t="s">
        <v>1939</v>
      </c>
      <c r="R790" s="53" t="s">
        <v>12842</v>
      </c>
      <c r="U790" s="29" t="s">
        <v>12344</v>
      </c>
    </row>
    <row r="791" spans="1:21" ht="75" x14ac:dyDescent="0.25">
      <c r="A791" s="56">
        <v>43377</v>
      </c>
      <c r="B791" s="53" t="s">
        <v>328</v>
      </c>
      <c r="C791" s="29" t="s">
        <v>603</v>
      </c>
      <c r="D791" s="29" t="s">
        <v>5701</v>
      </c>
      <c r="E791" s="29" t="s">
        <v>588</v>
      </c>
      <c r="F791" s="29" t="s">
        <v>12843</v>
      </c>
      <c r="G791" s="29" t="s">
        <v>12844</v>
      </c>
      <c r="H791" s="29" t="s">
        <v>809</v>
      </c>
      <c r="I791" s="29" t="s">
        <v>12845</v>
      </c>
      <c r="J791" s="29" t="s">
        <v>4031</v>
      </c>
      <c r="L791" s="182">
        <v>3</v>
      </c>
      <c r="M791" s="113">
        <v>412000</v>
      </c>
      <c r="N791" s="113">
        <f>M791+61800+20000</f>
        <v>493800</v>
      </c>
      <c r="O791" s="189" t="s">
        <v>4533</v>
      </c>
      <c r="P791" s="53" t="s">
        <v>12846</v>
      </c>
      <c r="Q791" s="53" t="s">
        <v>1939</v>
      </c>
      <c r="R791" s="53" t="s">
        <v>12847</v>
      </c>
      <c r="U791" s="29" t="s">
        <v>12797</v>
      </c>
    </row>
    <row r="792" spans="1:21" ht="60" x14ac:dyDescent="0.25">
      <c r="A792" s="56">
        <v>43377</v>
      </c>
      <c r="B792" s="53" t="s">
        <v>569</v>
      </c>
      <c r="C792" s="29" t="s">
        <v>899</v>
      </c>
      <c r="D792" s="29" t="s">
        <v>11286</v>
      </c>
      <c r="E792" s="29" t="s">
        <v>588</v>
      </c>
      <c r="F792" s="29" t="s">
        <v>12848</v>
      </c>
      <c r="G792" s="29" t="s">
        <v>757</v>
      </c>
      <c r="H792" s="29" t="s">
        <v>607</v>
      </c>
      <c r="I792" s="29" t="s">
        <v>12849</v>
      </c>
      <c r="J792" s="29" t="s">
        <v>899</v>
      </c>
      <c r="M792" s="113">
        <v>1112900</v>
      </c>
      <c r="N792" s="113">
        <f>M792+112000+770000</f>
        <v>1994900</v>
      </c>
      <c r="O792" s="189" t="s">
        <v>4533</v>
      </c>
      <c r="P792" s="53" t="s">
        <v>12850</v>
      </c>
      <c r="Q792" s="53" t="s">
        <v>1939</v>
      </c>
      <c r="R792" s="53" t="s">
        <v>12851</v>
      </c>
      <c r="U792" s="29" t="s">
        <v>12797</v>
      </c>
    </row>
    <row r="793" spans="1:21" ht="90" x14ac:dyDescent="0.25">
      <c r="A793" s="56">
        <v>43377</v>
      </c>
      <c r="B793" s="53" t="s">
        <v>328</v>
      </c>
      <c r="C793" s="29" t="s">
        <v>603</v>
      </c>
      <c r="D793" s="29" t="s">
        <v>757</v>
      </c>
      <c r="E793" s="29" t="s">
        <v>588</v>
      </c>
      <c r="F793" s="29" t="s">
        <v>12852</v>
      </c>
      <c r="G793" s="29" t="s">
        <v>8383</v>
      </c>
      <c r="H793" s="29" t="s">
        <v>607</v>
      </c>
      <c r="I793" s="29" t="s">
        <v>12853</v>
      </c>
      <c r="J793" s="29" t="s">
        <v>3368</v>
      </c>
      <c r="L793" s="182">
        <v>4</v>
      </c>
      <c r="M793" s="113">
        <v>179000</v>
      </c>
      <c r="N793" s="113">
        <f>M793+17900+134000+35800</f>
        <v>366700</v>
      </c>
      <c r="O793" s="189" t="s">
        <v>4533</v>
      </c>
      <c r="P793" s="53" t="s">
        <v>12854</v>
      </c>
      <c r="Q793" s="53" t="s">
        <v>29</v>
      </c>
      <c r="R793" s="53" t="s">
        <v>12855</v>
      </c>
      <c r="U793" s="29" t="s">
        <v>12797</v>
      </c>
    </row>
    <row r="794" spans="1:21" ht="75" x14ac:dyDescent="0.25">
      <c r="A794" s="56">
        <v>43378</v>
      </c>
      <c r="B794" s="53" t="s">
        <v>643</v>
      </c>
      <c r="C794" s="29" t="s">
        <v>644</v>
      </c>
      <c r="D794" s="29" t="s">
        <v>645</v>
      </c>
      <c r="E794" s="29" t="s">
        <v>588</v>
      </c>
      <c r="F794" s="29" t="s">
        <v>12856</v>
      </c>
      <c r="G794" s="29" t="s">
        <v>11286</v>
      </c>
      <c r="H794" s="29" t="s">
        <v>607</v>
      </c>
      <c r="I794" s="29" t="s">
        <v>5195</v>
      </c>
      <c r="J794" s="29" t="s">
        <v>644</v>
      </c>
      <c r="L794" s="182">
        <v>2</v>
      </c>
      <c r="M794" s="113">
        <v>563000</v>
      </c>
      <c r="N794" s="113">
        <f>M794+56000+282000+56000</f>
        <v>957000</v>
      </c>
      <c r="O794" s="189" t="s">
        <v>4533</v>
      </c>
      <c r="P794" s="53" t="s">
        <v>13405</v>
      </c>
      <c r="Q794" s="53" t="s">
        <v>1939</v>
      </c>
      <c r="R794" s="53" t="s">
        <v>12857</v>
      </c>
      <c r="U794" s="29" t="s">
        <v>12797</v>
      </c>
    </row>
    <row r="795" spans="1:21" ht="120" x14ac:dyDescent="0.25">
      <c r="A795" s="56">
        <v>43378</v>
      </c>
      <c r="B795" s="53" t="s">
        <v>328</v>
      </c>
      <c r="C795" s="29" t="s">
        <v>603</v>
      </c>
      <c r="D795" s="29" t="s">
        <v>649</v>
      </c>
      <c r="E795" s="29" t="s">
        <v>588</v>
      </c>
      <c r="F795" s="29" t="s">
        <v>12858</v>
      </c>
      <c r="G795" s="29" t="s">
        <v>8941</v>
      </c>
      <c r="H795" s="29" t="s">
        <v>607</v>
      </c>
      <c r="I795" s="29" t="s">
        <v>6205</v>
      </c>
      <c r="J795" s="29" t="s">
        <v>644</v>
      </c>
      <c r="L795" s="182">
        <v>2</v>
      </c>
      <c r="M795" s="113">
        <v>1404000</v>
      </c>
      <c r="N795" s="113">
        <f>M795+140400+912600+280800</f>
        <v>2737800</v>
      </c>
      <c r="O795" s="189" t="s">
        <v>10766</v>
      </c>
      <c r="P795" s="53" t="s">
        <v>12866</v>
      </c>
      <c r="Q795" s="53" t="s">
        <v>1939</v>
      </c>
      <c r="R795" s="53" t="s">
        <v>12867</v>
      </c>
      <c r="U795" s="29" t="s">
        <v>12797</v>
      </c>
    </row>
    <row r="796" spans="1:21" ht="75" x14ac:dyDescent="0.25">
      <c r="A796" s="56">
        <v>43381</v>
      </c>
      <c r="B796" s="53" t="s">
        <v>9240</v>
      </c>
      <c r="C796" s="29" t="s">
        <v>603</v>
      </c>
      <c r="D796" s="29" t="s">
        <v>9849</v>
      </c>
      <c r="E796" s="29" t="s">
        <v>588</v>
      </c>
      <c r="F796" s="29" t="s">
        <v>12859</v>
      </c>
      <c r="G796" s="29" t="s">
        <v>12860</v>
      </c>
      <c r="H796" s="29" t="s">
        <v>607</v>
      </c>
      <c r="I796" s="29" t="s">
        <v>12861</v>
      </c>
      <c r="J796" s="29" t="s">
        <v>603</v>
      </c>
      <c r="L796" s="182">
        <v>5</v>
      </c>
      <c r="M796" s="113">
        <v>650000</v>
      </c>
      <c r="N796" s="113">
        <f>M796+65000+455000+65000</f>
        <v>1235000</v>
      </c>
      <c r="O796" s="189" t="s">
        <v>10766</v>
      </c>
      <c r="P796" s="53" t="s">
        <v>13406</v>
      </c>
      <c r="Q796" s="53" t="s">
        <v>1939</v>
      </c>
      <c r="R796" s="53" t="s">
        <v>12862</v>
      </c>
      <c r="U796" s="29" t="s">
        <v>12797</v>
      </c>
    </row>
    <row r="797" spans="1:21" ht="45" x14ac:dyDescent="0.25">
      <c r="A797" s="56">
        <v>43381</v>
      </c>
      <c r="B797" s="53" t="s">
        <v>5360</v>
      </c>
      <c r="C797" s="29" t="s">
        <v>899</v>
      </c>
      <c r="D797" s="29" t="s">
        <v>611</v>
      </c>
      <c r="E797" s="29" t="s">
        <v>588</v>
      </c>
      <c r="F797" s="29" t="s">
        <v>12863</v>
      </c>
      <c r="G797" s="29" t="s">
        <v>10080</v>
      </c>
      <c r="H797" s="29" t="s">
        <v>607</v>
      </c>
      <c r="I797" s="29" t="s">
        <v>11734</v>
      </c>
      <c r="J797" s="29" t="s">
        <v>899</v>
      </c>
      <c r="L797" s="182">
        <v>3</v>
      </c>
      <c r="M797" s="113">
        <v>2000000</v>
      </c>
      <c r="N797" s="113">
        <f>M797+400000+1000000+400000</f>
        <v>3800000</v>
      </c>
      <c r="O797" s="189" t="s">
        <v>560</v>
      </c>
      <c r="P797" s="53" t="s">
        <v>12864</v>
      </c>
      <c r="Q797" s="53" t="s">
        <v>592</v>
      </c>
      <c r="R797" s="53" t="s">
        <v>12865</v>
      </c>
      <c r="U797" s="29" t="s">
        <v>12797</v>
      </c>
    </row>
    <row r="798" spans="1:21" ht="30" x14ac:dyDescent="0.25">
      <c r="A798" s="56">
        <v>43382</v>
      </c>
      <c r="B798" s="53" t="s">
        <v>328</v>
      </c>
      <c r="C798" s="29" t="s">
        <v>603</v>
      </c>
      <c r="D798" s="29" t="s">
        <v>649</v>
      </c>
      <c r="E798" s="29" t="s">
        <v>588</v>
      </c>
      <c r="F798" s="29" t="s">
        <v>12868</v>
      </c>
      <c r="G798" s="29" t="s">
        <v>10804</v>
      </c>
      <c r="H798" s="29" t="s">
        <v>10831</v>
      </c>
      <c r="I798" s="29" t="s">
        <v>12898</v>
      </c>
      <c r="J798" s="29" t="s">
        <v>3612</v>
      </c>
      <c r="L798" s="182">
        <v>10</v>
      </c>
      <c r="M798" s="113">
        <v>106000</v>
      </c>
      <c r="N798" s="113">
        <v>116000</v>
      </c>
      <c r="O798" s="189" t="s">
        <v>7124</v>
      </c>
      <c r="P798" s="53" t="s">
        <v>12899</v>
      </c>
      <c r="Q798" s="53" t="s">
        <v>1939</v>
      </c>
      <c r="R798" s="53" t="s">
        <v>13407</v>
      </c>
      <c r="U798" s="29" t="s">
        <v>12344</v>
      </c>
    </row>
    <row r="799" spans="1:21" ht="45" x14ac:dyDescent="0.25">
      <c r="A799" s="56">
        <v>43382</v>
      </c>
      <c r="B799" s="53" t="s">
        <v>5360</v>
      </c>
      <c r="C799" s="29" t="s">
        <v>899</v>
      </c>
      <c r="D799" s="29" t="s">
        <v>732</v>
      </c>
      <c r="E799" s="29" t="s">
        <v>588</v>
      </c>
      <c r="F799" s="29" t="s">
        <v>11487</v>
      </c>
      <c r="G799" s="29" t="s">
        <v>7757</v>
      </c>
      <c r="H799" s="29" t="s">
        <v>886</v>
      </c>
      <c r="J799" s="29" t="s">
        <v>899</v>
      </c>
      <c r="L799" s="182">
        <v>4</v>
      </c>
      <c r="M799" s="113">
        <v>250000</v>
      </c>
      <c r="N799" s="113">
        <v>425000</v>
      </c>
      <c r="O799" s="189" t="s">
        <v>10763</v>
      </c>
      <c r="P799" s="208" t="s">
        <v>12900</v>
      </c>
      <c r="Q799" s="53" t="s">
        <v>1939</v>
      </c>
      <c r="R799" s="53" t="s">
        <v>12901</v>
      </c>
      <c r="U799" s="29" t="s">
        <v>12344</v>
      </c>
    </row>
    <row r="800" spans="1:21" ht="45" x14ac:dyDescent="0.25">
      <c r="A800" s="56">
        <v>43382</v>
      </c>
      <c r="B800" s="53" t="s">
        <v>328</v>
      </c>
      <c r="C800" s="29" t="s">
        <v>603</v>
      </c>
      <c r="D800" s="29" t="s">
        <v>8941</v>
      </c>
      <c r="E800" s="29" t="s">
        <v>588</v>
      </c>
      <c r="F800" s="29" t="s">
        <v>12869</v>
      </c>
      <c r="G800" s="29" t="s">
        <v>8267</v>
      </c>
      <c r="H800" s="29" t="s">
        <v>607</v>
      </c>
      <c r="I800" s="29" t="s">
        <v>4070</v>
      </c>
      <c r="J800" s="29" t="s">
        <v>899</v>
      </c>
      <c r="L800" s="182">
        <v>4</v>
      </c>
      <c r="M800" s="113">
        <v>2137000</v>
      </c>
      <c r="N800" s="113">
        <f>M800+375000+250000</f>
        <v>2762000</v>
      </c>
      <c r="O800" s="189" t="s">
        <v>10763</v>
      </c>
      <c r="P800" s="53" t="s">
        <v>12902</v>
      </c>
      <c r="Q800" s="53" t="s">
        <v>1939</v>
      </c>
      <c r="R800" s="53" t="s">
        <v>12903</v>
      </c>
      <c r="U800" s="29" t="s">
        <v>12344</v>
      </c>
    </row>
    <row r="801" spans="1:21" ht="45" x14ac:dyDescent="0.25">
      <c r="A801" s="56">
        <v>43382</v>
      </c>
      <c r="B801" s="53" t="s">
        <v>569</v>
      </c>
      <c r="C801" s="29" t="s">
        <v>899</v>
      </c>
      <c r="D801" s="29" t="s">
        <v>11286</v>
      </c>
      <c r="E801" s="29" t="s">
        <v>588</v>
      </c>
      <c r="F801" s="29" t="s">
        <v>12870</v>
      </c>
      <c r="G801" s="29" t="s">
        <v>12402</v>
      </c>
      <c r="H801" s="29" t="s">
        <v>607</v>
      </c>
      <c r="I801" s="29" t="s">
        <v>12905</v>
      </c>
      <c r="J801" s="29" t="s">
        <v>899</v>
      </c>
      <c r="L801" s="182">
        <v>10</v>
      </c>
      <c r="M801" s="113">
        <v>315000</v>
      </c>
      <c r="N801" s="113">
        <f>+M801+31500+157500+63000</f>
        <v>567000</v>
      </c>
      <c r="O801" s="189" t="s">
        <v>7124</v>
      </c>
      <c r="P801" s="53" t="s">
        <v>12906</v>
      </c>
      <c r="Q801" s="53" t="s">
        <v>29</v>
      </c>
      <c r="R801" s="53" t="s">
        <v>12904</v>
      </c>
      <c r="U801" s="29" t="s">
        <v>12344</v>
      </c>
    </row>
    <row r="802" spans="1:21" ht="30" x14ac:dyDescent="0.25">
      <c r="A802" s="56">
        <v>43382</v>
      </c>
      <c r="B802" s="53" t="s">
        <v>5360</v>
      </c>
      <c r="C802" s="29" t="s">
        <v>899</v>
      </c>
      <c r="D802" s="29" t="s">
        <v>732</v>
      </c>
      <c r="E802" s="29" t="s">
        <v>588</v>
      </c>
      <c r="F802" s="29" t="s">
        <v>12871</v>
      </c>
      <c r="G802" s="29" t="s">
        <v>12872</v>
      </c>
      <c r="H802" s="29" t="s">
        <v>10831</v>
      </c>
      <c r="I802" s="29" t="s">
        <v>11061</v>
      </c>
      <c r="J802" s="29" t="s">
        <v>899</v>
      </c>
      <c r="L802" s="182">
        <v>4</v>
      </c>
      <c r="M802" s="113">
        <v>2500000</v>
      </c>
      <c r="N802" s="113">
        <v>2850000</v>
      </c>
      <c r="O802" s="189" t="s">
        <v>10765</v>
      </c>
      <c r="P802" s="53" t="s">
        <v>12908</v>
      </c>
      <c r="Q802" s="53" t="s">
        <v>1939</v>
      </c>
      <c r="R802" s="53" t="s">
        <v>12907</v>
      </c>
      <c r="U802" s="29" t="s">
        <v>12344</v>
      </c>
    </row>
    <row r="803" spans="1:21" ht="90" x14ac:dyDescent="0.25">
      <c r="A803" s="56">
        <v>43382</v>
      </c>
      <c r="B803" s="53" t="s">
        <v>328</v>
      </c>
      <c r="C803" s="29" t="s">
        <v>603</v>
      </c>
      <c r="D803" s="29" t="s">
        <v>8941</v>
      </c>
      <c r="E803" s="29" t="s">
        <v>588</v>
      </c>
      <c r="F803" s="29" t="s">
        <v>3505</v>
      </c>
      <c r="G803" s="29" t="s">
        <v>7714</v>
      </c>
      <c r="H803" s="29" t="s">
        <v>607</v>
      </c>
      <c r="I803" s="29" t="s">
        <v>3452</v>
      </c>
      <c r="J803" s="29" t="s">
        <v>899</v>
      </c>
      <c r="L803" s="182">
        <v>10</v>
      </c>
      <c r="M803" s="113">
        <v>175000</v>
      </c>
      <c r="N803" s="113">
        <f>+M803+17500+131500+17500</f>
        <v>341500</v>
      </c>
      <c r="O803" s="189" t="s">
        <v>10765</v>
      </c>
      <c r="P803" s="53" t="s">
        <v>12909</v>
      </c>
      <c r="Q803" s="53" t="s">
        <v>29</v>
      </c>
      <c r="R803" s="53" t="s">
        <v>12910</v>
      </c>
      <c r="U803" s="29" t="s">
        <v>289</v>
      </c>
    </row>
    <row r="804" spans="1:21" ht="45" x14ac:dyDescent="0.25">
      <c r="A804" s="56">
        <v>43382</v>
      </c>
      <c r="B804" s="53" t="s">
        <v>12367</v>
      </c>
      <c r="C804" s="29" t="s">
        <v>5610</v>
      </c>
      <c r="D804" s="29" t="s">
        <v>9461</v>
      </c>
      <c r="E804" s="29" t="s">
        <v>588</v>
      </c>
      <c r="F804" s="29" t="s">
        <v>12873</v>
      </c>
      <c r="H804" s="29" t="s">
        <v>905</v>
      </c>
      <c r="I804" s="29" t="s">
        <v>12911</v>
      </c>
      <c r="J804" s="29" t="s">
        <v>3523</v>
      </c>
      <c r="L804" s="182">
        <v>3</v>
      </c>
      <c r="M804" s="113">
        <v>239757</v>
      </c>
      <c r="N804" s="113">
        <v>377657</v>
      </c>
      <c r="O804" s="189" t="s">
        <v>7564</v>
      </c>
      <c r="P804" s="53" t="s">
        <v>12912</v>
      </c>
      <c r="Q804" s="53" t="s">
        <v>29</v>
      </c>
      <c r="R804" s="53" t="s">
        <v>12913</v>
      </c>
      <c r="U804" s="29" t="s">
        <v>12344</v>
      </c>
    </row>
    <row r="805" spans="1:21" ht="45" x14ac:dyDescent="0.25">
      <c r="A805" s="56">
        <v>43382</v>
      </c>
      <c r="B805" s="53" t="s">
        <v>12367</v>
      </c>
      <c r="C805" s="29" t="s">
        <v>5610</v>
      </c>
      <c r="D805" s="29" t="s">
        <v>9461</v>
      </c>
      <c r="E805" s="29" t="s">
        <v>588</v>
      </c>
      <c r="F805" s="29" t="s">
        <v>12873</v>
      </c>
      <c r="H805" s="29" t="s">
        <v>905</v>
      </c>
      <c r="I805" s="29" t="s">
        <v>12911</v>
      </c>
      <c r="J805" s="29" t="s">
        <v>3523</v>
      </c>
      <c r="L805" s="182">
        <v>3</v>
      </c>
      <c r="M805" s="113">
        <v>234600</v>
      </c>
      <c r="N805" s="113">
        <v>262200</v>
      </c>
      <c r="O805" s="189" t="s">
        <v>7564</v>
      </c>
      <c r="P805" s="53" t="s">
        <v>12914</v>
      </c>
      <c r="Q805" s="53" t="s">
        <v>29</v>
      </c>
      <c r="R805" s="53" t="s">
        <v>12913</v>
      </c>
      <c r="U805" s="29" t="s">
        <v>12344</v>
      </c>
    </row>
    <row r="806" spans="1:21" ht="90" x14ac:dyDescent="0.25">
      <c r="A806" s="56">
        <v>43382</v>
      </c>
      <c r="B806" s="53" t="s">
        <v>328</v>
      </c>
      <c r="C806" s="29" t="s">
        <v>603</v>
      </c>
      <c r="D806" s="29" t="s">
        <v>649</v>
      </c>
      <c r="E806" s="29" t="s">
        <v>588</v>
      </c>
      <c r="F806" s="29" t="s">
        <v>12874</v>
      </c>
      <c r="H806" s="29" t="s">
        <v>905</v>
      </c>
      <c r="I806" s="29" t="s">
        <v>5914</v>
      </c>
      <c r="J806" s="29" t="s">
        <v>3533</v>
      </c>
      <c r="L806" s="182">
        <v>1</v>
      </c>
      <c r="M806" s="113">
        <v>345000</v>
      </c>
      <c r="N806" s="113">
        <f>+M806+10000</f>
        <v>355000</v>
      </c>
      <c r="O806" s="189" t="s">
        <v>10763</v>
      </c>
      <c r="P806" s="53" t="s">
        <v>12916</v>
      </c>
      <c r="Q806" s="53" t="s">
        <v>592</v>
      </c>
      <c r="R806" s="53" t="s">
        <v>12915</v>
      </c>
      <c r="U806" s="29" t="s">
        <v>289</v>
      </c>
    </row>
    <row r="807" spans="1:21" ht="45" x14ac:dyDescent="0.25">
      <c r="A807" s="56">
        <v>43382</v>
      </c>
      <c r="B807" s="53" t="s">
        <v>643</v>
      </c>
      <c r="C807" s="29" t="s">
        <v>644</v>
      </c>
      <c r="D807" s="29" t="s">
        <v>645</v>
      </c>
      <c r="E807" s="29" t="s">
        <v>588</v>
      </c>
      <c r="F807" s="29" t="s">
        <v>12875</v>
      </c>
      <c r="H807" s="29" t="s">
        <v>905</v>
      </c>
      <c r="I807" s="29" t="s">
        <v>3646</v>
      </c>
      <c r="J807" s="29" t="s">
        <v>644</v>
      </c>
      <c r="L807" s="182">
        <v>2</v>
      </c>
      <c r="M807" s="113">
        <v>103000</v>
      </c>
      <c r="N807" s="113">
        <f>+M807+210000+55000+48000</f>
        <v>416000</v>
      </c>
      <c r="O807" s="189" t="s">
        <v>10763</v>
      </c>
      <c r="P807" s="53" t="s">
        <v>12918</v>
      </c>
      <c r="Q807" s="53" t="s">
        <v>592</v>
      </c>
      <c r="R807" s="53" t="s">
        <v>12917</v>
      </c>
      <c r="U807" s="29" t="s">
        <v>12344</v>
      </c>
    </row>
    <row r="808" spans="1:21" ht="15.75" x14ac:dyDescent="0.25">
      <c r="A808" s="56">
        <v>43382</v>
      </c>
      <c r="B808" s="53" t="s">
        <v>328</v>
      </c>
      <c r="C808" s="29" t="s">
        <v>603</v>
      </c>
      <c r="D808" s="29" t="s">
        <v>5701</v>
      </c>
      <c r="E808" s="29" t="s">
        <v>588</v>
      </c>
      <c r="F808" s="29" t="s">
        <v>12876</v>
      </c>
      <c r="G808" s="29" t="s">
        <v>12877</v>
      </c>
      <c r="H808" s="146" t="s">
        <v>607</v>
      </c>
      <c r="O808" s="189"/>
      <c r="Q808" s="53" t="s">
        <v>1939</v>
      </c>
      <c r="U808" s="29" t="s">
        <v>12344</v>
      </c>
    </row>
    <row r="809" spans="1:21" ht="15.75" x14ac:dyDescent="0.25">
      <c r="A809" s="56">
        <v>43382</v>
      </c>
      <c r="B809" s="53" t="s">
        <v>569</v>
      </c>
      <c r="C809" s="29" t="s">
        <v>899</v>
      </c>
      <c r="D809" s="29" t="s">
        <v>625</v>
      </c>
      <c r="E809" s="29" t="s">
        <v>588</v>
      </c>
      <c r="F809" s="29" t="s">
        <v>12878</v>
      </c>
      <c r="H809" s="146" t="s">
        <v>607</v>
      </c>
      <c r="O809" s="189"/>
      <c r="Q809" s="53" t="s">
        <v>1939</v>
      </c>
      <c r="U809" s="29" t="s">
        <v>12344</v>
      </c>
    </row>
    <row r="810" spans="1:21" ht="15.75" x14ac:dyDescent="0.25">
      <c r="A810" s="56">
        <v>43382</v>
      </c>
      <c r="B810" s="53" t="s">
        <v>328</v>
      </c>
      <c r="C810" s="29" t="s">
        <v>603</v>
      </c>
      <c r="D810" s="29" t="s">
        <v>10705</v>
      </c>
      <c r="E810" s="29" t="s">
        <v>588</v>
      </c>
      <c r="F810" s="29" t="s">
        <v>12879</v>
      </c>
      <c r="G810" s="29" t="s">
        <v>8289</v>
      </c>
      <c r="H810" s="146" t="s">
        <v>607</v>
      </c>
      <c r="O810" s="189"/>
      <c r="Q810" s="53" t="s">
        <v>1939</v>
      </c>
      <c r="U810" s="29" t="s">
        <v>12344</v>
      </c>
    </row>
    <row r="811" spans="1:21" ht="30" x14ac:dyDescent="0.25">
      <c r="A811" s="56">
        <v>43383</v>
      </c>
      <c r="B811" s="53" t="s">
        <v>328</v>
      </c>
      <c r="C811" s="29" t="s">
        <v>603</v>
      </c>
      <c r="D811" s="29" t="s">
        <v>7595</v>
      </c>
      <c r="E811" s="29" t="s">
        <v>588</v>
      </c>
      <c r="F811" s="29" t="s">
        <v>12674</v>
      </c>
      <c r="G811" s="29" t="s">
        <v>11949</v>
      </c>
      <c r="H811" s="29" t="s">
        <v>10831</v>
      </c>
      <c r="J811" s="29" t="s">
        <v>644</v>
      </c>
      <c r="L811" s="182">
        <v>9</v>
      </c>
      <c r="M811" s="113">
        <v>300000</v>
      </c>
      <c r="N811" s="113">
        <v>475000</v>
      </c>
      <c r="O811" s="189" t="s">
        <v>7124</v>
      </c>
      <c r="P811" s="53" t="s">
        <v>12880</v>
      </c>
      <c r="Q811" s="53" t="s">
        <v>592</v>
      </c>
      <c r="R811" s="53" t="s">
        <v>12881</v>
      </c>
      <c r="U811" s="29" t="s">
        <v>289</v>
      </c>
    </row>
    <row r="812" spans="1:21" ht="45" x14ac:dyDescent="0.25">
      <c r="A812" s="56">
        <v>43383</v>
      </c>
      <c r="B812" s="53" t="s">
        <v>328</v>
      </c>
      <c r="C812" s="29" t="s">
        <v>603</v>
      </c>
      <c r="D812" s="29" t="s">
        <v>8941</v>
      </c>
      <c r="E812" s="29" t="s">
        <v>588</v>
      </c>
      <c r="F812" s="29" t="s">
        <v>3505</v>
      </c>
      <c r="G812" s="29" t="s">
        <v>7714</v>
      </c>
      <c r="H812" s="29" t="s">
        <v>607</v>
      </c>
      <c r="I812" s="29" t="s">
        <v>3452</v>
      </c>
      <c r="J812" s="29" t="s">
        <v>899</v>
      </c>
      <c r="L812" s="182">
        <v>10</v>
      </c>
      <c r="M812" s="113">
        <v>175000</v>
      </c>
      <c r="N812" s="113">
        <v>341500</v>
      </c>
      <c r="O812" s="189" t="s">
        <v>7124</v>
      </c>
      <c r="P812" s="53" t="s">
        <v>12882</v>
      </c>
      <c r="Q812" s="53" t="s">
        <v>29</v>
      </c>
      <c r="R812" s="53" t="s">
        <v>12883</v>
      </c>
      <c r="U812" s="29" t="s">
        <v>289</v>
      </c>
    </row>
    <row r="813" spans="1:21" ht="30" x14ac:dyDescent="0.25">
      <c r="A813" s="56">
        <v>43383</v>
      </c>
      <c r="B813" s="53" t="s">
        <v>328</v>
      </c>
      <c r="C813" s="29" t="s">
        <v>603</v>
      </c>
      <c r="D813" s="29" t="s">
        <v>7595</v>
      </c>
      <c r="E813" s="29" t="s">
        <v>588</v>
      </c>
      <c r="F813" s="29" t="s">
        <v>12884</v>
      </c>
      <c r="G813" s="29" t="s">
        <v>8383</v>
      </c>
      <c r="H813" s="29" t="s">
        <v>905</v>
      </c>
      <c r="I813" s="29" t="s">
        <v>12885</v>
      </c>
      <c r="J813" s="29" t="s">
        <v>3533</v>
      </c>
      <c r="L813" s="182">
        <v>10</v>
      </c>
      <c r="M813" s="113">
        <v>375000</v>
      </c>
      <c r="N813" s="113">
        <v>375000</v>
      </c>
      <c r="O813" s="189" t="s">
        <v>10763</v>
      </c>
      <c r="P813" s="53" t="s">
        <v>13408</v>
      </c>
      <c r="Q813" s="53" t="s">
        <v>592</v>
      </c>
      <c r="R813" s="53" t="s">
        <v>12886</v>
      </c>
      <c r="U813" s="29" t="s">
        <v>289</v>
      </c>
    </row>
    <row r="814" spans="1:21" ht="45" x14ac:dyDescent="0.25">
      <c r="A814" s="56">
        <v>43383</v>
      </c>
      <c r="B814" s="53" t="s">
        <v>110</v>
      </c>
      <c r="C814" s="29" t="s">
        <v>604</v>
      </c>
      <c r="D814" s="29" t="s">
        <v>1122</v>
      </c>
      <c r="E814" s="29" t="s">
        <v>588</v>
      </c>
      <c r="F814" s="29" t="s">
        <v>11683</v>
      </c>
      <c r="G814" s="29" t="s">
        <v>7880</v>
      </c>
      <c r="H814" s="29" t="s">
        <v>607</v>
      </c>
      <c r="I814" s="29" t="s">
        <v>11684</v>
      </c>
      <c r="J814" s="29" t="s">
        <v>604</v>
      </c>
      <c r="L814" s="182">
        <v>9</v>
      </c>
      <c r="M814" s="113">
        <v>350000</v>
      </c>
      <c r="N814" s="113">
        <v>630000</v>
      </c>
      <c r="O814" s="189" t="s">
        <v>7124</v>
      </c>
      <c r="P814" s="53" t="s">
        <v>12887</v>
      </c>
      <c r="Q814" s="53" t="s">
        <v>592</v>
      </c>
      <c r="R814" s="53" t="s">
        <v>12894</v>
      </c>
      <c r="U814" s="29" t="s">
        <v>289</v>
      </c>
    </row>
    <row r="815" spans="1:21" ht="90" x14ac:dyDescent="0.25">
      <c r="A815" s="56">
        <v>43384</v>
      </c>
      <c r="B815" s="53" t="s">
        <v>569</v>
      </c>
      <c r="C815" s="29" t="s">
        <v>899</v>
      </c>
      <c r="D815" s="29" t="s">
        <v>624</v>
      </c>
      <c r="E815" s="29" t="s">
        <v>588</v>
      </c>
      <c r="F815" s="29" t="s">
        <v>12888</v>
      </c>
      <c r="G815" s="29" t="s">
        <v>10156</v>
      </c>
      <c r="H815" s="29" t="s">
        <v>607</v>
      </c>
      <c r="I815" s="29" t="s">
        <v>12889</v>
      </c>
      <c r="J815" s="29" t="s">
        <v>899</v>
      </c>
      <c r="L815" s="182">
        <v>3</v>
      </c>
      <c r="M815" s="113">
        <v>500000</v>
      </c>
      <c r="N815" s="113">
        <f>M815+50000+100000+100000</f>
        <v>750000</v>
      </c>
      <c r="O815" s="189" t="s">
        <v>10766</v>
      </c>
      <c r="P815" s="53" t="s">
        <v>12890</v>
      </c>
      <c r="Q815" s="53" t="s">
        <v>1939</v>
      </c>
      <c r="R815" s="53" t="s">
        <v>12891</v>
      </c>
      <c r="U815" s="29" t="s">
        <v>12797</v>
      </c>
    </row>
    <row r="816" spans="1:21" ht="30" x14ac:dyDescent="0.25">
      <c r="A816" s="56">
        <v>43384</v>
      </c>
      <c r="B816" s="53" t="s">
        <v>569</v>
      </c>
      <c r="C816" s="29" t="s">
        <v>899</v>
      </c>
      <c r="D816" s="29" t="s">
        <v>625</v>
      </c>
      <c r="E816" s="29" t="s">
        <v>588</v>
      </c>
      <c r="F816" s="29" t="s">
        <v>12895</v>
      </c>
      <c r="H816" s="29" t="s">
        <v>1050</v>
      </c>
      <c r="I816" s="29" t="s">
        <v>3536</v>
      </c>
      <c r="J816" s="29" t="s">
        <v>899</v>
      </c>
      <c r="M816" s="113">
        <v>4400000</v>
      </c>
      <c r="N816" s="113">
        <v>500000</v>
      </c>
      <c r="O816" s="189" t="s">
        <v>560</v>
      </c>
      <c r="P816" s="53" t="s">
        <v>12896</v>
      </c>
      <c r="Q816" s="53" t="s">
        <v>592</v>
      </c>
      <c r="R816" s="53" t="s">
        <v>12897</v>
      </c>
      <c r="U816" s="29" t="s">
        <v>289</v>
      </c>
    </row>
    <row r="817" spans="1:21" ht="60" x14ac:dyDescent="0.25">
      <c r="A817" s="56">
        <v>43385</v>
      </c>
      <c r="B817" s="29" t="s">
        <v>5176</v>
      </c>
      <c r="D817" s="29" t="s">
        <v>727</v>
      </c>
      <c r="F817" s="29" t="s">
        <v>12929</v>
      </c>
      <c r="G817" s="29" t="s">
        <v>7814</v>
      </c>
      <c r="H817" s="29" t="s">
        <v>886</v>
      </c>
      <c r="I817" s="29" t="s">
        <v>11776</v>
      </c>
      <c r="J817" s="29" t="s">
        <v>11776</v>
      </c>
      <c r="L817" s="182">
        <v>2</v>
      </c>
      <c r="M817" s="113">
        <v>450000</v>
      </c>
      <c r="N817" s="113">
        <f>+M817</f>
        <v>450000</v>
      </c>
      <c r="O817" s="189" t="s">
        <v>10766</v>
      </c>
      <c r="P817" s="53" t="s">
        <v>12931</v>
      </c>
      <c r="Q817" s="53" t="s">
        <v>29</v>
      </c>
      <c r="R817" s="53" t="s">
        <v>12932</v>
      </c>
      <c r="U817" s="29" t="s">
        <v>12344</v>
      </c>
    </row>
    <row r="818" spans="1:21" ht="60" x14ac:dyDescent="0.25">
      <c r="A818" s="56">
        <v>43385</v>
      </c>
      <c r="B818" s="29" t="s">
        <v>328</v>
      </c>
      <c r="C818" s="29" t="s">
        <v>603</v>
      </c>
      <c r="D818" s="29" t="s">
        <v>649</v>
      </c>
      <c r="F818" s="29" t="s">
        <v>9733</v>
      </c>
      <c r="G818" s="29" t="s">
        <v>1877</v>
      </c>
      <c r="H818" s="29" t="s">
        <v>607</v>
      </c>
      <c r="I818" s="29" t="s">
        <v>12463</v>
      </c>
      <c r="J818" s="29" t="s">
        <v>5610</v>
      </c>
      <c r="K818" s="216">
        <v>37214</v>
      </c>
      <c r="L818" s="182">
        <v>4</v>
      </c>
      <c r="M818" s="113">
        <v>150000</v>
      </c>
      <c r="N818" s="113">
        <f>+M818+15000+75000+15000</f>
        <v>255000</v>
      </c>
      <c r="O818" s="189" t="s">
        <v>10766</v>
      </c>
      <c r="P818" s="53" t="s">
        <v>12966</v>
      </c>
      <c r="Q818" s="53" t="s">
        <v>1939</v>
      </c>
      <c r="R818" s="53" t="s">
        <v>12967</v>
      </c>
      <c r="U818" s="29" t="s">
        <v>12344</v>
      </c>
    </row>
    <row r="819" spans="1:21" ht="75" x14ac:dyDescent="0.25">
      <c r="A819" s="56">
        <v>43388</v>
      </c>
      <c r="B819" s="53" t="s">
        <v>328</v>
      </c>
      <c r="C819" s="29" t="s">
        <v>603</v>
      </c>
      <c r="D819" s="29" t="s">
        <v>5701</v>
      </c>
      <c r="F819" s="29" t="s">
        <v>12919</v>
      </c>
      <c r="G819" s="29" t="s">
        <v>12920</v>
      </c>
      <c r="H819" s="29" t="s">
        <v>607</v>
      </c>
      <c r="I819" s="29" t="s">
        <v>12922</v>
      </c>
      <c r="J819" s="29" t="s">
        <v>604</v>
      </c>
      <c r="L819" s="182">
        <v>6</v>
      </c>
      <c r="M819" s="113">
        <v>435000</v>
      </c>
      <c r="N819" s="113">
        <f>+M819+43500+304500+43500</f>
        <v>826500</v>
      </c>
      <c r="O819" s="189" t="s">
        <v>10879</v>
      </c>
      <c r="P819" s="53" t="s">
        <v>12921</v>
      </c>
      <c r="Q819" s="53" t="s">
        <v>1939</v>
      </c>
      <c r="R819" s="53" t="s">
        <v>12923</v>
      </c>
      <c r="U819" s="29" t="s">
        <v>12344</v>
      </c>
    </row>
    <row r="820" spans="1:21" ht="45" x14ac:dyDescent="0.25">
      <c r="A820" s="56">
        <v>43388</v>
      </c>
      <c r="B820" s="53" t="s">
        <v>9240</v>
      </c>
      <c r="C820" s="29" t="s">
        <v>603</v>
      </c>
      <c r="D820" s="29" t="s">
        <v>12924</v>
      </c>
      <c r="F820" s="29" t="s">
        <v>12925</v>
      </c>
      <c r="G820" s="29" t="s">
        <v>8267</v>
      </c>
      <c r="H820" s="29" t="s">
        <v>607</v>
      </c>
      <c r="I820" s="29" t="s">
        <v>12926</v>
      </c>
      <c r="J820" s="29" t="s">
        <v>3533</v>
      </c>
      <c r="L820" s="182">
        <v>6</v>
      </c>
      <c r="M820" s="113">
        <v>295120</v>
      </c>
      <c r="N820" s="113">
        <f>+M820+206584+59024</f>
        <v>560728</v>
      </c>
      <c r="O820" s="189" t="s">
        <v>10765</v>
      </c>
      <c r="P820" s="53" t="s">
        <v>12927</v>
      </c>
      <c r="Q820" s="53" t="s">
        <v>29</v>
      </c>
      <c r="R820" s="53" t="s">
        <v>12928</v>
      </c>
      <c r="U820" s="29" t="s">
        <v>12344</v>
      </c>
    </row>
    <row r="821" spans="1:21" ht="60" x14ac:dyDescent="0.25">
      <c r="A821" s="56">
        <v>43388</v>
      </c>
      <c r="B821" s="53" t="s">
        <v>328</v>
      </c>
      <c r="C821" s="29" t="s">
        <v>603</v>
      </c>
      <c r="D821" s="29" t="s">
        <v>5701</v>
      </c>
      <c r="F821" s="29" t="s">
        <v>12929</v>
      </c>
      <c r="G821" s="29" t="s">
        <v>12924</v>
      </c>
      <c r="H821" s="29" t="s">
        <v>886</v>
      </c>
      <c r="I821" s="29" t="s">
        <v>11776</v>
      </c>
      <c r="J821" s="29" t="s">
        <v>11776</v>
      </c>
      <c r="L821" s="182">
        <v>2</v>
      </c>
      <c r="M821" s="113">
        <v>450000</v>
      </c>
      <c r="N821" s="113">
        <f>+M821</f>
        <v>450000</v>
      </c>
      <c r="O821" s="189" t="s">
        <v>10766</v>
      </c>
      <c r="P821" s="53" t="s">
        <v>12930</v>
      </c>
      <c r="Q821" s="53" t="s">
        <v>29</v>
      </c>
      <c r="R821" s="53" t="s">
        <v>12932</v>
      </c>
      <c r="U821" s="29" t="s">
        <v>12344</v>
      </c>
    </row>
    <row r="822" spans="1:21" ht="60" x14ac:dyDescent="0.25">
      <c r="A822" s="56">
        <v>43388</v>
      </c>
      <c r="B822" s="53" t="s">
        <v>6076</v>
      </c>
      <c r="D822" s="29" t="s">
        <v>12933</v>
      </c>
      <c r="F822" s="29" t="s">
        <v>11356</v>
      </c>
      <c r="G822" s="29" t="s">
        <v>1471</v>
      </c>
      <c r="H822" s="29" t="s">
        <v>10831</v>
      </c>
      <c r="I822" s="29" t="s">
        <v>491</v>
      </c>
      <c r="J822" s="29" t="s">
        <v>3370</v>
      </c>
      <c r="L822" s="182">
        <v>4</v>
      </c>
      <c r="M822" s="113">
        <v>2000000</v>
      </c>
      <c r="N822" s="113">
        <v>2500000</v>
      </c>
      <c r="O822" s="189" t="s">
        <v>560</v>
      </c>
      <c r="P822" s="53" t="s">
        <v>12935</v>
      </c>
      <c r="Q822" s="53" t="s">
        <v>592</v>
      </c>
      <c r="R822" s="53" t="s">
        <v>12934</v>
      </c>
      <c r="U822" s="29" t="s">
        <v>12344</v>
      </c>
    </row>
    <row r="823" spans="1:21" ht="90" x14ac:dyDescent="0.25">
      <c r="A823" s="56">
        <v>43388</v>
      </c>
      <c r="B823" s="53" t="s">
        <v>328</v>
      </c>
      <c r="C823" s="29" t="s">
        <v>603</v>
      </c>
      <c r="D823" s="29" t="s">
        <v>757</v>
      </c>
      <c r="F823" s="29" t="s">
        <v>328</v>
      </c>
      <c r="G823" s="29" t="s">
        <v>8044</v>
      </c>
      <c r="H823" s="29" t="s">
        <v>10831</v>
      </c>
      <c r="I823" s="29" t="s">
        <v>12936</v>
      </c>
      <c r="J823" s="29" t="s">
        <v>644</v>
      </c>
      <c r="L823" s="182">
        <v>9</v>
      </c>
      <c r="M823" s="113">
        <v>257000</v>
      </c>
      <c r="N823" s="113">
        <v>436900</v>
      </c>
      <c r="O823" s="189" t="s">
        <v>10763</v>
      </c>
      <c r="P823" s="53" t="s">
        <v>12948</v>
      </c>
      <c r="Q823" s="53" t="s">
        <v>1612</v>
      </c>
      <c r="R823" s="53" t="s">
        <v>12965</v>
      </c>
      <c r="U823" s="29" t="s">
        <v>12344</v>
      </c>
    </row>
    <row r="824" spans="1:21" ht="105" x14ac:dyDescent="0.25">
      <c r="A824" s="56">
        <v>43389</v>
      </c>
      <c r="B824" s="53" t="s">
        <v>328</v>
      </c>
      <c r="C824" s="29" t="s">
        <v>603</v>
      </c>
      <c r="D824" s="29" t="s">
        <v>8941</v>
      </c>
      <c r="F824" s="29" t="s">
        <v>12937</v>
      </c>
      <c r="G824" s="29" t="s">
        <v>4655</v>
      </c>
      <c r="H824" s="29" t="s">
        <v>607</v>
      </c>
      <c r="I824" s="29" t="s">
        <v>12938</v>
      </c>
      <c r="J824" s="29" t="s">
        <v>3733</v>
      </c>
      <c r="M824" s="113">
        <v>125000</v>
      </c>
      <c r="N824" s="113">
        <v>130000</v>
      </c>
      <c r="O824" s="189" t="s">
        <v>10763</v>
      </c>
      <c r="P824" s="53" t="s">
        <v>13409</v>
      </c>
      <c r="Q824" s="53" t="s">
        <v>1939</v>
      </c>
      <c r="R824" s="53" t="s">
        <v>12939</v>
      </c>
      <c r="U824" s="29" t="s">
        <v>12344</v>
      </c>
    </row>
    <row r="825" spans="1:21" ht="105" x14ac:dyDescent="0.25">
      <c r="A825" s="56">
        <v>43389</v>
      </c>
      <c r="B825" s="53" t="s">
        <v>643</v>
      </c>
      <c r="C825" s="29" t="s">
        <v>644</v>
      </c>
      <c r="D825" s="29" t="s">
        <v>12940</v>
      </c>
      <c r="F825" s="29" t="s">
        <v>12941</v>
      </c>
      <c r="G825" s="29" t="s">
        <v>7792</v>
      </c>
      <c r="H825" s="29" t="s">
        <v>12311</v>
      </c>
      <c r="I825" s="29" t="s">
        <v>2054</v>
      </c>
      <c r="J825" s="29" t="s">
        <v>899</v>
      </c>
      <c r="L825" s="182">
        <v>5</v>
      </c>
      <c r="M825" s="113">
        <v>587000</v>
      </c>
      <c r="N825" s="113">
        <f>+M825</f>
        <v>587000</v>
      </c>
      <c r="O825" s="189" t="s">
        <v>10766</v>
      </c>
      <c r="P825" s="53" t="s">
        <v>12942</v>
      </c>
      <c r="Q825" s="53" t="s">
        <v>620</v>
      </c>
      <c r="R825" s="53" t="s">
        <v>12943</v>
      </c>
      <c r="U825" s="29" t="s">
        <v>12344</v>
      </c>
    </row>
    <row r="826" spans="1:21" ht="60" x14ac:dyDescent="0.25">
      <c r="A826" s="56">
        <v>43389</v>
      </c>
      <c r="B826" s="53" t="s">
        <v>9240</v>
      </c>
      <c r="C826" s="29" t="s">
        <v>603</v>
      </c>
      <c r="D826" s="29" t="s">
        <v>9241</v>
      </c>
      <c r="F826" s="29" t="s">
        <v>12944</v>
      </c>
      <c r="G826" s="29" t="s">
        <v>10241</v>
      </c>
      <c r="H826" s="29" t="s">
        <v>905</v>
      </c>
      <c r="I826" s="29" t="s">
        <v>12945</v>
      </c>
      <c r="J826" s="29" t="s">
        <v>603</v>
      </c>
      <c r="M826" s="113">
        <v>650000</v>
      </c>
      <c r="N826" s="113">
        <f>+M826+65000+5000</f>
        <v>720000</v>
      </c>
      <c r="O826" s="189" t="s">
        <v>10766</v>
      </c>
      <c r="P826" s="53" t="s">
        <v>12946</v>
      </c>
      <c r="Q826" s="53" t="s">
        <v>1939</v>
      </c>
      <c r="R826" s="53" t="s">
        <v>12947</v>
      </c>
      <c r="U826" s="29" t="s">
        <v>12344</v>
      </c>
    </row>
    <row r="827" spans="1:21" ht="45" x14ac:dyDescent="0.25">
      <c r="A827" s="56">
        <v>43390</v>
      </c>
      <c r="B827" s="53" t="s">
        <v>328</v>
      </c>
      <c r="C827" s="29" t="s">
        <v>603</v>
      </c>
      <c r="D827" s="29" t="s">
        <v>649</v>
      </c>
      <c r="F827" s="29" t="s">
        <v>453</v>
      </c>
      <c r="G827" s="29" t="s">
        <v>5665</v>
      </c>
      <c r="H827" s="29" t="s">
        <v>10831</v>
      </c>
      <c r="I827" s="29" t="s">
        <v>12926</v>
      </c>
      <c r="J827" s="29" t="s">
        <v>3612</v>
      </c>
      <c r="L827" s="182">
        <v>10</v>
      </c>
      <c r="M827" s="113">
        <v>350000</v>
      </c>
      <c r="N827" s="113">
        <f>+M827+35000+175000+35000</f>
        <v>595000</v>
      </c>
      <c r="O827" s="189" t="s">
        <v>7124</v>
      </c>
      <c r="P827" s="53" t="s">
        <v>12949</v>
      </c>
      <c r="Q827" s="53" t="s">
        <v>29</v>
      </c>
      <c r="R827" s="53" t="s">
        <v>12950</v>
      </c>
      <c r="U827" s="29" t="s">
        <v>12344</v>
      </c>
    </row>
    <row r="828" spans="1:21" ht="45" x14ac:dyDescent="0.25">
      <c r="A828" s="56">
        <v>43391</v>
      </c>
      <c r="B828" s="53" t="s">
        <v>328</v>
      </c>
      <c r="C828" s="29" t="s">
        <v>603</v>
      </c>
      <c r="D828" s="29" t="s">
        <v>10338</v>
      </c>
      <c r="F828" s="29" t="s">
        <v>12951</v>
      </c>
      <c r="G828" s="29" t="s">
        <v>12952</v>
      </c>
      <c r="H828" s="29" t="s">
        <v>607</v>
      </c>
      <c r="I828" s="29" t="s">
        <v>12953</v>
      </c>
      <c r="J828" s="29" t="s">
        <v>5402</v>
      </c>
      <c r="K828" s="216">
        <v>45804</v>
      </c>
      <c r="L828" s="182">
        <v>4</v>
      </c>
      <c r="M828" s="113">
        <v>174000</v>
      </c>
      <c r="N828" s="113">
        <v>295800</v>
      </c>
      <c r="O828" s="189" t="s">
        <v>10766</v>
      </c>
      <c r="P828" s="53" t="s">
        <v>12955</v>
      </c>
      <c r="Q828" s="53" t="s">
        <v>1939</v>
      </c>
      <c r="R828" s="53" t="s">
        <v>12956</v>
      </c>
      <c r="U828" s="29" t="s">
        <v>12344</v>
      </c>
    </row>
    <row r="829" spans="1:21" ht="75" x14ac:dyDescent="0.25">
      <c r="A829" s="207">
        <v>43391</v>
      </c>
      <c r="B829" s="53" t="s">
        <v>5360</v>
      </c>
      <c r="C829" s="29" t="s">
        <v>899</v>
      </c>
      <c r="D829" s="29" t="s">
        <v>732</v>
      </c>
      <c r="F829" s="29" t="s">
        <v>12957</v>
      </c>
      <c r="G829" s="29" t="s">
        <v>7953</v>
      </c>
      <c r="H829" s="29" t="s">
        <v>607</v>
      </c>
      <c r="I829" s="29" t="s">
        <v>7073</v>
      </c>
      <c r="J829" s="29" t="s">
        <v>899</v>
      </c>
      <c r="K829" s="216">
        <v>95682</v>
      </c>
      <c r="L829" s="182">
        <v>4</v>
      </c>
      <c r="M829" s="113">
        <v>256000</v>
      </c>
      <c r="N829" s="113">
        <v>512000</v>
      </c>
      <c r="O829" s="189" t="s">
        <v>10765</v>
      </c>
      <c r="P829" s="53" t="s">
        <v>12958</v>
      </c>
      <c r="Q829" s="53" t="s">
        <v>1939</v>
      </c>
      <c r="R829" s="53" t="s">
        <v>12959</v>
      </c>
      <c r="U829" s="29" t="s">
        <v>12344</v>
      </c>
    </row>
    <row r="830" spans="1:21" ht="90" x14ac:dyDescent="0.25">
      <c r="A830" s="56">
        <v>43391</v>
      </c>
      <c r="B830" s="53" t="s">
        <v>643</v>
      </c>
      <c r="C830" s="29" t="s">
        <v>644</v>
      </c>
      <c r="D830" s="29" t="s">
        <v>645</v>
      </c>
      <c r="F830" s="29" t="s">
        <v>10065</v>
      </c>
      <c r="G830" s="29" t="s">
        <v>9350</v>
      </c>
      <c r="H830" s="29" t="s">
        <v>607</v>
      </c>
      <c r="I830" s="29" t="s">
        <v>10404</v>
      </c>
      <c r="J830" s="29" t="s">
        <v>644</v>
      </c>
      <c r="K830" s="216">
        <v>80421</v>
      </c>
      <c r="L830" s="182">
        <v>4</v>
      </c>
      <c r="M830" s="113">
        <v>50000</v>
      </c>
      <c r="N830" s="113">
        <v>250000</v>
      </c>
      <c r="O830" s="189" t="s">
        <v>10765</v>
      </c>
      <c r="P830" s="53" t="s">
        <v>12960</v>
      </c>
      <c r="Q830" s="53" t="s">
        <v>1939</v>
      </c>
      <c r="R830" s="53" t="s">
        <v>13410</v>
      </c>
      <c r="U830" s="29" t="s">
        <v>12344</v>
      </c>
    </row>
    <row r="831" spans="1:21" ht="75" x14ac:dyDescent="0.25">
      <c r="A831" s="56">
        <v>43391</v>
      </c>
      <c r="B831" s="53" t="s">
        <v>569</v>
      </c>
      <c r="C831" s="29" t="s">
        <v>899</v>
      </c>
      <c r="D831" s="29" t="s">
        <v>625</v>
      </c>
      <c r="F831" s="29" t="s">
        <v>491</v>
      </c>
      <c r="G831" s="29" t="s">
        <v>465</v>
      </c>
      <c r="H831" s="29" t="s">
        <v>607</v>
      </c>
      <c r="I831" s="29" t="s">
        <v>2054</v>
      </c>
      <c r="J831" s="29" t="s">
        <v>899</v>
      </c>
      <c r="K831" s="216">
        <v>90046</v>
      </c>
      <c r="L831" s="182">
        <v>6</v>
      </c>
      <c r="M831" s="113">
        <v>1200000</v>
      </c>
      <c r="N831" s="113">
        <f>+M831+50000+150000+120000</f>
        <v>1520000</v>
      </c>
      <c r="O831" s="189" t="s">
        <v>7564</v>
      </c>
      <c r="P831" s="53" t="s">
        <v>13411</v>
      </c>
      <c r="Q831" s="53" t="s">
        <v>1939</v>
      </c>
      <c r="R831" s="53" t="s">
        <v>12961</v>
      </c>
      <c r="U831" s="29" t="s">
        <v>12344</v>
      </c>
    </row>
    <row r="832" spans="1:21" ht="105" x14ac:dyDescent="0.25">
      <c r="A832" s="56">
        <v>43391</v>
      </c>
      <c r="B832" s="53" t="s">
        <v>9240</v>
      </c>
      <c r="C832" s="29" t="s">
        <v>603</v>
      </c>
      <c r="D832" s="29" t="s">
        <v>12924</v>
      </c>
      <c r="F832" s="29" t="s">
        <v>12962</v>
      </c>
      <c r="G832" s="29" t="s">
        <v>11981</v>
      </c>
      <c r="H832" s="29" t="s">
        <v>607</v>
      </c>
      <c r="I832" s="29" t="s">
        <v>12963</v>
      </c>
      <c r="J832" s="29" t="s">
        <v>5402</v>
      </c>
      <c r="K832" s="216">
        <v>43074</v>
      </c>
      <c r="L832" s="182">
        <v>6</v>
      </c>
      <c r="M832" s="113">
        <v>257000</v>
      </c>
      <c r="N832" s="113">
        <f>+M832+25700+179900+51400</f>
        <v>514000</v>
      </c>
      <c r="O832" s="189" t="s">
        <v>10766</v>
      </c>
      <c r="P832" s="53" t="s">
        <v>12964</v>
      </c>
      <c r="Q832" s="53" t="s">
        <v>1612</v>
      </c>
      <c r="R832" s="53" t="s">
        <v>13095</v>
      </c>
      <c r="U832" s="29" t="s">
        <v>12344</v>
      </c>
    </row>
    <row r="833" spans="1:23" ht="90" x14ac:dyDescent="0.25">
      <c r="A833" s="56">
        <v>43392</v>
      </c>
      <c r="B833" s="53" t="s">
        <v>328</v>
      </c>
      <c r="C833" s="29" t="s">
        <v>603</v>
      </c>
      <c r="D833" s="29" t="s">
        <v>8941</v>
      </c>
      <c r="F833" s="29" t="s">
        <v>12968</v>
      </c>
      <c r="G833" s="29" t="s">
        <v>8192</v>
      </c>
      <c r="H833" s="29" t="s">
        <v>10831</v>
      </c>
      <c r="I833" s="29" t="s">
        <v>12969</v>
      </c>
      <c r="J833" s="29" t="s">
        <v>5610</v>
      </c>
      <c r="K833" s="216">
        <v>37381</v>
      </c>
      <c r="L833" s="182">
        <v>9</v>
      </c>
      <c r="M833" s="113">
        <v>120000</v>
      </c>
      <c r="N833" s="113">
        <f>+M833+70000+60000+12000</f>
        <v>262000</v>
      </c>
      <c r="O833" s="189" t="s">
        <v>7124</v>
      </c>
      <c r="P833" s="53" t="s">
        <v>13412</v>
      </c>
      <c r="Q833" s="53" t="s">
        <v>1939</v>
      </c>
      <c r="R833" s="53" t="s">
        <v>12970</v>
      </c>
      <c r="U833" s="29" t="s">
        <v>12344</v>
      </c>
    </row>
    <row r="834" spans="1:23" ht="90" x14ac:dyDescent="0.25">
      <c r="A834" s="56">
        <v>43392</v>
      </c>
      <c r="B834" s="53" t="s">
        <v>569</v>
      </c>
      <c r="C834" s="29" t="s">
        <v>899</v>
      </c>
      <c r="D834" s="29" t="s">
        <v>11286</v>
      </c>
      <c r="F834" s="29" t="s">
        <v>8879</v>
      </c>
      <c r="G834" s="29" t="s">
        <v>8880</v>
      </c>
      <c r="H834" s="29" t="s">
        <v>607</v>
      </c>
      <c r="I834" s="29" t="s">
        <v>8881</v>
      </c>
      <c r="J834" s="29" t="s">
        <v>899</v>
      </c>
      <c r="K834" s="216">
        <v>91311</v>
      </c>
      <c r="L834" s="182">
        <v>6</v>
      </c>
      <c r="M834" s="113">
        <v>750000</v>
      </c>
      <c r="N834" s="113">
        <f>+M834+150000+562500+375000</f>
        <v>1837500</v>
      </c>
      <c r="O834" s="189" t="s">
        <v>10766</v>
      </c>
      <c r="P834" s="53" t="s">
        <v>13413</v>
      </c>
      <c r="Q834" s="53" t="s">
        <v>1939</v>
      </c>
      <c r="R834" s="53" t="s">
        <v>12973</v>
      </c>
      <c r="U834" s="29" t="s">
        <v>12344</v>
      </c>
    </row>
    <row r="835" spans="1:23" ht="45" x14ac:dyDescent="0.25">
      <c r="A835" s="56">
        <v>43392</v>
      </c>
      <c r="B835" s="53" t="s">
        <v>250</v>
      </c>
      <c r="C835" s="29" t="s">
        <v>3856</v>
      </c>
      <c r="D835" s="29" t="s">
        <v>12971</v>
      </c>
      <c r="F835" s="29" t="s">
        <v>12972</v>
      </c>
      <c r="G835" s="29" t="s">
        <v>7855</v>
      </c>
      <c r="H835" s="29" t="s">
        <v>607</v>
      </c>
      <c r="I835" s="29" t="s">
        <v>7662</v>
      </c>
      <c r="J835" s="29" t="s">
        <v>3856</v>
      </c>
      <c r="K835" s="216">
        <v>39110</v>
      </c>
      <c r="M835" s="113">
        <v>400000</v>
      </c>
      <c r="N835" s="113">
        <f>+M835+50000+120000+80000</f>
        <v>650000</v>
      </c>
      <c r="O835" s="189" t="s">
        <v>10766</v>
      </c>
      <c r="P835" s="53" t="s">
        <v>12974</v>
      </c>
      <c r="Q835" s="53" t="s">
        <v>1939</v>
      </c>
      <c r="R835" s="53" t="s">
        <v>12975</v>
      </c>
      <c r="U835" s="29" t="s">
        <v>12344</v>
      </c>
    </row>
    <row r="836" spans="1:23" ht="60" x14ac:dyDescent="0.25">
      <c r="A836" s="56">
        <v>43395</v>
      </c>
      <c r="B836" s="53" t="s">
        <v>328</v>
      </c>
      <c r="C836" s="29" t="s">
        <v>603</v>
      </c>
      <c r="D836" s="29" t="s">
        <v>5701</v>
      </c>
      <c r="F836" s="29" t="s">
        <v>12976</v>
      </c>
      <c r="G836" s="29" t="s">
        <v>7747</v>
      </c>
      <c r="H836" s="29" t="s">
        <v>607</v>
      </c>
      <c r="I836" s="29" t="s">
        <v>2054</v>
      </c>
      <c r="J836" s="29" t="s">
        <v>899</v>
      </c>
      <c r="K836" s="216">
        <v>90068</v>
      </c>
      <c r="L836" s="182">
        <v>1</v>
      </c>
      <c r="M836" s="113">
        <v>537000</v>
      </c>
      <c r="N836" s="113">
        <v>966600</v>
      </c>
      <c r="O836" s="189" t="s">
        <v>7564</v>
      </c>
      <c r="P836" s="53" t="s">
        <v>13414</v>
      </c>
      <c r="Q836" s="53" t="s">
        <v>592</v>
      </c>
      <c r="R836" s="53" t="s">
        <v>12977</v>
      </c>
      <c r="U836" s="29" t="s">
        <v>12344</v>
      </c>
    </row>
    <row r="837" spans="1:23" ht="60" x14ac:dyDescent="0.25">
      <c r="A837" s="56">
        <v>43395</v>
      </c>
      <c r="B837" s="53" t="s">
        <v>5360</v>
      </c>
      <c r="C837" s="29" t="s">
        <v>899</v>
      </c>
      <c r="D837" s="29" t="s">
        <v>732</v>
      </c>
      <c r="F837" s="29" t="s">
        <v>12979</v>
      </c>
      <c r="G837" s="29" t="s">
        <v>9170</v>
      </c>
      <c r="H837" s="29" t="s">
        <v>607</v>
      </c>
      <c r="I837" s="29" t="s">
        <v>3672</v>
      </c>
      <c r="J837" s="29" t="s">
        <v>899</v>
      </c>
      <c r="K837" s="216">
        <v>93105</v>
      </c>
      <c r="L837" s="182">
        <v>2</v>
      </c>
      <c r="M837" s="113">
        <v>2250000</v>
      </c>
      <c r="N837" s="113">
        <f>+M837+225000+1687500+900000</f>
        <v>5062500</v>
      </c>
      <c r="O837" s="189" t="s">
        <v>560</v>
      </c>
      <c r="P837" s="53" t="s">
        <v>13415</v>
      </c>
      <c r="Q837" s="53" t="s">
        <v>29</v>
      </c>
      <c r="R837" s="53" t="s">
        <v>12980</v>
      </c>
      <c r="U837" s="29" t="s">
        <v>12344</v>
      </c>
    </row>
    <row r="838" spans="1:23" ht="105" x14ac:dyDescent="0.25">
      <c r="A838" s="56">
        <v>43395</v>
      </c>
      <c r="B838" s="53" t="s">
        <v>328</v>
      </c>
      <c r="C838" s="29" t="s">
        <v>603</v>
      </c>
      <c r="D838" s="29" t="s">
        <v>5701</v>
      </c>
      <c r="F838" s="29" t="s">
        <v>5096</v>
      </c>
      <c r="G838" s="29" t="s">
        <v>10128</v>
      </c>
      <c r="H838" s="29" t="s">
        <v>607</v>
      </c>
      <c r="I838" s="29" t="s">
        <v>12983</v>
      </c>
      <c r="J838" s="29" t="s">
        <v>3751</v>
      </c>
      <c r="K838" s="216">
        <v>63650</v>
      </c>
      <c r="L838" s="182">
        <v>10</v>
      </c>
      <c r="M838" s="113">
        <v>150000</v>
      </c>
      <c r="N838" s="113">
        <f>+M838+15000+75000+15000</f>
        <v>255000</v>
      </c>
      <c r="O838" s="189" t="s">
        <v>7124</v>
      </c>
      <c r="P838" s="53" t="s">
        <v>12981</v>
      </c>
      <c r="Q838" s="53" t="s">
        <v>29</v>
      </c>
      <c r="R838" s="53" t="s">
        <v>12982</v>
      </c>
      <c r="U838" s="29" t="s">
        <v>12344</v>
      </c>
    </row>
    <row r="839" spans="1:23" ht="90" x14ac:dyDescent="0.25">
      <c r="A839" s="56">
        <v>43395</v>
      </c>
      <c r="B839" s="53" t="s">
        <v>569</v>
      </c>
      <c r="C839" s="29" t="s">
        <v>899</v>
      </c>
      <c r="D839" s="29" t="s">
        <v>611</v>
      </c>
      <c r="F839" s="29" t="s">
        <v>12984</v>
      </c>
      <c r="G839" s="29" t="s">
        <v>8383</v>
      </c>
      <c r="H839" s="29" t="s">
        <v>607</v>
      </c>
      <c r="I839" s="29" t="s">
        <v>9579</v>
      </c>
      <c r="J839" s="29" t="s">
        <v>899</v>
      </c>
      <c r="K839" s="216">
        <v>94010</v>
      </c>
      <c r="L839" s="182">
        <v>4</v>
      </c>
      <c r="M839" s="113">
        <v>2422262</v>
      </c>
      <c r="N839" s="113">
        <v>2577000</v>
      </c>
      <c r="O839" s="189" t="s">
        <v>560</v>
      </c>
      <c r="P839" s="53" t="s">
        <v>13416</v>
      </c>
      <c r="Q839" s="53" t="s">
        <v>1939</v>
      </c>
      <c r="R839" s="53" t="s">
        <v>12985</v>
      </c>
      <c r="U839" s="29" t="s">
        <v>12344</v>
      </c>
    </row>
    <row r="840" spans="1:23" s="211" customFormat="1" ht="90" x14ac:dyDescent="0.25">
      <c r="A840" s="209">
        <v>43395</v>
      </c>
      <c r="B840" s="210" t="s">
        <v>328</v>
      </c>
      <c r="C840" s="211" t="s">
        <v>603</v>
      </c>
      <c r="D840" s="211" t="s">
        <v>757</v>
      </c>
      <c r="F840" s="211" t="s">
        <v>12986</v>
      </c>
      <c r="G840" s="211" t="s">
        <v>8267</v>
      </c>
      <c r="H840" s="211" t="s">
        <v>607</v>
      </c>
      <c r="I840" s="211" t="s">
        <v>12987</v>
      </c>
      <c r="J840" s="211" t="s">
        <v>3751</v>
      </c>
      <c r="K840" s="222">
        <v>64469</v>
      </c>
      <c r="L840" s="212">
        <v>10</v>
      </c>
      <c r="M840" s="213">
        <v>102000</v>
      </c>
      <c r="N840" s="213">
        <v>204000</v>
      </c>
      <c r="O840" s="214" t="s">
        <v>10766</v>
      </c>
      <c r="P840" s="210" t="s">
        <v>12988</v>
      </c>
      <c r="Q840" s="210" t="s">
        <v>29</v>
      </c>
      <c r="R840" s="210" t="s">
        <v>13017</v>
      </c>
      <c r="S840" s="210"/>
      <c r="U840" s="211" t="s">
        <v>12344</v>
      </c>
      <c r="W840" s="210"/>
    </row>
    <row r="841" spans="1:23" ht="45" x14ac:dyDescent="0.25">
      <c r="A841" s="56">
        <v>43396</v>
      </c>
      <c r="B841" s="53" t="s">
        <v>5360</v>
      </c>
      <c r="C841" s="29" t="s">
        <v>899</v>
      </c>
      <c r="D841" s="29" t="s">
        <v>732</v>
      </c>
      <c r="F841" s="29" t="s">
        <v>12989</v>
      </c>
      <c r="G841" s="29" t="s">
        <v>12990</v>
      </c>
      <c r="H841" s="29" t="s">
        <v>607</v>
      </c>
      <c r="I841" s="29" t="s">
        <v>6654</v>
      </c>
      <c r="J841" s="29" t="s">
        <v>899</v>
      </c>
      <c r="K841" s="216">
        <v>94028</v>
      </c>
      <c r="L841" s="182">
        <v>2</v>
      </c>
      <c r="M841" s="113">
        <v>2700000</v>
      </c>
      <c r="N841" s="113">
        <f>+M841+270000+1350000</f>
        <v>4320000</v>
      </c>
      <c r="O841" s="189" t="s">
        <v>560</v>
      </c>
      <c r="P841" s="53" t="s">
        <v>12991</v>
      </c>
      <c r="Q841" s="53" t="s">
        <v>1939</v>
      </c>
      <c r="R841" s="53" t="s">
        <v>12992</v>
      </c>
      <c r="U841" s="29" t="s">
        <v>12344</v>
      </c>
    </row>
    <row r="842" spans="1:23" s="46" customFormat="1" ht="150" x14ac:dyDescent="0.25">
      <c r="A842" s="61">
        <v>43396</v>
      </c>
      <c r="B842" s="47" t="s">
        <v>328</v>
      </c>
      <c r="C842" s="46" t="s">
        <v>603</v>
      </c>
      <c r="D842" s="46" t="s">
        <v>8941</v>
      </c>
      <c r="F842" s="46" t="s">
        <v>12993</v>
      </c>
      <c r="G842" s="46" t="s">
        <v>8941</v>
      </c>
      <c r="H842" s="46" t="s">
        <v>1050</v>
      </c>
      <c r="I842" s="46" t="s">
        <v>12994</v>
      </c>
      <c r="J842" s="46" t="s">
        <v>603</v>
      </c>
      <c r="K842" s="218">
        <v>49101</v>
      </c>
      <c r="L842" s="185">
        <v>5</v>
      </c>
      <c r="M842" s="91">
        <v>750000</v>
      </c>
      <c r="N842" s="91">
        <v>750000</v>
      </c>
      <c r="O842" s="189" t="s">
        <v>10763</v>
      </c>
      <c r="P842" s="47" t="s">
        <v>13417</v>
      </c>
      <c r="Q842" s="47" t="s">
        <v>1939</v>
      </c>
      <c r="R842" s="47" t="s">
        <v>13418</v>
      </c>
      <c r="S842" s="47"/>
      <c r="U842" s="46" t="s">
        <v>12344</v>
      </c>
      <c r="W842" s="47"/>
    </row>
    <row r="843" spans="1:23" ht="90" x14ac:dyDescent="0.25">
      <c r="A843" s="56">
        <v>43396</v>
      </c>
      <c r="B843" s="53" t="s">
        <v>569</v>
      </c>
      <c r="C843" s="29" t="s">
        <v>899</v>
      </c>
      <c r="D843" s="29" t="s">
        <v>625</v>
      </c>
      <c r="F843" s="29" t="s">
        <v>12995</v>
      </c>
      <c r="H843" s="29" t="s">
        <v>905</v>
      </c>
      <c r="I843" s="29" t="s">
        <v>4070</v>
      </c>
      <c r="J843" s="29" t="s">
        <v>899</v>
      </c>
      <c r="K843" s="216">
        <v>92651</v>
      </c>
      <c r="L843" s="182">
        <v>3</v>
      </c>
      <c r="M843" s="113">
        <v>640563</v>
      </c>
      <c r="N843" s="113">
        <f>+M843+21063</f>
        <v>661626</v>
      </c>
      <c r="O843" s="189" t="s">
        <v>10763</v>
      </c>
      <c r="P843" s="53" t="s">
        <v>12996</v>
      </c>
      <c r="Q843" s="53" t="s">
        <v>1939</v>
      </c>
      <c r="R843" s="53" t="s">
        <v>12997</v>
      </c>
      <c r="U843" s="29" t="s">
        <v>12344</v>
      </c>
    </row>
    <row r="844" spans="1:23" ht="75" x14ac:dyDescent="0.25">
      <c r="A844" s="56">
        <v>43396</v>
      </c>
      <c r="B844" s="53" t="s">
        <v>328</v>
      </c>
      <c r="C844" s="29" t="s">
        <v>603</v>
      </c>
      <c r="D844" s="29" t="s">
        <v>7595</v>
      </c>
      <c r="F844" s="29" t="s">
        <v>12998</v>
      </c>
      <c r="G844" s="29" t="s">
        <v>10944</v>
      </c>
      <c r="H844" s="29" t="s">
        <v>905</v>
      </c>
      <c r="I844" s="29" t="s">
        <v>12999</v>
      </c>
      <c r="J844" s="29" t="s">
        <v>899</v>
      </c>
      <c r="K844" s="216">
        <v>95715</v>
      </c>
      <c r="L844" s="182">
        <v>10</v>
      </c>
      <c r="M844" s="113">
        <v>350000</v>
      </c>
      <c r="N844" s="113">
        <v>430000</v>
      </c>
      <c r="O844" s="189" t="s">
        <v>7124</v>
      </c>
      <c r="P844" s="53" t="s">
        <v>13000</v>
      </c>
      <c r="Q844" s="53" t="s">
        <v>1939</v>
      </c>
      <c r="R844" s="53" t="s">
        <v>13001</v>
      </c>
      <c r="U844" s="29" t="s">
        <v>12344</v>
      </c>
    </row>
    <row r="845" spans="1:23" ht="60" x14ac:dyDescent="0.25">
      <c r="A845" s="56">
        <v>43396</v>
      </c>
      <c r="B845" s="53" t="s">
        <v>328</v>
      </c>
      <c r="C845" s="29" t="s">
        <v>603</v>
      </c>
      <c r="D845" s="29" t="s">
        <v>7595</v>
      </c>
      <c r="F845" s="29" t="s">
        <v>13002</v>
      </c>
      <c r="G845" s="29" t="s">
        <v>8891</v>
      </c>
      <c r="H845" s="29" t="s">
        <v>10831</v>
      </c>
      <c r="I845" s="29" t="s">
        <v>13004</v>
      </c>
      <c r="J845" s="29" t="s">
        <v>644</v>
      </c>
      <c r="K845" s="216">
        <v>81069</v>
      </c>
      <c r="L845" s="182">
        <v>10</v>
      </c>
      <c r="M845" s="113">
        <v>84000</v>
      </c>
      <c r="N845" s="113">
        <v>110800</v>
      </c>
      <c r="O845" s="189" t="s">
        <v>7124</v>
      </c>
      <c r="P845" s="53" t="s">
        <v>13003</v>
      </c>
      <c r="Q845" s="53" t="s">
        <v>1939</v>
      </c>
      <c r="R845" s="53" t="s">
        <v>13005</v>
      </c>
      <c r="U845" s="29" t="s">
        <v>12344</v>
      </c>
    </row>
    <row r="846" spans="1:23" ht="75" x14ac:dyDescent="0.25">
      <c r="A846" s="56">
        <v>43396</v>
      </c>
      <c r="B846" s="53" t="s">
        <v>5360</v>
      </c>
      <c r="C846" s="29" t="s">
        <v>899</v>
      </c>
      <c r="D846" s="29" t="s">
        <v>611</v>
      </c>
      <c r="F846" s="29" t="s">
        <v>13006</v>
      </c>
      <c r="G846" s="29" t="s">
        <v>13007</v>
      </c>
      <c r="H846" s="29" t="s">
        <v>607</v>
      </c>
      <c r="I846" s="29" t="s">
        <v>13008</v>
      </c>
      <c r="J846" s="29" t="s">
        <v>899</v>
      </c>
      <c r="K846" s="216">
        <v>95228</v>
      </c>
      <c r="L846" s="182">
        <v>5</v>
      </c>
      <c r="M846" s="113">
        <v>920000</v>
      </c>
      <c r="N846" s="113">
        <f>+M846+300000+460000+92000</f>
        <v>1772000</v>
      </c>
      <c r="O846" s="189" t="s">
        <v>10766</v>
      </c>
      <c r="P846" s="53" t="s">
        <v>13009</v>
      </c>
      <c r="Q846" s="53" t="s">
        <v>1939</v>
      </c>
      <c r="R846" s="53" t="s">
        <v>13010</v>
      </c>
      <c r="U846" s="29" t="s">
        <v>12344</v>
      </c>
    </row>
    <row r="847" spans="1:23" ht="75" x14ac:dyDescent="0.25">
      <c r="A847" s="56">
        <v>43396</v>
      </c>
      <c r="B847" s="53" t="s">
        <v>328</v>
      </c>
      <c r="C847" s="29" t="s">
        <v>603</v>
      </c>
      <c r="D847" s="29" t="s">
        <v>10705</v>
      </c>
      <c r="F847" s="29" t="s">
        <v>13014</v>
      </c>
      <c r="G847" s="29" t="s">
        <v>10065</v>
      </c>
      <c r="H847" s="29" t="s">
        <v>10831</v>
      </c>
      <c r="I847" s="29" t="s">
        <v>13011</v>
      </c>
      <c r="J847" s="29" t="s">
        <v>3368</v>
      </c>
      <c r="K847" s="216">
        <v>71635</v>
      </c>
      <c r="L847" s="182">
        <v>10</v>
      </c>
      <c r="M847" s="113">
        <v>75000</v>
      </c>
      <c r="N847" s="113">
        <v>85000</v>
      </c>
      <c r="O847" s="189" t="s">
        <v>7124</v>
      </c>
      <c r="P847" s="53" t="s">
        <v>13012</v>
      </c>
      <c r="Q847" s="53" t="s">
        <v>29</v>
      </c>
      <c r="R847" s="53" t="s">
        <v>13013</v>
      </c>
      <c r="U847" s="29" t="s">
        <v>12344</v>
      </c>
    </row>
    <row r="848" spans="1:23" ht="120" x14ac:dyDescent="0.25">
      <c r="A848" s="56">
        <v>43397</v>
      </c>
      <c r="B848" s="53" t="s">
        <v>569</v>
      </c>
      <c r="C848" s="29" t="s">
        <v>899</v>
      </c>
      <c r="D848" s="29" t="s">
        <v>11286</v>
      </c>
      <c r="F848" s="29" t="s">
        <v>13015</v>
      </c>
      <c r="G848" s="29" t="s">
        <v>13016</v>
      </c>
      <c r="H848" s="29" t="s">
        <v>1050</v>
      </c>
      <c r="I848" s="29" t="s">
        <v>6894</v>
      </c>
      <c r="J848" s="29" t="s">
        <v>899</v>
      </c>
      <c r="K848" s="216">
        <v>92024</v>
      </c>
      <c r="L848" s="182">
        <v>5</v>
      </c>
      <c r="M848" s="113">
        <v>2700000</v>
      </c>
      <c r="N848" s="113">
        <f>+M848</f>
        <v>2700000</v>
      </c>
      <c r="O848" s="189" t="s">
        <v>2295</v>
      </c>
      <c r="P848" s="53" t="s">
        <v>13419</v>
      </c>
      <c r="Q848" s="53" t="s">
        <v>1939</v>
      </c>
      <c r="R848" s="53" t="s">
        <v>13019</v>
      </c>
      <c r="U848" s="29" t="s">
        <v>12344</v>
      </c>
    </row>
    <row r="849" spans="1:21" ht="30" x14ac:dyDescent="0.25">
      <c r="A849" s="56">
        <v>43397</v>
      </c>
      <c r="B849" s="53" t="s">
        <v>569</v>
      </c>
      <c r="C849" s="29" t="s">
        <v>899</v>
      </c>
      <c r="D849" s="29" t="s">
        <v>625</v>
      </c>
      <c r="F849" s="29" t="s">
        <v>13018</v>
      </c>
      <c r="G849" s="29" t="s">
        <v>7855</v>
      </c>
      <c r="H849" s="29" t="s">
        <v>607</v>
      </c>
      <c r="I849" s="29" t="s">
        <v>12347</v>
      </c>
      <c r="J849" s="29" t="s">
        <v>899</v>
      </c>
      <c r="K849" s="216">
        <v>92679</v>
      </c>
      <c r="L849" s="182">
        <v>3</v>
      </c>
      <c r="M849" s="113">
        <v>2511000</v>
      </c>
      <c r="N849" s="113">
        <f>+M849+251000+1005000</f>
        <v>3767000</v>
      </c>
      <c r="O849" s="189" t="s">
        <v>560</v>
      </c>
      <c r="P849" s="53" t="s">
        <v>13020</v>
      </c>
      <c r="Q849" s="53" t="s">
        <v>592</v>
      </c>
      <c r="R849" s="53" t="s">
        <v>13021</v>
      </c>
      <c r="U849" s="29" t="s">
        <v>12344</v>
      </c>
    </row>
    <row r="850" spans="1:21" ht="45" x14ac:dyDescent="0.25">
      <c r="A850" s="56">
        <v>43397</v>
      </c>
      <c r="B850" s="53" t="s">
        <v>328</v>
      </c>
      <c r="C850" s="29" t="s">
        <v>603</v>
      </c>
      <c r="D850" s="29" t="s">
        <v>10338</v>
      </c>
      <c r="F850" s="29" t="s">
        <v>13022</v>
      </c>
      <c r="G850" s="29" t="s">
        <v>12384</v>
      </c>
      <c r="H850" s="29" t="s">
        <v>607</v>
      </c>
      <c r="I850" s="29" t="s">
        <v>8581</v>
      </c>
      <c r="J850" s="29" t="s">
        <v>3533</v>
      </c>
      <c r="K850" s="216">
        <v>53221</v>
      </c>
      <c r="L850" s="182">
        <v>3</v>
      </c>
      <c r="M850" s="113">
        <v>188000</v>
      </c>
      <c r="N850" s="113">
        <f>+M850+18000+94000+37600</f>
        <v>337600</v>
      </c>
      <c r="O850" s="189" t="s">
        <v>10766</v>
      </c>
      <c r="P850" s="53" t="s">
        <v>13023</v>
      </c>
      <c r="Q850" s="53" t="s">
        <v>29</v>
      </c>
      <c r="R850" s="53" t="s">
        <v>13024</v>
      </c>
      <c r="U850" s="29" t="s">
        <v>12344</v>
      </c>
    </row>
    <row r="851" spans="1:21" ht="75" x14ac:dyDescent="0.25">
      <c r="A851" s="56">
        <v>43398</v>
      </c>
      <c r="B851" s="53" t="s">
        <v>569</v>
      </c>
      <c r="C851" s="29" t="s">
        <v>899</v>
      </c>
      <c r="D851" s="29" t="s">
        <v>625</v>
      </c>
      <c r="F851" s="29" t="s">
        <v>13025</v>
      </c>
      <c r="G851" s="29" t="s">
        <v>12327</v>
      </c>
      <c r="H851" s="29" t="s">
        <v>607</v>
      </c>
      <c r="I851" s="29" t="s">
        <v>2054</v>
      </c>
      <c r="J851" s="29" t="s">
        <v>899</v>
      </c>
      <c r="K851" s="216">
        <v>90069</v>
      </c>
      <c r="L851" s="182">
        <v>1</v>
      </c>
      <c r="M851" s="113">
        <v>1323000</v>
      </c>
      <c r="N851" s="113">
        <f>+M851+264600+926000+364600</f>
        <v>2878200</v>
      </c>
      <c r="O851" s="189" t="s">
        <v>10766</v>
      </c>
      <c r="P851" s="53" t="s">
        <v>13420</v>
      </c>
      <c r="Q851" s="53" t="s">
        <v>1939</v>
      </c>
      <c r="R851" s="53" t="s">
        <v>13026</v>
      </c>
      <c r="U851" s="29" t="s">
        <v>12344</v>
      </c>
    </row>
    <row r="852" spans="1:21" ht="60" x14ac:dyDescent="0.25">
      <c r="A852" s="56">
        <v>43398</v>
      </c>
      <c r="B852" s="53" t="s">
        <v>643</v>
      </c>
      <c r="C852" s="29" t="s">
        <v>644</v>
      </c>
      <c r="D852" s="29" t="s">
        <v>645</v>
      </c>
      <c r="F852" s="29" t="s">
        <v>13027</v>
      </c>
      <c r="G852" s="29" t="s">
        <v>13028</v>
      </c>
      <c r="H852" s="29" t="s">
        <v>809</v>
      </c>
      <c r="I852" s="29" t="s">
        <v>7022</v>
      </c>
      <c r="J852" s="29" t="s">
        <v>644</v>
      </c>
      <c r="K852" s="216">
        <v>80304</v>
      </c>
      <c r="L852" s="182">
        <v>2</v>
      </c>
      <c r="M852" s="113">
        <f>N852</f>
        <v>1200000</v>
      </c>
      <c r="N852" s="113">
        <v>1200000</v>
      </c>
      <c r="O852" s="189" t="s">
        <v>10765</v>
      </c>
      <c r="P852" s="53" t="s">
        <v>13029</v>
      </c>
      <c r="Q852" s="53" t="s">
        <v>592</v>
      </c>
      <c r="R852" s="53" t="s">
        <v>13033</v>
      </c>
      <c r="U852" s="29" t="s">
        <v>12344</v>
      </c>
    </row>
    <row r="853" spans="1:21" ht="75" x14ac:dyDescent="0.25">
      <c r="A853" s="56">
        <v>43398</v>
      </c>
      <c r="B853" s="53" t="s">
        <v>328</v>
      </c>
      <c r="C853" s="29" t="s">
        <v>603</v>
      </c>
      <c r="D853" s="29" t="s">
        <v>1401</v>
      </c>
      <c r="F853" s="29" t="s">
        <v>13030</v>
      </c>
      <c r="G853" s="29" t="s">
        <v>13031</v>
      </c>
      <c r="H853" s="29" t="s">
        <v>607</v>
      </c>
      <c r="I853" s="29" t="s">
        <v>13032</v>
      </c>
      <c r="J853" s="29" t="s">
        <v>5402</v>
      </c>
      <c r="K853" s="216">
        <v>44044</v>
      </c>
      <c r="L853" s="182">
        <v>6</v>
      </c>
      <c r="M853" s="113">
        <v>150000</v>
      </c>
      <c r="N853" s="113">
        <f>+M853+15000+75000+15000</f>
        <v>255000</v>
      </c>
      <c r="O853" s="189" t="s">
        <v>10766</v>
      </c>
      <c r="P853" s="53" t="s">
        <v>13051</v>
      </c>
      <c r="Q853" s="53" t="s">
        <v>1612</v>
      </c>
      <c r="R853" s="53" t="s">
        <v>13050</v>
      </c>
      <c r="U853" s="29" t="s">
        <v>12344</v>
      </c>
    </row>
    <row r="854" spans="1:21" ht="45" x14ac:dyDescent="0.25">
      <c r="A854" s="56">
        <v>43398</v>
      </c>
      <c r="B854" s="53" t="s">
        <v>328</v>
      </c>
      <c r="C854" s="29" t="s">
        <v>603</v>
      </c>
      <c r="D854" s="29" t="s">
        <v>1401</v>
      </c>
      <c r="F854" s="29" t="s">
        <v>13034</v>
      </c>
      <c r="G854" s="29" t="s">
        <v>8289</v>
      </c>
      <c r="H854" s="29" t="s">
        <v>607</v>
      </c>
      <c r="I854" s="29" t="s">
        <v>6353</v>
      </c>
      <c r="J854" s="29" t="s">
        <v>899</v>
      </c>
      <c r="K854" s="216">
        <v>93401</v>
      </c>
      <c r="M854" s="113">
        <v>800000</v>
      </c>
      <c r="N854" s="113">
        <f>+M854+80000+160000</f>
        <v>1040000</v>
      </c>
      <c r="O854" s="189" t="s">
        <v>10766</v>
      </c>
      <c r="P854" s="53" t="s">
        <v>13421</v>
      </c>
      <c r="Q854" s="53" t="s">
        <v>29</v>
      </c>
      <c r="R854" s="53" t="s">
        <v>13035</v>
      </c>
      <c r="U854" s="29" t="s">
        <v>12344</v>
      </c>
    </row>
    <row r="855" spans="1:21" ht="75" x14ac:dyDescent="0.25">
      <c r="A855" s="56">
        <v>43398</v>
      </c>
      <c r="B855" s="53" t="s">
        <v>328</v>
      </c>
      <c r="C855" s="29" t="s">
        <v>603</v>
      </c>
      <c r="D855" s="29" t="s">
        <v>5701</v>
      </c>
      <c r="F855" s="29" t="s">
        <v>240</v>
      </c>
      <c r="G855" s="29" t="s">
        <v>7714</v>
      </c>
      <c r="H855" s="29" t="s">
        <v>607</v>
      </c>
      <c r="J855" s="29" t="s">
        <v>3373</v>
      </c>
      <c r="L855" s="182">
        <v>9</v>
      </c>
      <c r="M855" s="113">
        <v>350000</v>
      </c>
      <c r="N855" s="113">
        <f>+M855+35000+24500+70000</f>
        <v>479500</v>
      </c>
      <c r="O855" s="189" t="s">
        <v>7124</v>
      </c>
      <c r="P855" s="53" t="s">
        <v>13036</v>
      </c>
      <c r="Q855" s="53" t="s">
        <v>29</v>
      </c>
      <c r="R855" s="53" t="s">
        <v>13037</v>
      </c>
      <c r="U855" s="29" t="s">
        <v>12344</v>
      </c>
    </row>
    <row r="856" spans="1:21" ht="60" x14ac:dyDescent="0.25">
      <c r="A856" s="56">
        <v>43398</v>
      </c>
      <c r="B856" s="53" t="s">
        <v>569</v>
      </c>
      <c r="C856" s="29" t="s">
        <v>899</v>
      </c>
      <c r="D856" s="29" t="s">
        <v>3505</v>
      </c>
      <c r="F856" s="29" t="s">
        <v>13038</v>
      </c>
      <c r="G856" s="29" t="s">
        <v>13039</v>
      </c>
      <c r="H856" s="29" t="s">
        <v>607</v>
      </c>
      <c r="I856" s="29" t="s">
        <v>2054</v>
      </c>
      <c r="J856" s="29" t="s">
        <v>899</v>
      </c>
      <c r="K856" s="216">
        <v>91748</v>
      </c>
      <c r="L856" s="182">
        <v>2</v>
      </c>
      <c r="M856" s="113">
        <v>557000</v>
      </c>
      <c r="N856" s="113">
        <f>+M856+55700+278500+278500</f>
        <v>1169700</v>
      </c>
      <c r="O856" s="189" t="s">
        <v>10766</v>
      </c>
      <c r="P856" s="53" t="s">
        <v>13040</v>
      </c>
      <c r="Q856" s="53" t="s">
        <v>592</v>
      </c>
      <c r="R856" s="53" t="s">
        <v>13041</v>
      </c>
      <c r="U856" s="29" t="s">
        <v>12344</v>
      </c>
    </row>
    <row r="857" spans="1:21" ht="105" x14ac:dyDescent="0.25">
      <c r="A857" s="56">
        <v>43398</v>
      </c>
      <c r="B857" s="53" t="s">
        <v>328</v>
      </c>
      <c r="C857" s="29" t="s">
        <v>603</v>
      </c>
      <c r="D857" s="29" t="s">
        <v>649</v>
      </c>
      <c r="F857" s="29" t="s">
        <v>13043</v>
      </c>
      <c r="G857" s="29" t="s">
        <v>9375</v>
      </c>
      <c r="H857" s="29" t="s">
        <v>607</v>
      </c>
      <c r="I857" s="29" t="s">
        <v>11589</v>
      </c>
      <c r="J857" s="29" t="s">
        <v>3751</v>
      </c>
      <c r="K857" s="216">
        <v>65201</v>
      </c>
      <c r="L857" s="182">
        <v>2</v>
      </c>
      <c r="M857" s="113">
        <v>450000</v>
      </c>
      <c r="N857" s="113">
        <f>+M857+45000+315000+90000</f>
        <v>900000</v>
      </c>
      <c r="O857" s="189" t="s">
        <v>10766</v>
      </c>
      <c r="P857" s="53" t="s">
        <v>13422</v>
      </c>
      <c r="Q857" s="53" t="s">
        <v>1939</v>
      </c>
      <c r="R857" s="53" t="s">
        <v>13042</v>
      </c>
      <c r="U857" s="29" t="s">
        <v>12344</v>
      </c>
    </row>
    <row r="858" spans="1:21" ht="45" x14ac:dyDescent="0.25">
      <c r="A858" s="56">
        <v>43398</v>
      </c>
      <c r="B858" s="53" t="s">
        <v>643</v>
      </c>
      <c r="C858" s="29" t="s">
        <v>644</v>
      </c>
      <c r="D858" s="29" t="s">
        <v>645</v>
      </c>
      <c r="F858" s="29" t="s">
        <v>13045</v>
      </c>
      <c r="G858" s="29" t="s">
        <v>8044</v>
      </c>
      <c r="H858" s="29" t="s">
        <v>905</v>
      </c>
      <c r="I858" s="29" t="s">
        <v>3388</v>
      </c>
      <c r="J858" s="29" t="s">
        <v>899</v>
      </c>
      <c r="K858" s="216">
        <v>90210</v>
      </c>
      <c r="L858" s="182">
        <v>2</v>
      </c>
      <c r="M858" s="113">
        <v>2400000</v>
      </c>
      <c r="N858" s="113">
        <v>3145000</v>
      </c>
      <c r="O858" s="189" t="s">
        <v>560</v>
      </c>
      <c r="P858" s="53" t="s">
        <v>13044</v>
      </c>
      <c r="Q858" s="53" t="s">
        <v>592</v>
      </c>
      <c r="R858" s="53" t="s">
        <v>13046</v>
      </c>
      <c r="U858" s="29" t="s">
        <v>12344</v>
      </c>
    </row>
    <row r="859" spans="1:21" ht="60" x14ac:dyDescent="0.25">
      <c r="A859" s="56">
        <v>43398</v>
      </c>
      <c r="B859" s="53" t="s">
        <v>5176</v>
      </c>
      <c r="C859" s="29" t="s">
        <v>604</v>
      </c>
      <c r="D859" s="29" t="s">
        <v>727</v>
      </c>
      <c r="F859" s="29" t="s">
        <v>11894</v>
      </c>
      <c r="G859" s="29" t="s">
        <v>10086</v>
      </c>
      <c r="H859" s="29" t="s">
        <v>607</v>
      </c>
      <c r="I859" s="29" t="s">
        <v>13049</v>
      </c>
      <c r="J859" s="29" t="s">
        <v>761</v>
      </c>
      <c r="K859" s="216">
        <v>20136</v>
      </c>
      <c r="L859" s="182">
        <v>3</v>
      </c>
      <c r="M859" s="113">
        <v>515000</v>
      </c>
      <c r="N859" s="113">
        <v>1030000</v>
      </c>
      <c r="O859" s="189" t="s">
        <v>10766</v>
      </c>
      <c r="P859" s="53" t="s">
        <v>13047</v>
      </c>
      <c r="Q859" s="53" t="s">
        <v>592</v>
      </c>
      <c r="R859" s="53" t="s">
        <v>13048</v>
      </c>
      <c r="U859" s="29" t="s">
        <v>12344</v>
      </c>
    </row>
    <row r="860" spans="1:21" ht="75" x14ac:dyDescent="0.25">
      <c r="A860" s="56">
        <v>43398</v>
      </c>
      <c r="B860" s="53" t="s">
        <v>328</v>
      </c>
      <c r="C860" s="29" t="s">
        <v>603</v>
      </c>
      <c r="D860" s="29" t="s">
        <v>10338</v>
      </c>
      <c r="F860" s="29" t="s">
        <v>13052</v>
      </c>
      <c r="H860" s="29" t="s">
        <v>3987</v>
      </c>
      <c r="I860" s="29" t="s">
        <v>13053</v>
      </c>
      <c r="J860" s="29" t="s">
        <v>3733</v>
      </c>
      <c r="K860" s="216">
        <v>78940</v>
      </c>
      <c r="L860" s="182">
        <v>9</v>
      </c>
      <c r="M860" s="113">
        <v>750000</v>
      </c>
      <c r="N860" s="113">
        <f>M860</f>
        <v>750000</v>
      </c>
      <c r="O860" s="189" t="s">
        <v>7124</v>
      </c>
      <c r="P860" s="53" t="s">
        <v>13423</v>
      </c>
      <c r="Q860" s="53" t="s">
        <v>1612</v>
      </c>
      <c r="R860" s="53" t="s">
        <v>13054</v>
      </c>
      <c r="U860" s="29" t="s">
        <v>12344</v>
      </c>
    </row>
    <row r="861" spans="1:21" ht="60" x14ac:dyDescent="0.25">
      <c r="A861" s="56">
        <v>43398</v>
      </c>
      <c r="B861" s="53" t="s">
        <v>328</v>
      </c>
      <c r="C861" s="29" t="s">
        <v>603</v>
      </c>
      <c r="D861" s="29" t="s">
        <v>649</v>
      </c>
      <c r="F861" s="29" t="s">
        <v>13055</v>
      </c>
      <c r="G861" s="29" t="s">
        <v>13056</v>
      </c>
      <c r="H861" s="29" t="s">
        <v>607</v>
      </c>
      <c r="I861" s="29" t="s">
        <v>13057</v>
      </c>
      <c r="J861" s="29" t="s">
        <v>644</v>
      </c>
      <c r="K861" s="216">
        <v>80013</v>
      </c>
      <c r="L861" s="182">
        <v>3</v>
      </c>
      <c r="M861" s="113">
        <v>275000</v>
      </c>
      <c r="N861" s="113">
        <f>+M861+27500+100000+27500</f>
        <v>430000</v>
      </c>
      <c r="O861" s="189" t="s">
        <v>10766</v>
      </c>
      <c r="P861" s="53" t="s">
        <v>13424</v>
      </c>
      <c r="Q861" s="53" t="s">
        <v>29</v>
      </c>
      <c r="R861" s="53" t="s">
        <v>13058</v>
      </c>
      <c r="U861" s="29" t="s">
        <v>12344</v>
      </c>
    </row>
    <row r="862" spans="1:21" ht="45" x14ac:dyDescent="0.25">
      <c r="A862" s="56">
        <v>43399</v>
      </c>
      <c r="B862" s="53" t="s">
        <v>569</v>
      </c>
      <c r="C862" s="29" t="s">
        <v>899</v>
      </c>
      <c r="D862" s="29" t="s">
        <v>9981</v>
      </c>
      <c r="F862" s="29" t="s">
        <v>13059</v>
      </c>
      <c r="G862" s="29" t="s">
        <v>10870</v>
      </c>
      <c r="H862" s="29" t="s">
        <v>607</v>
      </c>
      <c r="I862" s="29" t="s">
        <v>4709</v>
      </c>
      <c r="J862" s="29" t="s">
        <v>899</v>
      </c>
      <c r="K862" s="216">
        <v>92675</v>
      </c>
      <c r="L862" s="182">
        <v>3</v>
      </c>
      <c r="M862" s="113">
        <v>2166986</v>
      </c>
      <c r="N862" s="113">
        <f>+M862+153000+675000+270000</f>
        <v>3264986</v>
      </c>
      <c r="O862" s="189" t="s">
        <v>560</v>
      </c>
      <c r="P862" s="53" t="s">
        <v>13060</v>
      </c>
      <c r="Q862" s="53" t="s">
        <v>592</v>
      </c>
      <c r="R862" s="53" t="s">
        <v>13061</v>
      </c>
      <c r="U862" s="29" t="s">
        <v>12344</v>
      </c>
    </row>
    <row r="863" spans="1:21" ht="45" x14ac:dyDescent="0.25">
      <c r="A863" s="56">
        <v>43399</v>
      </c>
      <c r="B863" s="53" t="s">
        <v>5473</v>
      </c>
      <c r="C863" s="29" t="s">
        <v>608</v>
      </c>
      <c r="D863" s="29" t="s">
        <v>1382</v>
      </c>
      <c r="F863" s="29" t="s">
        <v>13062</v>
      </c>
      <c r="G863" s="29" t="s">
        <v>2454</v>
      </c>
      <c r="H863" s="29" t="s">
        <v>607</v>
      </c>
      <c r="I863" s="29" t="s">
        <v>13063</v>
      </c>
      <c r="J863" s="29" t="s">
        <v>602</v>
      </c>
      <c r="K863" s="216">
        <v>29487</v>
      </c>
      <c r="L863" s="182">
        <v>5</v>
      </c>
      <c r="M863" s="113">
        <v>630000</v>
      </c>
      <c r="N863" s="113">
        <f>+M863+63000+315000+31500</f>
        <v>1039500</v>
      </c>
      <c r="O863" s="189"/>
      <c r="P863" s="53" t="s">
        <v>13425</v>
      </c>
      <c r="Q863" s="53" t="s">
        <v>1939</v>
      </c>
      <c r="R863" s="53" t="s">
        <v>13072</v>
      </c>
      <c r="U863" s="29" t="s">
        <v>12344</v>
      </c>
    </row>
    <row r="864" spans="1:21" ht="30" x14ac:dyDescent="0.25">
      <c r="A864" s="56">
        <v>43399</v>
      </c>
      <c r="B864" s="53" t="s">
        <v>569</v>
      </c>
      <c r="C864" s="29" t="s">
        <v>899</v>
      </c>
      <c r="D864" s="29" t="s">
        <v>11031</v>
      </c>
      <c r="F864" s="29" t="s">
        <v>13064</v>
      </c>
      <c r="G864" s="29" t="s">
        <v>13065</v>
      </c>
      <c r="H864" s="29" t="s">
        <v>607</v>
      </c>
      <c r="I864" s="29" t="s">
        <v>3819</v>
      </c>
      <c r="J864" s="29" t="s">
        <v>899</v>
      </c>
      <c r="K864" s="216">
        <v>95032</v>
      </c>
      <c r="L864" s="182">
        <v>2</v>
      </c>
      <c r="M864" s="113">
        <v>2000000</v>
      </c>
      <c r="N864" s="113">
        <v>3600000</v>
      </c>
      <c r="O864" s="189" t="s">
        <v>560</v>
      </c>
      <c r="P864" s="53" t="s">
        <v>13066</v>
      </c>
      <c r="Q864" s="53" t="s">
        <v>592</v>
      </c>
      <c r="U864" s="29" t="s">
        <v>12344</v>
      </c>
    </row>
    <row r="865" spans="1:23" ht="60" x14ac:dyDescent="0.25">
      <c r="A865" s="56">
        <v>43399</v>
      </c>
      <c r="B865" s="53" t="s">
        <v>569</v>
      </c>
      <c r="C865" s="29" t="s">
        <v>899</v>
      </c>
      <c r="D865" s="29" t="s">
        <v>611</v>
      </c>
      <c r="F865" s="29" t="s">
        <v>13067</v>
      </c>
      <c r="G865" s="29" t="s">
        <v>11475</v>
      </c>
      <c r="H865" s="29" t="s">
        <v>607</v>
      </c>
      <c r="I865" s="29" t="s">
        <v>2054</v>
      </c>
      <c r="J865" s="29" t="s">
        <v>899</v>
      </c>
      <c r="K865" s="216">
        <v>91307</v>
      </c>
      <c r="L865" s="182">
        <v>10</v>
      </c>
      <c r="M865" s="113">
        <v>943500</v>
      </c>
      <c r="N865" s="113">
        <f>+M865+182000+462500+185000</f>
        <v>1773000</v>
      </c>
      <c r="O865" s="189" t="s">
        <v>10766</v>
      </c>
      <c r="P865" s="53" t="s">
        <v>13426</v>
      </c>
      <c r="Q865" s="53" t="s">
        <v>29</v>
      </c>
      <c r="R865" s="53" t="s">
        <v>13068</v>
      </c>
      <c r="U865" s="29" t="s">
        <v>12344</v>
      </c>
    </row>
    <row r="866" spans="1:23" ht="30" x14ac:dyDescent="0.25">
      <c r="A866" s="56">
        <v>43399</v>
      </c>
      <c r="B866" s="53" t="s">
        <v>328</v>
      </c>
      <c r="C866" s="29" t="s">
        <v>603</v>
      </c>
      <c r="D866" s="29" t="s">
        <v>8941</v>
      </c>
      <c r="F866" s="29" t="s">
        <v>13069</v>
      </c>
      <c r="G866" s="29" t="s">
        <v>11535</v>
      </c>
      <c r="H866" s="29" t="s">
        <v>607</v>
      </c>
      <c r="I866" s="29" t="s">
        <v>7484</v>
      </c>
      <c r="J866" s="29" t="s">
        <v>899</v>
      </c>
      <c r="K866" s="216">
        <v>96146</v>
      </c>
      <c r="L866" s="182">
        <v>3</v>
      </c>
      <c r="M866" s="113">
        <v>3000000</v>
      </c>
      <c r="N866" s="113">
        <v>5000000</v>
      </c>
      <c r="O866" s="189" t="s">
        <v>560</v>
      </c>
      <c r="P866" s="53" t="s">
        <v>13071</v>
      </c>
      <c r="Q866" s="53" t="s">
        <v>29</v>
      </c>
      <c r="R866" s="53" t="s">
        <v>13070</v>
      </c>
      <c r="U866" s="29" t="s">
        <v>12344</v>
      </c>
    </row>
    <row r="867" spans="1:23" ht="45" x14ac:dyDescent="0.25">
      <c r="A867" s="56">
        <v>43399</v>
      </c>
      <c r="B867" s="53" t="s">
        <v>569</v>
      </c>
      <c r="C867" s="29" t="s">
        <v>899</v>
      </c>
      <c r="D867" s="29" t="s">
        <v>625</v>
      </c>
      <c r="F867" s="29" t="s">
        <v>13073</v>
      </c>
      <c r="G867" s="29" t="s">
        <v>11446</v>
      </c>
      <c r="H867" s="29" t="s">
        <v>607</v>
      </c>
      <c r="I867" s="29" t="s">
        <v>8479</v>
      </c>
      <c r="J867" s="29" t="s">
        <v>899</v>
      </c>
      <c r="K867" s="216">
        <v>93012</v>
      </c>
      <c r="L867" s="182">
        <v>10</v>
      </c>
      <c r="M867" s="113">
        <v>1800000</v>
      </c>
      <c r="N867" s="113">
        <v>3060000</v>
      </c>
      <c r="O867" s="189" t="s">
        <v>560</v>
      </c>
      <c r="P867" s="53" t="s">
        <v>13074</v>
      </c>
      <c r="Q867" s="53" t="s">
        <v>29</v>
      </c>
      <c r="R867" s="53" t="s">
        <v>13075</v>
      </c>
      <c r="U867" s="29" t="s">
        <v>12344</v>
      </c>
    </row>
    <row r="868" spans="1:23" ht="105" x14ac:dyDescent="0.25">
      <c r="A868" s="56">
        <v>43399</v>
      </c>
      <c r="B868" s="53" t="s">
        <v>5956</v>
      </c>
      <c r="C868" s="29" t="s">
        <v>3369</v>
      </c>
      <c r="D868" s="29" t="s">
        <v>8126</v>
      </c>
      <c r="F868" s="29" t="s">
        <v>13076</v>
      </c>
      <c r="G868" s="29" t="s">
        <v>3360</v>
      </c>
      <c r="H868" s="29" t="s">
        <v>10831</v>
      </c>
      <c r="I868" s="29" t="s">
        <v>9221</v>
      </c>
      <c r="J868" s="29" t="s">
        <v>4825</v>
      </c>
      <c r="K868" s="216" t="s">
        <v>13077</v>
      </c>
      <c r="L868" s="182">
        <v>4</v>
      </c>
      <c r="M868" s="113">
        <v>670000</v>
      </c>
      <c r="N868" s="113">
        <f>+M868+85000+400000+134000</f>
        <v>1289000</v>
      </c>
      <c r="O868" s="189" t="s">
        <v>10766</v>
      </c>
      <c r="P868" s="53" t="s">
        <v>13078</v>
      </c>
      <c r="Q868" s="53" t="s">
        <v>1939</v>
      </c>
      <c r="R868" s="53" t="s">
        <v>13079</v>
      </c>
      <c r="U868" s="29" t="s">
        <v>12344</v>
      </c>
    </row>
    <row r="869" spans="1:23" ht="45" x14ac:dyDescent="0.25">
      <c r="A869" s="56">
        <v>43402</v>
      </c>
      <c r="B869" s="53" t="s">
        <v>569</v>
      </c>
      <c r="C869" s="29" t="s">
        <v>899</v>
      </c>
      <c r="D869" s="29" t="s">
        <v>732</v>
      </c>
      <c r="F869" s="29" t="s">
        <v>8338</v>
      </c>
      <c r="G869" s="29" t="s">
        <v>7855</v>
      </c>
      <c r="H869" s="29" t="s">
        <v>607</v>
      </c>
      <c r="I869" s="29" t="s">
        <v>8445</v>
      </c>
      <c r="J869" s="29" t="s">
        <v>899</v>
      </c>
      <c r="K869" s="216" t="s">
        <v>13080</v>
      </c>
      <c r="L869" s="182">
        <v>1</v>
      </c>
      <c r="M869" s="113">
        <v>2244000</v>
      </c>
      <c r="N869" s="113">
        <v>3444000</v>
      </c>
      <c r="O869" s="189" t="s">
        <v>560</v>
      </c>
      <c r="P869" s="53" t="s">
        <v>13081</v>
      </c>
      <c r="Q869" s="53" t="s">
        <v>1939</v>
      </c>
      <c r="R869" s="53" t="s">
        <v>13082</v>
      </c>
      <c r="U869" s="29" t="s">
        <v>12344</v>
      </c>
    </row>
    <row r="870" spans="1:23" ht="60" x14ac:dyDescent="0.25">
      <c r="A870" s="56">
        <v>43402</v>
      </c>
      <c r="B870" s="53" t="s">
        <v>328</v>
      </c>
      <c r="C870" s="29" t="s">
        <v>603</v>
      </c>
      <c r="D870" s="29" t="s">
        <v>10705</v>
      </c>
      <c r="F870" s="29" t="s">
        <v>7974</v>
      </c>
      <c r="G870" s="29" t="s">
        <v>7172</v>
      </c>
      <c r="H870" s="29" t="s">
        <v>886</v>
      </c>
      <c r="I870" s="29" t="s">
        <v>4390</v>
      </c>
      <c r="J870" s="29" t="s">
        <v>644</v>
      </c>
      <c r="K870" s="216" t="s">
        <v>13083</v>
      </c>
      <c r="L870" s="182">
        <v>3</v>
      </c>
      <c r="M870" s="113">
        <v>589000</v>
      </c>
      <c r="N870" s="113">
        <f>+M870+58900+412300+176700</f>
        <v>1236900</v>
      </c>
      <c r="O870" s="189" t="s">
        <v>10766</v>
      </c>
      <c r="P870" s="53" t="s">
        <v>13084</v>
      </c>
      <c r="Q870" s="53" t="s">
        <v>1612</v>
      </c>
      <c r="R870" s="53" t="s">
        <v>13161</v>
      </c>
      <c r="U870" s="29" t="s">
        <v>12344</v>
      </c>
    </row>
    <row r="871" spans="1:23" ht="60" x14ac:dyDescent="0.25">
      <c r="A871" s="56">
        <v>43402</v>
      </c>
      <c r="B871" s="53" t="s">
        <v>569</v>
      </c>
      <c r="C871" s="29" t="s">
        <v>899</v>
      </c>
      <c r="D871" s="29" t="s">
        <v>1070</v>
      </c>
      <c r="F871" s="29" t="s">
        <v>13085</v>
      </c>
      <c r="G871" s="29" t="s">
        <v>10080</v>
      </c>
      <c r="H871" s="29" t="s">
        <v>10831</v>
      </c>
      <c r="I871" s="29" t="s">
        <v>4528</v>
      </c>
      <c r="J871" s="29" t="s">
        <v>899</v>
      </c>
      <c r="K871" s="216" t="s">
        <v>13086</v>
      </c>
      <c r="L871" s="182">
        <v>10</v>
      </c>
      <c r="M871" s="113">
        <v>463760</v>
      </c>
      <c r="N871" s="113">
        <f>+M871+160000+100000+76000</f>
        <v>799760</v>
      </c>
      <c r="O871" s="189" t="s">
        <v>7124</v>
      </c>
      <c r="P871" s="53" t="s">
        <v>13427</v>
      </c>
      <c r="Q871" s="53" t="s">
        <v>1612</v>
      </c>
      <c r="R871" s="53" t="s">
        <v>13104</v>
      </c>
      <c r="S871" s="53">
        <f>M871*1.02</f>
        <v>473035.2</v>
      </c>
      <c r="U871" s="29" t="s">
        <v>12344</v>
      </c>
    </row>
    <row r="872" spans="1:23" ht="120" x14ac:dyDescent="0.25">
      <c r="A872" s="56">
        <v>43402</v>
      </c>
      <c r="B872" s="53" t="s">
        <v>328</v>
      </c>
      <c r="C872" s="29" t="s">
        <v>603</v>
      </c>
      <c r="D872" s="29" t="s">
        <v>5701</v>
      </c>
      <c r="F872" s="29" t="s">
        <v>8719</v>
      </c>
      <c r="G872" s="29" t="s">
        <v>7714</v>
      </c>
      <c r="H872" s="29" t="s">
        <v>2510</v>
      </c>
      <c r="I872" s="29" t="s">
        <v>12566</v>
      </c>
      <c r="J872" s="29" t="s">
        <v>3751</v>
      </c>
      <c r="K872" s="216" t="s">
        <v>13087</v>
      </c>
      <c r="L872" s="182">
        <v>2</v>
      </c>
      <c r="M872" s="113">
        <v>335500</v>
      </c>
      <c r="N872" s="113">
        <f>+M872+11800+67100</f>
        <v>414400</v>
      </c>
      <c r="O872" s="189" t="s">
        <v>10766</v>
      </c>
      <c r="P872" s="53" t="s">
        <v>13428</v>
      </c>
      <c r="Q872" s="53" t="s">
        <v>1939</v>
      </c>
      <c r="R872" s="53" t="s">
        <v>13091</v>
      </c>
      <c r="U872" s="29" t="s">
        <v>12344</v>
      </c>
    </row>
    <row r="873" spans="1:23" s="46" customFormat="1" ht="30" x14ac:dyDescent="0.25">
      <c r="A873" s="61">
        <v>43402</v>
      </c>
      <c r="B873" s="47" t="s">
        <v>569</v>
      </c>
      <c r="C873" s="46" t="s">
        <v>899</v>
      </c>
      <c r="D873" s="46" t="s">
        <v>9981</v>
      </c>
      <c r="F873" s="46" t="s">
        <v>13088</v>
      </c>
      <c r="G873" s="46" t="s">
        <v>13089</v>
      </c>
      <c r="H873" s="46" t="s">
        <v>607</v>
      </c>
      <c r="J873" s="46" t="s">
        <v>899</v>
      </c>
      <c r="K873" s="218"/>
      <c r="L873" s="185"/>
      <c r="M873" s="91"/>
      <c r="N873" s="91"/>
      <c r="O873" s="189"/>
      <c r="P873" s="47"/>
      <c r="Q873" s="47" t="s">
        <v>29</v>
      </c>
      <c r="R873" s="47" t="s">
        <v>13090</v>
      </c>
      <c r="S873" s="47"/>
      <c r="U873" s="46" t="s">
        <v>12344</v>
      </c>
      <c r="W873" s="47"/>
    </row>
    <row r="874" spans="1:23" ht="135" x14ac:dyDescent="0.25">
      <c r="A874" s="56">
        <v>43403</v>
      </c>
      <c r="B874" s="53" t="s">
        <v>9240</v>
      </c>
      <c r="C874" s="29" t="s">
        <v>603</v>
      </c>
      <c r="D874" s="29" t="s">
        <v>9241</v>
      </c>
      <c r="F874" s="29" t="s">
        <v>13092</v>
      </c>
      <c r="G874" s="29" t="s">
        <v>10272</v>
      </c>
      <c r="H874" s="29" t="s">
        <v>10831</v>
      </c>
      <c r="I874" s="29" t="s">
        <v>13093</v>
      </c>
      <c r="J874" s="29" t="s">
        <v>603</v>
      </c>
      <c r="K874" s="216" t="s">
        <v>13094</v>
      </c>
      <c r="L874" s="182">
        <v>10</v>
      </c>
      <c r="M874" s="113">
        <v>1795000</v>
      </c>
      <c r="N874" s="113">
        <f>+M874+179500+897500+359000</f>
        <v>3231000</v>
      </c>
      <c r="O874" s="189" t="s">
        <v>7124</v>
      </c>
      <c r="P874" s="53" t="s">
        <v>13429</v>
      </c>
      <c r="Q874" s="53" t="s">
        <v>620</v>
      </c>
      <c r="R874" s="53" t="s">
        <v>13117</v>
      </c>
      <c r="S874" s="53" t="s">
        <v>13118</v>
      </c>
      <c r="U874" s="29" t="s">
        <v>12344</v>
      </c>
    </row>
    <row r="875" spans="1:23" ht="30" x14ac:dyDescent="0.25">
      <c r="A875" s="56">
        <v>43403</v>
      </c>
      <c r="B875" s="53" t="s">
        <v>569</v>
      </c>
      <c r="C875" s="29" t="s">
        <v>899</v>
      </c>
      <c r="D875" s="29" t="s">
        <v>732</v>
      </c>
      <c r="F875" s="29" t="s">
        <v>10501</v>
      </c>
      <c r="G875" s="29" t="s">
        <v>732</v>
      </c>
      <c r="H875" s="29" t="s">
        <v>607</v>
      </c>
      <c r="I875" s="29" t="s">
        <v>3586</v>
      </c>
      <c r="J875" s="29" t="s">
        <v>899</v>
      </c>
      <c r="K875" s="216" t="s">
        <v>13121</v>
      </c>
      <c r="L875" s="182">
        <v>10</v>
      </c>
      <c r="M875" s="113">
        <v>1089000</v>
      </c>
      <c r="N875" s="113">
        <v>2369100</v>
      </c>
      <c r="O875" s="189" t="s">
        <v>7124</v>
      </c>
      <c r="P875" s="53" t="s">
        <v>13120</v>
      </c>
      <c r="Q875" s="53" t="s">
        <v>29</v>
      </c>
      <c r="R875" s="53" t="s">
        <v>13122</v>
      </c>
      <c r="U875" s="29" t="s">
        <v>12344</v>
      </c>
    </row>
    <row r="876" spans="1:23" ht="75" x14ac:dyDescent="0.25">
      <c r="A876" s="56">
        <v>43404</v>
      </c>
      <c r="B876" s="53" t="s">
        <v>5176</v>
      </c>
      <c r="C876" s="29" t="s">
        <v>604</v>
      </c>
      <c r="D876" s="29" t="s">
        <v>2454</v>
      </c>
      <c r="F876" s="29" t="s">
        <v>11356</v>
      </c>
      <c r="G876" s="29" t="s">
        <v>13096</v>
      </c>
      <c r="H876" s="29" t="s">
        <v>10832</v>
      </c>
      <c r="I876" s="29" t="s">
        <v>13097</v>
      </c>
      <c r="J876" s="29" t="s">
        <v>3617</v>
      </c>
      <c r="K876" s="216" t="s">
        <v>13098</v>
      </c>
      <c r="L876" s="182">
        <v>1</v>
      </c>
      <c r="M876" s="113">
        <v>1536000</v>
      </c>
      <c r="N876" s="113">
        <f>+M876+129800+129800+129800</f>
        <v>1925400</v>
      </c>
      <c r="O876" s="189" t="s">
        <v>560</v>
      </c>
      <c r="P876" s="53" t="s">
        <v>13099</v>
      </c>
      <c r="Q876" s="53" t="s">
        <v>29</v>
      </c>
      <c r="R876" s="53" t="s">
        <v>13430</v>
      </c>
      <c r="U876" s="29" t="s">
        <v>12344</v>
      </c>
    </row>
    <row r="877" spans="1:23" ht="165" x14ac:dyDescent="0.25">
      <c r="A877" s="56">
        <v>43404</v>
      </c>
      <c r="B877" s="53" t="s">
        <v>643</v>
      </c>
      <c r="C877" s="29" t="s">
        <v>644</v>
      </c>
      <c r="D877" s="29" t="s">
        <v>645</v>
      </c>
      <c r="F877" s="29" t="s">
        <v>13100</v>
      </c>
      <c r="G877" s="29" t="s">
        <v>8515</v>
      </c>
      <c r="H877" s="29" t="s">
        <v>607</v>
      </c>
      <c r="I877" s="29" t="s">
        <v>11305</v>
      </c>
      <c r="J877" s="29" t="s">
        <v>899</v>
      </c>
      <c r="K877" s="216" t="s">
        <v>13101</v>
      </c>
      <c r="L877" s="182">
        <v>1</v>
      </c>
      <c r="M877" s="113">
        <v>2093000</v>
      </c>
      <c r="N877" s="113">
        <v>1827650</v>
      </c>
      <c r="O877" s="189" t="s">
        <v>10766</v>
      </c>
      <c r="P877" s="53" t="s">
        <v>13431</v>
      </c>
      <c r="Q877" s="53" t="s">
        <v>29</v>
      </c>
      <c r="R877" s="53" t="s">
        <v>13119</v>
      </c>
      <c r="U877" s="29" t="s">
        <v>12344</v>
      </c>
    </row>
    <row r="878" spans="1:23" ht="75" x14ac:dyDescent="0.25">
      <c r="A878" s="56">
        <v>43404</v>
      </c>
      <c r="B878" s="53" t="s">
        <v>643</v>
      </c>
      <c r="C878" s="29" t="s">
        <v>644</v>
      </c>
      <c r="D878" s="29" t="s">
        <v>645</v>
      </c>
      <c r="F878" s="29" t="s">
        <v>13103</v>
      </c>
      <c r="G878" s="29" t="s">
        <v>6974</v>
      </c>
      <c r="H878" s="29" t="s">
        <v>607</v>
      </c>
      <c r="I878" s="29" t="s">
        <v>11305</v>
      </c>
      <c r="J878" s="29" t="s">
        <v>899</v>
      </c>
      <c r="K878" s="216" t="s">
        <v>13101</v>
      </c>
      <c r="L878" s="182">
        <v>1</v>
      </c>
      <c r="M878" s="113">
        <v>2093000</v>
      </c>
      <c r="N878" s="113">
        <v>4035428</v>
      </c>
      <c r="O878" s="189" t="s">
        <v>560</v>
      </c>
      <c r="P878" s="53" t="s">
        <v>13432</v>
      </c>
      <c r="Q878" s="53" t="s">
        <v>29</v>
      </c>
      <c r="R878" s="53" t="s">
        <v>13102</v>
      </c>
      <c r="U878" s="29" t="s">
        <v>12344</v>
      </c>
    </row>
    <row r="879" spans="1:23" ht="60" x14ac:dyDescent="0.25">
      <c r="A879" s="56">
        <v>43404</v>
      </c>
      <c r="B879" s="53" t="s">
        <v>569</v>
      </c>
      <c r="C879" s="29" t="s">
        <v>899</v>
      </c>
      <c r="D879" s="29" t="s">
        <v>11286</v>
      </c>
      <c r="F879" s="29" t="s">
        <v>480</v>
      </c>
      <c r="G879" s="29" t="s">
        <v>11884</v>
      </c>
      <c r="H879" s="29" t="s">
        <v>607</v>
      </c>
      <c r="I879" s="29" t="s">
        <v>13105</v>
      </c>
      <c r="J879" s="29" t="s">
        <v>899</v>
      </c>
      <c r="K879" s="216" t="s">
        <v>13106</v>
      </c>
      <c r="L879" s="182">
        <v>10</v>
      </c>
      <c r="M879" s="113">
        <v>1250000</v>
      </c>
      <c r="N879" s="113">
        <f>+M879+125000+625000+250000</f>
        <v>2250000</v>
      </c>
      <c r="O879" s="189" t="s">
        <v>560</v>
      </c>
      <c r="P879" s="53" t="s">
        <v>13107</v>
      </c>
      <c r="Q879" s="53" t="s">
        <v>29</v>
      </c>
      <c r="R879" s="53" t="s">
        <v>13108</v>
      </c>
      <c r="U879" s="29" t="s">
        <v>12344</v>
      </c>
    </row>
    <row r="880" spans="1:23" ht="60" x14ac:dyDescent="0.25">
      <c r="A880" s="56">
        <v>43404</v>
      </c>
      <c r="B880" s="53" t="s">
        <v>569</v>
      </c>
      <c r="C880" s="29" t="s">
        <v>899</v>
      </c>
      <c r="D880" s="29" t="s">
        <v>11286</v>
      </c>
      <c r="F880" s="29" t="s">
        <v>13109</v>
      </c>
      <c r="G880" s="29" t="s">
        <v>4118</v>
      </c>
      <c r="H880" s="29" t="s">
        <v>607</v>
      </c>
      <c r="I880" s="29" t="s">
        <v>3536</v>
      </c>
      <c r="J880" s="29" t="s">
        <v>899</v>
      </c>
      <c r="K880" s="216" t="s">
        <v>13110</v>
      </c>
      <c r="L880" s="182">
        <v>1</v>
      </c>
      <c r="M880" s="113">
        <v>1804000</v>
      </c>
      <c r="N880" s="113">
        <v>3247200</v>
      </c>
      <c r="O880" s="189" t="s">
        <v>560</v>
      </c>
      <c r="P880" s="53" t="s">
        <v>13433</v>
      </c>
      <c r="Q880" s="53" t="s">
        <v>1939</v>
      </c>
      <c r="R880" s="53" t="s">
        <v>13111</v>
      </c>
      <c r="U880" s="29" t="s">
        <v>12344</v>
      </c>
    </row>
    <row r="881" spans="1:21" ht="75" x14ac:dyDescent="0.25">
      <c r="A881" s="56">
        <v>43404</v>
      </c>
      <c r="B881" s="53" t="s">
        <v>328</v>
      </c>
      <c r="C881" s="29" t="s">
        <v>603</v>
      </c>
      <c r="D881" s="29" t="s">
        <v>7595</v>
      </c>
      <c r="F881" s="29" t="s">
        <v>13112</v>
      </c>
      <c r="G881" s="29" t="s">
        <v>13113</v>
      </c>
      <c r="H881" s="29" t="s">
        <v>10831</v>
      </c>
      <c r="I881" s="29" t="s">
        <v>13114</v>
      </c>
      <c r="J881" s="29" t="s">
        <v>4458</v>
      </c>
      <c r="K881" s="216" t="s">
        <v>13115</v>
      </c>
      <c r="L881" s="182">
        <v>10</v>
      </c>
      <c r="M881" s="113">
        <v>1500000</v>
      </c>
      <c r="N881" s="113">
        <f>+M881+150000+750000+50000</f>
        <v>2450000</v>
      </c>
      <c r="O881" s="189" t="s">
        <v>7124</v>
      </c>
      <c r="P881" s="53" t="s">
        <v>13116</v>
      </c>
      <c r="Q881" s="53" t="s">
        <v>592</v>
      </c>
      <c r="R881" s="53" t="s">
        <v>13130</v>
      </c>
      <c r="U881" s="29" t="s">
        <v>2500</v>
      </c>
    </row>
    <row r="882" spans="1:21" ht="60" x14ac:dyDescent="0.25">
      <c r="A882" s="56">
        <v>43404</v>
      </c>
      <c r="B882" s="53" t="s">
        <v>5360</v>
      </c>
      <c r="C882" s="29" t="s">
        <v>899</v>
      </c>
      <c r="D882" s="29" t="s">
        <v>1027</v>
      </c>
      <c r="F882" s="29" t="s">
        <v>13123</v>
      </c>
      <c r="G882" s="29" t="s">
        <v>11461</v>
      </c>
      <c r="H882" s="29" t="s">
        <v>607</v>
      </c>
      <c r="I882" s="29" t="s">
        <v>5366</v>
      </c>
      <c r="J882" s="29" t="s">
        <v>899</v>
      </c>
      <c r="K882" s="216" t="s">
        <v>13124</v>
      </c>
      <c r="L882" s="182">
        <v>4</v>
      </c>
      <c r="M882" s="113">
        <v>300000</v>
      </c>
      <c r="N882" s="113">
        <f>+M882+200000+150000+60000</f>
        <v>710000</v>
      </c>
      <c r="O882" s="189" t="s">
        <v>10763</v>
      </c>
      <c r="P882" s="53" t="s">
        <v>13125</v>
      </c>
      <c r="Q882" s="53" t="s">
        <v>1939</v>
      </c>
      <c r="R882" s="53" t="s">
        <v>13434</v>
      </c>
      <c r="U882" s="29" t="s">
        <v>12344</v>
      </c>
    </row>
    <row r="883" spans="1:21" ht="75" x14ac:dyDescent="0.25">
      <c r="A883" s="56">
        <v>43406</v>
      </c>
      <c r="B883" s="53" t="s">
        <v>569</v>
      </c>
      <c r="C883" s="29" t="s">
        <v>899</v>
      </c>
      <c r="D883" s="29" t="s">
        <v>11286</v>
      </c>
      <c r="F883" s="29" t="s">
        <v>13126</v>
      </c>
      <c r="G883" s="29" t="s">
        <v>13127</v>
      </c>
      <c r="H883" s="29" t="s">
        <v>607</v>
      </c>
      <c r="I883" s="29" t="s">
        <v>8881</v>
      </c>
      <c r="J883" s="29" t="s">
        <v>899</v>
      </c>
      <c r="K883" s="216" t="s">
        <v>13128</v>
      </c>
      <c r="L883" s="182">
        <v>2</v>
      </c>
      <c r="M883" s="113">
        <v>1968000</v>
      </c>
      <c r="N883" s="113">
        <v>3200000</v>
      </c>
      <c r="O883" s="189" t="s">
        <v>560</v>
      </c>
      <c r="P883" s="53" t="s">
        <v>13129</v>
      </c>
      <c r="Q883" s="53" t="s">
        <v>592</v>
      </c>
      <c r="U883" s="29" t="s">
        <v>2500</v>
      </c>
    </row>
    <row r="884" spans="1:21" ht="45" x14ac:dyDescent="0.25">
      <c r="A884" s="56">
        <v>43406</v>
      </c>
      <c r="B884" s="53" t="s">
        <v>643</v>
      </c>
      <c r="C884" s="29" t="s">
        <v>644</v>
      </c>
      <c r="D884" s="29" t="s">
        <v>645</v>
      </c>
      <c r="F884" s="29" t="s">
        <v>13103</v>
      </c>
      <c r="G884" s="29" t="s">
        <v>6974</v>
      </c>
      <c r="H884" s="29" t="s">
        <v>607</v>
      </c>
      <c r="I884" s="29" t="s">
        <v>11305</v>
      </c>
      <c r="J884" s="29" t="s">
        <v>899</v>
      </c>
      <c r="K884" s="216" t="s">
        <v>13101</v>
      </c>
      <c r="L884" s="182">
        <v>2</v>
      </c>
      <c r="M884" s="113">
        <v>2276000</v>
      </c>
      <c r="N884" s="113">
        <v>3800000</v>
      </c>
      <c r="O884" s="189" t="s">
        <v>560</v>
      </c>
      <c r="P884" s="53" t="s">
        <v>13131</v>
      </c>
      <c r="Q884" s="53" t="s">
        <v>29</v>
      </c>
      <c r="R884" s="53" t="s">
        <v>13132</v>
      </c>
      <c r="U884" s="29" t="s">
        <v>2500</v>
      </c>
    </row>
    <row r="885" spans="1:21" ht="45" x14ac:dyDescent="0.25">
      <c r="A885" s="56">
        <v>43406</v>
      </c>
      <c r="B885" s="53" t="s">
        <v>328</v>
      </c>
      <c r="C885" s="29" t="s">
        <v>603</v>
      </c>
      <c r="D885" s="29" t="s">
        <v>672</v>
      </c>
      <c r="F885" s="29" t="s">
        <v>13133</v>
      </c>
      <c r="G885" s="29" t="s">
        <v>8263</v>
      </c>
      <c r="H885" s="29" t="s">
        <v>607</v>
      </c>
      <c r="I885" s="29" t="s">
        <v>7922</v>
      </c>
      <c r="J885" s="29" t="s">
        <v>6015</v>
      </c>
      <c r="K885" s="216" t="s">
        <v>13134</v>
      </c>
      <c r="L885" s="182">
        <v>2</v>
      </c>
      <c r="M885" s="113">
        <v>850000</v>
      </c>
      <c r="N885" s="113">
        <f>M885*1.7</f>
        <v>1445000</v>
      </c>
      <c r="O885" s="189" t="s">
        <v>4533</v>
      </c>
      <c r="P885" s="53" t="s">
        <v>13135</v>
      </c>
      <c r="Q885" s="53" t="s">
        <v>592</v>
      </c>
      <c r="R885" s="53" t="s">
        <v>13435</v>
      </c>
      <c r="U885" s="29" t="s">
        <v>2500</v>
      </c>
    </row>
    <row r="886" spans="1:21" ht="60" x14ac:dyDescent="0.25">
      <c r="A886" s="56">
        <v>43410</v>
      </c>
      <c r="B886" s="53" t="s">
        <v>643</v>
      </c>
      <c r="C886" s="29" t="s">
        <v>644</v>
      </c>
      <c r="D886" s="29" t="s">
        <v>645</v>
      </c>
      <c r="F886" s="29" t="s">
        <v>126</v>
      </c>
      <c r="G886" s="29" t="s">
        <v>10272</v>
      </c>
      <c r="H886" s="29" t="s">
        <v>809</v>
      </c>
      <c r="I886" s="29" t="s">
        <v>5212</v>
      </c>
      <c r="J886" s="29" t="s">
        <v>644</v>
      </c>
      <c r="K886" s="216" t="s">
        <v>13136</v>
      </c>
      <c r="L886" s="182">
        <v>2</v>
      </c>
      <c r="M886" s="113">
        <v>3500000</v>
      </c>
      <c r="N886" s="113">
        <f>+M886+100000+50000</f>
        <v>3650000</v>
      </c>
      <c r="O886" s="189" t="s">
        <v>560</v>
      </c>
      <c r="P886" s="53" t="s">
        <v>13137</v>
      </c>
      <c r="Q886" s="53" t="s">
        <v>1939</v>
      </c>
      <c r="R886" s="53" t="s">
        <v>13138</v>
      </c>
      <c r="U886" s="29" t="s">
        <v>12344</v>
      </c>
    </row>
    <row r="887" spans="1:21" ht="45" x14ac:dyDescent="0.25">
      <c r="A887" s="56">
        <v>43410</v>
      </c>
      <c r="B887" s="53" t="s">
        <v>569</v>
      </c>
      <c r="C887" s="29" t="s">
        <v>899</v>
      </c>
      <c r="D887" s="29" t="s">
        <v>625</v>
      </c>
      <c r="F887" s="29" t="s">
        <v>13139</v>
      </c>
      <c r="H887" s="29" t="s">
        <v>607</v>
      </c>
      <c r="I887" s="29" t="s">
        <v>2054</v>
      </c>
      <c r="J887" s="29" t="s">
        <v>899</v>
      </c>
      <c r="K887" s="216" t="s">
        <v>13140</v>
      </c>
      <c r="L887" s="182">
        <v>5</v>
      </c>
      <c r="M887" s="113">
        <v>890000</v>
      </c>
      <c r="N887" s="113">
        <f>+M887+100000+250000+150000</f>
        <v>1390000</v>
      </c>
      <c r="O887" s="189" t="s">
        <v>10763</v>
      </c>
      <c r="P887" s="53" t="s">
        <v>13141</v>
      </c>
      <c r="Q887" s="53" t="s">
        <v>592</v>
      </c>
      <c r="R887" s="53" t="s">
        <v>13142</v>
      </c>
      <c r="U887" s="29" t="s">
        <v>12344</v>
      </c>
    </row>
    <row r="888" spans="1:21" ht="75" x14ac:dyDescent="0.25">
      <c r="A888" s="56">
        <v>43410</v>
      </c>
      <c r="B888" s="53" t="s">
        <v>328</v>
      </c>
      <c r="C888" s="29" t="s">
        <v>603</v>
      </c>
      <c r="D888" s="29" t="s">
        <v>757</v>
      </c>
      <c r="F888" s="29" t="s">
        <v>13143</v>
      </c>
      <c r="G888" s="29" t="s">
        <v>9350</v>
      </c>
      <c r="H888" s="29" t="s">
        <v>10831</v>
      </c>
      <c r="I888" s="29" t="s">
        <v>13144</v>
      </c>
      <c r="J888" s="29" t="s">
        <v>6575</v>
      </c>
      <c r="K888" s="216" t="s">
        <v>13145</v>
      </c>
      <c r="L888" s="182">
        <v>4</v>
      </c>
      <c r="M888" s="113">
        <v>2050940</v>
      </c>
      <c r="N888" s="113">
        <v>2893128</v>
      </c>
      <c r="O888" s="189" t="s">
        <v>10766</v>
      </c>
      <c r="P888" s="53" t="s">
        <v>13146</v>
      </c>
      <c r="Q888" s="53" t="s">
        <v>1939</v>
      </c>
      <c r="R888" s="53" t="s">
        <v>13147</v>
      </c>
      <c r="U888" s="29" t="s">
        <v>12344</v>
      </c>
    </row>
    <row r="889" spans="1:21" ht="30" x14ac:dyDescent="0.25">
      <c r="A889" s="56">
        <v>43411</v>
      </c>
      <c r="B889" s="53" t="s">
        <v>569</v>
      </c>
      <c r="C889" s="29" t="s">
        <v>899</v>
      </c>
      <c r="D889" s="29" t="s">
        <v>732</v>
      </c>
      <c r="F889" s="29" t="s">
        <v>11487</v>
      </c>
      <c r="G889" s="29" t="s">
        <v>7757</v>
      </c>
      <c r="H889" s="29" t="s">
        <v>607</v>
      </c>
      <c r="I889" s="29" t="s">
        <v>10599</v>
      </c>
      <c r="J889" s="29" t="s">
        <v>899</v>
      </c>
      <c r="K889" s="216" t="s">
        <v>13148</v>
      </c>
      <c r="L889" s="182">
        <v>2</v>
      </c>
      <c r="M889" s="113">
        <v>2029000</v>
      </c>
      <c r="N889" s="113">
        <v>3652200</v>
      </c>
      <c r="O889" s="189" t="s">
        <v>560</v>
      </c>
      <c r="P889" s="53" t="s">
        <v>13149</v>
      </c>
      <c r="Q889" s="53" t="s">
        <v>592</v>
      </c>
      <c r="U889" s="29" t="s">
        <v>12344</v>
      </c>
    </row>
    <row r="890" spans="1:21" ht="60" x14ac:dyDescent="0.25">
      <c r="A890" s="56">
        <v>43412</v>
      </c>
      <c r="B890" s="53" t="s">
        <v>569</v>
      </c>
      <c r="C890" s="29" t="s">
        <v>899</v>
      </c>
      <c r="D890" s="29" t="s">
        <v>732</v>
      </c>
      <c r="F890" s="29" t="s">
        <v>13150</v>
      </c>
      <c r="G890" s="29" t="s">
        <v>13151</v>
      </c>
      <c r="H890" s="29" t="s">
        <v>607</v>
      </c>
      <c r="I890" s="29" t="s">
        <v>12347</v>
      </c>
      <c r="J890" s="29" t="s">
        <v>899</v>
      </c>
      <c r="K890" s="216" t="s">
        <v>13153</v>
      </c>
      <c r="L890" s="182">
        <v>3</v>
      </c>
      <c r="M890" s="113">
        <v>1200000</v>
      </c>
      <c r="N890" s="113">
        <v>1946250</v>
      </c>
      <c r="O890" s="189" t="s">
        <v>10766</v>
      </c>
      <c r="P890" s="53" t="s">
        <v>13152</v>
      </c>
      <c r="Q890" s="53" t="s">
        <v>592</v>
      </c>
      <c r="R890" s="53" t="s">
        <v>13154</v>
      </c>
      <c r="U890" s="29" t="s">
        <v>12344</v>
      </c>
    </row>
    <row r="891" spans="1:21" ht="60" x14ac:dyDescent="0.25">
      <c r="A891" s="56">
        <v>43412</v>
      </c>
      <c r="B891" s="53" t="s">
        <v>328</v>
      </c>
      <c r="C891" s="29" t="s">
        <v>603</v>
      </c>
      <c r="D891" s="29" t="s">
        <v>1401</v>
      </c>
      <c r="F891" s="29" t="s">
        <v>13155</v>
      </c>
      <c r="G891" s="29" t="s">
        <v>9744</v>
      </c>
      <c r="H891" s="29" t="s">
        <v>607</v>
      </c>
      <c r="I891" s="29" t="s">
        <v>3462</v>
      </c>
      <c r="J891" s="29" t="s">
        <v>899</v>
      </c>
      <c r="K891" s="216" t="s">
        <v>13156</v>
      </c>
      <c r="L891" s="182">
        <v>4</v>
      </c>
      <c r="M891" s="113">
        <v>1632000</v>
      </c>
      <c r="N891" s="113">
        <f>+M891+163200+300000</f>
        <v>2095200</v>
      </c>
      <c r="O891" s="189" t="s">
        <v>7564</v>
      </c>
      <c r="P891" s="53" t="s">
        <v>13157</v>
      </c>
      <c r="Q891" s="53" t="s">
        <v>1612</v>
      </c>
      <c r="R891" s="53" t="s">
        <v>13158</v>
      </c>
      <c r="U891" s="29" t="s">
        <v>12344</v>
      </c>
    </row>
    <row r="892" spans="1:21" ht="60" x14ac:dyDescent="0.25">
      <c r="A892" s="56">
        <v>43413</v>
      </c>
      <c r="B892" s="53" t="s">
        <v>569</v>
      </c>
      <c r="C892" s="29" t="s">
        <v>899</v>
      </c>
      <c r="D892" s="29" t="s">
        <v>3505</v>
      </c>
      <c r="F892" s="29" t="s">
        <v>13159</v>
      </c>
      <c r="G892" s="29" t="s">
        <v>10080</v>
      </c>
      <c r="H892" s="29" t="s">
        <v>607</v>
      </c>
      <c r="I892" s="29" t="s">
        <v>6092</v>
      </c>
      <c r="J892" s="29" t="s">
        <v>899</v>
      </c>
      <c r="K892" s="216" t="s">
        <v>13160</v>
      </c>
      <c r="L892" s="182">
        <v>5</v>
      </c>
      <c r="M892" s="113">
        <v>304000</v>
      </c>
      <c r="N892" s="113">
        <f>+M892+33000+130000+26000</f>
        <v>493000</v>
      </c>
      <c r="O892" s="189" t="s">
        <v>10766</v>
      </c>
      <c r="P892" s="53" t="s">
        <v>13386</v>
      </c>
      <c r="Q892" s="53" t="s">
        <v>592</v>
      </c>
      <c r="R892" s="53" t="s">
        <v>1810</v>
      </c>
      <c r="U892" s="29" t="s">
        <v>12344</v>
      </c>
    </row>
    <row r="893" spans="1:21" ht="45" x14ac:dyDescent="0.25">
      <c r="A893" s="56">
        <v>43417</v>
      </c>
      <c r="B893" s="53" t="s">
        <v>643</v>
      </c>
      <c r="C893" s="29" t="s">
        <v>644</v>
      </c>
      <c r="D893" s="29" t="s">
        <v>8518</v>
      </c>
      <c r="F893" s="29" t="s">
        <v>13162</v>
      </c>
      <c r="G893" s="29" t="s">
        <v>8518</v>
      </c>
      <c r="H893" s="29" t="s">
        <v>607</v>
      </c>
      <c r="I893" s="29" t="s">
        <v>5546</v>
      </c>
      <c r="J893" s="29" t="s">
        <v>644</v>
      </c>
      <c r="K893" s="216" t="s">
        <v>13163</v>
      </c>
      <c r="L893" s="182">
        <v>5</v>
      </c>
      <c r="M893" s="113">
        <v>600000</v>
      </c>
      <c r="N893" s="113">
        <f>+M893+60000</f>
        <v>660000</v>
      </c>
      <c r="O893" s="189" t="s">
        <v>10763</v>
      </c>
      <c r="P893" s="53" t="s">
        <v>13164</v>
      </c>
      <c r="Q893" s="53" t="s">
        <v>1939</v>
      </c>
      <c r="R893" s="53" t="s">
        <v>13165</v>
      </c>
      <c r="U893" s="29" t="s">
        <v>12344</v>
      </c>
    </row>
    <row r="894" spans="1:21" ht="60" x14ac:dyDescent="0.25">
      <c r="A894" s="56">
        <v>43417</v>
      </c>
      <c r="B894" s="53" t="s">
        <v>328</v>
      </c>
      <c r="C894" s="29" t="s">
        <v>603</v>
      </c>
      <c r="D894" s="29" t="s">
        <v>649</v>
      </c>
      <c r="F894" s="29" t="s">
        <v>13166</v>
      </c>
      <c r="G894" s="29" t="s">
        <v>1016</v>
      </c>
      <c r="H894" s="29" t="s">
        <v>607</v>
      </c>
      <c r="I894" s="29" t="s">
        <v>5641</v>
      </c>
      <c r="J894" s="29" t="s">
        <v>3612</v>
      </c>
      <c r="K894" s="216" t="s">
        <v>13167</v>
      </c>
      <c r="L894" s="182">
        <v>10</v>
      </c>
      <c r="M894" s="113">
        <v>125000</v>
      </c>
      <c r="N894" s="113">
        <f>+M894+25000+500000</f>
        <v>650000</v>
      </c>
      <c r="O894" s="189" t="s">
        <v>7124</v>
      </c>
      <c r="P894" s="53" t="s">
        <v>13168</v>
      </c>
      <c r="Q894" s="53" t="s">
        <v>1612</v>
      </c>
      <c r="R894" s="53" t="s">
        <v>13479</v>
      </c>
      <c r="U894" s="29" t="s">
        <v>12344</v>
      </c>
    </row>
    <row r="895" spans="1:21" ht="60" x14ac:dyDescent="0.25">
      <c r="A895" s="56">
        <v>43417</v>
      </c>
      <c r="B895" s="53" t="s">
        <v>328</v>
      </c>
      <c r="C895" s="29" t="s">
        <v>603</v>
      </c>
      <c r="D895" s="29" t="s">
        <v>649</v>
      </c>
      <c r="F895" s="29" t="s">
        <v>12316</v>
      </c>
      <c r="G895" s="29" t="s">
        <v>8263</v>
      </c>
      <c r="H895" s="29" t="s">
        <v>809</v>
      </c>
      <c r="I895" s="29" t="s">
        <v>3646</v>
      </c>
      <c r="J895" s="29" t="s">
        <v>644</v>
      </c>
      <c r="K895" s="216" t="s">
        <v>13169</v>
      </c>
      <c r="L895" s="182">
        <v>2</v>
      </c>
      <c r="M895" s="113">
        <v>817000</v>
      </c>
      <c r="N895" s="113">
        <f>+M895+81700</f>
        <v>898700</v>
      </c>
      <c r="O895" s="189" t="s">
        <v>560</v>
      </c>
      <c r="P895" s="53" t="s">
        <v>13170</v>
      </c>
      <c r="Q895" s="53" t="s">
        <v>1939</v>
      </c>
      <c r="R895" s="53" t="s">
        <v>13436</v>
      </c>
      <c r="U895" s="29" t="s">
        <v>12344</v>
      </c>
    </row>
    <row r="896" spans="1:21" ht="60" x14ac:dyDescent="0.25">
      <c r="A896" s="56">
        <v>43417</v>
      </c>
      <c r="B896" s="53" t="s">
        <v>5956</v>
      </c>
      <c r="C896" s="29" t="s">
        <v>3369</v>
      </c>
      <c r="D896" s="29" t="s">
        <v>8126</v>
      </c>
      <c r="F896" s="29" t="s">
        <v>13171</v>
      </c>
      <c r="H896" s="29" t="s">
        <v>905</v>
      </c>
      <c r="I896" s="29" t="s">
        <v>11126</v>
      </c>
      <c r="J896" s="29" t="s">
        <v>4825</v>
      </c>
      <c r="K896" s="216" t="s">
        <v>13172</v>
      </c>
      <c r="L896" s="182">
        <v>5</v>
      </c>
      <c r="M896" s="113">
        <v>274000</v>
      </c>
      <c r="N896" s="113">
        <f>+M896+5000+54800</f>
        <v>333800</v>
      </c>
      <c r="O896" s="189" t="s">
        <v>10766</v>
      </c>
      <c r="P896" s="53" t="s">
        <v>13437</v>
      </c>
      <c r="Q896" s="53" t="s">
        <v>1939</v>
      </c>
      <c r="R896" s="53" t="s">
        <v>13173</v>
      </c>
      <c r="U896" s="29" t="s">
        <v>12344</v>
      </c>
    </row>
    <row r="897" spans="1:22" ht="45" x14ac:dyDescent="0.25">
      <c r="A897" s="56">
        <v>43417</v>
      </c>
      <c r="B897" s="53" t="s">
        <v>569</v>
      </c>
      <c r="C897" s="29" t="s">
        <v>899</v>
      </c>
      <c r="D897" s="29" t="s">
        <v>611</v>
      </c>
      <c r="F897" s="29" t="s">
        <v>13174</v>
      </c>
      <c r="G897" s="29" t="s">
        <v>9170</v>
      </c>
      <c r="H897" s="29" t="s">
        <v>607</v>
      </c>
      <c r="I897" s="29" t="s">
        <v>13175</v>
      </c>
      <c r="J897" s="29" t="s">
        <v>899</v>
      </c>
      <c r="K897" s="216" t="s">
        <v>13176</v>
      </c>
      <c r="L897" s="182">
        <v>10</v>
      </c>
      <c r="M897" s="113">
        <v>600000</v>
      </c>
      <c r="N897" s="113">
        <f>+M897+75000+250000+30000</f>
        <v>955000</v>
      </c>
      <c r="O897" s="189" t="s">
        <v>7124</v>
      </c>
      <c r="P897" s="53" t="s">
        <v>13438</v>
      </c>
      <c r="Q897" s="53" t="s">
        <v>29</v>
      </c>
      <c r="R897" s="53" t="s">
        <v>13177</v>
      </c>
      <c r="U897" s="29" t="s">
        <v>12344</v>
      </c>
    </row>
    <row r="898" spans="1:22" ht="45" x14ac:dyDescent="0.25">
      <c r="A898" s="56">
        <v>43417</v>
      </c>
      <c r="B898" s="53" t="s">
        <v>328</v>
      </c>
      <c r="C898" s="29" t="s">
        <v>899</v>
      </c>
      <c r="D898" s="29" t="s">
        <v>7595</v>
      </c>
      <c r="F898" s="29" t="s">
        <v>13178</v>
      </c>
      <c r="G898" s="29" t="s">
        <v>13179</v>
      </c>
      <c r="H898" s="29" t="s">
        <v>607</v>
      </c>
      <c r="I898" s="29" t="s">
        <v>6016</v>
      </c>
      <c r="J898" s="29" t="s">
        <v>6015</v>
      </c>
      <c r="K898" s="216" t="s">
        <v>13180</v>
      </c>
      <c r="M898" s="113">
        <v>260000</v>
      </c>
      <c r="N898" s="113">
        <v>442000</v>
      </c>
      <c r="O898" s="189" t="s">
        <v>10766</v>
      </c>
      <c r="P898" s="53" t="s">
        <v>13181</v>
      </c>
      <c r="Q898" s="53" t="s">
        <v>1612</v>
      </c>
      <c r="R898" s="53" t="s">
        <v>13182</v>
      </c>
      <c r="U898" s="29" t="s">
        <v>12344</v>
      </c>
    </row>
    <row r="899" spans="1:22" ht="15.75" x14ac:dyDescent="0.25">
      <c r="A899" s="56">
        <v>43418</v>
      </c>
      <c r="B899" s="53" t="s">
        <v>569</v>
      </c>
      <c r="C899" s="29" t="s">
        <v>899</v>
      </c>
      <c r="D899" s="29" t="s">
        <v>1070</v>
      </c>
      <c r="F899" s="29" t="s">
        <v>13183</v>
      </c>
      <c r="G899" s="29" t="s">
        <v>645</v>
      </c>
      <c r="H899" s="29" t="s">
        <v>607</v>
      </c>
      <c r="I899" s="29" t="s">
        <v>3947</v>
      </c>
      <c r="J899" s="29" t="s">
        <v>899</v>
      </c>
      <c r="K899" s="216" t="s">
        <v>13184</v>
      </c>
      <c r="L899" s="182">
        <v>2</v>
      </c>
      <c r="M899" s="113">
        <v>362267</v>
      </c>
      <c r="N899" s="113">
        <f>+M899+34820+234740+69640</f>
        <v>701467</v>
      </c>
      <c r="O899" s="189" t="s">
        <v>10765</v>
      </c>
      <c r="P899" s="53" t="s">
        <v>13185</v>
      </c>
      <c r="Q899" s="53" t="s">
        <v>592</v>
      </c>
      <c r="R899" s="53" t="s">
        <v>13186</v>
      </c>
      <c r="U899" s="29" t="s">
        <v>12344</v>
      </c>
    </row>
    <row r="900" spans="1:22" ht="75" x14ac:dyDescent="0.25">
      <c r="A900" s="56">
        <v>43418</v>
      </c>
      <c r="B900" s="53" t="s">
        <v>569</v>
      </c>
      <c r="C900" s="29" t="s">
        <v>899</v>
      </c>
      <c r="D900" s="29" t="s">
        <v>9981</v>
      </c>
      <c r="F900" s="29" t="s">
        <v>13187</v>
      </c>
      <c r="G900" s="29" t="s">
        <v>6974</v>
      </c>
      <c r="H900" s="29" t="s">
        <v>607</v>
      </c>
      <c r="I900" s="29" t="s">
        <v>2054</v>
      </c>
      <c r="J900" s="29" t="s">
        <v>899</v>
      </c>
      <c r="K900" s="216" t="s">
        <v>13188</v>
      </c>
      <c r="L900" s="182">
        <v>2</v>
      </c>
      <c r="M900" s="113">
        <v>232000</v>
      </c>
      <c r="O900" s="189" t="s">
        <v>10766</v>
      </c>
      <c r="P900" s="53" t="s">
        <v>13189</v>
      </c>
      <c r="Q900" s="53" t="s">
        <v>1939</v>
      </c>
      <c r="R900" s="53" t="s">
        <v>13190</v>
      </c>
      <c r="U900" s="29" t="s">
        <v>12344</v>
      </c>
    </row>
    <row r="901" spans="1:22" s="46" customFormat="1" ht="45" x14ac:dyDescent="0.25">
      <c r="A901" s="61">
        <v>43419</v>
      </c>
      <c r="B901" s="62" t="s">
        <v>328</v>
      </c>
      <c r="C901" s="46" t="s">
        <v>603</v>
      </c>
      <c r="D901" s="46" t="s">
        <v>10705</v>
      </c>
      <c r="E901" s="46" t="s">
        <v>588</v>
      </c>
      <c r="F901" s="46" t="s">
        <v>10069</v>
      </c>
      <c r="G901" s="46" t="s">
        <v>12763</v>
      </c>
      <c r="H901" s="46" t="s">
        <v>607</v>
      </c>
      <c r="I901" s="46" t="s">
        <v>6685</v>
      </c>
      <c r="J901" s="170" t="s">
        <v>3612</v>
      </c>
      <c r="K901" s="63"/>
      <c r="M901" s="64">
        <v>175000</v>
      </c>
      <c r="N901" s="64">
        <v>333500</v>
      </c>
      <c r="O901" s="189" t="s">
        <v>4533</v>
      </c>
      <c r="P901" s="115" t="s">
        <v>7046</v>
      </c>
      <c r="Q901" s="62" t="s">
        <v>592</v>
      </c>
      <c r="R901" s="47"/>
      <c r="S901" s="47"/>
      <c r="T901" s="46" t="s">
        <v>491</v>
      </c>
      <c r="U901" s="29" t="s">
        <v>12344</v>
      </c>
      <c r="V901" s="47"/>
    </row>
    <row r="902" spans="1:22" ht="30" x14ac:dyDescent="0.25">
      <c r="A902" s="56">
        <v>43423</v>
      </c>
      <c r="B902" s="53" t="s">
        <v>110</v>
      </c>
      <c r="C902" s="29" t="s">
        <v>761</v>
      </c>
      <c r="D902" s="29" t="s">
        <v>1122</v>
      </c>
      <c r="F902" s="29" t="s">
        <v>473</v>
      </c>
      <c r="G902" s="29" t="s">
        <v>13191</v>
      </c>
      <c r="H902" s="29" t="s">
        <v>607</v>
      </c>
      <c r="I902" s="29" t="s">
        <v>13192</v>
      </c>
      <c r="J902" s="29" t="s">
        <v>4785</v>
      </c>
      <c r="K902" s="216" t="s">
        <v>13193</v>
      </c>
      <c r="L902" s="182">
        <v>5</v>
      </c>
      <c r="M902" s="113">
        <v>616000</v>
      </c>
      <c r="N902" s="113">
        <v>1047200</v>
      </c>
      <c r="O902" s="189" t="s">
        <v>10766</v>
      </c>
      <c r="P902" s="53" t="s">
        <v>13194</v>
      </c>
      <c r="Q902" s="53" t="s">
        <v>1939</v>
      </c>
      <c r="R902" s="53" t="s">
        <v>13195</v>
      </c>
      <c r="U902" s="29" t="s">
        <v>491</v>
      </c>
    </row>
    <row r="903" spans="1:22" ht="60" x14ac:dyDescent="0.25">
      <c r="A903" s="56">
        <v>43423</v>
      </c>
      <c r="B903" s="53" t="s">
        <v>328</v>
      </c>
      <c r="C903" s="29" t="s">
        <v>603</v>
      </c>
      <c r="D903" s="29" t="s">
        <v>10705</v>
      </c>
      <c r="F903" s="29" t="s">
        <v>10951</v>
      </c>
      <c r="G903" s="29" t="s">
        <v>9843</v>
      </c>
      <c r="H903" s="29" t="s">
        <v>10831</v>
      </c>
      <c r="I903" s="29" t="s">
        <v>13196</v>
      </c>
      <c r="J903" s="29" t="s">
        <v>603</v>
      </c>
      <c r="K903" s="216" t="s">
        <v>13197</v>
      </c>
      <c r="L903" s="182">
        <v>10</v>
      </c>
      <c r="M903" s="113">
        <v>2000000</v>
      </c>
      <c r="N903" s="113">
        <v>3200000</v>
      </c>
      <c r="O903" s="189" t="s">
        <v>560</v>
      </c>
      <c r="P903" s="53" t="s">
        <v>13198</v>
      </c>
      <c r="Q903" s="53" t="s">
        <v>1612</v>
      </c>
      <c r="R903" s="53" t="s">
        <v>13291</v>
      </c>
      <c r="U903" s="29" t="s">
        <v>491</v>
      </c>
    </row>
    <row r="904" spans="1:22" ht="30" x14ac:dyDescent="0.25">
      <c r="A904" s="56">
        <v>43423</v>
      </c>
      <c r="B904" s="53" t="s">
        <v>569</v>
      </c>
      <c r="C904" s="29" t="s">
        <v>899</v>
      </c>
      <c r="D904" s="29" t="s">
        <v>11286</v>
      </c>
      <c r="F904" s="29" t="s">
        <v>13199</v>
      </c>
      <c r="G904" s="29" t="s">
        <v>587</v>
      </c>
      <c r="H904" s="29" t="s">
        <v>607</v>
      </c>
      <c r="J904" s="29" t="s">
        <v>899</v>
      </c>
      <c r="L904" s="182">
        <v>2</v>
      </c>
      <c r="N904" s="113">
        <v>3600000</v>
      </c>
      <c r="O904" s="189" t="s">
        <v>560</v>
      </c>
      <c r="P904" s="53" t="s">
        <v>13200</v>
      </c>
      <c r="Q904" s="53" t="s">
        <v>29</v>
      </c>
      <c r="R904" s="53" t="s">
        <v>13201</v>
      </c>
      <c r="U904" s="29" t="s">
        <v>491</v>
      </c>
    </row>
    <row r="905" spans="1:22" ht="15.75" x14ac:dyDescent="0.25">
      <c r="A905" s="56">
        <v>43423</v>
      </c>
      <c r="B905" s="53" t="s">
        <v>643</v>
      </c>
      <c r="C905" s="29" t="s">
        <v>644</v>
      </c>
      <c r="D905" s="29" t="s">
        <v>645</v>
      </c>
      <c r="F905" s="29" t="s">
        <v>12357</v>
      </c>
      <c r="G905" s="29" t="s">
        <v>13202</v>
      </c>
      <c r="H905" s="29" t="s">
        <v>607</v>
      </c>
      <c r="I905" s="29" t="s">
        <v>3388</v>
      </c>
      <c r="J905" s="29" t="s">
        <v>899</v>
      </c>
      <c r="K905" s="216" t="s">
        <v>13203</v>
      </c>
      <c r="L905" s="182">
        <v>1</v>
      </c>
      <c r="M905" s="113">
        <v>1550000</v>
      </c>
      <c r="N905" s="113">
        <v>3720000</v>
      </c>
      <c r="O905" s="189" t="s">
        <v>560</v>
      </c>
      <c r="P905" s="53" t="s">
        <v>13204</v>
      </c>
      <c r="Q905" s="53" t="s">
        <v>29</v>
      </c>
      <c r="R905" s="53" t="s">
        <v>13205</v>
      </c>
      <c r="U905" s="29" t="s">
        <v>491</v>
      </c>
    </row>
    <row r="906" spans="1:22" ht="45" x14ac:dyDescent="0.25">
      <c r="A906" s="56">
        <v>43423</v>
      </c>
      <c r="B906" s="53" t="s">
        <v>643</v>
      </c>
      <c r="C906" s="29" t="s">
        <v>644</v>
      </c>
      <c r="D906" s="29" t="s">
        <v>645</v>
      </c>
      <c r="F906" s="29" t="s">
        <v>12856</v>
      </c>
      <c r="G906" s="29" t="s">
        <v>8662</v>
      </c>
      <c r="H906" s="29" t="s">
        <v>10831</v>
      </c>
      <c r="I906" s="29" t="s">
        <v>13206</v>
      </c>
      <c r="J906" s="29" t="s">
        <v>990</v>
      </c>
      <c r="K906" s="216" t="s">
        <v>13207</v>
      </c>
      <c r="L906" s="182">
        <v>9</v>
      </c>
      <c r="M906" s="113">
        <v>100000</v>
      </c>
      <c r="N906" s="113">
        <v>180000</v>
      </c>
      <c r="O906" s="189" t="s">
        <v>6745</v>
      </c>
      <c r="P906" s="53" t="s">
        <v>13208</v>
      </c>
      <c r="Q906" s="53" t="s">
        <v>1939</v>
      </c>
      <c r="R906" s="53" t="s">
        <v>13209</v>
      </c>
      <c r="U906" s="29" t="s">
        <v>491</v>
      </c>
    </row>
    <row r="907" spans="1:22" ht="45" x14ac:dyDescent="0.25">
      <c r="A907" s="56">
        <v>43423</v>
      </c>
      <c r="B907" s="53" t="s">
        <v>328</v>
      </c>
      <c r="C907" s="29" t="s">
        <v>603</v>
      </c>
      <c r="D907" s="29" t="s">
        <v>8941</v>
      </c>
      <c r="F907" s="29" t="s">
        <v>13210</v>
      </c>
      <c r="G907" s="29" t="s">
        <v>13211</v>
      </c>
      <c r="H907" s="29" t="s">
        <v>607</v>
      </c>
      <c r="I907" s="29" t="s">
        <v>6353</v>
      </c>
      <c r="J907" s="29" t="s">
        <v>899</v>
      </c>
      <c r="K907" s="216" t="s">
        <v>13212</v>
      </c>
      <c r="L907" s="182">
        <v>10</v>
      </c>
      <c r="M907" s="113">
        <v>1202600</v>
      </c>
      <c r="N907" s="113">
        <v>2284940</v>
      </c>
      <c r="O907" s="189" t="s">
        <v>560</v>
      </c>
      <c r="P907" s="53" t="s">
        <v>13213</v>
      </c>
      <c r="Q907" s="53" t="s">
        <v>29</v>
      </c>
      <c r="R907" s="53" t="s">
        <v>13214</v>
      </c>
      <c r="S907" s="53" t="s">
        <v>13439</v>
      </c>
      <c r="U907" s="29" t="s">
        <v>491</v>
      </c>
    </row>
    <row r="908" spans="1:22" ht="15.75" x14ac:dyDescent="0.25">
      <c r="A908" s="56">
        <v>43423</v>
      </c>
      <c r="B908" s="53" t="s">
        <v>569</v>
      </c>
      <c r="C908" s="29" t="s">
        <v>899</v>
      </c>
      <c r="D908" s="29" t="s">
        <v>3505</v>
      </c>
      <c r="F908" s="29" t="s">
        <v>13215</v>
      </c>
      <c r="G908" s="29" t="s">
        <v>13216</v>
      </c>
      <c r="H908" s="29" t="s">
        <v>607</v>
      </c>
      <c r="I908" s="29" t="s">
        <v>4042</v>
      </c>
      <c r="J908" s="29" t="s">
        <v>899</v>
      </c>
      <c r="K908" s="216" t="s">
        <v>13217</v>
      </c>
      <c r="L908" s="182">
        <v>9</v>
      </c>
      <c r="M908" s="113">
        <v>651000</v>
      </c>
      <c r="N908" s="113">
        <v>1171800</v>
      </c>
      <c r="O908" s="189" t="s">
        <v>7124</v>
      </c>
      <c r="P908" s="53" t="s">
        <v>13218</v>
      </c>
      <c r="Q908" s="53" t="s">
        <v>29</v>
      </c>
      <c r="R908" s="53" t="s">
        <v>13219</v>
      </c>
      <c r="U908" s="29" t="s">
        <v>491</v>
      </c>
    </row>
    <row r="909" spans="1:22" ht="105" x14ac:dyDescent="0.25">
      <c r="A909" s="56">
        <v>43424</v>
      </c>
      <c r="B909" s="53" t="s">
        <v>569</v>
      </c>
      <c r="C909" s="29" t="s">
        <v>899</v>
      </c>
      <c r="D909" s="29" t="s">
        <v>11359</v>
      </c>
      <c r="F909" s="29" t="s">
        <v>13220</v>
      </c>
      <c r="G909" s="29" t="s">
        <v>13221</v>
      </c>
      <c r="H909" s="29" t="s">
        <v>886</v>
      </c>
      <c r="I909" s="29" t="s">
        <v>6166</v>
      </c>
      <c r="J909" s="29" t="s">
        <v>899</v>
      </c>
      <c r="K909" s="216" t="s">
        <v>13222</v>
      </c>
      <c r="L909" s="182">
        <v>4</v>
      </c>
      <c r="M909" s="113">
        <v>1286000</v>
      </c>
      <c r="N909" s="113">
        <v>1400000</v>
      </c>
      <c r="O909" s="189" t="s">
        <v>2295</v>
      </c>
      <c r="P909" s="53" t="s">
        <v>13223</v>
      </c>
      <c r="Q909" s="53" t="s">
        <v>1939</v>
      </c>
      <c r="R909" s="53" t="s">
        <v>13281</v>
      </c>
      <c r="U909" s="29" t="s">
        <v>491</v>
      </c>
    </row>
    <row r="910" spans="1:22" ht="45" x14ac:dyDescent="0.25">
      <c r="A910" s="56">
        <v>43424</v>
      </c>
      <c r="B910" s="53" t="s">
        <v>643</v>
      </c>
      <c r="C910" s="29" t="s">
        <v>644</v>
      </c>
      <c r="D910" s="29" t="s">
        <v>645</v>
      </c>
      <c r="F910" s="29" t="s">
        <v>13224</v>
      </c>
      <c r="G910" s="29" t="s">
        <v>8366</v>
      </c>
      <c r="H910" s="29" t="s">
        <v>10831</v>
      </c>
      <c r="I910" s="29" t="s">
        <v>13225</v>
      </c>
      <c r="J910" s="29" t="s">
        <v>644</v>
      </c>
      <c r="K910" s="216" t="s">
        <v>13226</v>
      </c>
      <c r="L910" s="182">
        <v>10</v>
      </c>
      <c r="M910" s="113">
        <v>500000</v>
      </c>
      <c r="N910" s="113">
        <v>610000</v>
      </c>
      <c r="O910" s="189" t="s">
        <v>10764</v>
      </c>
      <c r="P910" s="53" t="s">
        <v>13227</v>
      </c>
      <c r="Q910" s="53" t="s">
        <v>29</v>
      </c>
      <c r="R910" s="53" t="s">
        <v>13228</v>
      </c>
      <c r="U910" s="29" t="s">
        <v>491</v>
      </c>
    </row>
    <row r="911" spans="1:22" ht="60" x14ac:dyDescent="0.25">
      <c r="A911" s="56">
        <v>43424</v>
      </c>
      <c r="B911" s="53" t="s">
        <v>569</v>
      </c>
      <c r="C911" s="29" t="s">
        <v>899</v>
      </c>
      <c r="D911" s="29" t="s">
        <v>3505</v>
      </c>
      <c r="F911" s="29" t="s">
        <v>10857</v>
      </c>
      <c r="G911" s="29" t="s">
        <v>13229</v>
      </c>
      <c r="H911" s="29" t="s">
        <v>2510</v>
      </c>
      <c r="I911" s="29" t="s">
        <v>3947</v>
      </c>
      <c r="J911" s="29" t="s">
        <v>899</v>
      </c>
      <c r="K911" s="216" t="s">
        <v>13184</v>
      </c>
      <c r="L911" s="182">
        <v>2</v>
      </c>
      <c r="M911" s="113">
        <v>407300</v>
      </c>
      <c r="N911" s="113">
        <v>720000</v>
      </c>
      <c r="O911" s="189" t="s">
        <v>10766</v>
      </c>
      <c r="P911" s="53" t="s">
        <v>13230</v>
      </c>
      <c r="Q911" s="53" t="s">
        <v>29</v>
      </c>
      <c r="R911" s="53" t="s">
        <v>13231</v>
      </c>
      <c r="S911" s="53" t="s">
        <v>13232</v>
      </c>
      <c r="U911" s="29" t="s">
        <v>491</v>
      </c>
    </row>
    <row r="912" spans="1:22" ht="30" x14ac:dyDescent="0.25">
      <c r="A912" s="56">
        <v>43424</v>
      </c>
      <c r="B912" s="53" t="s">
        <v>569</v>
      </c>
      <c r="C912" s="29" t="s">
        <v>899</v>
      </c>
      <c r="D912" s="29" t="s">
        <v>3505</v>
      </c>
      <c r="F912" s="29" t="s">
        <v>13233</v>
      </c>
      <c r="G912" s="29" t="s">
        <v>13234</v>
      </c>
      <c r="H912" s="29" t="s">
        <v>607</v>
      </c>
      <c r="I912" s="29" t="s">
        <v>3536</v>
      </c>
      <c r="J912" s="29" t="s">
        <v>899</v>
      </c>
      <c r="K912" s="216" t="s">
        <v>13110</v>
      </c>
      <c r="L912" s="182">
        <v>2</v>
      </c>
      <c r="M912" s="113">
        <v>2297370</v>
      </c>
      <c r="N912" s="113">
        <v>3500000</v>
      </c>
      <c r="O912" s="189" t="s">
        <v>560</v>
      </c>
      <c r="P912" s="53" t="s">
        <v>13235</v>
      </c>
      <c r="Q912" s="53" t="s">
        <v>29</v>
      </c>
      <c r="R912" s="53" t="s">
        <v>13236</v>
      </c>
      <c r="U912" s="29" t="s">
        <v>491</v>
      </c>
    </row>
    <row r="913" spans="1:21" ht="45" x14ac:dyDescent="0.25">
      <c r="A913" s="56">
        <v>43424</v>
      </c>
      <c r="B913" s="53" t="s">
        <v>328</v>
      </c>
      <c r="C913" s="29" t="s">
        <v>603</v>
      </c>
      <c r="D913" s="29" t="s">
        <v>9977</v>
      </c>
      <c r="F913" s="29" t="s">
        <v>13237</v>
      </c>
      <c r="G913" s="29" t="s">
        <v>13238</v>
      </c>
      <c r="H913" s="29" t="s">
        <v>10832</v>
      </c>
      <c r="I913" s="29" t="s">
        <v>13239</v>
      </c>
      <c r="J913" s="29" t="s">
        <v>3501</v>
      </c>
      <c r="K913" s="216" t="s">
        <v>13240</v>
      </c>
      <c r="L913" s="182">
        <v>10</v>
      </c>
      <c r="M913" s="113">
        <v>1731425</v>
      </c>
      <c r="N913" s="113">
        <v>2870281</v>
      </c>
      <c r="O913" s="189" t="s">
        <v>7564</v>
      </c>
      <c r="P913" s="53" t="s">
        <v>13241</v>
      </c>
      <c r="Q913" s="53" t="s">
        <v>1939</v>
      </c>
      <c r="R913" s="53" t="s">
        <v>13242</v>
      </c>
      <c r="U913" s="29" t="s">
        <v>491</v>
      </c>
    </row>
    <row r="914" spans="1:21" ht="30" x14ac:dyDescent="0.25">
      <c r="A914" s="56">
        <v>43425</v>
      </c>
      <c r="B914" s="53" t="s">
        <v>1788</v>
      </c>
      <c r="C914" s="29" t="s">
        <v>3369</v>
      </c>
      <c r="D914" s="29" t="s">
        <v>6360</v>
      </c>
      <c r="F914" s="29" t="s">
        <v>13243</v>
      </c>
      <c r="G914" s="29" t="s">
        <v>256</v>
      </c>
      <c r="H914" s="29" t="s">
        <v>10831</v>
      </c>
      <c r="I914" s="29" t="s">
        <v>4864</v>
      </c>
      <c r="J914" s="29" t="s">
        <v>899</v>
      </c>
      <c r="K914" s="216" t="s">
        <v>13244</v>
      </c>
      <c r="L914" s="182">
        <v>10</v>
      </c>
      <c r="M914" s="113">
        <v>1000000</v>
      </c>
      <c r="N914" s="113">
        <v>1850000</v>
      </c>
      <c r="O914" s="189" t="s">
        <v>10763</v>
      </c>
      <c r="P914" s="53" t="s">
        <v>13245</v>
      </c>
      <c r="Q914" s="53" t="s">
        <v>29</v>
      </c>
      <c r="R914" s="53" t="s">
        <v>13246</v>
      </c>
      <c r="U914" s="29" t="s">
        <v>491</v>
      </c>
    </row>
    <row r="915" spans="1:21" ht="60" x14ac:dyDescent="0.25">
      <c r="A915" s="56">
        <v>43425</v>
      </c>
      <c r="B915" s="53" t="s">
        <v>328</v>
      </c>
      <c r="C915" s="29" t="s">
        <v>603</v>
      </c>
      <c r="D915" s="29" t="s">
        <v>10338</v>
      </c>
      <c r="F915" s="29" t="s">
        <v>13247</v>
      </c>
      <c r="G915" s="29" t="s">
        <v>8533</v>
      </c>
      <c r="H915" s="29" t="s">
        <v>607</v>
      </c>
      <c r="I915" s="29" t="s">
        <v>2054</v>
      </c>
      <c r="J915" s="29" t="s">
        <v>899</v>
      </c>
      <c r="K915" s="216" t="s">
        <v>13248</v>
      </c>
      <c r="L915" s="182">
        <v>1</v>
      </c>
      <c r="M915" s="113">
        <v>1490000</v>
      </c>
      <c r="N915" s="113">
        <v>2533000</v>
      </c>
      <c r="O915" s="189" t="s">
        <v>7564</v>
      </c>
      <c r="P915" s="53" t="s">
        <v>13249</v>
      </c>
      <c r="Q915" s="53" t="s">
        <v>1939</v>
      </c>
      <c r="R915" s="53" t="s">
        <v>13250</v>
      </c>
      <c r="U915" s="29" t="s">
        <v>491</v>
      </c>
    </row>
    <row r="916" spans="1:21" ht="105" x14ac:dyDescent="0.25">
      <c r="A916" s="56">
        <v>43425</v>
      </c>
      <c r="B916" s="53" t="s">
        <v>328</v>
      </c>
      <c r="C916" s="29" t="s">
        <v>603</v>
      </c>
      <c r="D916" s="29" t="s">
        <v>10705</v>
      </c>
      <c r="F916" s="29" t="s">
        <v>13251</v>
      </c>
      <c r="G916" s="29" t="s">
        <v>13252</v>
      </c>
      <c r="H916" s="29" t="s">
        <v>607</v>
      </c>
      <c r="I916" s="29" t="s">
        <v>13253</v>
      </c>
      <c r="J916" s="29" t="s">
        <v>3533</v>
      </c>
      <c r="K916" s="216" t="s">
        <v>13254</v>
      </c>
      <c r="L916" s="182">
        <v>9</v>
      </c>
      <c r="M916" s="113">
        <v>2454000</v>
      </c>
      <c r="N916" s="113">
        <v>4171800</v>
      </c>
      <c r="O916" s="189" t="s">
        <v>4533</v>
      </c>
      <c r="P916" s="53" t="s">
        <v>13297</v>
      </c>
      <c r="Q916" s="53" t="s">
        <v>29</v>
      </c>
      <c r="R916" s="53" t="s">
        <v>13296</v>
      </c>
      <c r="U916" s="29" t="s">
        <v>491</v>
      </c>
    </row>
    <row r="917" spans="1:21" ht="75" x14ac:dyDescent="0.25">
      <c r="A917" s="56">
        <v>43425</v>
      </c>
      <c r="B917" s="53" t="s">
        <v>328</v>
      </c>
      <c r="C917" s="29" t="s">
        <v>603</v>
      </c>
      <c r="D917" s="29" t="s">
        <v>7595</v>
      </c>
      <c r="F917" s="29" t="s">
        <v>13255</v>
      </c>
      <c r="G917" s="29" t="s">
        <v>256</v>
      </c>
      <c r="H917" s="29" t="s">
        <v>607</v>
      </c>
      <c r="I917" s="29" t="s">
        <v>13256</v>
      </c>
      <c r="J917" s="29" t="s">
        <v>3367</v>
      </c>
      <c r="K917" s="216" t="s">
        <v>13257</v>
      </c>
      <c r="L917" s="182">
        <v>4</v>
      </c>
      <c r="M917" s="113">
        <v>173000</v>
      </c>
      <c r="N917" s="113">
        <v>370950</v>
      </c>
      <c r="O917" s="189" t="s">
        <v>4533</v>
      </c>
      <c r="P917" s="53" t="s">
        <v>13258</v>
      </c>
      <c r="Q917" s="53" t="s">
        <v>620</v>
      </c>
      <c r="R917" s="53" t="s">
        <v>13259</v>
      </c>
      <c r="U917" s="29" t="s">
        <v>491</v>
      </c>
    </row>
    <row r="918" spans="1:21" ht="30" x14ac:dyDescent="0.25">
      <c r="A918" s="56">
        <v>43425</v>
      </c>
      <c r="B918" s="53" t="s">
        <v>9240</v>
      </c>
      <c r="C918" s="29" t="s">
        <v>603</v>
      </c>
      <c r="D918" s="29" t="s">
        <v>7814</v>
      </c>
      <c r="F918" s="29" t="s">
        <v>13260</v>
      </c>
      <c r="G918" s="29" t="s">
        <v>13261</v>
      </c>
      <c r="H918" s="29" t="s">
        <v>607</v>
      </c>
      <c r="I918" s="29" t="s">
        <v>13262</v>
      </c>
      <c r="J918" s="29" t="s">
        <v>603</v>
      </c>
      <c r="K918" s="216" t="s">
        <v>13263</v>
      </c>
      <c r="L918" s="182">
        <v>9</v>
      </c>
      <c r="M918" s="113">
        <v>284000</v>
      </c>
      <c r="N918" s="113">
        <v>600000</v>
      </c>
      <c r="O918" s="189" t="s">
        <v>4533</v>
      </c>
      <c r="P918" s="53" t="s">
        <v>13264</v>
      </c>
      <c r="Q918" s="53" t="s">
        <v>29</v>
      </c>
      <c r="R918" s="53" t="s">
        <v>13265</v>
      </c>
      <c r="U918" s="29" t="s">
        <v>491</v>
      </c>
    </row>
    <row r="919" spans="1:21" ht="45" x14ac:dyDescent="0.25">
      <c r="A919" s="56">
        <v>43425</v>
      </c>
      <c r="B919" s="53" t="s">
        <v>9240</v>
      </c>
      <c r="C919" s="29" t="s">
        <v>603</v>
      </c>
      <c r="D919" s="29" t="s">
        <v>7814</v>
      </c>
      <c r="F919" s="29" t="s">
        <v>13266</v>
      </c>
      <c r="G919" s="29" t="s">
        <v>8193</v>
      </c>
      <c r="H919" s="29" t="s">
        <v>607</v>
      </c>
      <c r="I919" s="29" t="s">
        <v>13057</v>
      </c>
      <c r="J919" s="29" t="s">
        <v>4031</v>
      </c>
      <c r="K919" s="216" t="s">
        <v>13267</v>
      </c>
      <c r="L919" s="182">
        <v>2</v>
      </c>
      <c r="M919" s="113">
        <v>343000</v>
      </c>
      <c r="N919" s="113">
        <v>750000</v>
      </c>
      <c r="O919" s="189" t="s">
        <v>10766</v>
      </c>
      <c r="P919" s="53" t="s">
        <v>13268</v>
      </c>
      <c r="Q919" s="53" t="s">
        <v>1939</v>
      </c>
      <c r="R919" s="53" t="s">
        <v>13269</v>
      </c>
      <c r="U919" s="29" t="s">
        <v>491</v>
      </c>
    </row>
    <row r="920" spans="1:21" ht="75" x14ac:dyDescent="0.25">
      <c r="A920" s="56">
        <v>43425</v>
      </c>
      <c r="B920" s="53" t="s">
        <v>569</v>
      </c>
      <c r="C920" s="29" t="s">
        <v>899</v>
      </c>
      <c r="D920" s="29" t="s">
        <v>625</v>
      </c>
      <c r="F920" s="29" t="s">
        <v>13270</v>
      </c>
      <c r="G920" s="29" t="s">
        <v>11704</v>
      </c>
      <c r="H920" s="29" t="s">
        <v>607</v>
      </c>
      <c r="I920" s="29" t="s">
        <v>13271</v>
      </c>
      <c r="J920" s="29" t="s">
        <v>899</v>
      </c>
      <c r="K920" s="216" t="s">
        <v>13272</v>
      </c>
      <c r="L920" s="182" t="s">
        <v>833</v>
      </c>
      <c r="N920" s="113">
        <v>1991580</v>
      </c>
      <c r="O920" s="189" t="s">
        <v>10763</v>
      </c>
      <c r="P920" s="53" t="s">
        <v>13273</v>
      </c>
      <c r="Q920" s="53" t="s">
        <v>620</v>
      </c>
      <c r="R920" s="53" t="s">
        <v>13440</v>
      </c>
      <c r="U920" s="29" t="s">
        <v>491</v>
      </c>
    </row>
    <row r="921" spans="1:21" ht="75" x14ac:dyDescent="0.25">
      <c r="A921" s="56">
        <v>43425</v>
      </c>
      <c r="B921" s="53" t="s">
        <v>569</v>
      </c>
      <c r="C921" s="29" t="s">
        <v>899</v>
      </c>
      <c r="D921" s="29" t="s">
        <v>11286</v>
      </c>
      <c r="F921" s="29" t="s">
        <v>11757</v>
      </c>
      <c r="G921" s="29" t="s">
        <v>11981</v>
      </c>
      <c r="H921" s="29" t="s">
        <v>607</v>
      </c>
      <c r="I921" s="29" t="s">
        <v>13274</v>
      </c>
      <c r="J921" s="29" t="s">
        <v>899</v>
      </c>
      <c r="K921" s="216" t="s">
        <v>13275</v>
      </c>
      <c r="M921" s="113">
        <v>401000</v>
      </c>
      <c r="N921" s="113">
        <v>843100</v>
      </c>
      <c r="O921" s="189" t="s">
        <v>10766</v>
      </c>
      <c r="P921" s="53" t="s">
        <v>13276</v>
      </c>
      <c r="Q921" s="53" t="s">
        <v>29</v>
      </c>
      <c r="R921" s="53" t="s">
        <v>13277</v>
      </c>
      <c r="U921" s="29" t="s">
        <v>491</v>
      </c>
    </row>
    <row r="922" spans="1:21" ht="45" x14ac:dyDescent="0.25">
      <c r="A922" s="56">
        <v>43425</v>
      </c>
      <c r="B922" s="53" t="s">
        <v>569</v>
      </c>
      <c r="C922" s="29" t="s">
        <v>899</v>
      </c>
      <c r="D922" s="29" t="s">
        <v>625</v>
      </c>
      <c r="F922" s="29" t="s">
        <v>11364</v>
      </c>
      <c r="G922" s="29" t="s">
        <v>7813</v>
      </c>
      <c r="H922" s="29" t="s">
        <v>607</v>
      </c>
      <c r="I922" s="29" t="s">
        <v>4070</v>
      </c>
      <c r="J922" s="29" t="s">
        <v>899</v>
      </c>
      <c r="K922" s="216" t="s">
        <v>13278</v>
      </c>
      <c r="M922" s="113">
        <v>2000000</v>
      </c>
      <c r="N922" s="113">
        <v>3600000</v>
      </c>
      <c r="O922" s="189" t="s">
        <v>560</v>
      </c>
      <c r="P922" s="53" t="s">
        <v>13279</v>
      </c>
      <c r="Q922" s="53" t="s">
        <v>29</v>
      </c>
      <c r="R922" s="53" t="s">
        <v>13280</v>
      </c>
      <c r="U922" s="29" t="s">
        <v>491</v>
      </c>
    </row>
    <row r="923" spans="1:21" ht="45" x14ac:dyDescent="0.25">
      <c r="A923" s="56">
        <v>43430</v>
      </c>
      <c r="B923" s="53" t="s">
        <v>569</v>
      </c>
      <c r="C923" s="29" t="s">
        <v>899</v>
      </c>
      <c r="D923" s="29" t="s">
        <v>9981</v>
      </c>
      <c r="F923" s="29" t="s">
        <v>13282</v>
      </c>
      <c r="G923" s="29" t="s">
        <v>8044</v>
      </c>
      <c r="H923" s="29" t="s">
        <v>10832</v>
      </c>
      <c r="I923" s="29" t="s">
        <v>13283</v>
      </c>
      <c r="J923" s="29" t="s">
        <v>899</v>
      </c>
      <c r="K923" s="216" t="s">
        <v>13284</v>
      </c>
      <c r="L923" s="182">
        <v>4</v>
      </c>
      <c r="M923" s="113">
        <v>1040400</v>
      </c>
      <c r="N923" s="113">
        <v>2000400</v>
      </c>
      <c r="O923" s="189" t="s">
        <v>10766</v>
      </c>
      <c r="P923" s="53" t="s">
        <v>13441</v>
      </c>
      <c r="Q923" s="53" t="s">
        <v>1939</v>
      </c>
      <c r="R923" s="53" t="s">
        <v>13285</v>
      </c>
      <c r="U923" s="29" t="s">
        <v>491</v>
      </c>
    </row>
    <row r="924" spans="1:21" ht="33.75" customHeight="1" x14ac:dyDescent="0.25">
      <c r="A924" s="56">
        <v>43430</v>
      </c>
      <c r="B924" s="53" t="s">
        <v>569</v>
      </c>
      <c r="C924" s="29" t="s">
        <v>899</v>
      </c>
      <c r="D924" s="29" t="s">
        <v>625</v>
      </c>
      <c r="F924" s="29" t="s">
        <v>13286</v>
      </c>
      <c r="G924" s="29" t="s">
        <v>13287</v>
      </c>
      <c r="H924" s="29" t="s">
        <v>607</v>
      </c>
      <c r="I924" s="29" t="s">
        <v>10574</v>
      </c>
      <c r="J924" s="29" t="s">
        <v>899</v>
      </c>
      <c r="K924" s="216" t="s">
        <v>13288</v>
      </c>
      <c r="L924" s="182">
        <v>5</v>
      </c>
      <c r="M924" s="113">
        <v>2600000</v>
      </c>
      <c r="N924" s="113">
        <v>4680000</v>
      </c>
      <c r="O924" s="189" t="s">
        <v>560</v>
      </c>
      <c r="P924" s="53" t="s">
        <v>13289</v>
      </c>
      <c r="Q924" s="53" t="s">
        <v>29</v>
      </c>
      <c r="R924" s="53" t="s">
        <v>13290</v>
      </c>
      <c r="U924" s="29" t="s">
        <v>491</v>
      </c>
    </row>
    <row r="925" spans="1:21" ht="75" x14ac:dyDescent="0.25">
      <c r="A925" s="56">
        <v>43430</v>
      </c>
      <c r="B925" s="53" t="s">
        <v>5956</v>
      </c>
      <c r="C925" s="29" t="s">
        <v>3369</v>
      </c>
      <c r="D925" s="29" t="s">
        <v>8126</v>
      </c>
      <c r="F925" s="29" t="s">
        <v>13292</v>
      </c>
      <c r="G925" s="29" t="s">
        <v>13293</v>
      </c>
      <c r="H925" s="29" t="s">
        <v>607</v>
      </c>
      <c r="I925" s="29" t="s">
        <v>12926</v>
      </c>
      <c r="J925" s="29" t="s">
        <v>4825</v>
      </c>
      <c r="K925" s="216" t="s">
        <v>13294</v>
      </c>
      <c r="L925" s="182">
        <v>9</v>
      </c>
      <c r="M925" s="113">
        <v>604000</v>
      </c>
      <c r="N925" s="113">
        <v>1300000</v>
      </c>
      <c r="O925" s="189" t="s">
        <v>10766</v>
      </c>
      <c r="P925" s="53" t="s">
        <v>13295</v>
      </c>
      <c r="Q925" s="53" t="s">
        <v>1612</v>
      </c>
      <c r="R925" s="53" t="s">
        <v>13307</v>
      </c>
      <c r="U925" s="29" t="s">
        <v>491</v>
      </c>
    </row>
    <row r="926" spans="1:21" ht="45" x14ac:dyDescent="0.25">
      <c r="A926" s="56">
        <v>43431</v>
      </c>
      <c r="B926" s="53" t="s">
        <v>569</v>
      </c>
      <c r="C926" s="29" t="s">
        <v>899</v>
      </c>
      <c r="D926" s="29" t="s">
        <v>624</v>
      </c>
      <c r="F926" s="29" t="s">
        <v>12144</v>
      </c>
      <c r="G926" s="29" t="s">
        <v>13298</v>
      </c>
      <c r="H926" s="29" t="s">
        <v>607</v>
      </c>
      <c r="I926" s="29" t="s">
        <v>3947</v>
      </c>
      <c r="J926" s="29" t="s">
        <v>899</v>
      </c>
      <c r="K926" s="216" t="s">
        <v>13299</v>
      </c>
      <c r="L926" s="182">
        <v>2</v>
      </c>
      <c r="M926" s="113">
        <v>775000</v>
      </c>
      <c r="N926" s="113">
        <v>1500000</v>
      </c>
      <c r="O926" s="189" t="s">
        <v>4533</v>
      </c>
      <c r="P926" s="53" t="s">
        <v>13300</v>
      </c>
      <c r="Q926" s="53" t="s">
        <v>1939</v>
      </c>
      <c r="R926" s="53" t="s">
        <v>13301</v>
      </c>
      <c r="U926" s="29" t="s">
        <v>491</v>
      </c>
    </row>
    <row r="927" spans="1:21" ht="45" x14ac:dyDescent="0.25">
      <c r="A927" s="56">
        <v>43431</v>
      </c>
      <c r="B927" s="53" t="s">
        <v>569</v>
      </c>
      <c r="C927" s="29" t="s">
        <v>899</v>
      </c>
      <c r="D927" s="29" t="s">
        <v>624</v>
      </c>
      <c r="F927" s="29" t="s">
        <v>10107</v>
      </c>
      <c r="G927" s="29" t="s">
        <v>13302</v>
      </c>
      <c r="H927" s="29" t="s">
        <v>607</v>
      </c>
      <c r="I927" s="29" t="s">
        <v>13303</v>
      </c>
      <c r="J927" s="29" t="s">
        <v>899</v>
      </c>
      <c r="K927" s="216" t="s">
        <v>13304</v>
      </c>
      <c r="L927" s="182">
        <v>2</v>
      </c>
      <c r="M927" s="113">
        <v>450000</v>
      </c>
      <c r="N927" s="113">
        <v>760000</v>
      </c>
      <c r="O927" s="189" t="s">
        <v>10766</v>
      </c>
      <c r="P927" s="53" t="s">
        <v>13305</v>
      </c>
      <c r="Q927" s="53" t="s">
        <v>1939</v>
      </c>
      <c r="R927" s="53" t="s">
        <v>13306</v>
      </c>
      <c r="U927" s="29" t="s">
        <v>491</v>
      </c>
    </row>
    <row r="928" spans="1:21" ht="45" x14ac:dyDescent="0.25">
      <c r="A928" s="56">
        <v>43431</v>
      </c>
      <c r="B928" s="53" t="s">
        <v>643</v>
      </c>
      <c r="C928" s="29" t="s">
        <v>644</v>
      </c>
      <c r="D928" s="29" t="s">
        <v>645</v>
      </c>
      <c r="F928" s="29" t="s">
        <v>10940</v>
      </c>
      <c r="G928" s="29" t="s">
        <v>1789</v>
      </c>
      <c r="H928" s="29" t="s">
        <v>607</v>
      </c>
      <c r="I928" s="29" t="s">
        <v>3563</v>
      </c>
      <c r="J928" s="29" t="s">
        <v>899</v>
      </c>
      <c r="K928" s="216" t="s">
        <v>13308</v>
      </c>
      <c r="L928" s="182">
        <v>10</v>
      </c>
      <c r="M928" s="113">
        <v>310000</v>
      </c>
      <c r="N928" s="113">
        <v>465000</v>
      </c>
      <c r="O928" s="189" t="s">
        <v>10764</v>
      </c>
      <c r="P928" s="53" t="s">
        <v>13309</v>
      </c>
      <c r="Q928" s="53" t="s">
        <v>1939</v>
      </c>
      <c r="R928" s="53" t="s">
        <v>13310</v>
      </c>
      <c r="U928" s="29" t="s">
        <v>491</v>
      </c>
    </row>
    <row r="929" spans="1:23" ht="165" x14ac:dyDescent="0.25">
      <c r="A929" s="56">
        <v>43432</v>
      </c>
      <c r="B929" s="53" t="s">
        <v>328</v>
      </c>
      <c r="C929" s="29" t="s">
        <v>603</v>
      </c>
      <c r="D929" s="29" t="s">
        <v>649</v>
      </c>
      <c r="F929" s="29" t="s">
        <v>13311</v>
      </c>
      <c r="G929" s="29" t="s">
        <v>13312</v>
      </c>
      <c r="H929" s="29" t="s">
        <v>607</v>
      </c>
      <c r="I929" s="29" t="s">
        <v>7025</v>
      </c>
      <c r="J929" s="29" t="s">
        <v>3373</v>
      </c>
      <c r="K929" s="216" t="s">
        <v>13313</v>
      </c>
      <c r="L929" s="182">
        <v>2</v>
      </c>
      <c r="M929" s="113">
        <v>139400</v>
      </c>
      <c r="N929" s="113">
        <v>300000</v>
      </c>
      <c r="O929" s="189" t="s">
        <v>4533</v>
      </c>
      <c r="P929" s="53" t="s">
        <v>13314</v>
      </c>
      <c r="Q929" s="53" t="s">
        <v>1612</v>
      </c>
      <c r="R929" s="53" t="s">
        <v>13334</v>
      </c>
      <c r="U929" s="29" t="s">
        <v>491</v>
      </c>
    </row>
    <row r="930" spans="1:23" ht="60" x14ac:dyDescent="0.25">
      <c r="A930" s="56">
        <v>43432</v>
      </c>
      <c r="B930" s="53" t="s">
        <v>9240</v>
      </c>
      <c r="C930" s="29" t="s">
        <v>603</v>
      </c>
      <c r="D930" s="29" t="s">
        <v>9241</v>
      </c>
      <c r="F930" s="29" t="s">
        <v>13315</v>
      </c>
      <c r="G930" s="29" t="s">
        <v>13316</v>
      </c>
      <c r="H930" s="29" t="s">
        <v>607</v>
      </c>
      <c r="I930" s="29" t="s">
        <v>13317</v>
      </c>
      <c r="J930" s="29" t="s">
        <v>3373</v>
      </c>
      <c r="K930" s="216" t="s">
        <v>13318</v>
      </c>
      <c r="L930" s="182">
        <v>4</v>
      </c>
      <c r="M930" s="113">
        <v>350000</v>
      </c>
      <c r="N930" s="113">
        <v>775000</v>
      </c>
      <c r="O930" s="189" t="s">
        <v>10766</v>
      </c>
      <c r="P930" s="53" t="s">
        <v>13319</v>
      </c>
      <c r="Q930" s="53" t="s">
        <v>592</v>
      </c>
      <c r="R930" s="53" t="s">
        <v>13320</v>
      </c>
      <c r="U930" s="29" t="s">
        <v>491</v>
      </c>
    </row>
    <row r="931" spans="1:23" ht="60" x14ac:dyDescent="0.25">
      <c r="A931" s="56">
        <v>43432</v>
      </c>
      <c r="B931" s="53" t="s">
        <v>643</v>
      </c>
      <c r="C931" s="29" t="s">
        <v>644</v>
      </c>
      <c r="D931" s="29" t="s">
        <v>645</v>
      </c>
      <c r="F931" s="29" t="s">
        <v>10386</v>
      </c>
      <c r="G931" s="29" t="s">
        <v>13321</v>
      </c>
      <c r="H931" s="29" t="s">
        <v>607</v>
      </c>
      <c r="I931" s="29" t="s">
        <v>13322</v>
      </c>
      <c r="J931" s="29" t="s">
        <v>644</v>
      </c>
      <c r="K931" s="216" t="s">
        <v>13323</v>
      </c>
      <c r="L931" s="182">
        <v>10</v>
      </c>
      <c r="M931" s="113">
        <v>800000</v>
      </c>
      <c r="N931" s="113">
        <v>1590000</v>
      </c>
      <c r="O931" s="189" t="s">
        <v>7124</v>
      </c>
      <c r="P931" s="53" t="s">
        <v>13324</v>
      </c>
      <c r="Q931" s="53" t="s">
        <v>29</v>
      </c>
      <c r="R931" s="53" t="s">
        <v>13325</v>
      </c>
      <c r="U931" s="29" t="s">
        <v>491</v>
      </c>
    </row>
    <row r="932" spans="1:23" ht="30" x14ac:dyDescent="0.25">
      <c r="A932" s="56">
        <v>43432</v>
      </c>
      <c r="B932" s="53" t="s">
        <v>5360</v>
      </c>
      <c r="C932" s="29" t="s">
        <v>899</v>
      </c>
      <c r="D932" s="29" t="s">
        <v>732</v>
      </c>
      <c r="F932" s="29" t="s">
        <v>13326</v>
      </c>
      <c r="G932" s="29" t="s">
        <v>13327</v>
      </c>
      <c r="H932" s="29" t="s">
        <v>607</v>
      </c>
      <c r="I932" s="29" t="s">
        <v>4078</v>
      </c>
      <c r="J932" s="29" t="s">
        <v>899</v>
      </c>
      <c r="K932" s="216" t="s">
        <v>13328</v>
      </c>
      <c r="L932" s="182">
        <v>1</v>
      </c>
      <c r="M932" s="113">
        <v>1950000</v>
      </c>
      <c r="N932" s="113">
        <v>3510000</v>
      </c>
      <c r="O932" s="189" t="s">
        <v>560</v>
      </c>
      <c r="P932" s="53" t="s">
        <v>13329</v>
      </c>
      <c r="Q932" s="53" t="s">
        <v>29</v>
      </c>
      <c r="R932" s="53" t="s">
        <v>13330</v>
      </c>
      <c r="U932" s="29" t="s">
        <v>491</v>
      </c>
    </row>
    <row r="933" spans="1:23" ht="60" x14ac:dyDescent="0.25">
      <c r="A933" s="56">
        <v>43432</v>
      </c>
      <c r="B933" s="53" t="s">
        <v>569</v>
      </c>
      <c r="C933" s="29" t="s">
        <v>899</v>
      </c>
      <c r="D933" s="29" t="s">
        <v>624</v>
      </c>
      <c r="F933" s="29" t="s">
        <v>13331</v>
      </c>
      <c r="G933" s="29" t="s">
        <v>13332</v>
      </c>
      <c r="H933" s="29" t="s">
        <v>607</v>
      </c>
      <c r="I933" s="29" t="s">
        <v>8445</v>
      </c>
      <c r="J933" s="29" t="s">
        <v>899</v>
      </c>
      <c r="K933" s="216" t="s">
        <v>13080</v>
      </c>
      <c r="M933" s="113">
        <v>1216000</v>
      </c>
      <c r="N933" s="113">
        <v>2100000</v>
      </c>
      <c r="O933" s="189" t="s">
        <v>10766</v>
      </c>
      <c r="P933" s="53" t="s">
        <v>13333</v>
      </c>
      <c r="Q933" s="53" t="s">
        <v>29</v>
      </c>
      <c r="R933" s="53" t="s">
        <v>13339</v>
      </c>
      <c r="U933" s="29" t="s">
        <v>491</v>
      </c>
    </row>
    <row r="934" spans="1:23" ht="60" x14ac:dyDescent="0.25">
      <c r="A934" s="56">
        <v>43433</v>
      </c>
      <c r="B934" s="53" t="s">
        <v>569</v>
      </c>
      <c r="C934" s="29" t="s">
        <v>899</v>
      </c>
      <c r="D934" s="29" t="s">
        <v>1070</v>
      </c>
      <c r="F934" s="29" t="s">
        <v>13335</v>
      </c>
      <c r="G934" s="29" t="s">
        <v>13336</v>
      </c>
      <c r="H934" s="29" t="s">
        <v>607</v>
      </c>
      <c r="I934" s="29" t="s">
        <v>6012</v>
      </c>
      <c r="J934" s="29" t="s">
        <v>899</v>
      </c>
      <c r="K934" s="216" t="s">
        <v>13337</v>
      </c>
      <c r="L934" s="182">
        <v>3</v>
      </c>
      <c r="M934" s="113">
        <v>576300</v>
      </c>
      <c r="N934" s="113">
        <v>1020000</v>
      </c>
      <c r="O934" s="189" t="s">
        <v>10766</v>
      </c>
      <c r="P934" s="53" t="s">
        <v>13338</v>
      </c>
      <c r="Q934" s="53" t="s">
        <v>1939</v>
      </c>
      <c r="R934" s="53" t="s">
        <v>13340</v>
      </c>
      <c r="U934" s="29" t="s">
        <v>491</v>
      </c>
    </row>
    <row r="935" spans="1:23" ht="60" x14ac:dyDescent="0.25">
      <c r="A935" s="56">
        <v>43433</v>
      </c>
      <c r="B935" s="53" t="s">
        <v>328</v>
      </c>
      <c r="C935" s="29" t="s">
        <v>603</v>
      </c>
      <c r="D935" s="29" t="s">
        <v>5701</v>
      </c>
      <c r="F935" s="29" t="s">
        <v>9243</v>
      </c>
      <c r="G935" s="29" t="s">
        <v>13341</v>
      </c>
      <c r="H935" s="29" t="s">
        <v>607</v>
      </c>
      <c r="I935" s="29" t="s">
        <v>11126</v>
      </c>
      <c r="J935" s="29" t="s">
        <v>3533</v>
      </c>
      <c r="K935" s="216" t="s">
        <v>13342</v>
      </c>
      <c r="L935" s="182">
        <v>10</v>
      </c>
      <c r="M935" s="113">
        <v>750000</v>
      </c>
      <c r="N935" s="113">
        <v>1060000</v>
      </c>
      <c r="O935" s="189" t="s">
        <v>10763</v>
      </c>
      <c r="P935" s="53" t="s">
        <v>13343</v>
      </c>
      <c r="Q935" s="53" t="s">
        <v>29</v>
      </c>
      <c r="R935" s="53" t="s">
        <v>13344</v>
      </c>
      <c r="S935" s="53" t="s">
        <v>13345</v>
      </c>
      <c r="U935" s="29" t="s">
        <v>491</v>
      </c>
    </row>
    <row r="936" spans="1:23" ht="45" x14ac:dyDescent="0.25">
      <c r="A936" s="56">
        <v>43433</v>
      </c>
      <c r="B936" s="53" t="s">
        <v>569</v>
      </c>
      <c r="C936" s="29" t="s">
        <v>899</v>
      </c>
      <c r="D936" s="29" t="s">
        <v>11286</v>
      </c>
      <c r="F936" s="29" t="s">
        <v>13346</v>
      </c>
      <c r="G936" s="29" t="s">
        <v>587</v>
      </c>
      <c r="H936" s="29" t="s">
        <v>607</v>
      </c>
      <c r="I936" s="29" t="s">
        <v>13347</v>
      </c>
      <c r="J936" s="29" t="s">
        <v>899</v>
      </c>
      <c r="K936" s="216" t="s">
        <v>13348</v>
      </c>
      <c r="L936" s="182">
        <v>2</v>
      </c>
      <c r="M936" s="113">
        <v>998884</v>
      </c>
      <c r="N936" s="113">
        <v>1454284</v>
      </c>
      <c r="O936" s="189" t="s">
        <v>7124</v>
      </c>
      <c r="P936" s="53" t="s">
        <v>13349</v>
      </c>
      <c r="Q936" s="53" t="s">
        <v>1939</v>
      </c>
      <c r="R936" s="53" t="s">
        <v>13350</v>
      </c>
      <c r="U936" s="29" t="s">
        <v>491</v>
      </c>
    </row>
    <row r="937" spans="1:23" ht="75" x14ac:dyDescent="0.25">
      <c r="A937" s="56">
        <v>43433</v>
      </c>
      <c r="B937" s="53" t="s">
        <v>328</v>
      </c>
      <c r="C937" s="29" t="s">
        <v>603</v>
      </c>
      <c r="D937" s="29" t="s">
        <v>7595</v>
      </c>
      <c r="F937" s="29" t="s">
        <v>13237</v>
      </c>
      <c r="G937" s="29" t="s">
        <v>13238</v>
      </c>
      <c r="H937" s="29" t="s">
        <v>10832</v>
      </c>
      <c r="I937" s="29" t="s">
        <v>13239</v>
      </c>
      <c r="J937" s="29" t="s">
        <v>3501</v>
      </c>
      <c r="K937" s="216" t="s">
        <v>13240</v>
      </c>
      <c r="L937" s="182">
        <v>10</v>
      </c>
      <c r="M937" s="113">
        <v>1731425</v>
      </c>
      <c r="N937" s="113">
        <v>3300852</v>
      </c>
      <c r="O937" s="189" t="s">
        <v>7564</v>
      </c>
      <c r="P937" s="53" t="s">
        <v>13351</v>
      </c>
      <c r="Q937" s="53" t="s">
        <v>1939</v>
      </c>
      <c r="R937" s="53" t="s">
        <v>13352</v>
      </c>
      <c r="U937" s="29" t="s">
        <v>491</v>
      </c>
    </row>
    <row r="938" spans="1:23" ht="60" x14ac:dyDescent="0.25">
      <c r="A938" s="56">
        <v>43433</v>
      </c>
      <c r="B938" s="53" t="s">
        <v>5360</v>
      </c>
      <c r="C938" s="29" t="s">
        <v>899</v>
      </c>
      <c r="D938" s="29" t="s">
        <v>1027</v>
      </c>
      <c r="F938" s="29" t="s">
        <v>11667</v>
      </c>
      <c r="G938" s="29" t="s">
        <v>7714</v>
      </c>
      <c r="H938" s="29" t="s">
        <v>10832</v>
      </c>
      <c r="I938" s="29" t="s">
        <v>7558</v>
      </c>
      <c r="J938" s="29" t="s">
        <v>899</v>
      </c>
      <c r="K938" s="216" t="s">
        <v>13353</v>
      </c>
      <c r="L938" s="182">
        <v>3</v>
      </c>
      <c r="M938" s="113">
        <v>423300</v>
      </c>
      <c r="N938" s="113">
        <v>483600</v>
      </c>
      <c r="O938" s="189" t="s">
        <v>10766</v>
      </c>
      <c r="P938" s="53" t="s">
        <v>13354</v>
      </c>
      <c r="Q938" s="53" t="s">
        <v>1939</v>
      </c>
      <c r="R938" s="53" t="s">
        <v>13355</v>
      </c>
      <c r="U938" s="29" t="s">
        <v>491</v>
      </c>
    </row>
    <row r="939" spans="1:23" ht="45" x14ac:dyDescent="0.25">
      <c r="A939" s="56">
        <v>43433</v>
      </c>
      <c r="B939" s="53" t="s">
        <v>9240</v>
      </c>
      <c r="C939" s="29" t="s">
        <v>603</v>
      </c>
      <c r="D939" s="29" t="s">
        <v>7814</v>
      </c>
      <c r="F939" s="29" t="s">
        <v>7792</v>
      </c>
      <c r="G939" s="29" t="s">
        <v>13356</v>
      </c>
      <c r="H939" s="29" t="s">
        <v>607</v>
      </c>
      <c r="I939" s="29" t="s">
        <v>1363</v>
      </c>
      <c r="J939" s="29" t="s">
        <v>608</v>
      </c>
      <c r="K939" s="216" t="s">
        <v>13357</v>
      </c>
      <c r="L939" s="182">
        <v>1</v>
      </c>
      <c r="M939" s="113">
        <v>280000</v>
      </c>
      <c r="N939" s="113">
        <v>480000</v>
      </c>
      <c r="O939" s="189" t="s">
        <v>10766</v>
      </c>
      <c r="P939" s="53" t="s">
        <v>13358</v>
      </c>
      <c r="Q939" s="53" t="s">
        <v>1939</v>
      </c>
      <c r="R939" s="53" t="s">
        <v>13359</v>
      </c>
      <c r="U939" s="29" t="s">
        <v>491</v>
      </c>
    </row>
    <row r="940" spans="1:23" ht="60" x14ac:dyDescent="0.25">
      <c r="A940" s="56">
        <v>43434</v>
      </c>
      <c r="B940" s="53" t="s">
        <v>328</v>
      </c>
      <c r="C940" s="29" t="s">
        <v>603</v>
      </c>
      <c r="D940" s="29" t="s">
        <v>5701</v>
      </c>
      <c r="F940" s="29" t="s">
        <v>12440</v>
      </c>
      <c r="G940" s="29" t="s">
        <v>13360</v>
      </c>
      <c r="H940" s="29" t="s">
        <v>1050</v>
      </c>
      <c r="I940" s="29" t="s">
        <v>9550</v>
      </c>
      <c r="J940" s="29" t="s">
        <v>3733</v>
      </c>
      <c r="K940" s="216" t="s">
        <v>13361</v>
      </c>
      <c r="L940" s="182">
        <v>1</v>
      </c>
      <c r="M940" s="113">
        <v>190000</v>
      </c>
      <c r="N940" s="113">
        <v>190000</v>
      </c>
      <c r="O940" s="189" t="s">
        <v>10765</v>
      </c>
      <c r="P940" s="53" t="s">
        <v>13363</v>
      </c>
      <c r="Q940" s="53" t="s">
        <v>1939</v>
      </c>
      <c r="R940" s="53" t="s">
        <v>13362</v>
      </c>
      <c r="U940" s="29" t="s">
        <v>491</v>
      </c>
    </row>
    <row r="941" spans="1:23" ht="30" x14ac:dyDescent="0.25">
      <c r="A941" s="56">
        <v>43434</v>
      </c>
      <c r="B941" s="53" t="s">
        <v>12367</v>
      </c>
      <c r="C941" s="29" t="s">
        <v>5610</v>
      </c>
      <c r="D941" s="29" t="s">
        <v>11967</v>
      </c>
      <c r="F941" s="29" t="s">
        <v>13364</v>
      </c>
      <c r="G941" s="29" t="s">
        <v>13365</v>
      </c>
      <c r="H941" s="29" t="s">
        <v>2510</v>
      </c>
      <c r="I941" s="29" t="s">
        <v>13366</v>
      </c>
      <c r="J941" s="29" t="s">
        <v>3523</v>
      </c>
      <c r="K941" s="216" t="s">
        <v>13367</v>
      </c>
      <c r="L941" s="182">
        <v>2</v>
      </c>
      <c r="M941" s="113">
        <v>25000</v>
      </c>
      <c r="N941" s="113">
        <v>30000</v>
      </c>
      <c r="O941" s="189" t="s">
        <v>10765</v>
      </c>
      <c r="P941" s="53" t="s">
        <v>13372</v>
      </c>
      <c r="Q941" s="53" t="s">
        <v>1939</v>
      </c>
      <c r="R941" s="53" t="s">
        <v>13368</v>
      </c>
      <c r="U941" s="29" t="s">
        <v>491</v>
      </c>
    </row>
    <row r="942" spans="1:23" ht="30" x14ac:dyDescent="0.25">
      <c r="A942" s="56">
        <v>43434</v>
      </c>
      <c r="B942" s="53" t="s">
        <v>12367</v>
      </c>
      <c r="C942" s="29" t="s">
        <v>5610</v>
      </c>
      <c r="D942" s="29" t="s">
        <v>11338</v>
      </c>
      <c r="F942" s="29" t="s">
        <v>12042</v>
      </c>
      <c r="G942" s="29" t="s">
        <v>13369</v>
      </c>
      <c r="H942" s="29" t="s">
        <v>2510</v>
      </c>
      <c r="I942" s="29" t="s">
        <v>13370</v>
      </c>
      <c r="J942" s="29" t="s">
        <v>3523</v>
      </c>
      <c r="K942" s="216" t="s">
        <v>13371</v>
      </c>
      <c r="L942" s="182">
        <v>4</v>
      </c>
      <c r="M942" s="113">
        <v>100000</v>
      </c>
      <c r="N942" s="113">
        <v>130000</v>
      </c>
      <c r="O942" s="189" t="s">
        <v>10765</v>
      </c>
      <c r="P942" s="53" t="s">
        <v>13373</v>
      </c>
      <c r="Q942" s="53" t="s">
        <v>1939</v>
      </c>
      <c r="R942" s="53" t="s">
        <v>13374</v>
      </c>
      <c r="U942" s="29" t="s">
        <v>491</v>
      </c>
    </row>
    <row r="943" spans="1:23" ht="135" x14ac:dyDescent="0.25">
      <c r="A943" s="56">
        <v>43434</v>
      </c>
      <c r="B943" s="53" t="s">
        <v>328</v>
      </c>
      <c r="C943" s="29" t="s">
        <v>603</v>
      </c>
      <c r="D943" s="29" t="s">
        <v>649</v>
      </c>
      <c r="F943" s="29" t="s">
        <v>13375</v>
      </c>
      <c r="H943" s="29" t="s">
        <v>607</v>
      </c>
      <c r="I943" s="29" t="s">
        <v>13376</v>
      </c>
      <c r="J943" s="29" t="s">
        <v>3523</v>
      </c>
      <c r="K943" s="216" t="s">
        <v>13377</v>
      </c>
      <c r="M943" s="113">
        <v>426000</v>
      </c>
      <c r="N943" s="113">
        <v>426000</v>
      </c>
      <c r="O943" s="189" t="s">
        <v>10762</v>
      </c>
      <c r="P943" s="53" t="s">
        <v>13378</v>
      </c>
      <c r="Q943" s="53" t="s">
        <v>1939</v>
      </c>
      <c r="R943" s="53" t="s">
        <v>13379</v>
      </c>
      <c r="U943" s="29" t="s">
        <v>491</v>
      </c>
    </row>
    <row r="944" spans="1:23" s="146" customFormat="1" ht="45" x14ac:dyDescent="0.25">
      <c r="A944" s="144">
        <v>43434</v>
      </c>
      <c r="B944" s="149" t="s">
        <v>569</v>
      </c>
      <c r="C944" s="146" t="s">
        <v>899</v>
      </c>
      <c r="D944" s="146" t="s">
        <v>624</v>
      </c>
      <c r="F944" s="146" t="s">
        <v>13380</v>
      </c>
      <c r="G944" s="146" t="s">
        <v>12327</v>
      </c>
      <c r="H944" s="146" t="s">
        <v>607</v>
      </c>
      <c r="I944" s="146" t="s">
        <v>4078</v>
      </c>
      <c r="J944" s="146" t="s">
        <v>899</v>
      </c>
      <c r="K944" s="217" t="s">
        <v>13328</v>
      </c>
      <c r="L944" s="183">
        <v>5</v>
      </c>
      <c r="M944" s="187">
        <v>1710500</v>
      </c>
      <c r="N944" s="187">
        <v>2900000</v>
      </c>
      <c r="O944" s="191" t="s">
        <v>6745</v>
      </c>
      <c r="P944" s="149" t="s">
        <v>13381</v>
      </c>
      <c r="Q944" s="149" t="s">
        <v>29</v>
      </c>
      <c r="R944" s="149" t="s">
        <v>13382</v>
      </c>
      <c r="S944" s="149"/>
      <c r="U944" s="146" t="s">
        <v>491</v>
      </c>
      <c r="W944" s="149"/>
    </row>
    <row r="945" spans="1:21" ht="30" x14ac:dyDescent="0.25">
      <c r="A945" s="56">
        <v>43437</v>
      </c>
      <c r="B945" s="53" t="s">
        <v>328</v>
      </c>
      <c r="C945" s="29" t="s">
        <v>603</v>
      </c>
      <c r="D945" s="29" t="s">
        <v>7595</v>
      </c>
      <c r="F945" s="29" t="s">
        <v>11158</v>
      </c>
      <c r="G945" s="29" t="s">
        <v>11091</v>
      </c>
      <c r="H945" s="29" t="s">
        <v>607</v>
      </c>
      <c r="I945" s="29" t="s">
        <v>3837</v>
      </c>
      <c r="J945" s="29" t="s">
        <v>899</v>
      </c>
      <c r="K945" s="216" t="s">
        <v>13383</v>
      </c>
      <c r="L945" s="182">
        <v>2</v>
      </c>
      <c r="M945" s="113">
        <v>1250000</v>
      </c>
      <c r="N945" s="113">
        <v>2725000</v>
      </c>
      <c r="O945" s="189" t="s">
        <v>7564</v>
      </c>
      <c r="P945" s="53" t="s">
        <v>13384</v>
      </c>
      <c r="Q945" s="53" t="s">
        <v>1939</v>
      </c>
      <c r="R945" s="53" t="s">
        <v>13385</v>
      </c>
      <c r="U945" s="29" t="s">
        <v>491</v>
      </c>
    </row>
    <row r="946" spans="1:21" ht="30" x14ac:dyDescent="0.25">
      <c r="A946" s="56">
        <v>43437</v>
      </c>
      <c r="B946" s="53" t="s">
        <v>569</v>
      </c>
      <c r="C946" s="29" t="s">
        <v>899</v>
      </c>
      <c r="D946" s="29" t="s">
        <v>10705</v>
      </c>
      <c r="F946" s="29" t="s">
        <v>13442</v>
      </c>
      <c r="G946" s="29" t="s">
        <v>13443</v>
      </c>
      <c r="H946" s="29" t="s">
        <v>607</v>
      </c>
      <c r="I946" s="29" t="s">
        <v>13444</v>
      </c>
      <c r="J946" s="29" t="s">
        <v>899</v>
      </c>
      <c r="K946" s="216" t="s">
        <v>13445</v>
      </c>
      <c r="L946" s="182">
        <v>5</v>
      </c>
      <c r="M946" s="113">
        <v>275000</v>
      </c>
      <c r="N946" s="113">
        <v>500000</v>
      </c>
      <c r="O946" s="189" t="s">
        <v>10766</v>
      </c>
      <c r="P946" s="53" t="s">
        <v>13446</v>
      </c>
      <c r="Q946" s="53" t="s">
        <v>1939</v>
      </c>
      <c r="R946" s="53" t="s">
        <v>13447</v>
      </c>
      <c r="U946" s="29" t="s">
        <v>491</v>
      </c>
    </row>
    <row r="947" spans="1:21" ht="75" x14ac:dyDescent="0.25">
      <c r="A947" s="56">
        <v>43437</v>
      </c>
      <c r="B947" s="53" t="s">
        <v>5360</v>
      </c>
      <c r="C947" s="29" t="s">
        <v>899</v>
      </c>
      <c r="D947" s="29" t="s">
        <v>611</v>
      </c>
      <c r="F947" s="29" t="s">
        <v>13448</v>
      </c>
      <c r="G947" s="29" t="s">
        <v>13449</v>
      </c>
      <c r="H947" s="29" t="s">
        <v>607</v>
      </c>
      <c r="I947" s="29" t="s">
        <v>4078</v>
      </c>
      <c r="J947" s="29" t="s">
        <v>899</v>
      </c>
      <c r="K947" s="216" t="s">
        <v>13328</v>
      </c>
      <c r="L947" s="182">
        <v>1</v>
      </c>
      <c r="M947" s="113">
        <v>2264951</v>
      </c>
      <c r="N947" s="113">
        <v>4419951</v>
      </c>
      <c r="O947" s="189" t="s">
        <v>560</v>
      </c>
      <c r="P947" s="53" t="s">
        <v>13450</v>
      </c>
      <c r="Q947" s="53" t="s">
        <v>29</v>
      </c>
      <c r="R947" s="53" t="s">
        <v>13451</v>
      </c>
      <c r="U947" s="29" t="s">
        <v>491</v>
      </c>
    </row>
    <row r="948" spans="1:21" ht="45" x14ac:dyDescent="0.25">
      <c r="A948" s="56">
        <v>43437</v>
      </c>
      <c r="B948" s="53" t="s">
        <v>569</v>
      </c>
      <c r="C948" s="29" t="s">
        <v>899</v>
      </c>
      <c r="D948" s="29" t="s">
        <v>625</v>
      </c>
      <c r="F948" s="29" t="s">
        <v>13452</v>
      </c>
      <c r="G948" s="29" t="s">
        <v>13453</v>
      </c>
      <c r="H948" s="29" t="s">
        <v>607</v>
      </c>
      <c r="I948" s="29" t="s">
        <v>9022</v>
      </c>
      <c r="J948" s="29" t="s">
        <v>899</v>
      </c>
      <c r="K948" s="216" t="s">
        <v>13454</v>
      </c>
      <c r="M948" s="113">
        <v>700000</v>
      </c>
      <c r="N948" s="113">
        <v>1290000</v>
      </c>
      <c r="O948" s="189" t="s">
        <v>10766</v>
      </c>
      <c r="P948" s="53" t="s">
        <v>13455</v>
      </c>
      <c r="Q948" s="53" t="s">
        <v>1939</v>
      </c>
      <c r="R948" s="53" t="s">
        <v>13456</v>
      </c>
      <c r="U948" s="29" t="s">
        <v>491</v>
      </c>
    </row>
    <row r="949" spans="1:21" ht="45" x14ac:dyDescent="0.25">
      <c r="A949" s="56">
        <v>43437</v>
      </c>
      <c r="B949" s="53" t="s">
        <v>569</v>
      </c>
      <c r="C949" s="29" t="s">
        <v>899</v>
      </c>
      <c r="D949" s="29" t="s">
        <v>625</v>
      </c>
      <c r="F949" s="29" t="s">
        <v>13457</v>
      </c>
      <c r="G949" s="29" t="s">
        <v>13458</v>
      </c>
      <c r="H949" s="29" t="s">
        <v>607</v>
      </c>
      <c r="I949" s="29" t="s">
        <v>13459</v>
      </c>
      <c r="J949" s="29" t="s">
        <v>899</v>
      </c>
      <c r="K949" s="216" t="s">
        <v>13460</v>
      </c>
      <c r="L949" s="182">
        <v>3</v>
      </c>
      <c r="M949" s="113">
        <v>566800</v>
      </c>
      <c r="N949" s="113">
        <v>1100000</v>
      </c>
      <c r="O949" s="189" t="s">
        <v>10766</v>
      </c>
      <c r="P949" s="53" t="s">
        <v>13461</v>
      </c>
      <c r="Q949" s="53" t="s">
        <v>1939</v>
      </c>
      <c r="R949" s="53" t="s">
        <v>13462</v>
      </c>
      <c r="U949" s="29" t="s">
        <v>491</v>
      </c>
    </row>
    <row r="950" spans="1:21" ht="30" x14ac:dyDescent="0.25">
      <c r="A950" s="56">
        <v>43438</v>
      </c>
      <c r="B950" s="53" t="s">
        <v>569</v>
      </c>
      <c r="C950" s="29" t="s">
        <v>899</v>
      </c>
      <c r="D950" s="29" t="s">
        <v>3505</v>
      </c>
      <c r="F950" s="29" t="s">
        <v>13463</v>
      </c>
      <c r="G950" s="29" t="s">
        <v>13464</v>
      </c>
      <c r="H950" s="29" t="s">
        <v>607</v>
      </c>
      <c r="I950" s="29" t="s">
        <v>4256</v>
      </c>
      <c r="J950" s="29" t="s">
        <v>899</v>
      </c>
      <c r="K950" s="216" t="s">
        <v>13465</v>
      </c>
      <c r="M950" s="113" t="s">
        <v>833</v>
      </c>
      <c r="N950" s="113">
        <v>4250000</v>
      </c>
      <c r="O950" s="189" t="s">
        <v>560</v>
      </c>
      <c r="P950" s="53" t="s">
        <v>13466</v>
      </c>
      <c r="Q950" s="53" t="s">
        <v>29</v>
      </c>
      <c r="R950" s="53" t="s">
        <v>13467</v>
      </c>
      <c r="U950" s="29" t="s">
        <v>491</v>
      </c>
    </row>
    <row r="951" spans="1:21" ht="45" x14ac:dyDescent="0.25">
      <c r="A951" s="56">
        <v>43438</v>
      </c>
      <c r="B951" s="53" t="s">
        <v>569</v>
      </c>
      <c r="C951" s="29" t="s">
        <v>899</v>
      </c>
      <c r="D951" s="29" t="s">
        <v>11286</v>
      </c>
      <c r="F951" s="29" t="s">
        <v>566</v>
      </c>
      <c r="G951" s="29" t="s">
        <v>13468</v>
      </c>
      <c r="H951" s="29" t="s">
        <v>607</v>
      </c>
      <c r="I951" s="29" t="s">
        <v>13469</v>
      </c>
      <c r="J951" s="29" t="s">
        <v>13470</v>
      </c>
      <c r="K951" s="216" t="s">
        <v>13471</v>
      </c>
      <c r="L951" s="182">
        <v>1</v>
      </c>
      <c r="M951" s="113">
        <v>608000</v>
      </c>
      <c r="N951" s="113">
        <v>1500000</v>
      </c>
      <c r="O951" s="189" t="s">
        <v>10766</v>
      </c>
      <c r="P951" s="53" t="s">
        <v>13472</v>
      </c>
      <c r="Q951" s="53" t="s">
        <v>29</v>
      </c>
      <c r="R951" s="53" t="s">
        <v>13474</v>
      </c>
      <c r="S951" s="53" t="s">
        <v>13473</v>
      </c>
      <c r="U951" s="29" t="s">
        <v>491</v>
      </c>
    </row>
    <row r="952" spans="1:21" ht="75" x14ac:dyDescent="0.25">
      <c r="A952" s="56">
        <v>43438</v>
      </c>
      <c r="B952" s="53" t="s">
        <v>569</v>
      </c>
      <c r="C952" s="29" t="s">
        <v>899</v>
      </c>
      <c r="D952" s="29" t="s">
        <v>625</v>
      </c>
      <c r="F952" s="29" t="s">
        <v>13475</v>
      </c>
      <c r="G952" s="29" t="s">
        <v>8238</v>
      </c>
      <c r="H952" s="29" t="s">
        <v>10832</v>
      </c>
      <c r="I952" s="29" t="s">
        <v>13476</v>
      </c>
      <c r="J952" s="29" t="s">
        <v>899</v>
      </c>
      <c r="K952" s="216" t="s">
        <v>13477</v>
      </c>
      <c r="L952" s="182">
        <v>3</v>
      </c>
      <c r="M952" s="113">
        <v>1025108</v>
      </c>
      <c r="N952" s="113">
        <v>1025108</v>
      </c>
      <c r="O952" s="189" t="s">
        <v>10762</v>
      </c>
      <c r="P952" s="53" t="s">
        <v>13744</v>
      </c>
      <c r="Q952" s="53" t="s">
        <v>1939</v>
      </c>
      <c r="R952" s="53" t="s">
        <v>13478</v>
      </c>
      <c r="U952" s="29" t="s">
        <v>491</v>
      </c>
    </row>
    <row r="953" spans="1:21" ht="90" x14ac:dyDescent="0.25">
      <c r="A953" s="56">
        <v>43438</v>
      </c>
      <c r="B953" s="53" t="s">
        <v>9240</v>
      </c>
      <c r="C953" s="29" t="s">
        <v>603</v>
      </c>
      <c r="D953" s="29" t="s">
        <v>9241</v>
      </c>
      <c r="F953" s="29" t="s">
        <v>13480</v>
      </c>
      <c r="G953" s="29" t="s">
        <v>11233</v>
      </c>
      <c r="H953" s="29" t="s">
        <v>10831</v>
      </c>
      <c r="I953" s="29" t="s">
        <v>13481</v>
      </c>
      <c r="J953" s="29" t="s">
        <v>603</v>
      </c>
      <c r="K953" s="216" t="s">
        <v>13482</v>
      </c>
      <c r="L953" s="182">
        <v>5</v>
      </c>
      <c r="N953" s="113">
        <v>5000000</v>
      </c>
      <c r="O953" s="189" t="s">
        <v>560</v>
      </c>
      <c r="P953" s="53" t="s">
        <v>13483</v>
      </c>
      <c r="Q953" s="53" t="s">
        <v>1939</v>
      </c>
      <c r="R953" s="53" t="s">
        <v>13484</v>
      </c>
      <c r="U953" s="29" t="s">
        <v>491</v>
      </c>
    </row>
    <row r="954" spans="1:21" ht="45" x14ac:dyDescent="0.25">
      <c r="A954" s="56">
        <v>43438</v>
      </c>
      <c r="B954" s="53" t="s">
        <v>328</v>
      </c>
      <c r="C954" s="29" t="s">
        <v>603</v>
      </c>
      <c r="D954" s="29" t="s">
        <v>10338</v>
      </c>
      <c r="F954" s="29" t="s">
        <v>13485</v>
      </c>
      <c r="G954" s="29" t="s">
        <v>13486</v>
      </c>
      <c r="H954" s="29" t="s">
        <v>607</v>
      </c>
      <c r="I954" s="29" t="s">
        <v>13476</v>
      </c>
      <c r="J954" s="29" t="s">
        <v>899</v>
      </c>
      <c r="K954" s="216" t="s">
        <v>13477</v>
      </c>
      <c r="L954" s="182">
        <v>3</v>
      </c>
      <c r="M954" s="113">
        <v>459000</v>
      </c>
      <c r="N954" s="113">
        <v>918000</v>
      </c>
      <c r="O954" s="189" t="s">
        <v>4533</v>
      </c>
      <c r="P954" s="53" t="s">
        <v>13487</v>
      </c>
      <c r="Q954" s="53" t="s">
        <v>592</v>
      </c>
      <c r="R954" s="53" t="s">
        <v>13488</v>
      </c>
      <c r="U954" s="29" t="s">
        <v>491</v>
      </c>
    </row>
    <row r="955" spans="1:21" ht="75" x14ac:dyDescent="0.25">
      <c r="A955" s="56">
        <v>43439</v>
      </c>
      <c r="B955" s="53" t="s">
        <v>569</v>
      </c>
      <c r="C955" s="29" t="s">
        <v>899</v>
      </c>
      <c r="D955" s="29" t="s">
        <v>611</v>
      </c>
      <c r="F955" s="53" t="s">
        <v>13489</v>
      </c>
      <c r="H955" s="29" t="s">
        <v>607</v>
      </c>
      <c r="I955" s="29" t="s">
        <v>13490</v>
      </c>
      <c r="J955" s="29" t="s">
        <v>899</v>
      </c>
      <c r="K955" s="216" t="s">
        <v>13491</v>
      </c>
      <c r="L955" s="182">
        <v>3</v>
      </c>
      <c r="M955" s="113">
        <v>1071000</v>
      </c>
      <c r="N955" s="113">
        <v>2050000</v>
      </c>
      <c r="O955" s="189" t="s">
        <v>10763</v>
      </c>
      <c r="P955" s="53" t="s">
        <v>13492</v>
      </c>
      <c r="Q955" s="53" t="s">
        <v>1939</v>
      </c>
      <c r="R955" s="53" t="s">
        <v>13497</v>
      </c>
      <c r="U955" s="29" t="s">
        <v>491</v>
      </c>
    </row>
    <row r="956" spans="1:21" ht="30" x14ac:dyDescent="0.25">
      <c r="A956" s="56">
        <v>43439</v>
      </c>
      <c r="B956" s="53" t="s">
        <v>5176</v>
      </c>
      <c r="C956" s="29" t="s">
        <v>899</v>
      </c>
      <c r="D956" s="29" t="s">
        <v>595</v>
      </c>
      <c r="F956" s="29" t="s">
        <v>13493</v>
      </c>
      <c r="G956" s="29" t="s">
        <v>13494</v>
      </c>
      <c r="H956" s="29" t="s">
        <v>607</v>
      </c>
      <c r="J956" s="29" t="s">
        <v>4684</v>
      </c>
      <c r="L956" s="182">
        <v>9</v>
      </c>
      <c r="M956" s="113">
        <v>140000</v>
      </c>
      <c r="N956" s="113">
        <v>218000</v>
      </c>
      <c r="O956" s="189" t="s">
        <v>49</v>
      </c>
      <c r="P956" s="53" t="s">
        <v>13495</v>
      </c>
      <c r="Q956" s="53" t="s">
        <v>1939</v>
      </c>
      <c r="R956" s="53" t="s">
        <v>13496</v>
      </c>
      <c r="U956" s="29" t="s">
        <v>491</v>
      </c>
    </row>
    <row r="957" spans="1:21" ht="60" x14ac:dyDescent="0.25">
      <c r="A957" s="56">
        <v>43439</v>
      </c>
      <c r="B957" s="53" t="s">
        <v>5360</v>
      </c>
      <c r="C957" s="29" t="s">
        <v>899</v>
      </c>
      <c r="D957" s="29" t="s">
        <v>732</v>
      </c>
      <c r="F957" s="29" t="s">
        <v>13498</v>
      </c>
      <c r="G957" s="29" t="s">
        <v>13499</v>
      </c>
      <c r="H957" s="29" t="s">
        <v>607</v>
      </c>
      <c r="I957" s="29" t="s">
        <v>4279</v>
      </c>
      <c r="J957" s="29" t="s">
        <v>899</v>
      </c>
      <c r="K957" s="216" t="s">
        <v>13500</v>
      </c>
      <c r="L957" s="182">
        <v>9</v>
      </c>
      <c r="M957" s="113">
        <v>356000</v>
      </c>
      <c r="N957" s="113">
        <v>710800</v>
      </c>
      <c r="O957" s="189" t="s">
        <v>10766</v>
      </c>
      <c r="P957" s="53" t="s">
        <v>13501</v>
      </c>
      <c r="Q957" s="53" t="s">
        <v>1939</v>
      </c>
      <c r="R957" s="53" t="s">
        <v>13502</v>
      </c>
      <c r="U957" s="29" t="s">
        <v>491</v>
      </c>
    </row>
    <row r="958" spans="1:21" ht="30" x14ac:dyDescent="0.25">
      <c r="A958" s="56">
        <v>43439</v>
      </c>
      <c r="B958" s="53" t="s">
        <v>5360</v>
      </c>
      <c r="C958" s="29" t="s">
        <v>899</v>
      </c>
      <c r="D958" s="29" t="s">
        <v>732</v>
      </c>
      <c r="F958" s="29" t="s">
        <v>13503</v>
      </c>
      <c r="G958" s="29" t="s">
        <v>8648</v>
      </c>
      <c r="H958" s="29" t="s">
        <v>607</v>
      </c>
      <c r="I958" s="29" t="s">
        <v>13504</v>
      </c>
      <c r="J958" s="29" t="s">
        <v>899</v>
      </c>
      <c r="K958" s="216" t="s">
        <v>13505</v>
      </c>
      <c r="L958" s="182">
        <v>4</v>
      </c>
      <c r="M958" s="113">
        <v>420000</v>
      </c>
      <c r="N958" s="113">
        <v>798000</v>
      </c>
      <c r="O958" s="189" t="s">
        <v>10766</v>
      </c>
      <c r="P958" s="53" t="s">
        <v>13506</v>
      </c>
      <c r="Q958" s="53" t="s">
        <v>1939</v>
      </c>
      <c r="R958" s="53" t="s">
        <v>13507</v>
      </c>
      <c r="U958" s="29" t="s">
        <v>491</v>
      </c>
    </row>
    <row r="959" spans="1:21" ht="45" x14ac:dyDescent="0.25">
      <c r="A959" s="56">
        <v>43440</v>
      </c>
      <c r="B959" s="53" t="s">
        <v>12367</v>
      </c>
      <c r="C959" s="29" t="s">
        <v>5610</v>
      </c>
      <c r="D959" s="29" t="s">
        <v>11338</v>
      </c>
      <c r="F959" s="29" t="s">
        <v>13508</v>
      </c>
      <c r="G959" s="29" t="s">
        <v>13509</v>
      </c>
      <c r="H959" s="29" t="s">
        <v>607</v>
      </c>
      <c r="I959" s="29" t="s">
        <v>13510</v>
      </c>
      <c r="J959" s="29" t="s">
        <v>3523</v>
      </c>
      <c r="K959" s="216" t="s">
        <v>13511</v>
      </c>
      <c r="L959" s="182">
        <v>10</v>
      </c>
      <c r="M959" s="113">
        <v>325000</v>
      </c>
      <c r="N959" s="113">
        <v>700000</v>
      </c>
      <c r="O959" s="189" t="s">
        <v>10762</v>
      </c>
      <c r="P959" s="53" t="s">
        <v>13513</v>
      </c>
      <c r="Q959" s="53" t="s">
        <v>1939</v>
      </c>
      <c r="R959" s="53" t="s">
        <v>13512</v>
      </c>
      <c r="U959" s="29" t="s">
        <v>491</v>
      </c>
    </row>
    <row r="960" spans="1:21" ht="30" x14ac:dyDescent="0.25">
      <c r="A960" s="56">
        <v>43440</v>
      </c>
      <c r="B960" s="53" t="s">
        <v>5360</v>
      </c>
      <c r="C960" s="29" t="s">
        <v>899</v>
      </c>
      <c r="D960" s="29" t="s">
        <v>732</v>
      </c>
      <c r="F960" s="29" t="s">
        <v>9400</v>
      </c>
      <c r="G960" s="29" t="s">
        <v>13514</v>
      </c>
      <c r="H960" s="29" t="s">
        <v>607</v>
      </c>
      <c r="I960" s="29" t="s">
        <v>13515</v>
      </c>
      <c r="J960" s="29" t="s">
        <v>899</v>
      </c>
      <c r="K960" s="216" t="s">
        <v>13516</v>
      </c>
      <c r="L960" s="182">
        <v>4</v>
      </c>
      <c r="M960" s="113">
        <v>365000</v>
      </c>
      <c r="N960" s="113">
        <v>730000</v>
      </c>
      <c r="O960" s="189" t="s">
        <v>10766</v>
      </c>
      <c r="P960" s="53" t="s">
        <v>13517</v>
      </c>
      <c r="Q960" s="53" t="s">
        <v>1939</v>
      </c>
      <c r="R960" s="53" t="s">
        <v>13518</v>
      </c>
      <c r="U960" s="29" t="s">
        <v>491</v>
      </c>
    </row>
    <row r="961" spans="1:21" ht="45" x14ac:dyDescent="0.25">
      <c r="A961" s="56">
        <v>43440</v>
      </c>
      <c r="B961" s="53" t="s">
        <v>5360</v>
      </c>
      <c r="C961" s="29" t="s">
        <v>899</v>
      </c>
      <c r="D961" s="29" t="s">
        <v>732</v>
      </c>
      <c r="F961" s="29" t="s">
        <v>13521</v>
      </c>
      <c r="G961" s="29" t="s">
        <v>13522</v>
      </c>
      <c r="H961" s="29" t="s">
        <v>607</v>
      </c>
      <c r="I961" s="29" t="s">
        <v>13519</v>
      </c>
      <c r="J961" s="29" t="s">
        <v>13470</v>
      </c>
      <c r="K961" s="216" t="s">
        <v>13520</v>
      </c>
      <c r="L961" s="182">
        <v>4</v>
      </c>
      <c r="M961" s="113">
        <v>182000</v>
      </c>
      <c r="N961" s="113">
        <v>364000</v>
      </c>
      <c r="O961" s="189" t="s">
        <v>10766</v>
      </c>
      <c r="P961" s="53" t="s">
        <v>13523</v>
      </c>
      <c r="Q961" s="53" t="s">
        <v>1939</v>
      </c>
      <c r="R961" s="53" t="s">
        <v>13524</v>
      </c>
      <c r="U961" s="29" t="s">
        <v>491</v>
      </c>
    </row>
    <row r="962" spans="1:21" ht="30" x14ac:dyDescent="0.25">
      <c r="A962" s="56">
        <v>43440</v>
      </c>
      <c r="B962" s="53" t="s">
        <v>328</v>
      </c>
      <c r="C962" s="29" t="s">
        <v>603</v>
      </c>
      <c r="D962" s="29" t="s">
        <v>1401</v>
      </c>
      <c r="F962" s="29" t="s">
        <v>13525</v>
      </c>
      <c r="G962" s="29" t="s">
        <v>7714</v>
      </c>
      <c r="H962" s="29" t="s">
        <v>10831</v>
      </c>
      <c r="I962" s="29" t="s">
        <v>3649</v>
      </c>
      <c r="J962" s="29" t="s">
        <v>899</v>
      </c>
      <c r="K962" s="216" t="s">
        <v>13526</v>
      </c>
      <c r="L962" s="182">
        <v>2</v>
      </c>
      <c r="M962" s="113">
        <v>1460000</v>
      </c>
      <c r="N962" s="113">
        <v>3139000</v>
      </c>
      <c r="O962" s="189" t="s">
        <v>560</v>
      </c>
      <c r="P962" s="53" t="s">
        <v>13527</v>
      </c>
      <c r="Q962" s="53" t="s">
        <v>29</v>
      </c>
      <c r="R962" s="53" t="s">
        <v>13528</v>
      </c>
      <c r="U962" s="29" t="s">
        <v>491</v>
      </c>
    </row>
    <row r="963" spans="1:21" ht="75" x14ac:dyDescent="0.25">
      <c r="A963" s="56">
        <v>43440</v>
      </c>
      <c r="B963" s="53" t="s">
        <v>9240</v>
      </c>
      <c r="C963" s="29" t="s">
        <v>603</v>
      </c>
      <c r="D963" s="29" t="s">
        <v>9849</v>
      </c>
      <c r="F963" s="29" t="s">
        <v>13529</v>
      </c>
      <c r="G963" s="29" t="s">
        <v>8515</v>
      </c>
      <c r="H963" s="29" t="s">
        <v>607</v>
      </c>
      <c r="I963" s="29" t="s">
        <v>13530</v>
      </c>
      <c r="J963" s="29" t="s">
        <v>4031</v>
      </c>
      <c r="K963" s="216" t="s">
        <v>13531</v>
      </c>
      <c r="L963" s="182">
        <v>1</v>
      </c>
      <c r="M963" s="113">
        <v>1205400</v>
      </c>
      <c r="N963" s="113">
        <v>2700000</v>
      </c>
      <c r="O963" s="189" t="s">
        <v>10766</v>
      </c>
      <c r="P963" s="53" t="s">
        <v>13745</v>
      </c>
      <c r="Q963" s="53" t="s">
        <v>1612</v>
      </c>
      <c r="R963" s="53" t="s">
        <v>13536</v>
      </c>
      <c r="U963" s="29" t="s">
        <v>491</v>
      </c>
    </row>
    <row r="964" spans="1:21" ht="60" x14ac:dyDescent="0.25">
      <c r="A964" s="56">
        <v>43440</v>
      </c>
      <c r="B964" s="53" t="s">
        <v>9240</v>
      </c>
      <c r="C964" s="29" t="s">
        <v>603</v>
      </c>
      <c r="D964" s="29" t="s">
        <v>7814</v>
      </c>
      <c r="F964" s="29" t="s">
        <v>13532</v>
      </c>
      <c r="G964" s="29" t="s">
        <v>13533</v>
      </c>
      <c r="H964" s="29" t="s">
        <v>607</v>
      </c>
      <c r="I964" s="29" t="s">
        <v>13534</v>
      </c>
      <c r="J964" s="29" t="s">
        <v>4031</v>
      </c>
      <c r="K964" s="216" t="s">
        <v>13535</v>
      </c>
      <c r="M964" s="113">
        <v>650000</v>
      </c>
      <c r="N964" s="113">
        <v>1100000</v>
      </c>
      <c r="O964" s="189" t="s">
        <v>10766</v>
      </c>
      <c r="P964" s="53" t="s">
        <v>13537</v>
      </c>
      <c r="Q964" s="53" t="s">
        <v>1612</v>
      </c>
      <c r="R964" s="53" t="s">
        <v>13587</v>
      </c>
      <c r="U964" s="29" t="s">
        <v>491</v>
      </c>
    </row>
    <row r="965" spans="1:21" ht="45" x14ac:dyDescent="0.25">
      <c r="A965" s="56">
        <v>43440</v>
      </c>
      <c r="B965" s="53" t="s">
        <v>328</v>
      </c>
      <c r="C965" s="29" t="s">
        <v>603</v>
      </c>
      <c r="D965" s="29" t="s">
        <v>7595</v>
      </c>
      <c r="F965" s="29" t="s">
        <v>13538</v>
      </c>
      <c r="H965" s="29" t="s">
        <v>905</v>
      </c>
      <c r="I965" s="29" t="s">
        <v>3929</v>
      </c>
      <c r="J965" s="29" t="s">
        <v>899</v>
      </c>
      <c r="K965" s="216" t="s">
        <v>13539</v>
      </c>
      <c r="L965" s="182">
        <v>1</v>
      </c>
      <c r="M965" s="113">
        <v>3500000</v>
      </c>
      <c r="N965" s="113">
        <v>3870000</v>
      </c>
      <c r="O965" s="189" t="s">
        <v>560</v>
      </c>
      <c r="P965" s="53" t="s">
        <v>13540</v>
      </c>
      <c r="Q965" s="53" t="s">
        <v>592</v>
      </c>
      <c r="R965" s="53" t="s">
        <v>13541</v>
      </c>
      <c r="U965" s="29" t="s">
        <v>491</v>
      </c>
    </row>
    <row r="966" spans="1:21" ht="15.75" x14ac:dyDescent="0.25">
      <c r="A966" s="56">
        <v>43440</v>
      </c>
      <c r="B966" s="53" t="s">
        <v>5360</v>
      </c>
      <c r="C966" s="29" t="s">
        <v>899</v>
      </c>
      <c r="D966" s="29" t="s">
        <v>732</v>
      </c>
      <c r="F966" s="29" t="s">
        <v>13542</v>
      </c>
      <c r="G966" s="29" t="s">
        <v>13543</v>
      </c>
      <c r="H966" s="29" t="s">
        <v>607</v>
      </c>
      <c r="I966" s="29" t="s">
        <v>13504</v>
      </c>
      <c r="J966" s="29" t="s">
        <v>899</v>
      </c>
      <c r="K966" s="216" t="s">
        <v>13505</v>
      </c>
      <c r="L966" s="182">
        <v>4</v>
      </c>
      <c r="M966" s="113">
        <v>450000</v>
      </c>
      <c r="N966" s="113">
        <v>900000</v>
      </c>
      <c r="O966" s="189" t="s">
        <v>10766</v>
      </c>
      <c r="P966" s="53" t="s">
        <v>13673</v>
      </c>
      <c r="Q966" s="53" t="s">
        <v>592</v>
      </c>
      <c r="R966" s="53" t="s">
        <v>13544</v>
      </c>
      <c r="U966" s="29" t="s">
        <v>491</v>
      </c>
    </row>
    <row r="967" spans="1:21" ht="45" x14ac:dyDescent="0.25">
      <c r="A967" s="56">
        <v>43441</v>
      </c>
      <c r="B967" s="53" t="s">
        <v>569</v>
      </c>
      <c r="C967" s="29" t="s">
        <v>899</v>
      </c>
      <c r="D967" s="29" t="s">
        <v>9981</v>
      </c>
      <c r="F967" s="29" t="s">
        <v>13545</v>
      </c>
      <c r="G967" s="29" t="s">
        <v>13546</v>
      </c>
      <c r="H967" s="29" t="s">
        <v>607</v>
      </c>
      <c r="I967" s="29" t="s">
        <v>2054</v>
      </c>
      <c r="J967" s="29" t="s">
        <v>899</v>
      </c>
      <c r="K967" s="216" t="s">
        <v>13547</v>
      </c>
      <c r="L967" s="182">
        <v>5</v>
      </c>
      <c r="O967" s="189" t="s">
        <v>6745</v>
      </c>
      <c r="P967" s="53" t="s">
        <v>13674</v>
      </c>
      <c r="Q967" s="53" t="s">
        <v>592</v>
      </c>
      <c r="R967" s="53" t="s">
        <v>13548</v>
      </c>
      <c r="U967" s="29" t="s">
        <v>491</v>
      </c>
    </row>
    <row r="968" spans="1:21" ht="75" x14ac:dyDescent="0.25">
      <c r="A968" s="56">
        <v>43441</v>
      </c>
      <c r="B968" s="53" t="s">
        <v>569</v>
      </c>
      <c r="C968" s="29" t="s">
        <v>899</v>
      </c>
      <c r="D968" s="29" t="s">
        <v>732</v>
      </c>
      <c r="F968" s="29" t="s">
        <v>13549</v>
      </c>
      <c r="G968" s="29" t="s">
        <v>13550</v>
      </c>
      <c r="H968" s="29" t="s">
        <v>607</v>
      </c>
      <c r="I968" s="29" t="s">
        <v>13515</v>
      </c>
      <c r="J968" s="29" t="s">
        <v>899</v>
      </c>
      <c r="K968" s="216" t="s">
        <v>13516</v>
      </c>
      <c r="L968" s="182">
        <v>10</v>
      </c>
      <c r="M968" s="113">
        <v>385000</v>
      </c>
      <c r="N968" s="113">
        <v>770000</v>
      </c>
      <c r="O968" s="189" t="s">
        <v>10766</v>
      </c>
      <c r="P968" s="53" t="s">
        <v>13551</v>
      </c>
      <c r="Q968" s="53" t="s">
        <v>620</v>
      </c>
      <c r="R968" s="53" t="s">
        <v>13552</v>
      </c>
      <c r="U968" s="29" t="s">
        <v>491</v>
      </c>
    </row>
    <row r="969" spans="1:21" ht="90" x14ac:dyDescent="0.25">
      <c r="A969" s="56">
        <v>43444</v>
      </c>
      <c r="B969" s="53" t="s">
        <v>328</v>
      </c>
      <c r="C969" s="29" t="s">
        <v>603</v>
      </c>
      <c r="D969" s="29" t="s">
        <v>10705</v>
      </c>
      <c r="F969" s="29" t="s">
        <v>13553</v>
      </c>
      <c r="G969" s="29" t="s">
        <v>7880</v>
      </c>
      <c r="H969" s="29" t="s">
        <v>905</v>
      </c>
      <c r="I969" s="29" t="s">
        <v>13554</v>
      </c>
      <c r="J969" s="29" t="s">
        <v>3856</v>
      </c>
      <c r="K969" s="216" t="s">
        <v>13555</v>
      </c>
      <c r="L969" s="182">
        <v>6</v>
      </c>
      <c r="M969" s="113">
        <v>281000</v>
      </c>
      <c r="N969" s="113">
        <v>351250</v>
      </c>
      <c r="O969" s="189" t="s">
        <v>4533</v>
      </c>
      <c r="P969" s="53" t="s">
        <v>13564</v>
      </c>
      <c r="Q969" s="53" t="s">
        <v>1939</v>
      </c>
      <c r="R969" s="53" t="s">
        <v>13568</v>
      </c>
      <c r="U969" s="29" t="s">
        <v>12797</v>
      </c>
    </row>
    <row r="970" spans="1:21" ht="120" x14ac:dyDescent="0.25">
      <c r="A970" s="56">
        <v>43444</v>
      </c>
      <c r="B970" s="53" t="s">
        <v>328</v>
      </c>
      <c r="C970" s="29" t="s">
        <v>603</v>
      </c>
      <c r="D970" s="29" t="s">
        <v>10705</v>
      </c>
      <c r="F970" s="29" t="s">
        <v>13556</v>
      </c>
      <c r="H970" s="29" t="s">
        <v>809</v>
      </c>
      <c r="I970" s="29" t="s">
        <v>13557</v>
      </c>
      <c r="J970" s="29" t="s">
        <v>603</v>
      </c>
      <c r="K970" s="216" t="s">
        <v>13558</v>
      </c>
      <c r="L970" s="182">
        <v>4</v>
      </c>
      <c r="M970" s="113">
        <v>275000</v>
      </c>
      <c r="N970" s="113">
        <v>280000</v>
      </c>
      <c r="O970" s="189" t="s">
        <v>10763</v>
      </c>
      <c r="P970" s="53" t="s">
        <v>13565</v>
      </c>
      <c r="Q970" s="53" t="s">
        <v>29</v>
      </c>
      <c r="R970" s="53" t="s">
        <v>13579</v>
      </c>
      <c r="U970" s="29" t="s">
        <v>12797</v>
      </c>
    </row>
    <row r="971" spans="1:21" ht="105" x14ac:dyDescent="0.25">
      <c r="A971" s="56">
        <v>43444</v>
      </c>
      <c r="B971" s="53" t="s">
        <v>13559</v>
      </c>
      <c r="C971" s="29" t="s">
        <v>4031</v>
      </c>
      <c r="D971" s="29" t="s">
        <v>13560</v>
      </c>
      <c r="F971" s="29" t="s">
        <v>13561</v>
      </c>
      <c r="G971" s="29" t="s">
        <v>10355</v>
      </c>
      <c r="H971" s="29" t="s">
        <v>607</v>
      </c>
      <c r="I971" s="29" t="s">
        <v>13562</v>
      </c>
      <c r="J971" s="29" t="s">
        <v>3371</v>
      </c>
      <c r="K971" s="216" t="s">
        <v>13563</v>
      </c>
      <c r="L971" s="182">
        <v>6</v>
      </c>
      <c r="M971" s="113">
        <v>214000</v>
      </c>
      <c r="N971" s="113">
        <f>M971+21400+160500</f>
        <v>395900</v>
      </c>
      <c r="O971" s="189" t="s">
        <v>4533</v>
      </c>
      <c r="P971" s="53" t="s">
        <v>13566</v>
      </c>
      <c r="Q971" s="53" t="s">
        <v>1939</v>
      </c>
      <c r="R971" s="53" t="s">
        <v>13567</v>
      </c>
      <c r="U971" s="29" t="s">
        <v>12797</v>
      </c>
    </row>
    <row r="972" spans="1:21" ht="135" x14ac:dyDescent="0.25">
      <c r="A972" s="56">
        <v>43444</v>
      </c>
      <c r="B972" s="53" t="s">
        <v>5176</v>
      </c>
      <c r="C972" s="29" t="s">
        <v>604</v>
      </c>
      <c r="D972" s="29" t="s">
        <v>595</v>
      </c>
      <c r="F972" s="29" t="s">
        <v>13569</v>
      </c>
      <c r="G972" s="29" t="s">
        <v>10086</v>
      </c>
      <c r="H972" s="29" t="s">
        <v>905</v>
      </c>
      <c r="I972" s="29" t="s">
        <v>1487</v>
      </c>
      <c r="J972" s="29" t="s">
        <v>604</v>
      </c>
      <c r="K972" s="216" t="s">
        <v>13570</v>
      </c>
      <c r="M972" s="113">
        <v>640000</v>
      </c>
      <c r="N972" s="113">
        <f>M972+100000+64000</f>
        <v>804000</v>
      </c>
      <c r="O972" s="189" t="s">
        <v>10762</v>
      </c>
      <c r="P972" s="53" t="s">
        <v>13571</v>
      </c>
      <c r="Q972" s="53" t="s">
        <v>1612</v>
      </c>
      <c r="R972" s="53" t="s">
        <v>13588</v>
      </c>
      <c r="U972" s="29" t="s">
        <v>12797</v>
      </c>
    </row>
    <row r="973" spans="1:21" ht="75" x14ac:dyDescent="0.25">
      <c r="A973" s="56">
        <v>43445</v>
      </c>
      <c r="B973" s="53" t="s">
        <v>643</v>
      </c>
      <c r="C973" s="29" t="s">
        <v>644</v>
      </c>
      <c r="D973" s="29" t="s">
        <v>645</v>
      </c>
      <c r="F973" s="29" t="s">
        <v>13572</v>
      </c>
      <c r="G973" s="29" t="s">
        <v>256</v>
      </c>
      <c r="H973" s="29" t="s">
        <v>886</v>
      </c>
      <c r="I973" s="29" t="s">
        <v>5546</v>
      </c>
      <c r="J973" s="29" t="s">
        <v>644</v>
      </c>
      <c r="K973" s="216" t="s">
        <v>13163</v>
      </c>
      <c r="L973" s="182">
        <v>5</v>
      </c>
      <c r="M973" s="113">
        <v>1800000</v>
      </c>
      <c r="N973" s="113">
        <f>M973+400000</f>
        <v>2200000</v>
      </c>
      <c r="O973" s="189" t="s">
        <v>2295</v>
      </c>
      <c r="P973" s="53" t="s">
        <v>13573</v>
      </c>
      <c r="Q973" s="53" t="s">
        <v>1939</v>
      </c>
      <c r="R973" s="53" t="s">
        <v>13746</v>
      </c>
      <c r="U973" s="29" t="s">
        <v>12797</v>
      </c>
    </row>
    <row r="974" spans="1:21" ht="75" x14ac:dyDescent="0.25">
      <c r="A974" s="56">
        <v>43445</v>
      </c>
      <c r="B974" s="53" t="s">
        <v>5956</v>
      </c>
      <c r="C974" s="29" t="s">
        <v>3369</v>
      </c>
      <c r="D974" s="29" t="s">
        <v>8941</v>
      </c>
      <c r="F974" s="29" t="s">
        <v>13574</v>
      </c>
      <c r="G974" s="29" t="s">
        <v>10355</v>
      </c>
      <c r="H974" s="29" t="s">
        <v>10831</v>
      </c>
      <c r="I974" s="29" t="s">
        <v>13575</v>
      </c>
      <c r="J974" s="29" t="s">
        <v>604</v>
      </c>
      <c r="K974" s="216" t="s">
        <v>13576</v>
      </c>
      <c r="M974" s="113">
        <v>650000</v>
      </c>
      <c r="N974" s="113">
        <f>M974+65000+325000+130000</f>
        <v>1170000</v>
      </c>
      <c r="O974" s="189" t="s">
        <v>10766</v>
      </c>
      <c r="P974" s="53" t="s">
        <v>13577</v>
      </c>
      <c r="Q974" s="53" t="s">
        <v>620</v>
      </c>
      <c r="R974" s="53" t="s">
        <v>13578</v>
      </c>
      <c r="U974" s="29" t="s">
        <v>12797</v>
      </c>
    </row>
    <row r="975" spans="1:21" ht="60" x14ac:dyDescent="0.25">
      <c r="A975" s="56">
        <v>43445</v>
      </c>
      <c r="B975" s="53" t="s">
        <v>5360</v>
      </c>
      <c r="C975" s="29" t="s">
        <v>899</v>
      </c>
      <c r="D975" s="29" t="s">
        <v>1027</v>
      </c>
      <c r="F975" s="29" t="s">
        <v>13237</v>
      </c>
      <c r="G975" s="29" t="s">
        <v>748</v>
      </c>
      <c r="H975" s="29" t="s">
        <v>607</v>
      </c>
      <c r="I975" s="29" t="s">
        <v>13504</v>
      </c>
      <c r="J975" s="29" t="s">
        <v>899</v>
      </c>
      <c r="K975" s="216" t="s">
        <v>13505</v>
      </c>
      <c r="L975" s="182">
        <v>4</v>
      </c>
      <c r="M975" s="113">
        <v>694000</v>
      </c>
      <c r="N975" s="113">
        <f>M975+69400+485800+138800</f>
        <v>1388000</v>
      </c>
      <c r="O975" s="189" t="s">
        <v>10766</v>
      </c>
      <c r="P975" s="53" t="s">
        <v>13580</v>
      </c>
      <c r="Q975" s="53" t="s">
        <v>1939</v>
      </c>
      <c r="R975" s="53" t="s">
        <v>13747</v>
      </c>
      <c r="U975" s="29" t="s">
        <v>12797</v>
      </c>
    </row>
    <row r="976" spans="1:21" ht="45" x14ac:dyDescent="0.25">
      <c r="A976" s="56">
        <v>43445</v>
      </c>
      <c r="B976" s="53" t="s">
        <v>643</v>
      </c>
      <c r="C976" s="29" t="s">
        <v>644</v>
      </c>
      <c r="D976" s="29" t="s">
        <v>645</v>
      </c>
      <c r="F976" s="29" t="s">
        <v>13581</v>
      </c>
      <c r="G976" s="29" t="s">
        <v>13582</v>
      </c>
      <c r="H976" s="29" t="s">
        <v>607</v>
      </c>
      <c r="I976" s="29" t="s">
        <v>11305</v>
      </c>
      <c r="J976" s="29" t="s">
        <v>899</v>
      </c>
      <c r="K976" s="216" t="s">
        <v>13101</v>
      </c>
      <c r="L976" s="182">
        <v>2</v>
      </c>
      <c r="M976" s="113">
        <v>520000</v>
      </c>
      <c r="N976" s="113">
        <f>M976+52000+260000+104000</f>
        <v>936000</v>
      </c>
      <c r="O976" s="189" t="s">
        <v>10765</v>
      </c>
      <c r="P976" s="53" t="s">
        <v>13583</v>
      </c>
      <c r="Q976" s="53" t="s">
        <v>1939</v>
      </c>
      <c r="R976" s="53" t="s">
        <v>13748</v>
      </c>
      <c r="U976" s="29" t="s">
        <v>12797</v>
      </c>
    </row>
    <row r="977" spans="1:21" ht="30" x14ac:dyDescent="0.25">
      <c r="A977" s="56">
        <v>43445</v>
      </c>
      <c r="B977" s="53" t="s">
        <v>643</v>
      </c>
      <c r="C977" s="29" t="s">
        <v>644</v>
      </c>
      <c r="D977" s="29" t="s">
        <v>645</v>
      </c>
      <c r="F977" s="29" t="s">
        <v>13584</v>
      </c>
      <c r="H977" s="29" t="s">
        <v>2510</v>
      </c>
      <c r="I977" s="29" t="s">
        <v>8636</v>
      </c>
      <c r="J977" s="29" t="s">
        <v>644</v>
      </c>
      <c r="K977" s="216" t="s">
        <v>13585</v>
      </c>
      <c r="L977" s="182">
        <v>3</v>
      </c>
      <c r="M977" s="113">
        <v>1240000</v>
      </c>
      <c r="N977" s="113">
        <v>1812000</v>
      </c>
      <c r="O977" s="189" t="s">
        <v>560</v>
      </c>
      <c r="P977" s="53" t="s">
        <v>13749</v>
      </c>
      <c r="Q977" s="53" t="s">
        <v>592</v>
      </c>
      <c r="R977" s="53" t="s">
        <v>13586</v>
      </c>
      <c r="U977" s="29" t="s">
        <v>12797</v>
      </c>
    </row>
    <row r="978" spans="1:21" ht="30" x14ac:dyDescent="0.25">
      <c r="A978" s="56">
        <v>43445</v>
      </c>
      <c r="B978" s="53" t="s">
        <v>569</v>
      </c>
      <c r="C978" s="29" t="s">
        <v>899</v>
      </c>
      <c r="D978" s="29" t="s">
        <v>9981</v>
      </c>
      <c r="F978" s="29" t="s">
        <v>13589</v>
      </c>
      <c r="G978" s="29" t="s">
        <v>7714</v>
      </c>
      <c r="H978" s="29" t="s">
        <v>607</v>
      </c>
      <c r="I978" s="29" t="s">
        <v>13590</v>
      </c>
      <c r="J978" s="29" t="s">
        <v>899</v>
      </c>
      <c r="K978" s="216" t="s">
        <v>13591</v>
      </c>
      <c r="O978" s="189" t="s">
        <v>10763</v>
      </c>
      <c r="P978" s="53" t="s">
        <v>13592</v>
      </c>
      <c r="Q978" s="53" t="s">
        <v>1939</v>
      </c>
      <c r="R978" s="53" t="s">
        <v>13593</v>
      </c>
      <c r="U978" s="29" t="s">
        <v>491</v>
      </c>
    </row>
    <row r="979" spans="1:21" ht="180" x14ac:dyDescent="0.25">
      <c r="A979" s="56">
        <v>43446</v>
      </c>
      <c r="B979" s="53" t="s">
        <v>569</v>
      </c>
      <c r="C979" s="29" t="s">
        <v>899</v>
      </c>
      <c r="D979" s="29" t="s">
        <v>3505</v>
      </c>
      <c r="F979" s="29" t="s">
        <v>13594</v>
      </c>
      <c r="G979" s="29" t="s">
        <v>256</v>
      </c>
      <c r="H979" s="29" t="s">
        <v>10832</v>
      </c>
      <c r="I979" s="29" t="s">
        <v>13595</v>
      </c>
      <c r="J979" s="29" t="s">
        <v>899</v>
      </c>
      <c r="K979" s="216" t="s">
        <v>13596</v>
      </c>
      <c r="M979" s="113">
        <v>1267000</v>
      </c>
      <c r="N979" s="113">
        <f>M979+700000+200000+200000</f>
        <v>2367000</v>
      </c>
      <c r="O979" s="189" t="s">
        <v>10765</v>
      </c>
      <c r="P979" s="53" t="s">
        <v>13750</v>
      </c>
      <c r="Q979" s="53" t="s">
        <v>1612</v>
      </c>
      <c r="R979" s="53" t="s">
        <v>13751</v>
      </c>
      <c r="U979" s="29" t="s">
        <v>12797</v>
      </c>
    </row>
    <row r="980" spans="1:21" ht="165" x14ac:dyDescent="0.25">
      <c r="A980" s="56">
        <v>43446</v>
      </c>
      <c r="B980" s="53" t="s">
        <v>328</v>
      </c>
      <c r="C980" s="29" t="s">
        <v>603</v>
      </c>
      <c r="D980" s="29" t="s">
        <v>5701</v>
      </c>
      <c r="F980" s="53" t="s">
        <v>13752</v>
      </c>
      <c r="H980" s="29" t="s">
        <v>905</v>
      </c>
      <c r="J980" s="29" t="s">
        <v>3885</v>
      </c>
      <c r="O980" s="189" t="s">
        <v>4533</v>
      </c>
      <c r="P980" s="161" t="s">
        <v>13597</v>
      </c>
      <c r="Q980" s="53" t="s">
        <v>620</v>
      </c>
      <c r="R980" s="53" t="s">
        <v>13598</v>
      </c>
      <c r="U980" s="29" t="s">
        <v>491</v>
      </c>
    </row>
    <row r="981" spans="1:21" ht="60" x14ac:dyDescent="0.25">
      <c r="A981" s="56">
        <v>43446</v>
      </c>
      <c r="B981" s="53" t="s">
        <v>328</v>
      </c>
      <c r="C981" s="29" t="s">
        <v>603</v>
      </c>
      <c r="D981" s="29" t="s">
        <v>8941</v>
      </c>
      <c r="F981" s="29" t="s">
        <v>13599</v>
      </c>
      <c r="G981" s="29" t="s">
        <v>13600</v>
      </c>
      <c r="H981" s="29" t="s">
        <v>607</v>
      </c>
      <c r="I981" s="29" t="s">
        <v>11492</v>
      </c>
      <c r="J981" s="29" t="s">
        <v>3523</v>
      </c>
      <c r="K981" s="216" t="s">
        <v>13601</v>
      </c>
      <c r="L981" s="182">
        <v>4</v>
      </c>
      <c r="M981" s="113">
        <v>225000</v>
      </c>
      <c r="N981" s="113">
        <v>387000</v>
      </c>
      <c r="O981" s="189" t="s">
        <v>4533</v>
      </c>
      <c r="P981" s="53" t="s">
        <v>13602</v>
      </c>
      <c r="Q981" s="53" t="s">
        <v>1939</v>
      </c>
      <c r="R981" s="53" t="s">
        <v>13603</v>
      </c>
      <c r="S981" s="53" t="s">
        <v>13604</v>
      </c>
      <c r="U981" s="29" t="s">
        <v>491</v>
      </c>
    </row>
    <row r="982" spans="1:21" ht="60" x14ac:dyDescent="0.25">
      <c r="A982" s="56">
        <v>43446</v>
      </c>
      <c r="B982" s="53" t="s">
        <v>5360</v>
      </c>
      <c r="C982" s="29" t="s">
        <v>899</v>
      </c>
      <c r="D982" s="29" t="s">
        <v>611</v>
      </c>
      <c r="F982" s="29" t="s">
        <v>13605</v>
      </c>
      <c r="G982" s="29" t="s">
        <v>13606</v>
      </c>
      <c r="H982" s="29" t="s">
        <v>607</v>
      </c>
      <c r="I982" s="29" t="s">
        <v>13607</v>
      </c>
      <c r="J982" s="29" t="s">
        <v>899</v>
      </c>
      <c r="K982" s="216" t="s">
        <v>13813</v>
      </c>
      <c r="M982" s="113">
        <v>1000000</v>
      </c>
      <c r="N982" s="113">
        <f>M982+100000+500000+250000</f>
        <v>1850000</v>
      </c>
      <c r="O982" s="189" t="s">
        <v>10766</v>
      </c>
      <c r="P982" s="53" t="s">
        <v>13608</v>
      </c>
      <c r="Q982" s="53" t="s">
        <v>29</v>
      </c>
      <c r="R982" s="53" t="s">
        <v>13609</v>
      </c>
      <c r="U982" s="29" t="s">
        <v>12797</v>
      </c>
    </row>
    <row r="983" spans="1:21" ht="120" x14ac:dyDescent="0.25">
      <c r="A983" s="56">
        <v>43446</v>
      </c>
      <c r="B983" s="53" t="s">
        <v>5956</v>
      </c>
      <c r="C983" s="29" t="s">
        <v>3369</v>
      </c>
      <c r="D983" s="29" t="s">
        <v>8126</v>
      </c>
      <c r="F983" s="29" t="s">
        <v>13610</v>
      </c>
      <c r="G983" s="29" t="s">
        <v>8648</v>
      </c>
      <c r="H983" s="29" t="s">
        <v>607</v>
      </c>
      <c r="I983" s="29" t="s">
        <v>13611</v>
      </c>
      <c r="J983" s="29" t="s">
        <v>4825</v>
      </c>
      <c r="K983" s="216" t="s">
        <v>13612</v>
      </c>
      <c r="L983" s="182">
        <v>4</v>
      </c>
      <c r="M983" s="113">
        <v>1265000</v>
      </c>
      <c r="N983" s="113">
        <f>M983+126500+948750+632500</f>
        <v>2972750</v>
      </c>
      <c r="O983" s="189" t="s">
        <v>10766</v>
      </c>
      <c r="P983" s="53" t="s">
        <v>13753</v>
      </c>
      <c r="Q983" s="53" t="s">
        <v>1939</v>
      </c>
      <c r="R983" s="53" t="s">
        <v>13754</v>
      </c>
      <c r="U983" s="29" t="s">
        <v>12797</v>
      </c>
    </row>
    <row r="984" spans="1:21" ht="45" x14ac:dyDescent="0.25">
      <c r="A984" s="56">
        <v>43446</v>
      </c>
      <c r="B984" s="53" t="s">
        <v>569</v>
      </c>
      <c r="C984" s="29" t="s">
        <v>899</v>
      </c>
      <c r="D984" s="29" t="s">
        <v>11286</v>
      </c>
      <c r="F984" s="29" t="s">
        <v>13613</v>
      </c>
      <c r="G984" s="29" t="s">
        <v>13614</v>
      </c>
      <c r="H984" s="29" t="s">
        <v>607</v>
      </c>
      <c r="I984" s="29" t="s">
        <v>13607</v>
      </c>
      <c r="J984" s="29" t="s">
        <v>899</v>
      </c>
      <c r="K984" s="216" t="s">
        <v>13813</v>
      </c>
      <c r="O984" s="189" t="s">
        <v>10766</v>
      </c>
      <c r="P984" s="53" t="s">
        <v>13615</v>
      </c>
      <c r="Q984" s="53" t="s">
        <v>29</v>
      </c>
      <c r="R984" s="53" t="s">
        <v>13616</v>
      </c>
      <c r="U984" s="29" t="s">
        <v>491</v>
      </c>
    </row>
    <row r="985" spans="1:21" ht="60" x14ac:dyDescent="0.25">
      <c r="A985" s="56">
        <v>43446</v>
      </c>
      <c r="B985" s="53" t="s">
        <v>569</v>
      </c>
      <c r="C985" s="29" t="s">
        <v>899</v>
      </c>
      <c r="D985" s="29" t="s">
        <v>625</v>
      </c>
      <c r="F985" s="29" t="s">
        <v>13617</v>
      </c>
      <c r="G985" s="29" t="s">
        <v>13618</v>
      </c>
      <c r="H985" s="29" t="s">
        <v>607</v>
      </c>
      <c r="I985" s="29" t="s">
        <v>3448</v>
      </c>
      <c r="J985" s="29" t="s">
        <v>899</v>
      </c>
      <c r="K985" s="216" t="s">
        <v>13619</v>
      </c>
      <c r="L985" s="182">
        <v>3</v>
      </c>
      <c r="M985" s="113">
        <v>932000</v>
      </c>
      <c r="N985" s="113">
        <v>1700000</v>
      </c>
      <c r="O985" s="189" t="s">
        <v>10766</v>
      </c>
      <c r="P985" s="53" t="s">
        <v>13620</v>
      </c>
      <c r="Q985" s="53" t="s">
        <v>1939</v>
      </c>
      <c r="R985" s="53" t="s">
        <v>13621</v>
      </c>
      <c r="U985" s="29" t="s">
        <v>491</v>
      </c>
    </row>
    <row r="986" spans="1:21" ht="105" x14ac:dyDescent="0.25">
      <c r="A986" s="56">
        <v>43446</v>
      </c>
      <c r="B986" s="53" t="s">
        <v>569</v>
      </c>
      <c r="C986" s="29" t="s">
        <v>899</v>
      </c>
      <c r="D986" s="29" t="s">
        <v>11031</v>
      </c>
      <c r="F986" s="29" t="s">
        <v>13622</v>
      </c>
      <c r="G986" s="29" t="s">
        <v>13623</v>
      </c>
      <c r="H986" s="29" t="s">
        <v>809</v>
      </c>
      <c r="I986" s="29" t="s">
        <v>2054</v>
      </c>
      <c r="J986" s="29" t="s">
        <v>899</v>
      </c>
      <c r="K986" s="216" t="s">
        <v>13624</v>
      </c>
      <c r="M986" s="113">
        <v>2257000</v>
      </c>
      <c r="N986" s="113">
        <v>2257000</v>
      </c>
      <c r="O986" s="189" t="s">
        <v>7564</v>
      </c>
      <c r="P986" s="53" t="s">
        <v>13625</v>
      </c>
      <c r="Q986" s="53" t="s">
        <v>1939</v>
      </c>
      <c r="R986" s="53" t="s">
        <v>13755</v>
      </c>
      <c r="U986" s="29" t="s">
        <v>12797</v>
      </c>
    </row>
    <row r="987" spans="1:21" ht="90" x14ac:dyDescent="0.25">
      <c r="A987" s="56">
        <v>43447</v>
      </c>
      <c r="B987" s="53" t="s">
        <v>328</v>
      </c>
      <c r="C987" s="29" t="s">
        <v>603</v>
      </c>
      <c r="D987" s="29" t="s">
        <v>1401</v>
      </c>
      <c r="F987" s="29" t="s">
        <v>13626</v>
      </c>
      <c r="G987" s="29" t="s">
        <v>7814</v>
      </c>
      <c r="H987" s="29" t="s">
        <v>607</v>
      </c>
      <c r="I987" s="29" t="s">
        <v>3557</v>
      </c>
      <c r="J987" s="29" t="s">
        <v>899</v>
      </c>
      <c r="K987" s="216" t="s">
        <v>13627</v>
      </c>
      <c r="L987" s="182">
        <v>1</v>
      </c>
      <c r="M987" s="113">
        <v>1400000</v>
      </c>
      <c r="N987" s="113">
        <f>M987+140000+700000+280000</f>
        <v>2520000</v>
      </c>
      <c r="O987" s="189" t="s">
        <v>7564</v>
      </c>
      <c r="P987" s="53" t="s">
        <v>13628</v>
      </c>
      <c r="Q987" s="53" t="s">
        <v>620</v>
      </c>
      <c r="R987" s="53" t="s">
        <v>13767</v>
      </c>
      <c r="U987" s="29" t="s">
        <v>12797</v>
      </c>
    </row>
    <row r="988" spans="1:21" ht="390" x14ac:dyDescent="0.25">
      <c r="A988" s="56">
        <v>43447</v>
      </c>
      <c r="B988" s="53" t="s">
        <v>5360</v>
      </c>
      <c r="C988" s="29" t="s">
        <v>899</v>
      </c>
      <c r="D988" s="29" t="s">
        <v>732</v>
      </c>
      <c r="F988" s="29" t="s">
        <v>12821</v>
      </c>
      <c r="G988" s="29" t="s">
        <v>13843</v>
      </c>
      <c r="H988" s="29" t="s">
        <v>809</v>
      </c>
      <c r="I988" s="29" t="s">
        <v>3929</v>
      </c>
      <c r="J988" s="29" t="s">
        <v>899</v>
      </c>
      <c r="K988" s="216" t="s">
        <v>13629</v>
      </c>
      <c r="L988" s="182">
        <v>1</v>
      </c>
      <c r="M988" s="113">
        <v>1895000</v>
      </c>
      <c r="N988" s="113">
        <f>M988</f>
        <v>1895000</v>
      </c>
      <c r="O988" s="189" t="s">
        <v>2295</v>
      </c>
      <c r="P988" s="53" t="s">
        <v>13756</v>
      </c>
      <c r="Q988" s="53" t="s">
        <v>1612</v>
      </c>
      <c r="R988" s="53" t="s">
        <v>13844</v>
      </c>
      <c r="U988" s="29" t="s">
        <v>12797</v>
      </c>
    </row>
    <row r="989" spans="1:21" ht="45" x14ac:dyDescent="0.25">
      <c r="A989" s="56">
        <v>43447</v>
      </c>
      <c r="B989" s="53" t="s">
        <v>569</v>
      </c>
      <c r="C989" s="29" t="s">
        <v>899</v>
      </c>
      <c r="D989" s="29" t="s">
        <v>11031</v>
      </c>
      <c r="F989" s="29" t="s">
        <v>13630</v>
      </c>
      <c r="G989" s="29" t="s">
        <v>13631</v>
      </c>
      <c r="H989" s="29" t="s">
        <v>607</v>
      </c>
      <c r="I989" s="29" t="s">
        <v>13632</v>
      </c>
      <c r="J989" s="29" t="s">
        <v>899</v>
      </c>
      <c r="K989" s="216" t="s">
        <v>13633</v>
      </c>
      <c r="L989" s="182">
        <v>5</v>
      </c>
      <c r="M989" s="113">
        <v>240000</v>
      </c>
      <c r="N989" s="113">
        <f>M989+120000+48000</f>
        <v>408000</v>
      </c>
      <c r="O989" s="189" t="s">
        <v>7564</v>
      </c>
      <c r="P989" s="53" t="s">
        <v>13757</v>
      </c>
      <c r="Q989" s="53" t="s">
        <v>1939</v>
      </c>
      <c r="R989" s="53" t="s">
        <v>13646</v>
      </c>
      <c r="U989" s="29" t="s">
        <v>12797</v>
      </c>
    </row>
    <row r="990" spans="1:21" ht="75" x14ac:dyDescent="0.25">
      <c r="A990" s="56">
        <v>43447</v>
      </c>
      <c r="B990" s="53" t="s">
        <v>9240</v>
      </c>
      <c r="C990" s="29" t="s">
        <v>603</v>
      </c>
      <c r="D990" s="29" t="s">
        <v>7814</v>
      </c>
      <c r="F990" s="29" t="s">
        <v>13634</v>
      </c>
      <c r="G990" s="29" t="s">
        <v>13635</v>
      </c>
      <c r="H990" s="29" t="s">
        <v>607</v>
      </c>
      <c r="I990" s="29" t="s">
        <v>13636</v>
      </c>
      <c r="J990" s="29" t="s">
        <v>3751</v>
      </c>
      <c r="K990" s="216" t="s">
        <v>13637</v>
      </c>
      <c r="L990" s="182">
        <v>8</v>
      </c>
      <c r="M990" s="113">
        <v>290000</v>
      </c>
      <c r="N990" s="113">
        <f>M990+29000+145000+29000</f>
        <v>493000</v>
      </c>
      <c r="O990" s="189" t="s">
        <v>10766</v>
      </c>
      <c r="P990" s="53" t="s">
        <v>13758</v>
      </c>
      <c r="Q990" s="53" t="s">
        <v>620</v>
      </c>
      <c r="R990" s="53" t="s">
        <v>13638</v>
      </c>
      <c r="U990" s="29" t="s">
        <v>12797</v>
      </c>
    </row>
    <row r="991" spans="1:21" ht="105" x14ac:dyDescent="0.25">
      <c r="A991" s="56">
        <v>43447</v>
      </c>
      <c r="B991" s="53" t="s">
        <v>5956</v>
      </c>
      <c r="C991" s="29" t="s">
        <v>3369</v>
      </c>
      <c r="D991" s="29" t="s">
        <v>8126</v>
      </c>
      <c r="F991" s="29" t="s">
        <v>13647</v>
      </c>
      <c r="G991" s="29" t="s">
        <v>8941</v>
      </c>
      <c r="H991" s="29" t="s">
        <v>607</v>
      </c>
      <c r="I991" s="29" t="s">
        <v>13648</v>
      </c>
      <c r="J991" s="29" t="s">
        <v>4825</v>
      </c>
      <c r="K991" s="216" t="s">
        <v>13649</v>
      </c>
      <c r="M991" s="113">
        <v>425000</v>
      </c>
      <c r="N991" s="113">
        <f>M991+42500+297500+42500</f>
        <v>807500</v>
      </c>
      <c r="O991" s="189" t="s">
        <v>10763</v>
      </c>
      <c r="P991" s="53" t="s">
        <v>13759</v>
      </c>
      <c r="Q991" s="53" t="s">
        <v>620</v>
      </c>
      <c r="R991" s="53" t="s">
        <v>13760</v>
      </c>
      <c r="U991" s="29" t="s">
        <v>12797</v>
      </c>
    </row>
    <row r="992" spans="1:21" ht="45" x14ac:dyDescent="0.25">
      <c r="A992" s="56">
        <v>43448</v>
      </c>
      <c r="B992" s="53" t="s">
        <v>13559</v>
      </c>
      <c r="C992" s="29" t="s">
        <v>4031</v>
      </c>
      <c r="D992" s="29" t="s">
        <v>13639</v>
      </c>
      <c r="F992" s="29" t="s">
        <v>13640</v>
      </c>
      <c r="G992" s="29" t="s">
        <v>13641</v>
      </c>
      <c r="H992" s="29" t="s">
        <v>905</v>
      </c>
      <c r="I992" s="29" t="s">
        <v>13642</v>
      </c>
      <c r="J992" s="29" t="s">
        <v>3523</v>
      </c>
      <c r="K992" s="216" t="s">
        <v>13643</v>
      </c>
      <c r="M992" s="113">
        <v>250000</v>
      </c>
      <c r="N992" s="113">
        <v>275000</v>
      </c>
      <c r="O992" s="189" t="s">
        <v>10762</v>
      </c>
      <c r="P992" s="53" t="s">
        <v>13644</v>
      </c>
      <c r="Q992" s="53" t="s">
        <v>1939</v>
      </c>
      <c r="R992" s="53" t="s">
        <v>13645</v>
      </c>
      <c r="U992" s="29" t="s">
        <v>491</v>
      </c>
    </row>
    <row r="993" spans="1:21" ht="60" x14ac:dyDescent="0.25">
      <c r="A993" s="56">
        <v>43448</v>
      </c>
      <c r="B993" s="53" t="s">
        <v>328</v>
      </c>
      <c r="C993" s="29" t="s">
        <v>603</v>
      </c>
      <c r="D993" s="29" t="s">
        <v>649</v>
      </c>
      <c r="F993" s="29" t="s">
        <v>13650</v>
      </c>
      <c r="G993" s="29" t="s">
        <v>7761</v>
      </c>
      <c r="H993" s="29" t="s">
        <v>809</v>
      </c>
      <c r="I993" s="29" t="s">
        <v>13651</v>
      </c>
      <c r="J993" s="29" t="s">
        <v>899</v>
      </c>
      <c r="K993" s="216" t="s">
        <v>13652</v>
      </c>
      <c r="L993" s="182">
        <v>3</v>
      </c>
      <c r="M993" s="113">
        <v>160000</v>
      </c>
      <c r="N993" s="113">
        <v>170000</v>
      </c>
      <c r="O993" s="189" t="s">
        <v>10765</v>
      </c>
      <c r="P993" s="53" t="s">
        <v>13761</v>
      </c>
      <c r="Q993" s="53" t="s">
        <v>29</v>
      </c>
      <c r="R993" s="53" t="s">
        <v>13653</v>
      </c>
      <c r="U993" s="29" t="s">
        <v>12797</v>
      </c>
    </row>
    <row r="994" spans="1:21" ht="60" x14ac:dyDescent="0.25">
      <c r="A994" s="56">
        <v>43451</v>
      </c>
      <c r="B994" s="53" t="s">
        <v>328</v>
      </c>
      <c r="C994" s="29" t="s">
        <v>603</v>
      </c>
      <c r="D994" s="29" t="s">
        <v>5701</v>
      </c>
      <c r="F994" s="29" t="s">
        <v>13654</v>
      </c>
      <c r="H994" s="29" t="s">
        <v>10831</v>
      </c>
      <c r="I994" s="29" t="s">
        <v>13237</v>
      </c>
      <c r="J994" s="29" t="s">
        <v>3371</v>
      </c>
      <c r="K994" s="216" t="s">
        <v>13655</v>
      </c>
      <c r="L994" s="182">
        <v>10</v>
      </c>
      <c r="M994" s="113">
        <v>2141000</v>
      </c>
      <c r="N994" s="113">
        <v>3211200</v>
      </c>
      <c r="O994" s="189" t="s">
        <v>10762</v>
      </c>
      <c r="P994" s="53" t="s">
        <v>13656</v>
      </c>
      <c r="Q994" s="53" t="s">
        <v>1939</v>
      </c>
      <c r="R994" s="53" t="s">
        <v>13657</v>
      </c>
      <c r="U994" s="29" t="s">
        <v>491</v>
      </c>
    </row>
    <row r="995" spans="1:21" ht="45" x14ac:dyDescent="0.25">
      <c r="A995" s="56">
        <v>43451</v>
      </c>
      <c r="B995" s="53" t="s">
        <v>5956</v>
      </c>
      <c r="C995" s="29" t="s">
        <v>3369</v>
      </c>
      <c r="D995" s="29" t="s">
        <v>8126</v>
      </c>
      <c r="F995" s="29" t="s">
        <v>13658</v>
      </c>
      <c r="G995" s="29" t="s">
        <v>13659</v>
      </c>
      <c r="H995" s="29" t="s">
        <v>905</v>
      </c>
      <c r="I995" s="29" t="s">
        <v>7662</v>
      </c>
      <c r="J995" s="29" t="s">
        <v>4825</v>
      </c>
      <c r="K995" s="216" t="s">
        <v>13660</v>
      </c>
      <c r="L995" s="182">
        <v>5</v>
      </c>
      <c r="M995" s="113">
        <v>320000</v>
      </c>
      <c r="N995" s="113">
        <v>354000</v>
      </c>
      <c r="O995" s="189" t="s">
        <v>10762</v>
      </c>
      <c r="P995" s="53" t="s">
        <v>13661</v>
      </c>
      <c r="Q995" s="53" t="s">
        <v>1939</v>
      </c>
      <c r="R995" s="53" t="s">
        <v>13662</v>
      </c>
      <c r="U995" s="29" t="s">
        <v>491</v>
      </c>
    </row>
    <row r="996" spans="1:21" ht="75" x14ac:dyDescent="0.25">
      <c r="A996" s="56">
        <v>43451</v>
      </c>
      <c r="B996" s="53" t="s">
        <v>643</v>
      </c>
      <c r="C996" s="29" t="s">
        <v>644</v>
      </c>
      <c r="D996" s="29" t="s">
        <v>645</v>
      </c>
      <c r="F996" s="29" t="s">
        <v>15</v>
      </c>
      <c r="G996" s="29" t="s">
        <v>8518</v>
      </c>
      <c r="H996" s="29" t="s">
        <v>607</v>
      </c>
      <c r="I996" s="29" t="s">
        <v>4740</v>
      </c>
      <c r="J996" s="29" t="s">
        <v>644</v>
      </c>
      <c r="K996" s="216" t="s">
        <v>13663</v>
      </c>
      <c r="L996" s="182">
        <v>3</v>
      </c>
      <c r="M996" s="113">
        <v>486000</v>
      </c>
      <c r="N996" s="113">
        <v>1020400</v>
      </c>
      <c r="O996" s="189" t="s">
        <v>10765</v>
      </c>
      <c r="P996" s="53" t="s">
        <v>13664</v>
      </c>
      <c r="Q996" s="53" t="s">
        <v>1939</v>
      </c>
      <c r="R996" s="53" t="s">
        <v>13665</v>
      </c>
      <c r="U996" s="29" t="s">
        <v>491</v>
      </c>
    </row>
    <row r="997" spans="1:21" ht="60" x14ac:dyDescent="0.25">
      <c r="A997" s="56">
        <v>43451</v>
      </c>
      <c r="B997" s="53" t="s">
        <v>569</v>
      </c>
      <c r="C997" s="29" t="s">
        <v>899</v>
      </c>
      <c r="D997" s="29" t="s">
        <v>625</v>
      </c>
      <c r="F997" s="29" t="s">
        <v>13666</v>
      </c>
      <c r="G997" s="29" t="s">
        <v>13667</v>
      </c>
      <c r="H997" s="29" t="s">
        <v>607</v>
      </c>
      <c r="I997" s="29" t="s">
        <v>2054</v>
      </c>
      <c r="J997" s="29" t="s">
        <v>899</v>
      </c>
      <c r="K997" s="216" t="s">
        <v>13668</v>
      </c>
      <c r="L997" s="182">
        <v>3</v>
      </c>
      <c r="M997" s="113">
        <v>1200000</v>
      </c>
      <c r="N997" s="113">
        <v>2310000</v>
      </c>
      <c r="O997" s="189" t="s">
        <v>7564</v>
      </c>
      <c r="P997" s="53" t="s">
        <v>13669</v>
      </c>
      <c r="Q997" s="53" t="s">
        <v>1939</v>
      </c>
      <c r="R997" s="53" t="s">
        <v>13670</v>
      </c>
      <c r="U997" s="29" t="s">
        <v>491</v>
      </c>
    </row>
    <row r="998" spans="1:21" ht="90" x14ac:dyDescent="0.25">
      <c r="A998" s="56">
        <v>43452</v>
      </c>
      <c r="B998" s="53" t="s">
        <v>328</v>
      </c>
      <c r="C998" s="29" t="s">
        <v>603</v>
      </c>
      <c r="D998" s="29" t="s">
        <v>7595</v>
      </c>
      <c r="F998" s="29" t="s">
        <v>12020</v>
      </c>
      <c r="G998" s="29" t="s">
        <v>10705</v>
      </c>
      <c r="H998" s="29" t="s">
        <v>10831</v>
      </c>
      <c r="I998" s="29" t="s">
        <v>6979</v>
      </c>
      <c r="J998" s="29" t="s">
        <v>603</v>
      </c>
      <c r="K998" s="216" t="s">
        <v>13671</v>
      </c>
      <c r="L998" s="182">
        <v>3</v>
      </c>
      <c r="M998" s="113">
        <v>510000</v>
      </c>
      <c r="N998" s="113">
        <v>911000</v>
      </c>
      <c r="O998" s="189" t="s">
        <v>7564</v>
      </c>
      <c r="P998" s="53" t="s">
        <v>13762</v>
      </c>
      <c r="Q998" s="53" t="s">
        <v>29</v>
      </c>
      <c r="R998" s="53" t="s">
        <v>13672</v>
      </c>
      <c r="U998" s="29" t="s">
        <v>12797</v>
      </c>
    </row>
    <row r="999" spans="1:21" ht="90" x14ac:dyDescent="0.25">
      <c r="A999" s="56">
        <v>43452</v>
      </c>
      <c r="B999" s="53" t="s">
        <v>328</v>
      </c>
      <c r="C999" s="29" t="s">
        <v>603</v>
      </c>
      <c r="D999" s="29" t="s">
        <v>10705</v>
      </c>
      <c r="F999" s="29" t="s">
        <v>13675</v>
      </c>
      <c r="G999" s="29" t="s">
        <v>7814</v>
      </c>
      <c r="H999" s="29" t="s">
        <v>607</v>
      </c>
      <c r="I999" s="29" t="s">
        <v>13676</v>
      </c>
      <c r="J999" s="29" t="s">
        <v>899</v>
      </c>
      <c r="K999" s="216" t="s">
        <v>13677</v>
      </c>
      <c r="L999" s="182">
        <v>6</v>
      </c>
      <c r="M999" s="113">
        <v>804000</v>
      </c>
      <c r="N999" s="113">
        <v>1366800</v>
      </c>
      <c r="O999" s="189" t="s">
        <v>7564</v>
      </c>
      <c r="P999" s="33" t="s">
        <v>13763</v>
      </c>
      <c r="Q999" s="53" t="s">
        <v>1939</v>
      </c>
      <c r="R999" s="53" t="s">
        <v>13678</v>
      </c>
      <c r="U999" s="29" t="s">
        <v>491</v>
      </c>
    </row>
    <row r="1000" spans="1:21" ht="45" x14ac:dyDescent="0.25">
      <c r="A1000" s="56">
        <v>43454</v>
      </c>
      <c r="B1000" s="53" t="s">
        <v>328</v>
      </c>
      <c r="C1000" s="29" t="s">
        <v>603</v>
      </c>
      <c r="D1000" s="29" t="s">
        <v>5701</v>
      </c>
      <c r="F1000" s="29" t="s">
        <v>13679</v>
      </c>
      <c r="G1000" s="29" t="s">
        <v>7855</v>
      </c>
      <c r="H1000" s="29" t="s">
        <v>886</v>
      </c>
      <c r="I1000" s="29" t="s">
        <v>13680</v>
      </c>
      <c r="J1000" s="29" t="s">
        <v>3373</v>
      </c>
      <c r="K1000" s="216" t="s">
        <v>13681</v>
      </c>
      <c r="L1000" s="182">
        <v>9</v>
      </c>
      <c r="M1000" s="113">
        <v>3000000</v>
      </c>
      <c r="N1000" s="113">
        <f>M1000+300000+5000</f>
        <v>3305000</v>
      </c>
      <c r="O1000" s="189" t="s">
        <v>2295</v>
      </c>
      <c r="P1000" s="53" t="s">
        <v>13682</v>
      </c>
      <c r="Q1000" s="53" t="s">
        <v>29</v>
      </c>
      <c r="R1000" s="53" t="s">
        <v>13683</v>
      </c>
      <c r="U1000" s="29" t="s">
        <v>12797</v>
      </c>
    </row>
    <row r="1001" spans="1:21" ht="105" x14ac:dyDescent="0.25">
      <c r="A1001" s="56">
        <v>43454</v>
      </c>
      <c r="B1001" s="53" t="s">
        <v>569</v>
      </c>
      <c r="C1001" s="29" t="s">
        <v>899</v>
      </c>
      <c r="D1001" s="29" t="s">
        <v>9981</v>
      </c>
      <c r="F1001" s="29" t="s">
        <v>13684</v>
      </c>
      <c r="G1001" s="29" t="s">
        <v>13685</v>
      </c>
      <c r="H1001" s="29" t="s">
        <v>607</v>
      </c>
      <c r="I1001" s="29" t="s">
        <v>13686</v>
      </c>
      <c r="J1001" s="29" t="s">
        <v>899</v>
      </c>
      <c r="K1001" s="216" t="s">
        <v>13687</v>
      </c>
      <c r="L1001" s="182">
        <v>3</v>
      </c>
      <c r="M1001" s="113">
        <v>440000</v>
      </c>
      <c r="N1001" s="113">
        <f>M1001+60000+212500+85000</f>
        <v>797500</v>
      </c>
      <c r="O1001" s="189" t="s">
        <v>10766</v>
      </c>
      <c r="P1001" s="53" t="s">
        <v>13688</v>
      </c>
      <c r="Q1001" s="53" t="s">
        <v>1939</v>
      </c>
      <c r="R1001" s="53" t="s">
        <v>13764</v>
      </c>
      <c r="U1001" s="29" t="s">
        <v>12797</v>
      </c>
    </row>
    <row r="1002" spans="1:21" ht="30" x14ac:dyDescent="0.25">
      <c r="A1002" s="56">
        <v>43454</v>
      </c>
      <c r="B1002" s="53" t="s">
        <v>569</v>
      </c>
      <c r="C1002" s="29" t="s">
        <v>899</v>
      </c>
      <c r="D1002" s="29" t="s">
        <v>1070</v>
      </c>
      <c r="F1002" s="29" t="s">
        <v>13689</v>
      </c>
      <c r="G1002" s="29" t="s">
        <v>13690</v>
      </c>
      <c r="H1002" s="29" t="s">
        <v>607</v>
      </c>
      <c r="I1002" s="29" t="s">
        <v>13691</v>
      </c>
      <c r="J1002" s="29" t="s">
        <v>899</v>
      </c>
      <c r="K1002" s="216" t="s">
        <v>13692</v>
      </c>
      <c r="L1002" s="182">
        <v>3</v>
      </c>
      <c r="M1002" s="113">
        <v>2760120</v>
      </c>
      <c r="N1002" s="113">
        <v>4360120</v>
      </c>
      <c r="O1002" s="189" t="s">
        <v>560</v>
      </c>
      <c r="P1002" s="53" t="s">
        <v>13693</v>
      </c>
      <c r="Q1002" s="53" t="s">
        <v>29</v>
      </c>
      <c r="R1002" s="53" t="s">
        <v>13694</v>
      </c>
      <c r="U1002" s="29" t="s">
        <v>491</v>
      </c>
    </row>
    <row r="1003" spans="1:21" ht="90" x14ac:dyDescent="0.25">
      <c r="A1003" s="56">
        <v>43460</v>
      </c>
      <c r="B1003" s="53" t="s">
        <v>328</v>
      </c>
      <c r="C1003" s="29" t="s">
        <v>603</v>
      </c>
      <c r="D1003" s="29" t="s">
        <v>10705</v>
      </c>
      <c r="F1003" s="29" t="s">
        <v>13695</v>
      </c>
      <c r="G1003" s="29" t="s">
        <v>13696</v>
      </c>
      <c r="H1003" s="29" t="s">
        <v>607</v>
      </c>
      <c r="I1003" s="29" t="s">
        <v>13697</v>
      </c>
      <c r="J1003" s="29" t="s">
        <v>4031</v>
      </c>
      <c r="K1003" s="216" t="s">
        <v>13698</v>
      </c>
      <c r="L1003" s="182">
        <v>3</v>
      </c>
      <c r="M1003" s="113">
        <v>630990</v>
      </c>
      <c r="N1003" s="113">
        <v>1250438</v>
      </c>
      <c r="O1003" s="189" t="s">
        <v>10766</v>
      </c>
      <c r="P1003" s="53" t="s">
        <v>13699</v>
      </c>
      <c r="Q1003" s="53" t="s">
        <v>1612</v>
      </c>
      <c r="R1003" s="53" t="s">
        <v>13856</v>
      </c>
      <c r="U1003" s="29" t="s">
        <v>491</v>
      </c>
    </row>
    <row r="1004" spans="1:21" ht="120" x14ac:dyDescent="0.25">
      <c r="A1004" s="56">
        <v>43460</v>
      </c>
      <c r="B1004" s="53" t="s">
        <v>569</v>
      </c>
      <c r="C1004" s="29" t="s">
        <v>899</v>
      </c>
      <c r="D1004" s="29" t="s">
        <v>11031</v>
      </c>
      <c r="F1004" s="29" t="s">
        <v>13700</v>
      </c>
      <c r="G1004" s="29" t="s">
        <v>7814</v>
      </c>
      <c r="H1004" s="29" t="s">
        <v>607</v>
      </c>
      <c r="I1004" s="29" t="s">
        <v>13701</v>
      </c>
      <c r="J1004" s="29" t="s">
        <v>899</v>
      </c>
      <c r="K1004" s="216" t="s">
        <v>13702</v>
      </c>
      <c r="L1004" s="182">
        <v>2</v>
      </c>
      <c r="M1004" s="113">
        <v>430000</v>
      </c>
      <c r="N1004" s="113">
        <f>M1004+43000+108000+86000</f>
        <v>667000</v>
      </c>
      <c r="O1004" s="189" t="s">
        <v>10765</v>
      </c>
      <c r="P1004" s="53" t="s">
        <v>13765</v>
      </c>
      <c r="Q1004" s="53" t="s">
        <v>1939</v>
      </c>
      <c r="R1004" s="53" t="s">
        <v>13766</v>
      </c>
      <c r="U1004" s="29" t="s">
        <v>12797</v>
      </c>
    </row>
    <row r="1005" spans="1:21" ht="60" x14ac:dyDescent="0.25">
      <c r="A1005" s="56">
        <v>43461</v>
      </c>
      <c r="B1005" s="53" t="s">
        <v>328</v>
      </c>
      <c r="C1005" s="29" t="s">
        <v>603</v>
      </c>
      <c r="D1005" s="29" t="s">
        <v>649</v>
      </c>
      <c r="F1005" s="29" t="s">
        <v>13703</v>
      </c>
      <c r="G1005" s="29" t="s">
        <v>9375</v>
      </c>
      <c r="H1005" s="29" t="s">
        <v>809</v>
      </c>
      <c r="I1005" s="29" t="s">
        <v>5230</v>
      </c>
      <c r="J1005" s="29" t="s">
        <v>899</v>
      </c>
      <c r="K1005" s="216" t="s">
        <v>13704</v>
      </c>
      <c r="L1005" s="182">
        <v>3</v>
      </c>
      <c r="M1005" s="113">
        <v>1302000</v>
      </c>
      <c r="N1005" s="113">
        <v>1302000</v>
      </c>
      <c r="O1005" s="189" t="s">
        <v>7564</v>
      </c>
      <c r="P1005" s="53" t="s">
        <v>13705</v>
      </c>
      <c r="Q1005" s="53" t="s">
        <v>1939</v>
      </c>
      <c r="R1005" s="53" t="s">
        <v>13706</v>
      </c>
      <c r="U1005" s="29" t="s">
        <v>491</v>
      </c>
    </row>
    <row r="1006" spans="1:21" ht="60" x14ac:dyDescent="0.25">
      <c r="A1006" s="56">
        <v>43461</v>
      </c>
      <c r="B1006" s="53" t="s">
        <v>9240</v>
      </c>
      <c r="C1006" s="29" t="s">
        <v>603</v>
      </c>
      <c r="D1006" s="29" t="s">
        <v>8396</v>
      </c>
      <c r="F1006" s="29" t="s">
        <v>13707</v>
      </c>
      <c r="G1006" s="29" t="s">
        <v>13708</v>
      </c>
      <c r="H1006" s="29" t="s">
        <v>607</v>
      </c>
      <c r="I1006" s="29" t="s">
        <v>8717</v>
      </c>
      <c r="J1006" s="29" t="s">
        <v>3751</v>
      </c>
      <c r="K1006" s="216" t="s">
        <v>13709</v>
      </c>
      <c r="L1006" s="182">
        <v>1</v>
      </c>
      <c r="M1006" s="113">
        <v>325000</v>
      </c>
      <c r="N1006" s="113">
        <v>600000</v>
      </c>
      <c r="O1006" s="189" t="s">
        <v>10766</v>
      </c>
      <c r="P1006" s="53" t="s">
        <v>13710</v>
      </c>
      <c r="Q1006" s="53" t="s">
        <v>29</v>
      </c>
      <c r="R1006" s="53" t="s">
        <v>13711</v>
      </c>
      <c r="U1006" s="29" t="s">
        <v>491</v>
      </c>
    </row>
    <row r="1007" spans="1:21" ht="60" x14ac:dyDescent="0.25">
      <c r="A1007" s="56">
        <v>43461</v>
      </c>
      <c r="B1007" s="53" t="s">
        <v>328</v>
      </c>
      <c r="C1007" s="29" t="s">
        <v>603</v>
      </c>
      <c r="D1007" s="29" t="s">
        <v>757</v>
      </c>
      <c r="F1007" s="29" t="s">
        <v>9002</v>
      </c>
      <c r="G1007" s="29" t="s">
        <v>13712</v>
      </c>
      <c r="H1007" s="29" t="s">
        <v>10831</v>
      </c>
      <c r="I1007" s="29" t="s">
        <v>13713</v>
      </c>
      <c r="J1007" s="29" t="s">
        <v>3612</v>
      </c>
      <c r="K1007" s="216" t="s">
        <v>13714</v>
      </c>
      <c r="L1007" s="182">
        <v>6</v>
      </c>
      <c r="M1007" s="113">
        <v>100000</v>
      </c>
      <c r="N1007" s="113">
        <v>200000</v>
      </c>
      <c r="O1007" s="189" t="s">
        <v>10762</v>
      </c>
      <c r="P1007" s="53" t="s">
        <v>13715</v>
      </c>
      <c r="Q1007" s="53" t="s">
        <v>1939</v>
      </c>
      <c r="R1007" s="53" t="s">
        <v>13716</v>
      </c>
      <c r="U1007" s="29" t="s">
        <v>491</v>
      </c>
    </row>
    <row r="1008" spans="1:21" ht="75" x14ac:dyDescent="0.25">
      <c r="A1008" s="56">
        <v>43461</v>
      </c>
      <c r="B1008" s="53" t="s">
        <v>569</v>
      </c>
      <c r="C1008" s="29" t="s">
        <v>899</v>
      </c>
      <c r="D1008" s="29" t="s">
        <v>624</v>
      </c>
      <c r="F1008" s="29" t="s">
        <v>13717</v>
      </c>
      <c r="G1008" s="29" t="s">
        <v>13718</v>
      </c>
      <c r="H1008" s="29" t="s">
        <v>10831</v>
      </c>
      <c r="I1008" s="29" t="s">
        <v>7164</v>
      </c>
      <c r="J1008" s="29" t="s">
        <v>899</v>
      </c>
      <c r="K1008" s="216" t="s">
        <v>13719</v>
      </c>
      <c r="L1008" s="182">
        <v>1</v>
      </c>
      <c r="M1008" s="113">
        <v>532000</v>
      </c>
      <c r="N1008" s="113">
        <f>M1008+48000+336000+106400</f>
        <v>1022400</v>
      </c>
      <c r="O1008" s="189" t="s">
        <v>10879</v>
      </c>
      <c r="P1008" s="53" t="s">
        <v>13720</v>
      </c>
      <c r="Q1008" s="53" t="s">
        <v>620</v>
      </c>
      <c r="R1008" s="53" t="s">
        <v>13721</v>
      </c>
      <c r="U1008" s="29" t="s">
        <v>12797</v>
      </c>
    </row>
    <row r="1009" spans="1:21" ht="60" x14ac:dyDescent="0.25">
      <c r="A1009" s="56">
        <v>43461</v>
      </c>
      <c r="B1009" s="53" t="s">
        <v>569</v>
      </c>
      <c r="C1009" s="29" t="s">
        <v>899</v>
      </c>
      <c r="D1009" s="29" t="s">
        <v>1070</v>
      </c>
      <c r="F1009" s="29" t="s">
        <v>6482</v>
      </c>
      <c r="G1009" s="29" t="s">
        <v>7714</v>
      </c>
      <c r="H1009" s="29" t="s">
        <v>607</v>
      </c>
      <c r="I1009" s="29" t="s">
        <v>10301</v>
      </c>
      <c r="J1009" s="29" t="s">
        <v>899</v>
      </c>
      <c r="K1009" s="216" t="s">
        <v>13722</v>
      </c>
      <c r="L1009" s="182">
        <v>2</v>
      </c>
      <c r="M1009" s="113">
        <v>684000</v>
      </c>
      <c r="N1009" s="113">
        <f>M1009+20000+50000+25000</f>
        <v>779000</v>
      </c>
      <c r="O1009" s="189" t="s">
        <v>10765</v>
      </c>
      <c r="P1009" s="53" t="s">
        <v>13723</v>
      </c>
      <c r="Q1009" s="53" t="s">
        <v>592</v>
      </c>
      <c r="R1009" s="53" t="s">
        <v>13724</v>
      </c>
      <c r="U1009" s="29" t="s">
        <v>12797</v>
      </c>
    </row>
    <row r="1010" spans="1:21" ht="45" x14ac:dyDescent="0.25">
      <c r="A1010" s="56">
        <v>43461</v>
      </c>
      <c r="B1010" s="53" t="s">
        <v>569</v>
      </c>
      <c r="C1010" s="29" t="s">
        <v>899</v>
      </c>
      <c r="D1010" s="29" t="s">
        <v>624</v>
      </c>
      <c r="F1010" s="29" t="s">
        <v>13725</v>
      </c>
      <c r="G1010" s="29" t="s">
        <v>10527</v>
      </c>
      <c r="H1010" s="29" t="s">
        <v>607</v>
      </c>
      <c r="I1010" s="29" t="s">
        <v>12584</v>
      </c>
      <c r="J1010" s="29" t="s">
        <v>899</v>
      </c>
      <c r="K1010" s="216" t="s">
        <v>13726</v>
      </c>
      <c r="L1010" s="182">
        <v>2</v>
      </c>
      <c r="M1010" s="113">
        <v>562500</v>
      </c>
      <c r="N1010" s="113">
        <f>M1010+112500+281250+168750</f>
        <v>1125000</v>
      </c>
      <c r="O1010" s="189" t="s">
        <v>6745</v>
      </c>
      <c r="P1010" s="53" t="s">
        <v>13727</v>
      </c>
      <c r="Q1010" s="53" t="s">
        <v>29</v>
      </c>
      <c r="R1010" s="53" t="s">
        <v>13728</v>
      </c>
      <c r="U1010" s="29" t="s">
        <v>12797</v>
      </c>
    </row>
    <row r="1011" spans="1:21" ht="60" x14ac:dyDescent="0.25">
      <c r="A1011" s="56">
        <v>43462</v>
      </c>
      <c r="B1011" s="53" t="s">
        <v>5360</v>
      </c>
      <c r="C1011" s="29" t="s">
        <v>899</v>
      </c>
      <c r="D1011" s="29" t="s">
        <v>732</v>
      </c>
      <c r="F1011" s="29" t="s">
        <v>9683</v>
      </c>
      <c r="G1011" s="29" t="s">
        <v>13729</v>
      </c>
      <c r="H1011" s="29" t="s">
        <v>607</v>
      </c>
      <c r="I1011" s="29" t="s">
        <v>13519</v>
      </c>
      <c r="J1011" s="29" t="s">
        <v>899</v>
      </c>
      <c r="K1011" s="216" t="s">
        <v>13520</v>
      </c>
      <c r="L1011" s="182">
        <v>4</v>
      </c>
      <c r="M1011" s="113">
        <v>600000</v>
      </c>
      <c r="N1011" s="113">
        <v>1080000</v>
      </c>
      <c r="O1011" s="189" t="s">
        <v>10766</v>
      </c>
      <c r="P1011" s="53" t="s">
        <v>13730</v>
      </c>
      <c r="Q1011" s="53" t="s">
        <v>1939</v>
      </c>
      <c r="R1011" s="53" t="s">
        <v>13731</v>
      </c>
      <c r="U1011" s="29" t="s">
        <v>491</v>
      </c>
    </row>
    <row r="1012" spans="1:21" ht="60" x14ac:dyDescent="0.25">
      <c r="A1012" s="56">
        <v>43462</v>
      </c>
      <c r="B1012" s="53" t="s">
        <v>328</v>
      </c>
      <c r="C1012" s="29" t="s">
        <v>603</v>
      </c>
      <c r="D1012" s="29" t="s">
        <v>7595</v>
      </c>
      <c r="F1012" s="29" t="s">
        <v>13732</v>
      </c>
      <c r="G1012" s="29" t="s">
        <v>7960</v>
      </c>
      <c r="H1012" s="29" t="s">
        <v>607</v>
      </c>
      <c r="I1012" s="29" t="s">
        <v>13733</v>
      </c>
      <c r="J1012" s="29" t="s">
        <v>3733</v>
      </c>
      <c r="K1012" s="216" t="s">
        <v>13734</v>
      </c>
      <c r="L1012" s="182">
        <v>9</v>
      </c>
      <c r="M1012" s="113">
        <v>1000000</v>
      </c>
      <c r="N1012" s="113">
        <v>1600000</v>
      </c>
      <c r="O1012" s="189" t="s">
        <v>10765</v>
      </c>
      <c r="P1012" s="53" t="s">
        <v>13735</v>
      </c>
      <c r="Q1012" s="53" t="s">
        <v>1939</v>
      </c>
      <c r="R1012" s="53" t="s">
        <v>13736</v>
      </c>
      <c r="U1012" s="29" t="s">
        <v>491</v>
      </c>
    </row>
    <row r="1013" spans="1:21" ht="60" x14ac:dyDescent="0.25">
      <c r="A1013" s="56">
        <v>43462</v>
      </c>
      <c r="B1013" s="53" t="s">
        <v>9240</v>
      </c>
      <c r="C1013" s="29" t="s">
        <v>603</v>
      </c>
      <c r="D1013" s="29" t="s">
        <v>9849</v>
      </c>
      <c r="F1013" s="29" t="s">
        <v>13737</v>
      </c>
      <c r="G1013" s="29" t="s">
        <v>13738</v>
      </c>
      <c r="H1013" s="29" t="s">
        <v>10831</v>
      </c>
      <c r="I1013" s="29" t="s">
        <v>13739</v>
      </c>
      <c r="J1013" s="29" t="s">
        <v>5402</v>
      </c>
      <c r="K1013" s="216" t="s">
        <v>13740</v>
      </c>
      <c r="L1013" s="182" t="s">
        <v>13741</v>
      </c>
      <c r="M1013" s="113">
        <v>1000000</v>
      </c>
      <c r="N1013" s="113">
        <v>1120000</v>
      </c>
      <c r="O1013" s="189" t="s">
        <v>10763</v>
      </c>
      <c r="P1013" s="53" t="s">
        <v>13742</v>
      </c>
      <c r="Q1013" s="53" t="s">
        <v>1939</v>
      </c>
      <c r="R1013" s="53" t="s">
        <v>13743</v>
      </c>
      <c r="U1013" s="29" t="s">
        <v>491</v>
      </c>
    </row>
    <row r="1014" spans="1:21" ht="15.75" x14ac:dyDescent="0.25">
      <c r="B1014" s="53"/>
      <c r="O1014" s="189"/>
      <c r="Q1014" s="53" t="s">
        <v>833</v>
      </c>
    </row>
    <row r="1015" spans="1:21" ht="15.75" x14ac:dyDescent="0.25">
      <c r="B1015" s="53"/>
      <c r="O1015" s="189"/>
      <c r="Q1015" s="53" t="s">
        <v>833</v>
      </c>
    </row>
    <row r="1016" spans="1:21" ht="15.75" x14ac:dyDescent="0.25">
      <c r="B1016" s="53"/>
      <c r="O1016" s="189"/>
      <c r="Q1016" s="53" t="s">
        <v>833</v>
      </c>
    </row>
    <row r="1017" spans="1:21" ht="15.75" x14ac:dyDescent="0.25">
      <c r="B1017" s="53"/>
      <c r="O1017" s="189"/>
      <c r="Q1017" s="53" t="s">
        <v>833</v>
      </c>
    </row>
    <row r="1018" spans="1:21" ht="15.75" x14ac:dyDescent="0.25">
      <c r="B1018" s="53"/>
      <c r="O1018" s="189"/>
      <c r="Q1018" s="53" t="s">
        <v>833</v>
      </c>
    </row>
    <row r="1019" spans="1:21" ht="15.75" x14ac:dyDescent="0.25">
      <c r="B1019" s="53"/>
      <c r="O1019" s="189"/>
      <c r="Q1019" s="53" t="s">
        <v>833</v>
      </c>
    </row>
    <row r="1020" spans="1:21" ht="15.75" x14ac:dyDescent="0.25">
      <c r="B1020" s="53"/>
      <c r="O1020" s="189"/>
      <c r="Q1020" s="53" t="s">
        <v>833</v>
      </c>
    </row>
    <row r="1021" spans="1:21" ht="15.75" x14ac:dyDescent="0.25">
      <c r="B1021" s="53"/>
      <c r="O1021" s="189"/>
      <c r="Q1021" s="53" t="s">
        <v>833</v>
      </c>
    </row>
    <row r="1022" spans="1:21" ht="15.75" x14ac:dyDescent="0.25">
      <c r="B1022" s="53"/>
      <c r="O1022" s="189"/>
      <c r="Q1022" s="53" t="s">
        <v>833</v>
      </c>
    </row>
    <row r="1023" spans="1:21" ht="15.75" x14ac:dyDescent="0.25">
      <c r="B1023" s="53"/>
      <c r="O1023" s="189"/>
      <c r="Q1023" s="53" t="s">
        <v>833</v>
      </c>
    </row>
    <row r="1024" spans="1:21" ht="15.75" x14ac:dyDescent="0.25">
      <c r="B1024" s="53"/>
      <c r="O1024" s="189"/>
      <c r="Q1024" s="53" t="s">
        <v>833</v>
      </c>
    </row>
    <row r="1025" spans="2:17" ht="15.75" x14ac:dyDescent="0.25">
      <c r="B1025" s="53"/>
      <c r="O1025" s="189"/>
      <c r="Q1025" s="53" t="s">
        <v>833</v>
      </c>
    </row>
    <row r="1026" spans="2:17" ht="15.75" x14ac:dyDescent="0.25">
      <c r="B1026" s="53"/>
      <c r="O1026" s="189"/>
      <c r="Q1026" s="53" t="s">
        <v>833</v>
      </c>
    </row>
    <row r="1027" spans="2:17" ht="15.75" x14ac:dyDescent="0.25">
      <c r="B1027" s="53"/>
      <c r="O1027" s="189"/>
      <c r="Q1027" s="53" t="s">
        <v>833</v>
      </c>
    </row>
    <row r="1028" spans="2:17" ht="15.75" x14ac:dyDescent="0.25">
      <c r="B1028" s="53"/>
      <c r="O1028" s="189"/>
      <c r="Q1028" s="53" t="s">
        <v>833</v>
      </c>
    </row>
    <row r="1029" spans="2:17" ht="15.75" x14ac:dyDescent="0.25">
      <c r="B1029" s="53"/>
      <c r="O1029" s="189"/>
      <c r="Q1029" s="53" t="s">
        <v>833</v>
      </c>
    </row>
    <row r="1030" spans="2:17" ht="15.75" x14ac:dyDescent="0.25">
      <c r="B1030" s="53"/>
      <c r="O1030" s="189"/>
      <c r="Q1030" s="53" t="s">
        <v>833</v>
      </c>
    </row>
    <row r="1031" spans="2:17" ht="15.75" x14ac:dyDescent="0.25">
      <c r="B1031" s="53"/>
      <c r="O1031" s="189"/>
      <c r="Q1031" s="53" t="s">
        <v>833</v>
      </c>
    </row>
    <row r="1032" spans="2:17" ht="15.75" x14ac:dyDescent="0.25">
      <c r="B1032" s="53"/>
      <c r="O1032" s="189"/>
      <c r="Q1032" s="53" t="s">
        <v>833</v>
      </c>
    </row>
    <row r="1033" spans="2:17" ht="15.75" x14ac:dyDescent="0.25">
      <c r="B1033" s="53"/>
      <c r="O1033" s="189"/>
      <c r="Q1033" s="53" t="s">
        <v>833</v>
      </c>
    </row>
    <row r="1034" spans="2:17" ht="15.75" x14ac:dyDescent="0.25">
      <c r="B1034" s="53"/>
      <c r="O1034" s="189"/>
      <c r="Q1034" s="53" t="s">
        <v>833</v>
      </c>
    </row>
    <row r="1035" spans="2:17" ht="15.75" x14ac:dyDescent="0.25">
      <c r="B1035" s="53"/>
      <c r="O1035" s="189"/>
      <c r="Q1035" s="53" t="s">
        <v>833</v>
      </c>
    </row>
    <row r="1036" spans="2:17" ht="15.75" x14ac:dyDescent="0.25">
      <c r="B1036" s="53"/>
      <c r="O1036" s="189"/>
      <c r="Q1036" s="53" t="s">
        <v>833</v>
      </c>
    </row>
    <row r="1037" spans="2:17" ht="15.75" x14ac:dyDescent="0.25">
      <c r="B1037" s="53"/>
      <c r="O1037" s="189"/>
      <c r="Q1037" s="53" t="s">
        <v>833</v>
      </c>
    </row>
    <row r="1038" spans="2:17" ht="15.75" x14ac:dyDescent="0.25">
      <c r="B1038" s="53"/>
      <c r="O1038" s="189"/>
      <c r="Q1038" s="53" t="s">
        <v>833</v>
      </c>
    </row>
    <row r="1039" spans="2:17" ht="15.75" x14ac:dyDescent="0.25">
      <c r="B1039" s="53"/>
      <c r="O1039" s="189"/>
      <c r="Q1039" s="53" t="s">
        <v>833</v>
      </c>
    </row>
    <row r="1040" spans="2:17" ht="15.75" x14ac:dyDescent="0.25">
      <c r="B1040" s="53"/>
      <c r="O1040" s="189"/>
      <c r="Q1040" s="53" t="s">
        <v>833</v>
      </c>
    </row>
    <row r="1041" spans="2:17" ht="15.75" x14ac:dyDescent="0.25">
      <c r="B1041" s="53"/>
      <c r="O1041" s="189"/>
      <c r="Q1041" s="53" t="s">
        <v>833</v>
      </c>
    </row>
    <row r="1042" spans="2:17" ht="15.75" x14ac:dyDescent="0.25">
      <c r="B1042" s="53"/>
      <c r="O1042" s="189"/>
      <c r="Q1042" s="53" t="s">
        <v>833</v>
      </c>
    </row>
    <row r="1043" spans="2:17" ht="15.75" x14ac:dyDescent="0.25">
      <c r="B1043" s="53"/>
      <c r="O1043" s="189"/>
      <c r="Q1043" s="53" t="s">
        <v>833</v>
      </c>
    </row>
    <row r="1044" spans="2:17" ht="15.75" x14ac:dyDescent="0.25">
      <c r="B1044" s="53"/>
      <c r="O1044" s="189"/>
      <c r="Q1044" s="53" t="s">
        <v>833</v>
      </c>
    </row>
    <row r="1045" spans="2:17" ht="15.75" x14ac:dyDescent="0.25">
      <c r="B1045" s="53"/>
      <c r="O1045" s="189"/>
      <c r="Q1045" s="53" t="s">
        <v>833</v>
      </c>
    </row>
    <row r="1046" spans="2:17" ht="15.75" x14ac:dyDescent="0.25">
      <c r="B1046" s="53"/>
      <c r="O1046" s="189"/>
      <c r="Q1046" s="53" t="s">
        <v>833</v>
      </c>
    </row>
    <row r="1047" spans="2:17" ht="15.75" x14ac:dyDescent="0.25">
      <c r="B1047" s="53"/>
      <c r="O1047" s="189"/>
      <c r="Q1047" s="53" t="s">
        <v>833</v>
      </c>
    </row>
    <row r="1048" spans="2:17" ht="15.75" x14ac:dyDescent="0.25">
      <c r="B1048" s="53"/>
      <c r="O1048" s="189"/>
      <c r="Q1048" s="53" t="s">
        <v>833</v>
      </c>
    </row>
    <row r="1049" spans="2:17" ht="15.75" x14ac:dyDescent="0.25">
      <c r="B1049" s="53"/>
      <c r="O1049" s="189"/>
      <c r="Q1049" s="53" t="s">
        <v>833</v>
      </c>
    </row>
    <row r="1050" spans="2:17" ht="15.75" x14ac:dyDescent="0.25">
      <c r="B1050" s="53"/>
      <c r="O1050" s="189"/>
      <c r="Q1050" s="53" t="s">
        <v>833</v>
      </c>
    </row>
    <row r="1051" spans="2:17" ht="15.75" x14ac:dyDescent="0.25">
      <c r="B1051" s="53"/>
      <c r="O1051" s="189"/>
      <c r="Q1051" s="53" t="s">
        <v>833</v>
      </c>
    </row>
    <row r="1052" spans="2:17" ht="15.75" x14ac:dyDescent="0.25">
      <c r="B1052" s="53"/>
      <c r="O1052" s="189"/>
      <c r="Q1052" s="53" t="s">
        <v>833</v>
      </c>
    </row>
    <row r="1053" spans="2:17" ht="15.75" x14ac:dyDescent="0.25">
      <c r="B1053" s="53"/>
      <c r="O1053" s="189"/>
      <c r="Q1053" s="53" t="s">
        <v>833</v>
      </c>
    </row>
    <row r="1054" spans="2:17" ht="15.75" x14ac:dyDescent="0.25">
      <c r="B1054" s="53"/>
      <c r="O1054" s="189"/>
      <c r="Q1054" s="53" t="s">
        <v>833</v>
      </c>
    </row>
    <row r="1055" spans="2:17" ht="15.75" x14ac:dyDescent="0.25">
      <c r="B1055" s="53"/>
      <c r="O1055" s="189"/>
      <c r="Q1055" s="53" t="s">
        <v>833</v>
      </c>
    </row>
    <row r="1056" spans="2:17" ht="15.75" x14ac:dyDescent="0.25">
      <c r="B1056" s="53"/>
      <c r="O1056" s="189"/>
      <c r="Q1056" s="53" t="s">
        <v>833</v>
      </c>
    </row>
    <row r="1057" spans="2:17" ht="15.75" x14ac:dyDescent="0.25">
      <c r="B1057" s="53"/>
      <c r="O1057" s="189"/>
      <c r="Q1057" s="53" t="s">
        <v>833</v>
      </c>
    </row>
    <row r="1058" spans="2:17" ht="15.75" x14ac:dyDescent="0.25">
      <c r="B1058" s="53"/>
      <c r="O1058" s="189"/>
      <c r="Q1058" s="53" t="s">
        <v>833</v>
      </c>
    </row>
    <row r="1059" spans="2:17" ht="15.75" x14ac:dyDescent="0.25">
      <c r="B1059" s="53"/>
      <c r="O1059" s="189"/>
      <c r="Q1059" s="53" t="s">
        <v>833</v>
      </c>
    </row>
    <row r="1060" spans="2:17" ht="15.75" x14ac:dyDescent="0.25">
      <c r="B1060" s="53"/>
      <c r="O1060" s="189"/>
      <c r="Q1060" s="53" t="s">
        <v>833</v>
      </c>
    </row>
    <row r="1061" spans="2:17" ht="15.75" x14ac:dyDescent="0.25">
      <c r="B1061" s="53"/>
      <c r="O1061" s="189"/>
      <c r="Q1061" s="53" t="s">
        <v>833</v>
      </c>
    </row>
    <row r="1062" spans="2:17" ht="15.75" x14ac:dyDescent="0.25">
      <c r="B1062" s="53"/>
      <c r="O1062" s="189"/>
      <c r="Q1062" s="53" t="s">
        <v>833</v>
      </c>
    </row>
    <row r="1063" spans="2:17" ht="15.75" x14ac:dyDescent="0.25">
      <c r="B1063" s="53"/>
      <c r="O1063" s="189"/>
      <c r="Q1063" s="53" t="s">
        <v>833</v>
      </c>
    </row>
    <row r="1064" spans="2:17" ht="15.75" x14ac:dyDescent="0.25">
      <c r="B1064" s="53"/>
      <c r="O1064" s="189"/>
      <c r="Q1064" s="53" t="s">
        <v>833</v>
      </c>
    </row>
    <row r="1065" spans="2:17" ht="15.75" x14ac:dyDescent="0.25">
      <c r="B1065" s="53"/>
      <c r="O1065" s="189"/>
      <c r="Q1065" s="53" t="s">
        <v>833</v>
      </c>
    </row>
    <row r="1066" spans="2:17" ht="15.75" x14ac:dyDescent="0.25">
      <c r="B1066" s="53"/>
      <c r="O1066" s="189"/>
      <c r="Q1066" s="53" t="s">
        <v>833</v>
      </c>
    </row>
    <row r="1067" spans="2:17" ht="15.75" x14ac:dyDescent="0.25">
      <c r="B1067" s="53"/>
      <c r="O1067" s="189"/>
      <c r="Q1067" s="53" t="s">
        <v>833</v>
      </c>
    </row>
    <row r="1068" spans="2:17" ht="15.75" x14ac:dyDescent="0.25">
      <c r="B1068" s="53"/>
      <c r="O1068" s="189"/>
      <c r="Q1068" s="53" t="s">
        <v>833</v>
      </c>
    </row>
    <row r="1069" spans="2:17" ht="15.75" x14ac:dyDescent="0.25">
      <c r="B1069" s="53"/>
      <c r="O1069" s="189"/>
      <c r="Q1069" s="53" t="s">
        <v>833</v>
      </c>
    </row>
    <row r="1070" spans="2:17" ht="15.75" x14ac:dyDescent="0.25">
      <c r="B1070" s="53"/>
      <c r="O1070" s="189"/>
      <c r="Q1070" s="53" t="s">
        <v>833</v>
      </c>
    </row>
    <row r="1071" spans="2:17" ht="15.75" x14ac:dyDescent="0.25">
      <c r="B1071" s="53"/>
      <c r="O1071" s="189"/>
      <c r="Q1071" s="53" t="s">
        <v>833</v>
      </c>
    </row>
    <row r="1072" spans="2:17" ht="15.75" x14ac:dyDescent="0.25">
      <c r="B1072" s="53"/>
      <c r="O1072" s="189"/>
      <c r="Q1072" s="53" t="s">
        <v>833</v>
      </c>
    </row>
    <row r="1073" spans="2:17" ht="15.75" x14ac:dyDescent="0.25">
      <c r="B1073" s="53"/>
      <c r="O1073" s="189"/>
      <c r="Q1073" s="53" t="s">
        <v>833</v>
      </c>
    </row>
    <row r="1074" spans="2:17" ht="15.75" x14ac:dyDescent="0.25">
      <c r="B1074" s="53"/>
      <c r="O1074" s="189"/>
      <c r="Q1074" s="53" t="s">
        <v>833</v>
      </c>
    </row>
    <row r="1075" spans="2:17" ht="15.75" x14ac:dyDescent="0.25">
      <c r="B1075" s="53"/>
      <c r="O1075" s="189"/>
      <c r="Q1075" s="53" t="s">
        <v>833</v>
      </c>
    </row>
    <row r="1076" spans="2:17" ht="15.75" x14ac:dyDescent="0.25">
      <c r="B1076" s="53"/>
      <c r="O1076" s="189"/>
      <c r="Q1076" s="53" t="s">
        <v>833</v>
      </c>
    </row>
    <row r="1077" spans="2:17" ht="15.75" x14ac:dyDescent="0.25">
      <c r="B1077" s="53"/>
      <c r="O1077" s="189"/>
      <c r="Q1077" s="53" t="s">
        <v>833</v>
      </c>
    </row>
    <row r="1078" spans="2:17" ht="15.75" x14ac:dyDescent="0.25">
      <c r="B1078" s="53"/>
      <c r="O1078" s="189"/>
      <c r="Q1078" s="53" t="s">
        <v>833</v>
      </c>
    </row>
    <row r="1079" spans="2:17" ht="15.75" x14ac:dyDescent="0.25">
      <c r="B1079" s="53"/>
      <c r="O1079" s="189"/>
      <c r="Q1079" s="53" t="s">
        <v>833</v>
      </c>
    </row>
    <row r="1080" spans="2:17" ht="15.75" x14ac:dyDescent="0.25">
      <c r="B1080" s="53"/>
      <c r="O1080" s="189"/>
      <c r="Q1080" s="53" t="s">
        <v>833</v>
      </c>
    </row>
    <row r="1081" spans="2:17" ht="15.75" x14ac:dyDescent="0.25">
      <c r="B1081" s="53"/>
      <c r="O1081" s="189"/>
      <c r="Q1081" s="53" t="s">
        <v>833</v>
      </c>
    </row>
    <row r="1082" spans="2:17" ht="15.75" x14ac:dyDescent="0.25">
      <c r="B1082" s="53"/>
      <c r="O1082" s="189"/>
      <c r="Q1082" s="53" t="s">
        <v>833</v>
      </c>
    </row>
    <row r="1083" spans="2:17" ht="15.75" x14ac:dyDescent="0.25">
      <c r="B1083" s="53"/>
      <c r="O1083" s="189"/>
      <c r="Q1083" s="53" t="s">
        <v>833</v>
      </c>
    </row>
    <row r="1084" spans="2:17" ht="15.75" x14ac:dyDescent="0.25">
      <c r="B1084" s="53"/>
      <c r="O1084" s="189"/>
      <c r="Q1084" s="53" t="s">
        <v>833</v>
      </c>
    </row>
    <row r="1085" spans="2:17" ht="15.75" x14ac:dyDescent="0.25">
      <c r="B1085" s="53"/>
      <c r="O1085" s="189"/>
      <c r="Q1085" s="53" t="s">
        <v>833</v>
      </c>
    </row>
    <row r="1086" spans="2:17" ht="15.75" x14ac:dyDescent="0.25">
      <c r="B1086" s="53"/>
      <c r="O1086" s="189"/>
      <c r="Q1086" s="53" t="s">
        <v>833</v>
      </c>
    </row>
    <row r="1087" spans="2:17" ht="15.75" x14ac:dyDescent="0.25">
      <c r="B1087" s="53"/>
      <c r="O1087" s="189"/>
      <c r="Q1087" s="53" t="s">
        <v>833</v>
      </c>
    </row>
    <row r="1088" spans="2:17" ht="15.75" x14ac:dyDescent="0.25">
      <c r="B1088" s="53"/>
      <c r="O1088" s="189"/>
      <c r="Q1088" s="53" t="s">
        <v>833</v>
      </c>
    </row>
    <row r="1089" spans="2:17" ht="15.75" x14ac:dyDescent="0.25">
      <c r="B1089" s="53"/>
      <c r="O1089" s="189"/>
      <c r="Q1089" s="53" t="s">
        <v>833</v>
      </c>
    </row>
    <row r="1090" spans="2:17" ht="15.75" x14ac:dyDescent="0.25">
      <c r="B1090" s="53"/>
      <c r="O1090" s="189"/>
      <c r="Q1090" s="53" t="s">
        <v>833</v>
      </c>
    </row>
    <row r="1091" spans="2:17" ht="15.75" x14ac:dyDescent="0.25">
      <c r="B1091" s="53"/>
      <c r="O1091" s="189"/>
      <c r="Q1091" s="53" t="s">
        <v>833</v>
      </c>
    </row>
    <row r="1092" spans="2:17" ht="15.75" x14ac:dyDescent="0.25">
      <c r="B1092" s="53"/>
      <c r="O1092" s="189"/>
      <c r="Q1092" s="53" t="s">
        <v>833</v>
      </c>
    </row>
    <row r="1093" spans="2:17" ht="15.75" x14ac:dyDescent="0.25">
      <c r="B1093" s="53"/>
      <c r="O1093" s="189"/>
      <c r="Q1093" s="53" t="s">
        <v>833</v>
      </c>
    </row>
    <row r="1094" spans="2:17" ht="15.75" x14ac:dyDescent="0.25">
      <c r="B1094" s="53"/>
      <c r="O1094" s="189"/>
      <c r="Q1094" s="53" t="s">
        <v>833</v>
      </c>
    </row>
    <row r="1095" spans="2:17" ht="15.75" x14ac:dyDescent="0.25">
      <c r="B1095" s="53"/>
      <c r="O1095" s="189"/>
      <c r="Q1095" s="53" t="s">
        <v>833</v>
      </c>
    </row>
    <row r="1096" spans="2:17" ht="15.75" x14ac:dyDescent="0.25">
      <c r="B1096" s="53"/>
      <c r="O1096" s="189"/>
      <c r="Q1096" s="53" t="s">
        <v>833</v>
      </c>
    </row>
    <row r="1097" spans="2:17" ht="15.75" x14ac:dyDescent="0.25">
      <c r="B1097" s="53"/>
      <c r="O1097" s="189"/>
      <c r="Q1097" s="53" t="s">
        <v>833</v>
      </c>
    </row>
    <row r="1098" spans="2:17" ht="15.75" x14ac:dyDescent="0.25">
      <c r="B1098" s="53"/>
      <c r="O1098" s="189"/>
      <c r="Q1098" s="53" t="s">
        <v>833</v>
      </c>
    </row>
    <row r="1099" spans="2:17" ht="15.75" x14ac:dyDescent="0.25">
      <c r="B1099" s="53"/>
      <c r="O1099" s="189"/>
      <c r="Q1099" s="53" t="s">
        <v>833</v>
      </c>
    </row>
    <row r="1100" spans="2:17" ht="15.75" x14ac:dyDescent="0.25">
      <c r="B1100" s="53"/>
      <c r="O1100" s="189"/>
      <c r="Q1100" s="53" t="s">
        <v>833</v>
      </c>
    </row>
    <row r="1101" spans="2:17" ht="15.75" x14ac:dyDescent="0.25">
      <c r="B1101" s="53"/>
      <c r="O1101" s="189"/>
      <c r="Q1101" s="53" t="s">
        <v>833</v>
      </c>
    </row>
    <row r="1102" spans="2:17" ht="15.75" x14ac:dyDescent="0.25">
      <c r="B1102" s="53"/>
      <c r="O1102" s="189"/>
      <c r="Q1102" s="53" t="s">
        <v>833</v>
      </c>
    </row>
    <row r="1103" spans="2:17" ht="15.75" x14ac:dyDescent="0.25">
      <c r="B1103" s="53"/>
      <c r="O1103" s="189"/>
      <c r="Q1103" s="53" t="s">
        <v>833</v>
      </c>
    </row>
    <row r="1104" spans="2:17" ht="15.75" x14ac:dyDescent="0.25">
      <c r="B1104" s="53"/>
      <c r="O1104" s="189"/>
      <c r="Q1104" s="53" t="s">
        <v>833</v>
      </c>
    </row>
    <row r="1105" spans="2:17" ht="15.75" x14ac:dyDescent="0.25">
      <c r="B1105" s="53"/>
      <c r="O1105" s="189"/>
      <c r="Q1105" s="53" t="s">
        <v>833</v>
      </c>
    </row>
    <row r="1106" spans="2:17" ht="15.75" x14ac:dyDescent="0.25">
      <c r="B1106" s="53"/>
      <c r="O1106" s="189"/>
      <c r="Q1106" s="53" t="s">
        <v>833</v>
      </c>
    </row>
    <row r="1107" spans="2:17" ht="15.75" x14ac:dyDescent="0.25">
      <c r="B1107" s="53"/>
      <c r="O1107" s="189"/>
      <c r="Q1107" s="53" t="s">
        <v>833</v>
      </c>
    </row>
    <row r="1108" spans="2:17" ht="15.75" x14ac:dyDescent="0.25">
      <c r="B1108" s="53"/>
      <c r="O1108" s="189"/>
      <c r="Q1108" s="53" t="s">
        <v>833</v>
      </c>
    </row>
    <row r="1109" spans="2:17" ht="15.75" x14ac:dyDescent="0.25">
      <c r="B1109" s="53"/>
      <c r="O1109" s="189"/>
      <c r="Q1109" s="53" t="s">
        <v>833</v>
      </c>
    </row>
    <row r="1110" spans="2:17" ht="15.75" x14ac:dyDescent="0.25">
      <c r="B1110" s="53"/>
      <c r="O1110" s="189"/>
      <c r="Q1110" s="53" t="s">
        <v>833</v>
      </c>
    </row>
    <row r="1111" spans="2:17" ht="15.75" x14ac:dyDescent="0.25">
      <c r="B1111" s="53"/>
      <c r="O1111" s="189"/>
      <c r="Q1111" s="53" t="s">
        <v>833</v>
      </c>
    </row>
    <row r="1112" spans="2:17" ht="15.75" x14ac:dyDescent="0.25">
      <c r="B1112" s="53"/>
      <c r="O1112" s="189"/>
      <c r="Q1112" s="53" t="s">
        <v>833</v>
      </c>
    </row>
    <row r="1113" spans="2:17" ht="15.75" x14ac:dyDescent="0.25">
      <c r="B1113" s="53"/>
      <c r="O1113" s="189"/>
      <c r="Q1113" s="53" t="s">
        <v>833</v>
      </c>
    </row>
    <row r="1114" spans="2:17" ht="15.75" x14ac:dyDescent="0.25">
      <c r="B1114" s="53"/>
      <c r="O1114" s="189"/>
      <c r="Q1114" s="53" t="s">
        <v>833</v>
      </c>
    </row>
    <row r="1115" spans="2:17" ht="15.75" x14ac:dyDescent="0.25">
      <c r="B1115" s="53"/>
      <c r="O1115" s="189"/>
      <c r="Q1115" s="53" t="s">
        <v>833</v>
      </c>
    </row>
    <row r="1116" spans="2:17" ht="15.75" x14ac:dyDescent="0.25">
      <c r="B1116" s="53"/>
      <c r="O1116" s="189"/>
      <c r="Q1116" s="53" t="s">
        <v>833</v>
      </c>
    </row>
    <row r="1117" spans="2:17" ht="15.75" x14ac:dyDescent="0.25">
      <c r="B1117" s="53"/>
      <c r="O1117" s="189"/>
      <c r="Q1117" s="53" t="s">
        <v>833</v>
      </c>
    </row>
    <row r="1118" spans="2:17" ht="15.75" x14ac:dyDescent="0.25">
      <c r="B1118" s="53"/>
      <c r="O1118" s="189"/>
      <c r="Q1118" s="53" t="s">
        <v>833</v>
      </c>
    </row>
    <row r="1119" spans="2:17" ht="15.75" x14ac:dyDescent="0.25">
      <c r="B1119" s="53"/>
      <c r="O1119" s="189"/>
      <c r="Q1119" s="53" t="s">
        <v>833</v>
      </c>
    </row>
    <row r="1120" spans="2:17" ht="15.75" x14ac:dyDescent="0.25">
      <c r="B1120" s="53"/>
      <c r="O1120" s="189"/>
      <c r="Q1120" s="53" t="s">
        <v>833</v>
      </c>
    </row>
    <row r="1121" spans="2:17" ht="15.75" x14ac:dyDescent="0.25">
      <c r="B1121" s="53"/>
      <c r="O1121" s="189"/>
      <c r="Q1121" s="53" t="s">
        <v>833</v>
      </c>
    </row>
    <row r="1122" spans="2:17" ht="15.75" x14ac:dyDescent="0.25">
      <c r="B1122" s="53"/>
      <c r="O1122" s="189"/>
      <c r="Q1122" s="53" t="s">
        <v>833</v>
      </c>
    </row>
    <row r="1123" spans="2:17" ht="15.75" x14ac:dyDescent="0.25">
      <c r="B1123" s="53"/>
      <c r="O1123" s="189"/>
      <c r="Q1123" s="53" t="s">
        <v>833</v>
      </c>
    </row>
    <row r="1124" spans="2:17" ht="15.75" x14ac:dyDescent="0.25">
      <c r="B1124" s="53"/>
      <c r="O1124" s="189"/>
      <c r="Q1124" s="53" t="s">
        <v>833</v>
      </c>
    </row>
    <row r="1125" spans="2:17" ht="15.75" x14ac:dyDescent="0.25">
      <c r="B1125" s="53"/>
      <c r="O1125" s="189"/>
      <c r="Q1125" s="53" t="s">
        <v>833</v>
      </c>
    </row>
    <row r="1126" spans="2:17" ht="15.75" x14ac:dyDescent="0.25">
      <c r="B1126" s="53"/>
      <c r="O1126" s="189"/>
      <c r="Q1126" s="53" t="s">
        <v>833</v>
      </c>
    </row>
    <row r="1127" spans="2:17" ht="15.75" x14ac:dyDescent="0.25">
      <c r="B1127" s="53"/>
      <c r="O1127" s="189"/>
      <c r="Q1127" s="53" t="s">
        <v>833</v>
      </c>
    </row>
    <row r="1128" spans="2:17" ht="15.75" x14ac:dyDescent="0.25">
      <c r="B1128" s="53"/>
      <c r="O1128" s="189"/>
      <c r="Q1128" s="53" t="s">
        <v>833</v>
      </c>
    </row>
    <row r="1129" spans="2:17" ht="15.75" x14ac:dyDescent="0.25">
      <c r="B1129" s="53"/>
      <c r="O1129" s="189"/>
      <c r="Q1129" s="53" t="s">
        <v>833</v>
      </c>
    </row>
    <row r="1130" spans="2:17" ht="15.75" x14ac:dyDescent="0.25">
      <c r="B1130" s="53"/>
      <c r="O1130" s="189"/>
      <c r="Q1130" s="53" t="s">
        <v>833</v>
      </c>
    </row>
    <row r="1131" spans="2:17" ht="15.75" x14ac:dyDescent="0.25">
      <c r="B1131" s="53"/>
      <c r="O1131" s="189"/>
      <c r="Q1131" s="53" t="s">
        <v>833</v>
      </c>
    </row>
    <row r="1132" spans="2:17" ht="15.75" x14ac:dyDescent="0.25">
      <c r="B1132" s="53"/>
      <c r="O1132" s="189"/>
      <c r="Q1132" s="53" t="s">
        <v>833</v>
      </c>
    </row>
    <row r="1133" spans="2:17" ht="15.75" x14ac:dyDescent="0.25">
      <c r="B1133" s="53"/>
      <c r="O1133" s="189"/>
      <c r="Q1133" s="53" t="s">
        <v>833</v>
      </c>
    </row>
    <row r="1134" spans="2:17" ht="15.75" x14ac:dyDescent="0.25">
      <c r="B1134" s="53"/>
      <c r="O1134" s="189"/>
      <c r="Q1134" s="53" t="s">
        <v>833</v>
      </c>
    </row>
    <row r="1135" spans="2:17" ht="15.75" x14ac:dyDescent="0.25">
      <c r="B1135" s="53"/>
      <c r="O1135" s="189"/>
      <c r="Q1135" s="53" t="s">
        <v>833</v>
      </c>
    </row>
    <row r="1136" spans="2:17" ht="15.75" x14ac:dyDescent="0.25">
      <c r="B1136" s="53"/>
      <c r="O1136" s="189"/>
      <c r="Q1136" s="53" t="s">
        <v>833</v>
      </c>
    </row>
    <row r="1137" spans="2:17" ht="15.75" x14ac:dyDescent="0.25">
      <c r="B1137" s="53"/>
      <c r="O1137" s="189"/>
      <c r="Q1137" s="53" t="s">
        <v>833</v>
      </c>
    </row>
    <row r="1138" spans="2:17" ht="15.75" x14ac:dyDescent="0.25">
      <c r="B1138" s="53"/>
      <c r="O1138" s="189"/>
      <c r="Q1138" s="53" t="s">
        <v>833</v>
      </c>
    </row>
    <row r="1139" spans="2:17" ht="15.75" x14ac:dyDescent="0.25">
      <c r="B1139" s="53"/>
      <c r="O1139" s="189"/>
      <c r="Q1139" s="53" t="s">
        <v>833</v>
      </c>
    </row>
    <row r="1140" spans="2:17" ht="15.75" x14ac:dyDescent="0.25">
      <c r="B1140" s="53"/>
      <c r="O1140" s="189"/>
      <c r="Q1140" s="53" t="s">
        <v>833</v>
      </c>
    </row>
    <row r="1141" spans="2:17" ht="15.75" x14ac:dyDescent="0.25">
      <c r="B1141" s="53"/>
      <c r="O1141" s="189"/>
      <c r="Q1141" s="53" t="s">
        <v>833</v>
      </c>
    </row>
    <row r="1142" spans="2:17" ht="15.75" x14ac:dyDescent="0.25">
      <c r="B1142" s="53"/>
      <c r="O1142" s="189"/>
      <c r="Q1142" s="53" t="s">
        <v>833</v>
      </c>
    </row>
    <row r="1143" spans="2:17" ht="15.75" x14ac:dyDescent="0.25">
      <c r="B1143" s="53"/>
      <c r="O1143" s="189"/>
      <c r="Q1143" s="53" t="s">
        <v>833</v>
      </c>
    </row>
    <row r="1144" spans="2:17" ht="15.75" x14ac:dyDescent="0.25">
      <c r="B1144" s="53"/>
      <c r="O1144" s="189"/>
      <c r="Q1144" s="53" t="s">
        <v>833</v>
      </c>
    </row>
    <row r="1145" spans="2:17" ht="15.75" x14ac:dyDescent="0.25">
      <c r="B1145" s="53"/>
      <c r="O1145" s="189"/>
      <c r="Q1145" s="53" t="s">
        <v>833</v>
      </c>
    </row>
    <row r="1146" spans="2:17" ht="15.75" x14ac:dyDescent="0.25">
      <c r="B1146" s="53"/>
      <c r="O1146" s="189"/>
      <c r="Q1146" s="53" t="s">
        <v>833</v>
      </c>
    </row>
    <row r="1147" spans="2:17" ht="15.75" x14ac:dyDescent="0.25">
      <c r="B1147" s="53"/>
      <c r="O1147" s="189"/>
      <c r="Q1147" s="53" t="s">
        <v>833</v>
      </c>
    </row>
    <row r="1148" spans="2:17" ht="15.75" x14ac:dyDescent="0.25">
      <c r="B1148" s="53"/>
      <c r="O1148" s="189"/>
      <c r="Q1148" s="53" t="s">
        <v>833</v>
      </c>
    </row>
    <row r="1149" spans="2:17" ht="15.75" x14ac:dyDescent="0.25">
      <c r="B1149" s="53"/>
      <c r="O1149" s="189"/>
      <c r="Q1149" s="53" t="s">
        <v>833</v>
      </c>
    </row>
    <row r="1150" spans="2:17" ht="15.75" x14ac:dyDescent="0.25">
      <c r="B1150" s="53"/>
      <c r="O1150" s="189"/>
      <c r="Q1150" s="53" t="s">
        <v>833</v>
      </c>
    </row>
    <row r="1151" spans="2:17" ht="15.75" x14ac:dyDescent="0.25">
      <c r="B1151" s="53"/>
      <c r="O1151" s="189"/>
      <c r="Q1151" s="53" t="s">
        <v>833</v>
      </c>
    </row>
    <row r="1152" spans="2:17" ht="15.75" x14ac:dyDescent="0.25">
      <c r="B1152" s="53"/>
      <c r="O1152" s="189"/>
      <c r="Q1152" s="53" t="s">
        <v>833</v>
      </c>
    </row>
    <row r="1153" spans="2:17" ht="15.75" x14ac:dyDescent="0.25">
      <c r="B1153" s="53"/>
      <c r="O1153" s="189"/>
      <c r="Q1153" s="53" t="s">
        <v>833</v>
      </c>
    </row>
    <row r="1154" spans="2:17" ht="15.75" x14ac:dyDescent="0.25">
      <c r="B1154" s="53"/>
      <c r="O1154" s="189"/>
      <c r="Q1154" s="53" t="s">
        <v>833</v>
      </c>
    </row>
    <row r="1155" spans="2:17" ht="15.75" x14ac:dyDescent="0.25">
      <c r="B1155" s="53"/>
      <c r="O1155" s="189"/>
      <c r="Q1155" s="53" t="s">
        <v>833</v>
      </c>
    </row>
    <row r="1156" spans="2:17" ht="15.75" x14ac:dyDescent="0.25">
      <c r="B1156" s="53"/>
      <c r="O1156" s="189"/>
      <c r="Q1156" s="53" t="s">
        <v>833</v>
      </c>
    </row>
    <row r="1157" spans="2:17" ht="15.75" x14ac:dyDescent="0.25">
      <c r="B1157" s="53"/>
      <c r="O1157" s="189"/>
      <c r="Q1157" s="53" t="s">
        <v>833</v>
      </c>
    </row>
    <row r="1158" spans="2:17" ht="15.75" x14ac:dyDescent="0.25">
      <c r="B1158" s="53"/>
      <c r="O1158" s="189"/>
      <c r="Q1158" s="53" t="s">
        <v>833</v>
      </c>
    </row>
    <row r="1159" spans="2:17" ht="15.75" x14ac:dyDescent="0.25">
      <c r="B1159" s="53"/>
      <c r="O1159" s="189"/>
      <c r="Q1159" s="53" t="s">
        <v>833</v>
      </c>
    </row>
    <row r="1160" spans="2:17" ht="15.75" x14ac:dyDescent="0.25">
      <c r="B1160" s="53"/>
      <c r="O1160" s="189"/>
      <c r="Q1160" s="53" t="s">
        <v>833</v>
      </c>
    </row>
    <row r="1161" spans="2:17" ht="15.75" x14ac:dyDescent="0.25">
      <c r="B1161" s="53"/>
      <c r="O1161" s="189"/>
      <c r="Q1161" s="53" t="s">
        <v>833</v>
      </c>
    </row>
    <row r="1162" spans="2:17" ht="15.75" x14ac:dyDescent="0.25">
      <c r="B1162" s="53"/>
      <c r="O1162" s="189"/>
      <c r="Q1162" s="53" t="s">
        <v>833</v>
      </c>
    </row>
    <row r="1163" spans="2:17" ht="15.75" x14ac:dyDescent="0.25">
      <c r="B1163" s="53"/>
      <c r="O1163" s="189"/>
      <c r="Q1163" s="53" t="s">
        <v>833</v>
      </c>
    </row>
    <row r="1164" spans="2:17" ht="15.75" x14ac:dyDescent="0.25">
      <c r="B1164" s="53"/>
      <c r="O1164" s="189"/>
      <c r="Q1164" s="53" t="s">
        <v>833</v>
      </c>
    </row>
    <row r="1165" spans="2:17" ht="15.75" x14ac:dyDescent="0.25">
      <c r="B1165" s="53"/>
      <c r="O1165" s="189"/>
      <c r="Q1165" s="53" t="s">
        <v>833</v>
      </c>
    </row>
    <row r="1166" spans="2:17" ht="15.75" x14ac:dyDescent="0.25">
      <c r="B1166" s="53"/>
      <c r="O1166" s="189"/>
      <c r="Q1166" s="53" t="s">
        <v>833</v>
      </c>
    </row>
    <row r="1167" spans="2:17" ht="15.75" x14ac:dyDescent="0.25">
      <c r="B1167" s="53"/>
      <c r="O1167" s="189"/>
      <c r="Q1167" s="53" t="s">
        <v>833</v>
      </c>
    </row>
    <row r="1168" spans="2:17" ht="15.75" x14ac:dyDescent="0.25">
      <c r="B1168" s="53"/>
      <c r="O1168" s="189"/>
      <c r="Q1168" s="53" t="s">
        <v>833</v>
      </c>
    </row>
    <row r="1169" spans="2:17" ht="15.75" x14ac:dyDescent="0.25">
      <c r="B1169" s="53"/>
      <c r="O1169" s="189"/>
      <c r="Q1169" s="53" t="s">
        <v>833</v>
      </c>
    </row>
    <row r="1170" spans="2:17" ht="15.75" x14ac:dyDescent="0.25">
      <c r="B1170" s="53"/>
      <c r="O1170" s="189"/>
      <c r="Q1170" s="53" t="s">
        <v>833</v>
      </c>
    </row>
    <row r="1171" spans="2:17" ht="15.75" x14ac:dyDescent="0.25">
      <c r="B1171" s="53"/>
      <c r="O1171" s="189"/>
      <c r="Q1171" s="53" t="s">
        <v>833</v>
      </c>
    </row>
    <row r="1172" spans="2:17" ht="15.75" x14ac:dyDescent="0.25">
      <c r="B1172" s="53"/>
      <c r="O1172" s="189"/>
      <c r="Q1172" s="53" t="s">
        <v>833</v>
      </c>
    </row>
    <row r="1173" spans="2:17" ht="15.75" x14ac:dyDescent="0.25">
      <c r="B1173" s="53"/>
      <c r="O1173" s="189"/>
      <c r="Q1173" s="53" t="s">
        <v>833</v>
      </c>
    </row>
    <row r="1174" spans="2:17" ht="15.75" x14ac:dyDescent="0.25">
      <c r="B1174" s="53"/>
      <c r="O1174" s="189"/>
      <c r="Q1174" s="53" t="s">
        <v>833</v>
      </c>
    </row>
    <row r="1175" spans="2:17" ht="15.75" x14ac:dyDescent="0.25">
      <c r="B1175" s="53"/>
      <c r="O1175" s="189"/>
      <c r="Q1175" s="53" t="s">
        <v>833</v>
      </c>
    </row>
    <row r="1176" spans="2:17" ht="15.75" x14ac:dyDescent="0.25">
      <c r="B1176" s="53"/>
      <c r="O1176" s="189"/>
      <c r="Q1176" s="53" t="s">
        <v>833</v>
      </c>
    </row>
    <row r="1177" spans="2:17" ht="15.75" x14ac:dyDescent="0.25">
      <c r="B1177" s="53"/>
      <c r="O1177" s="189"/>
      <c r="Q1177" s="53" t="s">
        <v>833</v>
      </c>
    </row>
    <row r="1178" spans="2:17" ht="15.75" x14ac:dyDescent="0.25">
      <c r="B1178" s="53"/>
      <c r="O1178" s="189"/>
      <c r="Q1178" s="53" t="s">
        <v>833</v>
      </c>
    </row>
    <row r="1179" spans="2:17" ht="15.75" x14ac:dyDescent="0.25">
      <c r="B1179" s="53"/>
      <c r="O1179" s="189"/>
      <c r="Q1179" s="53" t="s">
        <v>833</v>
      </c>
    </row>
    <row r="1180" spans="2:17" ht="15.75" x14ac:dyDescent="0.25">
      <c r="B1180" s="53"/>
      <c r="O1180" s="189"/>
      <c r="Q1180" s="53" t="s">
        <v>833</v>
      </c>
    </row>
    <row r="1181" spans="2:17" ht="15.75" x14ac:dyDescent="0.25">
      <c r="B1181" s="53"/>
      <c r="O1181" s="189"/>
      <c r="Q1181" s="53" t="s">
        <v>833</v>
      </c>
    </row>
    <row r="1182" spans="2:17" ht="15.75" x14ac:dyDescent="0.25">
      <c r="B1182" s="53"/>
      <c r="O1182" s="189"/>
      <c r="Q1182" s="53" t="s">
        <v>833</v>
      </c>
    </row>
    <row r="1183" spans="2:17" ht="15.75" x14ac:dyDescent="0.25">
      <c r="B1183" s="53"/>
      <c r="O1183" s="189"/>
      <c r="Q1183" s="53" t="s">
        <v>833</v>
      </c>
    </row>
    <row r="1184" spans="2:17" ht="15.75" x14ac:dyDescent="0.25">
      <c r="B1184" s="53"/>
      <c r="O1184" s="189"/>
      <c r="Q1184" s="53" t="s">
        <v>833</v>
      </c>
    </row>
    <row r="1185" spans="2:17" ht="15.75" x14ac:dyDescent="0.25">
      <c r="B1185" s="53"/>
      <c r="O1185" s="189"/>
      <c r="Q1185" s="53" t="s">
        <v>833</v>
      </c>
    </row>
    <row r="1186" spans="2:17" ht="15.75" x14ac:dyDescent="0.25">
      <c r="B1186" s="53"/>
      <c r="O1186" s="189"/>
      <c r="Q1186" s="53" t="s">
        <v>833</v>
      </c>
    </row>
    <row r="1187" spans="2:17" ht="15.75" x14ac:dyDescent="0.25">
      <c r="B1187" s="53"/>
      <c r="O1187" s="189"/>
      <c r="Q1187" s="53" t="s">
        <v>833</v>
      </c>
    </row>
    <row r="1188" spans="2:17" ht="15.75" x14ac:dyDescent="0.25">
      <c r="B1188" s="53"/>
      <c r="O1188" s="189"/>
      <c r="Q1188" s="53" t="s">
        <v>833</v>
      </c>
    </row>
    <row r="1189" spans="2:17" ht="15.75" x14ac:dyDescent="0.25">
      <c r="B1189" s="53"/>
      <c r="O1189" s="189"/>
      <c r="Q1189" s="53" t="s">
        <v>833</v>
      </c>
    </row>
    <row r="1190" spans="2:17" ht="15.75" x14ac:dyDescent="0.25">
      <c r="B1190" s="53"/>
      <c r="O1190" s="189"/>
      <c r="Q1190" s="53" t="s">
        <v>833</v>
      </c>
    </row>
    <row r="1191" spans="2:17" ht="15.75" x14ac:dyDescent="0.25">
      <c r="B1191" s="53"/>
      <c r="O1191" s="189"/>
      <c r="Q1191" s="53" t="s">
        <v>833</v>
      </c>
    </row>
    <row r="1192" spans="2:17" ht="15.75" x14ac:dyDescent="0.25">
      <c r="B1192" s="53"/>
      <c r="O1192" s="189"/>
      <c r="Q1192" s="53" t="s">
        <v>833</v>
      </c>
    </row>
    <row r="1193" spans="2:17" ht="15.75" x14ac:dyDescent="0.25">
      <c r="B1193" s="53"/>
      <c r="O1193" s="189"/>
      <c r="Q1193" s="53" t="s">
        <v>833</v>
      </c>
    </row>
    <row r="1194" spans="2:17" ht="15.75" x14ac:dyDescent="0.25">
      <c r="B1194" s="53"/>
      <c r="O1194" s="189"/>
      <c r="Q1194" s="53" t="s">
        <v>833</v>
      </c>
    </row>
    <row r="1195" spans="2:17" ht="15.75" x14ac:dyDescent="0.25">
      <c r="B1195" s="53"/>
      <c r="O1195" s="189"/>
      <c r="Q1195" s="53" t="s">
        <v>833</v>
      </c>
    </row>
    <row r="1196" spans="2:17" ht="15.75" x14ac:dyDescent="0.25">
      <c r="B1196" s="53"/>
      <c r="O1196" s="189"/>
      <c r="Q1196" s="53" t="s">
        <v>833</v>
      </c>
    </row>
    <row r="1197" spans="2:17" ht="15.75" x14ac:dyDescent="0.25">
      <c r="B1197" s="53"/>
      <c r="O1197" s="189"/>
      <c r="Q1197" s="53" t="s">
        <v>833</v>
      </c>
    </row>
    <row r="1198" spans="2:17" ht="15.75" x14ac:dyDescent="0.25">
      <c r="B1198" s="53"/>
      <c r="O1198" s="189"/>
      <c r="Q1198" s="53" t="s">
        <v>833</v>
      </c>
    </row>
    <row r="1199" spans="2:17" ht="15.75" x14ac:dyDescent="0.25">
      <c r="B1199" s="53"/>
      <c r="O1199" s="189"/>
      <c r="Q1199" s="53" t="s">
        <v>833</v>
      </c>
    </row>
    <row r="1200" spans="2:17" ht="15.75" x14ac:dyDescent="0.25">
      <c r="B1200" s="53"/>
      <c r="O1200" s="189"/>
      <c r="Q1200" s="53" t="s">
        <v>833</v>
      </c>
    </row>
    <row r="1201" spans="2:17" ht="15.75" x14ac:dyDescent="0.25">
      <c r="B1201" s="53"/>
      <c r="O1201" s="189"/>
      <c r="Q1201" s="53" t="s">
        <v>833</v>
      </c>
    </row>
    <row r="1202" spans="2:17" ht="15.75" x14ac:dyDescent="0.25">
      <c r="B1202" s="53"/>
      <c r="O1202" s="189"/>
      <c r="Q1202" s="53" t="s">
        <v>833</v>
      </c>
    </row>
    <row r="1203" spans="2:17" ht="15.75" x14ac:dyDescent="0.25">
      <c r="B1203" s="53"/>
      <c r="O1203" s="189"/>
      <c r="Q1203" s="53" t="s">
        <v>833</v>
      </c>
    </row>
    <row r="1204" spans="2:17" ht="15.75" x14ac:dyDescent="0.25">
      <c r="B1204" s="53"/>
      <c r="O1204" s="189"/>
      <c r="Q1204" s="53" t="s">
        <v>833</v>
      </c>
    </row>
    <row r="1205" spans="2:17" ht="15.75" x14ac:dyDescent="0.25">
      <c r="B1205" s="53"/>
      <c r="O1205" s="189"/>
      <c r="Q1205" s="53" t="s">
        <v>833</v>
      </c>
    </row>
    <row r="1206" spans="2:17" ht="15.75" x14ac:dyDescent="0.25">
      <c r="B1206" s="53"/>
      <c r="O1206" s="189"/>
      <c r="Q1206" s="53" t="s">
        <v>833</v>
      </c>
    </row>
    <row r="1207" spans="2:17" ht="15.75" x14ac:dyDescent="0.25">
      <c r="B1207" s="53"/>
      <c r="O1207" s="189"/>
      <c r="Q1207" s="53" t="s">
        <v>833</v>
      </c>
    </row>
    <row r="1208" spans="2:17" ht="15.75" x14ac:dyDescent="0.25">
      <c r="B1208" s="53"/>
      <c r="O1208" s="189"/>
      <c r="Q1208" s="53" t="s">
        <v>833</v>
      </c>
    </row>
    <row r="1209" spans="2:17" ht="15.75" x14ac:dyDescent="0.25">
      <c r="B1209" s="53"/>
      <c r="O1209" s="189"/>
      <c r="Q1209" s="53" t="s">
        <v>833</v>
      </c>
    </row>
    <row r="1210" spans="2:17" ht="15.75" x14ac:dyDescent="0.25">
      <c r="B1210" s="53"/>
      <c r="O1210" s="189"/>
      <c r="Q1210" s="53" t="s">
        <v>833</v>
      </c>
    </row>
    <row r="1211" spans="2:17" ht="15.75" x14ac:dyDescent="0.25">
      <c r="B1211" s="53"/>
      <c r="O1211" s="189"/>
      <c r="Q1211" s="53" t="s">
        <v>833</v>
      </c>
    </row>
    <row r="1212" spans="2:17" ht="15.75" x14ac:dyDescent="0.25">
      <c r="B1212" s="53"/>
      <c r="O1212" s="189"/>
      <c r="Q1212" s="53" t="s">
        <v>833</v>
      </c>
    </row>
    <row r="1213" spans="2:17" ht="15.75" x14ac:dyDescent="0.25">
      <c r="B1213" s="53"/>
      <c r="O1213" s="189"/>
      <c r="Q1213" s="53" t="s">
        <v>833</v>
      </c>
    </row>
    <row r="1214" spans="2:17" ht="15.75" x14ac:dyDescent="0.25">
      <c r="B1214" s="53"/>
      <c r="O1214" s="189"/>
      <c r="Q1214" s="53" t="s">
        <v>833</v>
      </c>
    </row>
    <row r="1215" spans="2:17" ht="15.75" x14ac:dyDescent="0.25">
      <c r="B1215" s="53"/>
      <c r="O1215" s="189"/>
      <c r="Q1215" s="53" t="s">
        <v>833</v>
      </c>
    </row>
    <row r="1216" spans="2:17" ht="15.75" x14ac:dyDescent="0.25">
      <c r="B1216" s="53"/>
      <c r="O1216" s="189"/>
      <c r="Q1216" s="53" t="s">
        <v>833</v>
      </c>
    </row>
    <row r="1217" spans="2:17" ht="15.75" x14ac:dyDescent="0.25">
      <c r="B1217" s="53"/>
      <c r="O1217" s="189"/>
      <c r="Q1217" s="53" t="s">
        <v>833</v>
      </c>
    </row>
    <row r="1218" spans="2:17" ht="15.75" x14ac:dyDescent="0.25">
      <c r="B1218" s="53"/>
      <c r="O1218" s="189"/>
      <c r="Q1218" s="53" t="s">
        <v>833</v>
      </c>
    </row>
    <row r="1219" spans="2:17" ht="15.75" x14ac:dyDescent="0.25">
      <c r="B1219" s="53"/>
      <c r="O1219" s="189"/>
      <c r="Q1219" s="53" t="s">
        <v>833</v>
      </c>
    </row>
    <row r="1220" spans="2:17" ht="15.75" x14ac:dyDescent="0.25">
      <c r="B1220" s="53"/>
      <c r="O1220" s="189"/>
      <c r="Q1220" s="53" t="s">
        <v>833</v>
      </c>
    </row>
    <row r="1221" spans="2:17" ht="15.75" x14ac:dyDescent="0.25">
      <c r="B1221" s="53"/>
      <c r="O1221" s="189"/>
      <c r="Q1221" s="53" t="s">
        <v>833</v>
      </c>
    </row>
    <row r="1222" spans="2:17" ht="15.75" x14ac:dyDescent="0.25">
      <c r="B1222" s="53"/>
      <c r="O1222" s="189"/>
      <c r="Q1222" s="53" t="s">
        <v>833</v>
      </c>
    </row>
    <row r="1223" spans="2:17" ht="15.75" x14ac:dyDescent="0.25">
      <c r="B1223" s="53"/>
      <c r="O1223" s="189"/>
      <c r="Q1223" s="53" t="s">
        <v>833</v>
      </c>
    </row>
    <row r="1224" spans="2:17" ht="15.75" x14ac:dyDescent="0.25">
      <c r="B1224" s="53"/>
      <c r="O1224" s="189"/>
      <c r="Q1224" s="53" t="s">
        <v>833</v>
      </c>
    </row>
    <row r="1225" spans="2:17" ht="15.75" x14ac:dyDescent="0.25">
      <c r="B1225" s="53"/>
      <c r="O1225" s="189"/>
      <c r="Q1225" s="53" t="s">
        <v>833</v>
      </c>
    </row>
    <row r="1226" spans="2:17" ht="15.75" x14ac:dyDescent="0.25">
      <c r="B1226" s="53"/>
      <c r="O1226" s="189"/>
      <c r="Q1226" s="53" t="s">
        <v>833</v>
      </c>
    </row>
    <row r="1227" spans="2:17" ht="15.75" x14ac:dyDescent="0.25">
      <c r="B1227" s="53"/>
      <c r="O1227" s="189"/>
      <c r="Q1227" s="53" t="s">
        <v>833</v>
      </c>
    </row>
    <row r="1228" spans="2:17" ht="15.75" x14ac:dyDescent="0.25">
      <c r="B1228" s="53"/>
      <c r="O1228" s="189"/>
      <c r="Q1228" s="53" t="s">
        <v>833</v>
      </c>
    </row>
    <row r="1229" spans="2:17" ht="15.75" x14ac:dyDescent="0.25">
      <c r="B1229" s="53"/>
      <c r="O1229" s="189"/>
      <c r="Q1229" s="53" t="s">
        <v>833</v>
      </c>
    </row>
    <row r="1230" spans="2:17" ht="15.75" x14ac:dyDescent="0.25">
      <c r="B1230" s="53"/>
      <c r="O1230" s="189"/>
      <c r="Q1230" s="53" t="s">
        <v>833</v>
      </c>
    </row>
    <row r="1231" spans="2:17" ht="15.75" x14ac:dyDescent="0.25">
      <c r="B1231" s="53"/>
      <c r="O1231" s="189"/>
      <c r="Q1231" s="53" t="s">
        <v>833</v>
      </c>
    </row>
    <row r="1232" spans="2:17" ht="15.75" x14ac:dyDescent="0.25">
      <c r="B1232" s="53"/>
      <c r="O1232" s="189"/>
      <c r="Q1232" s="53" t="s">
        <v>833</v>
      </c>
    </row>
    <row r="1233" spans="2:17" ht="15.75" x14ac:dyDescent="0.25">
      <c r="B1233" s="53"/>
      <c r="O1233" s="189"/>
      <c r="Q1233" s="53" t="s">
        <v>833</v>
      </c>
    </row>
    <row r="1234" spans="2:17" ht="15.75" x14ac:dyDescent="0.25">
      <c r="B1234" s="53"/>
      <c r="O1234" s="189"/>
      <c r="Q1234" s="53" t="s">
        <v>833</v>
      </c>
    </row>
    <row r="1235" spans="2:17" ht="15.75" x14ac:dyDescent="0.25">
      <c r="B1235" s="53"/>
      <c r="O1235" s="189"/>
      <c r="Q1235" s="53" t="s">
        <v>833</v>
      </c>
    </row>
    <row r="1236" spans="2:17" ht="15.75" x14ac:dyDescent="0.25">
      <c r="B1236" s="53"/>
      <c r="O1236" s="189"/>
      <c r="Q1236" s="53" t="s">
        <v>833</v>
      </c>
    </row>
    <row r="1237" spans="2:17" ht="15.75" x14ac:dyDescent="0.25">
      <c r="B1237" s="53"/>
      <c r="O1237" s="189"/>
      <c r="Q1237" s="53" t="s">
        <v>833</v>
      </c>
    </row>
    <row r="1238" spans="2:17" ht="15.75" x14ac:dyDescent="0.25">
      <c r="B1238" s="53"/>
      <c r="O1238" s="189"/>
      <c r="Q1238" s="53" t="s">
        <v>833</v>
      </c>
    </row>
    <row r="1239" spans="2:17" ht="15.75" x14ac:dyDescent="0.25">
      <c r="B1239" s="53"/>
      <c r="O1239" s="189"/>
      <c r="Q1239" s="53" t="s">
        <v>833</v>
      </c>
    </row>
    <row r="1240" spans="2:17" ht="15.75" x14ac:dyDescent="0.25">
      <c r="B1240" s="53"/>
      <c r="O1240" s="189"/>
      <c r="Q1240" s="53" t="s">
        <v>833</v>
      </c>
    </row>
    <row r="1241" spans="2:17" ht="15.75" x14ac:dyDescent="0.25">
      <c r="B1241" s="53"/>
      <c r="O1241" s="189"/>
      <c r="Q1241" s="53" t="s">
        <v>833</v>
      </c>
    </row>
    <row r="1242" spans="2:17" ht="15.75" x14ac:dyDescent="0.25">
      <c r="B1242" s="53"/>
      <c r="O1242" s="189"/>
      <c r="Q1242" s="53" t="s">
        <v>833</v>
      </c>
    </row>
    <row r="1243" spans="2:17" ht="15.75" x14ac:dyDescent="0.25">
      <c r="B1243" s="53"/>
      <c r="O1243" s="189"/>
      <c r="Q1243" s="53" t="s">
        <v>833</v>
      </c>
    </row>
    <row r="1244" spans="2:17" ht="15.75" x14ac:dyDescent="0.25">
      <c r="B1244" s="53"/>
      <c r="O1244" s="189"/>
      <c r="Q1244" s="53" t="s">
        <v>833</v>
      </c>
    </row>
    <row r="1245" spans="2:17" ht="15.75" x14ac:dyDescent="0.25">
      <c r="B1245" s="53"/>
      <c r="O1245" s="189"/>
      <c r="Q1245" s="53" t="s">
        <v>833</v>
      </c>
    </row>
    <row r="1246" spans="2:17" ht="15.75" x14ac:dyDescent="0.25">
      <c r="B1246" s="53"/>
      <c r="O1246" s="189"/>
      <c r="Q1246" s="53" t="s">
        <v>833</v>
      </c>
    </row>
    <row r="1247" spans="2:17" ht="15.75" x14ac:dyDescent="0.25">
      <c r="B1247" s="53"/>
      <c r="O1247" s="189"/>
      <c r="Q1247" s="53" t="s">
        <v>833</v>
      </c>
    </row>
    <row r="1248" spans="2:17" ht="15.75" x14ac:dyDescent="0.25">
      <c r="B1248" s="53"/>
      <c r="O1248" s="189"/>
      <c r="Q1248" s="53" t="s">
        <v>833</v>
      </c>
    </row>
    <row r="1249" spans="2:17" ht="15.75" x14ac:dyDescent="0.25">
      <c r="B1249" s="53"/>
      <c r="O1249" s="189"/>
      <c r="Q1249" s="53" t="s">
        <v>833</v>
      </c>
    </row>
    <row r="1250" spans="2:17" ht="15.75" x14ac:dyDescent="0.25">
      <c r="B1250" s="53"/>
      <c r="O1250" s="189"/>
      <c r="Q1250" s="53" t="s">
        <v>833</v>
      </c>
    </row>
    <row r="1251" spans="2:17" ht="15.75" x14ac:dyDescent="0.25">
      <c r="B1251" s="53"/>
      <c r="O1251" s="189"/>
      <c r="Q1251" s="53" t="s">
        <v>833</v>
      </c>
    </row>
    <row r="1252" spans="2:17" ht="15.75" x14ac:dyDescent="0.25">
      <c r="B1252" s="53"/>
      <c r="O1252" s="189"/>
      <c r="Q1252" s="53" t="s">
        <v>833</v>
      </c>
    </row>
    <row r="1253" spans="2:17" ht="15.75" x14ac:dyDescent="0.25">
      <c r="B1253" s="53"/>
      <c r="O1253" s="189"/>
      <c r="Q1253" s="53" t="s">
        <v>833</v>
      </c>
    </row>
    <row r="1254" spans="2:17" ht="15.75" x14ac:dyDescent="0.25">
      <c r="B1254" s="53"/>
      <c r="O1254" s="189"/>
      <c r="Q1254" s="53" t="s">
        <v>833</v>
      </c>
    </row>
    <row r="1255" spans="2:17" ht="15.75" x14ac:dyDescent="0.25">
      <c r="B1255" s="53"/>
      <c r="O1255" s="189"/>
      <c r="Q1255" s="53" t="s">
        <v>833</v>
      </c>
    </row>
    <row r="1256" spans="2:17" ht="15.75" x14ac:dyDescent="0.25">
      <c r="B1256" s="53"/>
      <c r="O1256" s="189"/>
      <c r="Q1256" s="53" t="s">
        <v>833</v>
      </c>
    </row>
    <row r="1257" spans="2:17" ht="15.75" x14ac:dyDescent="0.25">
      <c r="B1257" s="53"/>
      <c r="O1257" s="189"/>
      <c r="Q1257" s="53" t="s">
        <v>833</v>
      </c>
    </row>
    <row r="1258" spans="2:17" ht="15.75" x14ac:dyDescent="0.25">
      <c r="B1258" s="53"/>
      <c r="O1258" s="189"/>
      <c r="Q1258" s="53" t="s">
        <v>833</v>
      </c>
    </row>
    <row r="1259" spans="2:17" ht="15.75" x14ac:dyDescent="0.25">
      <c r="B1259" s="53"/>
      <c r="O1259" s="189"/>
      <c r="Q1259" s="53" t="s">
        <v>833</v>
      </c>
    </row>
    <row r="1260" spans="2:17" ht="15.75" x14ac:dyDescent="0.25">
      <c r="B1260" s="53"/>
      <c r="O1260" s="189"/>
      <c r="Q1260" s="53" t="s">
        <v>833</v>
      </c>
    </row>
    <row r="1261" spans="2:17" ht="15.75" x14ac:dyDescent="0.25">
      <c r="B1261" s="53"/>
      <c r="O1261" s="189"/>
      <c r="Q1261" s="53" t="s">
        <v>833</v>
      </c>
    </row>
    <row r="1262" spans="2:17" ht="15.75" x14ac:dyDescent="0.25">
      <c r="B1262" s="53"/>
      <c r="O1262" s="189"/>
      <c r="Q1262" s="53" t="s">
        <v>833</v>
      </c>
    </row>
    <row r="1263" spans="2:17" ht="15.75" x14ac:dyDescent="0.25">
      <c r="B1263" s="53"/>
      <c r="O1263" s="189"/>
      <c r="Q1263" s="53" t="s">
        <v>833</v>
      </c>
    </row>
    <row r="1264" spans="2:17" ht="15.75" x14ac:dyDescent="0.25">
      <c r="B1264" s="53"/>
      <c r="O1264" s="189"/>
      <c r="Q1264" s="53" t="s">
        <v>833</v>
      </c>
    </row>
    <row r="1265" spans="2:17" ht="15.75" x14ac:dyDescent="0.25">
      <c r="B1265" s="53"/>
      <c r="O1265" s="189"/>
      <c r="Q1265" s="53" t="s">
        <v>833</v>
      </c>
    </row>
    <row r="1266" spans="2:17" ht="15.75" x14ac:dyDescent="0.25">
      <c r="B1266" s="53"/>
      <c r="O1266" s="189"/>
      <c r="Q1266" s="53" t="s">
        <v>833</v>
      </c>
    </row>
    <row r="1267" spans="2:17" ht="15.75" x14ac:dyDescent="0.25">
      <c r="B1267" s="53"/>
      <c r="O1267" s="189"/>
      <c r="Q1267" s="53" t="s">
        <v>833</v>
      </c>
    </row>
    <row r="1268" spans="2:17" ht="15.75" x14ac:dyDescent="0.25">
      <c r="B1268" s="53"/>
      <c r="O1268" s="189"/>
      <c r="Q1268" s="53" t="s">
        <v>833</v>
      </c>
    </row>
    <row r="1269" spans="2:17" ht="15.75" x14ac:dyDescent="0.25">
      <c r="B1269" s="53"/>
      <c r="O1269" s="189"/>
      <c r="Q1269" s="53" t="s">
        <v>833</v>
      </c>
    </row>
    <row r="1270" spans="2:17" ht="15.75" x14ac:dyDescent="0.25">
      <c r="B1270" s="53"/>
      <c r="O1270" s="189"/>
      <c r="Q1270" s="53" t="s">
        <v>833</v>
      </c>
    </row>
    <row r="1271" spans="2:17" ht="15.75" x14ac:dyDescent="0.25">
      <c r="B1271" s="53"/>
      <c r="O1271" s="189"/>
      <c r="Q1271" s="53" t="s">
        <v>833</v>
      </c>
    </row>
    <row r="1272" spans="2:17" ht="15.75" x14ac:dyDescent="0.25">
      <c r="B1272" s="53"/>
      <c r="O1272" s="189"/>
      <c r="Q1272" s="53" t="s">
        <v>833</v>
      </c>
    </row>
    <row r="1273" spans="2:17" ht="15.75" x14ac:dyDescent="0.25">
      <c r="B1273" s="53"/>
      <c r="O1273" s="189"/>
      <c r="Q1273" s="53" t="s">
        <v>833</v>
      </c>
    </row>
    <row r="1274" spans="2:17" ht="15.75" x14ac:dyDescent="0.25">
      <c r="B1274" s="53"/>
      <c r="O1274" s="189"/>
      <c r="Q1274" s="53" t="s">
        <v>833</v>
      </c>
    </row>
    <row r="1275" spans="2:17" ht="15.75" x14ac:dyDescent="0.25">
      <c r="B1275" s="53"/>
      <c r="O1275" s="189"/>
      <c r="Q1275" s="53" t="s">
        <v>833</v>
      </c>
    </row>
    <row r="1276" spans="2:17" ht="15.75" x14ac:dyDescent="0.25">
      <c r="B1276" s="53"/>
      <c r="O1276" s="189"/>
      <c r="Q1276" s="53" t="s">
        <v>833</v>
      </c>
    </row>
    <row r="1277" spans="2:17" ht="15.75" x14ac:dyDescent="0.25">
      <c r="B1277" s="53"/>
      <c r="O1277" s="189"/>
      <c r="Q1277" s="53" t="s">
        <v>833</v>
      </c>
    </row>
    <row r="1278" spans="2:17" ht="15.75" x14ac:dyDescent="0.25">
      <c r="B1278" s="53"/>
      <c r="O1278" s="189"/>
      <c r="Q1278" s="53" t="s">
        <v>833</v>
      </c>
    </row>
    <row r="1279" spans="2:17" ht="15.75" x14ac:dyDescent="0.25">
      <c r="B1279" s="53"/>
      <c r="O1279" s="189"/>
      <c r="Q1279" s="53" t="s">
        <v>833</v>
      </c>
    </row>
    <row r="1280" spans="2:17" ht="15.75" x14ac:dyDescent="0.25">
      <c r="B1280" s="53"/>
      <c r="O1280" s="189"/>
      <c r="Q1280" s="53" t="s">
        <v>833</v>
      </c>
    </row>
    <row r="1281" spans="2:17" ht="15.75" x14ac:dyDescent="0.25">
      <c r="B1281" s="53"/>
      <c r="O1281" s="189"/>
      <c r="Q1281" s="53" t="s">
        <v>833</v>
      </c>
    </row>
    <row r="1282" spans="2:17" ht="15.75" x14ac:dyDescent="0.25">
      <c r="B1282" s="53"/>
      <c r="O1282" s="189"/>
      <c r="Q1282" s="53" t="s">
        <v>833</v>
      </c>
    </row>
    <row r="1283" spans="2:17" ht="15.75" x14ac:dyDescent="0.25">
      <c r="B1283" s="53"/>
      <c r="O1283" s="189"/>
      <c r="Q1283" s="53" t="s">
        <v>833</v>
      </c>
    </row>
    <row r="1284" spans="2:17" ht="15.75" x14ac:dyDescent="0.25">
      <c r="B1284" s="53"/>
      <c r="O1284" s="189"/>
      <c r="Q1284" s="53" t="s">
        <v>833</v>
      </c>
    </row>
    <row r="1285" spans="2:17" ht="15.75" x14ac:dyDescent="0.25">
      <c r="B1285" s="53"/>
      <c r="O1285" s="189"/>
      <c r="Q1285" s="53" t="s">
        <v>833</v>
      </c>
    </row>
    <row r="1286" spans="2:17" ht="15.75" x14ac:dyDescent="0.25">
      <c r="B1286" s="53"/>
      <c r="O1286" s="189"/>
      <c r="Q1286" s="53" t="s">
        <v>833</v>
      </c>
    </row>
    <row r="1287" spans="2:17" ht="15.75" x14ac:dyDescent="0.25">
      <c r="B1287" s="53"/>
      <c r="O1287" s="189"/>
      <c r="Q1287" s="53" t="s">
        <v>833</v>
      </c>
    </row>
    <row r="1288" spans="2:17" ht="15.75" x14ac:dyDescent="0.25">
      <c r="B1288" s="53"/>
      <c r="O1288" s="189"/>
      <c r="Q1288" s="53" t="s">
        <v>833</v>
      </c>
    </row>
    <row r="1289" spans="2:17" ht="15.75" x14ac:dyDescent="0.25">
      <c r="B1289" s="53"/>
      <c r="O1289" s="189"/>
      <c r="Q1289" s="53" t="s">
        <v>833</v>
      </c>
    </row>
    <row r="1290" spans="2:17" ht="15.75" x14ac:dyDescent="0.25">
      <c r="B1290" s="53"/>
      <c r="O1290" s="189"/>
      <c r="Q1290" s="53" t="s">
        <v>833</v>
      </c>
    </row>
    <row r="1291" spans="2:17" ht="15.75" x14ac:dyDescent="0.25">
      <c r="B1291" s="53"/>
      <c r="O1291" s="189"/>
      <c r="Q1291" s="53" t="s">
        <v>833</v>
      </c>
    </row>
    <row r="1292" spans="2:17" ht="15.75" x14ac:dyDescent="0.25">
      <c r="B1292" s="53"/>
      <c r="O1292" s="189"/>
      <c r="Q1292" s="53" t="s">
        <v>833</v>
      </c>
    </row>
    <row r="1293" spans="2:17" ht="15.75" x14ac:dyDescent="0.25">
      <c r="B1293" s="53"/>
      <c r="O1293" s="189"/>
      <c r="Q1293" s="53" t="s">
        <v>833</v>
      </c>
    </row>
    <row r="1294" spans="2:17" ht="15.75" x14ac:dyDescent="0.25">
      <c r="B1294" s="53"/>
      <c r="O1294" s="189"/>
      <c r="Q1294" s="53" t="s">
        <v>833</v>
      </c>
    </row>
    <row r="1295" spans="2:17" ht="15.75" x14ac:dyDescent="0.25">
      <c r="B1295" s="53"/>
      <c r="O1295" s="189"/>
      <c r="Q1295" s="53" t="s">
        <v>833</v>
      </c>
    </row>
    <row r="1296" spans="2:17" ht="15.75" x14ac:dyDescent="0.25">
      <c r="B1296" s="53"/>
      <c r="O1296" s="189"/>
      <c r="Q1296" s="53" t="s">
        <v>833</v>
      </c>
    </row>
    <row r="1297" spans="2:17" ht="15.75" x14ac:dyDescent="0.25">
      <c r="B1297" s="53"/>
      <c r="O1297" s="189"/>
      <c r="Q1297" s="53" t="s">
        <v>833</v>
      </c>
    </row>
    <row r="1298" spans="2:17" ht="15.75" x14ac:dyDescent="0.25">
      <c r="B1298" s="53"/>
      <c r="O1298" s="189"/>
      <c r="Q1298" s="53" t="s">
        <v>833</v>
      </c>
    </row>
    <row r="1299" spans="2:17" ht="15.75" x14ac:dyDescent="0.25">
      <c r="B1299" s="53"/>
      <c r="O1299" s="189"/>
      <c r="Q1299" s="53" t="s">
        <v>833</v>
      </c>
    </row>
    <row r="1300" spans="2:17" ht="15.75" x14ac:dyDescent="0.25">
      <c r="B1300" s="53"/>
      <c r="O1300" s="189"/>
      <c r="Q1300" s="53" t="s">
        <v>833</v>
      </c>
    </row>
    <row r="1301" spans="2:17" ht="15.75" x14ac:dyDescent="0.25">
      <c r="B1301" s="53"/>
      <c r="O1301" s="189"/>
      <c r="Q1301" s="53" t="s">
        <v>833</v>
      </c>
    </row>
    <row r="1302" spans="2:17" ht="15.75" x14ac:dyDescent="0.25">
      <c r="B1302" s="53"/>
      <c r="O1302" s="189"/>
      <c r="Q1302" s="53" t="s">
        <v>833</v>
      </c>
    </row>
    <row r="1303" spans="2:17" ht="15.75" x14ac:dyDescent="0.25">
      <c r="B1303" s="53"/>
      <c r="O1303" s="189"/>
      <c r="Q1303" s="53" t="s">
        <v>833</v>
      </c>
    </row>
    <row r="1304" spans="2:17" ht="15.75" x14ac:dyDescent="0.25">
      <c r="B1304" s="53"/>
      <c r="O1304" s="189"/>
      <c r="Q1304" s="53" t="s">
        <v>833</v>
      </c>
    </row>
    <row r="1305" spans="2:17" ht="15.75" x14ac:dyDescent="0.25">
      <c r="B1305" s="53"/>
      <c r="O1305" s="189"/>
      <c r="Q1305" s="53" t="s">
        <v>833</v>
      </c>
    </row>
    <row r="1306" spans="2:17" ht="15.75" x14ac:dyDescent="0.25">
      <c r="B1306" s="53"/>
      <c r="O1306" s="189"/>
      <c r="Q1306" s="53" t="s">
        <v>833</v>
      </c>
    </row>
    <row r="1307" spans="2:17" ht="15.75" x14ac:dyDescent="0.25">
      <c r="B1307" s="53"/>
      <c r="O1307" s="189"/>
      <c r="Q1307" s="53" t="s">
        <v>833</v>
      </c>
    </row>
    <row r="1308" spans="2:17" ht="15.75" x14ac:dyDescent="0.25">
      <c r="B1308" s="53"/>
      <c r="O1308" s="189"/>
      <c r="Q1308" s="53" t="s">
        <v>833</v>
      </c>
    </row>
    <row r="1309" spans="2:17" ht="15.75" x14ac:dyDescent="0.25">
      <c r="B1309" s="53"/>
      <c r="O1309" s="189"/>
      <c r="Q1309" s="53" t="s">
        <v>833</v>
      </c>
    </row>
    <row r="1310" spans="2:17" ht="15.75" x14ac:dyDescent="0.25">
      <c r="B1310" s="53"/>
      <c r="O1310" s="189"/>
      <c r="Q1310" s="53" t="s">
        <v>833</v>
      </c>
    </row>
    <row r="1311" spans="2:17" ht="15.75" x14ac:dyDescent="0.25">
      <c r="B1311" s="53"/>
      <c r="O1311" s="189"/>
      <c r="Q1311" s="53" t="s">
        <v>833</v>
      </c>
    </row>
    <row r="1312" spans="2:17" ht="15.75" x14ac:dyDescent="0.25">
      <c r="B1312" s="53"/>
      <c r="O1312" s="189"/>
      <c r="Q1312" s="53" t="s">
        <v>833</v>
      </c>
    </row>
    <row r="1313" spans="2:17" ht="15.75" x14ac:dyDescent="0.25">
      <c r="B1313" s="53"/>
      <c r="O1313" s="189"/>
      <c r="Q1313" s="53" t="s">
        <v>833</v>
      </c>
    </row>
    <row r="1314" spans="2:17" ht="15.75" x14ac:dyDescent="0.25">
      <c r="B1314" s="53"/>
      <c r="O1314" s="189"/>
      <c r="Q1314" s="53" t="s">
        <v>833</v>
      </c>
    </row>
    <row r="1315" spans="2:17" ht="15.75" x14ac:dyDescent="0.25">
      <c r="B1315" s="53"/>
      <c r="O1315" s="189"/>
      <c r="Q1315" s="53" t="s">
        <v>833</v>
      </c>
    </row>
    <row r="1316" spans="2:17" ht="15.75" x14ac:dyDescent="0.25">
      <c r="B1316" s="53"/>
      <c r="O1316" s="189"/>
      <c r="Q1316" s="53" t="s">
        <v>833</v>
      </c>
    </row>
    <row r="1317" spans="2:17" ht="15.75" x14ac:dyDescent="0.25">
      <c r="B1317" s="53"/>
      <c r="O1317" s="189"/>
      <c r="Q1317" s="53" t="s">
        <v>833</v>
      </c>
    </row>
    <row r="1318" spans="2:17" ht="15.75" x14ac:dyDescent="0.25">
      <c r="B1318" s="53"/>
      <c r="O1318" s="189"/>
      <c r="Q1318" s="53" t="s">
        <v>833</v>
      </c>
    </row>
    <row r="1319" spans="2:17" ht="15.75" x14ac:dyDescent="0.25">
      <c r="B1319" s="53"/>
      <c r="O1319" s="189"/>
      <c r="Q1319" s="53" t="s">
        <v>833</v>
      </c>
    </row>
    <row r="1320" spans="2:17" ht="15.75" x14ac:dyDescent="0.25">
      <c r="B1320" s="53"/>
      <c r="O1320" s="189"/>
      <c r="Q1320" s="53" t="s">
        <v>833</v>
      </c>
    </row>
    <row r="1321" spans="2:17" ht="15.75" x14ac:dyDescent="0.25">
      <c r="B1321" s="53"/>
      <c r="O1321" s="189"/>
      <c r="Q1321" s="53" t="s">
        <v>833</v>
      </c>
    </row>
    <row r="1322" spans="2:17" ht="15.75" x14ac:dyDescent="0.25">
      <c r="B1322" s="53"/>
      <c r="O1322" s="189"/>
      <c r="Q1322" s="53" t="s">
        <v>833</v>
      </c>
    </row>
    <row r="1323" spans="2:17" ht="15.75" x14ac:dyDescent="0.25">
      <c r="B1323" s="53"/>
      <c r="O1323" s="189"/>
      <c r="Q1323" s="53" t="s">
        <v>833</v>
      </c>
    </row>
    <row r="1324" spans="2:17" ht="15.75" x14ac:dyDescent="0.25">
      <c r="B1324" s="53"/>
      <c r="O1324" s="189"/>
      <c r="Q1324" s="53" t="s">
        <v>833</v>
      </c>
    </row>
    <row r="1325" spans="2:17" ht="15.75" x14ac:dyDescent="0.25">
      <c r="B1325" s="53"/>
      <c r="O1325" s="189"/>
      <c r="Q1325" s="53" t="s">
        <v>833</v>
      </c>
    </row>
    <row r="1326" spans="2:17" ht="15.75" x14ac:dyDescent="0.25">
      <c r="B1326" s="53"/>
      <c r="O1326" s="189"/>
      <c r="Q1326" s="53" t="s">
        <v>833</v>
      </c>
    </row>
    <row r="1327" spans="2:17" ht="15.75" x14ac:dyDescent="0.25">
      <c r="B1327" s="53"/>
      <c r="O1327" s="189"/>
      <c r="Q1327" s="53" t="s">
        <v>833</v>
      </c>
    </row>
    <row r="1328" spans="2:17" ht="15.75" x14ac:dyDescent="0.25">
      <c r="B1328" s="53"/>
      <c r="O1328" s="189"/>
      <c r="Q1328" s="53" t="s">
        <v>833</v>
      </c>
    </row>
    <row r="1329" spans="2:17" ht="15.75" x14ac:dyDescent="0.25">
      <c r="B1329" s="53"/>
      <c r="O1329" s="189"/>
      <c r="Q1329" s="53" t="s">
        <v>833</v>
      </c>
    </row>
    <row r="1330" spans="2:17" ht="15.75" x14ac:dyDescent="0.25">
      <c r="B1330" s="53"/>
      <c r="O1330" s="189"/>
      <c r="Q1330" s="53" t="s">
        <v>833</v>
      </c>
    </row>
    <row r="1331" spans="2:17" ht="15.75" x14ac:dyDescent="0.25">
      <c r="B1331" s="53"/>
      <c r="O1331" s="189"/>
      <c r="Q1331" s="53" t="s">
        <v>833</v>
      </c>
    </row>
    <row r="1332" spans="2:17" ht="15.75" x14ac:dyDescent="0.25">
      <c r="B1332" s="53"/>
      <c r="O1332" s="189"/>
      <c r="Q1332" s="53" t="s">
        <v>833</v>
      </c>
    </row>
    <row r="1333" spans="2:17" ht="15.75" x14ac:dyDescent="0.25">
      <c r="B1333" s="53"/>
      <c r="O1333" s="189"/>
      <c r="Q1333" s="53" t="s">
        <v>833</v>
      </c>
    </row>
    <row r="1334" spans="2:17" ht="15.75" x14ac:dyDescent="0.25">
      <c r="B1334" s="53"/>
      <c r="O1334" s="189"/>
      <c r="Q1334" s="53" t="s">
        <v>833</v>
      </c>
    </row>
    <row r="1335" spans="2:17" ht="15.75" x14ac:dyDescent="0.25">
      <c r="B1335" s="53"/>
      <c r="O1335" s="189"/>
      <c r="Q1335" s="53" t="s">
        <v>833</v>
      </c>
    </row>
    <row r="1336" spans="2:17" ht="15.75" x14ac:dyDescent="0.25">
      <c r="B1336" s="53"/>
      <c r="O1336" s="189"/>
      <c r="Q1336" s="53" t="s">
        <v>833</v>
      </c>
    </row>
    <row r="1337" spans="2:17" ht="15.75" x14ac:dyDescent="0.25">
      <c r="B1337" s="53"/>
      <c r="O1337" s="189"/>
      <c r="Q1337" s="53" t="s">
        <v>833</v>
      </c>
    </row>
    <row r="1338" spans="2:17" ht="15.75" x14ac:dyDescent="0.25">
      <c r="B1338" s="53"/>
      <c r="O1338" s="189"/>
      <c r="Q1338" s="53" t="s">
        <v>833</v>
      </c>
    </row>
    <row r="1339" spans="2:17" ht="15.75" x14ac:dyDescent="0.25">
      <c r="B1339" s="53"/>
      <c r="O1339" s="189"/>
      <c r="Q1339" s="53" t="s">
        <v>833</v>
      </c>
    </row>
    <row r="1340" spans="2:17" ht="15.75" x14ac:dyDescent="0.25">
      <c r="B1340" s="53"/>
      <c r="O1340" s="189"/>
      <c r="Q1340" s="53" t="s">
        <v>833</v>
      </c>
    </row>
    <row r="1341" spans="2:17" ht="15.75" x14ac:dyDescent="0.25">
      <c r="B1341" s="53"/>
      <c r="O1341" s="189"/>
      <c r="Q1341" s="53" t="s">
        <v>833</v>
      </c>
    </row>
    <row r="1342" spans="2:17" ht="15.75" x14ac:dyDescent="0.25">
      <c r="B1342" s="53"/>
      <c r="O1342" s="189"/>
      <c r="Q1342" s="53" t="s">
        <v>833</v>
      </c>
    </row>
    <row r="1343" spans="2:17" ht="15.75" x14ac:dyDescent="0.25">
      <c r="B1343" s="53"/>
      <c r="O1343" s="189"/>
      <c r="Q1343" s="53" t="s">
        <v>833</v>
      </c>
    </row>
    <row r="1344" spans="2:17" ht="15.75" x14ac:dyDescent="0.25">
      <c r="B1344" s="53"/>
      <c r="O1344" s="189"/>
      <c r="Q1344" s="53" t="s">
        <v>833</v>
      </c>
    </row>
    <row r="1345" spans="2:17" ht="15.75" x14ac:dyDescent="0.25">
      <c r="B1345" s="53"/>
      <c r="O1345" s="189"/>
      <c r="Q1345" s="53" t="s">
        <v>833</v>
      </c>
    </row>
    <row r="1346" spans="2:17" ht="15.75" x14ac:dyDescent="0.25">
      <c r="B1346" s="53"/>
      <c r="O1346" s="189"/>
      <c r="Q1346" s="53" t="s">
        <v>833</v>
      </c>
    </row>
    <row r="1347" spans="2:17" ht="15.75" x14ac:dyDescent="0.25">
      <c r="B1347" s="53"/>
      <c r="O1347" s="189"/>
      <c r="Q1347" s="53" t="s">
        <v>833</v>
      </c>
    </row>
    <row r="1348" spans="2:17" ht="15.75" x14ac:dyDescent="0.25">
      <c r="B1348" s="53"/>
      <c r="O1348" s="189"/>
      <c r="Q1348" s="53" t="s">
        <v>833</v>
      </c>
    </row>
    <row r="1349" spans="2:17" ht="15.75" x14ac:dyDescent="0.25">
      <c r="B1349" s="53"/>
      <c r="O1349" s="189"/>
      <c r="Q1349" s="53" t="s">
        <v>833</v>
      </c>
    </row>
    <row r="1350" spans="2:17" ht="15.75" x14ac:dyDescent="0.25">
      <c r="B1350" s="53"/>
      <c r="O1350" s="189"/>
      <c r="Q1350" s="53" t="s">
        <v>833</v>
      </c>
    </row>
    <row r="1351" spans="2:17" ht="15.75" x14ac:dyDescent="0.25">
      <c r="B1351" s="53"/>
      <c r="O1351" s="189"/>
      <c r="Q1351" s="53" t="s">
        <v>833</v>
      </c>
    </row>
    <row r="1352" spans="2:17" ht="15.75" x14ac:dyDescent="0.25">
      <c r="B1352" s="53"/>
      <c r="O1352" s="189"/>
      <c r="Q1352" s="53" t="s">
        <v>833</v>
      </c>
    </row>
    <row r="1353" spans="2:17" ht="15.75" x14ac:dyDescent="0.25">
      <c r="B1353" s="53"/>
      <c r="O1353" s="189"/>
      <c r="Q1353" s="53" t="s">
        <v>833</v>
      </c>
    </row>
    <row r="1354" spans="2:17" ht="15.75" x14ac:dyDescent="0.25">
      <c r="B1354" s="53"/>
      <c r="O1354" s="189"/>
      <c r="Q1354" s="53" t="s">
        <v>833</v>
      </c>
    </row>
    <row r="1355" spans="2:17" ht="15.75" x14ac:dyDescent="0.25">
      <c r="B1355" s="53"/>
      <c r="O1355" s="189"/>
      <c r="Q1355" s="53" t="s">
        <v>833</v>
      </c>
    </row>
    <row r="1356" spans="2:17" ht="15.75" x14ac:dyDescent="0.25">
      <c r="B1356" s="53"/>
      <c r="O1356" s="189"/>
      <c r="Q1356" s="53" t="s">
        <v>833</v>
      </c>
    </row>
    <row r="1357" spans="2:17" ht="15.75" x14ac:dyDescent="0.25">
      <c r="B1357" s="53"/>
      <c r="O1357" s="189"/>
      <c r="Q1357" s="53" t="s">
        <v>833</v>
      </c>
    </row>
    <row r="1358" spans="2:17" ht="15.75" x14ac:dyDescent="0.25">
      <c r="B1358" s="53"/>
      <c r="O1358" s="189"/>
      <c r="Q1358" s="53" t="s">
        <v>833</v>
      </c>
    </row>
    <row r="1359" spans="2:17" ht="15.75" x14ac:dyDescent="0.25">
      <c r="B1359" s="53"/>
      <c r="O1359" s="189"/>
      <c r="Q1359" s="53" t="s">
        <v>833</v>
      </c>
    </row>
    <row r="1360" spans="2:17" ht="15.75" x14ac:dyDescent="0.25">
      <c r="B1360" s="53"/>
      <c r="O1360" s="189"/>
      <c r="Q1360" s="53" t="s">
        <v>833</v>
      </c>
    </row>
    <row r="1361" spans="2:17" ht="15.75" x14ac:dyDescent="0.25">
      <c r="B1361" s="53"/>
      <c r="O1361" s="189"/>
      <c r="Q1361" s="53" t="s">
        <v>833</v>
      </c>
    </row>
    <row r="1362" spans="2:17" ht="15.75" x14ac:dyDescent="0.25">
      <c r="B1362" s="53"/>
      <c r="O1362" s="189"/>
      <c r="Q1362" s="53" t="s">
        <v>833</v>
      </c>
    </row>
    <row r="1363" spans="2:17" ht="15.75" x14ac:dyDescent="0.25">
      <c r="B1363" s="53"/>
      <c r="O1363" s="189"/>
      <c r="Q1363" s="53" t="s">
        <v>833</v>
      </c>
    </row>
    <row r="1364" spans="2:17" ht="15.75" x14ac:dyDescent="0.25">
      <c r="B1364" s="53"/>
      <c r="O1364" s="189"/>
      <c r="Q1364" s="53" t="s">
        <v>833</v>
      </c>
    </row>
    <row r="1365" spans="2:17" ht="15.75" x14ac:dyDescent="0.25">
      <c r="B1365" s="53"/>
      <c r="O1365" s="189"/>
      <c r="Q1365" s="53" t="s">
        <v>833</v>
      </c>
    </row>
    <row r="1366" spans="2:17" ht="15.75" x14ac:dyDescent="0.25">
      <c r="B1366" s="53"/>
      <c r="O1366" s="189"/>
      <c r="Q1366" s="53" t="s">
        <v>833</v>
      </c>
    </row>
    <row r="1367" spans="2:17" ht="15.75" x14ac:dyDescent="0.25">
      <c r="B1367" s="53"/>
      <c r="O1367" s="189"/>
      <c r="Q1367" s="53" t="s">
        <v>833</v>
      </c>
    </row>
    <row r="1368" spans="2:17" ht="15.75" x14ac:dyDescent="0.25">
      <c r="B1368" s="53"/>
      <c r="O1368" s="189"/>
      <c r="Q1368" s="53" t="s">
        <v>833</v>
      </c>
    </row>
    <row r="1369" spans="2:17" ht="15.75" x14ac:dyDescent="0.25">
      <c r="B1369" s="53"/>
      <c r="O1369" s="189"/>
      <c r="Q1369" s="53" t="s">
        <v>833</v>
      </c>
    </row>
    <row r="1370" spans="2:17" ht="15.75" x14ac:dyDescent="0.25">
      <c r="B1370" s="53"/>
      <c r="O1370" s="189"/>
      <c r="Q1370" s="53" t="s">
        <v>833</v>
      </c>
    </row>
    <row r="1371" spans="2:17" ht="15.75" x14ac:dyDescent="0.25">
      <c r="B1371" s="53"/>
      <c r="O1371" s="189"/>
      <c r="Q1371" s="53" t="s">
        <v>833</v>
      </c>
    </row>
    <row r="1372" spans="2:17" ht="15.75" x14ac:dyDescent="0.25">
      <c r="B1372" s="53"/>
      <c r="O1372" s="189"/>
      <c r="Q1372" s="53" t="s">
        <v>833</v>
      </c>
    </row>
    <row r="1373" spans="2:17" ht="15.75" x14ac:dyDescent="0.25">
      <c r="B1373" s="53"/>
      <c r="O1373" s="189"/>
      <c r="Q1373" s="53" t="s">
        <v>833</v>
      </c>
    </row>
    <row r="1374" spans="2:17" ht="15.75" x14ac:dyDescent="0.25">
      <c r="B1374" s="53"/>
      <c r="O1374" s="189"/>
      <c r="Q1374" s="53" t="s">
        <v>833</v>
      </c>
    </row>
    <row r="1375" spans="2:17" ht="15.75" x14ac:dyDescent="0.25">
      <c r="B1375" s="53"/>
      <c r="O1375" s="189"/>
      <c r="Q1375" s="53" t="s">
        <v>833</v>
      </c>
    </row>
    <row r="1376" spans="2:17" ht="15.75" x14ac:dyDescent="0.25">
      <c r="B1376" s="53"/>
      <c r="O1376" s="189"/>
      <c r="Q1376" s="53" t="s">
        <v>833</v>
      </c>
    </row>
    <row r="1377" spans="2:17" ht="15.75" x14ac:dyDescent="0.25">
      <c r="B1377" s="53"/>
      <c r="O1377" s="189"/>
      <c r="Q1377" s="53" t="s">
        <v>833</v>
      </c>
    </row>
    <row r="1378" spans="2:17" ht="15.75" x14ac:dyDescent="0.25">
      <c r="B1378" s="53"/>
      <c r="O1378" s="189"/>
      <c r="Q1378" s="53" t="s">
        <v>833</v>
      </c>
    </row>
    <row r="1379" spans="2:17" ht="15.75" x14ac:dyDescent="0.25">
      <c r="B1379" s="53"/>
      <c r="O1379" s="189"/>
      <c r="Q1379" s="53" t="s">
        <v>833</v>
      </c>
    </row>
    <row r="1380" spans="2:17" ht="15.75" x14ac:dyDescent="0.25">
      <c r="B1380" s="53"/>
      <c r="O1380" s="189"/>
      <c r="Q1380" s="53" t="s">
        <v>833</v>
      </c>
    </row>
    <row r="1381" spans="2:17" ht="15.75" x14ac:dyDescent="0.25">
      <c r="B1381" s="53"/>
      <c r="O1381" s="189"/>
      <c r="Q1381" s="53" t="s">
        <v>833</v>
      </c>
    </row>
    <row r="1382" spans="2:17" ht="15.75" x14ac:dyDescent="0.25">
      <c r="B1382" s="53"/>
      <c r="O1382" s="189"/>
      <c r="Q1382" s="53" t="s">
        <v>833</v>
      </c>
    </row>
    <row r="1383" spans="2:17" ht="15.75" x14ac:dyDescent="0.25">
      <c r="B1383" s="53"/>
      <c r="O1383" s="189"/>
      <c r="Q1383" s="53" t="s">
        <v>833</v>
      </c>
    </row>
    <row r="1384" spans="2:17" ht="15.75" x14ac:dyDescent="0.25">
      <c r="B1384" s="53"/>
      <c r="O1384" s="189"/>
      <c r="Q1384" s="53" t="s">
        <v>833</v>
      </c>
    </row>
    <row r="1385" spans="2:17" ht="15.75" x14ac:dyDescent="0.25">
      <c r="B1385" s="53"/>
      <c r="O1385" s="189"/>
      <c r="Q1385" s="53" t="s">
        <v>833</v>
      </c>
    </row>
    <row r="1386" spans="2:17" ht="15.75" x14ac:dyDescent="0.25">
      <c r="B1386" s="53"/>
      <c r="O1386" s="189"/>
      <c r="Q1386" s="53" t="s">
        <v>833</v>
      </c>
    </row>
    <row r="1387" spans="2:17" ht="15.75" x14ac:dyDescent="0.25">
      <c r="B1387" s="53"/>
      <c r="O1387" s="189"/>
      <c r="Q1387" s="53" t="s">
        <v>833</v>
      </c>
    </row>
    <row r="1388" spans="2:17" ht="15.75" x14ac:dyDescent="0.25">
      <c r="B1388" s="53"/>
      <c r="O1388" s="189"/>
      <c r="Q1388" s="53" t="s">
        <v>833</v>
      </c>
    </row>
    <row r="1389" spans="2:17" ht="15.75" x14ac:dyDescent="0.25">
      <c r="B1389" s="53"/>
      <c r="O1389" s="189"/>
      <c r="Q1389" s="53" t="s">
        <v>833</v>
      </c>
    </row>
    <row r="1390" spans="2:17" ht="15.75" x14ac:dyDescent="0.25">
      <c r="B1390" s="53"/>
      <c r="O1390" s="189"/>
      <c r="Q1390" s="53" t="s">
        <v>833</v>
      </c>
    </row>
    <row r="1391" spans="2:17" ht="15.75" x14ac:dyDescent="0.25">
      <c r="B1391" s="53"/>
      <c r="O1391" s="189"/>
      <c r="Q1391" s="53" t="s">
        <v>833</v>
      </c>
    </row>
    <row r="1392" spans="2:17" ht="15.75" x14ac:dyDescent="0.25">
      <c r="B1392" s="53"/>
      <c r="O1392" s="189"/>
      <c r="Q1392" s="53" t="s">
        <v>833</v>
      </c>
    </row>
    <row r="1393" spans="2:17" ht="15.75" x14ac:dyDescent="0.25">
      <c r="B1393" s="53"/>
      <c r="O1393" s="189"/>
      <c r="Q1393" s="53" t="s">
        <v>833</v>
      </c>
    </row>
    <row r="1394" spans="2:17" ht="15.75" x14ac:dyDescent="0.25">
      <c r="B1394" s="53"/>
      <c r="O1394" s="189"/>
      <c r="Q1394" s="53" t="s">
        <v>833</v>
      </c>
    </row>
    <row r="1395" spans="2:17" ht="15.75" x14ac:dyDescent="0.25">
      <c r="B1395" s="53"/>
      <c r="O1395" s="189"/>
      <c r="Q1395" s="53" t="s">
        <v>833</v>
      </c>
    </row>
    <row r="1396" spans="2:17" ht="15.75" x14ac:dyDescent="0.25">
      <c r="B1396" s="53"/>
      <c r="O1396" s="189"/>
      <c r="Q1396" s="53" t="s">
        <v>833</v>
      </c>
    </row>
    <row r="1397" spans="2:17" ht="15.75" x14ac:dyDescent="0.25">
      <c r="B1397" s="53"/>
      <c r="O1397" s="189"/>
      <c r="Q1397" s="53" t="s">
        <v>833</v>
      </c>
    </row>
    <row r="1398" spans="2:17" ht="15.75" x14ac:dyDescent="0.25">
      <c r="B1398" s="53"/>
      <c r="O1398" s="189"/>
      <c r="Q1398" s="53" t="s">
        <v>833</v>
      </c>
    </row>
    <row r="1399" spans="2:17" ht="15.75" x14ac:dyDescent="0.25">
      <c r="B1399" s="53"/>
      <c r="O1399" s="189"/>
      <c r="Q1399" s="53" t="s">
        <v>833</v>
      </c>
    </row>
    <row r="1400" spans="2:17" ht="15.75" x14ac:dyDescent="0.25">
      <c r="B1400" s="53"/>
      <c r="O1400" s="189"/>
      <c r="Q1400" s="53" t="s">
        <v>833</v>
      </c>
    </row>
    <row r="1401" spans="2:17" ht="15.75" x14ac:dyDescent="0.25">
      <c r="B1401" s="53"/>
      <c r="O1401" s="189"/>
      <c r="Q1401" s="53" t="s">
        <v>833</v>
      </c>
    </row>
    <row r="1402" spans="2:17" ht="15.75" x14ac:dyDescent="0.25">
      <c r="B1402" s="53"/>
      <c r="O1402" s="189"/>
      <c r="Q1402" s="53" t="s">
        <v>833</v>
      </c>
    </row>
    <row r="1403" spans="2:17" ht="15.75" x14ac:dyDescent="0.25">
      <c r="B1403" s="53"/>
      <c r="O1403" s="189"/>
      <c r="Q1403" s="53" t="s">
        <v>833</v>
      </c>
    </row>
    <row r="1404" spans="2:17" ht="15.75" x14ac:dyDescent="0.25">
      <c r="B1404" s="53"/>
      <c r="O1404" s="189"/>
      <c r="Q1404" s="53" t="s">
        <v>833</v>
      </c>
    </row>
    <row r="1405" spans="2:17" ht="15.75" x14ac:dyDescent="0.25">
      <c r="B1405" s="53"/>
      <c r="O1405" s="189"/>
      <c r="Q1405" s="53" t="s">
        <v>833</v>
      </c>
    </row>
    <row r="1406" spans="2:17" ht="15.75" x14ac:dyDescent="0.25">
      <c r="B1406" s="53"/>
      <c r="O1406" s="189"/>
      <c r="Q1406" s="53" t="s">
        <v>833</v>
      </c>
    </row>
    <row r="1407" spans="2:17" ht="15.75" x14ac:dyDescent="0.25">
      <c r="B1407" s="53"/>
      <c r="O1407" s="189"/>
      <c r="Q1407" s="53" t="s">
        <v>833</v>
      </c>
    </row>
    <row r="1408" spans="2:17" ht="15.75" x14ac:dyDescent="0.25">
      <c r="B1408" s="53"/>
      <c r="O1408" s="189"/>
      <c r="Q1408" s="53" t="s">
        <v>833</v>
      </c>
    </row>
    <row r="1409" spans="2:17" ht="15.75" x14ac:dyDescent="0.25">
      <c r="B1409" s="53"/>
      <c r="O1409" s="189"/>
      <c r="Q1409" s="53" t="s">
        <v>833</v>
      </c>
    </row>
    <row r="1410" spans="2:17" ht="15.75" x14ac:dyDescent="0.25">
      <c r="B1410" s="53"/>
      <c r="O1410" s="189"/>
      <c r="Q1410" s="53" t="s">
        <v>833</v>
      </c>
    </row>
    <row r="1411" spans="2:17" ht="15.75" x14ac:dyDescent="0.25">
      <c r="B1411" s="53"/>
      <c r="O1411" s="189"/>
      <c r="Q1411" s="53" t="s">
        <v>833</v>
      </c>
    </row>
    <row r="1412" spans="2:17" ht="15.75" x14ac:dyDescent="0.25">
      <c r="B1412" s="53"/>
      <c r="O1412" s="189"/>
      <c r="Q1412" s="53" t="s">
        <v>833</v>
      </c>
    </row>
    <row r="1413" spans="2:17" ht="15.75" x14ac:dyDescent="0.25">
      <c r="B1413" s="53"/>
      <c r="O1413" s="189"/>
      <c r="Q1413" s="53" t="s">
        <v>833</v>
      </c>
    </row>
    <row r="1414" spans="2:17" ht="15.75" x14ac:dyDescent="0.25">
      <c r="B1414" s="53"/>
      <c r="O1414" s="189"/>
      <c r="Q1414" s="53" t="s">
        <v>833</v>
      </c>
    </row>
    <row r="1415" spans="2:17" ht="15.75" x14ac:dyDescent="0.25">
      <c r="B1415" s="53"/>
      <c r="O1415" s="189"/>
      <c r="Q1415" s="53" t="s">
        <v>833</v>
      </c>
    </row>
    <row r="1416" spans="2:17" ht="15.75" x14ac:dyDescent="0.25">
      <c r="B1416" s="53"/>
      <c r="O1416" s="189"/>
      <c r="Q1416" s="53" t="s">
        <v>833</v>
      </c>
    </row>
    <row r="1417" spans="2:17" ht="15.75" x14ac:dyDescent="0.25">
      <c r="B1417" s="53"/>
      <c r="O1417" s="189"/>
      <c r="Q1417" s="53" t="s">
        <v>833</v>
      </c>
    </row>
    <row r="1418" spans="2:17" ht="15.75" x14ac:dyDescent="0.25">
      <c r="B1418" s="53"/>
      <c r="O1418" s="189"/>
      <c r="Q1418" s="53" t="s">
        <v>833</v>
      </c>
    </row>
    <row r="1419" spans="2:17" ht="15.75" x14ac:dyDescent="0.25">
      <c r="B1419" s="53"/>
      <c r="O1419" s="189"/>
      <c r="Q1419" s="53" t="s">
        <v>833</v>
      </c>
    </row>
    <row r="1420" spans="2:17" ht="15.75" x14ac:dyDescent="0.25">
      <c r="B1420" s="53"/>
      <c r="O1420" s="189"/>
      <c r="Q1420" s="53" t="s">
        <v>833</v>
      </c>
    </row>
    <row r="1421" spans="2:17" ht="15.75" x14ac:dyDescent="0.25">
      <c r="B1421" s="53"/>
      <c r="O1421" s="189"/>
      <c r="Q1421" s="53" t="s">
        <v>833</v>
      </c>
    </row>
    <row r="1422" spans="2:17" ht="15.75" x14ac:dyDescent="0.25">
      <c r="B1422" s="53"/>
      <c r="O1422" s="189"/>
      <c r="Q1422" s="53" t="s">
        <v>833</v>
      </c>
    </row>
    <row r="1423" spans="2:17" ht="15.75" x14ac:dyDescent="0.25">
      <c r="B1423" s="53"/>
      <c r="O1423" s="189"/>
      <c r="Q1423" s="53" t="s">
        <v>833</v>
      </c>
    </row>
    <row r="1424" spans="2:17" ht="15.75" x14ac:dyDescent="0.25">
      <c r="B1424" s="53"/>
      <c r="O1424" s="189"/>
      <c r="Q1424" s="53" t="s">
        <v>833</v>
      </c>
    </row>
    <row r="1425" spans="2:17" ht="15.75" x14ac:dyDescent="0.25">
      <c r="B1425" s="53"/>
      <c r="O1425" s="189"/>
      <c r="Q1425" s="53" t="s">
        <v>833</v>
      </c>
    </row>
    <row r="1426" spans="2:17" ht="15.75" x14ac:dyDescent="0.25">
      <c r="B1426" s="53"/>
      <c r="O1426" s="189"/>
      <c r="Q1426" s="53" t="s">
        <v>833</v>
      </c>
    </row>
    <row r="1427" spans="2:17" ht="15.75" x14ac:dyDescent="0.25">
      <c r="B1427" s="53"/>
      <c r="O1427" s="189"/>
      <c r="Q1427" s="53" t="s">
        <v>833</v>
      </c>
    </row>
    <row r="1428" spans="2:17" ht="15.75" x14ac:dyDescent="0.25">
      <c r="B1428" s="53"/>
      <c r="O1428" s="189"/>
      <c r="Q1428" s="53" t="s">
        <v>833</v>
      </c>
    </row>
    <row r="1429" spans="2:17" ht="15.75" x14ac:dyDescent="0.25">
      <c r="B1429" s="53"/>
      <c r="O1429" s="189"/>
      <c r="Q1429" s="53" t="s">
        <v>833</v>
      </c>
    </row>
    <row r="1430" spans="2:17" ht="15.75" x14ac:dyDescent="0.25">
      <c r="B1430" s="53"/>
      <c r="O1430" s="189"/>
      <c r="Q1430" s="53" t="s">
        <v>833</v>
      </c>
    </row>
    <row r="1431" spans="2:17" ht="15.75" x14ac:dyDescent="0.25">
      <c r="B1431" s="53"/>
      <c r="O1431" s="189"/>
      <c r="Q1431" s="53" t="s">
        <v>833</v>
      </c>
    </row>
    <row r="1432" spans="2:17" ht="15.75" x14ac:dyDescent="0.25">
      <c r="B1432" s="53"/>
      <c r="O1432" s="189"/>
      <c r="Q1432" s="53" t="s">
        <v>833</v>
      </c>
    </row>
    <row r="1433" spans="2:17" ht="15.75" x14ac:dyDescent="0.25">
      <c r="B1433" s="53"/>
      <c r="O1433" s="189"/>
      <c r="Q1433" s="53" t="s">
        <v>833</v>
      </c>
    </row>
    <row r="1434" spans="2:17" ht="15.75" x14ac:dyDescent="0.25">
      <c r="B1434" s="53"/>
      <c r="O1434" s="189"/>
      <c r="Q1434" s="53" t="s">
        <v>833</v>
      </c>
    </row>
    <row r="1435" spans="2:17" ht="15.75" x14ac:dyDescent="0.25">
      <c r="B1435" s="53"/>
      <c r="O1435" s="189"/>
      <c r="Q1435" s="53" t="s">
        <v>833</v>
      </c>
    </row>
    <row r="1436" spans="2:17" ht="15.75" x14ac:dyDescent="0.25">
      <c r="B1436" s="53"/>
      <c r="O1436" s="189"/>
      <c r="Q1436" s="53" t="s">
        <v>833</v>
      </c>
    </row>
    <row r="1437" spans="2:17" ht="15.75" x14ac:dyDescent="0.25">
      <c r="B1437" s="53"/>
      <c r="O1437" s="189"/>
      <c r="Q1437" s="53" t="s">
        <v>833</v>
      </c>
    </row>
    <row r="1438" spans="2:17" ht="15.75" x14ac:dyDescent="0.25">
      <c r="B1438" s="53"/>
      <c r="O1438" s="189"/>
      <c r="Q1438" s="53" t="s">
        <v>833</v>
      </c>
    </row>
    <row r="1439" spans="2:17" ht="15.75" x14ac:dyDescent="0.25">
      <c r="B1439" s="53"/>
      <c r="O1439" s="189"/>
      <c r="Q1439" s="53" t="s">
        <v>833</v>
      </c>
    </row>
    <row r="1440" spans="2:17" ht="15.75" x14ac:dyDescent="0.25">
      <c r="B1440" s="53"/>
      <c r="O1440" s="189"/>
      <c r="Q1440" s="53" t="s">
        <v>833</v>
      </c>
    </row>
    <row r="1441" spans="2:17" ht="15.75" x14ac:dyDescent="0.25">
      <c r="B1441" s="53"/>
      <c r="O1441" s="189"/>
      <c r="Q1441" s="53" t="s">
        <v>833</v>
      </c>
    </row>
    <row r="1442" spans="2:17" ht="15.75" x14ac:dyDescent="0.25">
      <c r="B1442" s="53"/>
      <c r="O1442" s="189"/>
      <c r="Q1442" s="53" t="s">
        <v>833</v>
      </c>
    </row>
    <row r="1443" spans="2:17" ht="15.75" x14ac:dyDescent="0.25">
      <c r="B1443" s="53"/>
      <c r="O1443" s="189"/>
      <c r="Q1443" s="53" t="s">
        <v>833</v>
      </c>
    </row>
    <row r="1444" spans="2:17" ht="15.75" x14ac:dyDescent="0.25">
      <c r="B1444" s="53"/>
      <c r="O1444" s="189"/>
      <c r="Q1444" s="53" t="s">
        <v>833</v>
      </c>
    </row>
    <row r="1445" spans="2:17" ht="15.75" x14ac:dyDescent="0.25">
      <c r="B1445" s="53"/>
      <c r="O1445" s="189"/>
      <c r="Q1445" s="53" t="s">
        <v>833</v>
      </c>
    </row>
    <row r="1446" spans="2:17" ht="15.75" x14ac:dyDescent="0.25">
      <c r="B1446" s="53"/>
      <c r="O1446" s="189"/>
      <c r="Q1446" s="53" t="s">
        <v>833</v>
      </c>
    </row>
    <row r="1447" spans="2:17" ht="15.75" x14ac:dyDescent="0.25">
      <c r="B1447" s="53"/>
      <c r="O1447" s="189"/>
      <c r="Q1447" s="53" t="s">
        <v>833</v>
      </c>
    </row>
    <row r="1448" spans="2:17" ht="15.75" x14ac:dyDescent="0.25">
      <c r="B1448" s="53"/>
      <c r="O1448" s="189"/>
      <c r="Q1448" s="53" t="s">
        <v>833</v>
      </c>
    </row>
    <row r="1449" spans="2:17" ht="15.75" x14ac:dyDescent="0.25">
      <c r="B1449" s="53"/>
      <c r="O1449" s="189"/>
      <c r="Q1449" s="53" t="s">
        <v>833</v>
      </c>
    </row>
    <row r="1450" spans="2:17" ht="15.75" x14ac:dyDescent="0.25">
      <c r="B1450" s="53"/>
      <c r="O1450" s="189"/>
      <c r="Q1450" s="53" t="s">
        <v>833</v>
      </c>
    </row>
    <row r="1451" spans="2:17" ht="15.75" x14ac:dyDescent="0.25">
      <c r="B1451" s="53"/>
      <c r="O1451" s="189"/>
      <c r="Q1451" s="53" t="s">
        <v>833</v>
      </c>
    </row>
    <row r="1452" spans="2:17" ht="15.75" x14ac:dyDescent="0.25">
      <c r="B1452" s="53"/>
      <c r="O1452" s="189"/>
      <c r="Q1452" s="53" t="s">
        <v>833</v>
      </c>
    </row>
    <row r="1453" spans="2:17" ht="15.75" x14ac:dyDescent="0.25">
      <c r="B1453" s="53"/>
      <c r="O1453" s="189"/>
      <c r="Q1453" s="53" t="s">
        <v>833</v>
      </c>
    </row>
    <row r="1454" spans="2:17" ht="15.75" x14ac:dyDescent="0.25">
      <c r="B1454" s="53"/>
      <c r="O1454" s="189"/>
      <c r="Q1454" s="53" t="s">
        <v>833</v>
      </c>
    </row>
    <row r="1455" spans="2:17" ht="15.75" x14ac:dyDescent="0.25">
      <c r="B1455" s="53"/>
      <c r="O1455" s="189"/>
      <c r="Q1455" s="53" t="s">
        <v>833</v>
      </c>
    </row>
    <row r="1456" spans="2:17" ht="15.75" x14ac:dyDescent="0.25">
      <c r="B1456" s="53"/>
      <c r="O1456" s="189"/>
      <c r="Q1456" s="53" t="s">
        <v>833</v>
      </c>
    </row>
    <row r="1457" spans="2:17" ht="15.75" x14ac:dyDescent="0.25">
      <c r="B1457" s="53"/>
      <c r="O1457" s="189"/>
      <c r="Q1457" s="53" t="s">
        <v>833</v>
      </c>
    </row>
    <row r="1458" spans="2:17" ht="15.75" x14ac:dyDescent="0.25">
      <c r="B1458" s="53"/>
      <c r="O1458" s="189"/>
      <c r="Q1458" s="53" t="s">
        <v>833</v>
      </c>
    </row>
    <row r="1459" spans="2:17" ht="15.75" x14ac:dyDescent="0.25">
      <c r="B1459" s="53"/>
      <c r="O1459" s="189"/>
      <c r="Q1459" s="53" t="s">
        <v>833</v>
      </c>
    </row>
    <row r="1460" spans="2:17" ht="15.75" x14ac:dyDescent="0.25">
      <c r="B1460" s="53"/>
      <c r="O1460" s="189"/>
      <c r="Q1460" s="53" t="s">
        <v>833</v>
      </c>
    </row>
    <row r="1461" spans="2:17" ht="15.75" x14ac:dyDescent="0.25">
      <c r="B1461" s="53"/>
      <c r="O1461" s="189"/>
      <c r="Q1461" s="53" t="s">
        <v>833</v>
      </c>
    </row>
    <row r="1462" spans="2:17" ht="15.75" x14ac:dyDescent="0.25">
      <c r="B1462" s="53"/>
      <c r="O1462" s="189"/>
      <c r="Q1462" s="53" t="s">
        <v>833</v>
      </c>
    </row>
    <row r="1463" spans="2:17" ht="15.75" x14ac:dyDescent="0.25">
      <c r="B1463" s="53"/>
      <c r="O1463" s="189"/>
      <c r="Q1463" s="53" t="s">
        <v>833</v>
      </c>
    </row>
    <row r="1464" spans="2:17" ht="15.75" x14ac:dyDescent="0.25">
      <c r="B1464" s="53"/>
      <c r="O1464" s="189"/>
      <c r="Q1464" s="53" t="s">
        <v>833</v>
      </c>
    </row>
    <row r="1465" spans="2:17" ht="15.75" x14ac:dyDescent="0.25">
      <c r="B1465" s="53"/>
      <c r="O1465" s="189"/>
      <c r="Q1465" s="53" t="s">
        <v>833</v>
      </c>
    </row>
    <row r="1466" spans="2:17" ht="15.75" x14ac:dyDescent="0.25">
      <c r="B1466" s="53"/>
      <c r="O1466" s="189"/>
      <c r="Q1466" s="53" t="s">
        <v>833</v>
      </c>
    </row>
    <row r="1467" spans="2:17" ht="15.75" x14ac:dyDescent="0.25">
      <c r="B1467" s="53"/>
      <c r="O1467" s="189"/>
      <c r="Q1467" s="53" t="s">
        <v>833</v>
      </c>
    </row>
    <row r="1468" spans="2:17" ht="15.75" x14ac:dyDescent="0.25">
      <c r="B1468" s="53"/>
      <c r="O1468" s="189"/>
      <c r="Q1468" s="53" t="s">
        <v>833</v>
      </c>
    </row>
    <row r="1469" spans="2:17" ht="15.75" x14ac:dyDescent="0.25">
      <c r="B1469" s="53"/>
      <c r="O1469" s="189"/>
      <c r="Q1469" s="53" t="s">
        <v>833</v>
      </c>
    </row>
    <row r="1470" spans="2:17" ht="15.75" x14ac:dyDescent="0.25">
      <c r="B1470" s="53"/>
      <c r="O1470" s="189"/>
      <c r="Q1470" s="53" t="s">
        <v>833</v>
      </c>
    </row>
    <row r="1471" spans="2:17" ht="15.75" x14ac:dyDescent="0.25">
      <c r="B1471" s="53"/>
      <c r="O1471" s="189"/>
      <c r="Q1471" s="53" t="s">
        <v>833</v>
      </c>
    </row>
    <row r="1472" spans="2:17" ht="15.75" x14ac:dyDescent="0.25">
      <c r="B1472" s="53"/>
      <c r="O1472" s="189"/>
      <c r="Q1472" s="53" t="s">
        <v>833</v>
      </c>
    </row>
    <row r="1473" spans="2:17" ht="15.75" x14ac:dyDescent="0.25">
      <c r="B1473" s="53"/>
      <c r="O1473" s="189"/>
      <c r="Q1473" s="53" t="s">
        <v>833</v>
      </c>
    </row>
    <row r="1474" spans="2:17" ht="15.75" x14ac:dyDescent="0.25">
      <c r="B1474" s="53"/>
      <c r="O1474" s="189"/>
      <c r="Q1474" s="53" t="s">
        <v>833</v>
      </c>
    </row>
    <row r="1475" spans="2:17" ht="15.75" x14ac:dyDescent="0.25">
      <c r="B1475" s="53"/>
      <c r="O1475" s="189"/>
      <c r="Q1475" s="53" t="s">
        <v>833</v>
      </c>
    </row>
    <row r="1476" spans="2:17" ht="15.75" x14ac:dyDescent="0.25">
      <c r="B1476" s="53"/>
      <c r="O1476" s="189"/>
      <c r="Q1476" s="53" t="s">
        <v>833</v>
      </c>
    </row>
    <row r="1477" spans="2:17" ht="15.75" x14ac:dyDescent="0.25">
      <c r="B1477" s="53"/>
      <c r="O1477" s="189"/>
      <c r="Q1477" s="53" t="s">
        <v>833</v>
      </c>
    </row>
    <row r="1478" spans="2:17" ht="15.75" x14ac:dyDescent="0.25">
      <c r="B1478" s="53"/>
      <c r="O1478" s="189"/>
      <c r="Q1478" s="53" t="s">
        <v>833</v>
      </c>
    </row>
    <row r="1479" spans="2:17" ht="15.75" x14ac:dyDescent="0.25">
      <c r="B1479" s="53"/>
      <c r="O1479" s="189"/>
      <c r="Q1479" s="53" t="s">
        <v>833</v>
      </c>
    </row>
    <row r="1480" spans="2:17" ht="15.75" x14ac:dyDescent="0.25">
      <c r="B1480" s="53"/>
      <c r="O1480" s="189"/>
      <c r="Q1480" s="53" t="s">
        <v>833</v>
      </c>
    </row>
    <row r="1481" spans="2:17" ht="15.75" x14ac:dyDescent="0.25">
      <c r="B1481" s="53"/>
      <c r="O1481" s="189"/>
      <c r="Q1481" s="53" t="s">
        <v>833</v>
      </c>
    </row>
    <row r="1482" spans="2:17" ht="15.75" x14ac:dyDescent="0.25">
      <c r="B1482" s="53"/>
      <c r="O1482" s="189"/>
      <c r="Q1482" s="53" t="s">
        <v>833</v>
      </c>
    </row>
    <row r="1483" spans="2:17" ht="15.75" x14ac:dyDescent="0.25">
      <c r="B1483" s="53"/>
      <c r="O1483" s="189"/>
      <c r="Q1483" s="53" t="s">
        <v>833</v>
      </c>
    </row>
    <row r="1484" spans="2:17" ht="15.75" x14ac:dyDescent="0.25">
      <c r="B1484" s="53"/>
      <c r="O1484" s="189"/>
      <c r="Q1484" s="53" t="s">
        <v>833</v>
      </c>
    </row>
    <row r="1485" spans="2:17" ht="15.75" x14ac:dyDescent="0.25">
      <c r="B1485" s="53"/>
      <c r="O1485" s="189"/>
      <c r="Q1485" s="53" t="s">
        <v>833</v>
      </c>
    </row>
    <row r="1486" spans="2:17" ht="15.75" x14ac:dyDescent="0.25">
      <c r="B1486" s="53"/>
      <c r="O1486" s="189"/>
      <c r="Q1486" s="53" t="s">
        <v>833</v>
      </c>
    </row>
    <row r="1487" spans="2:17" ht="15.75" x14ac:dyDescent="0.25">
      <c r="B1487" s="53"/>
      <c r="O1487" s="189"/>
      <c r="Q1487" s="53" t="s">
        <v>833</v>
      </c>
    </row>
    <row r="1488" spans="2:17" ht="15.75" x14ac:dyDescent="0.25">
      <c r="B1488" s="53"/>
      <c r="O1488" s="189"/>
      <c r="Q1488" s="53" t="s">
        <v>833</v>
      </c>
    </row>
    <row r="1489" spans="2:17" ht="15.75" x14ac:dyDescent="0.25">
      <c r="B1489" s="53"/>
      <c r="O1489" s="189"/>
      <c r="Q1489" s="53" t="s">
        <v>833</v>
      </c>
    </row>
    <row r="1490" spans="2:17" ht="15.75" x14ac:dyDescent="0.25">
      <c r="B1490" s="53"/>
      <c r="O1490" s="189"/>
      <c r="Q1490" s="53" t="s">
        <v>833</v>
      </c>
    </row>
    <row r="1491" spans="2:17" ht="15.75" x14ac:dyDescent="0.25">
      <c r="B1491" s="53"/>
      <c r="O1491" s="189"/>
      <c r="Q1491" s="53" t="s">
        <v>833</v>
      </c>
    </row>
    <row r="1492" spans="2:17" ht="15.75" x14ac:dyDescent="0.25">
      <c r="B1492" s="53"/>
      <c r="O1492" s="189"/>
      <c r="Q1492" s="53" t="s">
        <v>833</v>
      </c>
    </row>
    <row r="1493" spans="2:17" ht="15.75" x14ac:dyDescent="0.25">
      <c r="B1493" s="53"/>
      <c r="O1493" s="189"/>
      <c r="Q1493" s="53" t="s">
        <v>833</v>
      </c>
    </row>
    <row r="1494" spans="2:17" ht="15.75" x14ac:dyDescent="0.25">
      <c r="B1494" s="53"/>
      <c r="O1494" s="189"/>
      <c r="Q1494" s="53" t="s">
        <v>833</v>
      </c>
    </row>
    <row r="1495" spans="2:17" ht="15.75" x14ac:dyDescent="0.25">
      <c r="B1495" s="53"/>
      <c r="O1495" s="189"/>
      <c r="Q1495" s="53" t="s">
        <v>833</v>
      </c>
    </row>
    <row r="1496" spans="2:17" ht="15.75" x14ac:dyDescent="0.25">
      <c r="B1496" s="53"/>
      <c r="O1496" s="189"/>
      <c r="Q1496" s="53" t="s">
        <v>833</v>
      </c>
    </row>
    <row r="1497" spans="2:17" ht="15.75" x14ac:dyDescent="0.25">
      <c r="B1497" s="53"/>
      <c r="O1497" s="189"/>
      <c r="Q1497" s="53" t="s">
        <v>833</v>
      </c>
    </row>
    <row r="1498" spans="2:17" ht="15.75" x14ac:dyDescent="0.25">
      <c r="B1498" s="53"/>
      <c r="O1498" s="189"/>
      <c r="Q1498" s="53" t="s">
        <v>833</v>
      </c>
    </row>
    <row r="1499" spans="2:17" ht="15.75" x14ac:dyDescent="0.25">
      <c r="B1499" s="53"/>
      <c r="O1499" s="189"/>
      <c r="Q1499" s="53" t="s">
        <v>833</v>
      </c>
    </row>
    <row r="1500" spans="2:17" ht="15.75" x14ac:dyDescent="0.25">
      <c r="B1500" s="53"/>
      <c r="O1500" s="189"/>
      <c r="Q1500" s="53" t="s">
        <v>833</v>
      </c>
    </row>
    <row r="1501" spans="2:17" ht="15.75" x14ac:dyDescent="0.25">
      <c r="B1501" s="53"/>
      <c r="O1501" s="189"/>
      <c r="Q1501" s="53" t="s">
        <v>833</v>
      </c>
    </row>
    <row r="1502" spans="2:17" ht="15.75" x14ac:dyDescent="0.25">
      <c r="B1502" s="53"/>
      <c r="O1502" s="189"/>
      <c r="Q1502" s="53" t="s">
        <v>833</v>
      </c>
    </row>
    <row r="1503" spans="2:17" ht="15.75" x14ac:dyDescent="0.25">
      <c r="B1503" s="53"/>
      <c r="O1503" s="189"/>
      <c r="Q1503" s="53" t="s">
        <v>833</v>
      </c>
    </row>
    <row r="1504" spans="2:17" ht="15.75" x14ac:dyDescent="0.25">
      <c r="B1504" s="53"/>
      <c r="O1504" s="189"/>
      <c r="Q1504" s="53" t="s">
        <v>833</v>
      </c>
    </row>
    <row r="1505" spans="2:17" ht="15.75" x14ac:dyDescent="0.25">
      <c r="B1505" s="53"/>
      <c r="O1505" s="189"/>
      <c r="Q1505" s="53" t="s">
        <v>833</v>
      </c>
    </row>
    <row r="1506" spans="2:17" ht="15.75" x14ac:dyDescent="0.25">
      <c r="B1506" s="53"/>
      <c r="O1506" s="189"/>
      <c r="Q1506" s="53" t="s">
        <v>833</v>
      </c>
    </row>
    <row r="1507" spans="2:17" ht="15.75" x14ac:dyDescent="0.25">
      <c r="B1507" s="53"/>
      <c r="O1507" s="189"/>
      <c r="Q1507" s="53" t="s">
        <v>833</v>
      </c>
    </row>
    <row r="1508" spans="2:17" ht="15.75" x14ac:dyDescent="0.25">
      <c r="B1508" s="53"/>
      <c r="O1508" s="189"/>
      <c r="Q1508" s="53" t="s">
        <v>833</v>
      </c>
    </row>
    <row r="1509" spans="2:17" ht="15.75" x14ac:dyDescent="0.25">
      <c r="B1509" s="53"/>
      <c r="O1509" s="189"/>
      <c r="Q1509" s="53" t="s">
        <v>833</v>
      </c>
    </row>
    <row r="1510" spans="2:17" ht="15.75" x14ac:dyDescent="0.25">
      <c r="B1510" s="53"/>
      <c r="O1510" s="189"/>
      <c r="Q1510" s="53" t="s">
        <v>833</v>
      </c>
    </row>
    <row r="1511" spans="2:17" ht="15.75" x14ac:dyDescent="0.25">
      <c r="B1511" s="53"/>
      <c r="O1511" s="189"/>
      <c r="Q1511" s="53" t="s">
        <v>833</v>
      </c>
    </row>
    <row r="1512" spans="2:17" ht="15.75" x14ac:dyDescent="0.25">
      <c r="B1512" s="53"/>
      <c r="O1512" s="189"/>
      <c r="Q1512" s="53" t="s">
        <v>833</v>
      </c>
    </row>
    <row r="1513" spans="2:17" ht="15.75" x14ac:dyDescent="0.25">
      <c r="B1513" s="53"/>
      <c r="O1513" s="189"/>
      <c r="Q1513" s="53" t="s">
        <v>833</v>
      </c>
    </row>
    <row r="1514" spans="2:17" ht="15.75" x14ac:dyDescent="0.25">
      <c r="B1514" s="53"/>
      <c r="O1514" s="189"/>
      <c r="Q1514" s="53" t="s">
        <v>833</v>
      </c>
    </row>
    <row r="1515" spans="2:17" ht="15.75" x14ac:dyDescent="0.25">
      <c r="B1515" s="53"/>
      <c r="O1515" s="189"/>
      <c r="Q1515" s="53" t="s">
        <v>833</v>
      </c>
    </row>
    <row r="1516" spans="2:17" ht="15.75" x14ac:dyDescent="0.25">
      <c r="B1516" s="53"/>
      <c r="O1516" s="189"/>
      <c r="Q1516" s="53" t="s">
        <v>833</v>
      </c>
    </row>
    <row r="1517" spans="2:17" ht="15.75" x14ac:dyDescent="0.25">
      <c r="B1517" s="53"/>
      <c r="O1517" s="189"/>
      <c r="Q1517" s="53" t="s">
        <v>833</v>
      </c>
    </row>
    <row r="1518" spans="2:17" ht="15.75" x14ac:dyDescent="0.25">
      <c r="B1518" s="53"/>
      <c r="O1518" s="189"/>
      <c r="Q1518" s="53" t="s">
        <v>833</v>
      </c>
    </row>
    <row r="1519" spans="2:17" ht="15.75" x14ac:dyDescent="0.25">
      <c r="B1519" s="53"/>
      <c r="O1519" s="189"/>
      <c r="Q1519" s="53" t="s">
        <v>833</v>
      </c>
    </row>
    <row r="1520" spans="2:17" ht="15.75" x14ac:dyDescent="0.25">
      <c r="B1520" s="53"/>
      <c r="O1520" s="189"/>
      <c r="Q1520" s="53" t="s">
        <v>833</v>
      </c>
    </row>
    <row r="1521" spans="2:17" ht="15.75" x14ac:dyDescent="0.25">
      <c r="B1521" s="53"/>
      <c r="O1521" s="189"/>
      <c r="Q1521" s="53" t="s">
        <v>833</v>
      </c>
    </row>
    <row r="1522" spans="2:17" ht="15.75" x14ac:dyDescent="0.25">
      <c r="B1522" s="53"/>
      <c r="O1522" s="189"/>
      <c r="Q1522" s="53" t="s">
        <v>833</v>
      </c>
    </row>
    <row r="1523" spans="2:17" ht="15.75" x14ac:dyDescent="0.25">
      <c r="B1523" s="53"/>
      <c r="O1523" s="189"/>
      <c r="Q1523" s="53" t="s">
        <v>833</v>
      </c>
    </row>
    <row r="1524" spans="2:17" ht="15.75" x14ac:dyDescent="0.25">
      <c r="B1524" s="53"/>
      <c r="O1524" s="189"/>
      <c r="Q1524" s="53" t="s">
        <v>833</v>
      </c>
    </row>
    <row r="1525" spans="2:17" ht="15.75" x14ac:dyDescent="0.25">
      <c r="B1525" s="53"/>
      <c r="O1525" s="189"/>
      <c r="Q1525" s="53" t="s">
        <v>833</v>
      </c>
    </row>
    <row r="1526" spans="2:17" ht="15.75" x14ac:dyDescent="0.25">
      <c r="B1526" s="53"/>
      <c r="O1526" s="189"/>
      <c r="Q1526" s="53" t="s">
        <v>833</v>
      </c>
    </row>
    <row r="1527" spans="2:17" ht="15.75" x14ac:dyDescent="0.25">
      <c r="B1527" s="53"/>
      <c r="O1527" s="189"/>
      <c r="Q1527" s="53" t="s">
        <v>833</v>
      </c>
    </row>
    <row r="1528" spans="2:17" ht="15.75" x14ac:dyDescent="0.25">
      <c r="B1528" s="53"/>
      <c r="O1528" s="189"/>
      <c r="Q1528" s="53" t="s">
        <v>833</v>
      </c>
    </row>
    <row r="1529" spans="2:17" ht="15.75" x14ac:dyDescent="0.25">
      <c r="B1529" s="53"/>
      <c r="O1529" s="189"/>
      <c r="Q1529" s="53" t="s">
        <v>833</v>
      </c>
    </row>
    <row r="1530" spans="2:17" ht="15.75" x14ac:dyDescent="0.25">
      <c r="B1530" s="53"/>
      <c r="O1530" s="189"/>
      <c r="Q1530" s="53" t="s">
        <v>833</v>
      </c>
    </row>
    <row r="1531" spans="2:17" ht="15.75" x14ac:dyDescent="0.25">
      <c r="B1531" s="53"/>
      <c r="O1531" s="189"/>
      <c r="Q1531" s="53" t="s">
        <v>833</v>
      </c>
    </row>
    <row r="1532" spans="2:17" ht="15.75" x14ac:dyDescent="0.25">
      <c r="B1532" s="53"/>
      <c r="O1532" s="189"/>
      <c r="Q1532" s="53" t="s">
        <v>833</v>
      </c>
    </row>
    <row r="1533" spans="2:17" ht="15.75" x14ac:dyDescent="0.25">
      <c r="B1533" s="53"/>
      <c r="O1533" s="189"/>
      <c r="Q1533" s="53" t="s">
        <v>833</v>
      </c>
    </row>
    <row r="1534" spans="2:17" ht="15.75" x14ac:dyDescent="0.25">
      <c r="B1534" s="53"/>
      <c r="O1534" s="189"/>
      <c r="Q1534" s="53" t="s">
        <v>833</v>
      </c>
    </row>
    <row r="1535" spans="2:17" ht="15.75" x14ac:dyDescent="0.25">
      <c r="B1535" s="53"/>
      <c r="O1535" s="189"/>
      <c r="Q1535" s="53" t="s">
        <v>833</v>
      </c>
    </row>
    <row r="1536" spans="2:17" ht="15.75" x14ac:dyDescent="0.25">
      <c r="B1536" s="53"/>
      <c r="O1536" s="189"/>
      <c r="Q1536" s="53" t="s">
        <v>833</v>
      </c>
    </row>
    <row r="1537" spans="2:17" ht="15.75" x14ac:dyDescent="0.25">
      <c r="B1537" s="53"/>
      <c r="O1537" s="189"/>
      <c r="Q1537" s="53" t="s">
        <v>833</v>
      </c>
    </row>
    <row r="1538" spans="2:17" ht="15.75" x14ac:dyDescent="0.25">
      <c r="B1538" s="53"/>
      <c r="O1538" s="189"/>
      <c r="Q1538" s="53" t="s">
        <v>833</v>
      </c>
    </row>
    <row r="1539" spans="2:17" ht="15.75" x14ac:dyDescent="0.25">
      <c r="B1539" s="53"/>
      <c r="O1539" s="189"/>
      <c r="Q1539" s="53" t="s">
        <v>833</v>
      </c>
    </row>
    <row r="1540" spans="2:17" ht="15.75" x14ac:dyDescent="0.25">
      <c r="B1540" s="53"/>
      <c r="O1540" s="189"/>
      <c r="Q1540" s="53" t="s">
        <v>833</v>
      </c>
    </row>
    <row r="1541" spans="2:17" ht="15.75" x14ac:dyDescent="0.25">
      <c r="B1541" s="53"/>
      <c r="O1541" s="189"/>
      <c r="Q1541" s="53" t="s">
        <v>833</v>
      </c>
    </row>
    <row r="1542" spans="2:17" ht="15.75" x14ac:dyDescent="0.25">
      <c r="B1542" s="53"/>
      <c r="O1542" s="189"/>
      <c r="Q1542" s="53" t="s">
        <v>833</v>
      </c>
    </row>
    <row r="1543" spans="2:17" ht="15.75" x14ac:dyDescent="0.25">
      <c r="B1543" s="53"/>
      <c r="O1543" s="189"/>
      <c r="Q1543" s="53" t="s">
        <v>833</v>
      </c>
    </row>
    <row r="1544" spans="2:17" ht="15.75" x14ac:dyDescent="0.25">
      <c r="B1544" s="53"/>
      <c r="O1544" s="189"/>
      <c r="Q1544" s="53" t="s">
        <v>833</v>
      </c>
    </row>
    <row r="1545" spans="2:17" ht="15.75" x14ac:dyDescent="0.25">
      <c r="B1545" s="53"/>
      <c r="O1545" s="189"/>
      <c r="Q1545" s="53" t="s">
        <v>833</v>
      </c>
    </row>
    <row r="1546" spans="2:17" ht="15.75" x14ac:dyDescent="0.25">
      <c r="B1546" s="53"/>
      <c r="O1546" s="189"/>
      <c r="Q1546" s="53" t="s">
        <v>833</v>
      </c>
    </row>
    <row r="1547" spans="2:17" ht="15.75" x14ac:dyDescent="0.25">
      <c r="B1547" s="53"/>
      <c r="O1547" s="189"/>
      <c r="Q1547" s="53" t="s">
        <v>833</v>
      </c>
    </row>
    <row r="1548" spans="2:17" ht="15.75" x14ac:dyDescent="0.25">
      <c r="B1548" s="53"/>
      <c r="O1548" s="189"/>
      <c r="Q1548" s="53" t="s">
        <v>833</v>
      </c>
    </row>
    <row r="1549" spans="2:17" ht="15.75" x14ac:dyDescent="0.25">
      <c r="B1549" s="53"/>
      <c r="O1549" s="189"/>
      <c r="Q1549" s="53" t="s">
        <v>833</v>
      </c>
    </row>
    <row r="1550" spans="2:17" ht="15.75" x14ac:dyDescent="0.25">
      <c r="B1550" s="53"/>
      <c r="O1550" s="189"/>
      <c r="Q1550" s="53" t="s">
        <v>833</v>
      </c>
    </row>
    <row r="1551" spans="2:17" ht="15.75" x14ac:dyDescent="0.25">
      <c r="B1551" s="53"/>
      <c r="O1551" s="189"/>
      <c r="Q1551" s="53" t="s">
        <v>833</v>
      </c>
    </row>
    <row r="1552" spans="2:17" ht="15.75" x14ac:dyDescent="0.25">
      <c r="B1552" s="53"/>
      <c r="O1552" s="189"/>
      <c r="Q1552" s="53" t="s">
        <v>833</v>
      </c>
    </row>
    <row r="1553" spans="2:17" ht="15.75" x14ac:dyDescent="0.25">
      <c r="B1553" s="53"/>
      <c r="O1553" s="189"/>
      <c r="Q1553" s="53" t="s">
        <v>833</v>
      </c>
    </row>
    <row r="1554" spans="2:17" ht="15.75" x14ac:dyDescent="0.25">
      <c r="B1554" s="53"/>
      <c r="O1554" s="189"/>
      <c r="Q1554" s="53" t="s">
        <v>833</v>
      </c>
    </row>
    <row r="1555" spans="2:17" ht="15.75" x14ac:dyDescent="0.25">
      <c r="B1555" s="53"/>
      <c r="O1555" s="189"/>
      <c r="Q1555" s="53" t="s">
        <v>833</v>
      </c>
    </row>
    <row r="1556" spans="2:17" ht="15.75" x14ac:dyDescent="0.25">
      <c r="B1556" s="53"/>
      <c r="O1556" s="189"/>
      <c r="Q1556" s="53" t="s">
        <v>833</v>
      </c>
    </row>
    <row r="1557" spans="2:17" ht="15.75" x14ac:dyDescent="0.25">
      <c r="B1557" s="53"/>
      <c r="O1557" s="189"/>
      <c r="Q1557" s="53" t="s">
        <v>833</v>
      </c>
    </row>
    <row r="1558" spans="2:17" ht="15.75" x14ac:dyDescent="0.25">
      <c r="B1558" s="53"/>
      <c r="O1558" s="189"/>
      <c r="Q1558" s="53" t="s">
        <v>833</v>
      </c>
    </row>
    <row r="1559" spans="2:17" ht="15.75" x14ac:dyDescent="0.25">
      <c r="B1559" s="53"/>
      <c r="O1559" s="189"/>
      <c r="Q1559" s="53" t="s">
        <v>833</v>
      </c>
    </row>
    <row r="1560" spans="2:17" ht="15.75" x14ac:dyDescent="0.25">
      <c r="B1560" s="53"/>
      <c r="O1560" s="189"/>
      <c r="Q1560" s="53" t="s">
        <v>833</v>
      </c>
    </row>
    <row r="1561" spans="2:17" ht="15.75" x14ac:dyDescent="0.25">
      <c r="B1561" s="53"/>
      <c r="O1561" s="189"/>
      <c r="Q1561" s="53" t="s">
        <v>833</v>
      </c>
    </row>
    <row r="1562" spans="2:17" ht="15.75" x14ac:dyDescent="0.25">
      <c r="B1562" s="53"/>
      <c r="O1562" s="189"/>
      <c r="Q1562" s="53" t="s">
        <v>833</v>
      </c>
    </row>
    <row r="1563" spans="2:17" ht="15.75" x14ac:dyDescent="0.25">
      <c r="B1563" s="53"/>
      <c r="O1563" s="189"/>
      <c r="Q1563" s="53" t="s">
        <v>833</v>
      </c>
    </row>
    <row r="1564" spans="2:17" ht="15.75" x14ac:dyDescent="0.25">
      <c r="B1564" s="53"/>
      <c r="O1564" s="189"/>
      <c r="Q1564" s="53" t="s">
        <v>833</v>
      </c>
    </row>
    <row r="1565" spans="2:17" ht="15.75" x14ac:dyDescent="0.25">
      <c r="B1565" s="53"/>
      <c r="O1565" s="189"/>
      <c r="Q1565" s="53" t="s">
        <v>833</v>
      </c>
    </row>
    <row r="1566" spans="2:17" ht="15.75" x14ac:dyDescent="0.25">
      <c r="B1566" s="53"/>
      <c r="O1566" s="189"/>
      <c r="Q1566" s="53" t="s">
        <v>833</v>
      </c>
    </row>
    <row r="1567" spans="2:17" ht="15.75" x14ac:dyDescent="0.25">
      <c r="B1567" s="53"/>
      <c r="O1567" s="189"/>
      <c r="Q1567" s="53" t="s">
        <v>833</v>
      </c>
    </row>
    <row r="1568" spans="2:17" ht="15.75" x14ac:dyDescent="0.25">
      <c r="B1568" s="53"/>
      <c r="O1568" s="189"/>
      <c r="Q1568" s="53" t="s">
        <v>833</v>
      </c>
    </row>
    <row r="1569" spans="2:17" ht="15.75" x14ac:dyDescent="0.25">
      <c r="B1569" s="53"/>
      <c r="O1569" s="189"/>
      <c r="Q1569" s="53" t="s">
        <v>833</v>
      </c>
    </row>
    <row r="1570" spans="2:17" ht="15.75" x14ac:dyDescent="0.25">
      <c r="B1570" s="53"/>
      <c r="O1570" s="189"/>
      <c r="Q1570" s="53" t="s">
        <v>833</v>
      </c>
    </row>
    <row r="1571" spans="2:17" ht="15.75" x14ac:dyDescent="0.25">
      <c r="B1571" s="53"/>
      <c r="O1571" s="189"/>
      <c r="Q1571" s="53" t="s">
        <v>833</v>
      </c>
    </row>
    <row r="1572" spans="2:17" ht="15.75" x14ac:dyDescent="0.25">
      <c r="B1572" s="53"/>
      <c r="O1572" s="189"/>
      <c r="Q1572" s="53" t="s">
        <v>833</v>
      </c>
    </row>
    <row r="1573" spans="2:17" ht="15.75" x14ac:dyDescent="0.25">
      <c r="B1573" s="53"/>
      <c r="O1573" s="189"/>
      <c r="Q1573" s="53" t="s">
        <v>833</v>
      </c>
    </row>
    <row r="1574" spans="2:17" ht="15.75" x14ac:dyDescent="0.25">
      <c r="B1574" s="53"/>
      <c r="O1574" s="189"/>
      <c r="Q1574" s="53" t="s">
        <v>833</v>
      </c>
    </row>
    <row r="1575" spans="2:17" ht="15.75" x14ac:dyDescent="0.25">
      <c r="B1575" s="53"/>
      <c r="O1575" s="189"/>
      <c r="Q1575" s="53" t="s">
        <v>833</v>
      </c>
    </row>
    <row r="1576" spans="2:17" ht="15.75" x14ac:dyDescent="0.25">
      <c r="B1576" s="53"/>
      <c r="O1576" s="189"/>
      <c r="Q1576" s="53" t="s">
        <v>833</v>
      </c>
    </row>
    <row r="1577" spans="2:17" ht="15.75" x14ac:dyDescent="0.25">
      <c r="B1577" s="53"/>
      <c r="O1577" s="189"/>
      <c r="Q1577" s="53" t="s">
        <v>833</v>
      </c>
    </row>
    <row r="1578" spans="2:17" ht="15.75" x14ac:dyDescent="0.25">
      <c r="B1578" s="53"/>
      <c r="O1578" s="189"/>
      <c r="Q1578" s="53" t="s">
        <v>833</v>
      </c>
    </row>
    <row r="1579" spans="2:17" ht="15.75" x14ac:dyDescent="0.25">
      <c r="B1579" s="53"/>
      <c r="O1579" s="189"/>
      <c r="Q1579" s="53" t="s">
        <v>833</v>
      </c>
    </row>
    <row r="1580" spans="2:17" ht="15.75" x14ac:dyDescent="0.25">
      <c r="B1580" s="53"/>
      <c r="O1580" s="189"/>
      <c r="Q1580" s="53" t="s">
        <v>833</v>
      </c>
    </row>
    <row r="1581" spans="2:17" ht="15.75" x14ac:dyDescent="0.25">
      <c r="B1581" s="53"/>
      <c r="O1581" s="189"/>
      <c r="Q1581" s="53" t="s">
        <v>833</v>
      </c>
    </row>
    <row r="1582" spans="2:17" ht="15.75" x14ac:dyDescent="0.25">
      <c r="B1582" s="53"/>
      <c r="O1582" s="189"/>
      <c r="Q1582" s="53" t="s">
        <v>833</v>
      </c>
    </row>
    <row r="1583" spans="2:17" ht="15.75" x14ac:dyDescent="0.25">
      <c r="B1583" s="53"/>
      <c r="O1583" s="189"/>
      <c r="Q1583" s="53" t="s">
        <v>833</v>
      </c>
    </row>
    <row r="1584" spans="2:17" ht="15.75" x14ac:dyDescent="0.25">
      <c r="B1584" s="53"/>
      <c r="O1584" s="189"/>
      <c r="Q1584" s="53" t="s">
        <v>833</v>
      </c>
    </row>
    <row r="1585" spans="2:17" ht="15.75" x14ac:dyDescent="0.25">
      <c r="B1585" s="53"/>
      <c r="O1585" s="189"/>
      <c r="Q1585" s="53" t="s">
        <v>833</v>
      </c>
    </row>
    <row r="1586" spans="2:17" ht="15.75" x14ac:dyDescent="0.25">
      <c r="B1586" s="53"/>
      <c r="O1586" s="189"/>
      <c r="Q1586" s="53" t="s">
        <v>833</v>
      </c>
    </row>
    <row r="1587" spans="2:17" ht="15.75" x14ac:dyDescent="0.25">
      <c r="B1587" s="53"/>
      <c r="O1587" s="189"/>
      <c r="Q1587" s="53" t="s">
        <v>833</v>
      </c>
    </row>
    <row r="1588" spans="2:17" ht="15.75" x14ac:dyDescent="0.25">
      <c r="B1588" s="53"/>
      <c r="O1588" s="189"/>
      <c r="Q1588" s="53" t="s">
        <v>833</v>
      </c>
    </row>
    <row r="1589" spans="2:17" ht="15.75" x14ac:dyDescent="0.25">
      <c r="B1589" s="53"/>
      <c r="O1589" s="189"/>
      <c r="Q1589" s="53" t="s">
        <v>833</v>
      </c>
    </row>
    <row r="1590" spans="2:17" ht="15.75" x14ac:dyDescent="0.25">
      <c r="B1590" s="53"/>
      <c r="O1590" s="189"/>
      <c r="Q1590" s="53" t="s">
        <v>833</v>
      </c>
    </row>
    <row r="1591" spans="2:17" ht="15.75" x14ac:dyDescent="0.25">
      <c r="B1591" s="53"/>
      <c r="O1591" s="189"/>
      <c r="Q1591" s="53" t="s">
        <v>833</v>
      </c>
    </row>
    <row r="1592" spans="2:17" ht="15.75" x14ac:dyDescent="0.25">
      <c r="B1592" s="53"/>
      <c r="O1592" s="189"/>
      <c r="Q1592" s="53" t="s">
        <v>833</v>
      </c>
    </row>
    <row r="1593" spans="2:17" ht="15.75" x14ac:dyDescent="0.25">
      <c r="B1593" s="53"/>
      <c r="O1593" s="189"/>
      <c r="Q1593" s="53" t="s">
        <v>833</v>
      </c>
    </row>
    <row r="1594" spans="2:17" ht="15.75" x14ac:dyDescent="0.25">
      <c r="B1594" s="53"/>
      <c r="O1594" s="189"/>
      <c r="Q1594" s="53" t="s">
        <v>833</v>
      </c>
    </row>
    <row r="1595" spans="2:17" ht="15.75" x14ac:dyDescent="0.25">
      <c r="B1595" s="53"/>
      <c r="O1595" s="189"/>
      <c r="Q1595" s="53" t="s">
        <v>833</v>
      </c>
    </row>
    <row r="1596" spans="2:17" ht="15.75" x14ac:dyDescent="0.25">
      <c r="B1596" s="53"/>
      <c r="O1596" s="189"/>
      <c r="Q1596" s="53" t="s">
        <v>833</v>
      </c>
    </row>
    <row r="1597" spans="2:17" ht="15.75" x14ac:dyDescent="0.25">
      <c r="B1597" s="53"/>
      <c r="O1597" s="189"/>
      <c r="Q1597" s="53" t="s">
        <v>833</v>
      </c>
    </row>
    <row r="1598" spans="2:17" ht="15.75" x14ac:dyDescent="0.25">
      <c r="B1598" s="53"/>
      <c r="O1598" s="189"/>
      <c r="Q1598" s="53" t="s">
        <v>833</v>
      </c>
    </row>
    <row r="1599" spans="2:17" ht="15.75" x14ac:dyDescent="0.25">
      <c r="B1599" s="53"/>
      <c r="O1599" s="189"/>
      <c r="Q1599" s="53" t="s">
        <v>833</v>
      </c>
    </row>
    <row r="1600" spans="2:17" ht="15.75" x14ac:dyDescent="0.25">
      <c r="B1600" s="53"/>
      <c r="O1600" s="189"/>
      <c r="Q1600" s="53" t="s">
        <v>833</v>
      </c>
    </row>
    <row r="1601" spans="2:17" ht="15.75" x14ac:dyDescent="0.25">
      <c r="B1601" s="53"/>
      <c r="O1601" s="189"/>
      <c r="Q1601" s="53" t="s">
        <v>833</v>
      </c>
    </row>
    <row r="1602" spans="2:17" ht="15.75" x14ac:dyDescent="0.25">
      <c r="B1602" s="53"/>
      <c r="O1602" s="189"/>
      <c r="Q1602" s="53" t="s">
        <v>833</v>
      </c>
    </row>
    <row r="1603" spans="2:17" ht="15.75" x14ac:dyDescent="0.25">
      <c r="B1603" s="53"/>
      <c r="O1603" s="189"/>
      <c r="Q1603" s="53" t="s">
        <v>833</v>
      </c>
    </row>
    <row r="1604" spans="2:17" ht="15.75" x14ac:dyDescent="0.25">
      <c r="B1604" s="53"/>
      <c r="O1604" s="189"/>
      <c r="Q1604" s="53" t="s">
        <v>833</v>
      </c>
    </row>
    <row r="1605" spans="2:17" ht="15.75" x14ac:dyDescent="0.25">
      <c r="B1605" s="53"/>
      <c r="O1605" s="189"/>
      <c r="Q1605" s="53" t="s">
        <v>833</v>
      </c>
    </row>
    <row r="1606" spans="2:17" ht="15.75" x14ac:dyDescent="0.25">
      <c r="B1606" s="53"/>
      <c r="O1606" s="189"/>
      <c r="Q1606" s="53" t="s">
        <v>833</v>
      </c>
    </row>
    <row r="1607" spans="2:17" ht="15.75" x14ac:dyDescent="0.25">
      <c r="B1607" s="53"/>
      <c r="O1607" s="189"/>
      <c r="Q1607" s="53" t="s">
        <v>833</v>
      </c>
    </row>
    <row r="1608" spans="2:17" ht="15.75" x14ac:dyDescent="0.25">
      <c r="B1608" s="53"/>
      <c r="O1608" s="189"/>
      <c r="Q1608" s="53" t="s">
        <v>833</v>
      </c>
    </row>
    <row r="1609" spans="2:17" ht="15.75" x14ac:dyDescent="0.25">
      <c r="B1609" s="53"/>
      <c r="O1609" s="189"/>
      <c r="Q1609" s="53" t="s">
        <v>833</v>
      </c>
    </row>
    <row r="1610" spans="2:17" ht="15.75" x14ac:dyDescent="0.25">
      <c r="B1610" s="53"/>
      <c r="O1610" s="189"/>
      <c r="Q1610" s="53" t="s">
        <v>833</v>
      </c>
    </row>
    <row r="1611" spans="2:17" ht="15.75" x14ac:dyDescent="0.25">
      <c r="B1611" s="53"/>
      <c r="O1611" s="189"/>
      <c r="Q1611" s="53" t="s">
        <v>833</v>
      </c>
    </row>
    <row r="1612" spans="2:17" ht="15.75" x14ac:dyDescent="0.25">
      <c r="B1612" s="53"/>
      <c r="O1612" s="189"/>
      <c r="Q1612" s="53" t="s">
        <v>833</v>
      </c>
    </row>
    <row r="1613" spans="2:17" ht="15.75" x14ac:dyDescent="0.25">
      <c r="B1613" s="53"/>
      <c r="O1613" s="189"/>
      <c r="Q1613" s="53" t="s">
        <v>833</v>
      </c>
    </row>
    <row r="1614" spans="2:17" ht="15.75" x14ac:dyDescent="0.25">
      <c r="B1614" s="53"/>
      <c r="O1614" s="189"/>
      <c r="Q1614" s="53" t="s">
        <v>833</v>
      </c>
    </row>
    <row r="1615" spans="2:17" ht="15.75" x14ac:dyDescent="0.25">
      <c r="B1615" s="53"/>
      <c r="O1615" s="189"/>
      <c r="Q1615" s="53" t="s">
        <v>833</v>
      </c>
    </row>
    <row r="1616" spans="2:17" ht="15.75" x14ac:dyDescent="0.25">
      <c r="B1616" s="53"/>
      <c r="O1616" s="189"/>
      <c r="Q1616" s="53" t="s">
        <v>833</v>
      </c>
    </row>
    <row r="1617" spans="2:17" ht="15.75" x14ac:dyDescent="0.25">
      <c r="B1617" s="53"/>
      <c r="O1617" s="189"/>
      <c r="Q1617" s="53" t="s">
        <v>833</v>
      </c>
    </row>
    <row r="1618" spans="2:17" ht="15.75" x14ac:dyDescent="0.25">
      <c r="B1618" s="53"/>
      <c r="O1618" s="189"/>
      <c r="Q1618" s="53" t="s">
        <v>833</v>
      </c>
    </row>
    <row r="1619" spans="2:17" ht="15.75" x14ac:dyDescent="0.25">
      <c r="B1619" s="53"/>
      <c r="O1619" s="189"/>
      <c r="Q1619" s="53" t="s">
        <v>833</v>
      </c>
    </row>
    <row r="1620" spans="2:17" ht="15.75" x14ac:dyDescent="0.25">
      <c r="B1620" s="53"/>
      <c r="O1620" s="189"/>
      <c r="Q1620" s="53" t="s">
        <v>833</v>
      </c>
    </row>
    <row r="1621" spans="2:17" ht="15.75" x14ac:dyDescent="0.25">
      <c r="B1621" s="53"/>
      <c r="O1621" s="189"/>
      <c r="Q1621" s="53" t="s">
        <v>833</v>
      </c>
    </row>
    <row r="1622" spans="2:17" ht="15.75" x14ac:dyDescent="0.25">
      <c r="B1622" s="53"/>
      <c r="O1622" s="189"/>
      <c r="Q1622" s="53" t="s">
        <v>833</v>
      </c>
    </row>
    <row r="1623" spans="2:17" ht="15.75" x14ac:dyDescent="0.25">
      <c r="B1623" s="53"/>
      <c r="O1623" s="189"/>
      <c r="Q1623" s="53" t="s">
        <v>833</v>
      </c>
    </row>
    <row r="1624" spans="2:17" ht="15.75" x14ac:dyDescent="0.25">
      <c r="B1624" s="53"/>
      <c r="O1624" s="189"/>
      <c r="Q1624" s="53" t="s">
        <v>833</v>
      </c>
    </row>
    <row r="1625" spans="2:17" ht="15.75" x14ac:dyDescent="0.25">
      <c r="B1625" s="53"/>
      <c r="O1625" s="189"/>
      <c r="Q1625" s="53" t="s">
        <v>833</v>
      </c>
    </row>
    <row r="1626" spans="2:17" ht="15.75" x14ac:dyDescent="0.25">
      <c r="B1626" s="53"/>
      <c r="O1626" s="189"/>
      <c r="Q1626" s="53" t="s">
        <v>833</v>
      </c>
    </row>
    <row r="1627" spans="2:17" ht="15.75" x14ac:dyDescent="0.25">
      <c r="B1627" s="53"/>
      <c r="O1627" s="189"/>
      <c r="Q1627" s="53" t="s">
        <v>833</v>
      </c>
    </row>
    <row r="1628" spans="2:17" ht="15.75" x14ac:dyDescent="0.25">
      <c r="B1628" s="53"/>
      <c r="O1628" s="189"/>
      <c r="Q1628" s="53" t="s">
        <v>833</v>
      </c>
    </row>
    <row r="1629" spans="2:17" ht="15.75" x14ac:dyDescent="0.25">
      <c r="B1629" s="53"/>
      <c r="O1629" s="189"/>
      <c r="Q1629" s="53" t="s">
        <v>833</v>
      </c>
    </row>
    <row r="1630" spans="2:17" ht="15.75" x14ac:dyDescent="0.25">
      <c r="B1630" s="53"/>
      <c r="O1630" s="189"/>
      <c r="Q1630" s="53" t="s">
        <v>833</v>
      </c>
    </row>
    <row r="1631" spans="2:17" ht="15.75" x14ac:dyDescent="0.25">
      <c r="B1631" s="53"/>
      <c r="O1631" s="189"/>
      <c r="Q1631" s="53" t="s">
        <v>833</v>
      </c>
    </row>
    <row r="1632" spans="2:17" ht="15.75" x14ac:dyDescent="0.25">
      <c r="B1632" s="53"/>
      <c r="O1632" s="189"/>
      <c r="Q1632" s="53" t="s">
        <v>833</v>
      </c>
    </row>
    <row r="1633" spans="2:17" ht="15.75" x14ac:dyDescent="0.25">
      <c r="B1633" s="53"/>
      <c r="O1633" s="189"/>
      <c r="Q1633" s="53" t="s">
        <v>833</v>
      </c>
    </row>
    <row r="1634" spans="2:17" ht="15.75" x14ac:dyDescent="0.25">
      <c r="B1634" s="53"/>
      <c r="O1634" s="189"/>
      <c r="Q1634" s="53" t="s">
        <v>833</v>
      </c>
    </row>
    <row r="1635" spans="2:17" ht="15.75" x14ac:dyDescent="0.25">
      <c r="B1635" s="53"/>
      <c r="O1635" s="189"/>
      <c r="Q1635" s="53" t="s">
        <v>833</v>
      </c>
    </row>
    <row r="1636" spans="2:17" ht="15.75" x14ac:dyDescent="0.25">
      <c r="B1636" s="53"/>
      <c r="O1636" s="189"/>
      <c r="Q1636" s="53" t="s">
        <v>833</v>
      </c>
    </row>
    <row r="1637" spans="2:17" ht="15.75" x14ac:dyDescent="0.25">
      <c r="B1637" s="53"/>
      <c r="O1637" s="189"/>
      <c r="Q1637" s="53" t="s">
        <v>833</v>
      </c>
    </row>
    <row r="1638" spans="2:17" ht="15.75" x14ac:dyDescent="0.25">
      <c r="B1638" s="53"/>
      <c r="O1638" s="189"/>
      <c r="Q1638" s="53" t="s">
        <v>833</v>
      </c>
    </row>
    <row r="1639" spans="2:17" ht="15.75" x14ac:dyDescent="0.25">
      <c r="B1639" s="53"/>
      <c r="O1639" s="189"/>
      <c r="Q1639" s="53" t="s">
        <v>833</v>
      </c>
    </row>
    <row r="1640" spans="2:17" ht="15.75" x14ac:dyDescent="0.25">
      <c r="B1640" s="53"/>
      <c r="O1640" s="189"/>
      <c r="Q1640" s="53" t="s">
        <v>833</v>
      </c>
    </row>
    <row r="1641" spans="2:17" ht="15.75" x14ac:dyDescent="0.25">
      <c r="B1641" s="53"/>
      <c r="O1641" s="189"/>
      <c r="Q1641" s="53" t="s">
        <v>833</v>
      </c>
    </row>
    <row r="1642" spans="2:17" ht="15.75" x14ac:dyDescent="0.25">
      <c r="B1642" s="53"/>
      <c r="O1642" s="189"/>
      <c r="Q1642" s="53" t="s">
        <v>833</v>
      </c>
    </row>
    <row r="1643" spans="2:17" ht="15.75" x14ac:dyDescent="0.25">
      <c r="B1643" s="53"/>
      <c r="O1643" s="189"/>
      <c r="Q1643" s="53" t="s">
        <v>833</v>
      </c>
    </row>
    <row r="1644" spans="2:17" ht="15.75" x14ac:dyDescent="0.25">
      <c r="B1644" s="53"/>
      <c r="O1644" s="189"/>
      <c r="Q1644" s="53" t="s">
        <v>833</v>
      </c>
    </row>
    <row r="1645" spans="2:17" ht="15.75" x14ac:dyDescent="0.25">
      <c r="B1645" s="53"/>
      <c r="O1645" s="189"/>
      <c r="Q1645" s="53" t="s">
        <v>833</v>
      </c>
    </row>
    <row r="1646" spans="2:17" ht="15.75" x14ac:dyDescent="0.25">
      <c r="B1646" s="53"/>
      <c r="O1646" s="189"/>
      <c r="Q1646" s="53" t="s">
        <v>833</v>
      </c>
    </row>
    <row r="1647" spans="2:17" ht="15.75" x14ac:dyDescent="0.25">
      <c r="B1647" s="53"/>
      <c r="O1647" s="189"/>
      <c r="Q1647" s="53" t="s">
        <v>833</v>
      </c>
    </row>
    <row r="1648" spans="2:17" ht="15.75" x14ac:dyDescent="0.25">
      <c r="B1648" s="53"/>
      <c r="O1648" s="189"/>
      <c r="Q1648" s="53" t="s">
        <v>833</v>
      </c>
    </row>
    <row r="1649" spans="2:17" ht="15.75" x14ac:dyDescent="0.25">
      <c r="B1649" s="53"/>
      <c r="O1649" s="189"/>
      <c r="Q1649" s="53" t="s">
        <v>833</v>
      </c>
    </row>
    <row r="1650" spans="2:17" ht="15.75" x14ac:dyDescent="0.25">
      <c r="B1650" s="53"/>
      <c r="O1650" s="189"/>
      <c r="Q1650" s="53" t="s">
        <v>833</v>
      </c>
    </row>
    <row r="1651" spans="2:17" ht="15.75" x14ac:dyDescent="0.25">
      <c r="B1651" s="53"/>
      <c r="O1651" s="189"/>
      <c r="Q1651" s="53" t="s">
        <v>833</v>
      </c>
    </row>
    <row r="1652" spans="2:17" ht="15.75" x14ac:dyDescent="0.25">
      <c r="B1652" s="53"/>
      <c r="O1652" s="189"/>
      <c r="Q1652" s="53" t="s">
        <v>833</v>
      </c>
    </row>
    <row r="1653" spans="2:17" ht="15.75" x14ac:dyDescent="0.25">
      <c r="B1653" s="53"/>
      <c r="O1653" s="189"/>
      <c r="Q1653" s="53" t="s">
        <v>833</v>
      </c>
    </row>
    <row r="1654" spans="2:17" ht="15.75" x14ac:dyDescent="0.25">
      <c r="B1654" s="53"/>
      <c r="O1654" s="189"/>
      <c r="Q1654" s="53" t="s">
        <v>833</v>
      </c>
    </row>
    <row r="1655" spans="2:17" ht="15.75" x14ac:dyDescent="0.25">
      <c r="B1655" s="53"/>
      <c r="O1655" s="189"/>
      <c r="Q1655" s="53" t="s">
        <v>833</v>
      </c>
    </row>
    <row r="1656" spans="2:17" ht="15.75" x14ac:dyDescent="0.25">
      <c r="B1656" s="53"/>
      <c r="O1656" s="189"/>
      <c r="Q1656" s="53" t="s">
        <v>833</v>
      </c>
    </row>
    <row r="1657" spans="2:17" ht="15.75" x14ac:dyDescent="0.25">
      <c r="B1657" s="53"/>
      <c r="O1657" s="189"/>
      <c r="Q1657" s="53" t="s">
        <v>833</v>
      </c>
    </row>
    <row r="1658" spans="2:17" ht="15.75" x14ac:dyDescent="0.25">
      <c r="B1658" s="53"/>
      <c r="O1658" s="189"/>
      <c r="Q1658" s="53" t="s">
        <v>833</v>
      </c>
    </row>
    <row r="1659" spans="2:17" ht="15.75" x14ac:dyDescent="0.25">
      <c r="B1659" s="53"/>
      <c r="O1659" s="189"/>
      <c r="Q1659" s="53" t="s">
        <v>833</v>
      </c>
    </row>
    <row r="1660" spans="2:17" ht="15.75" x14ac:dyDescent="0.25">
      <c r="B1660" s="53"/>
      <c r="O1660" s="189"/>
      <c r="Q1660" s="53" t="s">
        <v>833</v>
      </c>
    </row>
    <row r="1661" spans="2:17" ht="15.75" x14ac:dyDescent="0.25">
      <c r="B1661" s="53"/>
      <c r="O1661" s="189"/>
      <c r="Q1661" s="53" t="s">
        <v>833</v>
      </c>
    </row>
    <row r="1662" spans="2:17" ht="15.75" x14ac:dyDescent="0.25">
      <c r="B1662" s="53"/>
      <c r="O1662" s="189"/>
      <c r="Q1662" s="53" t="s">
        <v>833</v>
      </c>
    </row>
    <row r="1663" spans="2:17" ht="15.75" x14ac:dyDescent="0.25">
      <c r="B1663" s="53"/>
      <c r="O1663" s="189"/>
      <c r="Q1663" s="53" t="s">
        <v>833</v>
      </c>
    </row>
    <row r="1664" spans="2:17" ht="15.75" x14ac:dyDescent="0.25">
      <c r="B1664" s="53"/>
      <c r="O1664" s="189"/>
      <c r="Q1664" s="53" t="s">
        <v>833</v>
      </c>
    </row>
    <row r="1665" spans="2:17" ht="15.75" x14ac:dyDescent="0.25">
      <c r="B1665" s="53"/>
      <c r="O1665" s="189"/>
      <c r="Q1665" s="53" t="s">
        <v>833</v>
      </c>
    </row>
    <row r="1666" spans="2:17" ht="15.75" x14ac:dyDescent="0.25">
      <c r="B1666" s="53"/>
      <c r="O1666" s="189"/>
      <c r="Q1666" s="53" t="s">
        <v>833</v>
      </c>
    </row>
    <row r="1667" spans="2:17" ht="15.75" x14ac:dyDescent="0.25">
      <c r="B1667" s="53"/>
      <c r="O1667" s="189"/>
      <c r="Q1667" s="53" t="s">
        <v>833</v>
      </c>
    </row>
    <row r="1668" spans="2:17" ht="15.75" x14ac:dyDescent="0.25">
      <c r="B1668" s="53"/>
      <c r="O1668" s="189"/>
      <c r="Q1668" s="53" t="s">
        <v>833</v>
      </c>
    </row>
    <row r="1669" spans="2:17" ht="15.75" x14ac:dyDescent="0.25">
      <c r="B1669" s="53"/>
      <c r="O1669" s="189"/>
      <c r="Q1669" s="53" t="s">
        <v>833</v>
      </c>
    </row>
    <row r="1670" spans="2:17" ht="15.75" x14ac:dyDescent="0.25">
      <c r="B1670" s="53"/>
      <c r="O1670" s="189"/>
      <c r="Q1670" s="53" t="s">
        <v>833</v>
      </c>
    </row>
    <row r="1671" spans="2:17" ht="15.75" x14ac:dyDescent="0.25">
      <c r="B1671" s="53"/>
      <c r="O1671" s="189"/>
      <c r="Q1671" s="53" t="s">
        <v>833</v>
      </c>
    </row>
    <row r="1672" spans="2:17" ht="15.75" x14ac:dyDescent="0.25">
      <c r="B1672" s="53"/>
      <c r="O1672" s="189"/>
      <c r="Q1672" s="53" t="s">
        <v>833</v>
      </c>
    </row>
    <row r="1673" spans="2:17" ht="15.75" x14ac:dyDescent="0.25">
      <c r="B1673" s="53"/>
      <c r="O1673" s="189"/>
      <c r="Q1673" s="53" t="s">
        <v>833</v>
      </c>
    </row>
    <row r="1674" spans="2:17" ht="15.75" x14ac:dyDescent="0.25">
      <c r="B1674" s="53"/>
      <c r="O1674" s="189"/>
      <c r="Q1674" s="53" t="s">
        <v>833</v>
      </c>
    </row>
    <row r="1675" spans="2:17" ht="15.75" x14ac:dyDescent="0.25">
      <c r="B1675" s="53"/>
      <c r="O1675" s="189"/>
      <c r="Q1675" s="53" t="s">
        <v>833</v>
      </c>
    </row>
    <row r="1676" spans="2:17" ht="15.75" x14ac:dyDescent="0.25">
      <c r="B1676" s="53"/>
      <c r="O1676" s="189"/>
      <c r="Q1676" s="53" t="s">
        <v>833</v>
      </c>
    </row>
    <row r="1677" spans="2:17" ht="15.75" x14ac:dyDescent="0.25">
      <c r="B1677" s="53"/>
      <c r="O1677" s="189"/>
      <c r="Q1677" s="53" t="s">
        <v>833</v>
      </c>
    </row>
    <row r="1678" spans="2:17" ht="15.75" x14ac:dyDescent="0.25">
      <c r="B1678" s="53"/>
      <c r="O1678" s="189"/>
      <c r="Q1678" s="53" t="s">
        <v>833</v>
      </c>
    </row>
    <row r="1679" spans="2:17" ht="15.75" x14ac:dyDescent="0.25">
      <c r="B1679" s="53"/>
      <c r="O1679" s="189"/>
      <c r="Q1679" s="53" t="s">
        <v>833</v>
      </c>
    </row>
    <row r="1680" spans="2:17" ht="15.75" x14ac:dyDescent="0.25">
      <c r="B1680" s="53"/>
      <c r="O1680" s="189"/>
      <c r="Q1680" s="53" t="s">
        <v>833</v>
      </c>
    </row>
    <row r="1681" spans="2:17" ht="15.75" x14ac:dyDescent="0.25">
      <c r="B1681" s="53"/>
      <c r="O1681" s="189"/>
      <c r="Q1681" s="53" t="s">
        <v>833</v>
      </c>
    </row>
    <row r="1682" spans="2:17" ht="15.75" x14ac:dyDescent="0.25">
      <c r="B1682" s="53"/>
      <c r="O1682" s="189"/>
      <c r="Q1682" s="53" t="s">
        <v>833</v>
      </c>
    </row>
    <row r="1683" spans="2:17" ht="15.75" x14ac:dyDescent="0.25">
      <c r="B1683" s="53"/>
      <c r="O1683" s="189"/>
      <c r="Q1683" s="53" t="s">
        <v>833</v>
      </c>
    </row>
    <row r="1684" spans="2:17" ht="15.75" x14ac:dyDescent="0.25">
      <c r="B1684" s="53"/>
      <c r="O1684" s="189"/>
      <c r="Q1684" s="53" t="s">
        <v>833</v>
      </c>
    </row>
    <row r="1685" spans="2:17" ht="15.75" x14ac:dyDescent="0.25">
      <c r="B1685" s="53"/>
      <c r="O1685" s="189"/>
      <c r="Q1685" s="53" t="s">
        <v>833</v>
      </c>
    </row>
    <row r="1686" spans="2:17" ht="15.75" x14ac:dyDescent="0.25">
      <c r="B1686" s="53"/>
      <c r="O1686" s="189"/>
      <c r="Q1686" s="53" t="s">
        <v>833</v>
      </c>
    </row>
    <row r="1687" spans="2:17" ht="15.75" x14ac:dyDescent="0.25">
      <c r="B1687" s="53"/>
      <c r="O1687" s="189"/>
      <c r="Q1687" s="53" t="s">
        <v>833</v>
      </c>
    </row>
    <row r="1688" spans="2:17" ht="15.75" x14ac:dyDescent="0.25">
      <c r="B1688" s="53"/>
      <c r="O1688" s="189"/>
      <c r="Q1688" s="53" t="s">
        <v>833</v>
      </c>
    </row>
    <row r="1689" spans="2:17" ht="15.75" x14ac:dyDescent="0.25">
      <c r="B1689" s="53"/>
      <c r="O1689" s="189"/>
      <c r="Q1689" s="53" t="s">
        <v>833</v>
      </c>
    </row>
    <row r="1690" spans="2:17" ht="15.75" x14ac:dyDescent="0.25">
      <c r="B1690" s="53"/>
      <c r="O1690" s="189"/>
      <c r="Q1690" s="53" t="s">
        <v>833</v>
      </c>
    </row>
    <row r="1691" spans="2:17" ht="15.75" x14ac:dyDescent="0.25">
      <c r="B1691" s="53"/>
      <c r="O1691" s="189"/>
      <c r="Q1691" s="53" t="s">
        <v>833</v>
      </c>
    </row>
    <row r="1692" spans="2:17" ht="15.75" x14ac:dyDescent="0.25">
      <c r="B1692" s="53"/>
      <c r="O1692" s="189"/>
      <c r="Q1692" s="53" t="s">
        <v>833</v>
      </c>
    </row>
    <row r="1693" spans="2:17" ht="15.75" x14ac:dyDescent="0.25">
      <c r="B1693" s="53"/>
      <c r="O1693" s="189"/>
      <c r="Q1693" s="53" t="s">
        <v>833</v>
      </c>
    </row>
    <row r="1694" spans="2:17" ht="15.75" x14ac:dyDescent="0.25">
      <c r="B1694" s="53"/>
      <c r="O1694" s="189"/>
      <c r="Q1694" s="53" t="s">
        <v>833</v>
      </c>
    </row>
    <row r="1695" spans="2:17" ht="15.75" x14ac:dyDescent="0.25">
      <c r="B1695" s="53"/>
      <c r="O1695" s="189"/>
      <c r="Q1695" s="53" t="s">
        <v>833</v>
      </c>
    </row>
    <row r="1696" spans="2:17" ht="15.75" x14ac:dyDescent="0.25">
      <c r="B1696" s="53"/>
      <c r="O1696" s="189"/>
      <c r="Q1696" s="53" t="s">
        <v>833</v>
      </c>
    </row>
    <row r="1697" spans="2:17" ht="15.75" x14ac:dyDescent="0.25">
      <c r="B1697" s="53"/>
      <c r="O1697" s="189"/>
      <c r="Q1697" s="53" t="s">
        <v>833</v>
      </c>
    </row>
    <row r="1698" spans="2:17" ht="15.75" x14ac:dyDescent="0.25">
      <c r="B1698" s="53"/>
      <c r="O1698" s="189"/>
      <c r="Q1698" s="53" t="s">
        <v>833</v>
      </c>
    </row>
    <row r="1699" spans="2:17" ht="15.75" x14ac:dyDescent="0.25">
      <c r="B1699" s="53"/>
      <c r="O1699" s="189"/>
      <c r="Q1699" s="53" t="s">
        <v>833</v>
      </c>
    </row>
    <row r="1700" spans="2:17" ht="15.75" x14ac:dyDescent="0.25">
      <c r="B1700" s="53"/>
      <c r="O1700" s="189"/>
      <c r="Q1700" s="53" t="s">
        <v>833</v>
      </c>
    </row>
    <row r="1701" spans="2:17" ht="15.75" x14ac:dyDescent="0.25">
      <c r="B1701" s="53"/>
      <c r="O1701" s="189"/>
      <c r="Q1701" s="53" t="s">
        <v>833</v>
      </c>
    </row>
    <row r="1702" spans="2:17" ht="15.75" x14ac:dyDescent="0.25">
      <c r="B1702" s="53"/>
      <c r="O1702" s="189"/>
      <c r="Q1702" s="53" t="s">
        <v>833</v>
      </c>
    </row>
    <row r="1703" spans="2:17" ht="15.75" x14ac:dyDescent="0.25">
      <c r="B1703" s="53"/>
      <c r="O1703" s="189"/>
      <c r="Q1703" s="53" t="s">
        <v>833</v>
      </c>
    </row>
    <row r="1704" spans="2:17" ht="15.75" x14ac:dyDescent="0.25">
      <c r="B1704" s="53"/>
      <c r="O1704" s="189"/>
      <c r="Q1704" s="53" t="s">
        <v>833</v>
      </c>
    </row>
    <row r="1705" spans="2:17" ht="15.75" x14ac:dyDescent="0.25">
      <c r="B1705" s="53"/>
      <c r="O1705" s="189"/>
      <c r="Q1705" s="53" t="s">
        <v>833</v>
      </c>
    </row>
    <row r="1706" spans="2:17" ht="15.75" x14ac:dyDescent="0.25">
      <c r="B1706" s="53"/>
      <c r="O1706" s="189"/>
      <c r="Q1706" s="53" t="s">
        <v>833</v>
      </c>
    </row>
    <row r="1707" spans="2:17" ht="15.75" x14ac:dyDescent="0.25">
      <c r="B1707" s="53"/>
      <c r="O1707" s="189"/>
      <c r="Q1707" s="53" t="s">
        <v>833</v>
      </c>
    </row>
    <row r="1708" spans="2:17" ht="15.75" x14ac:dyDescent="0.25">
      <c r="B1708" s="53"/>
      <c r="O1708" s="189"/>
      <c r="Q1708" s="53" t="s">
        <v>833</v>
      </c>
    </row>
    <row r="1709" spans="2:17" ht="15.75" x14ac:dyDescent="0.25">
      <c r="B1709" s="53"/>
      <c r="O1709" s="189"/>
      <c r="Q1709" s="53" t="s">
        <v>833</v>
      </c>
    </row>
    <row r="1710" spans="2:17" ht="15.75" x14ac:dyDescent="0.25">
      <c r="B1710" s="53"/>
      <c r="O1710" s="189"/>
      <c r="Q1710" s="53" t="s">
        <v>833</v>
      </c>
    </row>
    <row r="1711" spans="2:17" ht="15.75" x14ac:dyDescent="0.25">
      <c r="B1711" s="53"/>
      <c r="O1711" s="189"/>
      <c r="Q1711" s="53" t="s">
        <v>833</v>
      </c>
    </row>
    <row r="1712" spans="2:17" ht="15.75" x14ac:dyDescent="0.25">
      <c r="B1712" s="53"/>
      <c r="O1712" s="189"/>
      <c r="Q1712" s="53" t="s">
        <v>833</v>
      </c>
    </row>
    <row r="1713" spans="2:17" ht="15.75" x14ac:dyDescent="0.25">
      <c r="B1713" s="53"/>
      <c r="O1713" s="189"/>
      <c r="Q1713" s="53" t="s">
        <v>833</v>
      </c>
    </row>
    <row r="1714" spans="2:17" ht="15.75" x14ac:dyDescent="0.25">
      <c r="B1714" s="53"/>
      <c r="O1714" s="189"/>
      <c r="Q1714" s="53" t="s">
        <v>833</v>
      </c>
    </row>
    <row r="1715" spans="2:17" ht="15.75" x14ac:dyDescent="0.25">
      <c r="B1715" s="53"/>
      <c r="O1715" s="189"/>
      <c r="Q1715" s="53" t="s">
        <v>833</v>
      </c>
    </row>
    <row r="1716" spans="2:17" ht="15.75" x14ac:dyDescent="0.25">
      <c r="B1716" s="53"/>
      <c r="O1716" s="189"/>
      <c r="Q1716" s="53" t="s">
        <v>833</v>
      </c>
    </row>
    <row r="1717" spans="2:17" ht="15.75" x14ac:dyDescent="0.25">
      <c r="B1717" s="53"/>
      <c r="O1717" s="189"/>
      <c r="Q1717" s="53" t="s">
        <v>833</v>
      </c>
    </row>
    <row r="1718" spans="2:17" ht="15.75" x14ac:dyDescent="0.25">
      <c r="B1718" s="53"/>
      <c r="O1718" s="189"/>
      <c r="Q1718" s="53" t="s">
        <v>833</v>
      </c>
    </row>
    <row r="1719" spans="2:17" ht="15.75" x14ac:dyDescent="0.25">
      <c r="B1719" s="53"/>
      <c r="O1719" s="189"/>
      <c r="Q1719" s="53" t="s">
        <v>833</v>
      </c>
    </row>
    <row r="1720" spans="2:17" ht="15.75" x14ac:dyDescent="0.25">
      <c r="B1720" s="53"/>
      <c r="O1720" s="189"/>
      <c r="Q1720" s="53" t="s">
        <v>833</v>
      </c>
    </row>
    <row r="1721" spans="2:17" ht="15.75" x14ac:dyDescent="0.25">
      <c r="B1721" s="53"/>
      <c r="O1721" s="189"/>
      <c r="Q1721" s="53" t="s">
        <v>833</v>
      </c>
    </row>
    <row r="1722" spans="2:17" ht="15.75" x14ac:dyDescent="0.25">
      <c r="B1722" s="53"/>
      <c r="O1722" s="189"/>
      <c r="Q1722" s="53" t="s">
        <v>833</v>
      </c>
    </row>
    <row r="1723" spans="2:17" ht="15.75" x14ac:dyDescent="0.25">
      <c r="B1723" s="53"/>
      <c r="O1723" s="189"/>
      <c r="Q1723" s="53" t="s">
        <v>833</v>
      </c>
    </row>
    <row r="1724" spans="2:17" ht="15.75" x14ac:dyDescent="0.25">
      <c r="B1724" s="53"/>
      <c r="O1724" s="189"/>
      <c r="Q1724" s="53" t="s">
        <v>833</v>
      </c>
    </row>
    <row r="1725" spans="2:17" ht="15.75" x14ac:dyDescent="0.25">
      <c r="B1725" s="53"/>
      <c r="O1725" s="189"/>
      <c r="Q1725" s="53" t="s">
        <v>833</v>
      </c>
    </row>
    <row r="1726" spans="2:17" ht="15.75" x14ac:dyDescent="0.25">
      <c r="B1726" s="53"/>
      <c r="O1726" s="189"/>
      <c r="Q1726" s="53" t="s">
        <v>833</v>
      </c>
    </row>
    <row r="1727" spans="2:17" ht="15.75" x14ac:dyDescent="0.25">
      <c r="B1727" s="53"/>
      <c r="O1727" s="189"/>
      <c r="Q1727" s="53" t="s">
        <v>833</v>
      </c>
    </row>
    <row r="1728" spans="2:17" ht="15.75" x14ac:dyDescent="0.25">
      <c r="B1728" s="53"/>
      <c r="O1728" s="189"/>
      <c r="Q1728" s="53" t="s">
        <v>833</v>
      </c>
    </row>
    <row r="1729" spans="2:17" ht="15.75" x14ac:dyDescent="0.25">
      <c r="B1729" s="53"/>
      <c r="O1729" s="189"/>
      <c r="Q1729" s="53" t="s">
        <v>833</v>
      </c>
    </row>
    <row r="1730" spans="2:17" ht="15.75" x14ac:dyDescent="0.25">
      <c r="B1730" s="53"/>
      <c r="O1730" s="189"/>
      <c r="Q1730" s="53" t="s">
        <v>833</v>
      </c>
    </row>
    <row r="1731" spans="2:17" ht="15.75" x14ac:dyDescent="0.25">
      <c r="B1731" s="53"/>
      <c r="O1731" s="189"/>
      <c r="Q1731" s="53" t="s">
        <v>833</v>
      </c>
    </row>
    <row r="1732" spans="2:17" ht="15.75" x14ac:dyDescent="0.25">
      <c r="B1732" s="53"/>
      <c r="O1732" s="189"/>
      <c r="Q1732" s="53" t="s">
        <v>833</v>
      </c>
    </row>
    <row r="1733" spans="2:17" ht="15.75" x14ac:dyDescent="0.25">
      <c r="B1733" s="53"/>
      <c r="O1733" s="189"/>
      <c r="Q1733" s="53" t="s">
        <v>833</v>
      </c>
    </row>
    <row r="1734" spans="2:17" ht="15.75" x14ac:dyDescent="0.25">
      <c r="B1734" s="53"/>
      <c r="O1734" s="189"/>
      <c r="Q1734" s="53" t="s">
        <v>833</v>
      </c>
    </row>
    <row r="1735" spans="2:17" ht="15.75" x14ac:dyDescent="0.25">
      <c r="B1735" s="53"/>
      <c r="O1735" s="189"/>
      <c r="Q1735" s="53" t="s">
        <v>833</v>
      </c>
    </row>
    <row r="1736" spans="2:17" ht="15.75" x14ac:dyDescent="0.25">
      <c r="B1736" s="53"/>
      <c r="O1736" s="189"/>
      <c r="Q1736" s="53" t="s">
        <v>833</v>
      </c>
    </row>
    <row r="1737" spans="2:17" ht="15.75" x14ac:dyDescent="0.25">
      <c r="B1737" s="53"/>
      <c r="O1737" s="189"/>
      <c r="Q1737" s="53" t="s">
        <v>833</v>
      </c>
    </row>
    <row r="1738" spans="2:17" ht="15.75" x14ac:dyDescent="0.25">
      <c r="B1738" s="53"/>
      <c r="O1738" s="189"/>
      <c r="Q1738" s="53" t="s">
        <v>833</v>
      </c>
    </row>
    <row r="1739" spans="2:17" ht="15.75" x14ac:dyDescent="0.25">
      <c r="B1739" s="53"/>
      <c r="O1739" s="189"/>
      <c r="Q1739" s="53" t="s">
        <v>833</v>
      </c>
    </row>
    <row r="1740" spans="2:17" ht="15.75" x14ac:dyDescent="0.25">
      <c r="B1740" s="53"/>
      <c r="O1740" s="189"/>
      <c r="Q1740" s="53" t="s">
        <v>833</v>
      </c>
    </row>
    <row r="1741" spans="2:17" ht="15.75" x14ac:dyDescent="0.25">
      <c r="B1741" s="53"/>
      <c r="O1741" s="189"/>
      <c r="Q1741" s="53" t="s">
        <v>833</v>
      </c>
    </row>
    <row r="1742" spans="2:17" ht="15.75" x14ac:dyDescent="0.25">
      <c r="B1742" s="53"/>
      <c r="O1742" s="189"/>
      <c r="Q1742" s="53" t="s">
        <v>833</v>
      </c>
    </row>
    <row r="1743" spans="2:17" ht="15.75" x14ac:dyDescent="0.25">
      <c r="B1743" s="53"/>
      <c r="O1743" s="189"/>
      <c r="Q1743" s="53" t="s">
        <v>833</v>
      </c>
    </row>
    <row r="1744" spans="2:17" ht="15.75" x14ac:dyDescent="0.25">
      <c r="B1744" s="53"/>
      <c r="O1744" s="189"/>
      <c r="Q1744" s="53" t="s">
        <v>833</v>
      </c>
    </row>
    <row r="1745" spans="2:17" ht="15.75" x14ac:dyDescent="0.25">
      <c r="B1745" s="53"/>
      <c r="O1745" s="189"/>
      <c r="Q1745" s="53" t="s">
        <v>833</v>
      </c>
    </row>
    <row r="1746" spans="2:17" ht="15.75" x14ac:dyDescent="0.25">
      <c r="B1746" s="53"/>
      <c r="O1746" s="189"/>
      <c r="Q1746" s="53" t="s">
        <v>833</v>
      </c>
    </row>
    <row r="1747" spans="2:17" ht="15.75" x14ac:dyDescent="0.25">
      <c r="B1747" s="53"/>
      <c r="O1747" s="189"/>
      <c r="Q1747" s="53" t="s">
        <v>833</v>
      </c>
    </row>
    <row r="1748" spans="2:17" ht="15.75" x14ac:dyDescent="0.25">
      <c r="B1748" s="53"/>
      <c r="O1748" s="189"/>
      <c r="Q1748" s="53" t="s">
        <v>833</v>
      </c>
    </row>
    <row r="1749" spans="2:17" ht="15.75" x14ac:dyDescent="0.25">
      <c r="B1749" s="53"/>
      <c r="O1749" s="189"/>
      <c r="Q1749" s="53" t="s">
        <v>833</v>
      </c>
    </row>
    <row r="1750" spans="2:17" ht="15.75" x14ac:dyDescent="0.25">
      <c r="B1750" s="53"/>
      <c r="O1750" s="189"/>
      <c r="Q1750" s="53" t="s">
        <v>833</v>
      </c>
    </row>
    <row r="1751" spans="2:17" ht="15.75" x14ac:dyDescent="0.25">
      <c r="B1751" s="53"/>
      <c r="O1751" s="189"/>
      <c r="Q1751" s="53" t="s">
        <v>833</v>
      </c>
    </row>
    <row r="1752" spans="2:17" ht="15.75" x14ac:dyDescent="0.25">
      <c r="B1752" s="53"/>
      <c r="O1752" s="189"/>
      <c r="Q1752" s="53" t="s">
        <v>833</v>
      </c>
    </row>
    <row r="1753" spans="2:17" ht="15.75" x14ac:dyDescent="0.25">
      <c r="B1753" s="53"/>
      <c r="O1753" s="189"/>
      <c r="Q1753" s="53" t="s">
        <v>833</v>
      </c>
    </row>
    <row r="1754" spans="2:17" ht="15.75" x14ac:dyDescent="0.25">
      <c r="B1754" s="53"/>
      <c r="O1754" s="189"/>
      <c r="Q1754" s="53" t="s">
        <v>833</v>
      </c>
    </row>
    <row r="1755" spans="2:17" ht="15.75" x14ac:dyDescent="0.25">
      <c r="B1755" s="53"/>
      <c r="O1755" s="189"/>
      <c r="Q1755" s="53" t="s">
        <v>833</v>
      </c>
    </row>
    <row r="1756" spans="2:17" ht="15.75" x14ac:dyDescent="0.25">
      <c r="B1756" s="53"/>
      <c r="O1756" s="189"/>
      <c r="Q1756" s="53" t="s">
        <v>833</v>
      </c>
    </row>
    <row r="1757" spans="2:17" ht="15.75" x14ac:dyDescent="0.25">
      <c r="B1757" s="53"/>
      <c r="O1757" s="189"/>
      <c r="Q1757" s="53" t="s">
        <v>833</v>
      </c>
    </row>
    <row r="1758" spans="2:17" ht="15.75" x14ac:dyDescent="0.25">
      <c r="B1758" s="53"/>
      <c r="O1758" s="189"/>
      <c r="Q1758" s="53" t="s">
        <v>833</v>
      </c>
    </row>
    <row r="1759" spans="2:17" ht="15.75" x14ac:dyDescent="0.25">
      <c r="B1759" s="53"/>
      <c r="O1759" s="189"/>
      <c r="Q1759" s="53" t="s">
        <v>833</v>
      </c>
    </row>
    <row r="1760" spans="2:17" ht="15.75" x14ac:dyDescent="0.25">
      <c r="B1760" s="53"/>
      <c r="O1760" s="189"/>
      <c r="Q1760" s="53" t="s">
        <v>833</v>
      </c>
    </row>
    <row r="1761" spans="2:17" ht="15.75" x14ac:dyDescent="0.25">
      <c r="B1761" s="53"/>
      <c r="O1761" s="189"/>
      <c r="Q1761" s="53" t="s">
        <v>833</v>
      </c>
    </row>
    <row r="1762" spans="2:17" ht="15.75" x14ac:dyDescent="0.25">
      <c r="B1762" s="53"/>
      <c r="O1762" s="189"/>
      <c r="Q1762" s="53" t="s">
        <v>833</v>
      </c>
    </row>
    <row r="1763" spans="2:17" ht="15.75" x14ac:dyDescent="0.25">
      <c r="B1763" s="53"/>
      <c r="O1763" s="189"/>
      <c r="Q1763" s="53" t="s">
        <v>833</v>
      </c>
    </row>
    <row r="1764" spans="2:17" ht="15.75" x14ac:dyDescent="0.25">
      <c r="B1764" s="53"/>
      <c r="O1764" s="189"/>
      <c r="Q1764" s="53" t="s">
        <v>833</v>
      </c>
    </row>
    <row r="1765" spans="2:17" ht="15.75" x14ac:dyDescent="0.25">
      <c r="B1765" s="53"/>
      <c r="O1765" s="189"/>
      <c r="Q1765" s="53" t="s">
        <v>833</v>
      </c>
    </row>
    <row r="1766" spans="2:17" ht="15.75" x14ac:dyDescent="0.25">
      <c r="B1766" s="53"/>
      <c r="O1766" s="189"/>
      <c r="Q1766" s="53" t="s">
        <v>833</v>
      </c>
    </row>
    <row r="1767" spans="2:17" ht="15.75" x14ac:dyDescent="0.25">
      <c r="B1767" s="53"/>
      <c r="O1767" s="189"/>
      <c r="Q1767" s="53" t="s">
        <v>833</v>
      </c>
    </row>
    <row r="1768" spans="2:17" ht="15.75" x14ac:dyDescent="0.25">
      <c r="B1768" s="53"/>
      <c r="O1768" s="189"/>
      <c r="Q1768" s="53" t="s">
        <v>833</v>
      </c>
    </row>
    <row r="1769" spans="2:17" ht="15.75" x14ac:dyDescent="0.25">
      <c r="B1769" s="53"/>
      <c r="O1769" s="189"/>
      <c r="Q1769" s="53" t="s">
        <v>833</v>
      </c>
    </row>
    <row r="1770" spans="2:17" ht="15.75" x14ac:dyDescent="0.25">
      <c r="B1770" s="53"/>
      <c r="O1770" s="189"/>
      <c r="Q1770" s="53" t="s">
        <v>833</v>
      </c>
    </row>
    <row r="1771" spans="2:17" ht="15.75" x14ac:dyDescent="0.25">
      <c r="B1771" s="53"/>
      <c r="O1771" s="189"/>
      <c r="Q1771" s="53" t="s">
        <v>833</v>
      </c>
    </row>
    <row r="1772" spans="2:17" ht="15.75" x14ac:dyDescent="0.25">
      <c r="B1772" s="53"/>
      <c r="O1772" s="189"/>
      <c r="Q1772" s="53" t="s">
        <v>833</v>
      </c>
    </row>
    <row r="1773" spans="2:17" ht="15.75" x14ac:dyDescent="0.25">
      <c r="B1773" s="53"/>
      <c r="O1773" s="189"/>
      <c r="Q1773" s="53" t="s">
        <v>833</v>
      </c>
    </row>
    <row r="1774" spans="2:17" ht="15.75" x14ac:dyDescent="0.25">
      <c r="B1774" s="53"/>
      <c r="O1774" s="189"/>
      <c r="Q1774" s="53" t="s">
        <v>833</v>
      </c>
    </row>
    <row r="1775" spans="2:17" ht="15.75" x14ac:dyDescent="0.25">
      <c r="B1775" s="53"/>
      <c r="O1775" s="189"/>
      <c r="Q1775" s="53" t="s">
        <v>833</v>
      </c>
    </row>
    <row r="1776" spans="2:17" ht="15.75" x14ac:dyDescent="0.25">
      <c r="B1776" s="53"/>
      <c r="O1776" s="189"/>
      <c r="Q1776" s="53" t="s">
        <v>833</v>
      </c>
    </row>
    <row r="1777" spans="2:17" ht="15.75" x14ac:dyDescent="0.25">
      <c r="B1777" s="53"/>
      <c r="O1777" s="189"/>
      <c r="Q1777" s="53" t="s">
        <v>833</v>
      </c>
    </row>
    <row r="1778" spans="2:17" ht="15.75" x14ac:dyDescent="0.25">
      <c r="B1778" s="53"/>
      <c r="O1778" s="189"/>
      <c r="Q1778" s="53" t="s">
        <v>833</v>
      </c>
    </row>
    <row r="1779" spans="2:17" ht="15.75" x14ac:dyDescent="0.25">
      <c r="B1779" s="53"/>
      <c r="O1779" s="189"/>
      <c r="Q1779" s="53" t="s">
        <v>833</v>
      </c>
    </row>
    <row r="1780" spans="2:17" ht="15.75" x14ac:dyDescent="0.25">
      <c r="B1780" s="53"/>
      <c r="O1780" s="189"/>
      <c r="Q1780" s="53" t="s">
        <v>833</v>
      </c>
    </row>
    <row r="1781" spans="2:17" ht="15.75" x14ac:dyDescent="0.25">
      <c r="B1781" s="53"/>
      <c r="O1781" s="189"/>
      <c r="Q1781" s="53" t="s">
        <v>833</v>
      </c>
    </row>
    <row r="1782" spans="2:17" ht="15.75" x14ac:dyDescent="0.25">
      <c r="B1782" s="53"/>
      <c r="O1782" s="189"/>
      <c r="Q1782" s="53" t="s">
        <v>833</v>
      </c>
    </row>
    <row r="1783" spans="2:17" ht="15.75" x14ac:dyDescent="0.25">
      <c r="B1783" s="53"/>
      <c r="O1783" s="189"/>
      <c r="Q1783" s="53" t="s">
        <v>833</v>
      </c>
    </row>
    <row r="1784" spans="2:17" ht="15.75" x14ac:dyDescent="0.25">
      <c r="B1784" s="53"/>
      <c r="O1784" s="189"/>
      <c r="Q1784" s="53" t="s">
        <v>833</v>
      </c>
    </row>
    <row r="1785" spans="2:17" ht="15.75" x14ac:dyDescent="0.25">
      <c r="B1785" s="53"/>
      <c r="O1785" s="189"/>
      <c r="Q1785" s="53" t="s">
        <v>833</v>
      </c>
    </row>
    <row r="1786" spans="2:17" ht="15.75" x14ac:dyDescent="0.25">
      <c r="B1786" s="53"/>
      <c r="O1786" s="189"/>
      <c r="Q1786" s="53" t="s">
        <v>833</v>
      </c>
    </row>
    <row r="1787" spans="2:17" ht="15.75" x14ac:dyDescent="0.25">
      <c r="B1787" s="53"/>
      <c r="O1787" s="189"/>
      <c r="Q1787" s="53" t="s">
        <v>833</v>
      </c>
    </row>
    <row r="1788" spans="2:17" ht="15.75" x14ac:dyDescent="0.25">
      <c r="B1788" s="53"/>
      <c r="O1788" s="189"/>
      <c r="Q1788" s="53" t="s">
        <v>833</v>
      </c>
    </row>
    <row r="1789" spans="2:17" ht="15.75" x14ac:dyDescent="0.25">
      <c r="B1789" s="53"/>
      <c r="O1789" s="189"/>
      <c r="Q1789" s="53" t="s">
        <v>833</v>
      </c>
    </row>
    <row r="1790" spans="2:17" ht="15.75" x14ac:dyDescent="0.25">
      <c r="B1790" s="53"/>
      <c r="O1790" s="189"/>
      <c r="Q1790" s="53" t="s">
        <v>833</v>
      </c>
    </row>
    <row r="1791" spans="2:17" ht="15.75" x14ac:dyDescent="0.25">
      <c r="B1791" s="53"/>
      <c r="O1791" s="189"/>
      <c r="Q1791" s="53" t="s">
        <v>833</v>
      </c>
    </row>
    <row r="1792" spans="2:17" ht="15.75" x14ac:dyDescent="0.25">
      <c r="B1792" s="53"/>
      <c r="O1792" s="189"/>
      <c r="Q1792" s="53" t="s">
        <v>833</v>
      </c>
    </row>
    <row r="1793" spans="2:17" ht="15.75" x14ac:dyDescent="0.25">
      <c r="B1793" s="53"/>
      <c r="O1793" s="189"/>
      <c r="Q1793" s="53" t="s">
        <v>833</v>
      </c>
    </row>
    <row r="1794" spans="2:17" ht="15.75" x14ac:dyDescent="0.25">
      <c r="B1794" s="53"/>
      <c r="O1794" s="189"/>
      <c r="Q1794" s="53" t="s">
        <v>833</v>
      </c>
    </row>
    <row r="1795" spans="2:17" ht="15.75" x14ac:dyDescent="0.25">
      <c r="B1795" s="53"/>
      <c r="O1795" s="189"/>
      <c r="Q1795" s="53" t="s">
        <v>833</v>
      </c>
    </row>
    <row r="1796" spans="2:17" ht="15.75" x14ac:dyDescent="0.25">
      <c r="B1796" s="53"/>
      <c r="O1796" s="189"/>
      <c r="Q1796" s="53" t="s">
        <v>833</v>
      </c>
    </row>
    <row r="1797" spans="2:17" ht="15.75" x14ac:dyDescent="0.25">
      <c r="B1797" s="53"/>
      <c r="O1797" s="189"/>
      <c r="Q1797" s="53" t="s">
        <v>833</v>
      </c>
    </row>
    <row r="1798" spans="2:17" ht="15.75" x14ac:dyDescent="0.25">
      <c r="B1798" s="53"/>
      <c r="O1798" s="189"/>
      <c r="Q1798" s="53" t="s">
        <v>833</v>
      </c>
    </row>
    <row r="1799" spans="2:17" ht="15.75" x14ac:dyDescent="0.25">
      <c r="B1799" s="53"/>
      <c r="O1799" s="189"/>
      <c r="Q1799" s="53" t="s">
        <v>833</v>
      </c>
    </row>
    <row r="1800" spans="2:17" ht="15.75" x14ac:dyDescent="0.25">
      <c r="B1800" s="53"/>
      <c r="O1800" s="189"/>
      <c r="Q1800" s="53" t="s">
        <v>833</v>
      </c>
    </row>
    <row r="1801" spans="2:17" ht="15.75" x14ac:dyDescent="0.25">
      <c r="B1801" s="53"/>
      <c r="O1801" s="189"/>
      <c r="Q1801" s="53" t="s">
        <v>833</v>
      </c>
    </row>
    <row r="1802" spans="2:17" ht="15.75" x14ac:dyDescent="0.25">
      <c r="B1802" s="53"/>
      <c r="O1802" s="189"/>
      <c r="Q1802" s="53" t="s">
        <v>833</v>
      </c>
    </row>
    <row r="1803" spans="2:17" ht="15.75" x14ac:dyDescent="0.25">
      <c r="B1803" s="53"/>
      <c r="O1803" s="189"/>
      <c r="Q1803" s="53" t="s">
        <v>833</v>
      </c>
    </row>
    <row r="1804" spans="2:17" ht="15.75" x14ac:dyDescent="0.25">
      <c r="B1804" s="53"/>
      <c r="O1804" s="189"/>
      <c r="Q1804" s="53" t="s">
        <v>833</v>
      </c>
    </row>
    <row r="1805" spans="2:17" ht="15.75" x14ac:dyDescent="0.25">
      <c r="B1805" s="53"/>
      <c r="O1805" s="189"/>
      <c r="Q1805" s="53" t="s">
        <v>833</v>
      </c>
    </row>
    <row r="1806" spans="2:17" ht="15.75" x14ac:dyDescent="0.25">
      <c r="B1806" s="53"/>
      <c r="O1806" s="189"/>
      <c r="Q1806" s="53" t="s">
        <v>833</v>
      </c>
    </row>
    <row r="1807" spans="2:17" ht="15.75" x14ac:dyDescent="0.25">
      <c r="B1807" s="53"/>
      <c r="O1807" s="189"/>
      <c r="Q1807" s="53" t="s">
        <v>833</v>
      </c>
    </row>
    <row r="1808" spans="2:17" ht="15.75" x14ac:dyDescent="0.25">
      <c r="B1808" s="53"/>
      <c r="O1808" s="189"/>
      <c r="Q1808" s="53" t="s">
        <v>833</v>
      </c>
    </row>
    <row r="1809" spans="2:17" ht="15.75" x14ac:dyDescent="0.25">
      <c r="B1809" s="53"/>
      <c r="O1809" s="189"/>
      <c r="Q1809" s="53" t="s">
        <v>833</v>
      </c>
    </row>
    <row r="1810" spans="2:17" ht="15.75" x14ac:dyDescent="0.25">
      <c r="B1810" s="53"/>
      <c r="O1810" s="189"/>
      <c r="Q1810" s="53" t="s">
        <v>833</v>
      </c>
    </row>
    <row r="1811" spans="2:17" ht="15.75" x14ac:dyDescent="0.25">
      <c r="B1811" s="53"/>
      <c r="O1811" s="189"/>
      <c r="Q1811" s="53" t="s">
        <v>833</v>
      </c>
    </row>
    <row r="1812" spans="2:17" ht="15.75" x14ac:dyDescent="0.25">
      <c r="B1812" s="53"/>
      <c r="O1812" s="189"/>
      <c r="Q1812" s="53" t="s">
        <v>833</v>
      </c>
    </row>
    <row r="1813" spans="2:17" ht="15.75" x14ac:dyDescent="0.25">
      <c r="B1813" s="53"/>
      <c r="O1813" s="189"/>
      <c r="Q1813" s="53" t="s">
        <v>833</v>
      </c>
    </row>
    <row r="1814" spans="2:17" ht="15.75" x14ac:dyDescent="0.25">
      <c r="B1814" s="53"/>
      <c r="O1814" s="189"/>
      <c r="Q1814" s="53" t="s">
        <v>833</v>
      </c>
    </row>
    <row r="1815" spans="2:17" ht="15.75" x14ac:dyDescent="0.25">
      <c r="B1815" s="53"/>
      <c r="O1815" s="189"/>
      <c r="Q1815" s="53" t="s">
        <v>833</v>
      </c>
    </row>
    <row r="1816" spans="2:17" ht="15.75" x14ac:dyDescent="0.25">
      <c r="B1816" s="53"/>
      <c r="O1816" s="189"/>
      <c r="Q1816" s="53" t="s">
        <v>833</v>
      </c>
    </row>
    <row r="1817" spans="2:17" ht="15.75" x14ac:dyDescent="0.25">
      <c r="B1817" s="53"/>
      <c r="O1817" s="189"/>
      <c r="Q1817" s="53" t="s">
        <v>833</v>
      </c>
    </row>
    <row r="1818" spans="2:17" ht="15.75" x14ac:dyDescent="0.25">
      <c r="B1818" s="53"/>
      <c r="O1818" s="189"/>
      <c r="Q1818" s="53" t="s">
        <v>833</v>
      </c>
    </row>
    <row r="1819" spans="2:17" ht="15.75" x14ac:dyDescent="0.25">
      <c r="B1819" s="53"/>
      <c r="O1819" s="189"/>
      <c r="Q1819" s="53" t="s">
        <v>833</v>
      </c>
    </row>
    <row r="1820" spans="2:17" ht="15.75" x14ac:dyDescent="0.25">
      <c r="B1820" s="53"/>
      <c r="O1820" s="189"/>
      <c r="Q1820" s="53" t="s">
        <v>833</v>
      </c>
    </row>
    <row r="1821" spans="2:17" ht="15.75" x14ac:dyDescent="0.25">
      <c r="B1821" s="53"/>
      <c r="O1821" s="189"/>
      <c r="Q1821" s="53" t="s">
        <v>833</v>
      </c>
    </row>
    <row r="1822" spans="2:17" ht="15.75" x14ac:dyDescent="0.25">
      <c r="B1822" s="53"/>
      <c r="O1822" s="189"/>
      <c r="Q1822" s="53" t="s">
        <v>833</v>
      </c>
    </row>
    <row r="1823" spans="2:17" ht="15.75" x14ac:dyDescent="0.25">
      <c r="B1823" s="53"/>
      <c r="O1823" s="189"/>
      <c r="Q1823" s="53" t="s">
        <v>833</v>
      </c>
    </row>
    <row r="1824" spans="2:17" ht="15.75" x14ac:dyDescent="0.25">
      <c r="B1824" s="53"/>
      <c r="O1824" s="189"/>
      <c r="Q1824" s="53" t="s">
        <v>833</v>
      </c>
    </row>
    <row r="1825" spans="2:17" ht="15.75" x14ac:dyDescent="0.25">
      <c r="B1825" s="53"/>
      <c r="O1825" s="189"/>
      <c r="Q1825" s="53" t="s">
        <v>833</v>
      </c>
    </row>
    <row r="1826" spans="2:17" ht="15.75" x14ac:dyDescent="0.25">
      <c r="B1826" s="53"/>
      <c r="O1826" s="189"/>
      <c r="Q1826" s="53" t="s">
        <v>833</v>
      </c>
    </row>
    <row r="1827" spans="2:17" ht="15.75" x14ac:dyDescent="0.25">
      <c r="B1827" s="53"/>
      <c r="O1827" s="189"/>
      <c r="Q1827" s="53" t="s">
        <v>833</v>
      </c>
    </row>
    <row r="1828" spans="2:17" ht="15.75" x14ac:dyDescent="0.25">
      <c r="B1828" s="53"/>
      <c r="O1828" s="189"/>
      <c r="Q1828" s="53" t="s">
        <v>833</v>
      </c>
    </row>
    <row r="1829" spans="2:17" ht="15.75" x14ac:dyDescent="0.25">
      <c r="B1829" s="53"/>
      <c r="O1829" s="189"/>
      <c r="Q1829" s="53" t="s">
        <v>833</v>
      </c>
    </row>
    <row r="1830" spans="2:17" ht="15.75" x14ac:dyDescent="0.25">
      <c r="B1830" s="53"/>
      <c r="O1830" s="189"/>
      <c r="Q1830" s="53" t="s">
        <v>833</v>
      </c>
    </row>
    <row r="1831" spans="2:17" ht="15.75" x14ac:dyDescent="0.25">
      <c r="B1831" s="53"/>
      <c r="O1831" s="189"/>
      <c r="Q1831" s="53" t="s">
        <v>833</v>
      </c>
    </row>
    <row r="1832" spans="2:17" ht="15.75" x14ac:dyDescent="0.25">
      <c r="B1832" s="53"/>
      <c r="O1832" s="189"/>
      <c r="Q1832" s="53" t="s">
        <v>833</v>
      </c>
    </row>
    <row r="1833" spans="2:17" ht="15.75" x14ac:dyDescent="0.25">
      <c r="B1833" s="53"/>
      <c r="O1833" s="189"/>
      <c r="Q1833" s="53" t="s">
        <v>833</v>
      </c>
    </row>
    <row r="1834" spans="2:17" ht="15.75" x14ac:dyDescent="0.25">
      <c r="B1834" s="53"/>
      <c r="O1834" s="189"/>
      <c r="Q1834" s="53" t="s">
        <v>833</v>
      </c>
    </row>
    <row r="1835" spans="2:17" ht="15.75" x14ac:dyDescent="0.25">
      <c r="B1835" s="53"/>
      <c r="O1835" s="189"/>
      <c r="Q1835" s="53" t="s">
        <v>833</v>
      </c>
    </row>
    <row r="1836" spans="2:17" ht="15.75" x14ac:dyDescent="0.25">
      <c r="B1836" s="53"/>
      <c r="O1836" s="189"/>
      <c r="Q1836" s="53" t="s">
        <v>833</v>
      </c>
    </row>
    <row r="1837" spans="2:17" ht="15.75" x14ac:dyDescent="0.25">
      <c r="B1837" s="53"/>
      <c r="O1837" s="189"/>
      <c r="Q1837" s="53" t="s">
        <v>833</v>
      </c>
    </row>
    <row r="1838" spans="2:17" ht="15.75" x14ac:dyDescent="0.25">
      <c r="B1838" s="53"/>
      <c r="O1838" s="189"/>
      <c r="Q1838" s="53" t="s">
        <v>833</v>
      </c>
    </row>
    <row r="1839" spans="2:17" ht="15.75" x14ac:dyDescent="0.25">
      <c r="B1839" s="53"/>
      <c r="O1839" s="189"/>
      <c r="Q1839" s="53" t="s">
        <v>833</v>
      </c>
    </row>
    <row r="1840" spans="2:17" ht="15.75" x14ac:dyDescent="0.25">
      <c r="B1840" s="53"/>
      <c r="O1840" s="189"/>
      <c r="Q1840" s="53" t="s">
        <v>833</v>
      </c>
    </row>
    <row r="1841" spans="2:17" ht="15.75" x14ac:dyDescent="0.25">
      <c r="B1841" s="53"/>
      <c r="O1841" s="189"/>
      <c r="Q1841" s="53" t="s">
        <v>833</v>
      </c>
    </row>
    <row r="1842" spans="2:17" ht="15.75" x14ac:dyDescent="0.25">
      <c r="B1842" s="53"/>
      <c r="O1842" s="189"/>
      <c r="Q1842" s="53" t="s">
        <v>833</v>
      </c>
    </row>
    <row r="1843" spans="2:17" ht="15.75" x14ac:dyDescent="0.25">
      <c r="B1843" s="53"/>
      <c r="O1843" s="189"/>
      <c r="Q1843" s="53" t="s">
        <v>833</v>
      </c>
    </row>
    <row r="1844" spans="2:17" ht="15.75" x14ac:dyDescent="0.25">
      <c r="B1844" s="53"/>
      <c r="O1844" s="189"/>
      <c r="Q1844" s="53" t="s">
        <v>833</v>
      </c>
    </row>
    <row r="1845" spans="2:17" ht="15.75" x14ac:dyDescent="0.25">
      <c r="B1845" s="53"/>
      <c r="O1845" s="189"/>
      <c r="Q1845" s="53" t="s">
        <v>833</v>
      </c>
    </row>
    <row r="1846" spans="2:17" ht="15.75" x14ac:dyDescent="0.25">
      <c r="B1846" s="53"/>
      <c r="O1846" s="189"/>
      <c r="Q1846" s="53" t="s">
        <v>833</v>
      </c>
    </row>
    <row r="1847" spans="2:17" ht="15.75" x14ac:dyDescent="0.25">
      <c r="B1847" s="53"/>
      <c r="O1847" s="189"/>
      <c r="Q1847" s="53" t="s">
        <v>833</v>
      </c>
    </row>
    <row r="1848" spans="2:17" ht="15.75" x14ac:dyDescent="0.25">
      <c r="B1848" s="53"/>
      <c r="O1848" s="189"/>
      <c r="Q1848" s="53" t="s">
        <v>833</v>
      </c>
    </row>
    <row r="1849" spans="2:17" ht="15.75" x14ac:dyDescent="0.25">
      <c r="B1849" s="53"/>
      <c r="O1849" s="189"/>
      <c r="Q1849" s="53" t="s">
        <v>833</v>
      </c>
    </row>
    <row r="1850" spans="2:17" ht="15.75" x14ac:dyDescent="0.25">
      <c r="B1850" s="53"/>
      <c r="O1850" s="189"/>
      <c r="Q1850" s="53" t="s">
        <v>833</v>
      </c>
    </row>
    <row r="1851" spans="2:17" ht="15.75" x14ac:dyDescent="0.25">
      <c r="B1851" s="53"/>
      <c r="O1851" s="189"/>
      <c r="Q1851" s="53" t="s">
        <v>833</v>
      </c>
    </row>
    <row r="1852" spans="2:17" ht="15.75" x14ac:dyDescent="0.25">
      <c r="B1852" s="53"/>
      <c r="O1852" s="189"/>
      <c r="Q1852" s="53" t="s">
        <v>833</v>
      </c>
    </row>
    <row r="1853" spans="2:17" ht="15.75" x14ac:dyDescent="0.25">
      <c r="B1853" s="53"/>
      <c r="O1853" s="189"/>
      <c r="Q1853" s="53" t="s">
        <v>833</v>
      </c>
    </row>
    <row r="1854" spans="2:17" ht="15.75" x14ac:dyDescent="0.25">
      <c r="B1854" s="53"/>
      <c r="O1854" s="189"/>
      <c r="Q1854" s="53" t="s">
        <v>833</v>
      </c>
    </row>
    <row r="1855" spans="2:17" ht="15.75" x14ac:dyDescent="0.25">
      <c r="B1855" s="53"/>
      <c r="O1855" s="189"/>
      <c r="Q1855" s="53" t="s">
        <v>833</v>
      </c>
    </row>
    <row r="1856" spans="2:17" ht="15.75" x14ac:dyDescent="0.25">
      <c r="B1856" s="53"/>
      <c r="O1856" s="189"/>
      <c r="Q1856" s="53" t="s">
        <v>833</v>
      </c>
    </row>
    <row r="1857" spans="2:17" ht="15.75" x14ac:dyDescent="0.25">
      <c r="B1857" s="53"/>
      <c r="O1857" s="189"/>
      <c r="Q1857" s="53" t="s">
        <v>833</v>
      </c>
    </row>
    <row r="1858" spans="2:17" ht="15.75" x14ac:dyDescent="0.25">
      <c r="B1858" s="53"/>
      <c r="O1858" s="189"/>
      <c r="Q1858" s="53" t="s">
        <v>833</v>
      </c>
    </row>
    <row r="1859" spans="2:17" ht="15.75" x14ac:dyDescent="0.25">
      <c r="B1859" s="53"/>
      <c r="O1859" s="189"/>
      <c r="Q1859" s="53" t="s">
        <v>833</v>
      </c>
    </row>
    <row r="1860" spans="2:17" ht="15.75" x14ac:dyDescent="0.25">
      <c r="B1860" s="53"/>
      <c r="O1860" s="189"/>
      <c r="Q1860" s="53" t="s">
        <v>833</v>
      </c>
    </row>
    <row r="1861" spans="2:17" ht="15.75" x14ac:dyDescent="0.25">
      <c r="B1861" s="53"/>
      <c r="O1861" s="189"/>
      <c r="Q1861" s="53" t="s">
        <v>833</v>
      </c>
    </row>
    <row r="1862" spans="2:17" ht="15.75" x14ac:dyDescent="0.25">
      <c r="B1862" s="53"/>
      <c r="O1862" s="189"/>
      <c r="Q1862" s="53" t="s">
        <v>833</v>
      </c>
    </row>
    <row r="1863" spans="2:17" ht="15.75" x14ac:dyDescent="0.25">
      <c r="B1863" s="53"/>
      <c r="O1863" s="189"/>
      <c r="Q1863" s="53" t="s">
        <v>833</v>
      </c>
    </row>
    <row r="1864" spans="2:17" ht="15.75" x14ac:dyDescent="0.25">
      <c r="B1864" s="53"/>
      <c r="O1864" s="189"/>
      <c r="Q1864" s="53" t="s">
        <v>833</v>
      </c>
    </row>
    <row r="1865" spans="2:17" ht="15.75" x14ac:dyDescent="0.25">
      <c r="B1865" s="53"/>
      <c r="O1865" s="189"/>
      <c r="Q1865" s="53" t="s">
        <v>833</v>
      </c>
    </row>
    <row r="1866" spans="2:17" ht="15.75" x14ac:dyDescent="0.25">
      <c r="B1866" s="53"/>
      <c r="O1866" s="189"/>
      <c r="Q1866" s="53" t="s">
        <v>833</v>
      </c>
    </row>
    <row r="1867" spans="2:17" ht="15.75" x14ac:dyDescent="0.25">
      <c r="B1867" s="53"/>
      <c r="O1867" s="189"/>
      <c r="Q1867" s="53" t="s">
        <v>833</v>
      </c>
    </row>
    <row r="1868" spans="2:17" ht="15.75" x14ac:dyDescent="0.25">
      <c r="B1868" s="53"/>
      <c r="O1868" s="189"/>
      <c r="Q1868" s="53" t="s">
        <v>833</v>
      </c>
    </row>
    <row r="1869" spans="2:17" ht="15.75" x14ac:dyDescent="0.25">
      <c r="B1869" s="53"/>
      <c r="O1869" s="189"/>
      <c r="Q1869" s="53" t="s">
        <v>833</v>
      </c>
    </row>
    <row r="1870" spans="2:17" ht="15.75" x14ac:dyDescent="0.25">
      <c r="B1870" s="53"/>
      <c r="O1870" s="189"/>
      <c r="Q1870" s="53" t="s">
        <v>833</v>
      </c>
    </row>
    <row r="1871" spans="2:17" ht="15.75" x14ac:dyDescent="0.25">
      <c r="B1871" s="53"/>
      <c r="O1871" s="189"/>
      <c r="Q1871" s="53" t="s">
        <v>833</v>
      </c>
    </row>
    <row r="1872" spans="2:17" ht="15.75" x14ac:dyDescent="0.25">
      <c r="B1872" s="53"/>
      <c r="O1872" s="189"/>
      <c r="Q1872" s="53" t="s">
        <v>833</v>
      </c>
    </row>
    <row r="1873" spans="2:17" ht="15.75" x14ac:dyDescent="0.25">
      <c r="B1873" s="53"/>
      <c r="O1873" s="189"/>
      <c r="Q1873" s="53" t="s">
        <v>833</v>
      </c>
    </row>
    <row r="1874" spans="2:17" ht="15.75" x14ac:dyDescent="0.25">
      <c r="B1874" s="53"/>
      <c r="O1874" s="189"/>
      <c r="Q1874" s="53" t="s">
        <v>833</v>
      </c>
    </row>
    <row r="1875" spans="2:17" ht="15.75" x14ac:dyDescent="0.25">
      <c r="B1875" s="53"/>
      <c r="O1875" s="189"/>
      <c r="Q1875" s="53" t="s">
        <v>833</v>
      </c>
    </row>
    <row r="1876" spans="2:17" ht="15.75" x14ac:dyDescent="0.25">
      <c r="B1876" s="53"/>
      <c r="O1876" s="189"/>
      <c r="Q1876" s="53" t="s">
        <v>833</v>
      </c>
    </row>
    <row r="1877" spans="2:17" ht="15.75" x14ac:dyDescent="0.25">
      <c r="B1877" s="53"/>
      <c r="O1877" s="189"/>
      <c r="Q1877" s="53" t="s">
        <v>833</v>
      </c>
    </row>
    <row r="1878" spans="2:17" ht="15.75" x14ac:dyDescent="0.25">
      <c r="B1878" s="53"/>
      <c r="O1878" s="189"/>
      <c r="Q1878" s="53" t="s">
        <v>833</v>
      </c>
    </row>
    <row r="1879" spans="2:17" ht="15.75" x14ac:dyDescent="0.25">
      <c r="B1879" s="53"/>
      <c r="O1879" s="189"/>
      <c r="Q1879" s="53" t="s">
        <v>833</v>
      </c>
    </row>
    <row r="1880" spans="2:17" ht="15.75" x14ac:dyDescent="0.25">
      <c r="B1880" s="53"/>
      <c r="O1880" s="189"/>
      <c r="Q1880" s="53" t="s">
        <v>833</v>
      </c>
    </row>
    <row r="1881" spans="2:17" ht="15.75" x14ac:dyDescent="0.25">
      <c r="B1881" s="53"/>
      <c r="O1881" s="189"/>
      <c r="Q1881" s="53" t="s">
        <v>833</v>
      </c>
    </row>
    <row r="1882" spans="2:17" ht="15.75" x14ac:dyDescent="0.25">
      <c r="B1882" s="53"/>
      <c r="O1882" s="189"/>
      <c r="Q1882" s="53" t="s">
        <v>833</v>
      </c>
    </row>
    <row r="1883" spans="2:17" ht="15.75" x14ac:dyDescent="0.25">
      <c r="B1883" s="53"/>
      <c r="O1883" s="189"/>
      <c r="Q1883" s="53" t="s">
        <v>833</v>
      </c>
    </row>
    <row r="1884" spans="2:17" ht="15.75" x14ac:dyDescent="0.25">
      <c r="B1884" s="53"/>
      <c r="O1884" s="189"/>
      <c r="Q1884" s="53" t="s">
        <v>833</v>
      </c>
    </row>
    <row r="1885" spans="2:17" ht="15.75" x14ac:dyDescent="0.25">
      <c r="B1885" s="53"/>
      <c r="O1885" s="189"/>
      <c r="Q1885" s="53" t="s">
        <v>833</v>
      </c>
    </row>
    <row r="1886" spans="2:17" ht="15.75" x14ac:dyDescent="0.25">
      <c r="B1886" s="53"/>
      <c r="O1886" s="189"/>
      <c r="Q1886" s="53" t="s">
        <v>833</v>
      </c>
    </row>
    <row r="1887" spans="2:17" ht="15.75" x14ac:dyDescent="0.25">
      <c r="B1887" s="53"/>
      <c r="O1887" s="189"/>
      <c r="Q1887" s="53" t="s">
        <v>833</v>
      </c>
    </row>
    <row r="1888" spans="2:17" ht="15.75" x14ac:dyDescent="0.25">
      <c r="B1888" s="53"/>
      <c r="O1888" s="189"/>
      <c r="Q1888" s="53" t="s">
        <v>833</v>
      </c>
    </row>
    <row r="1889" spans="2:17" ht="15.75" x14ac:dyDescent="0.25">
      <c r="B1889" s="53"/>
      <c r="O1889" s="189"/>
      <c r="Q1889" s="53" t="s">
        <v>833</v>
      </c>
    </row>
    <row r="1890" spans="2:17" ht="15.75" x14ac:dyDescent="0.25">
      <c r="B1890" s="53"/>
      <c r="O1890" s="189"/>
      <c r="Q1890" s="53" t="s">
        <v>833</v>
      </c>
    </row>
    <row r="1891" spans="2:17" ht="15.75" x14ac:dyDescent="0.25">
      <c r="B1891" s="53"/>
      <c r="O1891" s="189"/>
      <c r="Q1891" s="53" t="s">
        <v>833</v>
      </c>
    </row>
    <row r="1892" spans="2:17" ht="15.75" x14ac:dyDescent="0.25">
      <c r="B1892" s="53"/>
      <c r="O1892" s="189"/>
      <c r="Q1892" s="53" t="s">
        <v>833</v>
      </c>
    </row>
    <row r="1893" spans="2:17" ht="15.75" x14ac:dyDescent="0.25">
      <c r="B1893" s="53"/>
      <c r="O1893" s="189"/>
      <c r="Q1893" s="53" t="s">
        <v>833</v>
      </c>
    </row>
    <row r="1894" spans="2:17" ht="15.75" x14ac:dyDescent="0.25">
      <c r="B1894" s="53"/>
      <c r="O1894" s="189"/>
      <c r="Q1894" s="53" t="s">
        <v>833</v>
      </c>
    </row>
    <row r="1895" spans="2:17" ht="15.75" x14ac:dyDescent="0.25">
      <c r="B1895" s="53"/>
      <c r="O1895" s="189"/>
      <c r="Q1895" s="53" t="s">
        <v>833</v>
      </c>
    </row>
    <row r="1896" spans="2:17" ht="15.75" x14ac:dyDescent="0.25">
      <c r="B1896" s="53"/>
      <c r="O1896" s="189"/>
      <c r="Q1896" s="53" t="s">
        <v>833</v>
      </c>
    </row>
    <row r="1897" spans="2:17" ht="15.75" x14ac:dyDescent="0.25">
      <c r="B1897" s="53"/>
      <c r="O1897" s="189"/>
      <c r="Q1897" s="53" t="s">
        <v>833</v>
      </c>
    </row>
    <row r="1898" spans="2:17" ht="15.75" x14ac:dyDescent="0.25">
      <c r="B1898" s="53"/>
      <c r="O1898" s="189"/>
      <c r="Q1898" s="53" t="s">
        <v>833</v>
      </c>
    </row>
    <row r="1899" spans="2:17" ht="15.75" x14ac:dyDescent="0.25">
      <c r="B1899" s="53"/>
      <c r="O1899" s="189"/>
      <c r="Q1899" s="53" t="s">
        <v>833</v>
      </c>
    </row>
    <row r="1900" spans="2:17" ht="15.75" x14ac:dyDescent="0.25">
      <c r="B1900" s="53"/>
      <c r="O1900" s="189"/>
      <c r="Q1900" s="53" t="s">
        <v>833</v>
      </c>
    </row>
    <row r="1901" spans="2:17" ht="15.75" x14ac:dyDescent="0.25">
      <c r="B1901" s="53"/>
      <c r="O1901" s="189"/>
      <c r="Q1901" s="53" t="s">
        <v>833</v>
      </c>
    </row>
    <row r="1902" spans="2:17" ht="15.75" x14ac:dyDescent="0.25">
      <c r="B1902" s="53"/>
      <c r="O1902" s="189"/>
      <c r="Q1902" s="53" t="s">
        <v>833</v>
      </c>
    </row>
    <row r="1903" spans="2:17" ht="15.75" x14ac:dyDescent="0.25">
      <c r="B1903" s="53"/>
      <c r="O1903" s="189"/>
      <c r="Q1903" s="53" t="s">
        <v>833</v>
      </c>
    </row>
    <row r="1904" spans="2:17" ht="15.75" x14ac:dyDescent="0.25">
      <c r="B1904" s="53"/>
      <c r="O1904" s="189"/>
      <c r="Q1904" s="53" t="s">
        <v>833</v>
      </c>
    </row>
    <row r="1905" spans="2:17" ht="15.75" x14ac:dyDescent="0.25">
      <c r="B1905" s="53"/>
      <c r="O1905" s="189"/>
      <c r="Q1905" s="53" t="s">
        <v>833</v>
      </c>
    </row>
    <row r="1906" spans="2:17" ht="15.75" x14ac:dyDescent="0.25">
      <c r="B1906" s="53"/>
      <c r="O1906" s="189"/>
      <c r="Q1906" s="53" t="s">
        <v>833</v>
      </c>
    </row>
    <row r="1907" spans="2:17" ht="15.75" x14ac:dyDescent="0.25">
      <c r="B1907" s="53"/>
      <c r="O1907" s="189"/>
      <c r="Q1907" s="53" t="s">
        <v>833</v>
      </c>
    </row>
    <row r="1908" spans="2:17" ht="15.75" x14ac:dyDescent="0.25">
      <c r="B1908" s="53"/>
      <c r="O1908" s="189"/>
      <c r="Q1908" s="53" t="s">
        <v>833</v>
      </c>
    </row>
    <row r="1909" spans="2:17" ht="15.75" x14ac:dyDescent="0.25">
      <c r="B1909" s="53"/>
      <c r="O1909" s="189"/>
      <c r="Q1909" s="53" t="s">
        <v>833</v>
      </c>
    </row>
    <row r="1910" spans="2:17" ht="15.75" x14ac:dyDescent="0.25">
      <c r="B1910" s="53"/>
      <c r="O1910" s="189"/>
      <c r="Q1910" s="53" t="s">
        <v>833</v>
      </c>
    </row>
    <row r="1911" spans="2:17" ht="15.75" x14ac:dyDescent="0.25">
      <c r="B1911" s="53"/>
      <c r="O1911" s="189"/>
      <c r="Q1911" s="53" t="s">
        <v>833</v>
      </c>
    </row>
    <row r="1912" spans="2:17" ht="15.75" x14ac:dyDescent="0.25">
      <c r="B1912" s="53"/>
      <c r="O1912" s="189"/>
      <c r="Q1912" s="53" t="s">
        <v>833</v>
      </c>
    </row>
    <row r="1913" spans="2:17" ht="15.75" x14ac:dyDescent="0.25">
      <c r="B1913" s="53"/>
      <c r="O1913" s="189"/>
      <c r="Q1913" s="53" t="s">
        <v>833</v>
      </c>
    </row>
    <row r="1914" spans="2:17" ht="15.75" x14ac:dyDescent="0.25">
      <c r="B1914" s="53"/>
      <c r="O1914" s="189"/>
      <c r="Q1914" s="53" t="s">
        <v>833</v>
      </c>
    </row>
    <row r="1915" spans="2:17" ht="15.75" x14ac:dyDescent="0.25">
      <c r="B1915" s="53"/>
      <c r="O1915" s="189"/>
      <c r="Q1915" s="53" t="s">
        <v>833</v>
      </c>
    </row>
    <row r="1916" spans="2:17" ht="15.75" x14ac:dyDescent="0.25">
      <c r="B1916" s="53"/>
      <c r="O1916" s="189"/>
      <c r="Q1916" s="53" t="s">
        <v>833</v>
      </c>
    </row>
    <row r="1917" spans="2:17" ht="15.75" x14ac:dyDescent="0.25">
      <c r="B1917" s="53"/>
      <c r="O1917" s="189"/>
      <c r="Q1917" s="53" t="s">
        <v>833</v>
      </c>
    </row>
    <row r="1918" spans="2:17" ht="15.75" x14ac:dyDescent="0.25">
      <c r="B1918" s="53"/>
      <c r="O1918" s="189"/>
      <c r="Q1918" s="53" t="s">
        <v>833</v>
      </c>
    </row>
    <row r="1919" spans="2:17" ht="15.75" x14ac:dyDescent="0.25">
      <c r="B1919" s="53"/>
      <c r="O1919" s="189"/>
      <c r="Q1919" s="53" t="s">
        <v>833</v>
      </c>
    </row>
    <row r="1920" spans="2:17" ht="15.75" x14ac:dyDescent="0.25">
      <c r="B1920" s="53"/>
      <c r="O1920" s="189"/>
      <c r="Q1920" s="53" t="s">
        <v>833</v>
      </c>
    </row>
    <row r="1921" spans="2:17" ht="15.75" x14ac:dyDescent="0.25">
      <c r="B1921" s="53"/>
      <c r="O1921" s="189"/>
      <c r="Q1921" s="53" t="s">
        <v>833</v>
      </c>
    </row>
    <row r="1922" spans="2:17" ht="15.75" x14ac:dyDescent="0.25">
      <c r="B1922" s="53"/>
      <c r="O1922" s="189"/>
      <c r="Q1922" s="53" t="s">
        <v>833</v>
      </c>
    </row>
    <row r="1923" spans="2:17" ht="15.75" x14ac:dyDescent="0.25">
      <c r="B1923" s="53"/>
      <c r="O1923" s="189"/>
      <c r="Q1923" s="53" t="s">
        <v>833</v>
      </c>
    </row>
    <row r="1924" spans="2:17" ht="15.75" x14ac:dyDescent="0.25">
      <c r="B1924" s="53"/>
      <c r="O1924" s="189"/>
      <c r="Q1924" s="53" t="s">
        <v>833</v>
      </c>
    </row>
    <row r="1925" spans="2:17" ht="15.75" x14ac:dyDescent="0.25">
      <c r="B1925" s="53"/>
      <c r="O1925" s="189"/>
      <c r="Q1925" s="53" t="s">
        <v>833</v>
      </c>
    </row>
    <row r="1926" spans="2:17" ht="15.75" x14ac:dyDescent="0.25">
      <c r="B1926" s="53"/>
      <c r="O1926" s="189"/>
      <c r="Q1926" s="53" t="s">
        <v>833</v>
      </c>
    </row>
    <row r="1927" spans="2:17" ht="15.75" x14ac:dyDescent="0.25">
      <c r="B1927" s="53"/>
      <c r="O1927" s="189"/>
      <c r="Q1927" s="53" t="s">
        <v>833</v>
      </c>
    </row>
    <row r="1928" spans="2:17" ht="15.75" x14ac:dyDescent="0.25">
      <c r="B1928" s="53"/>
      <c r="O1928" s="189"/>
      <c r="Q1928" s="53" t="s">
        <v>833</v>
      </c>
    </row>
    <row r="1929" spans="2:17" ht="15.75" x14ac:dyDescent="0.25">
      <c r="B1929" s="53"/>
      <c r="O1929" s="189"/>
      <c r="Q1929" s="53" t="s">
        <v>833</v>
      </c>
    </row>
    <row r="1930" spans="2:17" ht="15.75" x14ac:dyDescent="0.25">
      <c r="B1930" s="53"/>
      <c r="O1930" s="189"/>
      <c r="Q1930" s="53" t="s">
        <v>833</v>
      </c>
    </row>
    <row r="1931" spans="2:17" ht="15.75" x14ac:dyDescent="0.25">
      <c r="B1931" s="53"/>
      <c r="O1931" s="189"/>
      <c r="Q1931" s="53" t="s">
        <v>833</v>
      </c>
    </row>
    <row r="1932" spans="2:17" ht="15.75" x14ac:dyDescent="0.25">
      <c r="B1932" s="53"/>
      <c r="O1932" s="189"/>
      <c r="Q1932" s="53" t="s">
        <v>833</v>
      </c>
    </row>
    <row r="1933" spans="2:17" ht="15.75" x14ac:dyDescent="0.25">
      <c r="B1933" s="53"/>
      <c r="O1933" s="189"/>
      <c r="Q1933" s="53" t="s">
        <v>833</v>
      </c>
    </row>
    <row r="1934" spans="2:17" ht="15.75" x14ac:dyDescent="0.25">
      <c r="B1934" s="53"/>
      <c r="O1934" s="189"/>
      <c r="Q1934" s="53" t="s">
        <v>833</v>
      </c>
    </row>
    <row r="1935" spans="2:17" ht="15.75" x14ac:dyDescent="0.25">
      <c r="B1935" s="53"/>
      <c r="O1935" s="189"/>
      <c r="Q1935" s="53" t="s">
        <v>833</v>
      </c>
    </row>
    <row r="1936" spans="2:17" ht="15.75" x14ac:dyDescent="0.25">
      <c r="B1936" s="53"/>
      <c r="O1936" s="189"/>
      <c r="Q1936" s="53" t="s">
        <v>833</v>
      </c>
    </row>
    <row r="1937" spans="2:17" ht="15.75" x14ac:dyDescent="0.25">
      <c r="B1937" s="53"/>
      <c r="O1937" s="189"/>
      <c r="Q1937" s="53" t="s">
        <v>833</v>
      </c>
    </row>
    <row r="1938" spans="2:17" ht="15.75" x14ac:dyDescent="0.25">
      <c r="B1938" s="53"/>
      <c r="O1938" s="189"/>
      <c r="Q1938" s="53" t="s">
        <v>833</v>
      </c>
    </row>
    <row r="1939" spans="2:17" ht="15.75" x14ac:dyDescent="0.25">
      <c r="B1939" s="53"/>
      <c r="O1939" s="189"/>
      <c r="Q1939" s="53" t="s">
        <v>833</v>
      </c>
    </row>
    <row r="1940" spans="2:17" ht="15.75" x14ac:dyDescent="0.25">
      <c r="B1940" s="53"/>
      <c r="O1940" s="189"/>
      <c r="Q1940" s="53" t="s">
        <v>833</v>
      </c>
    </row>
    <row r="1941" spans="2:17" ht="15.75" x14ac:dyDescent="0.25">
      <c r="B1941" s="53"/>
      <c r="O1941" s="189"/>
      <c r="Q1941" s="53" t="s">
        <v>833</v>
      </c>
    </row>
    <row r="1942" spans="2:17" ht="15.75" x14ac:dyDescent="0.25">
      <c r="B1942" s="53"/>
      <c r="O1942" s="189"/>
      <c r="Q1942" s="53" t="s">
        <v>833</v>
      </c>
    </row>
    <row r="1943" spans="2:17" ht="15.75" x14ac:dyDescent="0.25">
      <c r="B1943" s="53"/>
      <c r="O1943" s="189"/>
      <c r="Q1943" s="53" t="s">
        <v>833</v>
      </c>
    </row>
    <row r="1944" spans="2:17" ht="15.75" x14ac:dyDescent="0.25">
      <c r="B1944" s="53"/>
      <c r="O1944" s="189"/>
      <c r="Q1944" s="53" t="s">
        <v>833</v>
      </c>
    </row>
    <row r="1945" spans="2:17" ht="15.75" x14ac:dyDescent="0.25">
      <c r="B1945" s="53"/>
      <c r="O1945" s="189"/>
      <c r="Q1945" s="53" t="s">
        <v>833</v>
      </c>
    </row>
    <row r="1946" spans="2:17" ht="15.75" x14ac:dyDescent="0.25">
      <c r="B1946" s="53"/>
      <c r="O1946" s="189"/>
      <c r="Q1946" s="53" t="s">
        <v>833</v>
      </c>
    </row>
    <row r="1947" spans="2:17" ht="15.75" x14ac:dyDescent="0.25">
      <c r="B1947" s="53"/>
      <c r="O1947" s="189"/>
      <c r="Q1947" s="53" t="s">
        <v>833</v>
      </c>
    </row>
    <row r="1948" spans="2:17" ht="15.75" x14ac:dyDescent="0.25">
      <c r="B1948" s="53"/>
      <c r="O1948" s="189"/>
      <c r="Q1948" s="53" t="s">
        <v>833</v>
      </c>
    </row>
    <row r="1949" spans="2:17" ht="15.75" x14ac:dyDescent="0.25">
      <c r="B1949" s="53"/>
      <c r="O1949" s="189"/>
      <c r="Q1949" s="53" t="s">
        <v>833</v>
      </c>
    </row>
    <row r="1950" spans="2:17" ht="15.75" x14ac:dyDescent="0.25">
      <c r="B1950" s="53"/>
      <c r="O1950" s="189"/>
      <c r="Q1950" s="53" t="s">
        <v>833</v>
      </c>
    </row>
    <row r="1951" spans="2:17" ht="15.75" x14ac:dyDescent="0.25">
      <c r="B1951" s="53"/>
      <c r="O1951" s="189"/>
      <c r="Q1951" s="53" t="s">
        <v>833</v>
      </c>
    </row>
    <row r="1952" spans="2:17" ht="15.75" x14ac:dyDescent="0.25">
      <c r="B1952" s="53"/>
      <c r="O1952" s="189"/>
      <c r="Q1952" s="53" t="s">
        <v>833</v>
      </c>
    </row>
    <row r="1953" spans="2:19" ht="15.75" x14ac:dyDescent="0.25">
      <c r="B1953" s="53"/>
      <c r="O1953" s="189"/>
      <c r="Q1953" s="53" t="s">
        <v>833</v>
      </c>
    </row>
    <row r="1954" spans="2:19" ht="15.75" x14ac:dyDescent="0.25">
      <c r="B1954" s="53"/>
      <c r="O1954" s="189"/>
      <c r="Q1954" s="53" t="s">
        <v>833</v>
      </c>
    </row>
    <row r="1955" spans="2:19" ht="15.75" x14ac:dyDescent="0.25">
      <c r="B1955" s="53"/>
      <c r="O1955" s="189"/>
      <c r="Q1955" s="53" t="s">
        <v>833</v>
      </c>
    </row>
    <row r="1956" spans="2:19" ht="15.75" x14ac:dyDescent="0.25">
      <c r="B1956" s="53"/>
      <c r="O1956" s="189"/>
      <c r="Q1956" s="53" t="s">
        <v>833</v>
      </c>
    </row>
    <row r="1957" spans="2:19" ht="15.75" x14ac:dyDescent="0.25">
      <c r="B1957" s="53"/>
      <c r="O1957" s="189"/>
      <c r="Q1957" s="53" t="s">
        <v>833</v>
      </c>
    </row>
    <row r="1958" spans="2:19" ht="15.75" x14ac:dyDescent="0.25">
      <c r="B1958" s="53"/>
      <c r="O1958" s="189"/>
      <c r="Q1958" s="53" t="s">
        <v>833</v>
      </c>
    </row>
    <row r="1959" spans="2:19" ht="15.75" x14ac:dyDescent="0.25">
      <c r="B1959" s="53"/>
      <c r="O1959" s="189"/>
      <c r="Q1959" s="53" t="s">
        <v>833</v>
      </c>
    </row>
    <row r="1960" spans="2:19" ht="15.75" x14ac:dyDescent="0.25">
      <c r="B1960" s="53"/>
      <c r="O1960" s="189"/>
      <c r="Q1960" s="53" t="s">
        <v>833</v>
      </c>
    </row>
    <row r="1961" spans="2:19" ht="15.75" x14ac:dyDescent="0.25">
      <c r="B1961" s="53"/>
      <c r="O1961" s="189"/>
      <c r="Q1961" s="53" t="s">
        <v>833</v>
      </c>
    </row>
    <row r="1962" spans="2:19" ht="15.75" x14ac:dyDescent="0.25">
      <c r="B1962" s="53"/>
      <c r="O1962" s="189"/>
      <c r="Q1962" s="53" t="s">
        <v>833</v>
      </c>
    </row>
    <row r="1963" spans="2:19" ht="15.75" x14ac:dyDescent="0.25">
      <c r="B1963" s="53"/>
      <c r="O1963" s="189"/>
      <c r="Q1963" s="53" t="s">
        <v>833</v>
      </c>
      <c r="R1963" s="29"/>
      <c r="S1963" s="29"/>
    </row>
    <row r="1964" spans="2:19" ht="15.75" x14ac:dyDescent="0.25">
      <c r="B1964" s="53"/>
      <c r="O1964" s="189"/>
      <c r="Q1964" s="53" t="s">
        <v>833</v>
      </c>
      <c r="R1964" s="29"/>
      <c r="S1964" s="29"/>
    </row>
    <row r="1965" spans="2:19" ht="15.75" x14ac:dyDescent="0.25">
      <c r="B1965" s="53"/>
      <c r="O1965" s="189"/>
      <c r="Q1965" s="53" t="s">
        <v>833</v>
      </c>
      <c r="R1965" s="29"/>
      <c r="S1965" s="29"/>
    </row>
    <row r="1966" spans="2:19" ht="15.75" x14ac:dyDescent="0.25">
      <c r="B1966" s="53"/>
      <c r="O1966" s="189"/>
      <c r="Q1966" s="53" t="s">
        <v>833</v>
      </c>
      <c r="R1966" s="29"/>
      <c r="S1966" s="29"/>
    </row>
    <row r="1967" spans="2:19" ht="15.75" x14ac:dyDescent="0.25">
      <c r="B1967" s="53"/>
      <c r="O1967" s="189"/>
      <c r="Q1967" s="53" t="s">
        <v>833</v>
      </c>
      <c r="R1967" s="29"/>
      <c r="S1967" s="29"/>
    </row>
    <row r="1968" spans="2:19" ht="15.75" x14ac:dyDescent="0.25">
      <c r="B1968" s="53"/>
      <c r="O1968" s="189"/>
      <c r="Q1968" s="53" t="s">
        <v>833</v>
      </c>
      <c r="R1968" s="29"/>
      <c r="S1968" s="29"/>
    </row>
    <row r="1969" spans="2:19" ht="15.75" x14ac:dyDescent="0.25">
      <c r="B1969" s="53"/>
      <c r="O1969" s="189"/>
      <c r="Q1969" s="53" t="s">
        <v>833</v>
      </c>
      <c r="R1969" s="29"/>
      <c r="S1969" s="29"/>
    </row>
    <row r="1970" spans="2:19" ht="15.75" x14ac:dyDescent="0.25">
      <c r="B1970" s="53"/>
      <c r="O1970" s="189"/>
      <c r="Q1970" s="53" t="s">
        <v>833</v>
      </c>
      <c r="R1970" s="29"/>
      <c r="S1970" s="29"/>
    </row>
    <row r="1971" spans="2:19" ht="15.75" x14ac:dyDescent="0.25">
      <c r="B1971" s="53"/>
      <c r="O1971" s="189"/>
      <c r="Q1971" s="53" t="s">
        <v>833</v>
      </c>
      <c r="R1971" s="29"/>
      <c r="S1971" s="29"/>
    </row>
    <row r="1972" spans="2:19" ht="15.75" x14ac:dyDescent="0.25">
      <c r="B1972" s="53"/>
      <c r="O1972" s="189"/>
      <c r="Q1972" s="53" t="s">
        <v>833</v>
      </c>
      <c r="R1972" s="29"/>
      <c r="S1972" s="29"/>
    </row>
    <row r="1973" spans="2:19" ht="15.75" x14ac:dyDescent="0.25">
      <c r="B1973" s="53"/>
      <c r="O1973" s="189"/>
      <c r="Q1973" s="53" t="s">
        <v>833</v>
      </c>
      <c r="R1973" s="29"/>
      <c r="S1973" s="29"/>
    </row>
    <row r="1974" spans="2:19" ht="15.75" x14ac:dyDescent="0.25">
      <c r="B1974" s="53"/>
      <c r="O1974" s="189"/>
      <c r="Q1974" s="53" t="s">
        <v>833</v>
      </c>
    </row>
    <row r="1975" spans="2:19" ht="15.75" x14ac:dyDescent="0.25">
      <c r="B1975" s="53"/>
      <c r="O1975" s="189"/>
      <c r="Q1975" s="53" t="s">
        <v>833</v>
      </c>
    </row>
    <row r="1976" spans="2:19" ht="15.75" x14ac:dyDescent="0.25">
      <c r="B1976" s="53"/>
      <c r="O1976" s="189"/>
      <c r="Q1976" s="53" t="s">
        <v>833</v>
      </c>
    </row>
    <row r="1977" spans="2:19" ht="15.75" x14ac:dyDescent="0.25">
      <c r="B1977" s="53"/>
      <c r="O1977" s="189"/>
      <c r="Q1977" s="53" t="s">
        <v>833</v>
      </c>
    </row>
    <row r="1978" spans="2:19" ht="15.75" x14ac:dyDescent="0.25">
      <c r="B1978" s="53"/>
      <c r="O1978" s="189"/>
      <c r="Q1978" s="53" t="s">
        <v>833</v>
      </c>
    </row>
    <row r="1979" spans="2:19" ht="15.75" x14ac:dyDescent="0.25">
      <c r="B1979" s="53"/>
      <c r="O1979" s="189"/>
      <c r="Q1979" s="53" t="s">
        <v>833</v>
      </c>
    </row>
    <row r="1980" spans="2:19" ht="15.75" x14ac:dyDescent="0.25">
      <c r="B1980" s="53"/>
      <c r="O1980" s="189"/>
      <c r="Q1980" s="53" t="s">
        <v>833</v>
      </c>
    </row>
    <row r="1981" spans="2:19" ht="15.75" x14ac:dyDescent="0.25">
      <c r="B1981" s="53"/>
      <c r="O1981" s="189"/>
      <c r="Q1981" s="53" t="s">
        <v>833</v>
      </c>
    </row>
    <row r="1982" spans="2:19" ht="15.75" x14ac:dyDescent="0.25">
      <c r="B1982" s="53"/>
      <c r="O1982" s="189"/>
      <c r="Q1982" s="53" t="s">
        <v>833</v>
      </c>
    </row>
    <row r="1983" spans="2:19" ht="15.75" x14ac:dyDescent="0.25">
      <c r="B1983" s="53"/>
      <c r="O1983" s="189"/>
      <c r="Q1983" s="53" t="s">
        <v>833</v>
      </c>
    </row>
    <row r="1984" spans="2:19" ht="15.75" x14ac:dyDescent="0.25">
      <c r="B1984" s="53"/>
      <c r="O1984" s="189"/>
      <c r="Q1984" s="53" t="s">
        <v>833</v>
      </c>
    </row>
    <row r="1985" spans="2:17" ht="15.75" x14ac:dyDescent="0.25">
      <c r="B1985" s="53"/>
      <c r="O1985" s="189"/>
      <c r="Q1985" s="53" t="s">
        <v>833</v>
      </c>
    </row>
    <row r="1986" spans="2:17" ht="15.75" x14ac:dyDescent="0.25">
      <c r="B1986" s="53"/>
      <c r="O1986" s="189"/>
      <c r="Q1986" s="53" t="s">
        <v>833</v>
      </c>
    </row>
    <row r="1987" spans="2:17" ht="15.75" x14ac:dyDescent="0.25">
      <c r="B1987" s="53"/>
      <c r="O1987" s="189"/>
      <c r="Q1987" s="53" t="s">
        <v>833</v>
      </c>
    </row>
    <row r="1988" spans="2:17" ht="15.75" x14ac:dyDescent="0.25">
      <c r="B1988" s="53"/>
      <c r="O1988" s="189"/>
      <c r="Q1988" s="53" t="s">
        <v>833</v>
      </c>
    </row>
    <row r="1989" spans="2:17" ht="15.75" x14ac:dyDescent="0.25">
      <c r="B1989" s="53"/>
      <c r="O1989" s="189"/>
      <c r="Q1989" s="53" t="s">
        <v>833</v>
      </c>
    </row>
    <row r="1990" spans="2:17" ht="15.75" x14ac:dyDescent="0.25">
      <c r="B1990" s="53"/>
      <c r="O1990" s="189"/>
      <c r="Q1990" s="53" t="s">
        <v>833</v>
      </c>
    </row>
    <row r="1991" spans="2:17" ht="15.75" x14ac:dyDescent="0.25">
      <c r="B1991" s="53"/>
      <c r="O1991" s="189"/>
      <c r="Q1991" s="53" t="s">
        <v>833</v>
      </c>
    </row>
    <row r="1992" spans="2:17" ht="15.75" x14ac:dyDescent="0.25">
      <c r="O1992" s="189"/>
      <c r="Q1992" s="53" t="s">
        <v>833</v>
      </c>
    </row>
    <row r="1993" spans="2:17" ht="15.75" x14ac:dyDescent="0.25">
      <c r="O1993" s="189"/>
      <c r="Q1993" s="53" t="s">
        <v>833</v>
      </c>
    </row>
    <row r="1994" spans="2:17" ht="15.75" x14ac:dyDescent="0.25">
      <c r="O1994" s="189"/>
      <c r="Q1994" s="53" t="s">
        <v>833</v>
      </c>
    </row>
    <row r="1995" spans="2:17" ht="15.75" x14ac:dyDescent="0.25">
      <c r="O1995" s="189"/>
      <c r="Q1995" s="53" t="s">
        <v>833</v>
      </c>
    </row>
    <row r="1996" spans="2:17" ht="15.75" x14ac:dyDescent="0.25">
      <c r="O1996" s="189"/>
      <c r="Q1996" s="53" t="s">
        <v>833</v>
      </c>
    </row>
    <row r="1997" spans="2:17" ht="15.75" x14ac:dyDescent="0.25">
      <c r="O1997" s="189"/>
      <c r="Q1997" s="53" t="s">
        <v>833</v>
      </c>
    </row>
    <row r="1998" spans="2:17" ht="15.75" x14ac:dyDescent="0.25">
      <c r="O1998" s="189"/>
      <c r="Q1998" s="53" t="s">
        <v>833</v>
      </c>
    </row>
    <row r="1999" spans="2:17" ht="15.75" x14ac:dyDescent="0.25">
      <c r="O1999" s="189"/>
      <c r="Q1999" s="53"/>
    </row>
    <row r="2002" spans="2:2" x14ac:dyDescent="0.25">
      <c r="B2002" s="53"/>
    </row>
    <row r="2003" spans="2:2" x14ac:dyDescent="0.25">
      <c r="B2003" s="53"/>
    </row>
    <row r="2004" spans="2:2" x14ac:dyDescent="0.25">
      <c r="B2004" s="53"/>
    </row>
    <row r="2005" spans="2:2" x14ac:dyDescent="0.25">
      <c r="B2005" s="53"/>
    </row>
    <row r="2006" spans="2:2" x14ac:dyDescent="0.25">
      <c r="B2006" s="53"/>
    </row>
    <row r="2007" spans="2:2" x14ac:dyDescent="0.25">
      <c r="B2007" s="53"/>
    </row>
    <row r="2008" spans="2:2" x14ac:dyDescent="0.25">
      <c r="B2008" s="53"/>
    </row>
    <row r="2009" spans="2:2" x14ac:dyDescent="0.25">
      <c r="B2009" s="53"/>
    </row>
    <row r="2010" spans="2:2" x14ac:dyDescent="0.25">
      <c r="B2010" s="53"/>
    </row>
    <row r="2011" spans="2:2" x14ac:dyDescent="0.25">
      <c r="B2011" s="53"/>
    </row>
    <row r="2012" spans="2:2" x14ac:dyDescent="0.25">
      <c r="B2012" s="53"/>
    </row>
    <row r="2013" spans="2:2" x14ac:dyDescent="0.25">
      <c r="B2013" s="53"/>
    </row>
    <row r="2014" spans="2:2" x14ac:dyDescent="0.25">
      <c r="B2014" s="53"/>
    </row>
    <row r="2015" spans="2:2" x14ac:dyDescent="0.25">
      <c r="B2015" s="53"/>
    </row>
    <row r="2016" spans="2:2" x14ac:dyDescent="0.25">
      <c r="B2016" s="53"/>
    </row>
    <row r="2017" spans="2:2" x14ac:dyDescent="0.25">
      <c r="B2017" s="53"/>
    </row>
    <row r="2018" spans="2:2" x14ac:dyDescent="0.25">
      <c r="B2018" s="53"/>
    </row>
    <row r="2019" spans="2:2" x14ac:dyDescent="0.25">
      <c r="B2019" s="53"/>
    </row>
    <row r="2020" spans="2:2" x14ac:dyDescent="0.25">
      <c r="B2020" s="53"/>
    </row>
    <row r="2021" spans="2:2" x14ac:dyDescent="0.25">
      <c r="B2021" s="53"/>
    </row>
    <row r="2022" spans="2:2" x14ac:dyDescent="0.25">
      <c r="B2022" s="53"/>
    </row>
    <row r="2023" spans="2:2" x14ac:dyDescent="0.25">
      <c r="B2023" s="53"/>
    </row>
    <row r="2024" spans="2:2" x14ac:dyDescent="0.25">
      <c r="B2024" s="53"/>
    </row>
    <row r="2025" spans="2:2" x14ac:dyDescent="0.25">
      <c r="B2025" s="53"/>
    </row>
    <row r="2026" spans="2:2" x14ac:dyDescent="0.25">
      <c r="B2026" s="53"/>
    </row>
    <row r="2027" spans="2:2" x14ac:dyDescent="0.25">
      <c r="B2027" s="53"/>
    </row>
    <row r="2028" spans="2:2" x14ac:dyDescent="0.25">
      <c r="B2028" s="53"/>
    </row>
    <row r="2029" spans="2:2" x14ac:dyDescent="0.25">
      <c r="B2029" s="53"/>
    </row>
    <row r="2030" spans="2:2" x14ac:dyDescent="0.25">
      <c r="B2030" s="53"/>
    </row>
    <row r="2031" spans="2:2" x14ac:dyDescent="0.25">
      <c r="B2031" s="53"/>
    </row>
    <row r="2032" spans="2:2" x14ac:dyDescent="0.25">
      <c r="B2032" s="53"/>
    </row>
    <row r="2033" spans="2:2" x14ac:dyDescent="0.25">
      <c r="B2033" s="53"/>
    </row>
    <row r="2034" spans="2:2" x14ac:dyDescent="0.25">
      <c r="B2034" s="53"/>
    </row>
    <row r="2035" spans="2:2" x14ac:dyDescent="0.25">
      <c r="B2035" s="53"/>
    </row>
    <row r="2036" spans="2:2" x14ac:dyDescent="0.25">
      <c r="B2036" s="53"/>
    </row>
    <row r="2037" spans="2:2" x14ac:dyDescent="0.25">
      <c r="B2037" s="53"/>
    </row>
    <row r="2038" spans="2:2" x14ac:dyDescent="0.25">
      <c r="B2038" s="53"/>
    </row>
    <row r="2039" spans="2:2" x14ac:dyDescent="0.25">
      <c r="B2039" s="53"/>
    </row>
    <row r="2040" spans="2:2" x14ac:dyDescent="0.25">
      <c r="B2040" s="53"/>
    </row>
    <row r="2041" spans="2:2" x14ac:dyDescent="0.25">
      <c r="B2041" s="53"/>
    </row>
    <row r="2042" spans="2:2" x14ac:dyDescent="0.25">
      <c r="B2042" s="53"/>
    </row>
    <row r="2043" spans="2:2" x14ac:dyDescent="0.25">
      <c r="B2043" s="53"/>
    </row>
    <row r="2044" spans="2:2" x14ac:dyDescent="0.25">
      <c r="B2044" s="53"/>
    </row>
    <row r="2045" spans="2:2" x14ac:dyDescent="0.25">
      <c r="B2045" s="53"/>
    </row>
    <row r="2046" spans="2:2" x14ac:dyDescent="0.25">
      <c r="B2046" s="53"/>
    </row>
    <row r="2047" spans="2:2" x14ac:dyDescent="0.25">
      <c r="B2047" s="53"/>
    </row>
    <row r="2048" spans="2:2" x14ac:dyDescent="0.25">
      <c r="B2048" s="53"/>
    </row>
    <row r="2049" spans="2:2" x14ac:dyDescent="0.25">
      <c r="B2049" s="53"/>
    </row>
    <row r="2050" spans="2:2" x14ac:dyDescent="0.25">
      <c r="B2050" s="53"/>
    </row>
    <row r="2051" spans="2:2" x14ac:dyDescent="0.25">
      <c r="B2051" s="53"/>
    </row>
    <row r="2052" spans="2:2" x14ac:dyDescent="0.25">
      <c r="B2052" s="53"/>
    </row>
    <row r="2053" spans="2:2" x14ac:dyDescent="0.25">
      <c r="B2053" s="53"/>
    </row>
    <row r="2054" spans="2:2" x14ac:dyDescent="0.25">
      <c r="B2054" s="53"/>
    </row>
    <row r="2055" spans="2:2" x14ac:dyDescent="0.25">
      <c r="B2055" s="53"/>
    </row>
    <row r="2056" spans="2:2" x14ac:dyDescent="0.25">
      <c r="B2056" s="53"/>
    </row>
    <row r="2057" spans="2:2" x14ac:dyDescent="0.25">
      <c r="B2057" s="53"/>
    </row>
    <row r="2058" spans="2:2" x14ac:dyDescent="0.25">
      <c r="B2058" s="53"/>
    </row>
    <row r="2059" spans="2:2" x14ac:dyDescent="0.25">
      <c r="B2059" s="53"/>
    </row>
    <row r="2060" spans="2:2" x14ac:dyDescent="0.25">
      <c r="B2060" s="53"/>
    </row>
    <row r="2061" spans="2:2" x14ac:dyDescent="0.25">
      <c r="B2061" s="53"/>
    </row>
    <row r="2062" spans="2:2" x14ac:dyDescent="0.25">
      <c r="B2062" s="53"/>
    </row>
    <row r="2063" spans="2:2" x14ac:dyDescent="0.25">
      <c r="B2063" s="53"/>
    </row>
    <row r="2064" spans="2:2" x14ac:dyDescent="0.25">
      <c r="B2064" s="53"/>
    </row>
    <row r="2065" spans="2:2" x14ac:dyDescent="0.25">
      <c r="B2065" s="53"/>
    </row>
    <row r="2066" spans="2:2" x14ac:dyDescent="0.25">
      <c r="B2066" s="53"/>
    </row>
    <row r="2067" spans="2:2" x14ac:dyDescent="0.25">
      <c r="B2067" s="53"/>
    </row>
    <row r="2068" spans="2:2" x14ac:dyDescent="0.25">
      <c r="B2068" s="53"/>
    </row>
    <row r="2069" spans="2:2" x14ac:dyDescent="0.25">
      <c r="B2069" s="53"/>
    </row>
    <row r="2070" spans="2:2" x14ac:dyDescent="0.25">
      <c r="B2070" s="53"/>
    </row>
    <row r="2071" spans="2:2" x14ac:dyDescent="0.25">
      <c r="B2071" s="53"/>
    </row>
    <row r="2072" spans="2:2" x14ac:dyDescent="0.25">
      <c r="B2072" s="53"/>
    </row>
    <row r="2073" spans="2:2" x14ac:dyDescent="0.25">
      <c r="B2073" s="53"/>
    </row>
    <row r="2074" spans="2:2" x14ac:dyDescent="0.25">
      <c r="B2074" s="53"/>
    </row>
    <row r="2075" spans="2:2" x14ac:dyDescent="0.25">
      <c r="B2075" s="53"/>
    </row>
    <row r="2076" spans="2:2" x14ac:dyDescent="0.25">
      <c r="B2076" s="53"/>
    </row>
    <row r="2077" spans="2:2" x14ac:dyDescent="0.25">
      <c r="B2077" s="53"/>
    </row>
    <row r="2078" spans="2:2" x14ac:dyDescent="0.25">
      <c r="B2078" s="53"/>
    </row>
    <row r="2079" spans="2:2" x14ac:dyDescent="0.25">
      <c r="B2079" s="53"/>
    </row>
    <row r="2080" spans="2:2" x14ac:dyDescent="0.25">
      <c r="B2080" s="53"/>
    </row>
    <row r="2081" spans="2:2" x14ac:dyDescent="0.25">
      <c r="B2081" s="53"/>
    </row>
    <row r="2082" spans="2:2" x14ac:dyDescent="0.25">
      <c r="B2082" s="53"/>
    </row>
    <row r="2083" spans="2:2" x14ac:dyDescent="0.25">
      <c r="B2083" s="53"/>
    </row>
    <row r="2084" spans="2:2" x14ac:dyDescent="0.25">
      <c r="B2084" s="53"/>
    </row>
    <row r="2085" spans="2:2" x14ac:dyDescent="0.25">
      <c r="B2085" s="53"/>
    </row>
    <row r="2086" spans="2:2" x14ac:dyDescent="0.25">
      <c r="B2086" s="53"/>
    </row>
    <row r="2087" spans="2:2" x14ac:dyDescent="0.25">
      <c r="B2087" s="53"/>
    </row>
    <row r="2088" spans="2:2" x14ac:dyDescent="0.25">
      <c r="B2088" s="53"/>
    </row>
    <row r="2089" spans="2:2" x14ac:dyDescent="0.25">
      <c r="B2089" s="53"/>
    </row>
    <row r="2090" spans="2:2" x14ac:dyDescent="0.25">
      <c r="B2090" s="53"/>
    </row>
    <row r="2091" spans="2:2" x14ac:dyDescent="0.25">
      <c r="B2091" s="53"/>
    </row>
    <row r="2092" spans="2:2" x14ac:dyDescent="0.25">
      <c r="B2092" s="53"/>
    </row>
    <row r="2093" spans="2:2" x14ac:dyDescent="0.25">
      <c r="B2093" s="53"/>
    </row>
    <row r="2094" spans="2:2" x14ac:dyDescent="0.25">
      <c r="B2094" s="53"/>
    </row>
    <row r="2095" spans="2:2" x14ac:dyDescent="0.25">
      <c r="B2095" s="53"/>
    </row>
    <row r="2096" spans="2:2" x14ac:dyDescent="0.25">
      <c r="B2096" s="53"/>
    </row>
    <row r="2097" spans="2:2" x14ac:dyDescent="0.25">
      <c r="B2097" s="53"/>
    </row>
    <row r="2098" spans="2:2" x14ac:dyDescent="0.25">
      <c r="B2098" s="53"/>
    </row>
    <row r="2099" spans="2:2" x14ac:dyDescent="0.25">
      <c r="B2099" s="53"/>
    </row>
    <row r="2100" spans="2:2" x14ac:dyDescent="0.25">
      <c r="B2100" s="53"/>
    </row>
    <row r="2101" spans="2:2" x14ac:dyDescent="0.25">
      <c r="B2101" s="53"/>
    </row>
    <row r="2102" spans="2:2" x14ac:dyDescent="0.25">
      <c r="B2102" s="53"/>
    </row>
    <row r="2103" spans="2:2" x14ac:dyDescent="0.25">
      <c r="B2103" s="53"/>
    </row>
    <row r="2104" spans="2:2" x14ac:dyDescent="0.25">
      <c r="B2104" s="53"/>
    </row>
    <row r="2105" spans="2:2" x14ac:dyDescent="0.25">
      <c r="B2105" s="53"/>
    </row>
    <row r="2106" spans="2:2" x14ac:dyDescent="0.25">
      <c r="B2106" s="53"/>
    </row>
    <row r="2107" spans="2:2" x14ac:dyDescent="0.25">
      <c r="B2107" s="53"/>
    </row>
    <row r="2108" spans="2:2" x14ac:dyDescent="0.25">
      <c r="B2108" s="53"/>
    </row>
    <row r="2109" spans="2:2" x14ac:dyDescent="0.25">
      <c r="B2109" s="53"/>
    </row>
    <row r="2110" spans="2:2" x14ac:dyDescent="0.25">
      <c r="B2110" s="53"/>
    </row>
    <row r="2111" spans="2:2" x14ac:dyDescent="0.25">
      <c r="B2111" s="53"/>
    </row>
    <row r="2112" spans="2:2" x14ac:dyDescent="0.25">
      <c r="B2112" s="53"/>
    </row>
    <row r="2113" spans="2:2" x14ac:dyDescent="0.25">
      <c r="B2113" s="53"/>
    </row>
    <row r="2114" spans="2:2" x14ac:dyDescent="0.25">
      <c r="B2114" s="53"/>
    </row>
    <row r="2115" spans="2:2" x14ac:dyDescent="0.25">
      <c r="B2115" s="53"/>
    </row>
    <row r="2116" spans="2:2" x14ac:dyDescent="0.25">
      <c r="B2116" s="53"/>
    </row>
    <row r="2117" spans="2:2" x14ac:dyDescent="0.25">
      <c r="B2117" s="53"/>
    </row>
    <row r="2118" spans="2:2" x14ac:dyDescent="0.25">
      <c r="B2118" s="53"/>
    </row>
    <row r="2119" spans="2:2" x14ac:dyDescent="0.25">
      <c r="B2119" s="53"/>
    </row>
    <row r="2120" spans="2:2" x14ac:dyDescent="0.25">
      <c r="B2120" s="53"/>
    </row>
    <row r="2121" spans="2:2" x14ac:dyDescent="0.25">
      <c r="B2121" s="53"/>
    </row>
    <row r="2122" spans="2:2" x14ac:dyDescent="0.25">
      <c r="B2122" s="53"/>
    </row>
    <row r="2123" spans="2:2" x14ac:dyDescent="0.25">
      <c r="B2123" s="53"/>
    </row>
    <row r="2124" spans="2:2" x14ac:dyDescent="0.25">
      <c r="B2124" s="53"/>
    </row>
    <row r="2125" spans="2:2" x14ac:dyDescent="0.25">
      <c r="B2125" s="53"/>
    </row>
    <row r="2126" spans="2:2" x14ac:dyDescent="0.25">
      <c r="B2126" s="53"/>
    </row>
    <row r="2127" spans="2:2" x14ac:dyDescent="0.25">
      <c r="B2127" s="53"/>
    </row>
    <row r="2128" spans="2:2" x14ac:dyDescent="0.25">
      <c r="B2128" s="53"/>
    </row>
    <row r="2129" spans="2:2" x14ac:dyDescent="0.25">
      <c r="B2129" s="53"/>
    </row>
    <row r="2130" spans="2:2" x14ac:dyDescent="0.25">
      <c r="B2130" s="53"/>
    </row>
    <row r="2131" spans="2:2" x14ac:dyDescent="0.25">
      <c r="B2131" s="53"/>
    </row>
    <row r="2132" spans="2:2" x14ac:dyDescent="0.25">
      <c r="B2132" s="53"/>
    </row>
    <row r="2133" spans="2:2" x14ac:dyDescent="0.25">
      <c r="B2133" s="53"/>
    </row>
    <row r="2134" spans="2:2" x14ac:dyDescent="0.25">
      <c r="B2134" s="53"/>
    </row>
    <row r="2135" spans="2:2" x14ac:dyDescent="0.25">
      <c r="B2135" s="53"/>
    </row>
    <row r="2136" spans="2:2" x14ac:dyDescent="0.25">
      <c r="B2136" s="53"/>
    </row>
    <row r="2137" spans="2:2" x14ac:dyDescent="0.25">
      <c r="B2137" s="53"/>
    </row>
    <row r="2138" spans="2:2" x14ac:dyDescent="0.25">
      <c r="B2138" s="53"/>
    </row>
    <row r="2139" spans="2:2" x14ac:dyDescent="0.25">
      <c r="B2139" s="53"/>
    </row>
    <row r="2140" spans="2:2" x14ac:dyDescent="0.25">
      <c r="B2140" s="53"/>
    </row>
    <row r="2141" spans="2:2" x14ac:dyDescent="0.25">
      <c r="B2141" s="53"/>
    </row>
    <row r="2142" spans="2:2" x14ac:dyDescent="0.25">
      <c r="B2142" s="53"/>
    </row>
    <row r="2143" spans="2:2" x14ac:dyDescent="0.25">
      <c r="B2143" s="53"/>
    </row>
    <row r="2144" spans="2:2" x14ac:dyDescent="0.25">
      <c r="B2144" s="53"/>
    </row>
    <row r="2145" spans="2:2" x14ac:dyDescent="0.25">
      <c r="B2145" s="53"/>
    </row>
    <row r="2146" spans="2:2" x14ac:dyDescent="0.25">
      <c r="B2146" s="53"/>
    </row>
    <row r="2147" spans="2:2" x14ac:dyDescent="0.25">
      <c r="B2147" s="53"/>
    </row>
    <row r="2148" spans="2:2" x14ac:dyDescent="0.25">
      <c r="B2148" s="53"/>
    </row>
    <row r="2149" spans="2:2" x14ac:dyDescent="0.25">
      <c r="B2149" s="53"/>
    </row>
    <row r="2150" spans="2:2" x14ac:dyDescent="0.25">
      <c r="B2150" s="53"/>
    </row>
    <row r="2151" spans="2:2" x14ac:dyDescent="0.25">
      <c r="B2151" s="53"/>
    </row>
    <row r="2152" spans="2:2" x14ac:dyDescent="0.25">
      <c r="B2152" s="53"/>
    </row>
    <row r="2153" spans="2:2" x14ac:dyDescent="0.25">
      <c r="B2153" s="53"/>
    </row>
    <row r="2154" spans="2:2" x14ac:dyDescent="0.25">
      <c r="B2154" s="53"/>
    </row>
    <row r="2155" spans="2:2" x14ac:dyDescent="0.25">
      <c r="B2155" s="53"/>
    </row>
    <row r="2156" spans="2:2" x14ac:dyDescent="0.25">
      <c r="B2156" s="53"/>
    </row>
    <row r="2157" spans="2:2" x14ac:dyDescent="0.25">
      <c r="B2157" s="53"/>
    </row>
    <row r="2158" spans="2:2" x14ac:dyDescent="0.25">
      <c r="B2158" s="53"/>
    </row>
    <row r="2159" spans="2:2" x14ac:dyDescent="0.25">
      <c r="B2159" s="53"/>
    </row>
    <row r="2160" spans="2:2" x14ac:dyDescent="0.25">
      <c r="B2160" s="53"/>
    </row>
    <row r="2161" spans="2:2" x14ac:dyDescent="0.25">
      <c r="B2161" s="53"/>
    </row>
    <row r="2162" spans="2:2" x14ac:dyDescent="0.25">
      <c r="B2162" s="53"/>
    </row>
    <row r="2163" spans="2:2" x14ac:dyDescent="0.25">
      <c r="B2163" s="53"/>
    </row>
    <row r="2164" spans="2:2" x14ac:dyDescent="0.25">
      <c r="B2164" s="53"/>
    </row>
    <row r="2165" spans="2:2" x14ac:dyDescent="0.25">
      <c r="B2165" s="53"/>
    </row>
    <row r="2166" spans="2:2" x14ac:dyDescent="0.25">
      <c r="B2166" s="53"/>
    </row>
    <row r="2167" spans="2:2" x14ac:dyDescent="0.25">
      <c r="B2167" s="53"/>
    </row>
    <row r="2168" spans="2:2" x14ac:dyDescent="0.25">
      <c r="B2168" s="53"/>
    </row>
    <row r="2169" spans="2:2" x14ac:dyDescent="0.25">
      <c r="B2169" s="53"/>
    </row>
    <row r="2170" spans="2:2" x14ac:dyDescent="0.25">
      <c r="B2170" s="53"/>
    </row>
    <row r="2171" spans="2:2" x14ac:dyDescent="0.25">
      <c r="B2171" s="53"/>
    </row>
    <row r="2172" spans="2:2" x14ac:dyDescent="0.25">
      <c r="B2172" s="53"/>
    </row>
    <row r="2173" spans="2:2" x14ac:dyDescent="0.25">
      <c r="B2173" s="53"/>
    </row>
    <row r="2174" spans="2:2" x14ac:dyDescent="0.25">
      <c r="B2174" s="53"/>
    </row>
    <row r="2175" spans="2:2" x14ac:dyDescent="0.25">
      <c r="B2175" s="53"/>
    </row>
    <row r="2176" spans="2:2" x14ac:dyDescent="0.25">
      <c r="B2176" s="53"/>
    </row>
    <row r="2177" spans="2:2" x14ac:dyDescent="0.25">
      <c r="B2177" s="53"/>
    </row>
    <row r="2178" spans="2:2" x14ac:dyDescent="0.25">
      <c r="B2178" s="53"/>
    </row>
    <row r="2179" spans="2:2" x14ac:dyDescent="0.25">
      <c r="B2179" s="53"/>
    </row>
    <row r="2180" spans="2:2" x14ac:dyDescent="0.25">
      <c r="B2180" s="53"/>
    </row>
    <row r="2181" spans="2:2" x14ac:dyDescent="0.25">
      <c r="B2181" s="53"/>
    </row>
    <row r="2182" spans="2:2" x14ac:dyDescent="0.25">
      <c r="B2182" s="53"/>
    </row>
    <row r="2183" spans="2:2" x14ac:dyDescent="0.25">
      <c r="B2183" s="53"/>
    </row>
    <row r="2184" spans="2:2" x14ac:dyDescent="0.25">
      <c r="B2184" s="53"/>
    </row>
    <row r="2185" spans="2:2" x14ac:dyDescent="0.25">
      <c r="B2185" s="53"/>
    </row>
    <row r="2186" spans="2:2" x14ac:dyDescent="0.25">
      <c r="B2186" s="53"/>
    </row>
    <row r="2187" spans="2:2" x14ac:dyDescent="0.25">
      <c r="B2187" s="53"/>
    </row>
    <row r="2188" spans="2:2" x14ac:dyDescent="0.25">
      <c r="B2188" s="53"/>
    </row>
    <row r="2189" spans="2:2" x14ac:dyDescent="0.25">
      <c r="B2189" s="53"/>
    </row>
    <row r="2190" spans="2:2" x14ac:dyDescent="0.25">
      <c r="B2190" s="53"/>
    </row>
    <row r="2191" spans="2:2" x14ac:dyDescent="0.25">
      <c r="B2191" s="53"/>
    </row>
    <row r="2192" spans="2:2" x14ac:dyDescent="0.25">
      <c r="B2192" s="53"/>
    </row>
    <row r="2193" spans="2:2" x14ac:dyDescent="0.25">
      <c r="B2193" s="53"/>
    </row>
    <row r="2194" spans="2:2" x14ac:dyDescent="0.25">
      <c r="B2194" s="53"/>
    </row>
    <row r="2195" spans="2:2" x14ac:dyDescent="0.25">
      <c r="B2195" s="53"/>
    </row>
    <row r="2196" spans="2:2" x14ac:dyDescent="0.25">
      <c r="B2196" s="53"/>
    </row>
    <row r="2197" spans="2:2" x14ac:dyDescent="0.25">
      <c r="B2197" s="53"/>
    </row>
    <row r="2198" spans="2:2" x14ac:dyDescent="0.25">
      <c r="B2198" s="53"/>
    </row>
    <row r="2199" spans="2:2" x14ac:dyDescent="0.25">
      <c r="B2199" s="53"/>
    </row>
    <row r="2200" spans="2:2" x14ac:dyDescent="0.25">
      <c r="B2200" s="53"/>
    </row>
    <row r="2201" spans="2:2" x14ac:dyDescent="0.25">
      <c r="B2201" s="53"/>
    </row>
    <row r="2202" spans="2:2" x14ac:dyDescent="0.25">
      <c r="B2202" s="53"/>
    </row>
    <row r="2203" spans="2:2" x14ac:dyDescent="0.25">
      <c r="B2203" s="53"/>
    </row>
    <row r="2204" spans="2:2" x14ac:dyDescent="0.25">
      <c r="B2204" s="53"/>
    </row>
    <row r="2205" spans="2:2" x14ac:dyDescent="0.25">
      <c r="B2205" s="53"/>
    </row>
    <row r="2206" spans="2:2" x14ac:dyDescent="0.25">
      <c r="B2206" s="53"/>
    </row>
    <row r="2207" spans="2:2" x14ac:dyDescent="0.25">
      <c r="B2207" s="53"/>
    </row>
    <row r="2208" spans="2:2" x14ac:dyDescent="0.25">
      <c r="B2208" s="53"/>
    </row>
    <row r="2209" spans="2:2" x14ac:dyDescent="0.25">
      <c r="B2209" s="53"/>
    </row>
    <row r="2210" spans="2:2" x14ac:dyDescent="0.25">
      <c r="B2210" s="53"/>
    </row>
    <row r="2211" spans="2:2" x14ac:dyDescent="0.25">
      <c r="B2211" s="53"/>
    </row>
    <row r="2212" spans="2:2" x14ac:dyDescent="0.25">
      <c r="B2212" s="53"/>
    </row>
    <row r="2213" spans="2:2" x14ac:dyDescent="0.25">
      <c r="B2213" s="53"/>
    </row>
    <row r="2214" spans="2:2" x14ac:dyDescent="0.25">
      <c r="B2214" s="53"/>
    </row>
    <row r="2215" spans="2:2" x14ac:dyDescent="0.25">
      <c r="B2215" s="53"/>
    </row>
    <row r="2216" spans="2:2" x14ac:dyDescent="0.25">
      <c r="B2216" s="53"/>
    </row>
    <row r="2217" spans="2:2" x14ac:dyDescent="0.25">
      <c r="B2217" s="53"/>
    </row>
  </sheetData>
  <sortState ref="A2:W1999">
    <sortCondition ref="A2:A2219"/>
  </sortState>
  <dataValidations count="9">
    <dataValidation type="list" allowBlank="1" showInputMessage="1" showErrorMessage="1" sqref="H2:H251 H255:H679 H682:H727 H729:H859 H861:H898 H900 H902:H1999">
      <formula1>"HO3 Primary, HO3 Primary w/Rental, HO3 Seas/Sec, HO3 Seas/Sec w/Rental, HO3 Builders Risk, HO6, HO8, DP3 Rental, DP3 Builders Risk, DP3 Vacant, DP1"</formula1>
    </dataValidation>
    <dataValidation type="list" allowBlank="1" showInputMessage="1" showErrorMessage="1" sqref="Q1:Q251 Q255:Q679 Q682:Q1999">
      <formula1>"Approve, Approve/Subj, Converted, Pend, Decline"</formula1>
    </dataValidation>
    <dataValidation type="list" allowBlank="1" showInputMessage="1" showErrorMessage="1" sqref="B1:B251 B255:B620 B1992:B1998 B709">
      <formula1>"ASL, All Risks, Bolton, Burns, Burns NC, Hull Horsham, Hull Charlotte, Hull Irvine, Hull Stockton, JM Wilson, J &amp; J, Jimcor, Quaker, RPS Covington, RPS Scottsdale, SCU, TPI, XS Brokers"</formula1>
    </dataValidation>
    <dataValidation type="list" allowBlank="1" showInputMessage="1" showErrorMessage="1" sqref="O2:O251 O255:O679 O682:O1985">
      <formula1>"Age of Home, Builders Risk, Business on Premises, Condition, Heat Source, High Profile, Losses, Occupancy/Use, Other UW Reason, PC, Prior Lapse/NRN, Rate, TIV"</formula1>
    </dataValidation>
    <dataValidation type="list" allowBlank="1" showInputMessage="1" showErrorMessage="1" sqref="O252:O254 O680:O681 O1986:O1999 O2002:O1048576">
      <formula1>"Builders Risk, Business on Premises, Condition, Heat Source, High Profile, Losses, Occupancy/Use, Other UW Reason, PC, Prior Lapse/NRN, Rate, TIV"</formula1>
    </dataValidation>
    <dataValidation type="list" allowBlank="1" showInputMessage="1" showErrorMessage="1" sqref="B2002:B2217 B621:B708 B710:B816 B819:B900 B902:B1991">
      <formula1>"ASL, All Risks, AmWINS, Appalachian, Bolton, Burns, Burns NC, Hull Horsham, Hull Charlotte, Hull Irvine, Hull Stockton, JM Wilson, J &amp; J, Jimcor, Quaker, RPS Covington, RPS Scottsdale, SCU, TPI, XS Brokers"</formula1>
    </dataValidation>
    <dataValidation type="list" allowBlank="1" showInputMessage="1" showErrorMessage="1" sqref="H728">
      <formula1>"HO3 Primary, HO3 Primary w/Rental, HO3 Seas/Sec, HO3 Seas/Sec w/Rental, HO3 Builders Risk, HO6, HO8, DP3 Primary, DP3 Rental, DP3 Builders Risk, DP3 Vacant, DP1"</formula1>
    </dataValidation>
    <dataValidation type="list" allowBlank="1" showInputMessage="1" showErrorMessage="1" sqref="H860">
      <formula1>"HO3 Primary, HO3 Primary w/Rental, HO3 Seas/Sec, HO3 Seas/Sec w/Rental, HO3 Builders Risk, HO6, HO8, DP3 Rental, DP3 Builders Risk, DP3 Seasonal, DP3 Vacant, DP1"</formula1>
    </dataValidation>
    <dataValidation type="list" allowBlank="1" showInputMessage="1" showErrorMessage="1" sqref="B901">
      <formula1>"ASL, All Risks, Bolton, Burns, Burns NC, Hull Horsham, Hull Charlotte, Hull Irvine, Hull Stockton, J &amp; J, Jimcor, Quaker, RPS Covington, RPS Scottsdale, SCU, TPI, XS Brokers"</formula1>
    </dataValidation>
  </dataValidations>
  <pageMargins left="0.7" right="0.7" top="0.75" bottom="0.75" header="0.3" footer="0.3"/>
  <pageSetup orientation="portrait" r:id="rId1"/>
  <ignoredErrors>
    <ignoredError sqref="K868" numberStoredAsText="1"/>
  </ignoredErrors>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W2119"/>
  <sheetViews>
    <sheetView topLeftCell="O1" zoomScale="90" zoomScaleNormal="90" workbookViewId="0">
      <pane ySplit="1" topLeftCell="A1203" activePane="bottomLeft" state="frozen"/>
      <selection activeCell="I1" sqref="I1"/>
      <selection pane="bottomLeft" activeCell="A2" sqref="A2:W1208"/>
    </sheetView>
  </sheetViews>
  <sheetFormatPr defaultRowHeight="15" x14ac:dyDescent="0.25"/>
  <cols>
    <col min="1" max="1" width="16.42578125" style="46" customWidth="1"/>
    <col min="2" max="2" width="15.28515625" style="46" customWidth="1"/>
    <col min="3" max="3" width="16.42578125" style="46" customWidth="1"/>
    <col min="4" max="4" width="15.5703125" style="46" customWidth="1"/>
    <col min="5" max="5" width="20" style="46" customWidth="1"/>
    <col min="6" max="7" width="28.85546875" style="46" customWidth="1"/>
    <col min="8" max="8" width="25.42578125" style="46" customWidth="1"/>
    <col min="9" max="9" width="19.5703125" style="46" customWidth="1"/>
    <col min="10" max="11" width="9.140625" style="49" customWidth="1"/>
    <col min="12" max="12" width="11.5703125" style="63" customWidth="1"/>
    <col min="13" max="13" width="18.7109375" style="64" bestFit="1" customWidth="1"/>
    <col min="14" max="14" width="15.85546875" style="64" bestFit="1" customWidth="1"/>
    <col min="15" max="15" width="29.28515625" style="47" customWidth="1"/>
    <col min="16" max="16" width="44.85546875" style="47" customWidth="1"/>
    <col min="17" max="17" width="22.7109375" style="46" customWidth="1"/>
    <col min="18" max="18" width="46.140625" style="47" customWidth="1"/>
    <col min="19" max="19" width="54.85546875" style="47" customWidth="1"/>
    <col min="20" max="20" width="15.42578125" style="47" bestFit="1" customWidth="1"/>
    <col min="21" max="21" width="12" style="46" bestFit="1" customWidth="1"/>
    <col min="22" max="22" width="9.140625" style="49"/>
    <col min="23" max="23" width="36.42578125" style="47" customWidth="1"/>
    <col min="24" max="16384" width="9.140625" style="46"/>
  </cols>
  <sheetData>
    <row r="1" spans="1:23" s="108" customFormat="1" ht="47.25" x14ac:dyDescent="0.25">
      <c r="A1" s="102" t="s">
        <v>555</v>
      </c>
      <c r="B1" s="103" t="s">
        <v>556</v>
      </c>
      <c r="C1" s="104" t="s">
        <v>586</v>
      </c>
      <c r="D1" s="105" t="s">
        <v>557</v>
      </c>
      <c r="E1" s="103" t="s">
        <v>558</v>
      </c>
      <c r="F1" s="103" t="s">
        <v>7695</v>
      </c>
      <c r="G1" s="103" t="s">
        <v>7696</v>
      </c>
      <c r="H1" s="103" t="s">
        <v>4140</v>
      </c>
      <c r="I1" s="103" t="s">
        <v>3366</v>
      </c>
      <c r="J1" s="103" t="s">
        <v>3364</v>
      </c>
      <c r="K1" s="103"/>
      <c r="L1" s="106" t="s">
        <v>3365</v>
      </c>
      <c r="M1" s="107" t="s">
        <v>559</v>
      </c>
      <c r="N1" s="107" t="s">
        <v>560</v>
      </c>
      <c r="O1" s="107" t="s">
        <v>614</v>
      </c>
      <c r="P1" s="107" t="s">
        <v>615</v>
      </c>
      <c r="Q1" s="103" t="s">
        <v>1939</v>
      </c>
      <c r="R1" s="103" t="s">
        <v>561</v>
      </c>
      <c r="S1" s="103" t="s">
        <v>6321</v>
      </c>
      <c r="T1" s="103" t="s">
        <v>7785</v>
      </c>
      <c r="U1" s="105" t="s">
        <v>64</v>
      </c>
      <c r="V1" s="103" t="s">
        <v>3984</v>
      </c>
      <c r="W1" s="103" t="s">
        <v>4303</v>
      </c>
    </row>
    <row r="2" spans="1:23" s="29" customFormat="1" ht="60" x14ac:dyDescent="0.25">
      <c r="A2" s="56">
        <v>42738</v>
      </c>
      <c r="B2" s="55" t="s">
        <v>328</v>
      </c>
      <c r="C2" s="29" t="s">
        <v>603</v>
      </c>
      <c r="D2" s="29" t="s">
        <v>2397</v>
      </c>
      <c r="E2" s="29" t="s">
        <v>588</v>
      </c>
      <c r="F2" s="29" t="s">
        <v>5182</v>
      </c>
      <c r="H2" s="29" t="s">
        <v>607</v>
      </c>
      <c r="I2" s="29" t="s">
        <v>5183</v>
      </c>
      <c r="J2" s="43" t="s">
        <v>3612</v>
      </c>
      <c r="K2" s="43"/>
      <c r="L2" s="44">
        <v>2</v>
      </c>
      <c r="M2" s="57">
        <v>143000</v>
      </c>
      <c r="N2" s="57">
        <v>256100</v>
      </c>
      <c r="O2" s="47" t="s">
        <v>3107</v>
      </c>
      <c r="P2" s="53" t="s">
        <v>5184</v>
      </c>
      <c r="Q2" s="55" t="s">
        <v>1939</v>
      </c>
      <c r="R2" s="53" t="s">
        <v>5185</v>
      </c>
      <c r="S2" s="53"/>
      <c r="T2" s="53"/>
      <c r="U2" s="29" t="s">
        <v>491</v>
      </c>
      <c r="V2" s="43"/>
      <c r="W2" s="53"/>
    </row>
    <row r="3" spans="1:23" s="29" customFormat="1" ht="45" x14ac:dyDescent="0.25">
      <c r="A3" s="56">
        <v>42738</v>
      </c>
      <c r="B3" s="55" t="s">
        <v>328</v>
      </c>
      <c r="C3" s="29" t="s">
        <v>603</v>
      </c>
      <c r="D3" s="29" t="s">
        <v>2397</v>
      </c>
      <c r="E3" s="29" t="s">
        <v>588</v>
      </c>
      <c r="F3" s="29" t="s">
        <v>5191</v>
      </c>
      <c r="H3" s="29" t="s">
        <v>607</v>
      </c>
      <c r="J3" s="43"/>
      <c r="K3" s="43"/>
      <c r="L3" s="44"/>
      <c r="M3" s="57"/>
      <c r="N3" s="57"/>
      <c r="O3" s="47" t="s">
        <v>5192</v>
      </c>
      <c r="P3" s="53" t="s">
        <v>5193</v>
      </c>
      <c r="Q3" s="55" t="s">
        <v>592</v>
      </c>
      <c r="R3" s="53"/>
      <c r="S3" s="53"/>
      <c r="T3" s="53"/>
      <c r="U3" s="29" t="s">
        <v>491</v>
      </c>
      <c r="V3" s="43"/>
      <c r="W3" s="53"/>
    </row>
    <row r="4" spans="1:23" ht="45" x14ac:dyDescent="0.25">
      <c r="A4" s="56">
        <v>42738</v>
      </c>
      <c r="B4" s="55" t="s">
        <v>328</v>
      </c>
      <c r="C4" s="29" t="s">
        <v>603</v>
      </c>
      <c r="D4" s="29" t="s">
        <v>2397</v>
      </c>
      <c r="E4" s="29" t="s">
        <v>588</v>
      </c>
      <c r="F4" s="29" t="s">
        <v>5172</v>
      </c>
      <c r="G4" s="29"/>
      <c r="H4" s="29" t="s">
        <v>607</v>
      </c>
      <c r="I4" s="29" t="s">
        <v>3837</v>
      </c>
      <c r="J4" s="43" t="s">
        <v>899</v>
      </c>
      <c r="K4" s="43"/>
      <c r="L4" s="44">
        <v>4</v>
      </c>
      <c r="M4" s="57">
        <v>750000</v>
      </c>
      <c r="N4" s="57">
        <v>1425000</v>
      </c>
      <c r="O4" s="47" t="s">
        <v>695</v>
      </c>
      <c r="P4" s="53" t="s">
        <v>5173</v>
      </c>
      <c r="Q4" s="55" t="s">
        <v>1939</v>
      </c>
      <c r="R4" s="53" t="s">
        <v>5174</v>
      </c>
      <c r="S4" s="53"/>
      <c r="T4" s="53"/>
      <c r="U4" s="29" t="s">
        <v>491</v>
      </c>
      <c r="V4" s="43"/>
      <c r="W4" s="53"/>
    </row>
    <row r="5" spans="1:23" ht="45" x14ac:dyDescent="0.25">
      <c r="A5" s="56">
        <v>42738</v>
      </c>
      <c r="B5" s="55" t="s">
        <v>328</v>
      </c>
      <c r="C5" s="29" t="s">
        <v>603</v>
      </c>
      <c r="D5" s="29" t="s">
        <v>2397</v>
      </c>
      <c r="E5" s="29" t="s">
        <v>588</v>
      </c>
      <c r="F5" s="29" t="s">
        <v>5166</v>
      </c>
      <c r="G5" s="29"/>
      <c r="H5" s="29" t="s">
        <v>5167</v>
      </c>
      <c r="I5" s="29" t="s">
        <v>5165</v>
      </c>
      <c r="J5" s="43" t="s">
        <v>899</v>
      </c>
      <c r="K5" s="43"/>
      <c r="L5" s="44"/>
      <c r="M5" s="57">
        <v>2000000</v>
      </c>
      <c r="N5" s="57">
        <v>2075000</v>
      </c>
      <c r="O5" s="47" t="s">
        <v>5168</v>
      </c>
      <c r="P5" s="53" t="s">
        <v>5170</v>
      </c>
      <c r="Q5" s="55" t="s">
        <v>1939</v>
      </c>
      <c r="R5" s="53" t="s">
        <v>5171</v>
      </c>
      <c r="S5" s="53"/>
      <c r="T5" s="53"/>
      <c r="U5" s="29" t="s">
        <v>491</v>
      </c>
      <c r="V5" s="43"/>
      <c r="W5" s="53"/>
    </row>
    <row r="6" spans="1:23" s="29" customFormat="1" ht="30" x14ac:dyDescent="0.25">
      <c r="A6" s="56">
        <v>42738</v>
      </c>
      <c r="B6" s="55" t="s">
        <v>328</v>
      </c>
      <c r="C6" s="29" t="s">
        <v>603</v>
      </c>
      <c r="D6" s="29" t="s">
        <v>2397</v>
      </c>
      <c r="E6" s="29" t="s">
        <v>588</v>
      </c>
      <c r="F6" s="29" t="s">
        <v>5186</v>
      </c>
      <c r="H6" s="29" t="s">
        <v>607</v>
      </c>
      <c r="I6" s="29" t="s">
        <v>5187</v>
      </c>
      <c r="J6" s="43" t="s">
        <v>1228</v>
      </c>
      <c r="K6" s="43"/>
      <c r="L6" s="44"/>
      <c r="M6" s="57">
        <v>255000</v>
      </c>
      <c r="N6" s="57"/>
      <c r="O6" s="47" t="s">
        <v>5190</v>
      </c>
      <c r="P6" s="53" t="s">
        <v>5188</v>
      </c>
      <c r="Q6" s="55" t="s">
        <v>1939</v>
      </c>
      <c r="R6" s="53" t="s">
        <v>5189</v>
      </c>
      <c r="S6" s="53"/>
      <c r="T6" s="53"/>
      <c r="U6" s="29" t="s">
        <v>491</v>
      </c>
      <c r="V6" s="43"/>
      <c r="W6" s="53"/>
    </row>
    <row r="7" spans="1:23" s="29" customFormat="1" ht="30" x14ac:dyDescent="0.25">
      <c r="A7" s="56">
        <v>42738</v>
      </c>
      <c r="B7" s="55" t="s">
        <v>5176</v>
      </c>
      <c r="C7" s="29" t="s">
        <v>833</v>
      </c>
      <c r="D7" s="29" t="s">
        <v>2454</v>
      </c>
      <c r="E7" s="29" t="s">
        <v>588</v>
      </c>
      <c r="F7" s="29" t="s">
        <v>5161</v>
      </c>
      <c r="H7" s="29" t="s">
        <v>809</v>
      </c>
      <c r="I7" s="29" t="s">
        <v>5162</v>
      </c>
      <c r="J7" s="43" t="s">
        <v>4825</v>
      </c>
      <c r="K7" s="43"/>
      <c r="L7" s="44"/>
      <c r="M7" s="57">
        <v>310564</v>
      </c>
      <c r="N7" s="57">
        <v>341620</v>
      </c>
      <c r="O7" s="53" t="s">
        <v>5163</v>
      </c>
      <c r="P7" s="53" t="s">
        <v>5169</v>
      </c>
      <c r="Q7" s="55" t="s">
        <v>1939</v>
      </c>
      <c r="R7" s="53" t="s">
        <v>5164</v>
      </c>
      <c r="S7" s="53"/>
      <c r="T7" s="53"/>
      <c r="U7" s="29" t="s">
        <v>491</v>
      </c>
      <c r="V7" s="43"/>
      <c r="W7" s="53"/>
    </row>
    <row r="8" spans="1:23" s="29" customFormat="1" ht="45" x14ac:dyDescent="0.25">
      <c r="A8" s="56">
        <v>42738</v>
      </c>
      <c r="B8" s="55" t="s">
        <v>5176</v>
      </c>
      <c r="D8" s="29" t="s">
        <v>5293</v>
      </c>
      <c r="E8" s="29" t="s">
        <v>588</v>
      </c>
      <c r="F8" s="29" t="s">
        <v>5177</v>
      </c>
      <c r="H8" s="29" t="s">
        <v>905</v>
      </c>
      <c r="I8" s="29" t="s">
        <v>5178</v>
      </c>
      <c r="J8" s="43" t="s">
        <v>3617</v>
      </c>
      <c r="K8" s="43"/>
      <c r="L8" s="44">
        <v>10</v>
      </c>
      <c r="M8" s="57"/>
      <c r="N8" s="57"/>
      <c r="O8" s="53" t="s">
        <v>5179</v>
      </c>
      <c r="P8" s="53" t="s">
        <v>5181</v>
      </c>
      <c r="Q8" s="55" t="s">
        <v>1612</v>
      </c>
      <c r="R8" s="53" t="s">
        <v>5180</v>
      </c>
      <c r="S8" s="53" t="s">
        <v>5294</v>
      </c>
      <c r="T8" s="53"/>
      <c r="U8" s="29" t="s">
        <v>491</v>
      </c>
      <c r="V8" s="43"/>
      <c r="W8" s="53"/>
    </row>
    <row r="9" spans="1:23" s="29" customFormat="1" ht="75" x14ac:dyDescent="0.25">
      <c r="A9" s="61">
        <v>42738</v>
      </c>
      <c r="B9" s="62" t="s">
        <v>569</v>
      </c>
      <c r="C9" s="45" t="s">
        <v>833</v>
      </c>
      <c r="D9" s="46" t="s">
        <v>625</v>
      </c>
      <c r="E9" s="46" t="s">
        <v>588</v>
      </c>
      <c r="F9" s="47" t="s">
        <v>5159</v>
      </c>
      <c r="G9" s="47"/>
      <c r="H9" s="47" t="s">
        <v>905</v>
      </c>
      <c r="I9" s="46" t="s">
        <v>2054</v>
      </c>
      <c r="J9" s="49" t="s">
        <v>899</v>
      </c>
      <c r="K9" s="49"/>
      <c r="L9" s="63">
        <v>2</v>
      </c>
      <c r="M9" s="50">
        <v>3500000</v>
      </c>
      <c r="N9" s="51">
        <v>4550000</v>
      </c>
      <c r="O9" s="50" t="s">
        <v>695</v>
      </c>
      <c r="P9" s="65" t="s">
        <v>5160</v>
      </c>
      <c r="Q9" s="46" t="s">
        <v>1612</v>
      </c>
      <c r="R9" s="47" t="s">
        <v>5157</v>
      </c>
      <c r="S9" s="47" t="s">
        <v>5175</v>
      </c>
      <c r="T9" s="47"/>
      <c r="U9" s="46" t="s">
        <v>491</v>
      </c>
      <c r="V9" s="49"/>
      <c r="W9" s="47"/>
    </row>
    <row r="10" spans="1:23" s="29" customFormat="1" ht="75" x14ac:dyDescent="0.25">
      <c r="A10" s="61">
        <v>42738</v>
      </c>
      <c r="B10" s="62" t="s">
        <v>569</v>
      </c>
      <c r="C10" s="45" t="s">
        <v>833</v>
      </c>
      <c r="D10" s="46" t="s">
        <v>625</v>
      </c>
      <c r="E10" s="46" t="s">
        <v>588</v>
      </c>
      <c r="F10" s="47" t="s">
        <v>5159</v>
      </c>
      <c r="G10" s="47"/>
      <c r="H10" s="47" t="s">
        <v>905</v>
      </c>
      <c r="I10" s="46" t="s">
        <v>2054</v>
      </c>
      <c r="J10" s="49" t="s">
        <v>899</v>
      </c>
      <c r="K10" s="49"/>
      <c r="L10" s="63">
        <v>2</v>
      </c>
      <c r="M10" s="50">
        <v>325000</v>
      </c>
      <c r="N10" s="51">
        <v>422000</v>
      </c>
      <c r="O10" s="50" t="s">
        <v>695</v>
      </c>
      <c r="P10" s="65" t="s">
        <v>5160</v>
      </c>
      <c r="Q10" s="46" t="s">
        <v>1612</v>
      </c>
      <c r="R10" s="47" t="s">
        <v>5157</v>
      </c>
      <c r="S10" s="47" t="s">
        <v>5175</v>
      </c>
      <c r="T10" s="47"/>
      <c r="U10" s="46" t="s">
        <v>491</v>
      </c>
      <c r="V10" s="49"/>
      <c r="W10" s="47"/>
    </row>
    <row r="11" spans="1:23" s="29" customFormat="1" ht="78.75" customHeight="1" x14ac:dyDescent="0.25">
      <c r="A11" s="56">
        <v>42739</v>
      </c>
      <c r="B11" s="55" t="s">
        <v>328</v>
      </c>
      <c r="C11" s="29" t="s">
        <v>603</v>
      </c>
      <c r="D11" s="29" t="s">
        <v>2397</v>
      </c>
      <c r="E11" s="29" t="s">
        <v>588</v>
      </c>
      <c r="F11" s="29" t="s">
        <v>5194</v>
      </c>
      <c r="H11" s="29" t="s">
        <v>607</v>
      </c>
      <c r="I11" s="29" t="s">
        <v>5195</v>
      </c>
      <c r="J11" s="43" t="s">
        <v>644</v>
      </c>
      <c r="K11" s="43"/>
      <c r="L11" s="44">
        <v>3</v>
      </c>
      <c r="M11" s="57">
        <v>325000</v>
      </c>
      <c r="N11" s="57">
        <v>345000</v>
      </c>
      <c r="O11" s="47" t="s">
        <v>3107</v>
      </c>
      <c r="P11" s="53" t="s">
        <v>5196</v>
      </c>
      <c r="Q11" s="55" t="s">
        <v>592</v>
      </c>
      <c r="R11" s="53"/>
      <c r="S11" s="53"/>
      <c r="T11" s="53"/>
      <c r="U11" s="29" t="s">
        <v>491</v>
      </c>
      <c r="V11" s="43"/>
      <c r="W11" s="53"/>
    </row>
    <row r="12" spans="1:23" s="29" customFormat="1" ht="45" x14ac:dyDescent="0.25">
      <c r="A12" s="56">
        <v>42739</v>
      </c>
      <c r="B12" s="55" t="s">
        <v>328</v>
      </c>
      <c r="C12" s="29" t="s">
        <v>603</v>
      </c>
      <c r="D12" s="29" t="s">
        <v>2397</v>
      </c>
      <c r="E12" s="29" t="s">
        <v>588</v>
      </c>
      <c r="F12" s="29" t="s">
        <v>5197</v>
      </c>
      <c r="H12" s="29" t="s">
        <v>607</v>
      </c>
      <c r="J12" s="43" t="s">
        <v>899</v>
      </c>
      <c r="K12" s="43"/>
      <c r="L12" s="44">
        <v>10</v>
      </c>
      <c r="M12" s="57">
        <v>1500000</v>
      </c>
      <c r="N12" s="57">
        <v>2300000</v>
      </c>
      <c r="O12" s="47" t="s">
        <v>1111</v>
      </c>
      <c r="P12" s="53" t="s">
        <v>5198</v>
      </c>
      <c r="Q12" s="55" t="s">
        <v>1939</v>
      </c>
      <c r="R12" s="53" t="s">
        <v>5199</v>
      </c>
      <c r="S12" s="53"/>
      <c r="T12" s="53"/>
      <c r="U12" s="29" t="s">
        <v>491</v>
      </c>
      <c r="V12" s="43"/>
      <c r="W12" s="53"/>
    </row>
    <row r="13" spans="1:23" s="29" customFormat="1" ht="45" x14ac:dyDescent="0.25">
      <c r="A13" s="56">
        <v>42739</v>
      </c>
      <c r="B13" s="55" t="s">
        <v>569</v>
      </c>
      <c r="D13" s="29" t="s">
        <v>624</v>
      </c>
      <c r="E13" s="29" t="s">
        <v>588</v>
      </c>
      <c r="F13" s="29" t="s">
        <v>5200</v>
      </c>
      <c r="H13" s="29" t="s">
        <v>607</v>
      </c>
      <c r="I13" s="29" t="s">
        <v>3462</v>
      </c>
      <c r="J13" s="43" t="s">
        <v>899</v>
      </c>
      <c r="K13" s="43"/>
      <c r="L13" s="44">
        <v>4</v>
      </c>
      <c r="M13" s="57">
        <v>2300000</v>
      </c>
      <c r="N13" s="57">
        <v>3910000</v>
      </c>
      <c r="O13" s="53" t="s">
        <v>695</v>
      </c>
      <c r="P13" s="53" t="s">
        <v>5201</v>
      </c>
      <c r="Q13" s="55" t="s">
        <v>29</v>
      </c>
      <c r="R13" s="53" t="s">
        <v>5202</v>
      </c>
      <c r="S13" s="53"/>
      <c r="T13" s="53"/>
      <c r="U13" s="29" t="s">
        <v>491</v>
      </c>
      <c r="V13" s="43"/>
      <c r="W13" s="53"/>
    </row>
    <row r="14" spans="1:23" ht="60" x14ac:dyDescent="0.25">
      <c r="A14" s="61">
        <v>42740</v>
      </c>
      <c r="B14" s="62" t="s">
        <v>569</v>
      </c>
      <c r="D14" s="46" t="s">
        <v>625</v>
      </c>
      <c r="E14" s="46" t="s">
        <v>692</v>
      </c>
      <c r="F14" s="46" t="s">
        <v>5205</v>
      </c>
      <c r="H14" s="46" t="s">
        <v>722</v>
      </c>
      <c r="I14" s="46" t="s">
        <v>4507</v>
      </c>
      <c r="J14" s="49" t="s">
        <v>899</v>
      </c>
      <c r="L14" s="63">
        <v>3</v>
      </c>
      <c r="M14" s="64">
        <v>450000</v>
      </c>
      <c r="N14" s="64">
        <v>765000</v>
      </c>
      <c r="O14" s="47" t="s">
        <v>695</v>
      </c>
      <c r="P14" s="47" t="s">
        <v>5206</v>
      </c>
      <c r="Q14" s="62" t="s">
        <v>1939</v>
      </c>
      <c r="R14" s="47" t="s">
        <v>5207</v>
      </c>
      <c r="U14" s="46" t="s">
        <v>491</v>
      </c>
    </row>
    <row r="15" spans="1:23" s="29" customFormat="1" ht="75" x14ac:dyDescent="0.25">
      <c r="A15" s="56">
        <v>42740</v>
      </c>
      <c r="B15" s="55" t="s">
        <v>569</v>
      </c>
      <c r="D15" s="29" t="s">
        <v>930</v>
      </c>
      <c r="E15" s="29" t="s">
        <v>821</v>
      </c>
      <c r="F15" s="29" t="s">
        <v>5208</v>
      </c>
      <c r="H15" s="29" t="s">
        <v>809</v>
      </c>
      <c r="J15" s="43"/>
      <c r="K15" s="43"/>
      <c r="L15" s="44"/>
      <c r="M15" s="57"/>
      <c r="N15" s="57"/>
      <c r="O15" s="53" t="s">
        <v>5209</v>
      </c>
      <c r="P15" s="53" t="s">
        <v>5210</v>
      </c>
      <c r="Q15" s="55" t="s">
        <v>592</v>
      </c>
      <c r="R15" s="53"/>
      <c r="S15" s="53"/>
      <c r="T15" s="53"/>
      <c r="U15" s="29" t="s">
        <v>491</v>
      </c>
      <c r="V15" s="43"/>
      <c r="W15" s="53"/>
    </row>
    <row r="16" spans="1:23" s="29" customFormat="1" ht="45" x14ac:dyDescent="0.25">
      <c r="A16" s="56">
        <v>42741</v>
      </c>
      <c r="B16" s="55" t="s">
        <v>320</v>
      </c>
      <c r="C16" s="29" t="s">
        <v>1228</v>
      </c>
      <c r="D16" s="29" t="s">
        <v>1229</v>
      </c>
      <c r="E16" s="29" t="s">
        <v>588</v>
      </c>
      <c r="J16" s="43"/>
      <c r="K16" s="43"/>
      <c r="L16" s="44"/>
      <c r="M16" s="57"/>
      <c r="N16" s="57"/>
      <c r="O16" s="53" t="s">
        <v>5220</v>
      </c>
      <c r="P16" s="53" t="s">
        <v>5221</v>
      </c>
      <c r="Q16" s="55" t="s">
        <v>1939</v>
      </c>
      <c r="R16" s="53" t="s">
        <v>5222</v>
      </c>
      <c r="S16" s="53"/>
      <c r="T16" s="53"/>
      <c r="U16" s="29" t="s">
        <v>491</v>
      </c>
      <c r="V16" s="43"/>
      <c r="W16" s="53"/>
    </row>
    <row r="17" spans="1:23" s="29" customFormat="1" ht="60" x14ac:dyDescent="0.25">
      <c r="A17" s="56">
        <v>42741</v>
      </c>
      <c r="B17" s="55" t="s">
        <v>328</v>
      </c>
      <c r="C17" s="29" t="s">
        <v>603</v>
      </c>
      <c r="D17" s="29" t="s">
        <v>2397</v>
      </c>
      <c r="E17" s="29" t="s">
        <v>588</v>
      </c>
      <c r="F17" s="29" t="s">
        <v>5217</v>
      </c>
      <c r="H17" s="29" t="s">
        <v>1057</v>
      </c>
      <c r="I17" s="29" t="s">
        <v>5218</v>
      </c>
      <c r="J17" s="43" t="s">
        <v>899</v>
      </c>
      <c r="K17" s="43"/>
      <c r="L17" s="44">
        <v>1</v>
      </c>
      <c r="M17" s="57">
        <v>41000</v>
      </c>
      <c r="N17" s="57">
        <v>188000</v>
      </c>
      <c r="O17" s="47" t="s">
        <v>695</v>
      </c>
      <c r="P17" s="53" t="s">
        <v>5219</v>
      </c>
      <c r="Q17" s="55" t="s">
        <v>592</v>
      </c>
      <c r="R17" s="53"/>
      <c r="S17" s="53"/>
      <c r="T17" s="53"/>
      <c r="U17" s="29" t="s">
        <v>491</v>
      </c>
      <c r="V17" s="43"/>
      <c r="W17" s="53"/>
    </row>
    <row r="18" spans="1:23" s="29" customFormat="1" ht="90" x14ac:dyDescent="0.25">
      <c r="A18" s="56">
        <v>42741</v>
      </c>
      <c r="B18" s="55" t="s">
        <v>5176</v>
      </c>
      <c r="C18" s="29" t="s">
        <v>1810</v>
      </c>
      <c r="D18" s="29" t="s">
        <v>2454</v>
      </c>
      <c r="E18" s="29" t="s">
        <v>588</v>
      </c>
      <c r="F18" s="29" t="s">
        <v>5225</v>
      </c>
      <c r="H18" s="29" t="s">
        <v>607</v>
      </c>
      <c r="I18" s="29" t="s">
        <v>5226</v>
      </c>
      <c r="J18" s="43" t="s">
        <v>4684</v>
      </c>
      <c r="K18" s="43"/>
      <c r="L18" s="44">
        <v>6</v>
      </c>
      <c r="M18" s="57">
        <v>240000</v>
      </c>
      <c r="N18" s="57">
        <v>408000</v>
      </c>
      <c r="O18" s="53" t="s">
        <v>3625</v>
      </c>
      <c r="P18" s="53" t="s">
        <v>5227</v>
      </c>
      <c r="Q18" s="55" t="s">
        <v>29</v>
      </c>
      <c r="R18" s="53" t="s">
        <v>5228</v>
      </c>
      <c r="S18" s="53"/>
      <c r="T18" s="53"/>
      <c r="U18" s="29" t="s">
        <v>491</v>
      </c>
      <c r="V18" s="43"/>
      <c r="W18" s="53"/>
    </row>
    <row r="19" spans="1:23" s="29" customFormat="1" ht="75" x14ac:dyDescent="0.25">
      <c r="A19" s="56">
        <v>42741</v>
      </c>
      <c r="B19" s="55" t="s">
        <v>569</v>
      </c>
      <c r="D19" s="29" t="s">
        <v>625</v>
      </c>
      <c r="E19" s="29" t="s">
        <v>588</v>
      </c>
      <c r="F19" s="29" t="s">
        <v>842</v>
      </c>
      <c r="H19" s="29" t="s">
        <v>607</v>
      </c>
      <c r="J19" s="43"/>
      <c r="K19" s="43"/>
      <c r="L19" s="44"/>
      <c r="M19" s="57"/>
      <c r="N19" s="57"/>
      <c r="O19" s="53" t="s">
        <v>1033</v>
      </c>
      <c r="P19" s="53" t="s">
        <v>5223</v>
      </c>
      <c r="Q19" s="55" t="s">
        <v>29</v>
      </c>
      <c r="R19" s="53" t="s">
        <v>5224</v>
      </c>
      <c r="S19" s="53"/>
      <c r="T19" s="53"/>
      <c r="U19" s="29" t="s">
        <v>491</v>
      </c>
      <c r="V19" s="43"/>
      <c r="W19" s="53"/>
    </row>
    <row r="20" spans="1:23" s="29" customFormat="1" ht="120" x14ac:dyDescent="0.25">
      <c r="A20" s="56">
        <v>42741</v>
      </c>
      <c r="B20" s="55" t="s">
        <v>643</v>
      </c>
      <c r="C20" s="29" t="s">
        <v>644</v>
      </c>
      <c r="D20" s="29" t="s">
        <v>645</v>
      </c>
      <c r="E20" s="29" t="s">
        <v>588</v>
      </c>
      <c r="F20" s="29" t="s">
        <v>5211</v>
      </c>
      <c r="H20" s="29" t="s">
        <v>742</v>
      </c>
      <c r="I20" s="29" t="s">
        <v>5212</v>
      </c>
      <c r="J20" s="43" t="s">
        <v>644</v>
      </c>
      <c r="K20" s="43"/>
      <c r="L20" s="44">
        <v>2</v>
      </c>
      <c r="M20" s="57">
        <v>1500000</v>
      </c>
      <c r="N20" s="57">
        <v>1620000</v>
      </c>
      <c r="O20" s="53" t="s">
        <v>5213</v>
      </c>
      <c r="P20" s="53" t="s">
        <v>5214</v>
      </c>
      <c r="Q20" s="55" t="s">
        <v>1939</v>
      </c>
      <c r="R20" s="53" t="s">
        <v>5215</v>
      </c>
      <c r="S20" s="53" t="s">
        <v>5216</v>
      </c>
      <c r="T20" s="53"/>
      <c r="U20" s="29" t="s">
        <v>491</v>
      </c>
      <c r="V20" s="43"/>
      <c r="W20" s="53"/>
    </row>
    <row r="21" spans="1:23" ht="30" x14ac:dyDescent="0.25">
      <c r="A21" s="56">
        <v>42744</v>
      </c>
      <c r="B21" s="55" t="s">
        <v>5176</v>
      </c>
      <c r="C21" s="29"/>
      <c r="D21" s="29" t="s">
        <v>727</v>
      </c>
      <c r="E21" s="29" t="s">
        <v>588</v>
      </c>
      <c r="F21" s="29" t="s">
        <v>5249</v>
      </c>
      <c r="G21" s="29"/>
      <c r="H21" s="29" t="s">
        <v>607</v>
      </c>
      <c r="I21" s="29"/>
      <c r="J21" s="43"/>
      <c r="K21" s="43"/>
      <c r="L21" s="44"/>
      <c r="M21" s="57"/>
      <c r="N21" s="57"/>
      <c r="O21" s="53" t="s">
        <v>5250</v>
      </c>
      <c r="P21" s="53" t="s">
        <v>5251</v>
      </c>
      <c r="Q21" s="55" t="s">
        <v>29</v>
      </c>
      <c r="R21" s="53" t="s">
        <v>5252</v>
      </c>
      <c r="S21" s="53"/>
      <c r="T21" s="53"/>
      <c r="U21" s="29" t="s">
        <v>491</v>
      </c>
      <c r="V21" s="43"/>
      <c r="W21" s="53"/>
    </row>
    <row r="22" spans="1:23" s="29" customFormat="1" ht="60" x14ac:dyDescent="0.25">
      <c r="A22" s="61">
        <v>42744</v>
      </c>
      <c r="B22" s="62" t="s">
        <v>569</v>
      </c>
      <c r="C22" s="46"/>
      <c r="D22" s="46" t="s">
        <v>625</v>
      </c>
      <c r="E22" s="46" t="s">
        <v>588</v>
      </c>
      <c r="F22" s="46" t="s">
        <v>5229</v>
      </c>
      <c r="G22" s="46"/>
      <c r="H22" s="46" t="s">
        <v>905</v>
      </c>
      <c r="I22" s="46" t="s">
        <v>5230</v>
      </c>
      <c r="J22" s="49" t="s">
        <v>899</v>
      </c>
      <c r="K22" s="49"/>
      <c r="L22" s="63">
        <v>3</v>
      </c>
      <c r="M22" s="64">
        <v>3267000</v>
      </c>
      <c r="N22" s="64">
        <v>4247100</v>
      </c>
      <c r="O22" s="47" t="s">
        <v>5231</v>
      </c>
      <c r="P22" s="47" t="s">
        <v>5232</v>
      </c>
      <c r="Q22" s="62" t="s">
        <v>1939</v>
      </c>
      <c r="R22" s="47" t="s">
        <v>5233</v>
      </c>
      <c r="S22" s="47"/>
      <c r="T22" s="47"/>
      <c r="U22" s="46" t="s">
        <v>491</v>
      </c>
      <c r="V22" s="49"/>
      <c r="W22" s="47"/>
    </row>
    <row r="23" spans="1:23" s="29" customFormat="1" ht="75" x14ac:dyDescent="0.25">
      <c r="A23" s="56">
        <v>42744</v>
      </c>
      <c r="B23" s="55" t="s">
        <v>569</v>
      </c>
      <c r="D23" s="29" t="s">
        <v>625</v>
      </c>
      <c r="E23" s="29" t="s">
        <v>588</v>
      </c>
      <c r="H23" s="29" t="s">
        <v>5167</v>
      </c>
      <c r="J23" s="43"/>
      <c r="K23" s="43"/>
      <c r="L23" s="44"/>
      <c r="M23" s="57"/>
      <c r="N23" s="57"/>
      <c r="O23" s="53" t="s">
        <v>5234</v>
      </c>
      <c r="P23" s="53" t="s">
        <v>5235</v>
      </c>
      <c r="Q23" s="55" t="s">
        <v>29</v>
      </c>
      <c r="R23" s="53"/>
      <c r="S23" s="53"/>
      <c r="T23" s="53"/>
      <c r="U23" s="29" t="s">
        <v>491</v>
      </c>
      <c r="V23" s="43"/>
      <c r="W23" s="53"/>
    </row>
    <row r="24" spans="1:23" ht="75" x14ac:dyDescent="0.25">
      <c r="A24" s="56">
        <v>42744</v>
      </c>
      <c r="B24" s="55" t="s">
        <v>569</v>
      </c>
      <c r="C24" s="29"/>
      <c r="D24" s="29" t="s">
        <v>625</v>
      </c>
      <c r="E24" s="29" t="s">
        <v>588</v>
      </c>
      <c r="F24" s="29" t="s">
        <v>5236</v>
      </c>
      <c r="G24" s="29"/>
      <c r="H24" s="29" t="s">
        <v>843</v>
      </c>
      <c r="I24" s="29" t="s">
        <v>3388</v>
      </c>
      <c r="J24" s="43" t="s">
        <v>899</v>
      </c>
      <c r="K24" s="43"/>
      <c r="L24" s="44"/>
      <c r="M24" s="57"/>
      <c r="N24" s="57"/>
      <c r="O24" s="53" t="s">
        <v>5237</v>
      </c>
      <c r="P24" s="53" t="s">
        <v>5238</v>
      </c>
      <c r="Q24" s="55" t="s">
        <v>592</v>
      </c>
      <c r="R24" s="53"/>
      <c r="S24" s="53"/>
      <c r="T24" s="53"/>
      <c r="U24" s="29" t="s">
        <v>491</v>
      </c>
      <c r="V24" s="43"/>
      <c r="W24" s="53"/>
    </row>
    <row r="25" spans="1:23" s="29" customFormat="1" ht="60" x14ac:dyDescent="0.25">
      <c r="A25" s="61">
        <v>42744</v>
      </c>
      <c r="B25" s="62" t="s">
        <v>569</v>
      </c>
      <c r="C25" s="46"/>
      <c r="D25" s="46" t="s">
        <v>625</v>
      </c>
      <c r="E25" s="46" t="s">
        <v>588</v>
      </c>
      <c r="F25" s="46" t="s">
        <v>5239</v>
      </c>
      <c r="G25" s="46"/>
      <c r="H25" s="46" t="s">
        <v>607</v>
      </c>
      <c r="I25" s="46" t="s">
        <v>5240</v>
      </c>
      <c r="J25" s="49" t="s">
        <v>899</v>
      </c>
      <c r="K25" s="49"/>
      <c r="L25" s="63"/>
      <c r="M25" s="64"/>
      <c r="N25" s="64"/>
      <c r="O25" s="47" t="s">
        <v>5253</v>
      </c>
      <c r="P25" s="47" t="s">
        <v>5241</v>
      </c>
      <c r="Q25" s="62" t="s">
        <v>1939</v>
      </c>
      <c r="R25" s="47" t="s">
        <v>5242</v>
      </c>
      <c r="S25" s="47"/>
      <c r="T25" s="47"/>
      <c r="U25" s="46" t="s">
        <v>491</v>
      </c>
      <c r="V25" s="49"/>
      <c r="W25" s="47"/>
    </row>
    <row r="26" spans="1:23" s="29" customFormat="1" ht="60" x14ac:dyDescent="0.25">
      <c r="A26" s="56">
        <v>42744</v>
      </c>
      <c r="B26" s="55" t="s">
        <v>643</v>
      </c>
      <c r="C26" s="29" t="s">
        <v>644</v>
      </c>
      <c r="D26" s="29" t="s">
        <v>3132</v>
      </c>
      <c r="E26" s="29" t="s">
        <v>588</v>
      </c>
      <c r="F26" s="29" t="s">
        <v>5243</v>
      </c>
      <c r="H26" s="29" t="s">
        <v>5244</v>
      </c>
      <c r="I26" s="29" t="s">
        <v>5245</v>
      </c>
      <c r="J26" s="43" t="s">
        <v>644</v>
      </c>
      <c r="K26" s="43"/>
      <c r="L26" s="44">
        <v>5</v>
      </c>
      <c r="M26" s="57">
        <v>350000</v>
      </c>
      <c r="N26" s="57">
        <v>537000</v>
      </c>
      <c r="O26" s="53" t="s">
        <v>5246</v>
      </c>
      <c r="P26" s="53" t="s">
        <v>5247</v>
      </c>
      <c r="Q26" s="55" t="s">
        <v>592</v>
      </c>
      <c r="R26" s="53" t="s">
        <v>5248</v>
      </c>
      <c r="S26" s="53"/>
      <c r="T26" s="53"/>
      <c r="U26" s="29" t="s">
        <v>491</v>
      </c>
      <c r="V26" s="43"/>
      <c r="W26" s="53"/>
    </row>
    <row r="27" spans="1:23" s="29" customFormat="1" ht="168" customHeight="1" x14ac:dyDescent="0.25">
      <c r="A27" s="56">
        <v>42745</v>
      </c>
      <c r="B27" s="55" t="s">
        <v>328</v>
      </c>
      <c r="C27" s="29" t="s">
        <v>603</v>
      </c>
      <c r="D27" s="29" t="s">
        <v>2397</v>
      </c>
      <c r="E27" s="29" t="s">
        <v>588</v>
      </c>
      <c r="F27" s="29" t="s">
        <v>5261</v>
      </c>
      <c r="H27" s="29" t="s">
        <v>905</v>
      </c>
      <c r="I27" s="29" t="s">
        <v>5262</v>
      </c>
      <c r="J27" s="43" t="s">
        <v>899</v>
      </c>
      <c r="K27" s="43"/>
      <c r="L27" s="44">
        <v>4</v>
      </c>
      <c r="M27" s="57">
        <v>500000</v>
      </c>
      <c r="N27" s="57">
        <v>615000</v>
      </c>
      <c r="O27" s="47" t="s">
        <v>5263</v>
      </c>
      <c r="P27" s="53" t="s">
        <v>5264</v>
      </c>
      <c r="Q27" s="55" t="s">
        <v>1612</v>
      </c>
      <c r="R27" s="42" t="s">
        <v>5568</v>
      </c>
      <c r="S27" s="53"/>
      <c r="T27" s="53"/>
      <c r="U27" s="29" t="s">
        <v>491</v>
      </c>
      <c r="V27" s="43"/>
      <c r="W27" s="53"/>
    </row>
    <row r="28" spans="1:23" ht="45" x14ac:dyDescent="0.25">
      <c r="A28" s="56">
        <v>42745</v>
      </c>
      <c r="B28" s="55" t="s">
        <v>328</v>
      </c>
      <c r="C28" s="29" t="s">
        <v>603</v>
      </c>
      <c r="D28" s="29" t="s">
        <v>2397</v>
      </c>
      <c r="E28" s="29" t="s">
        <v>588</v>
      </c>
      <c r="F28" s="29" t="s">
        <v>5254</v>
      </c>
      <c r="G28" s="29"/>
      <c r="H28" s="29" t="s">
        <v>607</v>
      </c>
      <c r="I28" s="29" t="s">
        <v>5255</v>
      </c>
      <c r="J28" s="43" t="s">
        <v>899</v>
      </c>
      <c r="K28" s="43"/>
      <c r="L28" s="44">
        <v>3</v>
      </c>
      <c r="M28" s="57">
        <v>1800000</v>
      </c>
      <c r="N28" s="57">
        <v>3240000</v>
      </c>
      <c r="O28" s="47" t="s">
        <v>560</v>
      </c>
      <c r="P28" s="53" t="s">
        <v>5256</v>
      </c>
      <c r="Q28" s="55" t="s">
        <v>592</v>
      </c>
      <c r="R28" s="53" t="s">
        <v>5257</v>
      </c>
      <c r="S28" s="53"/>
      <c r="T28" s="53"/>
      <c r="U28" s="29" t="s">
        <v>491</v>
      </c>
      <c r="V28" s="43"/>
      <c r="W28" s="53"/>
    </row>
    <row r="29" spans="1:23" s="29" customFormat="1" ht="60" x14ac:dyDescent="0.25">
      <c r="A29" s="56">
        <v>42745</v>
      </c>
      <c r="B29" s="55" t="s">
        <v>328</v>
      </c>
      <c r="C29" s="29" t="s">
        <v>603</v>
      </c>
      <c r="D29" s="29" t="s">
        <v>2397</v>
      </c>
      <c r="E29" s="29" t="s">
        <v>588</v>
      </c>
      <c r="F29" s="29" t="s">
        <v>5258</v>
      </c>
      <c r="H29" s="29" t="s">
        <v>607</v>
      </c>
      <c r="I29" s="29" t="s">
        <v>4845</v>
      </c>
      <c r="J29" s="43" t="s">
        <v>899</v>
      </c>
      <c r="K29" s="43"/>
      <c r="L29" s="44">
        <v>3</v>
      </c>
      <c r="M29" s="57">
        <v>2940000</v>
      </c>
      <c r="N29" s="57">
        <v>4410000</v>
      </c>
      <c r="O29" s="47" t="s">
        <v>560</v>
      </c>
      <c r="P29" s="53" t="s">
        <v>5259</v>
      </c>
      <c r="Q29" s="55" t="s">
        <v>29</v>
      </c>
      <c r="R29" s="53" t="s">
        <v>5260</v>
      </c>
      <c r="S29" s="53"/>
      <c r="T29" s="53"/>
      <c r="U29" s="29" t="s">
        <v>491</v>
      </c>
      <c r="V29" s="43"/>
      <c r="W29" s="53"/>
    </row>
    <row r="30" spans="1:23" s="29" customFormat="1" ht="105" x14ac:dyDescent="0.25">
      <c r="A30" s="61">
        <v>42745</v>
      </c>
      <c r="B30" s="62" t="s">
        <v>569</v>
      </c>
      <c r="C30" s="46"/>
      <c r="D30" s="46" t="s">
        <v>930</v>
      </c>
      <c r="E30" s="46" t="s">
        <v>692</v>
      </c>
      <c r="F30" s="46" t="s">
        <v>5265</v>
      </c>
      <c r="G30" s="46"/>
      <c r="H30" s="46" t="s">
        <v>607</v>
      </c>
      <c r="I30" s="46" t="s">
        <v>5266</v>
      </c>
      <c r="J30" s="49" t="s">
        <v>899</v>
      </c>
      <c r="K30" s="49"/>
      <c r="L30" s="63"/>
      <c r="M30" s="64">
        <v>600000</v>
      </c>
      <c r="N30" s="64">
        <v>1500000</v>
      </c>
      <c r="O30" s="47" t="s">
        <v>5267</v>
      </c>
      <c r="P30" s="47" t="s">
        <v>5268</v>
      </c>
      <c r="Q30" s="62" t="s">
        <v>1939</v>
      </c>
      <c r="R30" s="47" t="s">
        <v>5269</v>
      </c>
      <c r="S30" s="47"/>
      <c r="T30" s="47"/>
      <c r="U30" s="46" t="s">
        <v>491</v>
      </c>
      <c r="V30" s="49"/>
      <c r="W30" s="47"/>
    </row>
    <row r="31" spans="1:23" ht="75" x14ac:dyDescent="0.25">
      <c r="A31" s="61">
        <v>42746</v>
      </c>
      <c r="B31" s="62" t="s">
        <v>328</v>
      </c>
      <c r="C31" s="46" t="s">
        <v>603</v>
      </c>
      <c r="D31" s="46" t="s">
        <v>672</v>
      </c>
      <c r="E31" s="46" t="s">
        <v>692</v>
      </c>
      <c r="F31" s="46" t="s">
        <v>5276</v>
      </c>
      <c r="O31" s="47" t="s">
        <v>5277</v>
      </c>
      <c r="P31" s="47" t="s">
        <v>5278</v>
      </c>
      <c r="Q31" s="62" t="s">
        <v>592</v>
      </c>
      <c r="U31" s="46" t="s">
        <v>491</v>
      </c>
    </row>
    <row r="32" spans="1:23" s="29" customFormat="1" ht="60" x14ac:dyDescent="0.25">
      <c r="A32" s="56">
        <v>42746</v>
      </c>
      <c r="B32" s="55" t="s">
        <v>5992</v>
      </c>
      <c r="C32" s="29" t="s">
        <v>608</v>
      </c>
      <c r="D32" s="29" t="s">
        <v>5270</v>
      </c>
      <c r="E32" s="29" t="s">
        <v>692</v>
      </c>
      <c r="F32" s="29" t="s">
        <v>5271</v>
      </c>
      <c r="H32" s="29" t="s">
        <v>607</v>
      </c>
      <c r="I32" s="29" t="s">
        <v>5272</v>
      </c>
      <c r="J32" s="43" t="s">
        <v>608</v>
      </c>
      <c r="K32" s="43"/>
      <c r="L32" s="44" t="s">
        <v>5273</v>
      </c>
      <c r="M32" s="57">
        <v>250000</v>
      </c>
      <c r="N32" s="57">
        <v>450000</v>
      </c>
      <c r="O32" s="53" t="s">
        <v>5274</v>
      </c>
      <c r="P32" s="53" t="s">
        <v>5275</v>
      </c>
      <c r="Q32" s="55" t="s">
        <v>1612</v>
      </c>
      <c r="R32" s="53" t="s">
        <v>5289</v>
      </c>
      <c r="S32" s="53"/>
      <c r="T32" s="53"/>
      <c r="U32" s="29" t="s">
        <v>491</v>
      </c>
      <c r="V32" s="43"/>
      <c r="W32" s="53"/>
    </row>
    <row r="33" spans="1:23" s="29" customFormat="1" ht="75" x14ac:dyDescent="0.25">
      <c r="A33" s="56">
        <v>42747</v>
      </c>
      <c r="B33" s="55" t="s">
        <v>328</v>
      </c>
      <c r="C33" s="29" t="s">
        <v>603</v>
      </c>
      <c r="D33" s="29" t="s">
        <v>587</v>
      </c>
      <c r="E33" s="29" t="s">
        <v>692</v>
      </c>
      <c r="F33" s="29" t="s">
        <v>5300</v>
      </c>
      <c r="H33" s="29" t="s">
        <v>607</v>
      </c>
      <c r="I33" s="29" t="s">
        <v>5301</v>
      </c>
      <c r="J33" s="43" t="s">
        <v>3733</v>
      </c>
      <c r="K33" s="43"/>
      <c r="L33" s="44" t="s">
        <v>5302</v>
      </c>
      <c r="M33" s="57">
        <v>750000</v>
      </c>
      <c r="N33" s="57">
        <v>1500000</v>
      </c>
      <c r="O33" s="47" t="s">
        <v>5304</v>
      </c>
      <c r="P33" s="53" t="s">
        <v>5303</v>
      </c>
      <c r="Q33" s="55" t="s">
        <v>1939</v>
      </c>
      <c r="R33" s="53" t="s">
        <v>5305</v>
      </c>
      <c r="S33" s="53" t="s">
        <v>9780</v>
      </c>
      <c r="T33" s="53"/>
      <c r="U33" s="29" t="s">
        <v>491</v>
      </c>
      <c r="V33" s="43"/>
      <c r="W33" s="53"/>
    </row>
    <row r="34" spans="1:23" ht="75" x14ac:dyDescent="0.25">
      <c r="A34" s="56">
        <v>42747</v>
      </c>
      <c r="B34" s="55" t="s">
        <v>328</v>
      </c>
      <c r="C34" s="29" t="s">
        <v>603</v>
      </c>
      <c r="D34" s="29" t="s">
        <v>2397</v>
      </c>
      <c r="E34" s="29" t="s">
        <v>588</v>
      </c>
      <c r="F34" s="29" t="s">
        <v>5283</v>
      </c>
      <c r="G34" s="29"/>
      <c r="H34" s="29" t="s">
        <v>1391</v>
      </c>
      <c r="I34" s="29" t="s">
        <v>4507</v>
      </c>
      <c r="J34" s="43" t="s">
        <v>899</v>
      </c>
      <c r="K34" s="43"/>
      <c r="L34" s="44" t="s">
        <v>5284</v>
      </c>
      <c r="M34" s="57">
        <v>1800000</v>
      </c>
      <c r="N34" s="57">
        <v>3133000</v>
      </c>
      <c r="O34" s="47" t="s">
        <v>560</v>
      </c>
      <c r="P34" s="53" t="s">
        <v>5285</v>
      </c>
      <c r="Q34" s="55" t="s">
        <v>592</v>
      </c>
      <c r="R34" s="53"/>
      <c r="S34" s="53"/>
      <c r="T34" s="53"/>
      <c r="U34" s="29" t="s">
        <v>491</v>
      </c>
      <c r="V34" s="43"/>
      <c r="W34" s="53"/>
    </row>
    <row r="35" spans="1:23" s="29" customFormat="1" ht="60" x14ac:dyDescent="0.25">
      <c r="A35" s="56">
        <v>42747</v>
      </c>
      <c r="B35" s="55" t="s">
        <v>328</v>
      </c>
      <c r="C35" s="29" t="s">
        <v>603</v>
      </c>
      <c r="D35" s="29" t="s">
        <v>2397</v>
      </c>
      <c r="E35" s="29" t="s">
        <v>588</v>
      </c>
      <c r="F35" s="29" t="s">
        <v>5286</v>
      </c>
      <c r="H35" s="29" t="s">
        <v>722</v>
      </c>
      <c r="I35" s="29" t="s">
        <v>4696</v>
      </c>
      <c r="J35" s="43" t="s">
        <v>899</v>
      </c>
      <c r="K35" s="43"/>
      <c r="L35" s="44" t="s">
        <v>5287</v>
      </c>
      <c r="M35" s="57">
        <v>1043000</v>
      </c>
      <c r="N35" s="57">
        <v>1668800</v>
      </c>
      <c r="O35" s="47" t="s">
        <v>560</v>
      </c>
      <c r="P35" s="53" t="s">
        <v>5288</v>
      </c>
      <c r="Q35" s="55" t="s">
        <v>1939</v>
      </c>
      <c r="R35" s="53" t="s">
        <v>9742</v>
      </c>
      <c r="S35" s="53"/>
      <c r="T35" s="53"/>
      <c r="U35" s="29" t="s">
        <v>491</v>
      </c>
      <c r="V35" s="43"/>
      <c r="W35" s="53"/>
    </row>
    <row r="36" spans="1:23" ht="45" x14ac:dyDescent="0.25">
      <c r="A36" s="56">
        <v>42747</v>
      </c>
      <c r="B36" s="55" t="s">
        <v>5176</v>
      </c>
      <c r="C36" s="29"/>
      <c r="D36" s="29" t="s">
        <v>732</v>
      </c>
      <c r="E36" s="29" t="s">
        <v>588</v>
      </c>
      <c r="F36" s="29"/>
      <c r="G36" s="29"/>
      <c r="H36" s="29" t="s">
        <v>843</v>
      </c>
      <c r="I36" s="29"/>
      <c r="J36" s="43"/>
      <c r="K36" s="43"/>
      <c r="L36" s="44"/>
      <c r="M36" s="57"/>
      <c r="N36" s="57"/>
      <c r="O36" s="53" t="s">
        <v>5297</v>
      </c>
      <c r="P36" s="53" t="s">
        <v>5298</v>
      </c>
      <c r="Q36" s="55" t="s">
        <v>592</v>
      </c>
      <c r="R36" s="53" t="s">
        <v>5299</v>
      </c>
      <c r="S36" s="53"/>
      <c r="T36" s="53"/>
      <c r="U36" s="29" t="s">
        <v>491</v>
      </c>
      <c r="V36" s="43"/>
      <c r="W36" s="53"/>
    </row>
    <row r="37" spans="1:23" s="29" customFormat="1" ht="45" x14ac:dyDescent="0.25">
      <c r="A37" s="61">
        <v>42747</v>
      </c>
      <c r="B37" s="62" t="s">
        <v>569</v>
      </c>
      <c r="C37" s="46"/>
      <c r="D37" s="46" t="s">
        <v>625</v>
      </c>
      <c r="E37" s="46" t="s">
        <v>588</v>
      </c>
      <c r="F37" s="46" t="s">
        <v>5279</v>
      </c>
      <c r="G37" s="46"/>
      <c r="H37" s="46" t="s">
        <v>722</v>
      </c>
      <c r="I37" s="46" t="s">
        <v>3649</v>
      </c>
      <c r="J37" s="49" t="s">
        <v>899</v>
      </c>
      <c r="K37" s="49"/>
      <c r="L37" s="63" t="s">
        <v>5280</v>
      </c>
      <c r="M37" s="64">
        <v>1800000</v>
      </c>
      <c r="N37" s="64">
        <v>3060000</v>
      </c>
      <c r="O37" s="47" t="s">
        <v>560</v>
      </c>
      <c r="P37" s="47" t="s">
        <v>5281</v>
      </c>
      <c r="Q37" s="62" t="s">
        <v>1939</v>
      </c>
      <c r="R37" s="47" t="s">
        <v>5282</v>
      </c>
      <c r="S37" s="47"/>
      <c r="T37" s="47"/>
      <c r="U37" s="46" t="s">
        <v>491</v>
      </c>
      <c r="V37" s="49"/>
      <c r="W37" s="47"/>
    </row>
    <row r="38" spans="1:23" s="29" customFormat="1" ht="75" x14ac:dyDescent="0.25">
      <c r="A38" s="56">
        <v>42747</v>
      </c>
      <c r="B38" s="55" t="s">
        <v>569</v>
      </c>
      <c r="D38" s="29" t="s">
        <v>625</v>
      </c>
      <c r="E38" s="29" t="s">
        <v>692</v>
      </c>
      <c r="F38" s="29" t="s">
        <v>5290</v>
      </c>
      <c r="H38" s="29" t="s">
        <v>905</v>
      </c>
      <c r="I38" s="29" t="s">
        <v>3536</v>
      </c>
      <c r="J38" s="43" t="s">
        <v>899</v>
      </c>
      <c r="K38" s="43"/>
      <c r="L38" s="44"/>
      <c r="M38" s="57">
        <v>1900000</v>
      </c>
      <c r="N38" s="57">
        <v>2490000</v>
      </c>
      <c r="O38" s="53" t="s">
        <v>5291</v>
      </c>
      <c r="P38" s="53" t="s">
        <v>5292</v>
      </c>
      <c r="Q38" s="55" t="s">
        <v>1612</v>
      </c>
      <c r="R38" s="53" t="s">
        <v>9484</v>
      </c>
      <c r="S38" s="53"/>
      <c r="T38" s="53"/>
      <c r="U38" s="29" t="s">
        <v>491</v>
      </c>
      <c r="V38" s="43"/>
      <c r="W38" s="53"/>
    </row>
    <row r="39" spans="1:23" s="29" customFormat="1" ht="60" x14ac:dyDescent="0.25">
      <c r="A39" s="61">
        <v>42747</v>
      </c>
      <c r="B39" s="62" t="s">
        <v>569</v>
      </c>
      <c r="C39" s="46"/>
      <c r="D39" s="46" t="s">
        <v>625</v>
      </c>
      <c r="E39" s="46" t="s">
        <v>588</v>
      </c>
      <c r="F39" s="46" t="s">
        <v>5295</v>
      </c>
      <c r="G39" s="46"/>
      <c r="H39" s="46" t="s">
        <v>607</v>
      </c>
      <c r="I39" s="46"/>
      <c r="J39" s="49"/>
      <c r="K39" s="49"/>
      <c r="L39" s="63"/>
      <c r="M39" s="64">
        <v>450000</v>
      </c>
      <c r="N39" s="64"/>
      <c r="O39" s="47" t="s">
        <v>1171</v>
      </c>
      <c r="P39" s="47" t="s">
        <v>5296</v>
      </c>
      <c r="Q39" s="62" t="s">
        <v>1939</v>
      </c>
      <c r="R39" s="47" t="s">
        <v>5319</v>
      </c>
      <c r="S39" s="47" t="s">
        <v>5327</v>
      </c>
      <c r="T39" s="47"/>
      <c r="U39" s="46" t="s">
        <v>491</v>
      </c>
      <c r="V39" s="49"/>
      <c r="W39" s="47"/>
    </row>
    <row r="40" spans="1:23" ht="60" x14ac:dyDescent="0.25">
      <c r="A40" s="61">
        <v>42748</v>
      </c>
      <c r="B40" s="62" t="s">
        <v>328</v>
      </c>
      <c r="C40" s="46" t="s">
        <v>603</v>
      </c>
      <c r="D40" s="46" t="s">
        <v>587</v>
      </c>
      <c r="E40" s="46" t="s">
        <v>821</v>
      </c>
      <c r="F40" s="46" t="s">
        <v>5314</v>
      </c>
      <c r="H40" s="46" t="s">
        <v>607</v>
      </c>
      <c r="J40" s="49" t="s">
        <v>761</v>
      </c>
      <c r="M40" s="64">
        <v>770000</v>
      </c>
      <c r="O40" s="47" t="s">
        <v>5315</v>
      </c>
      <c r="P40" s="47" t="s">
        <v>5316</v>
      </c>
      <c r="Q40" s="62" t="s">
        <v>29</v>
      </c>
      <c r="R40" s="47" t="s">
        <v>5317</v>
      </c>
      <c r="U40" s="46" t="s">
        <v>491</v>
      </c>
      <c r="V40" s="49" t="s">
        <v>3985</v>
      </c>
      <c r="W40" s="47" t="s">
        <v>5318</v>
      </c>
    </row>
    <row r="41" spans="1:23" s="29" customFormat="1" ht="45" x14ac:dyDescent="0.25">
      <c r="A41" s="56">
        <v>42748</v>
      </c>
      <c r="B41" s="55" t="s">
        <v>328</v>
      </c>
      <c r="C41" s="29" t="s">
        <v>5309</v>
      </c>
      <c r="D41" s="29" t="s">
        <v>5310</v>
      </c>
      <c r="E41" s="29" t="s">
        <v>588</v>
      </c>
      <c r="H41" s="29" t="s">
        <v>905</v>
      </c>
      <c r="J41" s="43" t="s">
        <v>608</v>
      </c>
      <c r="K41" s="43"/>
      <c r="L41" s="44"/>
      <c r="M41" s="57"/>
      <c r="N41" s="57"/>
      <c r="O41" s="47" t="s">
        <v>5311</v>
      </c>
      <c r="P41" s="53" t="s">
        <v>5312</v>
      </c>
      <c r="Q41" s="55" t="s">
        <v>620</v>
      </c>
      <c r="R41" s="53" t="s">
        <v>5313</v>
      </c>
      <c r="S41" s="53"/>
      <c r="T41" s="53"/>
      <c r="U41" s="29" t="s">
        <v>491</v>
      </c>
      <c r="V41" s="43"/>
      <c r="W41" s="53"/>
    </row>
    <row r="42" spans="1:23" ht="90" x14ac:dyDescent="0.25">
      <c r="A42" s="56">
        <v>42748</v>
      </c>
      <c r="B42" s="55" t="s">
        <v>5176</v>
      </c>
      <c r="C42" s="29"/>
      <c r="D42" s="29" t="s">
        <v>595</v>
      </c>
      <c r="E42" s="29" t="s">
        <v>692</v>
      </c>
      <c r="F42" s="29" t="s">
        <v>5328</v>
      </c>
      <c r="G42" s="29"/>
      <c r="H42" s="29" t="s">
        <v>607</v>
      </c>
      <c r="I42" s="29" t="s">
        <v>5329</v>
      </c>
      <c r="J42" s="43" t="s">
        <v>4684</v>
      </c>
      <c r="K42" s="43"/>
      <c r="L42" s="44"/>
      <c r="M42" s="57">
        <v>189000</v>
      </c>
      <c r="N42" s="57"/>
      <c r="O42" s="53" t="s">
        <v>3972</v>
      </c>
      <c r="P42" s="53" t="s">
        <v>5330</v>
      </c>
      <c r="Q42" s="55" t="s">
        <v>1612</v>
      </c>
      <c r="R42" s="53" t="s">
        <v>5331</v>
      </c>
      <c r="S42" s="53" t="s">
        <v>5337</v>
      </c>
      <c r="T42" s="53"/>
      <c r="U42" s="29" t="s">
        <v>491</v>
      </c>
      <c r="V42" s="43"/>
      <c r="W42" s="53"/>
    </row>
    <row r="43" spans="1:23" s="29" customFormat="1" ht="90" x14ac:dyDescent="0.25">
      <c r="A43" s="56">
        <v>42748</v>
      </c>
      <c r="B43" s="55" t="s">
        <v>569</v>
      </c>
      <c r="D43" s="29" t="s">
        <v>611</v>
      </c>
      <c r="E43" s="29" t="s">
        <v>692</v>
      </c>
      <c r="F43" s="29" t="s">
        <v>5306</v>
      </c>
      <c r="H43" s="29" t="s">
        <v>607</v>
      </c>
      <c r="J43" s="43"/>
      <c r="K43" s="43"/>
      <c r="L43" s="44"/>
      <c r="M43" s="57"/>
      <c r="N43" s="57"/>
      <c r="O43" s="53" t="s">
        <v>5307</v>
      </c>
      <c r="P43" s="53" t="s">
        <v>5308</v>
      </c>
      <c r="Q43" s="55" t="s">
        <v>592</v>
      </c>
      <c r="R43" s="53"/>
      <c r="S43" s="53"/>
      <c r="T43" s="53"/>
      <c r="U43" s="29" t="s">
        <v>491</v>
      </c>
      <c r="V43" s="43"/>
      <c r="W43" s="53"/>
    </row>
    <row r="44" spans="1:23" s="29" customFormat="1" ht="75" x14ac:dyDescent="0.25">
      <c r="A44" s="61">
        <v>42748</v>
      </c>
      <c r="B44" s="62" t="s">
        <v>569</v>
      </c>
      <c r="C44" s="46"/>
      <c r="D44" s="46" t="s">
        <v>930</v>
      </c>
      <c r="E44" s="46" t="s">
        <v>692</v>
      </c>
      <c r="F44" s="46" t="s">
        <v>5320</v>
      </c>
      <c r="G44" s="46"/>
      <c r="H44" s="46" t="s">
        <v>5321</v>
      </c>
      <c r="I44" s="46" t="s">
        <v>3388</v>
      </c>
      <c r="J44" s="49" t="s">
        <v>899</v>
      </c>
      <c r="K44" s="49"/>
      <c r="L44" s="63" t="s">
        <v>5284</v>
      </c>
      <c r="M44" s="64">
        <v>2447000</v>
      </c>
      <c r="N44" s="64">
        <v>3377425</v>
      </c>
      <c r="O44" s="47" t="s">
        <v>5323</v>
      </c>
      <c r="P44" s="47" t="s">
        <v>5322</v>
      </c>
      <c r="Q44" s="62" t="s">
        <v>1939</v>
      </c>
      <c r="R44" s="47" t="s">
        <v>5324</v>
      </c>
      <c r="S44" s="47"/>
      <c r="T44" s="47"/>
      <c r="U44" s="46" t="s">
        <v>491</v>
      </c>
      <c r="V44" s="49"/>
      <c r="W44" s="47"/>
    </row>
    <row r="45" spans="1:23" s="29" customFormat="1" ht="45" x14ac:dyDescent="0.25">
      <c r="A45" s="56">
        <v>42748</v>
      </c>
      <c r="B45" s="55" t="s">
        <v>569</v>
      </c>
      <c r="D45" s="29" t="s">
        <v>625</v>
      </c>
      <c r="E45" s="29" t="s">
        <v>692</v>
      </c>
      <c r="F45" s="29" t="s">
        <v>5325</v>
      </c>
      <c r="H45" s="29" t="s">
        <v>886</v>
      </c>
      <c r="J45" s="43"/>
      <c r="K45" s="43"/>
      <c r="L45" s="44" t="s">
        <v>5280</v>
      </c>
      <c r="M45" s="57">
        <v>1700000</v>
      </c>
      <c r="N45" s="57">
        <v>2970000</v>
      </c>
      <c r="O45" s="53" t="s">
        <v>560</v>
      </c>
      <c r="P45" s="53" t="s">
        <v>5326</v>
      </c>
      <c r="Q45" s="55" t="s">
        <v>592</v>
      </c>
      <c r="R45" s="53"/>
      <c r="S45" s="53"/>
      <c r="T45" s="53"/>
      <c r="U45" s="29" t="s">
        <v>491</v>
      </c>
      <c r="V45" s="43"/>
      <c r="W45" s="53"/>
    </row>
    <row r="46" spans="1:23" s="29" customFormat="1" ht="75" x14ac:dyDescent="0.25">
      <c r="A46" s="56">
        <v>42751</v>
      </c>
      <c r="B46" s="55" t="s">
        <v>328</v>
      </c>
      <c r="C46" s="29" t="s">
        <v>603</v>
      </c>
      <c r="D46" s="29" t="s">
        <v>1471</v>
      </c>
      <c r="E46" s="29" t="s">
        <v>588</v>
      </c>
      <c r="F46" s="29" t="s">
        <v>5332</v>
      </c>
      <c r="H46" s="29" t="s">
        <v>5333</v>
      </c>
      <c r="I46" s="29" t="s">
        <v>5334</v>
      </c>
      <c r="J46" s="43" t="s">
        <v>604</v>
      </c>
      <c r="K46" s="43"/>
      <c r="L46" s="44" t="s">
        <v>5280</v>
      </c>
      <c r="M46" s="57">
        <v>237000</v>
      </c>
      <c r="N46" s="57">
        <v>402900</v>
      </c>
      <c r="O46" s="47" t="s">
        <v>639</v>
      </c>
      <c r="P46" s="53" t="s">
        <v>5335</v>
      </c>
      <c r="Q46" s="55" t="s">
        <v>1939</v>
      </c>
      <c r="R46" s="53" t="s">
        <v>5336</v>
      </c>
      <c r="S46" s="53"/>
      <c r="T46" s="53"/>
      <c r="U46" s="29" t="s">
        <v>491</v>
      </c>
      <c r="V46" s="43"/>
      <c r="W46" s="53"/>
    </row>
    <row r="47" spans="1:23" s="29" customFormat="1" ht="75" x14ac:dyDescent="0.25">
      <c r="A47" s="56">
        <v>42751</v>
      </c>
      <c r="B47" s="55" t="s">
        <v>569</v>
      </c>
      <c r="D47" s="29" t="s">
        <v>625</v>
      </c>
      <c r="E47" s="29" t="s">
        <v>692</v>
      </c>
      <c r="F47" s="29" t="s">
        <v>5338</v>
      </c>
      <c r="H47" s="29" t="s">
        <v>5339</v>
      </c>
      <c r="I47" s="58" t="s">
        <v>5340</v>
      </c>
      <c r="J47" s="43" t="s">
        <v>899</v>
      </c>
      <c r="K47" s="43"/>
      <c r="L47" s="44" t="s">
        <v>5341</v>
      </c>
      <c r="M47" s="57">
        <v>1500000</v>
      </c>
      <c r="N47" s="57">
        <v>1670000</v>
      </c>
      <c r="O47" s="53" t="s">
        <v>5342</v>
      </c>
      <c r="P47" s="53" t="s">
        <v>5343</v>
      </c>
      <c r="Q47" s="55" t="s">
        <v>29</v>
      </c>
      <c r="R47" s="53" t="s">
        <v>5438</v>
      </c>
      <c r="S47" s="53"/>
      <c r="T47" s="53"/>
      <c r="U47" s="29" t="s">
        <v>491</v>
      </c>
      <c r="V47" s="43"/>
      <c r="W47" s="53"/>
    </row>
    <row r="48" spans="1:23" s="29" customFormat="1" ht="30" x14ac:dyDescent="0.25">
      <c r="A48" s="61">
        <v>42752</v>
      </c>
      <c r="B48" s="62" t="s">
        <v>569</v>
      </c>
      <c r="C48" s="46"/>
      <c r="D48" s="46" t="s">
        <v>624</v>
      </c>
      <c r="E48" s="46" t="s">
        <v>588</v>
      </c>
      <c r="F48" s="46" t="s">
        <v>5350</v>
      </c>
      <c r="G48" s="46"/>
      <c r="H48" s="46" t="s">
        <v>607</v>
      </c>
      <c r="I48" s="46"/>
      <c r="J48" s="49"/>
      <c r="K48" s="49"/>
      <c r="L48" s="63"/>
      <c r="M48" s="64"/>
      <c r="N48" s="64"/>
      <c r="O48" s="47" t="s">
        <v>3785</v>
      </c>
      <c r="P48" s="47" t="s">
        <v>5348</v>
      </c>
      <c r="Q48" s="62" t="s">
        <v>1939</v>
      </c>
      <c r="R48" s="47" t="s">
        <v>5349</v>
      </c>
      <c r="S48" s="47"/>
      <c r="T48" s="47"/>
      <c r="U48" s="46" t="s">
        <v>491</v>
      </c>
      <c r="V48" s="46"/>
      <c r="W48" s="47"/>
    </row>
    <row r="49" spans="1:23" ht="45" x14ac:dyDescent="0.25">
      <c r="A49" s="56">
        <v>42752</v>
      </c>
      <c r="B49" s="55" t="s">
        <v>643</v>
      </c>
      <c r="C49" s="29" t="s">
        <v>644</v>
      </c>
      <c r="D49" s="29" t="s">
        <v>645</v>
      </c>
      <c r="E49" s="29" t="s">
        <v>588</v>
      </c>
      <c r="F49" s="29" t="s">
        <v>5344</v>
      </c>
      <c r="G49" s="29"/>
      <c r="H49" s="29" t="s">
        <v>886</v>
      </c>
      <c r="I49" s="29" t="s">
        <v>5345</v>
      </c>
      <c r="J49" s="43" t="s">
        <v>644</v>
      </c>
      <c r="K49" s="43"/>
      <c r="L49" s="44" t="s">
        <v>5280</v>
      </c>
      <c r="M49" s="57">
        <v>754000</v>
      </c>
      <c r="N49" s="57">
        <v>1200000</v>
      </c>
      <c r="O49" s="53" t="s">
        <v>5346</v>
      </c>
      <c r="P49" s="53" t="s">
        <v>5347</v>
      </c>
      <c r="Q49" s="55" t="s">
        <v>1939</v>
      </c>
      <c r="R49" s="53" t="s">
        <v>5351</v>
      </c>
      <c r="S49" s="53"/>
      <c r="T49" s="53"/>
      <c r="U49" s="29" t="s">
        <v>491</v>
      </c>
      <c r="V49" s="43"/>
      <c r="W49" s="53"/>
    </row>
    <row r="50" spans="1:23" s="29" customFormat="1" ht="45" x14ac:dyDescent="0.25">
      <c r="A50" s="56">
        <v>42753</v>
      </c>
      <c r="B50" s="55" t="s">
        <v>569</v>
      </c>
      <c r="D50" s="29" t="s">
        <v>611</v>
      </c>
      <c r="E50" s="29" t="s">
        <v>588</v>
      </c>
      <c r="F50" s="29" t="s">
        <v>5352</v>
      </c>
      <c r="H50" s="29" t="s">
        <v>607</v>
      </c>
      <c r="I50" s="29" t="s">
        <v>5353</v>
      </c>
      <c r="J50" s="43" t="s">
        <v>899</v>
      </c>
      <c r="K50" s="43"/>
      <c r="L50" s="44"/>
      <c r="M50" s="57"/>
      <c r="N50" s="57"/>
      <c r="O50" s="53" t="s">
        <v>5354</v>
      </c>
      <c r="P50" s="53" t="s">
        <v>5355</v>
      </c>
      <c r="Q50" s="55" t="s">
        <v>29</v>
      </c>
      <c r="R50" s="53" t="s">
        <v>5356</v>
      </c>
      <c r="S50" s="53"/>
      <c r="T50" s="53"/>
      <c r="U50" s="29" t="s">
        <v>491</v>
      </c>
      <c r="W50" s="53"/>
    </row>
    <row r="51" spans="1:23" s="29" customFormat="1" ht="45" x14ac:dyDescent="0.25">
      <c r="A51" s="61">
        <v>42753</v>
      </c>
      <c r="B51" s="62" t="s">
        <v>5360</v>
      </c>
      <c r="C51" s="46"/>
      <c r="D51" s="46" t="s">
        <v>1027</v>
      </c>
      <c r="E51" s="46" t="s">
        <v>588</v>
      </c>
      <c r="F51" s="46" t="s">
        <v>5361</v>
      </c>
      <c r="G51" s="46"/>
      <c r="H51" s="46" t="s">
        <v>5244</v>
      </c>
      <c r="I51" s="46" t="s">
        <v>5362</v>
      </c>
      <c r="J51" s="49" t="s">
        <v>899</v>
      </c>
      <c r="K51" s="49"/>
      <c r="L51" s="63" t="s">
        <v>5280</v>
      </c>
      <c r="M51" s="64">
        <v>300000</v>
      </c>
      <c r="N51" s="64">
        <v>4400000</v>
      </c>
      <c r="O51" s="47" t="s">
        <v>560</v>
      </c>
      <c r="P51" s="47" t="s">
        <v>5363</v>
      </c>
      <c r="Q51" s="62" t="s">
        <v>1939</v>
      </c>
      <c r="R51" s="47" t="s">
        <v>5364</v>
      </c>
      <c r="S51" s="47"/>
      <c r="T51" s="47"/>
      <c r="U51" s="46" t="s">
        <v>491</v>
      </c>
      <c r="V51" s="46"/>
      <c r="W51" s="47"/>
    </row>
    <row r="52" spans="1:23" ht="120" x14ac:dyDescent="0.25">
      <c r="A52" s="56">
        <v>42753</v>
      </c>
      <c r="B52" s="55" t="s">
        <v>643</v>
      </c>
      <c r="C52" s="29" t="s">
        <v>644</v>
      </c>
      <c r="D52" s="29" t="s">
        <v>645</v>
      </c>
      <c r="E52" s="29" t="s">
        <v>588</v>
      </c>
      <c r="F52" s="29" t="s">
        <v>5357</v>
      </c>
      <c r="G52" s="29"/>
      <c r="H52" s="29" t="s">
        <v>722</v>
      </c>
      <c r="I52" s="29" t="s">
        <v>4042</v>
      </c>
      <c r="J52" s="43" t="s">
        <v>644</v>
      </c>
      <c r="K52" s="43"/>
      <c r="L52" s="44" t="s">
        <v>5287</v>
      </c>
      <c r="M52" s="57">
        <v>150000</v>
      </c>
      <c r="N52" s="57">
        <v>170000</v>
      </c>
      <c r="O52" s="53" t="s">
        <v>653</v>
      </c>
      <c r="P52" s="53" t="s">
        <v>5358</v>
      </c>
      <c r="Q52" s="55" t="s">
        <v>1939</v>
      </c>
      <c r="R52" s="53" t="s">
        <v>5359</v>
      </c>
      <c r="S52" s="53"/>
      <c r="T52" s="53"/>
      <c r="U52" s="29" t="s">
        <v>491</v>
      </c>
      <c r="V52" s="29"/>
      <c r="W52" s="53"/>
    </row>
    <row r="53" spans="1:23" s="29" customFormat="1" ht="108.75" x14ac:dyDescent="0.25">
      <c r="A53" s="56">
        <v>42754</v>
      </c>
      <c r="B53" s="55" t="s">
        <v>328</v>
      </c>
      <c r="C53" s="29" t="s">
        <v>603</v>
      </c>
      <c r="D53" s="29" t="s">
        <v>2397</v>
      </c>
      <c r="E53" s="29" t="s">
        <v>588</v>
      </c>
      <c r="F53" s="29" t="s">
        <v>5368</v>
      </c>
      <c r="H53" s="29" t="s">
        <v>607</v>
      </c>
      <c r="I53" s="29" t="s">
        <v>5372</v>
      </c>
      <c r="J53" s="43" t="s">
        <v>3751</v>
      </c>
      <c r="K53" s="43"/>
      <c r="L53" s="44" t="s">
        <v>5369</v>
      </c>
      <c r="M53" s="57">
        <v>150000</v>
      </c>
      <c r="N53" s="57">
        <v>215000</v>
      </c>
      <c r="O53" s="47" t="s">
        <v>5370</v>
      </c>
      <c r="P53" s="53" t="s">
        <v>5371</v>
      </c>
      <c r="Q53" s="55" t="s">
        <v>1939</v>
      </c>
      <c r="R53" s="41" t="s">
        <v>8723</v>
      </c>
      <c r="S53" s="53"/>
      <c r="T53" s="53"/>
      <c r="U53" s="29" t="s">
        <v>491</v>
      </c>
      <c r="W53" s="53"/>
    </row>
    <row r="54" spans="1:23" s="29" customFormat="1" ht="60" x14ac:dyDescent="0.25">
      <c r="A54" s="56">
        <v>42754</v>
      </c>
      <c r="B54" s="55" t="s">
        <v>328</v>
      </c>
      <c r="C54" s="29" t="s">
        <v>603</v>
      </c>
      <c r="D54" s="29" t="s">
        <v>2397</v>
      </c>
      <c r="E54" s="29" t="s">
        <v>588</v>
      </c>
      <c r="F54" s="29" t="s">
        <v>5365</v>
      </c>
      <c r="H54" s="29" t="s">
        <v>607</v>
      </c>
      <c r="I54" s="29" t="s">
        <v>5366</v>
      </c>
      <c r="J54" s="43" t="s">
        <v>899</v>
      </c>
      <c r="K54" s="43"/>
      <c r="L54" s="44" t="s">
        <v>5302</v>
      </c>
      <c r="M54" s="57">
        <v>968000</v>
      </c>
      <c r="N54" s="57">
        <v>1742400</v>
      </c>
      <c r="O54" s="47" t="s">
        <v>560</v>
      </c>
      <c r="P54" s="53" t="s">
        <v>6291</v>
      </c>
      <c r="Q54" s="55" t="s">
        <v>1939</v>
      </c>
      <c r="R54" s="53" t="s">
        <v>5367</v>
      </c>
      <c r="S54" s="53"/>
      <c r="T54" s="53"/>
      <c r="U54" s="29" t="s">
        <v>491</v>
      </c>
      <c r="W54" s="53"/>
    </row>
    <row r="55" spans="1:23" ht="60" x14ac:dyDescent="0.25">
      <c r="A55" s="56">
        <v>42754</v>
      </c>
      <c r="B55" s="55" t="s">
        <v>569</v>
      </c>
      <c r="C55" s="29"/>
      <c r="D55" s="29" t="s">
        <v>930</v>
      </c>
      <c r="E55" s="29" t="s">
        <v>692</v>
      </c>
      <c r="F55" s="29" t="s">
        <v>5373</v>
      </c>
      <c r="G55" s="29"/>
      <c r="H55" s="29" t="s">
        <v>607</v>
      </c>
      <c r="I55" s="29" t="s">
        <v>232</v>
      </c>
      <c r="J55" s="43" t="s">
        <v>899</v>
      </c>
      <c r="K55" s="43"/>
      <c r="L55" s="44" t="s">
        <v>5302</v>
      </c>
      <c r="M55" s="57">
        <v>1400000</v>
      </c>
      <c r="N55" s="57">
        <v>3110000</v>
      </c>
      <c r="O55" s="53" t="s">
        <v>560</v>
      </c>
      <c r="P55" s="53" t="s">
        <v>5374</v>
      </c>
      <c r="Q55" s="55" t="s">
        <v>592</v>
      </c>
      <c r="R55" s="53"/>
      <c r="S55" s="53"/>
      <c r="T55" s="53"/>
      <c r="U55" s="29" t="s">
        <v>491</v>
      </c>
      <c r="V55" s="29"/>
      <c r="W55" s="53"/>
    </row>
    <row r="56" spans="1:23" ht="75" x14ac:dyDescent="0.25">
      <c r="A56" s="61">
        <v>42754</v>
      </c>
      <c r="B56" s="62" t="s">
        <v>569</v>
      </c>
      <c r="D56" s="46" t="s">
        <v>930</v>
      </c>
      <c r="E56" s="46" t="s">
        <v>588</v>
      </c>
      <c r="F56" s="46" t="s">
        <v>4077</v>
      </c>
      <c r="H56" s="46" t="s">
        <v>607</v>
      </c>
      <c r="I56" s="46" t="s">
        <v>4078</v>
      </c>
      <c r="J56" s="49" t="s">
        <v>899</v>
      </c>
      <c r="L56" s="63" t="s">
        <v>5280</v>
      </c>
      <c r="M56" s="64">
        <v>1739000</v>
      </c>
      <c r="N56" s="64">
        <v>3149000</v>
      </c>
      <c r="O56" s="47" t="s">
        <v>560</v>
      </c>
      <c r="P56" s="47" t="s">
        <v>5375</v>
      </c>
      <c r="Q56" s="62" t="s">
        <v>1939</v>
      </c>
      <c r="R56" s="47" t="s">
        <v>5376</v>
      </c>
      <c r="U56" s="46" t="s">
        <v>491</v>
      </c>
      <c r="V56" s="46"/>
    </row>
    <row r="57" spans="1:23" s="29" customFormat="1" ht="90" x14ac:dyDescent="0.25">
      <c r="A57" s="61">
        <v>42754</v>
      </c>
      <c r="B57" s="62" t="s">
        <v>569</v>
      </c>
      <c r="C57" s="46"/>
      <c r="D57" s="46" t="s">
        <v>625</v>
      </c>
      <c r="E57" s="46" t="s">
        <v>588</v>
      </c>
      <c r="F57" s="46" t="s">
        <v>5377</v>
      </c>
      <c r="G57" s="46"/>
      <c r="H57" s="46" t="s">
        <v>607</v>
      </c>
      <c r="I57" s="46" t="s">
        <v>2054</v>
      </c>
      <c r="J57" s="49" t="s">
        <v>899</v>
      </c>
      <c r="K57" s="49"/>
      <c r="L57" s="63" t="s">
        <v>5341</v>
      </c>
      <c r="M57" s="64">
        <v>2009000</v>
      </c>
      <c r="N57" s="64">
        <v>3616200</v>
      </c>
      <c r="O57" s="47" t="s">
        <v>4017</v>
      </c>
      <c r="P57" s="47" t="s">
        <v>5378</v>
      </c>
      <c r="Q57" s="62" t="s">
        <v>1939</v>
      </c>
      <c r="R57" s="47" t="s">
        <v>5379</v>
      </c>
      <c r="S57" s="47"/>
      <c r="T57" s="47"/>
      <c r="U57" s="46" t="s">
        <v>491</v>
      </c>
      <c r="V57" s="46"/>
      <c r="W57" s="47"/>
    </row>
    <row r="58" spans="1:23" s="29" customFormat="1" ht="60" x14ac:dyDescent="0.25">
      <c r="A58" s="56">
        <v>42755</v>
      </c>
      <c r="B58" s="55" t="s">
        <v>328</v>
      </c>
      <c r="C58" s="29" t="s">
        <v>603</v>
      </c>
      <c r="D58" s="29" t="s">
        <v>1471</v>
      </c>
      <c r="E58" s="29" t="s">
        <v>588</v>
      </c>
      <c r="F58" s="29" t="s">
        <v>5392</v>
      </c>
      <c r="H58" s="29" t="s">
        <v>5244</v>
      </c>
      <c r="I58" s="29" t="s">
        <v>4507</v>
      </c>
      <c r="J58" s="43" t="s">
        <v>899</v>
      </c>
      <c r="K58" s="43"/>
      <c r="L58" s="44" t="s">
        <v>5280</v>
      </c>
      <c r="M58" s="57">
        <v>775000</v>
      </c>
      <c r="N58" s="57">
        <v>1030000</v>
      </c>
      <c r="O58" s="47" t="s">
        <v>5393</v>
      </c>
      <c r="P58" s="53" t="s">
        <v>5394</v>
      </c>
      <c r="Q58" s="55" t="s">
        <v>1939</v>
      </c>
      <c r="R58" s="53" t="s">
        <v>5395</v>
      </c>
      <c r="S58" s="53"/>
      <c r="T58" s="53"/>
      <c r="U58" s="29" t="s">
        <v>491</v>
      </c>
      <c r="W58" s="53"/>
    </row>
    <row r="59" spans="1:23" s="29" customFormat="1" ht="60" x14ac:dyDescent="0.25">
      <c r="A59" s="56">
        <v>42755</v>
      </c>
      <c r="B59" s="55" t="s">
        <v>5176</v>
      </c>
      <c r="D59" s="29" t="s">
        <v>595</v>
      </c>
      <c r="E59" s="29" t="s">
        <v>588</v>
      </c>
      <c r="F59" s="29" t="s">
        <v>5389</v>
      </c>
      <c r="H59" s="29" t="s">
        <v>607</v>
      </c>
      <c r="I59" s="29" t="s">
        <v>5390</v>
      </c>
      <c r="J59" s="43" t="s">
        <v>959</v>
      </c>
      <c r="K59" s="43"/>
      <c r="L59" s="44"/>
      <c r="M59" s="57"/>
      <c r="N59" s="57"/>
      <c r="O59" s="53" t="s">
        <v>3952</v>
      </c>
      <c r="P59" s="53" t="s">
        <v>6292</v>
      </c>
      <c r="Q59" s="55" t="s">
        <v>620</v>
      </c>
      <c r="R59" s="53" t="s">
        <v>5391</v>
      </c>
      <c r="S59" s="53"/>
      <c r="T59" s="53"/>
      <c r="U59" s="29" t="s">
        <v>491</v>
      </c>
      <c r="W59" s="53"/>
    </row>
    <row r="60" spans="1:23" ht="75" x14ac:dyDescent="0.25">
      <c r="A60" s="61">
        <v>42755</v>
      </c>
      <c r="B60" s="62" t="s">
        <v>569</v>
      </c>
      <c r="D60" s="46" t="s">
        <v>930</v>
      </c>
      <c r="E60" s="46" t="s">
        <v>588</v>
      </c>
      <c r="F60" s="46" t="s">
        <v>5385</v>
      </c>
      <c r="H60" s="46" t="s">
        <v>607</v>
      </c>
      <c r="I60" s="46" t="s">
        <v>4519</v>
      </c>
      <c r="J60" s="49" t="s">
        <v>899</v>
      </c>
      <c r="L60" s="63" t="s">
        <v>5284</v>
      </c>
      <c r="M60" s="64">
        <v>314000</v>
      </c>
      <c r="N60" s="64">
        <v>565200</v>
      </c>
      <c r="O60" s="47" t="s">
        <v>5386</v>
      </c>
      <c r="P60" s="47" t="s">
        <v>5387</v>
      </c>
      <c r="Q60" s="62" t="s">
        <v>1939</v>
      </c>
      <c r="R60" s="47" t="s">
        <v>5388</v>
      </c>
      <c r="U60" s="46" t="s">
        <v>491</v>
      </c>
      <c r="V60" s="46"/>
    </row>
    <row r="61" spans="1:23" s="29" customFormat="1" ht="75" x14ac:dyDescent="0.25">
      <c r="A61" s="56">
        <v>42755</v>
      </c>
      <c r="B61" s="55" t="s">
        <v>643</v>
      </c>
      <c r="C61" s="29" t="s">
        <v>644</v>
      </c>
      <c r="D61" s="29" t="s">
        <v>3132</v>
      </c>
      <c r="E61" s="29" t="s">
        <v>588</v>
      </c>
      <c r="F61" s="29" t="s">
        <v>5380</v>
      </c>
      <c r="H61" s="29" t="s">
        <v>607</v>
      </c>
      <c r="I61" s="29" t="s">
        <v>5381</v>
      </c>
      <c r="J61" s="43" t="s">
        <v>644</v>
      </c>
      <c r="K61" s="43"/>
      <c r="L61" s="44" t="s">
        <v>5287</v>
      </c>
      <c r="M61" s="57">
        <v>1500000</v>
      </c>
      <c r="N61" s="57">
        <v>2600000</v>
      </c>
      <c r="O61" s="53" t="s">
        <v>5383</v>
      </c>
      <c r="P61" s="53" t="s">
        <v>5382</v>
      </c>
      <c r="Q61" s="55" t="s">
        <v>29</v>
      </c>
      <c r="R61" s="53" t="s">
        <v>5384</v>
      </c>
      <c r="S61" s="53"/>
      <c r="T61" s="53"/>
      <c r="U61" s="29" t="s">
        <v>491</v>
      </c>
      <c r="W61" s="53"/>
    </row>
    <row r="62" spans="1:23" ht="105" x14ac:dyDescent="0.25">
      <c r="A62" s="61">
        <v>42756</v>
      </c>
      <c r="B62" s="62" t="s">
        <v>569</v>
      </c>
      <c r="D62" s="46" t="s">
        <v>625</v>
      </c>
      <c r="E62" s="46" t="s">
        <v>692</v>
      </c>
      <c r="F62" s="46" t="s">
        <v>4113</v>
      </c>
      <c r="H62" s="46" t="s">
        <v>905</v>
      </c>
      <c r="I62" s="46" t="s">
        <v>5396</v>
      </c>
      <c r="J62" s="49" t="s">
        <v>899</v>
      </c>
      <c r="L62" s="63" t="s">
        <v>5280</v>
      </c>
      <c r="M62" s="64">
        <v>295000</v>
      </c>
      <c r="N62" s="64">
        <v>364000</v>
      </c>
      <c r="O62" s="47" t="s">
        <v>5397</v>
      </c>
      <c r="P62" s="47" t="s">
        <v>5399</v>
      </c>
      <c r="Q62" s="62" t="s">
        <v>1939</v>
      </c>
      <c r="R62" s="47" t="s">
        <v>5398</v>
      </c>
      <c r="U62" s="46" t="s">
        <v>491</v>
      </c>
      <c r="V62" s="46"/>
    </row>
    <row r="63" spans="1:23" s="29" customFormat="1" ht="120" x14ac:dyDescent="0.25">
      <c r="A63" s="56">
        <v>42758</v>
      </c>
      <c r="B63" s="55" t="s">
        <v>328</v>
      </c>
      <c r="C63" s="29" t="s">
        <v>603</v>
      </c>
      <c r="D63" s="29" t="s">
        <v>2397</v>
      </c>
      <c r="E63" s="29" t="s">
        <v>588</v>
      </c>
      <c r="F63" s="29" t="s">
        <v>5408</v>
      </c>
      <c r="H63" s="29" t="s">
        <v>607</v>
      </c>
      <c r="I63" s="29" t="s">
        <v>5409</v>
      </c>
      <c r="J63" s="43" t="s">
        <v>3373</v>
      </c>
      <c r="K63" s="43"/>
      <c r="L63" s="44" t="s">
        <v>5302</v>
      </c>
      <c r="M63" s="57">
        <v>637000</v>
      </c>
      <c r="N63" s="57">
        <v>1274000</v>
      </c>
      <c r="O63" s="47" t="s">
        <v>3107</v>
      </c>
      <c r="P63" s="53" t="s">
        <v>5410</v>
      </c>
      <c r="Q63" s="55" t="s">
        <v>620</v>
      </c>
      <c r="R63" s="53" t="s">
        <v>5411</v>
      </c>
      <c r="S63" s="53"/>
      <c r="T63" s="53"/>
      <c r="U63" s="29" t="s">
        <v>491</v>
      </c>
      <c r="W63" s="53"/>
    </row>
    <row r="64" spans="1:23" s="29" customFormat="1" ht="45" x14ac:dyDescent="0.25">
      <c r="A64" s="56">
        <v>42758</v>
      </c>
      <c r="B64" s="55" t="s">
        <v>328</v>
      </c>
      <c r="C64" s="29" t="s">
        <v>603</v>
      </c>
      <c r="D64" s="29" t="s">
        <v>2397</v>
      </c>
      <c r="E64" s="29" t="s">
        <v>588</v>
      </c>
      <c r="F64" s="29" t="s">
        <v>5400</v>
      </c>
      <c r="H64" s="29" t="s">
        <v>607</v>
      </c>
      <c r="I64" s="29" t="s">
        <v>5401</v>
      </c>
      <c r="J64" s="43" t="s">
        <v>5402</v>
      </c>
      <c r="K64" s="43"/>
      <c r="L64" s="44" t="s">
        <v>5280</v>
      </c>
      <c r="M64" s="57">
        <v>2000000</v>
      </c>
      <c r="N64" s="57">
        <v>4000000</v>
      </c>
      <c r="O64" s="47" t="s">
        <v>560</v>
      </c>
      <c r="P64" s="53" t="s">
        <v>5404</v>
      </c>
      <c r="Q64" s="55" t="s">
        <v>620</v>
      </c>
      <c r="R64" s="122" t="s">
        <v>5403</v>
      </c>
      <c r="S64" s="53"/>
      <c r="T64" s="53"/>
      <c r="U64" s="29" t="s">
        <v>491</v>
      </c>
      <c r="V64" s="43"/>
      <c r="W64" s="53"/>
    </row>
    <row r="65" spans="1:23" s="29" customFormat="1" ht="45" x14ac:dyDescent="0.25">
      <c r="A65" s="56">
        <v>42758</v>
      </c>
      <c r="B65" s="55" t="s">
        <v>5176</v>
      </c>
      <c r="D65" s="29" t="s">
        <v>727</v>
      </c>
      <c r="E65" s="29" t="s">
        <v>588</v>
      </c>
      <c r="F65" s="29" t="s">
        <v>5414</v>
      </c>
      <c r="H65" s="29" t="s">
        <v>607</v>
      </c>
      <c r="I65" s="29" t="s">
        <v>5415</v>
      </c>
      <c r="J65" s="43" t="s">
        <v>3369</v>
      </c>
      <c r="K65" s="43"/>
      <c r="L65" s="44"/>
      <c r="M65" s="57">
        <v>1445000</v>
      </c>
      <c r="N65" s="57">
        <v>2601000</v>
      </c>
      <c r="O65" s="53" t="s">
        <v>5416</v>
      </c>
      <c r="P65" s="53" t="s">
        <v>5417</v>
      </c>
      <c r="Q65" s="55" t="s">
        <v>620</v>
      </c>
      <c r="R65" s="53" t="s">
        <v>5418</v>
      </c>
      <c r="S65" s="53"/>
      <c r="T65" s="53"/>
      <c r="U65" s="29" t="s">
        <v>491</v>
      </c>
      <c r="V65" s="43"/>
      <c r="W65" s="53"/>
    </row>
    <row r="66" spans="1:23" s="29" customFormat="1" ht="30" x14ac:dyDescent="0.25">
      <c r="A66" s="56">
        <v>42758</v>
      </c>
      <c r="B66" s="55" t="s">
        <v>569</v>
      </c>
      <c r="D66" s="29" t="s">
        <v>624</v>
      </c>
      <c r="E66" s="29" t="s">
        <v>588</v>
      </c>
      <c r="F66" s="53" t="s">
        <v>829</v>
      </c>
      <c r="G66" s="53"/>
      <c r="H66" s="40" t="s">
        <v>722</v>
      </c>
      <c r="I66" s="29" t="s">
        <v>5412</v>
      </c>
      <c r="J66" s="43" t="s">
        <v>899</v>
      </c>
      <c r="K66" s="43"/>
      <c r="L66" s="44" t="s">
        <v>5284</v>
      </c>
      <c r="M66" s="31">
        <v>3078360</v>
      </c>
      <c r="N66" s="30">
        <v>3879660</v>
      </c>
      <c r="O66" s="31" t="s">
        <v>831</v>
      </c>
      <c r="P66" s="33" t="s">
        <v>832</v>
      </c>
      <c r="Q66" s="55" t="s">
        <v>592</v>
      </c>
      <c r="R66" s="53" t="s">
        <v>5413</v>
      </c>
      <c r="S66" s="53"/>
      <c r="T66" s="53"/>
      <c r="U66" s="29" t="s">
        <v>491</v>
      </c>
      <c r="V66" s="43"/>
      <c r="W66" s="53"/>
    </row>
    <row r="67" spans="1:23" s="29" customFormat="1" ht="39" x14ac:dyDescent="0.25">
      <c r="A67" s="56">
        <v>42758</v>
      </c>
      <c r="B67" s="55" t="s">
        <v>643</v>
      </c>
      <c r="C67" s="29" t="s">
        <v>644</v>
      </c>
      <c r="D67" s="29" t="s">
        <v>645</v>
      </c>
      <c r="E67" s="29" t="s">
        <v>588</v>
      </c>
      <c r="F67" s="29" t="s">
        <v>5405</v>
      </c>
      <c r="H67" s="29" t="s">
        <v>722</v>
      </c>
      <c r="I67" s="29" t="s">
        <v>4390</v>
      </c>
      <c r="J67" s="43" t="s">
        <v>644</v>
      </c>
      <c r="K67" s="43"/>
      <c r="L67" s="44" t="s">
        <v>5302</v>
      </c>
      <c r="M67" s="57">
        <v>400000</v>
      </c>
      <c r="N67" s="57">
        <v>490000</v>
      </c>
      <c r="O67" s="53" t="s">
        <v>653</v>
      </c>
      <c r="P67" s="53" t="s">
        <v>5406</v>
      </c>
      <c r="Q67" s="55" t="s">
        <v>29</v>
      </c>
      <c r="R67" s="125" t="s">
        <v>5407</v>
      </c>
      <c r="S67" s="53"/>
      <c r="T67" s="53"/>
      <c r="U67" s="29" t="s">
        <v>491</v>
      </c>
      <c r="W67" s="53"/>
    </row>
    <row r="68" spans="1:23" s="29" customFormat="1" ht="75" x14ac:dyDescent="0.25">
      <c r="A68" s="56">
        <v>42759</v>
      </c>
      <c r="B68" s="55" t="s">
        <v>328</v>
      </c>
      <c r="C68" s="29" t="s">
        <v>603</v>
      </c>
      <c r="D68" s="29" t="s">
        <v>2397</v>
      </c>
      <c r="E68" s="29" t="s">
        <v>588</v>
      </c>
      <c r="F68" s="29" t="s">
        <v>5422</v>
      </c>
      <c r="H68" s="29" t="s">
        <v>607</v>
      </c>
      <c r="I68" s="29" t="s">
        <v>5423</v>
      </c>
      <c r="J68" s="43" t="s">
        <v>899</v>
      </c>
      <c r="K68" s="43"/>
      <c r="L68" s="44" t="s">
        <v>5280</v>
      </c>
      <c r="M68" s="57">
        <v>2250600</v>
      </c>
      <c r="N68" s="57">
        <v>3846960</v>
      </c>
      <c r="O68" s="47" t="s">
        <v>560</v>
      </c>
      <c r="P68" s="53" t="s">
        <v>5424</v>
      </c>
      <c r="Q68" s="55" t="s">
        <v>1939</v>
      </c>
      <c r="R68" s="53" t="s">
        <v>5425</v>
      </c>
      <c r="S68" s="53"/>
      <c r="T68" s="53"/>
      <c r="U68" s="29" t="s">
        <v>491</v>
      </c>
      <c r="V68" s="43"/>
      <c r="W68" s="53"/>
    </row>
    <row r="69" spans="1:23" s="29" customFormat="1" ht="45" x14ac:dyDescent="0.25">
      <c r="A69" s="56">
        <v>42759</v>
      </c>
      <c r="B69" s="55" t="s">
        <v>328</v>
      </c>
      <c r="C69" s="29" t="s">
        <v>603</v>
      </c>
      <c r="D69" s="29" t="s">
        <v>2397</v>
      </c>
      <c r="E69" s="29" t="s">
        <v>588</v>
      </c>
      <c r="F69" s="29" t="s">
        <v>5427</v>
      </c>
      <c r="H69" s="29" t="s">
        <v>1391</v>
      </c>
      <c r="I69" s="29" t="s">
        <v>3649</v>
      </c>
      <c r="J69" s="43" t="s">
        <v>899</v>
      </c>
      <c r="K69" s="43"/>
      <c r="L69" s="44" t="s">
        <v>5280</v>
      </c>
      <c r="M69" s="57">
        <v>750000</v>
      </c>
      <c r="N69" s="57">
        <v>1575000</v>
      </c>
      <c r="O69" s="47" t="s">
        <v>695</v>
      </c>
      <c r="P69" s="53" t="s">
        <v>5428</v>
      </c>
      <c r="Q69" s="55" t="s">
        <v>1939</v>
      </c>
      <c r="R69" s="53" t="s">
        <v>5429</v>
      </c>
      <c r="S69" s="53"/>
      <c r="T69" s="53"/>
      <c r="U69" s="29" t="s">
        <v>491</v>
      </c>
      <c r="V69" s="43"/>
      <c r="W69" s="53"/>
    </row>
    <row r="70" spans="1:23" s="29" customFormat="1" ht="45" x14ac:dyDescent="0.25">
      <c r="A70" s="56">
        <v>42759</v>
      </c>
      <c r="B70" s="55" t="s">
        <v>5992</v>
      </c>
      <c r="C70" s="29" t="s">
        <v>608</v>
      </c>
      <c r="D70" s="29" t="s">
        <v>5419</v>
      </c>
      <c r="E70" s="29" t="s">
        <v>588</v>
      </c>
      <c r="F70" s="29" t="s">
        <v>5420</v>
      </c>
      <c r="H70" s="29" t="s">
        <v>607</v>
      </c>
      <c r="J70" s="43"/>
      <c r="K70" s="43"/>
      <c r="L70" s="44"/>
      <c r="M70" s="57"/>
      <c r="N70" s="57"/>
      <c r="O70" s="53" t="s">
        <v>3107</v>
      </c>
      <c r="P70" s="53" t="s">
        <v>6293</v>
      </c>
      <c r="Q70" s="55" t="s">
        <v>1939</v>
      </c>
      <c r="R70" s="53" t="s">
        <v>5421</v>
      </c>
      <c r="S70" s="53"/>
      <c r="T70" s="53"/>
      <c r="U70" s="29" t="s">
        <v>491</v>
      </c>
      <c r="V70" s="43"/>
      <c r="W70" s="53"/>
    </row>
    <row r="71" spans="1:23" s="29" customFormat="1" ht="90" x14ac:dyDescent="0.25">
      <c r="A71" s="56">
        <v>42759</v>
      </c>
      <c r="B71" s="55" t="s">
        <v>5176</v>
      </c>
      <c r="D71" s="29" t="s">
        <v>2454</v>
      </c>
      <c r="E71" s="29" t="s">
        <v>588</v>
      </c>
      <c r="F71" s="29" t="s">
        <v>5430</v>
      </c>
      <c r="H71" s="29" t="s">
        <v>809</v>
      </c>
      <c r="I71" s="29" t="s">
        <v>4942</v>
      </c>
      <c r="J71" s="43" t="s">
        <v>959</v>
      </c>
      <c r="K71" s="43"/>
      <c r="L71" s="44"/>
      <c r="M71" s="57">
        <v>225000</v>
      </c>
      <c r="N71" s="57">
        <v>225000</v>
      </c>
      <c r="O71" s="53" t="s">
        <v>5431</v>
      </c>
      <c r="P71" s="53" t="s">
        <v>5432</v>
      </c>
      <c r="Q71" s="55" t="s">
        <v>1939</v>
      </c>
      <c r="R71" s="53" t="s">
        <v>5433</v>
      </c>
      <c r="S71" s="53"/>
      <c r="T71" s="53"/>
      <c r="U71" s="29" t="s">
        <v>491</v>
      </c>
      <c r="V71" s="43"/>
      <c r="W71" s="53"/>
    </row>
    <row r="72" spans="1:23" s="29" customFormat="1" ht="60" x14ac:dyDescent="0.25">
      <c r="A72" s="56">
        <v>42760</v>
      </c>
      <c r="B72" s="55" t="s">
        <v>110</v>
      </c>
      <c r="D72" s="29" t="s">
        <v>4782</v>
      </c>
      <c r="E72" s="29" t="s">
        <v>588</v>
      </c>
      <c r="F72" s="29" t="s">
        <v>5439</v>
      </c>
      <c r="H72" s="29" t="s">
        <v>722</v>
      </c>
      <c r="I72" s="29" t="s">
        <v>4736</v>
      </c>
      <c r="J72" s="43" t="s">
        <v>761</v>
      </c>
      <c r="K72" s="43"/>
      <c r="L72" s="44" t="s">
        <v>5440</v>
      </c>
      <c r="M72" s="57">
        <v>736200</v>
      </c>
      <c r="N72" s="57">
        <v>1386200</v>
      </c>
      <c r="O72" s="53" t="s">
        <v>560</v>
      </c>
      <c r="P72" s="53" t="s">
        <v>5442</v>
      </c>
      <c r="Q72" s="55" t="s">
        <v>1939</v>
      </c>
      <c r="R72" s="53" t="s">
        <v>5441</v>
      </c>
      <c r="S72" s="53"/>
      <c r="T72" s="53"/>
      <c r="U72" s="29" t="s">
        <v>491</v>
      </c>
      <c r="V72" s="43"/>
      <c r="W72" s="53"/>
    </row>
    <row r="73" spans="1:23" s="29" customFormat="1" ht="108.75" x14ac:dyDescent="0.25">
      <c r="A73" s="56">
        <v>42760</v>
      </c>
      <c r="B73" s="55" t="s">
        <v>328</v>
      </c>
      <c r="C73" s="29" t="s">
        <v>603</v>
      </c>
      <c r="D73" s="29" t="s">
        <v>2397</v>
      </c>
      <c r="E73" s="29" t="s">
        <v>588</v>
      </c>
      <c r="F73" s="29" t="s">
        <v>5434</v>
      </c>
      <c r="H73" s="29" t="s">
        <v>607</v>
      </c>
      <c r="I73" s="29" t="s">
        <v>5435</v>
      </c>
      <c r="J73" s="43" t="s">
        <v>3371</v>
      </c>
      <c r="K73" s="43"/>
      <c r="L73" s="44" t="s">
        <v>5284</v>
      </c>
      <c r="M73" s="57">
        <v>842000</v>
      </c>
      <c r="N73" s="57">
        <v>1389300</v>
      </c>
      <c r="O73" s="47" t="s">
        <v>2934</v>
      </c>
      <c r="P73" s="53" t="s">
        <v>5436</v>
      </c>
      <c r="Q73" s="55" t="s">
        <v>1939</v>
      </c>
      <c r="R73" s="41" t="s">
        <v>5437</v>
      </c>
      <c r="S73" s="53"/>
      <c r="T73" s="53"/>
      <c r="U73" s="29" t="s">
        <v>491</v>
      </c>
      <c r="V73" s="43"/>
      <c r="W73" s="53"/>
    </row>
    <row r="74" spans="1:23" ht="75" x14ac:dyDescent="0.25">
      <c r="A74" s="61">
        <v>42760</v>
      </c>
      <c r="B74" s="62" t="s">
        <v>328</v>
      </c>
      <c r="C74" s="46" t="s">
        <v>603</v>
      </c>
      <c r="D74" s="46" t="s">
        <v>1401</v>
      </c>
      <c r="E74" s="46" t="s">
        <v>588</v>
      </c>
      <c r="F74" s="46" t="s">
        <v>5443</v>
      </c>
      <c r="H74" s="46" t="s">
        <v>905</v>
      </c>
      <c r="I74" s="46" t="s">
        <v>5444</v>
      </c>
      <c r="J74" s="49" t="s">
        <v>3885</v>
      </c>
      <c r="L74" s="63" t="s">
        <v>5280</v>
      </c>
      <c r="N74" s="64">
        <v>550000</v>
      </c>
      <c r="O74" s="47" t="s">
        <v>5445</v>
      </c>
      <c r="P74" s="47" t="s">
        <v>5446</v>
      </c>
      <c r="Q74" s="62" t="s">
        <v>29</v>
      </c>
      <c r="R74" s="47" t="s">
        <v>5447</v>
      </c>
      <c r="U74" s="46" t="s">
        <v>491</v>
      </c>
    </row>
    <row r="75" spans="1:23" s="29" customFormat="1" ht="30" x14ac:dyDescent="0.25">
      <c r="A75" s="56">
        <v>42760</v>
      </c>
      <c r="B75" s="55" t="s">
        <v>328</v>
      </c>
      <c r="C75" s="29" t="s">
        <v>603</v>
      </c>
      <c r="D75" s="29" t="s">
        <v>1401</v>
      </c>
      <c r="E75" s="29" t="s">
        <v>588</v>
      </c>
      <c r="F75" s="29" t="s">
        <v>5448</v>
      </c>
      <c r="H75" s="29" t="s">
        <v>607</v>
      </c>
      <c r="I75" s="29" t="s">
        <v>5449</v>
      </c>
      <c r="J75" s="43" t="s">
        <v>899</v>
      </c>
      <c r="K75" s="43"/>
      <c r="L75" s="44" t="s">
        <v>5287</v>
      </c>
      <c r="M75" s="57">
        <v>1200000</v>
      </c>
      <c r="N75" s="57">
        <v>2160000</v>
      </c>
      <c r="O75" s="47" t="s">
        <v>560</v>
      </c>
      <c r="P75" s="53" t="s">
        <v>5450</v>
      </c>
      <c r="Q75" s="55" t="s">
        <v>592</v>
      </c>
      <c r="R75" s="53"/>
      <c r="S75" s="53"/>
      <c r="T75" s="53"/>
      <c r="U75" s="29" t="s">
        <v>491</v>
      </c>
      <c r="V75" s="43"/>
      <c r="W75" s="53"/>
    </row>
    <row r="76" spans="1:23" s="29" customFormat="1" ht="45" x14ac:dyDescent="0.25">
      <c r="A76" s="56">
        <v>42760</v>
      </c>
      <c r="B76" s="55" t="s">
        <v>643</v>
      </c>
      <c r="C76" s="29" t="s">
        <v>644</v>
      </c>
      <c r="D76" s="29" t="s">
        <v>645</v>
      </c>
      <c r="E76" s="29" t="s">
        <v>588</v>
      </c>
      <c r="F76" s="29" t="s">
        <v>5451</v>
      </c>
      <c r="H76" s="29" t="s">
        <v>607</v>
      </c>
      <c r="I76" s="29" t="s">
        <v>5452</v>
      </c>
      <c r="J76" s="43" t="s">
        <v>644</v>
      </c>
      <c r="K76" s="43"/>
      <c r="L76" s="44" t="s">
        <v>5280</v>
      </c>
      <c r="M76" s="57">
        <v>1094000</v>
      </c>
      <c r="N76" s="57">
        <v>1604000</v>
      </c>
      <c r="O76" s="53" t="s">
        <v>695</v>
      </c>
      <c r="P76" s="53" t="s">
        <v>5453</v>
      </c>
      <c r="Q76" s="55" t="s">
        <v>592</v>
      </c>
      <c r="R76" s="53" t="s">
        <v>5454</v>
      </c>
      <c r="S76" s="53"/>
      <c r="T76" s="53"/>
      <c r="U76" s="29" t="s">
        <v>491</v>
      </c>
      <c r="V76" s="43"/>
      <c r="W76" s="53"/>
    </row>
    <row r="77" spans="1:23" s="29" customFormat="1" ht="60" x14ac:dyDescent="0.25">
      <c r="A77" s="56">
        <v>42761</v>
      </c>
      <c r="B77" s="55" t="s">
        <v>320</v>
      </c>
      <c r="C77" s="29" t="s">
        <v>1228</v>
      </c>
      <c r="D77" s="29" t="s">
        <v>1229</v>
      </c>
      <c r="E77" s="29" t="s">
        <v>588</v>
      </c>
      <c r="F77" s="29" t="s">
        <v>5462</v>
      </c>
      <c r="H77" s="29" t="s">
        <v>607</v>
      </c>
      <c r="I77" s="29" t="s">
        <v>3855</v>
      </c>
      <c r="J77" s="43" t="s">
        <v>3856</v>
      </c>
      <c r="K77" s="43"/>
      <c r="L77" s="44"/>
      <c r="M77" s="57"/>
      <c r="N77" s="57"/>
      <c r="O77" s="53" t="s">
        <v>5463</v>
      </c>
      <c r="P77" s="53" t="s">
        <v>5464</v>
      </c>
      <c r="Q77" s="55" t="s">
        <v>1939</v>
      </c>
      <c r="R77" s="53" t="s">
        <v>5465</v>
      </c>
      <c r="S77" s="53"/>
      <c r="T77" s="53"/>
      <c r="U77" s="29" t="s">
        <v>491</v>
      </c>
      <c r="V77" s="43"/>
      <c r="W77" s="53"/>
    </row>
    <row r="78" spans="1:23" s="29" customFormat="1" ht="60" x14ac:dyDescent="0.25">
      <c r="A78" s="56">
        <v>42761</v>
      </c>
      <c r="B78" s="55" t="s">
        <v>328</v>
      </c>
      <c r="C78" s="29" t="s">
        <v>603</v>
      </c>
      <c r="D78" s="29" t="s">
        <v>1401</v>
      </c>
      <c r="E78" s="29" t="s">
        <v>588</v>
      </c>
      <c r="F78" s="29" t="s">
        <v>5455</v>
      </c>
      <c r="H78" s="29" t="s">
        <v>607</v>
      </c>
      <c r="I78" s="29" t="s">
        <v>4918</v>
      </c>
      <c r="J78" s="43" t="s">
        <v>3885</v>
      </c>
      <c r="K78" s="43"/>
      <c r="L78" s="44" t="s">
        <v>5280</v>
      </c>
      <c r="M78" s="57">
        <v>75000</v>
      </c>
      <c r="N78" s="57">
        <v>107500</v>
      </c>
      <c r="O78" s="47" t="s">
        <v>3952</v>
      </c>
      <c r="P78" s="53" t="s">
        <v>5456</v>
      </c>
      <c r="Q78" s="55" t="s">
        <v>1939</v>
      </c>
      <c r="R78" s="53" t="s">
        <v>5457</v>
      </c>
      <c r="S78" s="53"/>
      <c r="T78" s="53"/>
      <c r="U78" s="29" t="s">
        <v>491</v>
      </c>
      <c r="V78" s="43"/>
      <c r="W78" s="53"/>
    </row>
    <row r="79" spans="1:23" s="29" customFormat="1" ht="105" x14ac:dyDescent="0.25">
      <c r="A79" s="56">
        <v>42761</v>
      </c>
      <c r="B79" s="55" t="s">
        <v>328</v>
      </c>
      <c r="C79" s="29" t="s">
        <v>603</v>
      </c>
      <c r="D79" s="29" t="s">
        <v>649</v>
      </c>
      <c r="E79" s="29" t="s">
        <v>588</v>
      </c>
      <c r="F79" s="29" t="s">
        <v>5471</v>
      </c>
      <c r="H79" s="29" t="s">
        <v>607</v>
      </c>
      <c r="I79" s="29" t="s">
        <v>5472</v>
      </c>
      <c r="J79" s="43" t="s">
        <v>899</v>
      </c>
      <c r="K79" s="43"/>
      <c r="L79" s="44" t="s">
        <v>5341</v>
      </c>
      <c r="M79" s="57">
        <v>1617000</v>
      </c>
      <c r="N79" s="57">
        <v>3314450</v>
      </c>
      <c r="O79" s="47" t="s">
        <v>560</v>
      </c>
      <c r="P79" s="53" t="s">
        <v>6294</v>
      </c>
      <c r="Q79" s="55" t="s">
        <v>592</v>
      </c>
      <c r="R79" s="53"/>
      <c r="S79" s="53"/>
      <c r="T79" s="53"/>
      <c r="U79" s="29" t="s">
        <v>491</v>
      </c>
      <c r="W79" s="53"/>
    </row>
    <row r="80" spans="1:23" s="29" customFormat="1" ht="60" x14ac:dyDescent="0.25">
      <c r="A80" s="56">
        <v>42761</v>
      </c>
      <c r="B80" s="55" t="s">
        <v>5992</v>
      </c>
      <c r="C80" s="29" t="s">
        <v>608</v>
      </c>
      <c r="D80" s="29" t="s">
        <v>5419</v>
      </c>
      <c r="E80" s="29" t="s">
        <v>588</v>
      </c>
      <c r="F80" s="29" t="s">
        <v>5458</v>
      </c>
      <c r="H80" s="29" t="s">
        <v>607</v>
      </c>
      <c r="I80" s="29" t="s">
        <v>5459</v>
      </c>
      <c r="J80" s="43" t="s">
        <v>608</v>
      </c>
      <c r="K80" s="43"/>
      <c r="L80" s="44" t="s">
        <v>5440</v>
      </c>
      <c r="M80" s="57">
        <v>1100000</v>
      </c>
      <c r="N80" s="57">
        <v>1980000</v>
      </c>
      <c r="O80" s="53" t="s">
        <v>5460</v>
      </c>
      <c r="P80" s="53" t="s">
        <v>5461</v>
      </c>
      <c r="Q80" s="55" t="s">
        <v>620</v>
      </c>
      <c r="R80" s="53" t="s">
        <v>6315</v>
      </c>
      <c r="S80" s="53"/>
      <c r="T80" s="53"/>
      <c r="U80" s="29" t="s">
        <v>491</v>
      </c>
      <c r="V80" s="43"/>
      <c r="W80" s="53"/>
    </row>
    <row r="81" spans="1:23" s="29" customFormat="1" ht="45" x14ac:dyDescent="0.25">
      <c r="A81" s="56">
        <v>42761</v>
      </c>
      <c r="B81" s="55" t="s">
        <v>5473</v>
      </c>
      <c r="D81" s="29" t="s">
        <v>1495</v>
      </c>
      <c r="E81" s="29" t="s">
        <v>588</v>
      </c>
      <c r="J81" s="43"/>
      <c r="K81" s="43"/>
      <c r="L81" s="44"/>
      <c r="M81" s="57"/>
      <c r="N81" s="57"/>
      <c r="O81" s="53" t="s">
        <v>5474</v>
      </c>
      <c r="P81" s="53" t="s">
        <v>6295</v>
      </c>
      <c r="Q81" s="55" t="s">
        <v>29</v>
      </c>
      <c r="R81" s="53" t="s">
        <v>5475</v>
      </c>
      <c r="S81" s="53"/>
      <c r="T81" s="53"/>
      <c r="U81" s="29" t="s">
        <v>491</v>
      </c>
      <c r="W81" s="53"/>
    </row>
    <row r="82" spans="1:23" s="29" customFormat="1" ht="60" x14ac:dyDescent="0.25">
      <c r="A82" s="56">
        <v>42761</v>
      </c>
      <c r="B82" s="55" t="s">
        <v>5176</v>
      </c>
      <c r="D82" s="29" t="s">
        <v>2454</v>
      </c>
      <c r="E82" s="29" t="s">
        <v>588</v>
      </c>
      <c r="F82" s="29" t="s">
        <v>5466</v>
      </c>
      <c r="H82" s="29" t="s">
        <v>809</v>
      </c>
      <c r="I82" s="29" t="s">
        <v>5467</v>
      </c>
      <c r="J82" s="43" t="s">
        <v>3369</v>
      </c>
      <c r="K82" s="43"/>
      <c r="L82" s="44"/>
      <c r="M82" s="57">
        <v>400000</v>
      </c>
      <c r="N82" s="57">
        <v>400000</v>
      </c>
      <c r="O82" s="53" t="s">
        <v>5468</v>
      </c>
      <c r="P82" s="53" t="s">
        <v>5469</v>
      </c>
      <c r="Q82" s="55" t="s">
        <v>1939</v>
      </c>
      <c r="R82" s="53" t="s">
        <v>5470</v>
      </c>
      <c r="S82" s="53"/>
      <c r="T82" s="53"/>
      <c r="U82" s="29" t="s">
        <v>491</v>
      </c>
      <c r="V82" s="43"/>
      <c r="W82" s="53"/>
    </row>
    <row r="83" spans="1:23" s="29" customFormat="1" ht="132.75" x14ac:dyDescent="0.25">
      <c r="A83" s="56">
        <v>42761</v>
      </c>
      <c r="B83" s="55" t="s">
        <v>5176</v>
      </c>
      <c r="D83" s="29" t="s">
        <v>732</v>
      </c>
      <c r="E83" s="29" t="s">
        <v>588</v>
      </c>
      <c r="F83" s="29" t="s">
        <v>5476</v>
      </c>
      <c r="H83" s="29" t="s">
        <v>5477</v>
      </c>
      <c r="I83" s="29" t="s">
        <v>5478</v>
      </c>
      <c r="J83" s="43" t="s">
        <v>959</v>
      </c>
      <c r="K83" s="43"/>
      <c r="L83" s="44" t="s">
        <v>5302</v>
      </c>
      <c r="M83" s="57">
        <v>200000</v>
      </c>
      <c r="N83" s="57">
        <v>220000</v>
      </c>
      <c r="O83" s="53" t="s">
        <v>5479</v>
      </c>
      <c r="P83" s="53" t="s">
        <v>5480</v>
      </c>
      <c r="Q83" s="55" t="s">
        <v>1939</v>
      </c>
      <c r="R83" s="41" t="s">
        <v>5481</v>
      </c>
      <c r="S83" s="53"/>
      <c r="T83" s="53"/>
      <c r="U83" s="29" t="s">
        <v>491</v>
      </c>
      <c r="W83" s="53"/>
    </row>
    <row r="84" spans="1:23" s="29" customFormat="1" ht="75" x14ac:dyDescent="0.25">
      <c r="A84" s="56">
        <v>42762</v>
      </c>
      <c r="B84" s="55" t="s">
        <v>569</v>
      </c>
      <c r="D84" s="29" t="s">
        <v>930</v>
      </c>
      <c r="E84" s="29" t="s">
        <v>692</v>
      </c>
      <c r="F84" s="29" t="s">
        <v>5482</v>
      </c>
      <c r="H84" s="29" t="s">
        <v>607</v>
      </c>
      <c r="I84" s="29" t="s">
        <v>5483</v>
      </c>
      <c r="J84" s="43" t="s">
        <v>899</v>
      </c>
      <c r="K84" s="43"/>
      <c r="L84" s="44" t="s">
        <v>5484</v>
      </c>
      <c r="M84" s="57">
        <v>2651000</v>
      </c>
      <c r="N84" s="57">
        <v>4506300</v>
      </c>
      <c r="O84" s="53" t="s">
        <v>1171</v>
      </c>
      <c r="P84" s="53" t="s">
        <v>5485</v>
      </c>
      <c r="Q84" s="55" t="s">
        <v>29</v>
      </c>
      <c r="R84" s="53" t="s">
        <v>5486</v>
      </c>
      <c r="S84" s="53"/>
      <c r="T84" s="53"/>
      <c r="U84" s="29" t="s">
        <v>491</v>
      </c>
      <c r="W84" s="53"/>
    </row>
    <row r="85" spans="1:23" s="29" customFormat="1" ht="90" x14ac:dyDescent="0.25">
      <c r="A85" s="56">
        <v>42762</v>
      </c>
      <c r="B85" s="55" t="s">
        <v>569</v>
      </c>
      <c r="D85" s="29" t="s">
        <v>625</v>
      </c>
      <c r="E85" s="29" t="s">
        <v>692</v>
      </c>
      <c r="F85" s="29" t="s">
        <v>5487</v>
      </c>
      <c r="H85" s="29" t="s">
        <v>5488</v>
      </c>
      <c r="I85" s="29" t="s">
        <v>5489</v>
      </c>
      <c r="J85" s="43" t="s">
        <v>899</v>
      </c>
      <c r="K85" s="43"/>
      <c r="L85" s="44"/>
      <c r="M85" s="57">
        <v>450000</v>
      </c>
      <c r="N85" s="57">
        <v>495000</v>
      </c>
      <c r="O85" s="53" t="s">
        <v>5490</v>
      </c>
      <c r="P85" s="53" t="s">
        <v>5491</v>
      </c>
      <c r="Q85" s="55" t="s">
        <v>29</v>
      </c>
      <c r="R85" s="53" t="s">
        <v>5492</v>
      </c>
      <c r="S85" s="53"/>
      <c r="T85" s="53"/>
      <c r="U85" s="29" t="s">
        <v>491</v>
      </c>
      <c r="W85" s="53"/>
    </row>
    <row r="86" spans="1:23" s="29" customFormat="1" ht="45" x14ac:dyDescent="0.25">
      <c r="A86" s="56">
        <v>42762</v>
      </c>
      <c r="B86" s="55" t="s">
        <v>569</v>
      </c>
      <c r="D86" s="29" t="s">
        <v>625</v>
      </c>
      <c r="E86" s="29" t="s">
        <v>588</v>
      </c>
      <c r="F86" s="29" t="s">
        <v>5493</v>
      </c>
      <c r="H86" s="29" t="s">
        <v>905</v>
      </c>
      <c r="I86" s="29" t="s">
        <v>5494</v>
      </c>
      <c r="J86" s="43" t="s">
        <v>899</v>
      </c>
      <c r="K86" s="43"/>
      <c r="L86" s="44"/>
      <c r="M86" s="57">
        <v>2500000</v>
      </c>
      <c r="N86" s="57"/>
      <c r="O86" s="53" t="s">
        <v>560</v>
      </c>
      <c r="P86" s="53" t="s">
        <v>5495</v>
      </c>
      <c r="Q86" s="55" t="s">
        <v>29</v>
      </c>
      <c r="R86" s="53" t="s">
        <v>5496</v>
      </c>
      <c r="S86" s="53"/>
      <c r="T86" s="53"/>
      <c r="U86" s="29" t="s">
        <v>491</v>
      </c>
      <c r="W86" s="53"/>
    </row>
    <row r="87" spans="1:23" s="29" customFormat="1" ht="120" x14ac:dyDescent="0.25">
      <c r="A87" s="56">
        <v>42762</v>
      </c>
      <c r="B87" s="55" t="s">
        <v>569</v>
      </c>
      <c r="D87" s="29" t="s">
        <v>930</v>
      </c>
      <c r="E87" s="29" t="s">
        <v>588</v>
      </c>
      <c r="F87" s="29" t="s">
        <v>5497</v>
      </c>
      <c r="H87" s="29" t="s">
        <v>607</v>
      </c>
      <c r="I87" s="29" t="s">
        <v>5218</v>
      </c>
      <c r="J87" s="43" t="s">
        <v>899</v>
      </c>
      <c r="K87" s="43"/>
      <c r="L87" s="44"/>
      <c r="M87" s="57">
        <v>900000</v>
      </c>
      <c r="N87" s="57">
        <v>1490000</v>
      </c>
      <c r="O87" s="53" t="s">
        <v>3625</v>
      </c>
      <c r="P87" s="53" t="s">
        <v>5498</v>
      </c>
      <c r="Q87" s="55" t="s">
        <v>620</v>
      </c>
      <c r="R87" s="53" t="s">
        <v>5499</v>
      </c>
      <c r="S87" s="53"/>
      <c r="T87" s="53"/>
      <c r="U87" s="29" t="s">
        <v>491</v>
      </c>
      <c r="W87" s="53"/>
    </row>
    <row r="88" spans="1:23" ht="45" x14ac:dyDescent="0.25">
      <c r="A88" s="56">
        <v>42765</v>
      </c>
      <c r="B88" s="55" t="s">
        <v>328</v>
      </c>
      <c r="C88" s="29" t="s">
        <v>603</v>
      </c>
      <c r="D88" s="29" t="s">
        <v>2397</v>
      </c>
      <c r="E88" s="29" t="s">
        <v>588</v>
      </c>
      <c r="F88" s="29" t="s">
        <v>5504</v>
      </c>
      <c r="G88" s="29"/>
      <c r="H88" s="29" t="s">
        <v>722</v>
      </c>
      <c r="I88" s="29" t="s">
        <v>5505</v>
      </c>
      <c r="J88" s="43" t="s">
        <v>899</v>
      </c>
      <c r="K88" s="43"/>
      <c r="L88" s="44" t="s">
        <v>5284</v>
      </c>
      <c r="M88" s="57">
        <v>4000000</v>
      </c>
      <c r="N88" s="57">
        <v>5000000</v>
      </c>
      <c r="O88" s="47" t="s">
        <v>560</v>
      </c>
      <c r="P88" s="53" t="s">
        <v>5569</v>
      </c>
      <c r="Q88" s="55" t="s">
        <v>1939</v>
      </c>
      <c r="R88" s="53" t="s">
        <v>5570</v>
      </c>
      <c r="S88" s="53"/>
      <c r="T88" s="53"/>
      <c r="U88" s="29" t="s">
        <v>491</v>
      </c>
      <c r="V88" s="29"/>
      <c r="W88" s="53"/>
    </row>
    <row r="89" spans="1:23" s="29" customFormat="1" ht="75" x14ac:dyDescent="0.25">
      <c r="A89" s="56">
        <v>42765</v>
      </c>
      <c r="B89" s="55" t="s">
        <v>328</v>
      </c>
      <c r="C89" s="29" t="s">
        <v>603</v>
      </c>
      <c r="D89" s="29" t="s">
        <v>2397</v>
      </c>
      <c r="E89" s="29" t="s">
        <v>588</v>
      </c>
      <c r="F89" s="29" t="s">
        <v>5506</v>
      </c>
      <c r="H89" s="29" t="s">
        <v>5507</v>
      </c>
      <c r="I89" s="29" t="s">
        <v>5508</v>
      </c>
      <c r="J89" s="43" t="s">
        <v>5509</v>
      </c>
      <c r="K89" s="43"/>
      <c r="L89" s="44" t="s">
        <v>5341</v>
      </c>
      <c r="M89" s="57">
        <v>75000</v>
      </c>
      <c r="N89" s="57">
        <v>425000</v>
      </c>
      <c r="O89" s="47" t="s">
        <v>5510</v>
      </c>
      <c r="P89" s="53" t="s">
        <v>5511</v>
      </c>
      <c r="Q89" s="55" t="s">
        <v>592</v>
      </c>
      <c r="R89" s="53"/>
      <c r="S89" s="53"/>
      <c r="T89" s="53"/>
      <c r="U89" s="29" t="s">
        <v>491</v>
      </c>
      <c r="W89" s="53"/>
    </row>
    <row r="90" spans="1:23" s="29" customFormat="1" ht="75" x14ac:dyDescent="0.25">
      <c r="A90" s="56">
        <v>42765</v>
      </c>
      <c r="B90" s="55" t="s">
        <v>328</v>
      </c>
      <c r="C90" s="29" t="s">
        <v>603</v>
      </c>
      <c r="D90" s="29" t="s">
        <v>1401</v>
      </c>
      <c r="E90" s="29" t="s">
        <v>588</v>
      </c>
      <c r="F90" s="29" t="s">
        <v>5512</v>
      </c>
      <c r="H90" s="29" t="s">
        <v>5514</v>
      </c>
      <c r="I90" s="29" t="s">
        <v>5513</v>
      </c>
      <c r="J90" s="43" t="s">
        <v>899</v>
      </c>
      <c r="K90" s="43"/>
      <c r="L90" s="44" t="s">
        <v>5515</v>
      </c>
      <c r="M90" s="57">
        <v>355000</v>
      </c>
      <c r="N90" s="57">
        <v>674500</v>
      </c>
      <c r="O90" s="47" t="s">
        <v>3107</v>
      </c>
      <c r="P90" s="53" t="s">
        <v>5614</v>
      </c>
      <c r="Q90" s="55" t="s">
        <v>1939</v>
      </c>
      <c r="R90" s="53" t="s">
        <v>6296</v>
      </c>
      <c r="S90" s="53"/>
      <c r="T90" s="53"/>
      <c r="U90" s="29" t="s">
        <v>491</v>
      </c>
      <c r="W90" s="53"/>
    </row>
    <row r="91" spans="1:23" s="29" customFormat="1" ht="30" x14ac:dyDescent="0.25">
      <c r="A91" s="56">
        <v>42765</v>
      </c>
      <c r="B91" s="55" t="s">
        <v>328</v>
      </c>
      <c r="C91" s="29" t="s">
        <v>603</v>
      </c>
      <c r="D91" s="29" t="s">
        <v>1401</v>
      </c>
      <c r="E91" s="29" t="s">
        <v>588</v>
      </c>
      <c r="F91" s="29" t="s">
        <v>5516</v>
      </c>
      <c r="H91" s="29" t="s">
        <v>607</v>
      </c>
      <c r="I91" s="29" t="s">
        <v>3462</v>
      </c>
      <c r="J91" s="43" t="s">
        <v>899</v>
      </c>
      <c r="K91" s="43"/>
      <c r="L91" s="44" t="s">
        <v>5280</v>
      </c>
      <c r="M91" s="57">
        <v>1786000</v>
      </c>
      <c r="N91" s="57">
        <v>3571800</v>
      </c>
      <c r="O91" s="47" t="s">
        <v>560</v>
      </c>
      <c r="P91" s="53" t="s">
        <v>5522</v>
      </c>
      <c r="Q91" s="55" t="s">
        <v>1939</v>
      </c>
      <c r="R91" s="53" t="s">
        <v>1621</v>
      </c>
      <c r="S91" s="53"/>
      <c r="T91" s="53"/>
      <c r="U91" s="29" t="s">
        <v>491</v>
      </c>
      <c r="W91" s="53"/>
    </row>
    <row r="92" spans="1:23" s="29" customFormat="1" ht="60" x14ac:dyDescent="0.25">
      <c r="A92" s="56">
        <v>42765</v>
      </c>
      <c r="B92" s="55" t="s">
        <v>328</v>
      </c>
      <c r="C92" s="29" t="s">
        <v>603</v>
      </c>
      <c r="D92" s="29" t="s">
        <v>672</v>
      </c>
      <c r="E92" s="29" t="s">
        <v>692</v>
      </c>
      <c r="F92" s="29" t="s">
        <v>5517</v>
      </c>
      <c r="H92" s="29" t="s">
        <v>722</v>
      </c>
      <c r="I92" s="29" t="s">
        <v>5518</v>
      </c>
      <c r="J92" s="43" t="s">
        <v>603</v>
      </c>
      <c r="K92" s="43"/>
      <c r="L92" s="44"/>
      <c r="M92" s="57">
        <v>2500000</v>
      </c>
      <c r="N92" s="57"/>
      <c r="O92" s="47" t="s">
        <v>5519</v>
      </c>
      <c r="P92" s="53" t="s">
        <v>5520</v>
      </c>
      <c r="Q92" s="55" t="s">
        <v>592</v>
      </c>
      <c r="R92" s="53" t="s">
        <v>5521</v>
      </c>
      <c r="S92" s="53"/>
      <c r="T92" s="53"/>
      <c r="U92" s="29" t="s">
        <v>491</v>
      </c>
      <c r="W92" s="53"/>
    </row>
    <row r="93" spans="1:23" s="29" customFormat="1" ht="45" x14ac:dyDescent="0.25">
      <c r="A93" s="56">
        <v>42765</v>
      </c>
      <c r="B93" s="55" t="s">
        <v>328</v>
      </c>
      <c r="C93" s="29" t="s">
        <v>603</v>
      </c>
      <c r="D93" s="29" t="s">
        <v>649</v>
      </c>
      <c r="E93" s="29" t="s">
        <v>588</v>
      </c>
      <c r="F93" s="29" t="s">
        <v>5535</v>
      </c>
      <c r="H93" s="29" t="s">
        <v>742</v>
      </c>
      <c r="I93" s="29" t="s">
        <v>3929</v>
      </c>
      <c r="J93" s="43" t="s">
        <v>899</v>
      </c>
      <c r="K93" s="43"/>
      <c r="L93" s="44"/>
      <c r="M93" s="57">
        <v>225000</v>
      </c>
      <c r="N93" s="57"/>
      <c r="O93" s="47" t="s">
        <v>3886</v>
      </c>
      <c r="P93" s="53" t="s">
        <v>5536</v>
      </c>
      <c r="Q93" s="55" t="s">
        <v>592</v>
      </c>
      <c r="R93" s="53" t="s">
        <v>5537</v>
      </c>
      <c r="S93" s="53"/>
      <c r="T93" s="53"/>
      <c r="U93" s="29" t="s">
        <v>491</v>
      </c>
      <c r="V93" s="43"/>
      <c r="W93" s="53"/>
    </row>
    <row r="94" spans="1:23" s="29" customFormat="1" ht="105" x14ac:dyDescent="0.25">
      <c r="A94" s="56">
        <v>42765</v>
      </c>
      <c r="B94" s="55" t="s">
        <v>5176</v>
      </c>
      <c r="C94" s="29" t="s">
        <v>959</v>
      </c>
      <c r="D94" s="29" t="s">
        <v>732</v>
      </c>
      <c r="E94" s="29" t="s">
        <v>588</v>
      </c>
      <c r="F94" s="29" t="s">
        <v>5523</v>
      </c>
      <c r="H94" s="29" t="s">
        <v>905</v>
      </c>
      <c r="I94" s="29" t="s">
        <v>5524</v>
      </c>
      <c r="J94" s="43" t="s">
        <v>959</v>
      </c>
      <c r="K94" s="43"/>
      <c r="L94" s="44"/>
      <c r="M94" s="57">
        <v>600000</v>
      </c>
      <c r="N94" s="57">
        <v>743000</v>
      </c>
      <c r="O94" s="53" t="s">
        <v>3625</v>
      </c>
      <c r="P94" s="53" t="s">
        <v>5525</v>
      </c>
      <c r="Q94" s="55" t="s">
        <v>1612</v>
      </c>
      <c r="R94" s="53" t="s">
        <v>7137</v>
      </c>
      <c r="S94" s="53"/>
      <c r="T94" s="53"/>
      <c r="U94" s="29" t="s">
        <v>491</v>
      </c>
      <c r="W94" s="53"/>
    </row>
    <row r="95" spans="1:23" ht="45" x14ac:dyDescent="0.25">
      <c r="A95" s="56">
        <v>42765</v>
      </c>
      <c r="B95" s="55" t="s">
        <v>5176</v>
      </c>
      <c r="C95" s="29" t="s">
        <v>959</v>
      </c>
      <c r="D95" s="29" t="s">
        <v>732</v>
      </c>
      <c r="E95" s="29" t="s">
        <v>588</v>
      </c>
      <c r="F95" s="29" t="s">
        <v>5540</v>
      </c>
      <c r="G95" s="29"/>
      <c r="H95" s="29" t="s">
        <v>607</v>
      </c>
      <c r="I95" s="29" t="s">
        <v>5541</v>
      </c>
      <c r="J95" s="43" t="s">
        <v>959</v>
      </c>
      <c r="K95" s="43"/>
      <c r="L95" s="44"/>
      <c r="M95" s="57"/>
      <c r="N95" s="57"/>
      <c r="O95" s="53" t="s">
        <v>5542</v>
      </c>
      <c r="P95" s="53" t="s">
        <v>5543</v>
      </c>
      <c r="Q95" s="55" t="s">
        <v>1939</v>
      </c>
      <c r="R95" s="53" t="s">
        <v>5544</v>
      </c>
      <c r="S95" s="53"/>
      <c r="T95" s="53"/>
      <c r="U95" s="29" t="s">
        <v>491</v>
      </c>
      <c r="V95" s="43"/>
      <c r="W95" s="53"/>
    </row>
    <row r="96" spans="1:23" s="29" customFormat="1" ht="105" x14ac:dyDescent="0.25">
      <c r="A96" s="61">
        <v>42765</v>
      </c>
      <c r="B96" s="62" t="s">
        <v>569</v>
      </c>
      <c r="C96" s="46"/>
      <c r="D96" s="46" t="s">
        <v>930</v>
      </c>
      <c r="E96" s="46" t="s">
        <v>692</v>
      </c>
      <c r="F96" s="46" t="s">
        <v>5500</v>
      </c>
      <c r="G96" s="46"/>
      <c r="H96" s="46" t="s">
        <v>809</v>
      </c>
      <c r="I96" s="46" t="s">
        <v>5501</v>
      </c>
      <c r="J96" s="49" t="s">
        <v>899</v>
      </c>
      <c r="K96" s="49"/>
      <c r="L96" s="63"/>
      <c r="M96" s="64">
        <v>2700000</v>
      </c>
      <c r="N96" s="64">
        <v>3080000</v>
      </c>
      <c r="O96" s="47" t="s">
        <v>5502</v>
      </c>
      <c r="P96" s="47" t="s">
        <v>5503</v>
      </c>
      <c r="Q96" s="62" t="s">
        <v>1939</v>
      </c>
      <c r="R96" s="47" t="s">
        <v>5538</v>
      </c>
      <c r="S96" s="47"/>
      <c r="T96" s="47"/>
      <c r="U96" s="46" t="s">
        <v>491</v>
      </c>
      <c r="V96" s="46"/>
      <c r="W96" s="47"/>
    </row>
    <row r="97" spans="1:23" s="29" customFormat="1" ht="30" x14ac:dyDescent="0.25">
      <c r="A97" s="61">
        <v>42765</v>
      </c>
      <c r="B97" s="62" t="s">
        <v>569</v>
      </c>
      <c r="C97" s="46"/>
      <c r="D97" s="46" t="s">
        <v>625</v>
      </c>
      <c r="E97" s="46" t="s">
        <v>588</v>
      </c>
      <c r="F97" s="46" t="s">
        <v>5526</v>
      </c>
      <c r="G97" s="46"/>
      <c r="H97" s="46" t="s">
        <v>905</v>
      </c>
      <c r="I97" s="46" t="s">
        <v>3388</v>
      </c>
      <c r="J97" s="49" t="s">
        <v>899</v>
      </c>
      <c r="K97" s="49"/>
      <c r="L97" s="63" t="s">
        <v>5341</v>
      </c>
      <c r="M97" s="64">
        <v>2994000</v>
      </c>
      <c r="N97" s="64">
        <v>4004000</v>
      </c>
      <c r="O97" s="47" t="s">
        <v>560</v>
      </c>
      <c r="P97" s="47" t="s">
        <v>5527</v>
      </c>
      <c r="Q97" s="62" t="s">
        <v>1939</v>
      </c>
      <c r="R97" s="47" t="s">
        <v>5528</v>
      </c>
      <c r="S97" s="47"/>
      <c r="T97" s="47"/>
      <c r="U97" s="46" t="s">
        <v>491</v>
      </c>
      <c r="V97" s="46"/>
      <c r="W97" s="47"/>
    </row>
    <row r="98" spans="1:23" s="29" customFormat="1" x14ac:dyDescent="0.25">
      <c r="A98" s="56">
        <v>42765</v>
      </c>
      <c r="B98" s="55" t="s">
        <v>569</v>
      </c>
      <c r="D98" s="29" t="s">
        <v>625</v>
      </c>
      <c r="E98" s="29" t="s">
        <v>588</v>
      </c>
      <c r="F98" s="29" t="s">
        <v>5529</v>
      </c>
      <c r="H98" s="29" t="s">
        <v>607</v>
      </c>
      <c r="I98" s="29" t="s">
        <v>5530</v>
      </c>
      <c r="J98" s="43" t="s">
        <v>899</v>
      </c>
      <c r="K98" s="43"/>
      <c r="L98" s="44" t="s">
        <v>5280</v>
      </c>
      <c r="M98" s="57">
        <v>565000</v>
      </c>
      <c r="N98" s="57">
        <v>976000</v>
      </c>
      <c r="O98" s="53" t="s">
        <v>5220</v>
      </c>
      <c r="P98" s="53" t="s">
        <v>5531</v>
      </c>
      <c r="Q98" s="55" t="s">
        <v>592</v>
      </c>
      <c r="R98" s="53"/>
      <c r="S98" s="53"/>
      <c r="T98" s="53"/>
      <c r="U98" s="29" t="s">
        <v>491</v>
      </c>
      <c r="W98" s="53"/>
    </row>
    <row r="99" spans="1:23" s="29" customFormat="1" ht="60" x14ac:dyDescent="0.25">
      <c r="A99" s="56">
        <v>42765</v>
      </c>
      <c r="B99" s="55" t="s">
        <v>569</v>
      </c>
      <c r="D99" s="29" t="s">
        <v>930</v>
      </c>
      <c r="E99" s="29" t="s">
        <v>821</v>
      </c>
      <c r="F99" s="29" t="s">
        <v>5532</v>
      </c>
      <c r="H99" s="29" t="s">
        <v>607</v>
      </c>
      <c r="J99" s="43"/>
      <c r="K99" s="43"/>
      <c r="L99" s="44"/>
      <c r="M99" s="57"/>
      <c r="N99" s="57"/>
      <c r="O99" s="53" t="s">
        <v>3625</v>
      </c>
      <c r="P99" s="53" t="s">
        <v>5533</v>
      </c>
      <c r="Q99" s="55" t="s">
        <v>592</v>
      </c>
      <c r="R99" s="53" t="s">
        <v>5534</v>
      </c>
      <c r="S99" s="53"/>
      <c r="T99" s="53"/>
      <c r="U99" s="29" t="s">
        <v>491</v>
      </c>
      <c r="V99" s="43"/>
      <c r="W99" s="53"/>
    </row>
    <row r="100" spans="1:23" s="29" customFormat="1" ht="75" x14ac:dyDescent="0.25">
      <c r="A100" s="56">
        <v>42765</v>
      </c>
      <c r="B100" s="55" t="s">
        <v>569</v>
      </c>
      <c r="C100" s="52"/>
      <c r="D100" s="29" t="s">
        <v>625</v>
      </c>
      <c r="E100" s="29" t="s">
        <v>588</v>
      </c>
      <c r="F100" s="53" t="s">
        <v>4188</v>
      </c>
      <c r="G100" s="53"/>
      <c r="H100" s="53" t="s">
        <v>809</v>
      </c>
      <c r="I100" s="29" t="s">
        <v>3388</v>
      </c>
      <c r="J100" s="43" t="s">
        <v>899</v>
      </c>
      <c r="K100" s="43"/>
      <c r="L100" s="44">
        <v>1</v>
      </c>
      <c r="M100" s="31">
        <v>2700000</v>
      </c>
      <c r="N100" s="30">
        <v>2730000</v>
      </c>
      <c r="O100" s="31" t="s">
        <v>695</v>
      </c>
      <c r="P100" s="33" t="s">
        <v>5539</v>
      </c>
      <c r="Q100" s="29" t="s">
        <v>592</v>
      </c>
      <c r="R100" s="53"/>
      <c r="S100" s="53"/>
      <c r="T100" s="53"/>
      <c r="U100" s="29" t="s">
        <v>491</v>
      </c>
      <c r="W100" s="53"/>
    </row>
    <row r="101" spans="1:23" s="29" customFormat="1" ht="60" x14ac:dyDescent="0.25">
      <c r="A101" s="56">
        <v>42765</v>
      </c>
      <c r="B101" s="55" t="s">
        <v>643</v>
      </c>
      <c r="C101" s="29" t="s">
        <v>644</v>
      </c>
      <c r="D101" s="29" t="s">
        <v>645</v>
      </c>
      <c r="E101" s="29" t="s">
        <v>588</v>
      </c>
      <c r="F101" s="29" t="s">
        <v>5545</v>
      </c>
      <c r="H101" s="29" t="s">
        <v>607</v>
      </c>
      <c r="I101" s="29" t="s">
        <v>5546</v>
      </c>
      <c r="J101" s="43" t="s">
        <v>644</v>
      </c>
      <c r="K101" s="43"/>
      <c r="L101" s="44">
        <v>6</v>
      </c>
      <c r="M101" s="57">
        <v>332100</v>
      </c>
      <c r="N101" s="57">
        <v>514755</v>
      </c>
      <c r="O101" s="53" t="s">
        <v>5354</v>
      </c>
      <c r="P101" s="53" t="s">
        <v>5547</v>
      </c>
      <c r="Q101" s="55" t="s">
        <v>29</v>
      </c>
      <c r="R101" s="53" t="s">
        <v>5548</v>
      </c>
      <c r="S101" s="53"/>
      <c r="T101" s="53"/>
      <c r="U101" s="29" t="s">
        <v>491</v>
      </c>
      <c r="V101" s="43"/>
      <c r="W101" s="53"/>
    </row>
    <row r="102" spans="1:23" ht="30" x14ac:dyDescent="0.25">
      <c r="A102" s="56">
        <v>42766</v>
      </c>
      <c r="B102" s="55" t="s">
        <v>328</v>
      </c>
      <c r="C102" s="29" t="s">
        <v>603</v>
      </c>
      <c r="D102" s="29" t="s">
        <v>1401</v>
      </c>
      <c r="E102" s="29" t="s">
        <v>588</v>
      </c>
      <c r="F102" s="29" t="s">
        <v>5552</v>
      </c>
      <c r="G102" s="29"/>
      <c r="H102" s="29" t="s">
        <v>607</v>
      </c>
      <c r="I102" s="29" t="s">
        <v>5557</v>
      </c>
      <c r="J102" s="43" t="s">
        <v>899</v>
      </c>
      <c r="K102" s="43"/>
      <c r="L102" s="44">
        <v>4</v>
      </c>
      <c r="M102" s="57">
        <v>263000</v>
      </c>
      <c r="N102" s="57">
        <v>526000</v>
      </c>
      <c r="O102" s="47" t="s">
        <v>1374</v>
      </c>
      <c r="P102" s="53" t="s">
        <v>5553</v>
      </c>
      <c r="Q102" s="55" t="s">
        <v>1939</v>
      </c>
      <c r="R102" s="53" t="s">
        <v>5554</v>
      </c>
      <c r="S102" s="53"/>
      <c r="T102" s="53"/>
      <c r="U102" s="29" t="s">
        <v>491</v>
      </c>
      <c r="V102" s="43"/>
      <c r="W102" s="53"/>
    </row>
    <row r="103" spans="1:23" s="29" customFormat="1" ht="45" x14ac:dyDescent="0.25">
      <c r="A103" s="61">
        <v>42766</v>
      </c>
      <c r="B103" s="62" t="s">
        <v>569</v>
      </c>
      <c r="C103" s="46"/>
      <c r="D103" s="46" t="s">
        <v>624</v>
      </c>
      <c r="E103" s="46" t="s">
        <v>588</v>
      </c>
      <c r="F103" s="46" t="s">
        <v>5549</v>
      </c>
      <c r="G103" s="46"/>
      <c r="H103" s="46" t="s">
        <v>607</v>
      </c>
      <c r="I103" s="46" t="s">
        <v>5505</v>
      </c>
      <c r="J103" s="49" t="s">
        <v>899</v>
      </c>
      <c r="K103" s="49"/>
      <c r="L103" s="63">
        <v>3</v>
      </c>
      <c r="M103" s="64">
        <v>1600000</v>
      </c>
      <c r="N103" s="64">
        <v>2880000</v>
      </c>
      <c r="O103" s="47" t="s">
        <v>35</v>
      </c>
      <c r="P103" s="47" t="s">
        <v>5550</v>
      </c>
      <c r="Q103" s="62" t="s">
        <v>1939</v>
      </c>
      <c r="R103" s="47" t="s">
        <v>5551</v>
      </c>
      <c r="S103" s="47"/>
      <c r="T103" s="47"/>
      <c r="U103" s="46" t="s">
        <v>491</v>
      </c>
      <c r="V103" s="49"/>
      <c r="W103" s="47"/>
    </row>
    <row r="104" spans="1:23" s="29" customFormat="1" ht="30" x14ac:dyDescent="0.25">
      <c r="A104" s="56">
        <v>42766</v>
      </c>
      <c r="B104" s="55" t="s">
        <v>569</v>
      </c>
      <c r="D104" s="29" t="s">
        <v>625</v>
      </c>
      <c r="E104" s="29" t="s">
        <v>588</v>
      </c>
      <c r="F104" s="29" t="s">
        <v>5555</v>
      </c>
      <c r="H104" s="29" t="s">
        <v>5556</v>
      </c>
      <c r="I104" s="29" t="s">
        <v>3672</v>
      </c>
      <c r="J104" s="43" t="s">
        <v>899</v>
      </c>
      <c r="K104" s="43"/>
      <c r="L104" s="44">
        <v>5</v>
      </c>
      <c r="M104" s="57">
        <v>1000000</v>
      </c>
      <c r="N104" s="57">
        <v>1165000</v>
      </c>
      <c r="O104" s="53" t="s">
        <v>5559</v>
      </c>
      <c r="P104" s="53" t="s">
        <v>5558</v>
      </c>
      <c r="Q104" s="55" t="s">
        <v>29</v>
      </c>
      <c r="R104" s="53"/>
      <c r="S104" s="53"/>
      <c r="T104" s="53"/>
      <c r="U104" s="29" t="s">
        <v>491</v>
      </c>
      <c r="V104" s="43"/>
      <c r="W104" s="53"/>
    </row>
    <row r="105" spans="1:23" s="29" customFormat="1" ht="60" x14ac:dyDescent="0.25">
      <c r="A105" s="56">
        <v>42767</v>
      </c>
      <c r="B105" s="55" t="s">
        <v>328</v>
      </c>
      <c r="C105" s="29" t="s">
        <v>603</v>
      </c>
      <c r="D105" s="29" t="s">
        <v>1401</v>
      </c>
      <c r="E105" s="29" t="s">
        <v>588</v>
      </c>
      <c r="F105" s="29" t="s">
        <v>5560</v>
      </c>
      <c r="H105" s="29" t="s">
        <v>607</v>
      </c>
      <c r="I105" s="29" t="s">
        <v>5561</v>
      </c>
      <c r="J105" s="43" t="s">
        <v>5562</v>
      </c>
      <c r="K105" s="43"/>
      <c r="L105" s="44">
        <v>9</v>
      </c>
      <c r="M105" s="57">
        <v>100000</v>
      </c>
      <c r="N105" s="57">
        <v>2200000</v>
      </c>
      <c r="O105" s="47" t="s">
        <v>560</v>
      </c>
      <c r="P105" s="53" t="s">
        <v>5563</v>
      </c>
      <c r="Q105" s="55" t="s">
        <v>1939</v>
      </c>
      <c r="R105" s="53" t="s">
        <v>5564</v>
      </c>
      <c r="S105" s="53"/>
      <c r="T105" s="53"/>
      <c r="U105" s="29" t="s">
        <v>491</v>
      </c>
      <c r="V105" s="43"/>
      <c r="W105" s="53"/>
    </row>
    <row r="106" spans="1:23" s="29" customFormat="1" ht="30" x14ac:dyDescent="0.25">
      <c r="A106" s="56">
        <v>42767</v>
      </c>
      <c r="B106" s="55" t="s">
        <v>328</v>
      </c>
      <c r="C106" s="29" t="s">
        <v>603</v>
      </c>
      <c r="D106" s="29" t="s">
        <v>672</v>
      </c>
      <c r="E106" s="29" t="s">
        <v>588</v>
      </c>
      <c r="F106" s="29" t="s">
        <v>5565</v>
      </c>
      <c r="H106" s="29" t="s">
        <v>722</v>
      </c>
      <c r="I106" s="29" t="s">
        <v>5218</v>
      </c>
      <c r="J106" s="43" t="s">
        <v>899</v>
      </c>
      <c r="K106" s="43"/>
      <c r="L106" s="44">
        <v>2</v>
      </c>
      <c r="M106" s="57">
        <v>1100000</v>
      </c>
      <c r="N106" s="57">
        <v>1235000</v>
      </c>
      <c r="O106" s="47" t="s">
        <v>695</v>
      </c>
      <c r="P106" s="53" t="s">
        <v>5566</v>
      </c>
      <c r="Q106" s="55" t="s">
        <v>592</v>
      </c>
      <c r="R106" s="53" t="s">
        <v>5567</v>
      </c>
      <c r="S106" s="53"/>
      <c r="T106" s="53"/>
      <c r="U106" s="29" t="s">
        <v>491</v>
      </c>
      <c r="V106" s="43"/>
      <c r="W106" s="53"/>
    </row>
    <row r="107" spans="1:23" s="29" customFormat="1" ht="135.75" x14ac:dyDescent="0.25">
      <c r="A107" s="56">
        <v>42767</v>
      </c>
      <c r="B107" s="55" t="s">
        <v>5176</v>
      </c>
      <c r="C107" s="29" t="s">
        <v>959</v>
      </c>
      <c r="D107" s="29" t="s">
        <v>732</v>
      </c>
      <c r="E107" s="29" t="s">
        <v>588</v>
      </c>
      <c r="F107" s="29" t="s">
        <v>5571</v>
      </c>
      <c r="H107" s="29" t="s">
        <v>905</v>
      </c>
      <c r="I107" s="29" t="s">
        <v>5572</v>
      </c>
      <c r="J107" s="43" t="s">
        <v>959</v>
      </c>
      <c r="K107" s="43"/>
      <c r="L107" s="44"/>
      <c r="M107" s="57">
        <v>400000</v>
      </c>
      <c r="N107" s="57">
        <v>450000</v>
      </c>
      <c r="O107" s="53" t="s">
        <v>5573</v>
      </c>
      <c r="P107" s="53" t="s">
        <v>5574</v>
      </c>
      <c r="Q107" s="55" t="s">
        <v>620</v>
      </c>
      <c r="R107" s="42" t="s">
        <v>5575</v>
      </c>
      <c r="S107" s="53"/>
      <c r="T107" s="53"/>
      <c r="U107" s="29" t="s">
        <v>491</v>
      </c>
      <c r="V107" s="43"/>
      <c r="W107" s="53"/>
    </row>
    <row r="108" spans="1:23" s="29" customFormat="1" ht="75" x14ac:dyDescent="0.25">
      <c r="A108" s="56">
        <v>42767</v>
      </c>
      <c r="B108" s="55" t="s">
        <v>569</v>
      </c>
      <c r="D108" s="29" t="s">
        <v>930</v>
      </c>
      <c r="E108" s="29" t="s">
        <v>588</v>
      </c>
      <c r="F108" s="29" t="s">
        <v>5576</v>
      </c>
      <c r="H108" s="29" t="s">
        <v>722</v>
      </c>
      <c r="I108" s="29" t="s">
        <v>5577</v>
      </c>
      <c r="J108" s="43" t="s">
        <v>899</v>
      </c>
      <c r="K108" s="43"/>
      <c r="L108" s="44">
        <v>8</v>
      </c>
      <c r="M108" s="57">
        <v>540000</v>
      </c>
      <c r="N108" s="57">
        <v>800000</v>
      </c>
      <c r="O108" s="53" t="s">
        <v>5383</v>
      </c>
      <c r="P108" s="53" t="s">
        <v>5578</v>
      </c>
      <c r="Q108" s="55" t="s">
        <v>29</v>
      </c>
      <c r="R108" s="53"/>
      <c r="S108" s="53"/>
      <c r="T108" s="53"/>
      <c r="U108" s="29" t="s">
        <v>491</v>
      </c>
      <c r="V108" s="43"/>
      <c r="W108" s="53"/>
    </row>
    <row r="109" spans="1:23" ht="60" x14ac:dyDescent="0.25">
      <c r="A109" s="61">
        <v>42767</v>
      </c>
      <c r="B109" s="62" t="s">
        <v>569</v>
      </c>
      <c r="D109" s="46" t="s">
        <v>625</v>
      </c>
      <c r="E109" s="46" t="s">
        <v>588</v>
      </c>
      <c r="F109" s="46" t="s">
        <v>5579</v>
      </c>
      <c r="H109" s="46" t="s">
        <v>905</v>
      </c>
      <c r="I109" s="46" t="s">
        <v>5580</v>
      </c>
      <c r="J109" s="49" t="s">
        <v>899</v>
      </c>
      <c r="L109" s="63">
        <v>2</v>
      </c>
      <c r="M109" s="64">
        <v>350000</v>
      </c>
      <c r="N109" s="64">
        <v>560000</v>
      </c>
      <c r="O109" s="47" t="s">
        <v>695</v>
      </c>
      <c r="P109" s="47" t="s">
        <v>5581</v>
      </c>
      <c r="Q109" s="62" t="s">
        <v>1939</v>
      </c>
      <c r="R109" s="47" t="s">
        <v>5582</v>
      </c>
      <c r="U109" s="46" t="s">
        <v>491</v>
      </c>
    </row>
    <row r="110" spans="1:23" s="29" customFormat="1" ht="30" x14ac:dyDescent="0.25">
      <c r="A110" s="56">
        <v>42768</v>
      </c>
      <c r="B110" s="55" t="s">
        <v>328</v>
      </c>
      <c r="C110" s="29" t="s">
        <v>603</v>
      </c>
      <c r="D110" s="29" t="s">
        <v>1401</v>
      </c>
      <c r="E110" s="29" t="s">
        <v>588</v>
      </c>
      <c r="F110" s="29" t="s">
        <v>5589</v>
      </c>
      <c r="H110" s="29" t="s">
        <v>905</v>
      </c>
      <c r="I110" s="29" t="s">
        <v>2054</v>
      </c>
      <c r="J110" s="43" t="s">
        <v>899</v>
      </c>
      <c r="K110" s="43"/>
      <c r="L110" s="44"/>
      <c r="M110" s="57">
        <v>500000</v>
      </c>
      <c r="N110" s="57">
        <v>750000</v>
      </c>
      <c r="O110" s="47" t="s">
        <v>695</v>
      </c>
      <c r="P110" s="53" t="s">
        <v>5590</v>
      </c>
      <c r="Q110" s="55" t="s">
        <v>592</v>
      </c>
      <c r="R110" s="53"/>
      <c r="S110" s="53"/>
      <c r="T110" s="53"/>
      <c r="U110" s="29" t="s">
        <v>491</v>
      </c>
      <c r="V110" s="43"/>
      <c r="W110" s="53"/>
    </row>
    <row r="111" spans="1:23" ht="60" x14ac:dyDescent="0.25">
      <c r="A111" s="56">
        <v>42768</v>
      </c>
      <c r="B111" s="55" t="s">
        <v>569</v>
      </c>
      <c r="C111" s="29"/>
      <c r="D111" s="29" t="s">
        <v>930</v>
      </c>
      <c r="E111" s="29" t="s">
        <v>821</v>
      </c>
      <c r="F111" s="29" t="s">
        <v>5583</v>
      </c>
      <c r="G111" s="29"/>
      <c r="H111" s="29" t="s">
        <v>886</v>
      </c>
      <c r="I111" s="29"/>
      <c r="J111" s="43"/>
      <c r="K111" s="43"/>
      <c r="L111" s="44"/>
      <c r="M111" s="57"/>
      <c r="N111" s="57"/>
      <c r="O111" s="53" t="s">
        <v>5584</v>
      </c>
      <c r="P111" s="53" t="s">
        <v>5585</v>
      </c>
      <c r="Q111" s="55" t="s">
        <v>592</v>
      </c>
      <c r="R111" s="53"/>
      <c r="S111" s="53"/>
      <c r="T111" s="53"/>
      <c r="U111" s="29" t="s">
        <v>491</v>
      </c>
      <c r="V111" s="43"/>
      <c r="W111" s="53"/>
    </row>
    <row r="112" spans="1:23" s="29" customFormat="1" ht="30" x14ac:dyDescent="0.25">
      <c r="A112" s="61">
        <v>42768</v>
      </c>
      <c r="B112" s="62" t="s">
        <v>569</v>
      </c>
      <c r="C112" s="46"/>
      <c r="D112" s="46" t="s">
        <v>930</v>
      </c>
      <c r="E112" s="46" t="s">
        <v>588</v>
      </c>
      <c r="F112" s="46" t="s">
        <v>5586</v>
      </c>
      <c r="G112" s="46"/>
      <c r="H112" s="46" t="s">
        <v>607</v>
      </c>
      <c r="I112" s="46" t="s">
        <v>5449</v>
      </c>
      <c r="J112" s="49" t="s">
        <v>899</v>
      </c>
      <c r="K112" s="49"/>
      <c r="L112" s="63">
        <v>10</v>
      </c>
      <c r="M112" s="64">
        <v>1589000</v>
      </c>
      <c r="N112" s="64">
        <v>2549000</v>
      </c>
      <c r="O112" s="47" t="s">
        <v>560</v>
      </c>
      <c r="P112" s="47" t="s">
        <v>5587</v>
      </c>
      <c r="Q112" s="62" t="s">
        <v>1939</v>
      </c>
      <c r="R112" s="47" t="s">
        <v>5588</v>
      </c>
      <c r="S112" s="47"/>
      <c r="T112" s="47"/>
      <c r="U112" s="46" t="s">
        <v>491</v>
      </c>
      <c r="V112" s="49"/>
      <c r="W112" s="47"/>
    </row>
    <row r="113" spans="1:23" s="29" customFormat="1" ht="30" x14ac:dyDescent="0.25">
      <c r="A113" s="56">
        <v>42768</v>
      </c>
      <c r="B113" s="55" t="s">
        <v>5360</v>
      </c>
      <c r="D113" s="29" t="s">
        <v>611</v>
      </c>
      <c r="E113" s="29" t="s">
        <v>588</v>
      </c>
      <c r="F113" s="29" t="s">
        <v>5591</v>
      </c>
      <c r="H113" s="29" t="s">
        <v>905</v>
      </c>
      <c r="I113" s="29" t="s">
        <v>3635</v>
      </c>
      <c r="J113" s="43" t="s">
        <v>899</v>
      </c>
      <c r="K113" s="43"/>
      <c r="L113" s="44"/>
      <c r="M113" s="57">
        <v>190000</v>
      </c>
      <c r="N113" s="57">
        <v>191900</v>
      </c>
      <c r="O113" s="53" t="s">
        <v>2753</v>
      </c>
      <c r="P113" s="53" t="s">
        <v>5592</v>
      </c>
      <c r="Q113" s="55" t="s">
        <v>29</v>
      </c>
      <c r="R113" s="53" t="s">
        <v>5593</v>
      </c>
      <c r="S113" s="53"/>
      <c r="T113" s="53"/>
      <c r="U113" s="29" t="s">
        <v>491</v>
      </c>
      <c r="W113" s="53"/>
    </row>
    <row r="114" spans="1:23" s="29" customFormat="1" ht="60" x14ac:dyDescent="0.25">
      <c r="A114" s="56">
        <v>42769</v>
      </c>
      <c r="B114" s="55" t="s">
        <v>328</v>
      </c>
      <c r="C114" s="29" t="s">
        <v>603</v>
      </c>
      <c r="D114" s="29" t="s">
        <v>2397</v>
      </c>
      <c r="E114" s="29" t="s">
        <v>588</v>
      </c>
      <c r="F114" s="29" t="s">
        <v>5598</v>
      </c>
      <c r="H114" s="29" t="s">
        <v>607</v>
      </c>
      <c r="I114" s="29" t="s">
        <v>5599</v>
      </c>
      <c r="J114" s="43" t="s">
        <v>604</v>
      </c>
      <c r="K114" s="43"/>
      <c r="L114" s="44">
        <v>6</v>
      </c>
      <c r="M114" s="57">
        <v>809000</v>
      </c>
      <c r="N114" s="57">
        <v>1550000</v>
      </c>
      <c r="O114" s="47" t="s">
        <v>3952</v>
      </c>
      <c r="P114" s="53" t="s">
        <v>5600</v>
      </c>
      <c r="Q114" s="55" t="s">
        <v>620</v>
      </c>
      <c r="R114" s="53" t="s">
        <v>5601</v>
      </c>
      <c r="S114" s="53"/>
      <c r="T114" s="53"/>
      <c r="U114" s="29" t="s">
        <v>491</v>
      </c>
      <c r="W114" s="53"/>
    </row>
    <row r="115" spans="1:23" s="29" customFormat="1" ht="30" x14ac:dyDescent="0.25">
      <c r="A115" s="56">
        <v>42769</v>
      </c>
      <c r="B115" s="55" t="s">
        <v>328</v>
      </c>
      <c r="C115" s="29" t="s">
        <v>603</v>
      </c>
      <c r="D115" s="29" t="s">
        <v>2397</v>
      </c>
      <c r="E115" s="29" t="s">
        <v>588</v>
      </c>
      <c r="F115" s="29" t="s">
        <v>916</v>
      </c>
      <c r="H115" s="29" t="s">
        <v>722</v>
      </c>
      <c r="I115" s="29" t="s">
        <v>3635</v>
      </c>
      <c r="J115" s="43" t="s">
        <v>899</v>
      </c>
      <c r="K115" s="43"/>
      <c r="L115" s="44">
        <v>9</v>
      </c>
      <c r="M115" s="57">
        <v>1500000</v>
      </c>
      <c r="N115" s="57">
        <v>1600000</v>
      </c>
      <c r="O115" s="47" t="s">
        <v>560</v>
      </c>
      <c r="P115" s="53" t="s">
        <v>5602</v>
      </c>
      <c r="Q115" s="55" t="s">
        <v>592</v>
      </c>
      <c r="R115" s="53" t="s">
        <v>5603</v>
      </c>
      <c r="S115" s="53"/>
      <c r="T115" s="53"/>
      <c r="U115" s="29" t="s">
        <v>491</v>
      </c>
      <c r="W115" s="53"/>
    </row>
    <row r="116" spans="1:23" s="29" customFormat="1" ht="60" x14ac:dyDescent="0.25">
      <c r="A116" s="56">
        <v>42769</v>
      </c>
      <c r="B116" s="55" t="s">
        <v>328</v>
      </c>
      <c r="C116" s="29" t="s">
        <v>603</v>
      </c>
      <c r="D116" s="29" t="s">
        <v>2397</v>
      </c>
      <c r="E116" s="29" t="s">
        <v>588</v>
      </c>
      <c r="F116" s="29" t="s">
        <v>5604</v>
      </c>
      <c r="H116" s="29" t="s">
        <v>607</v>
      </c>
      <c r="I116" s="29" t="s">
        <v>5605</v>
      </c>
      <c r="J116" s="43" t="s">
        <v>603</v>
      </c>
      <c r="K116" s="43"/>
      <c r="L116" s="44"/>
      <c r="M116" s="57">
        <v>1943000</v>
      </c>
      <c r="N116" s="57">
        <v>3983150</v>
      </c>
      <c r="O116" s="47" t="s">
        <v>560</v>
      </c>
      <c r="P116" s="53" t="s">
        <v>5606</v>
      </c>
      <c r="Q116" s="55" t="s">
        <v>1939</v>
      </c>
      <c r="R116" s="53" t="s">
        <v>5607</v>
      </c>
      <c r="S116" s="53"/>
      <c r="T116" s="53"/>
      <c r="U116" s="29" t="s">
        <v>491</v>
      </c>
      <c r="W116" s="53"/>
    </row>
    <row r="117" spans="1:23" s="29" customFormat="1" ht="113.25" x14ac:dyDescent="0.25">
      <c r="A117" s="56">
        <v>42769</v>
      </c>
      <c r="B117" s="55" t="s">
        <v>328</v>
      </c>
      <c r="C117" s="29" t="s">
        <v>603</v>
      </c>
      <c r="D117" s="29" t="s">
        <v>2397</v>
      </c>
      <c r="E117" s="29" t="s">
        <v>588</v>
      </c>
      <c r="F117" s="29" t="s">
        <v>5608</v>
      </c>
      <c r="H117" s="29" t="s">
        <v>607</v>
      </c>
      <c r="I117" s="29" t="s">
        <v>5609</v>
      </c>
      <c r="J117" s="43" t="s">
        <v>5610</v>
      </c>
      <c r="K117" s="43"/>
      <c r="L117" s="44">
        <v>2</v>
      </c>
      <c r="M117" s="57">
        <v>541000</v>
      </c>
      <c r="N117" s="57">
        <v>1082000</v>
      </c>
      <c r="O117" s="47" t="s">
        <v>5611</v>
      </c>
      <c r="P117" s="53" t="s">
        <v>5612</v>
      </c>
      <c r="Q117" s="55" t="s">
        <v>1939</v>
      </c>
      <c r="R117" s="42" t="s">
        <v>5613</v>
      </c>
      <c r="S117" s="53"/>
      <c r="T117" s="53"/>
      <c r="U117" s="29" t="s">
        <v>491</v>
      </c>
      <c r="W117" s="53"/>
    </row>
    <row r="118" spans="1:23" s="29" customFormat="1" ht="75" x14ac:dyDescent="0.25">
      <c r="A118" s="56">
        <v>42769</v>
      </c>
      <c r="B118" s="55" t="s">
        <v>328</v>
      </c>
      <c r="C118" s="29" t="s">
        <v>603</v>
      </c>
      <c r="D118" s="29" t="s">
        <v>2397</v>
      </c>
      <c r="E118" s="29" t="s">
        <v>588</v>
      </c>
      <c r="F118" s="29" t="s">
        <v>5615</v>
      </c>
      <c r="H118" s="29" t="s">
        <v>1391</v>
      </c>
      <c r="I118" s="29" t="s">
        <v>5616</v>
      </c>
      <c r="J118" s="43" t="s">
        <v>899</v>
      </c>
      <c r="K118" s="43"/>
      <c r="L118" s="44">
        <v>10</v>
      </c>
      <c r="M118" s="57">
        <v>1500000</v>
      </c>
      <c r="N118" s="57">
        <v>1510000</v>
      </c>
      <c r="O118" s="47" t="s">
        <v>5617</v>
      </c>
      <c r="P118" s="53" t="s">
        <v>5618</v>
      </c>
      <c r="Q118" s="55" t="s">
        <v>1939</v>
      </c>
      <c r="R118" s="53" t="s">
        <v>6297</v>
      </c>
      <c r="S118" s="53"/>
      <c r="T118" s="53"/>
      <c r="U118" s="29" t="s">
        <v>491</v>
      </c>
      <c r="W118" s="53"/>
    </row>
    <row r="119" spans="1:23" s="29" customFormat="1" ht="60" x14ac:dyDescent="0.25">
      <c r="A119" s="56">
        <v>42769</v>
      </c>
      <c r="B119" s="55" t="s">
        <v>569</v>
      </c>
      <c r="D119" s="29" t="s">
        <v>930</v>
      </c>
      <c r="E119" s="29" t="s">
        <v>588</v>
      </c>
      <c r="F119" s="29" t="s">
        <v>5594</v>
      </c>
      <c r="H119" s="29" t="s">
        <v>905</v>
      </c>
      <c r="I119" s="29" t="s">
        <v>5595</v>
      </c>
      <c r="J119" s="43" t="s">
        <v>899</v>
      </c>
      <c r="K119" s="43"/>
      <c r="L119" s="44"/>
      <c r="M119" s="57">
        <v>450000</v>
      </c>
      <c r="N119" s="57">
        <v>545000</v>
      </c>
      <c r="O119" s="53" t="s">
        <v>35</v>
      </c>
      <c r="P119" s="53" t="s">
        <v>5596</v>
      </c>
      <c r="Q119" s="55" t="s">
        <v>592</v>
      </c>
      <c r="R119" s="53" t="s">
        <v>5597</v>
      </c>
      <c r="S119" s="53" t="s">
        <v>5619</v>
      </c>
      <c r="T119" s="53"/>
      <c r="U119" s="29" t="s">
        <v>491</v>
      </c>
      <c r="W119" s="53"/>
    </row>
    <row r="120" spans="1:23" s="29" customFormat="1" ht="60" x14ac:dyDescent="0.25">
      <c r="A120" s="56">
        <v>42772</v>
      </c>
      <c r="B120" s="55" t="s">
        <v>643</v>
      </c>
      <c r="C120" s="29" t="s">
        <v>644</v>
      </c>
      <c r="D120" s="29" t="s">
        <v>645</v>
      </c>
      <c r="E120" s="29" t="s">
        <v>588</v>
      </c>
      <c r="F120" s="29" t="s">
        <v>5658</v>
      </c>
      <c r="H120" s="29" t="s">
        <v>1391</v>
      </c>
      <c r="I120" s="29" t="s">
        <v>4926</v>
      </c>
      <c r="J120" s="43" t="s">
        <v>644</v>
      </c>
      <c r="K120" s="43"/>
      <c r="L120" s="44"/>
      <c r="M120" s="57">
        <v>450090</v>
      </c>
      <c r="N120" s="30" t="s">
        <v>5662</v>
      </c>
      <c r="O120" s="53" t="s">
        <v>5659</v>
      </c>
      <c r="P120" s="53" t="s">
        <v>5660</v>
      </c>
      <c r="Q120" s="55" t="s">
        <v>29</v>
      </c>
      <c r="R120" s="53" t="s">
        <v>5661</v>
      </c>
      <c r="S120" s="53"/>
      <c r="T120" s="53"/>
      <c r="U120" s="29" t="s">
        <v>1327</v>
      </c>
      <c r="W120" s="53"/>
    </row>
    <row r="121" spans="1:23" ht="60" x14ac:dyDescent="0.25">
      <c r="A121" s="56">
        <v>42773</v>
      </c>
      <c r="B121" s="55" t="s">
        <v>328</v>
      </c>
      <c r="C121" s="29" t="s">
        <v>603</v>
      </c>
      <c r="D121" s="29" t="s">
        <v>1401</v>
      </c>
      <c r="E121" s="29" t="s">
        <v>588</v>
      </c>
      <c r="F121" s="29" t="s">
        <v>5625</v>
      </c>
      <c r="G121" s="29"/>
      <c r="H121" s="29" t="s">
        <v>3277</v>
      </c>
      <c r="I121" s="29" t="s">
        <v>5626</v>
      </c>
      <c r="J121" s="43" t="s">
        <v>644</v>
      </c>
      <c r="K121" s="43"/>
      <c r="L121" s="44">
        <v>5</v>
      </c>
      <c r="M121" s="57">
        <v>97000</v>
      </c>
      <c r="N121" s="57">
        <v>166100</v>
      </c>
      <c r="O121" s="47" t="s">
        <v>1120</v>
      </c>
      <c r="P121" s="53" t="s">
        <v>5627</v>
      </c>
      <c r="Q121" s="55" t="s">
        <v>592</v>
      </c>
      <c r="R121" s="53" t="s">
        <v>5628</v>
      </c>
      <c r="S121" s="53"/>
      <c r="T121" s="53"/>
      <c r="U121" s="29" t="s">
        <v>491</v>
      </c>
      <c r="V121" s="29"/>
      <c r="W121" s="53"/>
    </row>
    <row r="122" spans="1:23" s="29" customFormat="1" ht="120" x14ac:dyDescent="0.25">
      <c r="A122" s="56">
        <v>42773</v>
      </c>
      <c r="B122" s="55" t="s">
        <v>328</v>
      </c>
      <c r="C122" s="29" t="s">
        <v>603</v>
      </c>
      <c r="D122" s="29" t="s">
        <v>1401</v>
      </c>
      <c r="E122" s="29" t="s">
        <v>588</v>
      </c>
      <c r="F122" s="29" t="s">
        <v>5639</v>
      </c>
      <c r="H122" s="29" t="s">
        <v>5640</v>
      </c>
      <c r="I122" s="29" t="s">
        <v>5641</v>
      </c>
      <c r="J122" s="43" t="s">
        <v>3612</v>
      </c>
      <c r="K122" s="43"/>
      <c r="L122" s="44"/>
      <c r="M122" s="57">
        <v>1000000</v>
      </c>
      <c r="N122" s="57">
        <v>1500000</v>
      </c>
      <c r="O122" s="47" t="s">
        <v>3952</v>
      </c>
      <c r="P122" s="53" t="s">
        <v>5663</v>
      </c>
      <c r="Q122" s="55" t="s">
        <v>1612</v>
      </c>
      <c r="R122" s="53" t="s">
        <v>5674</v>
      </c>
      <c r="S122" s="53"/>
      <c r="T122" s="53"/>
      <c r="U122" s="29" t="s">
        <v>491</v>
      </c>
      <c r="W122" s="53"/>
    </row>
    <row r="123" spans="1:23" s="29" customFormat="1" ht="75" x14ac:dyDescent="0.25">
      <c r="A123" s="56">
        <v>42773</v>
      </c>
      <c r="B123" s="55" t="s">
        <v>5992</v>
      </c>
      <c r="C123" s="29" t="s">
        <v>608</v>
      </c>
      <c r="D123" s="29" t="s">
        <v>5419</v>
      </c>
      <c r="E123" s="29" t="s">
        <v>588</v>
      </c>
      <c r="F123" s="29" t="s">
        <v>5629</v>
      </c>
      <c r="H123" s="29" t="s">
        <v>607</v>
      </c>
      <c r="I123" s="29" t="s">
        <v>5630</v>
      </c>
      <c r="J123" s="43" t="s">
        <v>608</v>
      </c>
      <c r="K123" s="43"/>
      <c r="L123" s="44" t="s">
        <v>833</v>
      </c>
      <c r="M123" s="57">
        <v>227600</v>
      </c>
      <c r="N123" s="57">
        <v>455200</v>
      </c>
      <c r="O123" s="53" t="s">
        <v>5631</v>
      </c>
      <c r="P123" s="53" t="s">
        <v>5633</v>
      </c>
      <c r="Q123" s="55" t="s">
        <v>1939</v>
      </c>
      <c r="R123" s="53" t="s">
        <v>5632</v>
      </c>
      <c r="S123" s="53"/>
      <c r="T123" s="53"/>
      <c r="U123" s="29" t="s">
        <v>491</v>
      </c>
      <c r="W123" s="53"/>
    </row>
    <row r="124" spans="1:23" s="29" customFormat="1" ht="30" x14ac:dyDescent="0.25">
      <c r="A124" s="56">
        <v>42773</v>
      </c>
      <c r="B124" s="55" t="s">
        <v>5176</v>
      </c>
      <c r="C124" s="29" t="s">
        <v>959</v>
      </c>
      <c r="D124" s="29" t="s">
        <v>732</v>
      </c>
      <c r="E124" s="29" t="s">
        <v>588</v>
      </c>
      <c r="F124" s="29" t="s">
        <v>5642</v>
      </c>
      <c r="H124" s="29" t="s">
        <v>1050</v>
      </c>
      <c r="J124" s="43"/>
      <c r="K124" s="43"/>
      <c r="L124" s="44"/>
      <c r="M124" s="57"/>
      <c r="N124" s="57"/>
      <c r="O124" s="53" t="s">
        <v>5234</v>
      </c>
      <c r="P124" s="53" t="s">
        <v>5643</v>
      </c>
      <c r="Q124" s="55" t="s">
        <v>29</v>
      </c>
      <c r="R124" s="53"/>
      <c r="S124" s="53"/>
      <c r="T124" s="53"/>
      <c r="U124" s="29" t="s">
        <v>491</v>
      </c>
      <c r="W124" s="53"/>
    </row>
    <row r="125" spans="1:23" s="29" customFormat="1" ht="48.75" x14ac:dyDescent="0.25">
      <c r="A125" s="61">
        <v>42773</v>
      </c>
      <c r="B125" s="62" t="s">
        <v>569</v>
      </c>
      <c r="C125" s="46"/>
      <c r="D125" s="46" t="s">
        <v>624</v>
      </c>
      <c r="E125" s="46" t="s">
        <v>588</v>
      </c>
      <c r="F125" s="46" t="s">
        <v>5620</v>
      </c>
      <c r="G125" s="46"/>
      <c r="H125" s="46" t="s">
        <v>905</v>
      </c>
      <c r="I125" s="46" t="s">
        <v>5621</v>
      </c>
      <c r="J125" s="49" t="s">
        <v>899</v>
      </c>
      <c r="K125" s="49"/>
      <c r="L125" s="63">
        <v>3</v>
      </c>
      <c r="M125" s="64">
        <v>252000</v>
      </c>
      <c r="N125" s="64">
        <v>347400</v>
      </c>
      <c r="O125" s="47" t="s">
        <v>5622</v>
      </c>
      <c r="P125" s="47" t="s">
        <v>5623</v>
      </c>
      <c r="Q125" s="62" t="s">
        <v>1939</v>
      </c>
      <c r="R125" s="86" t="s">
        <v>5624</v>
      </c>
      <c r="S125" s="47"/>
      <c r="T125" s="47"/>
      <c r="U125" s="46" t="s">
        <v>491</v>
      </c>
      <c r="V125" s="46"/>
      <c r="W125" s="47"/>
    </row>
    <row r="126" spans="1:23" s="29" customFormat="1" ht="105" x14ac:dyDescent="0.25">
      <c r="A126" s="56">
        <v>42773</v>
      </c>
      <c r="B126" s="55" t="s">
        <v>643</v>
      </c>
      <c r="C126" s="29" t="s">
        <v>644</v>
      </c>
      <c r="D126" s="29" t="s">
        <v>645</v>
      </c>
      <c r="E126" s="29" t="s">
        <v>588</v>
      </c>
      <c r="F126" s="29" t="s">
        <v>5634</v>
      </c>
      <c r="H126" s="29" t="s">
        <v>5635</v>
      </c>
      <c r="I126" s="29" t="s">
        <v>5636</v>
      </c>
      <c r="J126" s="43" t="s">
        <v>644</v>
      </c>
      <c r="K126" s="43"/>
      <c r="L126" s="44">
        <v>10</v>
      </c>
      <c r="M126" s="57">
        <v>728000</v>
      </c>
      <c r="N126" s="57">
        <v>828000</v>
      </c>
      <c r="O126" s="53" t="s">
        <v>3886</v>
      </c>
      <c r="P126" s="53" t="s">
        <v>5637</v>
      </c>
      <c r="Q126" s="55" t="s">
        <v>1939</v>
      </c>
      <c r="R126" s="53" t="s">
        <v>5638</v>
      </c>
      <c r="S126" s="53"/>
      <c r="T126" s="53"/>
      <c r="U126" s="29" t="s">
        <v>491</v>
      </c>
      <c r="W126" s="53"/>
    </row>
    <row r="127" spans="1:23" ht="45" x14ac:dyDescent="0.25">
      <c r="A127" s="56">
        <v>42774</v>
      </c>
      <c r="B127" s="55" t="s">
        <v>328</v>
      </c>
      <c r="C127" s="29" t="s">
        <v>603</v>
      </c>
      <c r="D127" s="29" t="s">
        <v>2397</v>
      </c>
      <c r="E127" s="29" t="s">
        <v>588</v>
      </c>
      <c r="F127" s="29" t="s">
        <v>5646</v>
      </c>
      <c r="G127" s="29"/>
      <c r="H127" s="29" t="s">
        <v>607</v>
      </c>
      <c r="I127" s="29" t="s">
        <v>4528</v>
      </c>
      <c r="J127" s="43" t="s">
        <v>899</v>
      </c>
      <c r="K127" s="43"/>
      <c r="L127" s="44">
        <v>9</v>
      </c>
      <c r="M127" s="57">
        <v>971000</v>
      </c>
      <c r="N127" s="57">
        <v>1990550</v>
      </c>
      <c r="O127" s="47" t="s">
        <v>560</v>
      </c>
      <c r="P127" s="53" t="s">
        <v>5647</v>
      </c>
      <c r="Q127" s="55" t="s">
        <v>1939</v>
      </c>
      <c r="R127" s="53" t="s">
        <v>5648</v>
      </c>
      <c r="S127" s="53"/>
      <c r="T127" s="53"/>
      <c r="U127" s="29" t="s">
        <v>491</v>
      </c>
      <c r="V127" s="29"/>
      <c r="W127" s="53"/>
    </row>
    <row r="128" spans="1:23" s="29" customFormat="1" ht="60" x14ac:dyDescent="0.25">
      <c r="A128" s="61">
        <v>42774</v>
      </c>
      <c r="B128" s="62" t="s">
        <v>569</v>
      </c>
      <c r="C128" s="46"/>
      <c r="D128" s="46" t="s">
        <v>624</v>
      </c>
      <c r="E128" s="46" t="s">
        <v>588</v>
      </c>
      <c r="F128" s="46" t="s">
        <v>5644</v>
      </c>
      <c r="G128" s="46"/>
      <c r="H128" s="46" t="s">
        <v>905</v>
      </c>
      <c r="I128" s="46" t="s">
        <v>3649</v>
      </c>
      <c r="J128" s="49" t="s">
        <v>899</v>
      </c>
      <c r="K128" s="49"/>
      <c r="L128" s="63">
        <v>2</v>
      </c>
      <c r="M128" s="64">
        <v>2526000</v>
      </c>
      <c r="N128" s="64">
        <v>4041600</v>
      </c>
      <c r="O128" s="47" t="s">
        <v>560</v>
      </c>
      <c r="P128" s="47" t="s">
        <v>6298</v>
      </c>
      <c r="Q128" s="62" t="s">
        <v>1939</v>
      </c>
      <c r="R128" s="47" t="s">
        <v>5645</v>
      </c>
      <c r="S128" s="47"/>
      <c r="T128" s="47"/>
      <c r="U128" s="46" t="s">
        <v>491</v>
      </c>
      <c r="V128" s="46"/>
      <c r="W128" s="47"/>
    </row>
    <row r="129" spans="1:23" s="29" customFormat="1" ht="105" x14ac:dyDescent="0.25">
      <c r="A129" s="56">
        <v>42775</v>
      </c>
      <c r="B129" s="55" t="s">
        <v>569</v>
      </c>
      <c r="D129" s="29" t="s">
        <v>624</v>
      </c>
      <c r="E129" s="29" t="s">
        <v>588</v>
      </c>
      <c r="F129" s="29" t="s">
        <v>5649</v>
      </c>
      <c r="H129" s="29" t="s">
        <v>809</v>
      </c>
      <c r="I129" s="29" t="s">
        <v>3462</v>
      </c>
      <c r="J129" s="43" t="s">
        <v>899</v>
      </c>
      <c r="K129" s="43"/>
      <c r="L129" s="44">
        <v>2</v>
      </c>
      <c r="M129" s="57">
        <v>900000</v>
      </c>
      <c r="N129" s="57">
        <v>1000000</v>
      </c>
      <c r="O129" s="53" t="s">
        <v>1171</v>
      </c>
      <c r="P129" s="53" t="s">
        <v>5650</v>
      </c>
      <c r="Q129" s="55" t="s">
        <v>592</v>
      </c>
      <c r="R129" s="53" t="s">
        <v>5651</v>
      </c>
      <c r="S129" s="53"/>
      <c r="T129" s="53"/>
      <c r="U129" s="29" t="s">
        <v>491</v>
      </c>
      <c r="W129" s="53"/>
    </row>
    <row r="130" spans="1:23" s="29" customFormat="1" ht="45" x14ac:dyDescent="0.25">
      <c r="A130" s="56">
        <v>42775</v>
      </c>
      <c r="B130" s="55" t="s">
        <v>569</v>
      </c>
      <c r="D130" s="29" t="s">
        <v>930</v>
      </c>
      <c r="E130" s="29" t="s">
        <v>588</v>
      </c>
      <c r="F130" s="29" t="s">
        <v>5654</v>
      </c>
      <c r="H130" s="29" t="s">
        <v>905</v>
      </c>
      <c r="I130" s="29" t="s">
        <v>2054</v>
      </c>
      <c r="J130" s="43" t="s">
        <v>899</v>
      </c>
      <c r="K130" s="43"/>
      <c r="L130" s="44"/>
      <c r="M130" s="57">
        <v>800000</v>
      </c>
      <c r="N130" s="57">
        <v>800000</v>
      </c>
      <c r="O130" s="53" t="s">
        <v>5655</v>
      </c>
      <c r="P130" s="53" t="s">
        <v>5657</v>
      </c>
      <c r="Q130" s="55" t="s">
        <v>592</v>
      </c>
      <c r="R130" s="53" t="s">
        <v>5656</v>
      </c>
      <c r="S130" s="53"/>
      <c r="T130" s="53"/>
      <c r="U130" s="29" t="s">
        <v>491</v>
      </c>
      <c r="W130" s="53"/>
    </row>
    <row r="131" spans="1:23" s="29" customFormat="1" ht="60" x14ac:dyDescent="0.25">
      <c r="A131" s="56">
        <v>42775</v>
      </c>
      <c r="B131" s="55" t="s">
        <v>5360</v>
      </c>
      <c r="D131" s="29" t="s">
        <v>732</v>
      </c>
      <c r="E131" s="29" t="s">
        <v>588</v>
      </c>
      <c r="F131" s="29" t="s">
        <v>5652</v>
      </c>
      <c r="H131" s="29" t="s">
        <v>607</v>
      </c>
      <c r="I131" s="29" t="s">
        <v>5653</v>
      </c>
      <c r="J131" s="43" t="s">
        <v>899</v>
      </c>
      <c r="K131" s="43"/>
      <c r="L131" s="44">
        <v>4</v>
      </c>
      <c r="M131" s="57">
        <v>720000</v>
      </c>
      <c r="N131" s="57">
        <v>1296000</v>
      </c>
      <c r="O131" s="53" t="s">
        <v>695</v>
      </c>
      <c r="P131" s="53" t="s">
        <v>6299</v>
      </c>
      <c r="Q131" s="55" t="s">
        <v>592</v>
      </c>
      <c r="R131" s="53"/>
      <c r="S131" s="53"/>
      <c r="T131" s="53"/>
      <c r="U131" s="29" t="s">
        <v>491</v>
      </c>
      <c r="W131" s="53"/>
    </row>
    <row r="132" spans="1:23" s="29" customFormat="1" ht="45" x14ac:dyDescent="0.25">
      <c r="A132" s="56">
        <v>42776</v>
      </c>
      <c r="B132" s="55" t="s">
        <v>328</v>
      </c>
      <c r="C132" s="29" t="s">
        <v>603</v>
      </c>
      <c r="D132" s="29" t="s">
        <v>2397</v>
      </c>
      <c r="E132" s="29" t="s">
        <v>588</v>
      </c>
      <c r="F132" s="29" t="s">
        <v>5664</v>
      </c>
      <c r="H132" s="29" t="s">
        <v>809</v>
      </c>
      <c r="I132" s="29" t="s">
        <v>5665</v>
      </c>
      <c r="J132" s="43" t="s">
        <v>3751</v>
      </c>
      <c r="K132" s="43"/>
      <c r="L132" s="44">
        <v>4</v>
      </c>
      <c r="M132" s="57">
        <v>125000</v>
      </c>
      <c r="N132" s="57">
        <v>125000</v>
      </c>
      <c r="O132" s="47" t="s">
        <v>3886</v>
      </c>
      <c r="P132" s="53" t="s">
        <v>5666</v>
      </c>
      <c r="Q132" s="55" t="s">
        <v>1612</v>
      </c>
      <c r="R132" s="53" t="s">
        <v>5675</v>
      </c>
      <c r="S132" s="53"/>
      <c r="T132" s="53"/>
      <c r="U132" s="29" t="s">
        <v>491</v>
      </c>
      <c r="W132" s="53"/>
    </row>
    <row r="133" spans="1:23" ht="90" x14ac:dyDescent="0.25">
      <c r="A133" s="61">
        <v>42776</v>
      </c>
      <c r="B133" s="62" t="s">
        <v>569</v>
      </c>
      <c r="D133" s="46" t="s">
        <v>930</v>
      </c>
      <c r="E133" s="46" t="s">
        <v>588</v>
      </c>
      <c r="F133" s="46" t="s">
        <v>5667</v>
      </c>
      <c r="H133" s="46" t="s">
        <v>607</v>
      </c>
      <c r="I133" s="46" t="s">
        <v>5668</v>
      </c>
      <c r="J133" s="49" t="s">
        <v>899</v>
      </c>
      <c r="L133" s="63">
        <v>2</v>
      </c>
      <c r="M133" s="64">
        <v>2100000</v>
      </c>
      <c r="N133" s="64">
        <v>3780000</v>
      </c>
      <c r="O133" s="47" t="s">
        <v>560</v>
      </c>
      <c r="P133" s="47" t="s">
        <v>5669</v>
      </c>
      <c r="Q133" s="62" t="s">
        <v>1939</v>
      </c>
      <c r="R133" s="47" t="s">
        <v>5670</v>
      </c>
      <c r="U133" s="46" t="s">
        <v>491</v>
      </c>
      <c r="V133" s="46"/>
    </row>
    <row r="134" spans="1:23" s="29" customFormat="1" ht="60" x14ac:dyDescent="0.25">
      <c r="A134" s="56">
        <v>42776</v>
      </c>
      <c r="B134" s="55" t="s">
        <v>569</v>
      </c>
      <c r="D134" s="29" t="s">
        <v>624</v>
      </c>
      <c r="E134" s="29" t="s">
        <v>588</v>
      </c>
      <c r="F134" s="29" t="s">
        <v>5671</v>
      </c>
      <c r="H134" s="29" t="s">
        <v>607</v>
      </c>
      <c r="J134" s="43"/>
      <c r="K134" s="43"/>
      <c r="L134" s="44"/>
      <c r="M134" s="57"/>
      <c r="N134" s="57"/>
      <c r="O134" s="53" t="s">
        <v>5584</v>
      </c>
      <c r="P134" s="53" t="s">
        <v>5672</v>
      </c>
      <c r="Q134" s="55" t="s">
        <v>29</v>
      </c>
      <c r="R134" s="53" t="s">
        <v>5673</v>
      </c>
      <c r="S134" s="53"/>
      <c r="T134" s="53"/>
      <c r="U134" s="29" t="s">
        <v>491</v>
      </c>
      <c r="W134" s="53"/>
    </row>
    <row r="135" spans="1:23" s="29" customFormat="1" ht="60" x14ac:dyDescent="0.25">
      <c r="A135" s="56">
        <v>42779</v>
      </c>
      <c r="B135" s="55" t="s">
        <v>569</v>
      </c>
      <c r="D135" s="29" t="s">
        <v>611</v>
      </c>
      <c r="E135" s="29" t="s">
        <v>588</v>
      </c>
      <c r="F135" s="29" t="s">
        <v>5676</v>
      </c>
      <c r="H135" s="29" t="s">
        <v>607</v>
      </c>
      <c r="I135" s="29" t="s">
        <v>5677</v>
      </c>
      <c r="J135" s="43" t="s">
        <v>899</v>
      </c>
      <c r="K135" s="43"/>
      <c r="L135" s="44">
        <v>3</v>
      </c>
      <c r="M135" s="57">
        <v>1000016</v>
      </c>
      <c r="N135" s="57">
        <v>1800016</v>
      </c>
      <c r="O135" s="53" t="s">
        <v>5678</v>
      </c>
      <c r="P135" s="53" t="s">
        <v>5687</v>
      </c>
      <c r="Q135" s="55" t="s">
        <v>1939</v>
      </c>
      <c r="R135" s="53" t="s">
        <v>5688</v>
      </c>
      <c r="S135" s="53"/>
      <c r="T135" s="53"/>
      <c r="U135" s="29" t="s">
        <v>491</v>
      </c>
      <c r="V135" s="109" t="s">
        <v>3985</v>
      </c>
      <c r="W135" s="53" t="s">
        <v>5689</v>
      </c>
    </row>
    <row r="136" spans="1:23" s="29" customFormat="1" ht="30" x14ac:dyDescent="0.25">
      <c r="A136" s="56">
        <v>42780</v>
      </c>
      <c r="B136" s="55" t="s">
        <v>569</v>
      </c>
      <c r="D136" s="29" t="s">
        <v>611</v>
      </c>
      <c r="E136" s="29" t="s">
        <v>588</v>
      </c>
      <c r="F136" s="29" t="s">
        <v>5682</v>
      </c>
      <c r="H136" s="29" t="s">
        <v>1391</v>
      </c>
      <c r="I136" s="29" t="s">
        <v>5680</v>
      </c>
      <c r="J136" s="43" t="s">
        <v>899</v>
      </c>
      <c r="K136" s="43"/>
      <c r="L136" s="44">
        <v>4</v>
      </c>
      <c r="M136" s="57">
        <v>2500000</v>
      </c>
      <c r="N136" s="57">
        <v>4550000</v>
      </c>
      <c r="O136" s="53" t="s">
        <v>831</v>
      </c>
      <c r="P136" s="53" t="s">
        <v>5681</v>
      </c>
      <c r="Q136" s="55" t="s">
        <v>592</v>
      </c>
      <c r="R136" s="53" t="s">
        <v>5679</v>
      </c>
      <c r="S136" s="53"/>
      <c r="T136" s="53"/>
      <c r="U136" s="29" t="s">
        <v>1327</v>
      </c>
      <c r="W136" s="53"/>
    </row>
    <row r="137" spans="1:23" s="29" customFormat="1" ht="45" x14ac:dyDescent="0.25">
      <c r="A137" s="56">
        <v>42781</v>
      </c>
      <c r="B137" s="55" t="s">
        <v>110</v>
      </c>
      <c r="D137" s="29" t="s">
        <v>4782</v>
      </c>
      <c r="E137" s="29" t="s">
        <v>588</v>
      </c>
      <c r="F137" s="29" t="s">
        <v>5690</v>
      </c>
      <c r="H137" s="29" t="s">
        <v>607</v>
      </c>
      <c r="I137" s="29" t="s">
        <v>5691</v>
      </c>
      <c r="J137" s="43" t="s">
        <v>761</v>
      </c>
      <c r="K137" s="43"/>
      <c r="L137" s="44">
        <v>10</v>
      </c>
      <c r="M137" s="57">
        <v>625000</v>
      </c>
      <c r="N137" s="57">
        <v>1062500</v>
      </c>
      <c r="O137" s="53" t="s">
        <v>5692</v>
      </c>
      <c r="P137" s="53" t="s">
        <v>5693</v>
      </c>
      <c r="Q137" s="55" t="s">
        <v>592</v>
      </c>
      <c r="R137" s="53"/>
      <c r="S137" s="53"/>
      <c r="T137" s="53"/>
      <c r="U137" s="29" t="s">
        <v>491</v>
      </c>
      <c r="W137" s="53"/>
    </row>
    <row r="138" spans="1:23" s="29" customFormat="1" ht="75" x14ac:dyDescent="0.25">
      <c r="A138" s="56">
        <v>42781</v>
      </c>
      <c r="B138" s="55" t="s">
        <v>328</v>
      </c>
      <c r="C138" s="29" t="s">
        <v>603</v>
      </c>
      <c r="D138" s="29" t="s">
        <v>649</v>
      </c>
      <c r="E138" s="29" t="s">
        <v>588</v>
      </c>
      <c r="F138" s="29" t="s">
        <v>5882</v>
      </c>
      <c r="H138" s="29" t="s">
        <v>905</v>
      </c>
      <c r="I138" s="29" t="s">
        <v>5685</v>
      </c>
      <c r="J138" s="43" t="s">
        <v>3373</v>
      </c>
      <c r="K138" s="43"/>
      <c r="L138" s="44"/>
      <c r="M138" s="57"/>
      <c r="N138" s="57"/>
      <c r="O138" s="47" t="s">
        <v>4959</v>
      </c>
      <c r="P138" s="53" t="s">
        <v>6300</v>
      </c>
      <c r="Q138" s="55" t="s">
        <v>1939</v>
      </c>
      <c r="R138" s="53" t="s">
        <v>5686</v>
      </c>
      <c r="S138" s="53"/>
      <c r="T138" s="53"/>
      <c r="U138" s="29" t="s">
        <v>491</v>
      </c>
      <c r="W138" s="53"/>
    </row>
    <row r="139" spans="1:23" s="29" customFormat="1" ht="60" x14ac:dyDescent="0.25">
      <c r="A139" s="56">
        <v>42781</v>
      </c>
      <c r="B139" s="55" t="s">
        <v>569</v>
      </c>
      <c r="D139" s="29" t="s">
        <v>625</v>
      </c>
      <c r="E139" s="29" t="s">
        <v>588</v>
      </c>
      <c r="F139" s="29" t="s">
        <v>5694</v>
      </c>
      <c r="H139" s="29" t="s">
        <v>809</v>
      </c>
      <c r="I139" s="29" t="s">
        <v>2054</v>
      </c>
      <c r="J139" s="43" t="s">
        <v>899</v>
      </c>
      <c r="K139" s="43"/>
      <c r="L139" s="44">
        <v>1</v>
      </c>
      <c r="M139" s="57">
        <v>1433000</v>
      </c>
      <c r="N139" s="57">
        <v>1576000</v>
      </c>
      <c r="O139" s="53" t="s">
        <v>5695</v>
      </c>
      <c r="P139" s="53" t="s">
        <v>5696</v>
      </c>
      <c r="Q139" s="55" t="s">
        <v>29</v>
      </c>
      <c r="R139" s="53" t="s">
        <v>5697</v>
      </c>
      <c r="S139" s="53"/>
      <c r="T139" s="53"/>
      <c r="U139" s="29" t="s">
        <v>491</v>
      </c>
      <c r="W139" s="53"/>
    </row>
    <row r="140" spans="1:23" s="29" customFormat="1" x14ac:dyDescent="0.25">
      <c r="A140" s="56">
        <v>42781</v>
      </c>
      <c r="B140" s="55" t="s">
        <v>5360</v>
      </c>
      <c r="D140" s="29" t="s">
        <v>732</v>
      </c>
      <c r="E140" s="29" t="s">
        <v>588</v>
      </c>
      <c r="F140" s="47" t="s">
        <v>920</v>
      </c>
      <c r="G140" s="47"/>
      <c r="H140" s="48" t="s">
        <v>607</v>
      </c>
      <c r="I140" s="29" t="s">
        <v>5683</v>
      </c>
      <c r="J140" s="43" t="s">
        <v>899</v>
      </c>
      <c r="K140" s="43"/>
      <c r="L140" s="44">
        <v>10</v>
      </c>
      <c r="M140" s="57">
        <v>2439983</v>
      </c>
      <c r="N140" s="57">
        <v>3838783</v>
      </c>
      <c r="O140" s="53" t="s">
        <v>560</v>
      </c>
      <c r="P140" s="53" t="s">
        <v>5684</v>
      </c>
      <c r="Q140" s="55" t="s">
        <v>592</v>
      </c>
      <c r="R140" s="53"/>
      <c r="S140" s="53"/>
      <c r="T140" s="53"/>
      <c r="U140" s="29" t="s">
        <v>491</v>
      </c>
      <c r="W140" s="53"/>
    </row>
    <row r="141" spans="1:23" s="29" customFormat="1" ht="30" x14ac:dyDescent="0.25">
      <c r="A141" s="56">
        <v>42782</v>
      </c>
      <c r="B141" s="55" t="s">
        <v>328</v>
      </c>
      <c r="C141" s="29" t="s">
        <v>603</v>
      </c>
      <c r="D141" s="29" t="s">
        <v>2397</v>
      </c>
      <c r="E141" s="29" t="s">
        <v>588</v>
      </c>
      <c r="F141" s="29" t="s">
        <v>5698</v>
      </c>
      <c r="H141" s="29" t="s">
        <v>607</v>
      </c>
      <c r="I141" s="29" t="s">
        <v>5699</v>
      </c>
      <c r="J141" s="43" t="s">
        <v>899</v>
      </c>
      <c r="K141" s="43"/>
      <c r="L141" s="44">
        <v>3</v>
      </c>
      <c r="M141" s="57">
        <v>2250000</v>
      </c>
      <c r="N141" s="57">
        <v>3825000</v>
      </c>
      <c r="O141" s="47" t="s">
        <v>560</v>
      </c>
      <c r="P141" s="53" t="s">
        <v>5700</v>
      </c>
      <c r="Q141" s="55" t="s">
        <v>592</v>
      </c>
      <c r="R141" s="53"/>
      <c r="S141" s="53"/>
      <c r="T141" s="53"/>
      <c r="U141" s="29" t="s">
        <v>491</v>
      </c>
      <c r="W141" s="53"/>
    </row>
    <row r="142" spans="1:23" s="29" customFormat="1" ht="30" x14ac:dyDescent="0.25">
      <c r="A142" s="56">
        <v>42782</v>
      </c>
      <c r="B142" s="55" t="s">
        <v>328</v>
      </c>
      <c r="C142" s="29" t="s">
        <v>603</v>
      </c>
      <c r="D142" s="29" t="s">
        <v>5701</v>
      </c>
      <c r="E142" s="29" t="s">
        <v>588</v>
      </c>
      <c r="F142" s="29" t="s">
        <v>5702</v>
      </c>
      <c r="H142" s="29" t="s">
        <v>905</v>
      </c>
      <c r="I142" s="29" t="s">
        <v>5703</v>
      </c>
      <c r="J142" s="43" t="s">
        <v>5610</v>
      </c>
      <c r="K142" s="43"/>
      <c r="L142" s="44">
        <v>4</v>
      </c>
      <c r="M142" s="57">
        <v>2784000</v>
      </c>
      <c r="N142" s="57">
        <v>2789000</v>
      </c>
      <c r="O142" s="47" t="s">
        <v>560</v>
      </c>
      <c r="P142" s="53" t="s">
        <v>5704</v>
      </c>
      <c r="Q142" s="55" t="s">
        <v>1939</v>
      </c>
      <c r="R142" s="53" t="s">
        <v>5705</v>
      </c>
      <c r="S142" s="53"/>
      <c r="T142" s="53"/>
      <c r="U142" s="29" t="s">
        <v>491</v>
      </c>
      <c r="W142" s="53"/>
    </row>
    <row r="143" spans="1:23" s="29" customFormat="1" ht="45" x14ac:dyDescent="0.25">
      <c r="A143" s="56">
        <v>42782</v>
      </c>
      <c r="B143" s="55" t="s">
        <v>5176</v>
      </c>
      <c r="D143" s="29" t="s">
        <v>2454</v>
      </c>
      <c r="E143" s="29" t="s">
        <v>588</v>
      </c>
      <c r="F143" s="29" t="s">
        <v>5706</v>
      </c>
      <c r="H143" s="29" t="s">
        <v>809</v>
      </c>
      <c r="I143" s="29" t="s">
        <v>4824</v>
      </c>
      <c r="J143" s="43" t="s">
        <v>4825</v>
      </c>
      <c r="K143" s="43"/>
      <c r="L143" s="44"/>
      <c r="M143" s="57">
        <v>305000</v>
      </c>
      <c r="N143" s="57">
        <v>335000</v>
      </c>
      <c r="O143" s="53" t="s">
        <v>5707</v>
      </c>
      <c r="P143" s="53" t="s">
        <v>5708</v>
      </c>
      <c r="Q143" s="55" t="s">
        <v>592</v>
      </c>
      <c r="R143" s="53"/>
      <c r="S143" s="53"/>
      <c r="T143" s="53"/>
      <c r="U143" s="29" t="s">
        <v>491</v>
      </c>
      <c r="W143" s="53"/>
    </row>
    <row r="144" spans="1:23" ht="120" x14ac:dyDescent="0.25">
      <c r="A144" s="56">
        <v>42783</v>
      </c>
      <c r="B144" s="62" t="s">
        <v>328</v>
      </c>
      <c r="C144" s="46" t="s">
        <v>603</v>
      </c>
      <c r="D144" s="46" t="s">
        <v>5701</v>
      </c>
      <c r="E144" s="46" t="s">
        <v>588</v>
      </c>
      <c r="F144" s="46" t="s">
        <v>5709</v>
      </c>
      <c r="H144" s="46" t="s">
        <v>1391</v>
      </c>
      <c r="I144" s="46" t="s">
        <v>5710</v>
      </c>
      <c r="J144" s="49" t="s">
        <v>5309</v>
      </c>
      <c r="L144" s="63">
        <v>10</v>
      </c>
      <c r="M144" s="64">
        <v>144000</v>
      </c>
      <c r="N144" s="64">
        <v>231500</v>
      </c>
      <c r="O144" s="47" t="s">
        <v>5712</v>
      </c>
      <c r="P144" s="47" t="s">
        <v>5711</v>
      </c>
      <c r="Q144" s="62" t="s">
        <v>29</v>
      </c>
      <c r="R144" s="47" t="s">
        <v>5713</v>
      </c>
      <c r="U144" s="29" t="s">
        <v>491</v>
      </c>
      <c r="V144" s="46"/>
    </row>
    <row r="145" spans="1:22" ht="75" x14ac:dyDescent="0.25">
      <c r="A145" s="56">
        <v>42783</v>
      </c>
      <c r="B145" s="62" t="s">
        <v>328</v>
      </c>
      <c r="C145" s="46" t="s">
        <v>603</v>
      </c>
      <c r="D145" s="46" t="s">
        <v>2397</v>
      </c>
      <c r="E145" s="46" t="s">
        <v>588</v>
      </c>
      <c r="F145" s="46" t="s">
        <v>5721</v>
      </c>
      <c r="H145" s="46" t="s">
        <v>1391</v>
      </c>
      <c r="I145" s="46" t="s">
        <v>5722</v>
      </c>
      <c r="J145" s="49" t="s">
        <v>644</v>
      </c>
      <c r="L145" s="63">
        <v>10</v>
      </c>
      <c r="M145" s="64">
        <v>2200000</v>
      </c>
      <c r="N145" s="64">
        <v>3342000</v>
      </c>
      <c r="O145" s="47" t="s">
        <v>560</v>
      </c>
      <c r="P145" s="47" t="s">
        <v>5723</v>
      </c>
      <c r="Q145" s="62" t="s">
        <v>592</v>
      </c>
      <c r="U145" s="29" t="s">
        <v>491</v>
      </c>
      <c r="V145" s="46"/>
    </row>
    <row r="146" spans="1:22" ht="30" x14ac:dyDescent="0.25">
      <c r="A146" s="56">
        <v>42783</v>
      </c>
      <c r="B146" s="62" t="s">
        <v>328</v>
      </c>
      <c r="C146" s="46" t="s">
        <v>603</v>
      </c>
      <c r="D146" s="46" t="s">
        <v>672</v>
      </c>
      <c r="E146" s="46" t="s">
        <v>588</v>
      </c>
      <c r="F146" s="46" t="s">
        <v>5724</v>
      </c>
      <c r="H146" s="46" t="s">
        <v>607</v>
      </c>
      <c r="I146" s="46" t="s">
        <v>3536</v>
      </c>
      <c r="J146" s="49" t="s">
        <v>899</v>
      </c>
      <c r="L146" s="63">
        <v>1</v>
      </c>
      <c r="M146" s="64">
        <v>1700000</v>
      </c>
      <c r="N146" s="64">
        <v>3060000</v>
      </c>
      <c r="O146" s="47" t="s">
        <v>560</v>
      </c>
      <c r="P146" s="47" t="s">
        <v>5725</v>
      </c>
      <c r="Q146" s="62" t="s">
        <v>592</v>
      </c>
      <c r="R146" s="47" t="s">
        <v>6548</v>
      </c>
      <c r="U146" s="29" t="s">
        <v>491</v>
      </c>
      <c r="V146" s="46"/>
    </row>
    <row r="147" spans="1:22" ht="30" x14ac:dyDescent="0.25">
      <c r="A147" s="56">
        <v>42783</v>
      </c>
      <c r="B147" s="62" t="s">
        <v>569</v>
      </c>
      <c r="D147" s="46" t="s">
        <v>624</v>
      </c>
      <c r="E147" s="46" t="s">
        <v>588</v>
      </c>
      <c r="F147" s="46" t="s">
        <v>5714</v>
      </c>
      <c r="H147" s="46" t="s">
        <v>809</v>
      </c>
      <c r="I147" s="46" t="s">
        <v>3672</v>
      </c>
      <c r="J147" s="49" t="s">
        <v>899</v>
      </c>
      <c r="L147" s="63">
        <v>5</v>
      </c>
      <c r="M147" s="64">
        <v>960000</v>
      </c>
      <c r="N147" s="64">
        <v>1356000</v>
      </c>
      <c r="O147" s="47" t="s">
        <v>5715</v>
      </c>
      <c r="P147" s="47" t="s">
        <v>5716</v>
      </c>
      <c r="Q147" s="62" t="s">
        <v>1939</v>
      </c>
      <c r="R147" s="47" t="s">
        <v>5717</v>
      </c>
      <c r="U147" s="29" t="s">
        <v>491</v>
      </c>
      <c r="V147" s="46"/>
    </row>
    <row r="148" spans="1:22" ht="45" x14ac:dyDescent="0.25">
      <c r="A148" s="56">
        <v>42783</v>
      </c>
      <c r="B148" s="62" t="s">
        <v>569</v>
      </c>
      <c r="D148" s="46" t="s">
        <v>625</v>
      </c>
      <c r="E148" s="46" t="s">
        <v>588</v>
      </c>
      <c r="F148" s="46" t="s">
        <v>5718</v>
      </c>
      <c r="H148" s="46" t="s">
        <v>607</v>
      </c>
      <c r="I148" s="46" t="s">
        <v>3649</v>
      </c>
      <c r="J148" s="49" t="s">
        <v>899</v>
      </c>
      <c r="L148" s="63">
        <v>3</v>
      </c>
      <c r="M148" s="64">
        <v>1474000</v>
      </c>
      <c r="N148" s="64">
        <v>2574000</v>
      </c>
      <c r="O148" s="47" t="s">
        <v>35</v>
      </c>
      <c r="P148" s="47" t="s">
        <v>5719</v>
      </c>
      <c r="Q148" s="62" t="s">
        <v>620</v>
      </c>
      <c r="R148" s="47" t="s">
        <v>5720</v>
      </c>
      <c r="U148" s="29" t="s">
        <v>491</v>
      </c>
      <c r="V148" s="46"/>
    </row>
    <row r="149" spans="1:22" ht="30" x14ac:dyDescent="0.25">
      <c r="A149" s="61">
        <v>42786</v>
      </c>
      <c r="B149" s="62" t="s">
        <v>328</v>
      </c>
      <c r="C149" s="46" t="s">
        <v>603</v>
      </c>
      <c r="D149" s="46" t="s">
        <v>1401</v>
      </c>
      <c r="E149" s="46" t="s">
        <v>588</v>
      </c>
      <c r="F149" s="46" t="s">
        <v>5731</v>
      </c>
      <c r="H149" s="46" t="s">
        <v>905</v>
      </c>
      <c r="I149" s="46" t="s">
        <v>3586</v>
      </c>
      <c r="J149" s="49" t="s">
        <v>899</v>
      </c>
      <c r="L149" s="63">
        <v>4</v>
      </c>
      <c r="M149" s="64">
        <v>1516500</v>
      </c>
      <c r="N149" s="64">
        <v>3033000</v>
      </c>
      <c r="O149" s="47" t="s">
        <v>560</v>
      </c>
      <c r="P149" s="47" t="s">
        <v>5732</v>
      </c>
      <c r="Q149" s="62" t="s">
        <v>592</v>
      </c>
      <c r="U149" s="29" t="s">
        <v>491</v>
      </c>
      <c r="V149" s="46"/>
    </row>
    <row r="150" spans="1:22" ht="45" x14ac:dyDescent="0.25">
      <c r="A150" s="61">
        <v>42786</v>
      </c>
      <c r="B150" s="62" t="s">
        <v>328</v>
      </c>
      <c r="C150" s="46" t="s">
        <v>603</v>
      </c>
      <c r="D150" s="46" t="s">
        <v>649</v>
      </c>
      <c r="E150" s="46" t="s">
        <v>588</v>
      </c>
      <c r="F150" s="46" t="s">
        <v>5735</v>
      </c>
      <c r="H150" s="46" t="s">
        <v>607</v>
      </c>
      <c r="I150" s="46" t="s">
        <v>5736</v>
      </c>
      <c r="J150" s="49" t="s">
        <v>5309</v>
      </c>
      <c r="O150" s="47" t="s">
        <v>5737</v>
      </c>
      <c r="P150" s="47" t="s">
        <v>5738</v>
      </c>
      <c r="Q150" s="62" t="s">
        <v>1612</v>
      </c>
      <c r="R150" s="47" t="s">
        <v>6264</v>
      </c>
      <c r="U150" s="29" t="s">
        <v>491</v>
      </c>
      <c r="V150" s="46"/>
    </row>
    <row r="151" spans="1:22" ht="30" x14ac:dyDescent="0.25">
      <c r="A151" s="61">
        <v>42786</v>
      </c>
      <c r="B151" s="62" t="s">
        <v>569</v>
      </c>
      <c r="D151" s="46" t="s">
        <v>625</v>
      </c>
      <c r="E151" s="46" t="s">
        <v>588</v>
      </c>
      <c r="F151" s="46" t="s">
        <v>5729</v>
      </c>
      <c r="H151" s="46" t="s">
        <v>905</v>
      </c>
      <c r="I151" s="46" t="s">
        <v>2054</v>
      </c>
      <c r="J151" s="49" t="s">
        <v>899</v>
      </c>
      <c r="M151" s="64">
        <v>750000</v>
      </c>
      <c r="O151" s="47" t="s">
        <v>1171</v>
      </c>
      <c r="P151" s="47" t="s">
        <v>5730</v>
      </c>
      <c r="Q151" s="62" t="s">
        <v>1939</v>
      </c>
      <c r="R151" s="47" t="s">
        <v>9485</v>
      </c>
      <c r="U151" s="29" t="s">
        <v>491</v>
      </c>
      <c r="V151" s="46"/>
    </row>
    <row r="152" spans="1:22" ht="45" x14ac:dyDescent="0.25">
      <c r="A152" s="61">
        <v>42786</v>
      </c>
      <c r="B152" s="62" t="s">
        <v>569</v>
      </c>
      <c r="D152" s="46" t="s">
        <v>625</v>
      </c>
      <c r="E152" s="46" t="s">
        <v>588</v>
      </c>
      <c r="F152" s="46" t="s">
        <v>5733</v>
      </c>
      <c r="H152" s="46" t="s">
        <v>607</v>
      </c>
      <c r="I152" s="46" t="s">
        <v>3635</v>
      </c>
      <c r="J152" s="49" t="s">
        <v>899</v>
      </c>
      <c r="M152" s="64">
        <v>422000</v>
      </c>
      <c r="N152" s="64">
        <v>750000</v>
      </c>
      <c r="O152" s="47" t="s">
        <v>3625</v>
      </c>
      <c r="P152" s="47" t="s">
        <v>5734</v>
      </c>
      <c r="Q152" s="62" t="s">
        <v>592</v>
      </c>
      <c r="U152" s="29" t="s">
        <v>491</v>
      </c>
      <c r="V152" s="46"/>
    </row>
    <row r="153" spans="1:22" ht="45" x14ac:dyDescent="0.25">
      <c r="A153" s="61">
        <v>42786</v>
      </c>
      <c r="B153" s="62" t="s">
        <v>643</v>
      </c>
      <c r="C153" s="46" t="s">
        <v>644</v>
      </c>
      <c r="D153" s="46" t="s">
        <v>645</v>
      </c>
      <c r="E153" s="46" t="s">
        <v>588</v>
      </c>
      <c r="F153" s="46" t="s">
        <v>5726</v>
      </c>
      <c r="H153" s="46" t="s">
        <v>607</v>
      </c>
      <c r="I153" s="46" t="s">
        <v>3646</v>
      </c>
      <c r="J153" s="49" t="s">
        <v>644</v>
      </c>
      <c r="L153" s="63">
        <v>9</v>
      </c>
      <c r="M153" s="64">
        <v>1319000</v>
      </c>
      <c r="N153" s="64">
        <v>2506000</v>
      </c>
      <c r="O153" s="47" t="s">
        <v>560</v>
      </c>
      <c r="P153" s="47" t="s">
        <v>5727</v>
      </c>
      <c r="Q153" s="62" t="s">
        <v>1939</v>
      </c>
      <c r="R153" s="47" t="s">
        <v>5728</v>
      </c>
      <c r="U153" s="29" t="s">
        <v>491</v>
      </c>
      <c r="V153" s="46"/>
    </row>
    <row r="154" spans="1:22" ht="30" x14ac:dyDescent="0.25">
      <c r="A154" s="61">
        <v>42787</v>
      </c>
      <c r="B154" s="62" t="s">
        <v>328</v>
      </c>
      <c r="C154" s="46" t="s">
        <v>603</v>
      </c>
      <c r="D154" s="46" t="s">
        <v>649</v>
      </c>
      <c r="E154" s="46" t="s">
        <v>588</v>
      </c>
      <c r="F154" s="46" t="s">
        <v>4879</v>
      </c>
      <c r="H154" s="46" t="s">
        <v>607</v>
      </c>
      <c r="I154" s="46" t="s">
        <v>5449</v>
      </c>
      <c r="J154" s="49" t="s">
        <v>899</v>
      </c>
      <c r="O154" s="47" t="s">
        <v>5739</v>
      </c>
      <c r="P154" s="47" t="s">
        <v>5740</v>
      </c>
      <c r="Q154" s="62" t="s">
        <v>1939</v>
      </c>
      <c r="R154" s="47" t="s">
        <v>5741</v>
      </c>
      <c r="U154" s="29" t="s">
        <v>491</v>
      </c>
      <c r="V154" s="46"/>
    </row>
    <row r="155" spans="1:22" ht="45" x14ac:dyDescent="0.25">
      <c r="A155" s="61">
        <v>42787</v>
      </c>
      <c r="B155" s="62" t="s">
        <v>328</v>
      </c>
      <c r="C155" s="46" t="s">
        <v>603</v>
      </c>
      <c r="D155" s="46" t="s">
        <v>2397</v>
      </c>
      <c r="E155" s="46" t="s">
        <v>588</v>
      </c>
      <c r="F155" s="46" t="s">
        <v>5742</v>
      </c>
      <c r="H155" s="46" t="s">
        <v>607</v>
      </c>
      <c r="I155" s="46" t="s">
        <v>5743</v>
      </c>
      <c r="J155" s="49" t="s">
        <v>3367</v>
      </c>
      <c r="L155" s="63">
        <v>4</v>
      </c>
      <c r="M155" s="64">
        <v>364000</v>
      </c>
      <c r="N155" s="64">
        <v>615400</v>
      </c>
      <c r="O155" s="47" t="s">
        <v>2934</v>
      </c>
      <c r="P155" s="47" t="s">
        <v>5744</v>
      </c>
      <c r="Q155" s="62" t="s">
        <v>1939</v>
      </c>
      <c r="R155" s="47" t="s">
        <v>5745</v>
      </c>
      <c r="U155" s="29" t="s">
        <v>491</v>
      </c>
      <c r="V155" s="46"/>
    </row>
    <row r="156" spans="1:22" ht="75" x14ac:dyDescent="0.25">
      <c r="A156" s="61">
        <v>42787</v>
      </c>
      <c r="B156" s="62" t="s">
        <v>328</v>
      </c>
      <c r="C156" s="46" t="s">
        <v>603</v>
      </c>
      <c r="D156" s="46" t="s">
        <v>649</v>
      </c>
      <c r="E156" s="46" t="s">
        <v>588</v>
      </c>
      <c r="F156" s="46" t="s">
        <v>5746</v>
      </c>
      <c r="H156" s="46" t="s">
        <v>905</v>
      </c>
      <c r="I156" s="46" t="s">
        <v>5747</v>
      </c>
      <c r="J156" s="49" t="s">
        <v>3733</v>
      </c>
      <c r="L156" s="63">
        <v>9</v>
      </c>
      <c r="M156" s="64">
        <v>50000</v>
      </c>
      <c r="N156" s="64">
        <v>928000</v>
      </c>
      <c r="O156" s="47" t="s">
        <v>3625</v>
      </c>
      <c r="P156" s="47" t="s">
        <v>5748</v>
      </c>
      <c r="Q156" s="62" t="s">
        <v>592</v>
      </c>
      <c r="U156" s="29" t="s">
        <v>491</v>
      </c>
      <c r="V156" s="46"/>
    </row>
    <row r="157" spans="1:22" ht="45" x14ac:dyDescent="0.25">
      <c r="A157" s="61">
        <v>42787</v>
      </c>
      <c r="B157" s="62" t="s">
        <v>328</v>
      </c>
      <c r="C157" s="46" t="s">
        <v>603</v>
      </c>
      <c r="D157" s="46" t="s">
        <v>2397</v>
      </c>
      <c r="E157" s="46" t="s">
        <v>588</v>
      </c>
      <c r="F157" s="46" t="s">
        <v>5753</v>
      </c>
      <c r="H157" s="46" t="s">
        <v>1365</v>
      </c>
      <c r="I157" s="46" t="s">
        <v>5412</v>
      </c>
      <c r="J157" s="49" t="s">
        <v>899</v>
      </c>
      <c r="L157" s="63">
        <v>3</v>
      </c>
      <c r="M157" s="64">
        <v>300000</v>
      </c>
      <c r="N157" s="64">
        <v>480000</v>
      </c>
      <c r="O157" s="47" t="s">
        <v>695</v>
      </c>
      <c r="P157" s="47" t="s">
        <v>5754</v>
      </c>
      <c r="Q157" s="62" t="s">
        <v>1939</v>
      </c>
      <c r="R157" s="47" t="s">
        <v>5755</v>
      </c>
      <c r="U157" s="29" t="s">
        <v>491</v>
      </c>
      <c r="V157" s="46"/>
    </row>
    <row r="158" spans="1:22" ht="30" x14ac:dyDescent="0.25">
      <c r="A158" s="61">
        <v>42787</v>
      </c>
      <c r="B158" s="62" t="s">
        <v>328</v>
      </c>
      <c r="C158" s="46" t="s">
        <v>603</v>
      </c>
      <c r="D158" s="46" t="s">
        <v>1401</v>
      </c>
      <c r="E158" s="46" t="s">
        <v>588</v>
      </c>
      <c r="F158" s="46" t="s">
        <v>5760</v>
      </c>
      <c r="H158" s="46" t="s">
        <v>607</v>
      </c>
      <c r="I158" s="46" t="s">
        <v>5340</v>
      </c>
      <c r="J158" s="49" t="s">
        <v>899</v>
      </c>
      <c r="L158" s="63">
        <v>1</v>
      </c>
      <c r="M158" s="64">
        <v>1750000</v>
      </c>
      <c r="N158" s="64">
        <v>3500000</v>
      </c>
      <c r="O158" s="47" t="s">
        <v>560</v>
      </c>
      <c r="P158" s="47" t="s">
        <v>5761</v>
      </c>
      <c r="Q158" s="62" t="s">
        <v>1939</v>
      </c>
      <c r="R158" s="47" t="s">
        <v>5762</v>
      </c>
      <c r="U158" s="29" t="s">
        <v>491</v>
      </c>
      <c r="V158" s="46"/>
    </row>
    <row r="159" spans="1:22" ht="30" x14ac:dyDescent="0.25">
      <c r="A159" s="61">
        <v>42787</v>
      </c>
      <c r="B159" s="62" t="s">
        <v>328</v>
      </c>
      <c r="C159" s="46" t="s">
        <v>603</v>
      </c>
      <c r="D159" s="46" t="s">
        <v>649</v>
      </c>
      <c r="E159" s="46" t="s">
        <v>588</v>
      </c>
      <c r="H159" s="46" t="s">
        <v>905</v>
      </c>
      <c r="O159" s="47" t="s">
        <v>1374</v>
      </c>
      <c r="P159" s="47" t="s">
        <v>5763</v>
      </c>
      <c r="Q159" s="62" t="s">
        <v>620</v>
      </c>
      <c r="R159" s="47" t="s">
        <v>5764</v>
      </c>
      <c r="U159" s="29" t="s">
        <v>491</v>
      </c>
      <c r="V159" s="46"/>
    </row>
    <row r="160" spans="1:22" ht="30" x14ac:dyDescent="0.25">
      <c r="A160" s="61">
        <v>42787</v>
      </c>
      <c r="B160" s="62" t="s">
        <v>569</v>
      </c>
      <c r="D160" s="46" t="s">
        <v>930</v>
      </c>
      <c r="E160" s="46" t="s">
        <v>821</v>
      </c>
      <c r="F160" s="46" t="s">
        <v>5749</v>
      </c>
      <c r="H160" s="46" t="s">
        <v>5321</v>
      </c>
      <c r="M160" s="64">
        <v>500000</v>
      </c>
      <c r="O160" s="47" t="s">
        <v>5751</v>
      </c>
      <c r="P160" s="47" t="s">
        <v>5750</v>
      </c>
      <c r="Q160" s="62" t="s">
        <v>1939</v>
      </c>
      <c r="R160" s="47" t="s">
        <v>5752</v>
      </c>
      <c r="U160" s="29" t="s">
        <v>491</v>
      </c>
      <c r="V160" s="46"/>
    </row>
    <row r="161" spans="1:22" ht="45" x14ac:dyDescent="0.25">
      <c r="A161" s="61">
        <v>42787</v>
      </c>
      <c r="B161" s="62" t="s">
        <v>569</v>
      </c>
      <c r="D161" s="46" t="s">
        <v>930</v>
      </c>
      <c r="E161" s="46" t="s">
        <v>692</v>
      </c>
      <c r="F161" s="46" t="s">
        <v>5756</v>
      </c>
      <c r="H161" s="46" t="s">
        <v>607</v>
      </c>
      <c r="I161" s="46" t="s">
        <v>5757</v>
      </c>
      <c r="J161" s="49" t="s">
        <v>899</v>
      </c>
      <c r="M161" s="64">
        <v>550000</v>
      </c>
      <c r="N161" s="64">
        <v>935000</v>
      </c>
      <c r="O161" s="47" t="s">
        <v>1171</v>
      </c>
      <c r="P161" s="47" t="s">
        <v>5758</v>
      </c>
      <c r="Q161" s="62" t="s">
        <v>1939</v>
      </c>
      <c r="R161" s="47" t="s">
        <v>5759</v>
      </c>
      <c r="U161" s="29" t="s">
        <v>491</v>
      </c>
      <c r="V161" s="46"/>
    </row>
    <row r="162" spans="1:22" ht="30" x14ac:dyDescent="0.25">
      <c r="A162" s="61">
        <v>42788</v>
      </c>
      <c r="B162" s="62" t="s">
        <v>328</v>
      </c>
      <c r="C162" s="46" t="s">
        <v>603</v>
      </c>
      <c r="D162" s="46" t="s">
        <v>649</v>
      </c>
      <c r="E162" s="46" t="s">
        <v>588</v>
      </c>
      <c r="F162" s="46" t="s">
        <v>5765</v>
      </c>
      <c r="H162" s="46" t="s">
        <v>607</v>
      </c>
      <c r="I162" s="46" t="s">
        <v>5766</v>
      </c>
      <c r="J162" s="49" t="s">
        <v>608</v>
      </c>
      <c r="L162" s="63">
        <v>4</v>
      </c>
      <c r="M162" s="64">
        <v>85000</v>
      </c>
      <c r="N162" s="64">
        <v>127500</v>
      </c>
      <c r="O162" s="47" t="s">
        <v>3952</v>
      </c>
      <c r="P162" s="47" t="s">
        <v>5767</v>
      </c>
      <c r="Q162" s="62" t="s">
        <v>620</v>
      </c>
      <c r="R162" s="47" t="s">
        <v>5768</v>
      </c>
      <c r="U162" s="29" t="s">
        <v>491</v>
      </c>
      <c r="V162" s="46"/>
    </row>
    <row r="163" spans="1:22" ht="45" x14ac:dyDescent="0.25">
      <c r="A163" s="61">
        <v>42788</v>
      </c>
      <c r="B163" s="62" t="s">
        <v>328</v>
      </c>
      <c r="C163" s="46" t="s">
        <v>603</v>
      </c>
      <c r="D163" s="46" t="s">
        <v>2397</v>
      </c>
      <c r="E163" s="46" t="s">
        <v>588</v>
      </c>
      <c r="F163" s="46" t="s">
        <v>5769</v>
      </c>
      <c r="H163" s="46" t="s">
        <v>607</v>
      </c>
      <c r="I163" s="46" t="s">
        <v>5770</v>
      </c>
      <c r="J163" s="49" t="s">
        <v>899</v>
      </c>
      <c r="L163" s="63">
        <v>2</v>
      </c>
      <c r="M163" s="64">
        <v>410000</v>
      </c>
      <c r="N163" s="64">
        <v>820000</v>
      </c>
      <c r="O163" s="47" t="s">
        <v>4959</v>
      </c>
      <c r="P163" s="47" t="s">
        <v>5771</v>
      </c>
      <c r="Q163" s="62" t="s">
        <v>1939</v>
      </c>
      <c r="R163" s="47" t="s">
        <v>5772</v>
      </c>
      <c r="U163" s="29" t="s">
        <v>491</v>
      </c>
      <c r="V163" s="46"/>
    </row>
    <row r="164" spans="1:22" ht="45" x14ac:dyDescent="0.25">
      <c r="A164" s="61">
        <v>42788</v>
      </c>
      <c r="B164" s="62" t="s">
        <v>328</v>
      </c>
      <c r="C164" s="46" t="s">
        <v>603</v>
      </c>
      <c r="D164" s="46" t="s">
        <v>5773</v>
      </c>
      <c r="E164" s="46" t="s">
        <v>588</v>
      </c>
      <c r="F164" s="46" t="s">
        <v>5774</v>
      </c>
      <c r="H164" s="46" t="s">
        <v>607</v>
      </c>
      <c r="I164" s="46" t="s">
        <v>5775</v>
      </c>
      <c r="J164" s="49" t="s">
        <v>3369</v>
      </c>
      <c r="L164" s="63">
        <v>4</v>
      </c>
      <c r="M164" s="64">
        <v>2400000</v>
      </c>
      <c r="N164" s="64">
        <v>4080000</v>
      </c>
      <c r="O164" s="47" t="s">
        <v>560</v>
      </c>
      <c r="P164" s="47" t="s">
        <v>5777</v>
      </c>
      <c r="Q164" s="62" t="s">
        <v>1939</v>
      </c>
      <c r="R164" s="47" t="s">
        <v>5776</v>
      </c>
      <c r="U164" s="29" t="s">
        <v>491</v>
      </c>
      <c r="V164" s="46"/>
    </row>
    <row r="165" spans="1:22" ht="60" x14ac:dyDescent="0.25">
      <c r="A165" s="61">
        <v>42788</v>
      </c>
      <c r="B165" s="62" t="s">
        <v>569</v>
      </c>
      <c r="D165" s="46" t="s">
        <v>625</v>
      </c>
      <c r="E165" s="46" t="s">
        <v>588</v>
      </c>
      <c r="F165" s="46" t="s">
        <v>5778</v>
      </c>
      <c r="H165" s="46" t="s">
        <v>809</v>
      </c>
      <c r="I165" s="46" t="s">
        <v>5779</v>
      </c>
      <c r="J165" s="49" t="s">
        <v>899</v>
      </c>
      <c r="L165" s="63">
        <v>2</v>
      </c>
      <c r="M165" s="64">
        <v>4000000</v>
      </c>
      <c r="N165" s="64">
        <v>4800000</v>
      </c>
      <c r="O165" s="47" t="s">
        <v>560</v>
      </c>
      <c r="P165" s="47" t="s">
        <v>5780</v>
      </c>
      <c r="Q165" s="62" t="s">
        <v>1939</v>
      </c>
      <c r="R165" s="47" t="s">
        <v>5781</v>
      </c>
      <c r="U165" s="29" t="s">
        <v>491</v>
      </c>
      <c r="V165" s="46"/>
    </row>
    <row r="166" spans="1:22" ht="60" x14ac:dyDescent="0.25">
      <c r="A166" s="61">
        <v>42789</v>
      </c>
      <c r="B166" s="62" t="s">
        <v>328</v>
      </c>
      <c r="C166" s="46" t="s">
        <v>603</v>
      </c>
      <c r="D166" s="46" t="s">
        <v>649</v>
      </c>
      <c r="E166" s="46" t="s">
        <v>588</v>
      </c>
      <c r="F166" s="46" t="s">
        <v>5782</v>
      </c>
      <c r="H166" s="46" t="s">
        <v>3095</v>
      </c>
      <c r="I166" s="46" t="s">
        <v>5783</v>
      </c>
      <c r="J166" s="49" t="s">
        <v>604</v>
      </c>
      <c r="O166" s="47" t="s">
        <v>5784</v>
      </c>
      <c r="P166" s="47" t="s">
        <v>5785</v>
      </c>
      <c r="Q166" s="62" t="s">
        <v>620</v>
      </c>
      <c r="R166" s="47" t="s">
        <v>7210</v>
      </c>
      <c r="U166" s="29" t="s">
        <v>491</v>
      </c>
      <c r="V166" s="46"/>
    </row>
    <row r="167" spans="1:22" ht="90" x14ac:dyDescent="0.25">
      <c r="A167" s="61">
        <v>42789</v>
      </c>
      <c r="B167" s="62" t="s">
        <v>328</v>
      </c>
      <c r="C167" s="46" t="s">
        <v>603</v>
      </c>
      <c r="D167" s="46" t="s">
        <v>649</v>
      </c>
      <c r="E167" s="46" t="s">
        <v>588</v>
      </c>
      <c r="F167" s="46" t="s">
        <v>5790</v>
      </c>
      <c r="H167" s="46" t="s">
        <v>607</v>
      </c>
      <c r="I167" s="46" t="s">
        <v>5791</v>
      </c>
      <c r="J167" s="49" t="s">
        <v>3368</v>
      </c>
      <c r="L167" s="63">
        <v>3</v>
      </c>
      <c r="M167" s="64">
        <v>166967</v>
      </c>
      <c r="N167" s="64">
        <v>350000</v>
      </c>
      <c r="O167" s="47" t="s">
        <v>3107</v>
      </c>
      <c r="P167" s="47" t="s">
        <v>5792</v>
      </c>
      <c r="Q167" s="62" t="s">
        <v>1939</v>
      </c>
      <c r="R167" s="47" t="s">
        <v>5805</v>
      </c>
      <c r="U167" s="29" t="s">
        <v>491</v>
      </c>
      <c r="V167" s="46"/>
    </row>
    <row r="168" spans="1:22" ht="60" x14ac:dyDescent="0.25">
      <c r="A168" s="61">
        <v>42789</v>
      </c>
      <c r="B168" s="62" t="s">
        <v>328</v>
      </c>
      <c r="C168" s="46" t="s">
        <v>603</v>
      </c>
      <c r="D168" s="46" t="s">
        <v>1401</v>
      </c>
      <c r="E168" s="46" t="s">
        <v>588</v>
      </c>
      <c r="F168" s="46" t="s">
        <v>5795</v>
      </c>
      <c r="H168" s="46" t="s">
        <v>607</v>
      </c>
      <c r="I168" s="46" t="s">
        <v>5796</v>
      </c>
      <c r="J168" s="49" t="s">
        <v>899</v>
      </c>
      <c r="M168" s="64">
        <v>321000</v>
      </c>
      <c r="N168" s="64">
        <v>600000</v>
      </c>
      <c r="O168" s="47" t="s">
        <v>5797</v>
      </c>
      <c r="P168" s="47" t="s">
        <v>5798</v>
      </c>
      <c r="Q168" s="62" t="s">
        <v>1939</v>
      </c>
      <c r="R168" s="47" t="s">
        <v>5799</v>
      </c>
      <c r="U168" s="29" t="s">
        <v>491</v>
      </c>
      <c r="V168" s="46"/>
    </row>
    <row r="169" spans="1:22" ht="60" x14ac:dyDescent="0.25">
      <c r="A169" s="61">
        <v>42789</v>
      </c>
      <c r="B169" s="62" t="s">
        <v>328</v>
      </c>
      <c r="C169" s="46" t="s">
        <v>603</v>
      </c>
      <c r="D169" s="46" t="s">
        <v>1401</v>
      </c>
      <c r="E169" s="46" t="s">
        <v>588</v>
      </c>
      <c r="F169" s="46" t="s">
        <v>5800</v>
      </c>
      <c r="H169" s="46" t="s">
        <v>809</v>
      </c>
      <c r="I169" s="46" t="s">
        <v>5801</v>
      </c>
      <c r="J169" s="49" t="s">
        <v>3733</v>
      </c>
      <c r="L169" s="63">
        <v>10</v>
      </c>
      <c r="M169" s="64">
        <v>1192500</v>
      </c>
      <c r="N169" s="64">
        <v>1311750</v>
      </c>
      <c r="O169" s="47" t="s">
        <v>5802</v>
      </c>
      <c r="P169" s="47" t="s">
        <v>5803</v>
      </c>
      <c r="Q169" s="62" t="s">
        <v>1939</v>
      </c>
      <c r="R169" s="47" t="s">
        <v>5804</v>
      </c>
      <c r="U169" s="29" t="s">
        <v>491</v>
      </c>
      <c r="V169" s="46"/>
    </row>
    <row r="170" spans="1:22" ht="45" x14ac:dyDescent="0.25">
      <c r="A170" s="61">
        <v>42789</v>
      </c>
      <c r="B170" s="62" t="s">
        <v>569</v>
      </c>
      <c r="D170" s="46" t="s">
        <v>625</v>
      </c>
      <c r="E170" s="46" t="s">
        <v>588</v>
      </c>
      <c r="F170" s="46" t="s">
        <v>5786</v>
      </c>
      <c r="H170" s="46" t="s">
        <v>843</v>
      </c>
      <c r="M170" s="64">
        <v>450000</v>
      </c>
      <c r="N170" s="64">
        <v>495000</v>
      </c>
      <c r="O170" s="47" t="s">
        <v>5787</v>
      </c>
      <c r="P170" s="47" t="s">
        <v>5788</v>
      </c>
      <c r="Q170" s="62" t="s">
        <v>1939</v>
      </c>
      <c r="R170" s="47" t="s">
        <v>5789</v>
      </c>
      <c r="U170" s="29" t="s">
        <v>491</v>
      </c>
      <c r="V170" s="46"/>
    </row>
    <row r="171" spans="1:22" ht="75" x14ac:dyDescent="0.25">
      <c r="A171" s="61">
        <v>42790</v>
      </c>
      <c r="B171" s="62" t="s">
        <v>569</v>
      </c>
      <c r="D171" s="46" t="s">
        <v>930</v>
      </c>
      <c r="E171" s="46" t="s">
        <v>588</v>
      </c>
      <c r="F171" s="46" t="s">
        <v>5793</v>
      </c>
      <c r="H171" s="46" t="s">
        <v>607</v>
      </c>
      <c r="I171" s="46" t="s">
        <v>4519</v>
      </c>
      <c r="J171" s="49" t="s">
        <v>899</v>
      </c>
      <c r="M171" s="64">
        <v>1305673</v>
      </c>
      <c r="N171" s="64">
        <v>2700000</v>
      </c>
      <c r="O171" s="47" t="s">
        <v>666</v>
      </c>
      <c r="P171" s="47" t="s">
        <v>6301</v>
      </c>
      <c r="Q171" s="62" t="s">
        <v>1939</v>
      </c>
      <c r="R171" s="47" t="s">
        <v>5794</v>
      </c>
      <c r="U171" s="29" t="s">
        <v>491</v>
      </c>
      <c r="V171" s="46"/>
    </row>
    <row r="172" spans="1:22" ht="90" x14ac:dyDescent="0.25">
      <c r="A172" s="61">
        <v>42793</v>
      </c>
      <c r="B172" s="62" t="s">
        <v>569</v>
      </c>
      <c r="D172" s="46" t="s">
        <v>625</v>
      </c>
      <c r="E172" s="46" t="s">
        <v>588</v>
      </c>
      <c r="F172" s="46" t="s">
        <v>5806</v>
      </c>
      <c r="H172" s="46" t="s">
        <v>843</v>
      </c>
      <c r="I172" s="46" t="s">
        <v>4057</v>
      </c>
      <c r="J172" s="49" t="s">
        <v>899</v>
      </c>
      <c r="L172" s="63">
        <v>2</v>
      </c>
      <c r="M172" s="64">
        <v>500000</v>
      </c>
      <c r="N172" s="64">
        <v>600000</v>
      </c>
      <c r="O172" s="47" t="s">
        <v>5807</v>
      </c>
      <c r="P172" s="47" t="s">
        <v>5810</v>
      </c>
      <c r="Q172" s="62" t="s">
        <v>1612</v>
      </c>
      <c r="R172" s="47" t="s">
        <v>5856</v>
      </c>
      <c r="U172" s="29" t="s">
        <v>491</v>
      </c>
      <c r="V172" s="46"/>
    </row>
    <row r="173" spans="1:22" ht="60" x14ac:dyDescent="0.25">
      <c r="A173" s="61">
        <v>42793</v>
      </c>
      <c r="B173" s="62" t="s">
        <v>569</v>
      </c>
      <c r="D173" s="46" t="s">
        <v>930</v>
      </c>
      <c r="E173" s="46" t="s">
        <v>588</v>
      </c>
      <c r="F173" s="46" t="s">
        <v>5808</v>
      </c>
      <c r="H173" s="46" t="s">
        <v>843</v>
      </c>
      <c r="I173" s="46" t="s">
        <v>3452</v>
      </c>
      <c r="J173" s="49" t="s">
        <v>899</v>
      </c>
      <c r="L173" s="63">
        <v>5</v>
      </c>
      <c r="M173" s="64">
        <v>650000</v>
      </c>
      <c r="N173" s="64">
        <v>880000</v>
      </c>
      <c r="O173" s="47" t="s">
        <v>5809</v>
      </c>
      <c r="P173" s="47" t="s">
        <v>5811</v>
      </c>
      <c r="Q173" s="62" t="s">
        <v>1939</v>
      </c>
      <c r="R173" s="47" t="s">
        <v>5812</v>
      </c>
      <c r="U173" s="29" t="s">
        <v>491</v>
      </c>
      <c r="V173" s="46"/>
    </row>
    <row r="174" spans="1:22" ht="60" x14ac:dyDescent="0.25">
      <c r="A174" s="61">
        <v>42793</v>
      </c>
      <c r="B174" s="62" t="s">
        <v>569</v>
      </c>
      <c r="D174" s="46" t="s">
        <v>624</v>
      </c>
      <c r="E174" s="46" t="s">
        <v>588</v>
      </c>
      <c r="F174" s="46" t="s">
        <v>5813</v>
      </c>
      <c r="H174" s="46" t="s">
        <v>4132</v>
      </c>
      <c r="I174" s="46" t="s">
        <v>5083</v>
      </c>
      <c r="J174" s="49" t="s">
        <v>899</v>
      </c>
      <c r="L174" s="63">
        <v>3</v>
      </c>
      <c r="M174" s="64">
        <v>229000</v>
      </c>
      <c r="N174" s="64">
        <v>248000</v>
      </c>
      <c r="O174" s="47" t="s">
        <v>3785</v>
      </c>
      <c r="P174" s="47" t="s">
        <v>5814</v>
      </c>
      <c r="Q174" s="62" t="s">
        <v>1939</v>
      </c>
      <c r="R174" s="47" t="s">
        <v>5839</v>
      </c>
      <c r="U174" s="29" t="s">
        <v>491</v>
      </c>
      <c r="V174" s="46"/>
    </row>
    <row r="175" spans="1:22" ht="30" x14ac:dyDescent="0.25">
      <c r="A175" s="61">
        <v>42794</v>
      </c>
      <c r="B175" s="62" t="s">
        <v>328</v>
      </c>
      <c r="C175" s="46" t="s">
        <v>603</v>
      </c>
      <c r="D175" s="46" t="s">
        <v>1401</v>
      </c>
      <c r="E175" s="46" t="s">
        <v>588</v>
      </c>
      <c r="F175" s="46" t="s">
        <v>5819</v>
      </c>
      <c r="H175" s="46" t="s">
        <v>905</v>
      </c>
      <c r="I175" s="46" t="s">
        <v>4973</v>
      </c>
      <c r="J175" s="49" t="s">
        <v>899</v>
      </c>
      <c r="L175" s="63">
        <v>6</v>
      </c>
      <c r="M175" s="64">
        <v>2115000</v>
      </c>
      <c r="N175" s="64">
        <v>2476500</v>
      </c>
      <c r="O175" s="47" t="s">
        <v>560</v>
      </c>
      <c r="P175" s="47" t="s">
        <v>5820</v>
      </c>
      <c r="Q175" s="62" t="s">
        <v>592</v>
      </c>
      <c r="U175" s="29" t="s">
        <v>491</v>
      </c>
      <c r="V175" s="46"/>
    </row>
    <row r="176" spans="1:22" ht="45" x14ac:dyDescent="0.25">
      <c r="A176" s="61">
        <v>42794</v>
      </c>
      <c r="B176" s="62" t="s">
        <v>328</v>
      </c>
      <c r="C176" s="46" t="s">
        <v>603</v>
      </c>
      <c r="D176" s="46" t="s">
        <v>2397</v>
      </c>
      <c r="E176" s="46" t="s">
        <v>821</v>
      </c>
      <c r="H176" s="46" t="s">
        <v>905</v>
      </c>
      <c r="O176" s="47" t="s">
        <v>5821</v>
      </c>
      <c r="P176" s="47" t="s">
        <v>5822</v>
      </c>
      <c r="Q176" s="62" t="s">
        <v>592</v>
      </c>
      <c r="R176" s="47" t="s">
        <v>5823</v>
      </c>
      <c r="U176" s="29" t="s">
        <v>491</v>
      </c>
      <c r="V176" s="46"/>
    </row>
    <row r="177" spans="1:22" ht="60" x14ac:dyDescent="0.25">
      <c r="A177" s="61">
        <v>42794</v>
      </c>
      <c r="B177" s="62" t="s">
        <v>328</v>
      </c>
      <c r="C177" s="46" t="s">
        <v>603</v>
      </c>
      <c r="D177" s="46" t="s">
        <v>2397</v>
      </c>
      <c r="E177" s="46" t="s">
        <v>588</v>
      </c>
      <c r="F177" s="46" t="s">
        <v>5824</v>
      </c>
      <c r="H177" s="46" t="s">
        <v>1391</v>
      </c>
      <c r="I177" s="46" t="s">
        <v>5825</v>
      </c>
      <c r="J177" s="49" t="s">
        <v>3751</v>
      </c>
      <c r="M177" s="64">
        <v>87300</v>
      </c>
      <c r="N177" s="64">
        <v>193420</v>
      </c>
      <c r="O177" s="47" t="s">
        <v>3107</v>
      </c>
      <c r="P177" s="47" t="s">
        <v>5826</v>
      </c>
      <c r="Q177" s="62" t="s">
        <v>1939</v>
      </c>
      <c r="R177" s="47" t="s">
        <v>5827</v>
      </c>
      <c r="U177" s="29" t="s">
        <v>491</v>
      </c>
      <c r="V177" s="46"/>
    </row>
    <row r="178" spans="1:22" ht="60" x14ac:dyDescent="0.25">
      <c r="A178" s="61">
        <v>42794</v>
      </c>
      <c r="B178" s="62" t="s">
        <v>569</v>
      </c>
      <c r="D178" s="46" t="s">
        <v>625</v>
      </c>
      <c r="E178" s="46" t="s">
        <v>588</v>
      </c>
      <c r="F178" s="46" t="s">
        <v>5815</v>
      </c>
      <c r="H178" s="46" t="s">
        <v>809</v>
      </c>
      <c r="I178" s="46" t="s">
        <v>2054</v>
      </c>
      <c r="J178" s="49" t="s">
        <v>899</v>
      </c>
      <c r="L178" s="63">
        <v>2</v>
      </c>
      <c r="M178" s="64">
        <v>200000</v>
      </c>
      <c r="N178" s="64">
        <v>200000</v>
      </c>
      <c r="O178" s="47" t="s">
        <v>5816</v>
      </c>
      <c r="P178" s="47" t="s">
        <v>5817</v>
      </c>
      <c r="Q178" s="62" t="s">
        <v>1939</v>
      </c>
      <c r="R178" s="47" t="s">
        <v>5818</v>
      </c>
      <c r="U178" s="29" t="s">
        <v>491</v>
      </c>
      <c r="V178" s="46"/>
    </row>
    <row r="179" spans="1:22" ht="60" x14ac:dyDescent="0.25">
      <c r="A179" s="61">
        <v>42795</v>
      </c>
      <c r="B179" s="62" t="s">
        <v>328</v>
      </c>
      <c r="C179" s="46" t="s">
        <v>603</v>
      </c>
      <c r="D179" s="46" t="s">
        <v>5701</v>
      </c>
      <c r="E179" s="46" t="s">
        <v>588</v>
      </c>
      <c r="F179" s="46" t="s">
        <v>5829</v>
      </c>
      <c r="H179" s="46" t="s">
        <v>809</v>
      </c>
      <c r="I179" s="46" t="s">
        <v>5830</v>
      </c>
      <c r="J179" s="49" t="s">
        <v>3523</v>
      </c>
      <c r="L179" s="63">
        <v>5</v>
      </c>
      <c r="M179" s="64">
        <v>2000000</v>
      </c>
      <c r="N179" s="64">
        <v>2030000</v>
      </c>
      <c r="O179" s="47" t="s">
        <v>560</v>
      </c>
      <c r="P179" s="47" t="s">
        <v>5831</v>
      </c>
      <c r="Q179" s="62" t="s">
        <v>592</v>
      </c>
      <c r="U179" s="29" t="s">
        <v>491</v>
      </c>
      <c r="V179" s="46"/>
    </row>
    <row r="180" spans="1:22" ht="60" x14ac:dyDescent="0.25">
      <c r="A180" s="61">
        <v>42795</v>
      </c>
      <c r="B180" s="62" t="s">
        <v>328</v>
      </c>
      <c r="C180" s="46" t="s">
        <v>603</v>
      </c>
      <c r="D180" s="46" t="s">
        <v>2397</v>
      </c>
      <c r="E180" s="46" t="s">
        <v>588</v>
      </c>
      <c r="F180" s="46" t="s">
        <v>5832</v>
      </c>
      <c r="H180" s="46" t="s">
        <v>905</v>
      </c>
      <c r="I180" s="46" t="s">
        <v>5833</v>
      </c>
      <c r="J180" s="49" t="s">
        <v>604</v>
      </c>
      <c r="L180" s="63">
        <v>4</v>
      </c>
      <c r="M180" s="64">
        <v>750000</v>
      </c>
      <c r="N180" s="64">
        <v>837500</v>
      </c>
      <c r="O180" s="47" t="s">
        <v>5834</v>
      </c>
      <c r="P180" s="47" t="s">
        <v>5835</v>
      </c>
      <c r="Q180" s="62" t="s">
        <v>1939</v>
      </c>
      <c r="R180" s="47" t="s">
        <v>5836</v>
      </c>
      <c r="U180" s="29" t="s">
        <v>491</v>
      </c>
      <c r="V180" s="46"/>
    </row>
    <row r="181" spans="1:22" ht="30" x14ac:dyDescent="0.25">
      <c r="A181" s="61">
        <v>42796</v>
      </c>
      <c r="B181" s="62" t="s">
        <v>110</v>
      </c>
      <c r="D181" s="46" t="s">
        <v>4782</v>
      </c>
      <c r="E181" s="46" t="s">
        <v>588</v>
      </c>
      <c r="F181" s="46" t="s">
        <v>5857</v>
      </c>
      <c r="H181" s="46" t="s">
        <v>607</v>
      </c>
      <c r="I181" s="46" t="s">
        <v>5858</v>
      </c>
      <c r="J181" s="49" t="s">
        <v>4785</v>
      </c>
      <c r="L181" s="63">
        <v>10</v>
      </c>
      <c r="M181" s="64">
        <v>192446</v>
      </c>
      <c r="N181" s="64">
        <v>479136</v>
      </c>
      <c r="O181" s="47" t="s">
        <v>5859</v>
      </c>
      <c r="P181" s="47" t="s">
        <v>5860</v>
      </c>
      <c r="Q181" s="62" t="s">
        <v>29</v>
      </c>
      <c r="U181" s="29" t="s">
        <v>491</v>
      </c>
      <c r="V181" s="46"/>
    </row>
    <row r="182" spans="1:22" ht="30" x14ac:dyDescent="0.25">
      <c r="A182" s="61">
        <v>42796</v>
      </c>
      <c r="B182" s="62" t="s">
        <v>328</v>
      </c>
      <c r="C182" s="46" t="s">
        <v>603</v>
      </c>
      <c r="D182" s="46" t="s">
        <v>672</v>
      </c>
      <c r="E182" s="46" t="s">
        <v>588</v>
      </c>
      <c r="F182" s="46" t="s">
        <v>5842</v>
      </c>
      <c r="H182" s="46" t="s">
        <v>607</v>
      </c>
      <c r="I182" s="46" t="s">
        <v>5843</v>
      </c>
      <c r="J182" s="49" t="s">
        <v>644</v>
      </c>
      <c r="L182" s="63">
        <v>3</v>
      </c>
      <c r="M182" s="64">
        <v>275000</v>
      </c>
      <c r="N182" s="64">
        <v>495000</v>
      </c>
      <c r="O182" s="47" t="s">
        <v>5844</v>
      </c>
      <c r="P182" s="47" t="s">
        <v>5845</v>
      </c>
      <c r="Q182" s="62" t="s">
        <v>592</v>
      </c>
      <c r="U182" s="29" t="s">
        <v>491</v>
      </c>
      <c r="V182" s="46"/>
    </row>
    <row r="183" spans="1:22" ht="75" x14ac:dyDescent="0.25">
      <c r="A183" s="61">
        <v>42796</v>
      </c>
      <c r="B183" s="62" t="s">
        <v>328</v>
      </c>
      <c r="C183" s="46" t="s">
        <v>603</v>
      </c>
      <c r="D183" s="46" t="s">
        <v>1401</v>
      </c>
      <c r="E183" s="46" t="s">
        <v>588</v>
      </c>
      <c r="F183" s="46" t="s">
        <v>5848</v>
      </c>
      <c r="H183" s="46" t="s">
        <v>1391</v>
      </c>
      <c r="I183" s="46" t="s">
        <v>5846</v>
      </c>
      <c r="J183" s="49" t="s">
        <v>5309</v>
      </c>
      <c r="L183" s="63">
        <v>11</v>
      </c>
      <c r="M183" s="64">
        <v>160000</v>
      </c>
      <c r="N183" s="64">
        <v>288000</v>
      </c>
      <c r="O183" s="47" t="s">
        <v>1111</v>
      </c>
      <c r="P183" s="47" t="s">
        <v>6290</v>
      </c>
      <c r="Q183" s="62" t="s">
        <v>29</v>
      </c>
      <c r="R183" s="47" t="s">
        <v>5847</v>
      </c>
      <c r="U183" s="29" t="s">
        <v>491</v>
      </c>
      <c r="V183" s="46"/>
    </row>
    <row r="184" spans="1:22" ht="60" x14ac:dyDescent="0.25">
      <c r="A184" s="61">
        <v>42796</v>
      </c>
      <c r="B184" s="62" t="s">
        <v>328</v>
      </c>
      <c r="C184" s="46" t="s">
        <v>603</v>
      </c>
      <c r="D184" s="46" t="s">
        <v>1401</v>
      </c>
      <c r="E184" s="46" t="s">
        <v>588</v>
      </c>
      <c r="F184" s="46" t="s">
        <v>5852</v>
      </c>
      <c r="H184" s="46" t="s">
        <v>1391</v>
      </c>
      <c r="I184" s="46" t="s">
        <v>5853</v>
      </c>
      <c r="J184" s="49" t="s">
        <v>3885</v>
      </c>
      <c r="L184" s="63">
        <v>10</v>
      </c>
      <c r="M184" s="64">
        <v>148000</v>
      </c>
      <c r="N184" s="64">
        <v>626400</v>
      </c>
      <c r="O184" s="47" t="s">
        <v>2680</v>
      </c>
      <c r="P184" s="47" t="s">
        <v>5855</v>
      </c>
      <c r="Q184" s="62" t="s">
        <v>29</v>
      </c>
      <c r="R184" s="47" t="s">
        <v>5854</v>
      </c>
      <c r="U184" s="29" t="s">
        <v>491</v>
      </c>
      <c r="V184" s="46"/>
    </row>
    <row r="185" spans="1:22" ht="75" x14ac:dyDescent="0.25">
      <c r="A185" s="61">
        <v>42796</v>
      </c>
      <c r="B185" s="62" t="s">
        <v>328</v>
      </c>
      <c r="C185" s="46" t="s">
        <v>603</v>
      </c>
      <c r="D185" s="46" t="s">
        <v>2397</v>
      </c>
      <c r="E185" s="46" t="s">
        <v>588</v>
      </c>
      <c r="F185" s="46" t="s">
        <v>5861</v>
      </c>
      <c r="H185" s="46" t="s">
        <v>607</v>
      </c>
      <c r="I185" s="46" t="s">
        <v>5862</v>
      </c>
      <c r="J185" s="49" t="s">
        <v>3751</v>
      </c>
      <c r="L185" s="63">
        <v>2</v>
      </c>
      <c r="M185" s="64">
        <v>454472</v>
      </c>
      <c r="O185" s="47" t="s">
        <v>35</v>
      </c>
      <c r="P185" s="47" t="s">
        <v>5863</v>
      </c>
      <c r="Q185" s="62" t="s">
        <v>1612</v>
      </c>
      <c r="R185" s="86" t="s">
        <v>5864</v>
      </c>
      <c r="U185" s="29" t="s">
        <v>491</v>
      </c>
      <c r="V185" s="46"/>
    </row>
    <row r="186" spans="1:22" ht="45" x14ac:dyDescent="0.25">
      <c r="A186" s="61">
        <v>42796</v>
      </c>
      <c r="B186" s="62" t="s">
        <v>569</v>
      </c>
      <c r="D186" s="46" t="s">
        <v>625</v>
      </c>
      <c r="E186" s="46" t="s">
        <v>588</v>
      </c>
      <c r="F186" s="46" t="s">
        <v>5837</v>
      </c>
      <c r="H186" s="46" t="s">
        <v>607</v>
      </c>
      <c r="I186" s="46" t="s">
        <v>5838</v>
      </c>
      <c r="J186" s="49" t="s">
        <v>899</v>
      </c>
      <c r="L186" s="63">
        <v>2</v>
      </c>
      <c r="M186" s="64">
        <v>2014000</v>
      </c>
      <c r="N186" s="64">
        <v>3625000</v>
      </c>
      <c r="O186" s="47" t="s">
        <v>695</v>
      </c>
      <c r="P186" s="47" t="s">
        <v>5840</v>
      </c>
      <c r="Q186" s="62" t="s">
        <v>29</v>
      </c>
      <c r="R186" s="47" t="s">
        <v>5841</v>
      </c>
      <c r="U186" s="29" t="s">
        <v>491</v>
      </c>
      <c r="V186" s="46"/>
    </row>
    <row r="187" spans="1:22" ht="45" x14ac:dyDescent="0.25">
      <c r="A187" s="61">
        <v>42796</v>
      </c>
      <c r="B187" s="62" t="s">
        <v>569</v>
      </c>
      <c r="D187" s="46" t="s">
        <v>625</v>
      </c>
      <c r="E187" s="46" t="s">
        <v>588</v>
      </c>
      <c r="F187" s="46" t="s">
        <v>5849</v>
      </c>
      <c r="H187" s="46" t="s">
        <v>843</v>
      </c>
      <c r="I187" s="46" t="s">
        <v>4237</v>
      </c>
      <c r="J187" s="49" t="s">
        <v>899</v>
      </c>
      <c r="M187" s="64">
        <v>1600000</v>
      </c>
      <c r="N187" s="64">
        <v>1600000</v>
      </c>
      <c r="O187" s="47" t="s">
        <v>560</v>
      </c>
      <c r="P187" s="47" t="s">
        <v>5850</v>
      </c>
      <c r="Q187" s="62" t="s">
        <v>29</v>
      </c>
      <c r="R187" s="47" t="s">
        <v>5851</v>
      </c>
      <c r="U187" s="29" t="s">
        <v>491</v>
      </c>
      <c r="V187" s="46"/>
    </row>
    <row r="188" spans="1:22" ht="75" x14ac:dyDescent="0.25">
      <c r="A188" s="61">
        <v>42797</v>
      </c>
      <c r="B188" s="62" t="s">
        <v>569</v>
      </c>
      <c r="D188" s="46" t="s">
        <v>624</v>
      </c>
      <c r="E188" s="46" t="s">
        <v>821</v>
      </c>
      <c r="H188" s="46" t="s">
        <v>607</v>
      </c>
      <c r="O188" s="47" t="s">
        <v>3785</v>
      </c>
      <c r="P188" s="47" t="s">
        <v>5866</v>
      </c>
      <c r="Q188" s="62" t="s">
        <v>29</v>
      </c>
      <c r="R188" s="47" t="s">
        <v>5865</v>
      </c>
      <c r="U188" s="29" t="s">
        <v>491</v>
      </c>
      <c r="V188" s="46"/>
    </row>
    <row r="189" spans="1:22" x14ac:dyDescent="0.25">
      <c r="A189" s="61">
        <v>42801</v>
      </c>
      <c r="B189" s="62" t="s">
        <v>320</v>
      </c>
      <c r="C189" s="46" t="s">
        <v>1228</v>
      </c>
      <c r="D189" s="46" t="s">
        <v>1229</v>
      </c>
      <c r="E189" s="46" t="s">
        <v>588</v>
      </c>
      <c r="F189" s="46" t="s">
        <v>5874</v>
      </c>
      <c r="H189" s="46" t="s">
        <v>607</v>
      </c>
      <c r="I189" s="46" t="s">
        <v>5875</v>
      </c>
      <c r="J189" s="49" t="s">
        <v>3856</v>
      </c>
      <c r="L189" s="63">
        <v>8</v>
      </c>
      <c r="M189" s="64">
        <v>420000</v>
      </c>
      <c r="N189" s="64">
        <v>532000</v>
      </c>
      <c r="O189" s="47" t="s">
        <v>5876</v>
      </c>
      <c r="P189" s="47" t="s">
        <v>5877</v>
      </c>
      <c r="Q189" s="62" t="s">
        <v>1939</v>
      </c>
      <c r="R189" s="47" t="s">
        <v>5878</v>
      </c>
      <c r="U189" s="29" t="s">
        <v>491</v>
      </c>
      <c r="V189" s="46"/>
    </row>
    <row r="190" spans="1:22" ht="30" x14ac:dyDescent="0.25">
      <c r="A190" s="61">
        <v>42801</v>
      </c>
      <c r="B190" s="62" t="s">
        <v>328</v>
      </c>
      <c r="D190" s="46" t="s">
        <v>1401</v>
      </c>
      <c r="E190" s="46" t="s">
        <v>588</v>
      </c>
      <c r="F190" s="46" t="s">
        <v>5871</v>
      </c>
      <c r="H190" s="46" t="s">
        <v>607</v>
      </c>
      <c r="O190" s="47" t="s">
        <v>5872</v>
      </c>
      <c r="P190" s="47" t="s">
        <v>5873</v>
      </c>
      <c r="Q190" s="62" t="s">
        <v>1612</v>
      </c>
      <c r="R190" s="47" t="s">
        <v>5885</v>
      </c>
      <c r="U190" s="29" t="s">
        <v>491</v>
      </c>
      <c r="V190" s="46"/>
    </row>
    <row r="191" spans="1:22" ht="60" x14ac:dyDescent="0.25">
      <c r="A191" s="61">
        <v>42801</v>
      </c>
      <c r="B191" s="62" t="s">
        <v>328</v>
      </c>
      <c r="C191" s="46" t="s">
        <v>603</v>
      </c>
      <c r="D191" s="46" t="s">
        <v>672</v>
      </c>
      <c r="E191" s="46" t="s">
        <v>588</v>
      </c>
      <c r="F191" s="46" t="s">
        <v>5879</v>
      </c>
      <c r="H191" s="46" t="s">
        <v>722</v>
      </c>
      <c r="I191" s="46" t="s">
        <v>5880</v>
      </c>
      <c r="J191" s="49" t="s">
        <v>5610</v>
      </c>
      <c r="M191" s="64">
        <v>2664600</v>
      </c>
      <c r="N191" s="64">
        <v>3830440</v>
      </c>
      <c r="O191" s="47" t="s">
        <v>560</v>
      </c>
      <c r="P191" s="47" t="s">
        <v>5881</v>
      </c>
      <c r="Q191" s="62" t="s">
        <v>1612</v>
      </c>
      <c r="R191" s="47" t="s">
        <v>5884</v>
      </c>
      <c r="U191" s="29" t="s">
        <v>491</v>
      </c>
      <c r="V191" s="46"/>
    </row>
    <row r="192" spans="1:22" ht="30" x14ac:dyDescent="0.25">
      <c r="A192" s="61">
        <v>42801</v>
      </c>
      <c r="B192" s="62" t="s">
        <v>328</v>
      </c>
      <c r="C192" s="46" t="s">
        <v>603</v>
      </c>
      <c r="D192" s="46" t="s">
        <v>672</v>
      </c>
      <c r="E192" s="46" t="s">
        <v>588</v>
      </c>
      <c r="F192" s="46" t="s">
        <v>5882</v>
      </c>
      <c r="H192" s="46" t="s">
        <v>607</v>
      </c>
      <c r="I192" s="46" t="s">
        <v>4689</v>
      </c>
      <c r="J192" s="49" t="s">
        <v>899</v>
      </c>
      <c r="L192" s="63">
        <v>3</v>
      </c>
      <c r="M192" s="64">
        <v>1800000</v>
      </c>
      <c r="N192" s="64">
        <v>3420000</v>
      </c>
      <c r="O192" s="47" t="s">
        <v>560</v>
      </c>
      <c r="P192" s="47" t="s">
        <v>5883</v>
      </c>
      <c r="Q192" s="62" t="s">
        <v>1612</v>
      </c>
      <c r="R192" s="47" t="s">
        <v>5886</v>
      </c>
      <c r="U192" s="29" t="s">
        <v>491</v>
      </c>
      <c r="V192" s="46"/>
    </row>
    <row r="193" spans="1:22" ht="156.75" x14ac:dyDescent="0.25">
      <c r="A193" s="61">
        <v>42801</v>
      </c>
      <c r="B193" s="62" t="s">
        <v>5360</v>
      </c>
      <c r="D193" s="46" t="s">
        <v>1027</v>
      </c>
      <c r="E193" s="46" t="s">
        <v>588</v>
      </c>
      <c r="F193" s="46" t="s">
        <v>5867</v>
      </c>
      <c r="H193" s="46" t="s">
        <v>607</v>
      </c>
      <c r="I193" s="46" t="s">
        <v>5868</v>
      </c>
      <c r="J193" s="49" t="s">
        <v>899</v>
      </c>
      <c r="L193" s="63">
        <v>9</v>
      </c>
      <c r="M193" s="64">
        <v>1200000</v>
      </c>
      <c r="N193" s="64">
        <v>2400000</v>
      </c>
      <c r="O193" s="47" t="s">
        <v>560</v>
      </c>
      <c r="P193" s="47" t="s">
        <v>5869</v>
      </c>
      <c r="Q193" s="62" t="s">
        <v>1939</v>
      </c>
      <c r="R193" s="86" t="s">
        <v>5870</v>
      </c>
      <c r="U193" s="29" t="s">
        <v>491</v>
      </c>
      <c r="V193" s="46"/>
    </row>
    <row r="194" spans="1:22" ht="45" x14ac:dyDescent="0.25">
      <c r="A194" s="61">
        <v>42802</v>
      </c>
      <c r="B194" s="62" t="s">
        <v>328</v>
      </c>
      <c r="C194" s="46" t="s">
        <v>603</v>
      </c>
      <c r="D194" s="46" t="s">
        <v>2397</v>
      </c>
      <c r="E194" s="46" t="s">
        <v>588</v>
      </c>
      <c r="F194" s="46" t="s">
        <v>5887</v>
      </c>
      <c r="H194" s="46" t="s">
        <v>905</v>
      </c>
      <c r="I194" s="46" t="s">
        <v>5888</v>
      </c>
      <c r="J194" s="49" t="s">
        <v>899</v>
      </c>
      <c r="L194" s="63">
        <v>2</v>
      </c>
      <c r="M194" s="64">
        <v>125000</v>
      </c>
      <c r="N194" s="64">
        <v>147500</v>
      </c>
      <c r="O194" s="47" t="s">
        <v>5889</v>
      </c>
      <c r="P194" s="47" t="s">
        <v>5890</v>
      </c>
      <c r="Q194" s="62" t="s">
        <v>592</v>
      </c>
      <c r="R194" s="47" t="s">
        <v>5891</v>
      </c>
      <c r="U194" s="29" t="s">
        <v>491</v>
      </c>
      <c r="V194" s="46"/>
    </row>
    <row r="195" spans="1:22" ht="90" x14ac:dyDescent="0.25">
      <c r="A195" s="61">
        <v>42802</v>
      </c>
      <c r="B195" s="62" t="s">
        <v>328</v>
      </c>
      <c r="C195" s="46" t="s">
        <v>5892</v>
      </c>
      <c r="D195" s="46" t="s">
        <v>2397</v>
      </c>
      <c r="E195" s="46" t="s">
        <v>588</v>
      </c>
      <c r="F195" s="46" t="s">
        <v>5893</v>
      </c>
      <c r="H195" s="46" t="s">
        <v>607</v>
      </c>
      <c r="I195" s="46" t="s">
        <v>3649</v>
      </c>
      <c r="J195" s="49" t="s">
        <v>899</v>
      </c>
      <c r="L195" s="63">
        <v>4</v>
      </c>
      <c r="M195" s="64">
        <v>3000000</v>
      </c>
      <c r="N195" s="64">
        <v>4999999</v>
      </c>
      <c r="O195" s="47" t="s">
        <v>560</v>
      </c>
      <c r="P195" s="47" t="s">
        <v>5894</v>
      </c>
      <c r="Q195" s="62" t="s">
        <v>592</v>
      </c>
      <c r="R195" s="47" t="s">
        <v>5895</v>
      </c>
      <c r="U195" s="29" t="s">
        <v>491</v>
      </c>
      <c r="V195" s="46"/>
    </row>
    <row r="196" spans="1:22" ht="30" x14ac:dyDescent="0.25">
      <c r="A196" s="61">
        <v>42802</v>
      </c>
      <c r="B196" s="62" t="s">
        <v>328</v>
      </c>
      <c r="C196" s="46" t="s">
        <v>603</v>
      </c>
      <c r="D196" s="46" t="s">
        <v>5701</v>
      </c>
      <c r="E196" s="46" t="s">
        <v>588</v>
      </c>
      <c r="F196" s="46" t="s">
        <v>5896</v>
      </c>
      <c r="H196" s="46" t="s">
        <v>809</v>
      </c>
      <c r="J196" s="49" t="s">
        <v>3398</v>
      </c>
      <c r="L196" s="63">
        <v>3</v>
      </c>
      <c r="M196" s="64">
        <v>1800000</v>
      </c>
      <c r="N196" s="64">
        <v>2110000</v>
      </c>
      <c r="O196" s="47" t="s">
        <v>560</v>
      </c>
      <c r="P196" s="47" t="s">
        <v>6302</v>
      </c>
      <c r="Q196" s="62" t="s">
        <v>592</v>
      </c>
      <c r="U196" s="29" t="s">
        <v>491</v>
      </c>
      <c r="V196" s="46"/>
    </row>
    <row r="197" spans="1:22" ht="45" x14ac:dyDescent="0.25">
      <c r="A197" s="61">
        <v>42802</v>
      </c>
      <c r="B197" s="62" t="s">
        <v>5473</v>
      </c>
      <c r="D197" s="46" t="s">
        <v>1495</v>
      </c>
      <c r="E197" s="46" t="s">
        <v>588</v>
      </c>
      <c r="F197" s="46" t="s">
        <v>5906</v>
      </c>
      <c r="H197" s="46" t="s">
        <v>607</v>
      </c>
      <c r="I197" s="46" t="s">
        <v>5907</v>
      </c>
      <c r="J197" s="49" t="s">
        <v>602</v>
      </c>
      <c r="M197" s="64">
        <v>293600</v>
      </c>
      <c r="N197" s="64">
        <v>500000</v>
      </c>
      <c r="O197" s="47" t="s">
        <v>3738</v>
      </c>
      <c r="P197" s="47" t="s">
        <v>5908</v>
      </c>
      <c r="Q197" s="62" t="s">
        <v>592</v>
      </c>
      <c r="U197" s="29" t="s">
        <v>491</v>
      </c>
      <c r="V197" s="46"/>
    </row>
    <row r="198" spans="1:22" ht="30" x14ac:dyDescent="0.25">
      <c r="A198" s="61">
        <v>42802</v>
      </c>
      <c r="B198" s="62" t="s">
        <v>569</v>
      </c>
      <c r="D198" s="46" t="s">
        <v>625</v>
      </c>
      <c r="E198" s="46" t="s">
        <v>821</v>
      </c>
      <c r="O198" s="47" t="s">
        <v>5901</v>
      </c>
      <c r="P198" s="47" t="s">
        <v>5902</v>
      </c>
      <c r="Q198" s="62" t="s">
        <v>592</v>
      </c>
      <c r="R198" s="47" t="s">
        <v>5903</v>
      </c>
      <c r="U198" s="29" t="s">
        <v>491</v>
      </c>
      <c r="V198" s="46"/>
    </row>
    <row r="199" spans="1:22" ht="90" x14ac:dyDescent="0.25">
      <c r="A199" s="61">
        <v>42802</v>
      </c>
      <c r="B199" s="62" t="s">
        <v>569</v>
      </c>
      <c r="D199" s="46" t="s">
        <v>625</v>
      </c>
      <c r="E199" s="46" t="s">
        <v>821</v>
      </c>
      <c r="F199" s="46" t="s">
        <v>5913</v>
      </c>
      <c r="H199" s="46" t="s">
        <v>607</v>
      </c>
      <c r="I199" s="46" t="s">
        <v>5914</v>
      </c>
      <c r="J199" s="49" t="s">
        <v>899</v>
      </c>
      <c r="L199" s="63">
        <v>3</v>
      </c>
      <c r="M199" s="64">
        <v>1800000</v>
      </c>
      <c r="N199" s="64">
        <v>2220000</v>
      </c>
      <c r="O199" s="47" t="s">
        <v>5323</v>
      </c>
      <c r="P199" s="47" t="s">
        <v>5904</v>
      </c>
      <c r="Q199" s="62" t="s">
        <v>592</v>
      </c>
      <c r="R199" s="47" t="s">
        <v>5905</v>
      </c>
      <c r="U199" s="29" t="s">
        <v>491</v>
      </c>
      <c r="V199" s="46"/>
    </row>
    <row r="200" spans="1:22" ht="60" x14ac:dyDescent="0.25">
      <c r="A200" s="61">
        <v>42802</v>
      </c>
      <c r="B200" s="62" t="s">
        <v>569</v>
      </c>
      <c r="D200" s="46" t="s">
        <v>624</v>
      </c>
      <c r="E200" s="46" t="s">
        <v>588</v>
      </c>
      <c r="F200" s="46" t="s">
        <v>5909</v>
      </c>
      <c r="H200" s="46" t="s">
        <v>607</v>
      </c>
      <c r="I200" s="46" t="s">
        <v>5910</v>
      </c>
      <c r="J200" s="49" t="s">
        <v>899</v>
      </c>
      <c r="L200" s="63">
        <v>1</v>
      </c>
      <c r="M200" s="64">
        <v>1055250</v>
      </c>
      <c r="N200" s="64">
        <v>1899450</v>
      </c>
      <c r="O200" s="47" t="s">
        <v>845</v>
      </c>
      <c r="P200" s="47" t="s">
        <v>5911</v>
      </c>
      <c r="Q200" s="62" t="s">
        <v>1939</v>
      </c>
      <c r="R200" s="47" t="s">
        <v>5912</v>
      </c>
      <c r="U200" s="29" t="s">
        <v>491</v>
      </c>
      <c r="V200" s="46"/>
    </row>
    <row r="201" spans="1:22" ht="45" x14ac:dyDescent="0.25">
      <c r="A201" s="61">
        <v>42802</v>
      </c>
      <c r="B201" s="62" t="s">
        <v>5360</v>
      </c>
      <c r="D201" s="46" t="s">
        <v>732</v>
      </c>
      <c r="E201" s="46" t="s">
        <v>588</v>
      </c>
      <c r="F201" s="46" t="s">
        <v>5897</v>
      </c>
      <c r="H201" s="46" t="s">
        <v>5244</v>
      </c>
      <c r="I201" s="46" t="s">
        <v>5898</v>
      </c>
      <c r="J201" s="49" t="s">
        <v>899</v>
      </c>
      <c r="L201" s="63">
        <v>9</v>
      </c>
      <c r="M201" s="64">
        <v>1449000</v>
      </c>
      <c r="N201" s="64">
        <v>2289000</v>
      </c>
      <c r="O201" s="47" t="s">
        <v>560</v>
      </c>
      <c r="P201" s="47" t="s">
        <v>5899</v>
      </c>
      <c r="Q201" s="62" t="s">
        <v>1939</v>
      </c>
      <c r="R201" s="47" t="s">
        <v>5900</v>
      </c>
      <c r="U201" s="29" t="s">
        <v>491</v>
      </c>
      <c r="V201" s="46"/>
    </row>
    <row r="202" spans="1:22" ht="75" x14ac:dyDescent="0.25">
      <c r="A202" s="61">
        <v>42803</v>
      </c>
      <c r="B202" s="62" t="s">
        <v>328</v>
      </c>
      <c r="C202" s="46" t="s">
        <v>603</v>
      </c>
      <c r="D202" s="46" t="s">
        <v>2397</v>
      </c>
      <c r="E202" s="46" t="s">
        <v>588</v>
      </c>
      <c r="F202" s="46" t="s">
        <v>5915</v>
      </c>
      <c r="H202" s="46" t="s">
        <v>5244</v>
      </c>
      <c r="I202" s="46" t="s">
        <v>5916</v>
      </c>
      <c r="J202" s="49" t="s">
        <v>3523</v>
      </c>
      <c r="L202" s="63">
        <v>3</v>
      </c>
      <c r="M202" s="64">
        <v>2400000</v>
      </c>
      <c r="N202" s="64">
        <v>4050000</v>
      </c>
      <c r="O202" s="47" t="s">
        <v>695</v>
      </c>
      <c r="P202" s="47" t="s">
        <v>6303</v>
      </c>
      <c r="Q202" s="62" t="s">
        <v>1939</v>
      </c>
      <c r="R202" s="47" t="s">
        <v>5917</v>
      </c>
      <c r="U202" s="29" t="s">
        <v>491</v>
      </c>
      <c r="V202" s="46"/>
    </row>
    <row r="203" spans="1:22" ht="192.75" x14ac:dyDescent="0.25">
      <c r="A203" s="61">
        <v>42803</v>
      </c>
      <c r="B203" s="62" t="s">
        <v>328</v>
      </c>
      <c r="C203" s="46" t="s">
        <v>603</v>
      </c>
      <c r="D203" s="46" t="s">
        <v>649</v>
      </c>
      <c r="E203" s="46" t="s">
        <v>588</v>
      </c>
      <c r="F203" s="46" t="s">
        <v>5918</v>
      </c>
      <c r="H203" s="46" t="s">
        <v>905</v>
      </c>
      <c r="I203" s="46" t="s">
        <v>4042</v>
      </c>
      <c r="J203" s="49" t="s">
        <v>899</v>
      </c>
      <c r="L203" s="63">
        <v>4</v>
      </c>
      <c r="M203" s="64">
        <v>725000</v>
      </c>
      <c r="N203" s="64">
        <v>802500</v>
      </c>
      <c r="O203" s="47" t="s">
        <v>5919</v>
      </c>
      <c r="P203" s="47" t="s">
        <v>5920</v>
      </c>
      <c r="Q203" s="62" t="s">
        <v>1939</v>
      </c>
      <c r="R203" s="86" t="s">
        <v>6304</v>
      </c>
      <c r="U203" s="29" t="s">
        <v>491</v>
      </c>
      <c r="V203" s="46"/>
    </row>
    <row r="204" spans="1:22" ht="102" x14ac:dyDescent="0.25">
      <c r="A204" s="61">
        <v>42803</v>
      </c>
      <c r="B204" s="62" t="s">
        <v>328</v>
      </c>
      <c r="C204" s="46" t="s">
        <v>603</v>
      </c>
      <c r="D204" s="46" t="s">
        <v>2397</v>
      </c>
      <c r="E204" s="46" t="s">
        <v>588</v>
      </c>
      <c r="F204" s="46" t="s">
        <v>5928</v>
      </c>
      <c r="H204" s="46" t="s">
        <v>607</v>
      </c>
      <c r="J204" s="49" t="s">
        <v>899</v>
      </c>
      <c r="L204" s="63">
        <v>3</v>
      </c>
      <c r="M204" s="64">
        <v>2950000</v>
      </c>
      <c r="N204" s="64">
        <v>4995000</v>
      </c>
      <c r="O204" s="47" t="s">
        <v>560</v>
      </c>
      <c r="P204" s="47" t="s">
        <v>5929</v>
      </c>
      <c r="Q204" s="62" t="s">
        <v>1939</v>
      </c>
      <c r="R204" s="89" t="s">
        <v>5930</v>
      </c>
      <c r="U204" s="29" t="s">
        <v>491</v>
      </c>
      <c r="V204" s="46"/>
    </row>
    <row r="205" spans="1:22" ht="120.75" x14ac:dyDescent="0.25">
      <c r="A205" s="61">
        <v>42803</v>
      </c>
      <c r="B205" s="62" t="s">
        <v>643</v>
      </c>
      <c r="C205" s="46" t="s">
        <v>644</v>
      </c>
      <c r="D205" s="46" t="s">
        <v>625</v>
      </c>
      <c r="E205" s="46" t="s">
        <v>588</v>
      </c>
      <c r="F205" s="46" t="s">
        <v>1164</v>
      </c>
      <c r="H205" s="46" t="s">
        <v>607</v>
      </c>
      <c r="I205" s="46" t="s">
        <v>5921</v>
      </c>
      <c r="J205" s="49" t="s">
        <v>644</v>
      </c>
      <c r="O205" s="47" t="s">
        <v>5922</v>
      </c>
      <c r="P205" s="47" t="s">
        <v>5923</v>
      </c>
      <c r="Q205" s="62" t="s">
        <v>1612</v>
      </c>
      <c r="R205" s="86" t="s">
        <v>5949</v>
      </c>
      <c r="U205" s="29" t="s">
        <v>491</v>
      </c>
      <c r="V205" s="46"/>
    </row>
    <row r="206" spans="1:22" ht="75" x14ac:dyDescent="0.25">
      <c r="A206" s="61">
        <v>42803</v>
      </c>
      <c r="B206" s="62" t="s">
        <v>643</v>
      </c>
      <c r="C206" s="46" t="s">
        <v>644</v>
      </c>
      <c r="D206" s="46" t="s">
        <v>645</v>
      </c>
      <c r="E206" s="46" t="s">
        <v>588</v>
      </c>
      <c r="F206" s="46" t="s">
        <v>5924</v>
      </c>
      <c r="H206" s="46" t="s">
        <v>1050</v>
      </c>
      <c r="I206" s="46" t="s">
        <v>5925</v>
      </c>
      <c r="J206" s="49" t="s">
        <v>644</v>
      </c>
      <c r="L206" s="63">
        <v>2</v>
      </c>
      <c r="M206" s="64">
        <v>175000</v>
      </c>
      <c r="N206" s="64">
        <v>247500</v>
      </c>
      <c r="O206" s="47" t="s">
        <v>5926</v>
      </c>
      <c r="P206" s="47" t="s">
        <v>5927</v>
      </c>
      <c r="Q206" s="62" t="s">
        <v>592</v>
      </c>
      <c r="U206" s="29" t="s">
        <v>491</v>
      </c>
      <c r="V206" s="46"/>
    </row>
    <row r="207" spans="1:22" ht="60" x14ac:dyDescent="0.25">
      <c r="A207" s="61">
        <v>42804</v>
      </c>
      <c r="B207" s="62" t="s">
        <v>328</v>
      </c>
      <c r="C207" s="46" t="s">
        <v>603</v>
      </c>
      <c r="D207" s="46" t="s">
        <v>1401</v>
      </c>
      <c r="E207" s="46" t="s">
        <v>588</v>
      </c>
      <c r="F207" s="46" t="s">
        <v>5931</v>
      </c>
      <c r="H207" s="46" t="s">
        <v>2206</v>
      </c>
      <c r="I207" s="46" t="s">
        <v>5932</v>
      </c>
      <c r="J207" s="49" t="s">
        <v>604</v>
      </c>
      <c r="L207" s="63">
        <v>3</v>
      </c>
      <c r="M207" s="64">
        <v>200000</v>
      </c>
      <c r="N207" s="64">
        <v>240000</v>
      </c>
      <c r="O207" s="47" t="s">
        <v>5934</v>
      </c>
      <c r="P207" s="47" t="s">
        <v>5938</v>
      </c>
      <c r="Q207" s="62" t="s">
        <v>1939</v>
      </c>
      <c r="R207" s="47" t="s">
        <v>5933</v>
      </c>
      <c r="U207" s="29" t="s">
        <v>2227</v>
      </c>
      <c r="V207" s="46"/>
    </row>
    <row r="208" spans="1:22" ht="75" x14ac:dyDescent="0.25">
      <c r="A208" s="61">
        <v>42807</v>
      </c>
      <c r="B208" s="62" t="s">
        <v>328</v>
      </c>
      <c r="C208" s="46" t="s">
        <v>603</v>
      </c>
      <c r="D208" s="46" t="s">
        <v>649</v>
      </c>
      <c r="E208" s="46" t="s">
        <v>588</v>
      </c>
      <c r="F208" s="46" t="s">
        <v>5939</v>
      </c>
      <c r="H208" s="46" t="s">
        <v>5640</v>
      </c>
      <c r="I208" s="46" t="s">
        <v>5862</v>
      </c>
      <c r="J208" s="49" t="s">
        <v>3751</v>
      </c>
      <c r="L208" s="63">
        <v>2</v>
      </c>
      <c r="M208" s="64">
        <v>745782</v>
      </c>
      <c r="N208" s="64">
        <v>1550000</v>
      </c>
      <c r="O208" s="47" t="s">
        <v>5940</v>
      </c>
      <c r="P208" s="47" t="s">
        <v>5941</v>
      </c>
      <c r="Q208" s="62" t="s">
        <v>29</v>
      </c>
      <c r="U208" s="46" t="s">
        <v>491</v>
      </c>
      <c r="V208" s="46"/>
    </row>
    <row r="209" spans="1:23" ht="30" x14ac:dyDescent="0.25">
      <c r="A209" s="61">
        <v>42807</v>
      </c>
      <c r="B209" s="62" t="s">
        <v>5176</v>
      </c>
      <c r="D209" s="46" t="s">
        <v>2186</v>
      </c>
      <c r="E209" s="46" t="s">
        <v>588</v>
      </c>
      <c r="F209" s="46" t="s">
        <v>5935</v>
      </c>
      <c r="H209" s="46" t="s">
        <v>886</v>
      </c>
      <c r="O209" s="47" t="s">
        <v>5936</v>
      </c>
      <c r="P209" s="47" t="s">
        <v>5937</v>
      </c>
      <c r="Q209" s="62" t="s">
        <v>592</v>
      </c>
      <c r="U209" s="46" t="s">
        <v>491</v>
      </c>
      <c r="V209" s="46"/>
    </row>
    <row r="210" spans="1:23" ht="60" x14ac:dyDescent="0.25">
      <c r="A210" s="61">
        <v>42807</v>
      </c>
      <c r="B210" s="62" t="s">
        <v>5360</v>
      </c>
      <c r="D210" s="46" t="s">
        <v>732</v>
      </c>
      <c r="E210" s="46" t="s">
        <v>588</v>
      </c>
      <c r="F210" s="46" t="s">
        <v>5942</v>
      </c>
      <c r="H210" s="46" t="s">
        <v>607</v>
      </c>
      <c r="I210" s="46" t="s">
        <v>4042</v>
      </c>
      <c r="J210" s="49" t="s">
        <v>899</v>
      </c>
      <c r="L210" s="63">
        <v>9</v>
      </c>
      <c r="M210" s="64">
        <v>187000</v>
      </c>
      <c r="N210" s="64">
        <v>502900</v>
      </c>
      <c r="O210" s="47" t="s">
        <v>840</v>
      </c>
      <c r="P210" s="47" t="s">
        <v>5943</v>
      </c>
      <c r="Q210" s="62" t="s">
        <v>1939</v>
      </c>
      <c r="R210" s="47" t="s">
        <v>5944</v>
      </c>
      <c r="U210" s="46" t="s">
        <v>491</v>
      </c>
      <c r="V210" s="46"/>
    </row>
    <row r="211" spans="1:23" ht="60" x14ac:dyDescent="0.25">
      <c r="A211" s="61">
        <v>42808</v>
      </c>
      <c r="B211" s="62" t="s">
        <v>328</v>
      </c>
      <c r="C211" s="46" t="s">
        <v>603</v>
      </c>
      <c r="D211" s="46" t="s">
        <v>5701</v>
      </c>
      <c r="E211" s="46" t="s">
        <v>588</v>
      </c>
      <c r="F211" s="46" t="s">
        <v>5945</v>
      </c>
      <c r="H211" s="46" t="s">
        <v>607</v>
      </c>
      <c r="I211" s="46" t="s">
        <v>5946</v>
      </c>
      <c r="J211" s="49" t="s">
        <v>3612</v>
      </c>
      <c r="L211" s="63">
        <v>5</v>
      </c>
      <c r="M211" s="64">
        <v>200000</v>
      </c>
      <c r="N211" s="64">
        <v>400000</v>
      </c>
      <c r="O211" s="47" t="s">
        <v>3107</v>
      </c>
      <c r="P211" s="47" t="s">
        <v>5947</v>
      </c>
      <c r="Q211" s="62" t="s">
        <v>1939</v>
      </c>
      <c r="R211" s="47" t="s">
        <v>5948</v>
      </c>
      <c r="U211" s="46" t="s">
        <v>491</v>
      </c>
      <c r="V211" s="46"/>
    </row>
    <row r="212" spans="1:23" ht="60" x14ac:dyDescent="0.25">
      <c r="A212" s="61">
        <v>42808</v>
      </c>
      <c r="B212" s="62" t="s">
        <v>328</v>
      </c>
      <c r="C212" s="46" t="s">
        <v>603</v>
      </c>
      <c r="D212" s="46" t="s">
        <v>649</v>
      </c>
      <c r="E212" s="46" t="s">
        <v>588</v>
      </c>
      <c r="F212" s="46" t="s">
        <v>5960</v>
      </c>
      <c r="H212" s="46" t="s">
        <v>722</v>
      </c>
      <c r="I212" s="46" t="s">
        <v>5962</v>
      </c>
      <c r="J212" s="49" t="s">
        <v>3370</v>
      </c>
      <c r="L212" s="63">
        <v>10</v>
      </c>
      <c r="M212" s="64">
        <v>124000</v>
      </c>
      <c r="N212" s="64">
        <v>186400</v>
      </c>
      <c r="O212" s="47" t="s">
        <v>2680</v>
      </c>
      <c r="P212" s="47" t="s">
        <v>5961</v>
      </c>
      <c r="Q212" s="62" t="s">
        <v>29</v>
      </c>
      <c r="R212" s="47" t="s">
        <v>5963</v>
      </c>
      <c r="U212" s="46" t="s">
        <v>491</v>
      </c>
      <c r="V212" s="46"/>
    </row>
    <row r="213" spans="1:23" ht="45" x14ac:dyDescent="0.25">
      <c r="A213" s="61">
        <v>42808</v>
      </c>
      <c r="B213" s="62" t="s">
        <v>569</v>
      </c>
      <c r="D213" s="46" t="s">
        <v>625</v>
      </c>
      <c r="E213" s="46" t="s">
        <v>821</v>
      </c>
      <c r="H213" s="46" t="s">
        <v>607</v>
      </c>
      <c r="O213" s="47" t="s">
        <v>3625</v>
      </c>
      <c r="P213" s="47" t="s">
        <v>5950</v>
      </c>
      <c r="Q213" s="62" t="s">
        <v>1939</v>
      </c>
      <c r="R213" s="47" t="s">
        <v>5951</v>
      </c>
      <c r="U213" s="46" t="s">
        <v>491</v>
      </c>
      <c r="V213" s="46"/>
    </row>
    <row r="214" spans="1:23" ht="45" x14ac:dyDescent="0.25">
      <c r="A214" s="61">
        <v>42808</v>
      </c>
      <c r="B214" s="62" t="s">
        <v>569</v>
      </c>
      <c r="D214" s="46" t="s">
        <v>625</v>
      </c>
      <c r="E214" s="46" t="s">
        <v>821</v>
      </c>
      <c r="F214" s="46" t="s">
        <v>5952</v>
      </c>
      <c r="H214" s="46" t="s">
        <v>607</v>
      </c>
      <c r="O214" s="47" t="s">
        <v>5953</v>
      </c>
      <c r="P214" s="47" t="s">
        <v>5954</v>
      </c>
      <c r="Q214" s="62" t="s">
        <v>1939</v>
      </c>
      <c r="R214" s="47" t="s">
        <v>5955</v>
      </c>
      <c r="U214" s="46" t="s">
        <v>491</v>
      </c>
      <c r="V214" s="46"/>
    </row>
    <row r="215" spans="1:23" ht="45" x14ac:dyDescent="0.25">
      <c r="A215" s="61">
        <v>42808</v>
      </c>
      <c r="B215" s="62" t="s">
        <v>5956</v>
      </c>
      <c r="D215" s="46" t="s">
        <v>1016</v>
      </c>
      <c r="E215" s="46" t="s">
        <v>588</v>
      </c>
      <c r="F215" s="46" t="s">
        <v>5958</v>
      </c>
      <c r="H215" s="46" t="s">
        <v>905</v>
      </c>
      <c r="M215" s="64">
        <v>560000</v>
      </c>
      <c r="O215" s="47" t="s">
        <v>2908</v>
      </c>
      <c r="P215" s="47" t="s">
        <v>5957</v>
      </c>
      <c r="Q215" s="62" t="s">
        <v>592</v>
      </c>
      <c r="U215" s="46" t="s">
        <v>491</v>
      </c>
      <c r="V215" s="46" t="s">
        <v>3985</v>
      </c>
      <c r="W215" s="47" t="s">
        <v>5959</v>
      </c>
    </row>
    <row r="216" spans="1:23" ht="45" x14ac:dyDescent="0.25">
      <c r="A216" s="61">
        <v>42809</v>
      </c>
      <c r="B216" s="62" t="s">
        <v>328</v>
      </c>
      <c r="C216" s="46" t="s">
        <v>603</v>
      </c>
      <c r="D216" s="46" t="s">
        <v>5701</v>
      </c>
      <c r="E216" s="46" t="s">
        <v>588</v>
      </c>
      <c r="F216" s="46" t="s">
        <v>5964</v>
      </c>
      <c r="H216" s="46" t="s">
        <v>607</v>
      </c>
      <c r="J216" s="49" t="s">
        <v>899</v>
      </c>
      <c r="L216" s="63">
        <v>9</v>
      </c>
      <c r="M216" s="64">
        <v>227614</v>
      </c>
      <c r="N216" s="64">
        <v>341375</v>
      </c>
      <c r="O216" s="47" t="s">
        <v>5965</v>
      </c>
      <c r="P216" s="47" t="s">
        <v>6305</v>
      </c>
      <c r="Q216" s="62" t="s">
        <v>620</v>
      </c>
      <c r="R216" s="47" t="s">
        <v>5986</v>
      </c>
      <c r="U216" s="46" t="s">
        <v>491</v>
      </c>
      <c r="V216" s="46"/>
    </row>
    <row r="217" spans="1:23" ht="45" x14ac:dyDescent="0.25">
      <c r="A217" s="61">
        <v>42809</v>
      </c>
      <c r="B217" s="62" t="s">
        <v>5473</v>
      </c>
      <c r="D217" s="46" t="s">
        <v>1495</v>
      </c>
      <c r="E217" s="46" t="s">
        <v>588</v>
      </c>
      <c r="F217" s="46" t="s">
        <v>5966</v>
      </c>
      <c r="H217" s="46" t="s">
        <v>886</v>
      </c>
      <c r="I217" s="46" t="s">
        <v>5967</v>
      </c>
      <c r="J217" s="49" t="s">
        <v>602</v>
      </c>
      <c r="M217" s="64">
        <v>492000</v>
      </c>
      <c r="N217" s="64">
        <v>642000</v>
      </c>
      <c r="O217" s="47" t="s">
        <v>5968</v>
      </c>
      <c r="P217" s="47" t="s">
        <v>6306</v>
      </c>
      <c r="Q217" s="62" t="s">
        <v>592</v>
      </c>
      <c r="U217" s="46" t="s">
        <v>491</v>
      </c>
      <c r="V217" s="46"/>
    </row>
    <row r="218" spans="1:23" ht="60" x14ac:dyDescent="0.25">
      <c r="A218" s="61">
        <v>42809</v>
      </c>
      <c r="B218" s="62" t="s">
        <v>569</v>
      </c>
      <c r="D218" s="46" t="s">
        <v>930</v>
      </c>
      <c r="E218" s="46" t="s">
        <v>588</v>
      </c>
      <c r="H218" s="46" t="s">
        <v>886</v>
      </c>
      <c r="M218" s="64">
        <v>1500000</v>
      </c>
      <c r="N218" s="64">
        <v>1650000</v>
      </c>
      <c r="O218" s="47" t="s">
        <v>5234</v>
      </c>
      <c r="P218" s="47" t="s">
        <v>5969</v>
      </c>
      <c r="Q218" s="62" t="s">
        <v>29</v>
      </c>
      <c r="R218" s="47" t="s">
        <v>5970</v>
      </c>
      <c r="U218" s="46" t="s">
        <v>491</v>
      </c>
      <c r="V218" s="46"/>
    </row>
    <row r="219" spans="1:23" ht="60" x14ac:dyDescent="0.25">
      <c r="A219" s="61">
        <v>42809</v>
      </c>
      <c r="B219" s="62" t="s">
        <v>569</v>
      </c>
      <c r="D219" s="46" t="s">
        <v>625</v>
      </c>
      <c r="E219" s="46" t="s">
        <v>588</v>
      </c>
      <c r="F219" s="46" t="s">
        <v>5971</v>
      </c>
      <c r="H219" s="46" t="s">
        <v>607</v>
      </c>
      <c r="I219" s="46" t="s">
        <v>5972</v>
      </c>
      <c r="J219" s="49" t="s">
        <v>899</v>
      </c>
      <c r="L219" s="63">
        <v>5</v>
      </c>
      <c r="M219" s="64">
        <v>302000</v>
      </c>
      <c r="N219" s="64">
        <v>1913000</v>
      </c>
      <c r="O219" s="47" t="s">
        <v>5973</v>
      </c>
      <c r="P219" s="47" t="s">
        <v>5974</v>
      </c>
      <c r="Q219" s="62" t="s">
        <v>1939</v>
      </c>
      <c r="R219" s="47" t="s">
        <v>5975</v>
      </c>
      <c r="U219" s="46" t="s">
        <v>491</v>
      </c>
      <c r="V219" s="46"/>
    </row>
    <row r="220" spans="1:23" ht="60" x14ac:dyDescent="0.25">
      <c r="A220" s="61">
        <v>42810</v>
      </c>
      <c r="B220" s="62" t="s">
        <v>328</v>
      </c>
      <c r="C220" s="46" t="s">
        <v>603</v>
      </c>
      <c r="D220" s="46" t="s">
        <v>2397</v>
      </c>
      <c r="E220" s="46" t="s">
        <v>588</v>
      </c>
      <c r="F220" s="46" t="s">
        <v>5976</v>
      </c>
      <c r="H220" s="46" t="s">
        <v>607</v>
      </c>
      <c r="I220" s="46" t="s">
        <v>5977</v>
      </c>
      <c r="J220" s="49" t="s">
        <v>899</v>
      </c>
      <c r="L220" s="63">
        <v>9</v>
      </c>
      <c r="M220" s="64">
        <v>300000</v>
      </c>
      <c r="N220" s="64">
        <v>540000</v>
      </c>
      <c r="O220" s="47" t="s">
        <v>2680</v>
      </c>
      <c r="P220" s="47" t="s">
        <v>5978</v>
      </c>
      <c r="Q220" s="62" t="s">
        <v>29</v>
      </c>
      <c r="R220" s="47" t="s">
        <v>5979</v>
      </c>
      <c r="U220" s="46" t="s">
        <v>491</v>
      </c>
      <c r="V220" s="46"/>
    </row>
    <row r="221" spans="1:23" ht="30" x14ac:dyDescent="0.25">
      <c r="A221" s="61">
        <v>42810</v>
      </c>
      <c r="B221" s="62" t="s">
        <v>328</v>
      </c>
      <c r="C221" s="46" t="s">
        <v>603</v>
      </c>
      <c r="D221" s="46" t="s">
        <v>5701</v>
      </c>
      <c r="E221" s="46" t="s">
        <v>588</v>
      </c>
      <c r="F221" s="46" t="s">
        <v>5985</v>
      </c>
      <c r="H221" s="46" t="s">
        <v>1391</v>
      </c>
      <c r="I221" s="46" t="s">
        <v>5412</v>
      </c>
      <c r="J221" s="49" t="s">
        <v>899</v>
      </c>
      <c r="L221" s="63">
        <v>3</v>
      </c>
      <c r="M221" s="64">
        <v>1300000</v>
      </c>
      <c r="N221" s="64">
        <v>2210000</v>
      </c>
      <c r="O221" s="47" t="s">
        <v>560</v>
      </c>
      <c r="P221" s="47" t="s">
        <v>5987</v>
      </c>
      <c r="Q221" s="62" t="s">
        <v>1939</v>
      </c>
      <c r="R221" s="47" t="s">
        <v>5988</v>
      </c>
      <c r="U221" s="46" t="s">
        <v>491</v>
      </c>
      <c r="V221" s="46"/>
    </row>
    <row r="222" spans="1:23" x14ac:dyDescent="0.25">
      <c r="A222" s="61">
        <v>42810</v>
      </c>
      <c r="B222" s="62" t="s">
        <v>328</v>
      </c>
      <c r="C222" s="46" t="s">
        <v>603</v>
      </c>
      <c r="D222" s="46" t="s">
        <v>5701</v>
      </c>
      <c r="E222" s="46" t="s">
        <v>588</v>
      </c>
      <c r="F222" s="46" t="s">
        <v>5989</v>
      </c>
      <c r="H222" s="46" t="s">
        <v>5321</v>
      </c>
      <c r="J222" s="49" t="s">
        <v>899</v>
      </c>
      <c r="M222" s="64">
        <v>408000</v>
      </c>
      <c r="N222" s="64">
        <v>611800</v>
      </c>
      <c r="O222" s="47" t="s">
        <v>5965</v>
      </c>
      <c r="Q222" s="62" t="s">
        <v>620</v>
      </c>
      <c r="R222" s="47" t="s">
        <v>5986</v>
      </c>
      <c r="U222" s="46" t="s">
        <v>491</v>
      </c>
      <c r="V222" s="46"/>
    </row>
    <row r="223" spans="1:23" x14ac:dyDescent="0.25">
      <c r="A223" s="61">
        <v>42810</v>
      </c>
      <c r="B223" s="62" t="s">
        <v>328</v>
      </c>
      <c r="C223" s="46" t="s">
        <v>603</v>
      </c>
      <c r="D223" s="46" t="s">
        <v>2397</v>
      </c>
      <c r="E223" s="46" t="s">
        <v>588</v>
      </c>
      <c r="F223" s="46" t="s">
        <v>5990</v>
      </c>
      <c r="H223" s="46" t="s">
        <v>5991</v>
      </c>
      <c r="J223" s="49" t="s">
        <v>899</v>
      </c>
      <c r="L223" s="63" t="s">
        <v>833</v>
      </c>
      <c r="M223" s="64">
        <v>240000</v>
      </c>
      <c r="N223" s="64">
        <v>360000</v>
      </c>
      <c r="O223" s="47" t="s">
        <v>5965</v>
      </c>
      <c r="Q223" s="62" t="s">
        <v>620</v>
      </c>
      <c r="R223" s="47" t="s">
        <v>5986</v>
      </c>
      <c r="U223" s="46" t="s">
        <v>491</v>
      </c>
      <c r="V223" s="46"/>
    </row>
    <row r="224" spans="1:23" ht="30" x14ac:dyDescent="0.25">
      <c r="A224" s="61">
        <v>42810</v>
      </c>
      <c r="B224" s="62" t="s">
        <v>5992</v>
      </c>
      <c r="C224" s="46" t="s">
        <v>608</v>
      </c>
      <c r="D224" s="46" t="s">
        <v>5270</v>
      </c>
      <c r="E224" s="46" t="s">
        <v>588</v>
      </c>
      <c r="F224" s="46" t="s">
        <v>5993</v>
      </c>
      <c r="H224" s="46" t="s">
        <v>607</v>
      </c>
      <c r="I224" s="46" t="s">
        <v>5630</v>
      </c>
      <c r="J224" s="49" t="s">
        <v>608</v>
      </c>
      <c r="L224" s="63">
        <v>5</v>
      </c>
      <c r="M224" s="64">
        <v>158300</v>
      </c>
      <c r="N224" s="64">
        <v>284940</v>
      </c>
      <c r="O224" s="47" t="s">
        <v>5994</v>
      </c>
      <c r="P224" s="47" t="s">
        <v>5995</v>
      </c>
      <c r="Q224" s="62" t="s">
        <v>592</v>
      </c>
      <c r="R224" s="47" t="s">
        <v>5996</v>
      </c>
      <c r="U224" s="46" t="s">
        <v>491</v>
      </c>
      <c r="V224" s="46"/>
    </row>
    <row r="225" spans="1:22" ht="45" x14ac:dyDescent="0.25">
      <c r="A225" s="61">
        <v>42810</v>
      </c>
      <c r="B225" s="62" t="s">
        <v>5176</v>
      </c>
      <c r="C225" s="46" t="s">
        <v>959</v>
      </c>
      <c r="D225" s="46" t="s">
        <v>732</v>
      </c>
      <c r="E225" s="46" t="s">
        <v>588</v>
      </c>
      <c r="F225" s="46" t="s">
        <v>5980</v>
      </c>
      <c r="H225" s="46" t="s">
        <v>905</v>
      </c>
      <c r="I225" s="46" t="s">
        <v>5981</v>
      </c>
      <c r="J225" s="49" t="s">
        <v>959</v>
      </c>
      <c r="O225" s="47" t="s">
        <v>5982</v>
      </c>
      <c r="P225" s="47" t="s">
        <v>5983</v>
      </c>
      <c r="Q225" s="62" t="s">
        <v>29</v>
      </c>
      <c r="R225" s="47" t="s">
        <v>5984</v>
      </c>
      <c r="U225" s="46" t="s">
        <v>491</v>
      </c>
      <c r="V225" s="46"/>
    </row>
    <row r="226" spans="1:22" ht="135" x14ac:dyDescent="0.25">
      <c r="A226" s="61">
        <v>42811</v>
      </c>
      <c r="B226" s="62" t="s">
        <v>328</v>
      </c>
      <c r="C226" s="46" t="s">
        <v>899</v>
      </c>
      <c r="D226" s="46" t="s">
        <v>672</v>
      </c>
      <c r="E226" s="46" t="s">
        <v>588</v>
      </c>
      <c r="F226" s="46" t="s">
        <v>6009</v>
      </c>
      <c r="H226" s="46" t="s">
        <v>6002</v>
      </c>
      <c r="J226" s="49" t="s">
        <v>899</v>
      </c>
      <c r="L226" s="63">
        <v>3</v>
      </c>
      <c r="M226" s="118">
        <v>950000</v>
      </c>
      <c r="N226" s="64">
        <v>1947000</v>
      </c>
      <c r="O226" s="47" t="s">
        <v>6008</v>
      </c>
      <c r="P226" s="85" t="s">
        <v>6007</v>
      </c>
      <c r="Q226" s="62" t="s">
        <v>1939</v>
      </c>
      <c r="R226" s="47" t="s">
        <v>6308</v>
      </c>
      <c r="U226" s="46" t="s">
        <v>1327</v>
      </c>
      <c r="V226" s="46"/>
    </row>
    <row r="227" spans="1:22" ht="75" x14ac:dyDescent="0.25">
      <c r="A227" s="61">
        <v>42811</v>
      </c>
      <c r="B227" s="62" t="s">
        <v>328</v>
      </c>
      <c r="C227" s="46" t="s">
        <v>603</v>
      </c>
      <c r="D227" s="46" t="s">
        <v>649</v>
      </c>
      <c r="E227" s="46" t="s">
        <v>588</v>
      </c>
      <c r="F227" s="46" t="s">
        <v>6018</v>
      </c>
      <c r="H227" s="46" t="s">
        <v>1819</v>
      </c>
      <c r="I227" s="46" t="s">
        <v>6016</v>
      </c>
      <c r="J227" s="49" t="s">
        <v>6015</v>
      </c>
      <c r="L227" s="63">
        <v>6</v>
      </c>
      <c r="M227" s="64">
        <v>75000</v>
      </c>
      <c r="N227" s="64">
        <v>92500</v>
      </c>
      <c r="O227" s="47" t="s">
        <v>1120</v>
      </c>
      <c r="P227" s="123" t="s">
        <v>6019</v>
      </c>
      <c r="Q227" s="62" t="s">
        <v>1939</v>
      </c>
      <c r="R227" s="47" t="s">
        <v>6017</v>
      </c>
      <c r="U227" s="46" t="s">
        <v>1327</v>
      </c>
      <c r="V227" s="46"/>
    </row>
    <row r="228" spans="1:22" ht="135" x14ac:dyDescent="0.25">
      <c r="A228" s="61">
        <v>42811</v>
      </c>
      <c r="B228" s="62" t="s">
        <v>569</v>
      </c>
      <c r="C228" s="46" t="s">
        <v>899</v>
      </c>
      <c r="D228" s="46" t="s">
        <v>625</v>
      </c>
      <c r="E228" s="46" t="s">
        <v>588</v>
      </c>
      <c r="F228" s="46" t="s">
        <v>5997</v>
      </c>
      <c r="H228" s="46" t="s">
        <v>607</v>
      </c>
      <c r="I228" s="46" t="s">
        <v>5998</v>
      </c>
      <c r="J228" s="49" t="s">
        <v>899</v>
      </c>
      <c r="L228" s="63">
        <v>2</v>
      </c>
      <c r="M228" s="119">
        <v>1600000</v>
      </c>
      <c r="N228" s="64">
        <v>2912000</v>
      </c>
      <c r="O228" s="47" t="s">
        <v>5999</v>
      </c>
      <c r="P228" s="123" t="s">
        <v>6000</v>
      </c>
      <c r="Q228" s="62" t="s">
        <v>1939</v>
      </c>
      <c r="R228" s="47" t="s">
        <v>6307</v>
      </c>
      <c r="U228" s="46" t="s">
        <v>1327</v>
      </c>
      <c r="V228" s="46"/>
    </row>
    <row r="229" spans="1:22" ht="135" x14ac:dyDescent="0.25">
      <c r="A229" s="61">
        <v>42811</v>
      </c>
      <c r="B229" s="62" t="s">
        <v>569</v>
      </c>
      <c r="C229" s="46" t="s">
        <v>899</v>
      </c>
      <c r="D229" s="46" t="s">
        <v>624</v>
      </c>
      <c r="E229" s="46" t="s">
        <v>588</v>
      </c>
      <c r="F229" s="46" t="s">
        <v>6001</v>
      </c>
      <c r="H229" s="46" t="s">
        <v>6002</v>
      </c>
      <c r="I229" s="46" t="s">
        <v>6003</v>
      </c>
      <c r="J229" s="49" t="s">
        <v>899</v>
      </c>
      <c r="L229" s="63">
        <v>4</v>
      </c>
      <c r="M229" s="64">
        <v>1091800</v>
      </c>
      <c r="N229" s="119">
        <v>2074420</v>
      </c>
      <c r="O229" s="47" t="s">
        <v>6005</v>
      </c>
      <c r="P229" s="47" t="s">
        <v>6004</v>
      </c>
      <c r="Q229" s="62" t="s">
        <v>1939</v>
      </c>
      <c r="R229" s="47" t="s">
        <v>6006</v>
      </c>
      <c r="U229" s="46" t="s">
        <v>1327</v>
      </c>
      <c r="V229" s="46"/>
    </row>
    <row r="230" spans="1:22" ht="30" x14ac:dyDescent="0.25">
      <c r="A230" s="61">
        <v>42811</v>
      </c>
      <c r="B230" s="62" t="s">
        <v>569</v>
      </c>
      <c r="C230" s="46" t="s">
        <v>899</v>
      </c>
      <c r="D230" s="46" t="s">
        <v>732</v>
      </c>
      <c r="E230" s="46" t="s">
        <v>588</v>
      </c>
      <c r="F230" s="46" t="s">
        <v>6010</v>
      </c>
      <c r="H230" s="46" t="s">
        <v>6011</v>
      </c>
      <c r="I230" s="46" t="s">
        <v>6012</v>
      </c>
      <c r="J230" s="49" t="s">
        <v>899</v>
      </c>
      <c r="L230" s="63">
        <v>3</v>
      </c>
      <c r="M230" s="64">
        <v>1622000</v>
      </c>
      <c r="N230" s="120">
        <v>2308600</v>
      </c>
      <c r="O230" s="47" t="s">
        <v>6008</v>
      </c>
      <c r="P230" s="85" t="s">
        <v>6013</v>
      </c>
      <c r="Q230" s="62" t="s">
        <v>592</v>
      </c>
      <c r="R230" s="47" t="s">
        <v>6014</v>
      </c>
      <c r="U230" s="46" t="s">
        <v>1327</v>
      </c>
      <c r="V230" s="46"/>
    </row>
    <row r="231" spans="1:22" ht="60" x14ac:dyDescent="0.25">
      <c r="A231" s="61">
        <v>42811</v>
      </c>
      <c r="B231" s="62" t="s">
        <v>569</v>
      </c>
      <c r="C231" s="46" t="s">
        <v>899</v>
      </c>
      <c r="D231" s="46" t="s">
        <v>625</v>
      </c>
      <c r="E231" s="46" t="s">
        <v>588</v>
      </c>
      <c r="F231" s="46" t="s">
        <v>6020</v>
      </c>
      <c r="H231" s="46" t="s">
        <v>6021</v>
      </c>
      <c r="I231" s="46" t="s">
        <v>2054</v>
      </c>
      <c r="J231" s="49" t="s">
        <v>899</v>
      </c>
      <c r="M231" s="64">
        <v>369000</v>
      </c>
      <c r="N231" s="64">
        <v>904050</v>
      </c>
      <c r="O231" s="47" t="s">
        <v>3952</v>
      </c>
      <c r="P231" s="47" t="s">
        <v>6022</v>
      </c>
      <c r="Q231" s="62" t="s">
        <v>1939</v>
      </c>
      <c r="R231" s="47" t="s">
        <v>6023</v>
      </c>
      <c r="U231" s="46" t="s">
        <v>1327</v>
      </c>
      <c r="V231" s="46"/>
    </row>
    <row r="232" spans="1:22" ht="45" x14ac:dyDescent="0.25">
      <c r="A232" s="61">
        <v>42815</v>
      </c>
      <c r="B232" s="62" t="s">
        <v>328</v>
      </c>
      <c r="C232" s="46" t="s">
        <v>603</v>
      </c>
      <c r="D232" s="46" t="s">
        <v>5701</v>
      </c>
      <c r="E232" s="46" t="s">
        <v>588</v>
      </c>
      <c r="F232" s="46" t="s">
        <v>6035</v>
      </c>
      <c r="H232" s="46" t="s">
        <v>722</v>
      </c>
      <c r="I232" s="46" t="s">
        <v>6036</v>
      </c>
      <c r="J232" s="49" t="s">
        <v>6015</v>
      </c>
      <c r="L232" s="63">
        <v>10</v>
      </c>
      <c r="M232" s="64">
        <v>289000</v>
      </c>
      <c r="N232" s="64">
        <v>375000</v>
      </c>
      <c r="O232" s="47" t="s">
        <v>2680</v>
      </c>
      <c r="P232" s="47" t="s">
        <v>6037</v>
      </c>
      <c r="Q232" s="62" t="s">
        <v>29</v>
      </c>
      <c r="R232" s="47" t="s">
        <v>6038</v>
      </c>
      <c r="U232" s="46" t="s">
        <v>491</v>
      </c>
      <c r="V232" s="46"/>
    </row>
    <row r="233" spans="1:22" ht="30" x14ac:dyDescent="0.25">
      <c r="A233" s="61">
        <v>42815</v>
      </c>
      <c r="B233" s="62" t="s">
        <v>5473</v>
      </c>
      <c r="D233" s="46" t="s">
        <v>1495</v>
      </c>
      <c r="E233" s="46" t="s">
        <v>588</v>
      </c>
      <c r="F233" s="46" t="s">
        <v>6046</v>
      </c>
      <c r="H233" s="46" t="s">
        <v>607</v>
      </c>
      <c r="I233" s="46" t="s">
        <v>3809</v>
      </c>
      <c r="J233" s="49" t="s">
        <v>602</v>
      </c>
      <c r="O233" s="47" t="s">
        <v>5190</v>
      </c>
      <c r="P233" s="47" t="s">
        <v>6047</v>
      </c>
      <c r="Q233" s="62" t="s">
        <v>620</v>
      </c>
      <c r="R233" s="47" t="s">
        <v>6048</v>
      </c>
      <c r="U233" s="46" t="s">
        <v>491</v>
      </c>
      <c r="V233" s="46"/>
    </row>
    <row r="234" spans="1:22" ht="30" x14ac:dyDescent="0.25">
      <c r="A234" s="61">
        <v>42815</v>
      </c>
      <c r="B234" s="62" t="s">
        <v>5176</v>
      </c>
      <c r="D234" s="46" t="s">
        <v>595</v>
      </c>
      <c r="E234" s="46" t="s">
        <v>821</v>
      </c>
      <c r="H234" s="46" t="s">
        <v>607</v>
      </c>
      <c r="J234" s="49" t="s">
        <v>604</v>
      </c>
      <c r="O234" s="47" t="s">
        <v>1033</v>
      </c>
      <c r="P234" s="47" t="s">
        <v>6024</v>
      </c>
      <c r="Q234" s="62" t="s">
        <v>29</v>
      </c>
      <c r="R234" s="47" t="s">
        <v>6025</v>
      </c>
      <c r="U234" s="46" t="s">
        <v>491</v>
      </c>
      <c r="V234" s="46"/>
    </row>
    <row r="235" spans="1:22" ht="30" x14ac:dyDescent="0.25">
      <c r="A235" s="61">
        <v>42815</v>
      </c>
      <c r="B235" s="62" t="s">
        <v>569</v>
      </c>
      <c r="D235" s="46" t="s">
        <v>625</v>
      </c>
      <c r="E235" s="46" t="s">
        <v>821</v>
      </c>
      <c r="J235" s="49" t="s">
        <v>899</v>
      </c>
      <c r="O235" s="47" t="s">
        <v>6026</v>
      </c>
      <c r="P235" s="47" t="s">
        <v>6028</v>
      </c>
      <c r="Q235" s="62" t="s">
        <v>592</v>
      </c>
      <c r="R235" s="47" t="s">
        <v>6029</v>
      </c>
      <c r="U235" s="46" t="s">
        <v>491</v>
      </c>
      <c r="V235" s="46"/>
    </row>
    <row r="236" spans="1:22" ht="60" x14ac:dyDescent="0.25">
      <c r="A236" s="61">
        <v>42815</v>
      </c>
      <c r="B236" s="62" t="s">
        <v>569</v>
      </c>
      <c r="D236" s="46" t="s">
        <v>625</v>
      </c>
      <c r="E236" s="46" t="s">
        <v>821</v>
      </c>
      <c r="F236" s="46" t="s">
        <v>6033</v>
      </c>
      <c r="H236" s="46" t="s">
        <v>833</v>
      </c>
      <c r="I236" s="46" t="s">
        <v>6034</v>
      </c>
      <c r="J236" s="49" t="s">
        <v>899</v>
      </c>
      <c r="O236" s="47" t="s">
        <v>639</v>
      </c>
      <c r="P236" s="47" t="s">
        <v>6030</v>
      </c>
      <c r="Q236" s="62" t="s">
        <v>1939</v>
      </c>
      <c r="R236" s="47" t="s">
        <v>6031</v>
      </c>
      <c r="U236" s="46" t="s">
        <v>491</v>
      </c>
      <c r="V236" s="46"/>
    </row>
    <row r="237" spans="1:22" ht="120" x14ac:dyDescent="0.25">
      <c r="A237" s="61">
        <v>42815</v>
      </c>
      <c r="B237" s="62" t="s">
        <v>569</v>
      </c>
      <c r="D237" s="46" t="s">
        <v>625</v>
      </c>
      <c r="E237" s="46" t="s">
        <v>821</v>
      </c>
      <c r="F237" s="46" t="s">
        <v>6055</v>
      </c>
      <c r="H237" s="46" t="s">
        <v>905</v>
      </c>
      <c r="I237" s="46" t="s">
        <v>4553</v>
      </c>
      <c r="J237" s="49" t="s">
        <v>899</v>
      </c>
      <c r="O237" s="47" t="s">
        <v>6027</v>
      </c>
      <c r="P237" s="47" t="s">
        <v>6032</v>
      </c>
      <c r="Q237" s="62" t="s">
        <v>1939</v>
      </c>
      <c r="R237" s="47" t="s">
        <v>6056</v>
      </c>
      <c r="U237" s="46" t="s">
        <v>491</v>
      </c>
      <c r="V237" s="46"/>
    </row>
    <row r="238" spans="1:22" ht="75" x14ac:dyDescent="0.25">
      <c r="A238" s="61">
        <v>42815</v>
      </c>
      <c r="B238" s="62" t="s">
        <v>643</v>
      </c>
      <c r="C238" s="46" t="s">
        <v>644</v>
      </c>
      <c r="D238" s="46" t="s">
        <v>645</v>
      </c>
      <c r="E238" s="46" t="s">
        <v>588</v>
      </c>
      <c r="F238" s="46" t="s">
        <v>6039</v>
      </c>
      <c r="H238" s="46" t="s">
        <v>722</v>
      </c>
      <c r="I238" s="46" t="s">
        <v>5626</v>
      </c>
      <c r="J238" s="49" t="s">
        <v>644</v>
      </c>
      <c r="L238" s="63">
        <v>10</v>
      </c>
      <c r="M238" s="64">
        <v>95000</v>
      </c>
      <c r="N238" s="64">
        <v>160000</v>
      </c>
      <c r="O238" s="47" t="s">
        <v>2680</v>
      </c>
      <c r="P238" s="47" t="s">
        <v>6040</v>
      </c>
      <c r="Q238" s="62" t="s">
        <v>1939</v>
      </c>
      <c r="R238" s="47" t="s">
        <v>6041</v>
      </c>
      <c r="U238" s="46" t="s">
        <v>491</v>
      </c>
      <c r="V238" s="46"/>
    </row>
    <row r="239" spans="1:22" ht="90" x14ac:dyDescent="0.25">
      <c r="A239" s="61">
        <v>42815</v>
      </c>
      <c r="B239" s="62" t="s">
        <v>643</v>
      </c>
      <c r="C239" s="46" t="s">
        <v>644</v>
      </c>
      <c r="D239" s="46" t="s">
        <v>645</v>
      </c>
      <c r="E239" s="46" t="s">
        <v>588</v>
      </c>
      <c r="F239" s="46" t="s">
        <v>6042</v>
      </c>
      <c r="H239" s="46" t="s">
        <v>722</v>
      </c>
      <c r="I239" s="46" t="s">
        <v>6043</v>
      </c>
      <c r="J239" s="49" t="s">
        <v>644</v>
      </c>
      <c r="L239" s="63">
        <v>10</v>
      </c>
      <c r="M239" s="64">
        <v>100000</v>
      </c>
      <c r="N239" s="64">
        <v>180000</v>
      </c>
      <c r="O239" s="47" t="s">
        <v>6044</v>
      </c>
      <c r="P239" s="47" t="s">
        <v>6045</v>
      </c>
      <c r="Q239" s="62" t="s">
        <v>592</v>
      </c>
      <c r="U239" s="46" t="s">
        <v>491</v>
      </c>
      <c r="V239" s="46"/>
    </row>
    <row r="240" spans="1:22" ht="45" x14ac:dyDescent="0.25">
      <c r="A240" s="61">
        <v>42816</v>
      </c>
      <c r="B240" s="62" t="s">
        <v>110</v>
      </c>
      <c r="C240" s="46" t="s">
        <v>761</v>
      </c>
      <c r="D240" s="46" t="s">
        <v>715</v>
      </c>
      <c r="E240" s="46" t="s">
        <v>588</v>
      </c>
      <c r="F240" s="46" t="s">
        <v>6049</v>
      </c>
      <c r="H240" s="46" t="s">
        <v>607</v>
      </c>
      <c r="I240" s="46" t="s">
        <v>6050</v>
      </c>
      <c r="J240" s="49" t="s">
        <v>761</v>
      </c>
      <c r="L240" s="63">
        <v>10</v>
      </c>
      <c r="M240" s="64">
        <v>275000</v>
      </c>
      <c r="N240" s="64">
        <v>467500</v>
      </c>
      <c r="O240" s="47" t="s">
        <v>764</v>
      </c>
      <c r="P240" s="47" t="s">
        <v>6051</v>
      </c>
      <c r="Q240" s="62" t="s">
        <v>592</v>
      </c>
      <c r="U240" s="46" t="s">
        <v>491</v>
      </c>
      <c r="V240" s="46"/>
    </row>
    <row r="241" spans="1:22" ht="60" x14ac:dyDescent="0.25">
      <c r="A241" s="61">
        <v>42816</v>
      </c>
      <c r="B241" s="62" t="s">
        <v>328</v>
      </c>
      <c r="C241" s="46" t="s">
        <v>603</v>
      </c>
      <c r="D241" s="46" t="s">
        <v>1401</v>
      </c>
      <c r="E241" s="46" t="s">
        <v>588</v>
      </c>
      <c r="F241" s="46" t="s">
        <v>6057</v>
      </c>
      <c r="H241" s="46" t="s">
        <v>3095</v>
      </c>
      <c r="I241" s="46" t="s">
        <v>5390</v>
      </c>
      <c r="J241" s="49" t="s">
        <v>959</v>
      </c>
      <c r="O241" s="47" t="s">
        <v>1033</v>
      </c>
      <c r="P241" s="47" t="s">
        <v>6058</v>
      </c>
      <c r="Q241" s="62" t="s">
        <v>620</v>
      </c>
      <c r="R241" s="47" t="s">
        <v>6059</v>
      </c>
      <c r="U241" s="46" t="s">
        <v>491</v>
      </c>
      <c r="V241" s="46"/>
    </row>
    <row r="242" spans="1:22" ht="120.75" x14ac:dyDescent="0.25">
      <c r="A242" s="61">
        <v>42816</v>
      </c>
      <c r="B242" s="62" t="s">
        <v>328</v>
      </c>
      <c r="C242" s="46" t="s">
        <v>603</v>
      </c>
      <c r="D242" s="46" t="s">
        <v>5701</v>
      </c>
      <c r="E242" s="46" t="s">
        <v>588</v>
      </c>
      <c r="F242" s="46" t="s">
        <v>6063</v>
      </c>
      <c r="H242" s="46" t="s">
        <v>607</v>
      </c>
      <c r="I242" s="46" t="s">
        <v>3793</v>
      </c>
      <c r="J242" s="49" t="s">
        <v>899</v>
      </c>
      <c r="L242" s="63">
        <v>10</v>
      </c>
      <c r="M242" s="64">
        <v>1051000</v>
      </c>
      <c r="N242" s="64">
        <v>2181600</v>
      </c>
      <c r="O242" s="47" t="s">
        <v>560</v>
      </c>
      <c r="P242" s="47" t="s">
        <v>6064</v>
      </c>
      <c r="Q242" s="62" t="s">
        <v>1939</v>
      </c>
      <c r="R242" s="86" t="s">
        <v>6065</v>
      </c>
      <c r="U242" s="46" t="s">
        <v>491</v>
      </c>
      <c r="V242" s="46"/>
    </row>
    <row r="243" spans="1:22" ht="30" x14ac:dyDescent="0.25">
      <c r="A243" s="61">
        <v>42816</v>
      </c>
      <c r="B243" s="62" t="s">
        <v>328</v>
      </c>
      <c r="C243" s="46" t="s">
        <v>603</v>
      </c>
      <c r="D243" s="46" t="s">
        <v>2397</v>
      </c>
      <c r="E243" s="46" t="s">
        <v>588</v>
      </c>
      <c r="F243" s="46" t="s">
        <v>6066</v>
      </c>
      <c r="H243" s="46" t="s">
        <v>607</v>
      </c>
      <c r="I243" s="46" t="s">
        <v>2054</v>
      </c>
      <c r="J243" s="49" t="s">
        <v>899</v>
      </c>
      <c r="L243" s="63">
        <v>1</v>
      </c>
      <c r="M243" s="64">
        <v>2280000</v>
      </c>
      <c r="N243" s="64">
        <v>3876000</v>
      </c>
      <c r="O243" s="47" t="s">
        <v>560</v>
      </c>
      <c r="P243" s="47" t="s">
        <v>6067</v>
      </c>
      <c r="Q243" s="62" t="s">
        <v>1939</v>
      </c>
      <c r="R243" s="47" t="s">
        <v>6068</v>
      </c>
      <c r="U243" s="46" t="s">
        <v>491</v>
      </c>
      <c r="V243" s="46"/>
    </row>
    <row r="244" spans="1:22" ht="60" x14ac:dyDescent="0.25">
      <c r="A244" s="61">
        <v>42816</v>
      </c>
      <c r="B244" s="62" t="s">
        <v>5176</v>
      </c>
      <c r="C244" s="46" t="s">
        <v>604</v>
      </c>
      <c r="D244" s="46" t="s">
        <v>595</v>
      </c>
      <c r="E244" s="46" t="s">
        <v>588</v>
      </c>
      <c r="H244" s="46" t="s">
        <v>886</v>
      </c>
      <c r="J244" s="49" t="s">
        <v>3368</v>
      </c>
      <c r="M244" s="64">
        <v>145000</v>
      </c>
      <c r="O244" s="47" t="s">
        <v>6069</v>
      </c>
      <c r="P244" s="47" t="s">
        <v>6122</v>
      </c>
      <c r="Q244" s="62" t="s">
        <v>1612</v>
      </c>
      <c r="R244" s="47" t="s">
        <v>6309</v>
      </c>
      <c r="U244" s="46" t="s">
        <v>491</v>
      </c>
      <c r="V244" s="46"/>
    </row>
    <row r="245" spans="1:22" ht="45" x14ac:dyDescent="0.25">
      <c r="A245" s="61">
        <v>42816</v>
      </c>
      <c r="B245" s="62" t="s">
        <v>569</v>
      </c>
      <c r="D245" s="46" t="s">
        <v>625</v>
      </c>
      <c r="E245" s="46" t="s">
        <v>588</v>
      </c>
      <c r="F245" s="46" t="s">
        <v>6052</v>
      </c>
      <c r="H245" s="46" t="s">
        <v>905</v>
      </c>
      <c r="I245" s="46" t="s">
        <v>2054</v>
      </c>
      <c r="J245" s="49" t="s">
        <v>899</v>
      </c>
      <c r="L245" s="63">
        <v>3</v>
      </c>
      <c r="M245" s="64">
        <v>2600000</v>
      </c>
      <c r="N245" s="64">
        <v>3200000</v>
      </c>
      <c r="O245" s="47" t="s">
        <v>560</v>
      </c>
      <c r="P245" s="47" t="s">
        <v>6053</v>
      </c>
      <c r="Q245" s="62" t="s">
        <v>1939</v>
      </c>
      <c r="R245" s="47" t="s">
        <v>6054</v>
      </c>
      <c r="U245" s="46" t="s">
        <v>491</v>
      </c>
      <c r="V245" s="46"/>
    </row>
    <row r="246" spans="1:22" ht="30" x14ac:dyDescent="0.25">
      <c r="A246" s="61">
        <v>42816</v>
      </c>
      <c r="B246" s="62" t="s">
        <v>569</v>
      </c>
      <c r="D246" s="46" t="s">
        <v>625</v>
      </c>
      <c r="E246" s="46" t="s">
        <v>588</v>
      </c>
      <c r="F246" s="46" t="s">
        <v>6060</v>
      </c>
      <c r="H246" s="46" t="s">
        <v>1391</v>
      </c>
      <c r="I246" s="46" t="s">
        <v>6061</v>
      </c>
      <c r="J246" s="49" t="s">
        <v>899</v>
      </c>
      <c r="L246" s="63">
        <v>4</v>
      </c>
      <c r="M246" s="64">
        <v>993000</v>
      </c>
      <c r="N246" s="64">
        <v>1600000</v>
      </c>
      <c r="O246" s="47" t="s">
        <v>1445</v>
      </c>
      <c r="P246" s="47" t="s">
        <v>6062</v>
      </c>
      <c r="Q246" s="62" t="s">
        <v>592</v>
      </c>
      <c r="U246" s="46" t="s">
        <v>491</v>
      </c>
      <c r="V246" s="46"/>
    </row>
    <row r="247" spans="1:22" ht="60" x14ac:dyDescent="0.25">
      <c r="A247" s="61">
        <v>42817</v>
      </c>
      <c r="B247" s="62" t="s">
        <v>328</v>
      </c>
      <c r="C247" s="46" t="s">
        <v>603</v>
      </c>
      <c r="D247" s="46" t="s">
        <v>649</v>
      </c>
      <c r="E247" s="46" t="s">
        <v>588</v>
      </c>
      <c r="F247" s="46" t="s">
        <v>6082</v>
      </c>
      <c r="H247" s="46" t="s">
        <v>607</v>
      </c>
      <c r="J247" s="49" t="s">
        <v>899</v>
      </c>
      <c r="M247" s="64">
        <v>2335000</v>
      </c>
      <c r="N247" s="64">
        <v>4161000</v>
      </c>
      <c r="O247" s="47" t="s">
        <v>560</v>
      </c>
      <c r="P247" s="47" t="s">
        <v>6083</v>
      </c>
      <c r="Q247" s="62" t="s">
        <v>1939</v>
      </c>
      <c r="R247" s="47" t="s">
        <v>6084</v>
      </c>
      <c r="U247" s="46" t="s">
        <v>491</v>
      </c>
      <c r="V247" s="46"/>
    </row>
    <row r="248" spans="1:22" ht="30" x14ac:dyDescent="0.25">
      <c r="A248" s="61">
        <v>42817</v>
      </c>
      <c r="B248" s="62" t="s">
        <v>328</v>
      </c>
      <c r="C248" s="46" t="s">
        <v>603</v>
      </c>
      <c r="D248" s="46" t="s">
        <v>649</v>
      </c>
      <c r="E248" s="46" t="s">
        <v>588</v>
      </c>
      <c r="F248" s="46" t="s">
        <v>6085</v>
      </c>
      <c r="H248" s="46" t="s">
        <v>2074</v>
      </c>
      <c r="I248" s="46" t="s">
        <v>6088</v>
      </c>
      <c r="J248" s="49" t="s">
        <v>899</v>
      </c>
      <c r="L248" s="63">
        <v>5</v>
      </c>
      <c r="M248" s="64">
        <v>2100000</v>
      </c>
      <c r="N248" s="64">
        <v>3710000</v>
      </c>
      <c r="O248" s="47" t="s">
        <v>6086</v>
      </c>
      <c r="P248" s="47" t="s">
        <v>6087</v>
      </c>
      <c r="Q248" s="62" t="s">
        <v>1939</v>
      </c>
      <c r="R248" s="47" t="s">
        <v>6089</v>
      </c>
      <c r="U248" s="46" t="s">
        <v>491</v>
      </c>
      <c r="V248" s="46"/>
    </row>
    <row r="249" spans="1:22" ht="45" x14ac:dyDescent="0.25">
      <c r="A249" s="61">
        <v>42817</v>
      </c>
      <c r="B249" s="62" t="s">
        <v>328</v>
      </c>
      <c r="C249" s="46" t="s">
        <v>603</v>
      </c>
      <c r="D249" s="46" t="s">
        <v>649</v>
      </c>
      <c r="E249" s="46" t="s">
        <v>588</v>
      </c>
      <c r="F249" s="46" t="s">
        <v>6091</v>
      </c>
      <c r="H249" s="46" t="s">
        <v>607</v>
      </c>
      <c r="I249" s="46" t="s">
        <v>3793</v>
      </c>
      <c r="J249" s="49" t="s">
        <v>899</v>
      </c>
      <c r="L249" s="63">
        <v>10</v>
      </c>
      <c r="M249" s="64">
        <v>1084000</v>
      </c>
      <c r="N249" s="64">
        <v>1700000</v>
      </c>
      <c r="O249" s="47" t="s">
        <v>764</v>
      </c>
      <c r="P249" s="47" t="s">
        <v>6090</v>
      </c>
      <c r="Q249" s="62" t="s">
        <v>592</v>
      </c>
      <c r="U249" s="46" t="s">
        <v>491</v>
      </c>
      <c r="V249" s="46"/>
    </row>
    <row r="250" spans="1:22" ht="150" x14ac:dyDescent="0.25">
      <c r="A250" s="61">
        <v>42817</v>
      </c>
      <c r="B250" s="62" t="s">
        <v>569</v>
      </c>
      <c r="C250" s="46" t="s">
        <v>899</v>
      </c>
      <c r="D250" s="46" t="s">
        <v>930</v>
      </c>
      <c r="E250" s="46" t="s">
        <v>588</v>
      </c>
      <c r="F250" s="46" t="s">
        <v>6075</v>
      </c>
      <c r="H250" s="46" t="s">
        <v>607</v>
      </c>
      <c r="I250" s="46" t="s">
        <v>6092</v>
      </c>
      <c r="J250" s="49" t="s">
        <v>899</v>
      </c>
      <c r="L250" s="63">
        <v>4</v>
      </c>
      <c r="M250" s="64">
        <v>380000</v>
      </c>
      <c r="N250" s="64">
        <v>760000</v>
      </c>
      <c r="O250" s="47" t="s">
        <v>695</v>
      </c>
      <c r="P250" s="47" t="s">
        <v>6093</v>
      </c>
      <c r="Q250" s="62" t="s">
        <v>1939</v>
      </c>
      <c r="R250" s="47" t="s">
        <v>6094</v>
      </c>
      <c r="U250" s="46" t="s">
        <v>491</v>
      </c>
      <c r="V250" s="46"/>
    </row>
    <row r="251" spans="1:22" ht="45" x14ac:dyDescent="0.25">
      <c r="A251" s="61">
        <v>42817</v>
      </c>
      <c r="B251" s="62" t="s">
        <v>6076</v>
      </c>
      <c r="C251" s="46" t="s">
        <v>3370</v>
      </c>
      <c r="D251" s="46" t="s">
        <v>2836</v>
      </c>
      <c r="E251" s="46" t="s">
        <v>588</v>
      </c>
      <c r="F251" s="46" t="s">
        <v>6077</v>
      </c>
      <c r="H251" s="46" t="s">
        <v>722</v>
      </c>
      <c r="I251" s="46" t="s">
        <v>6078</v>
      </c>
      <c r="J251" s="49" t="s">
        <v>3370</v>
      </c>
      <c r="M251" s="64">
        <v>500000</v>
      </c>
      <c r="O251" s="47" t="s">
        <v>6079</v>
      </c>
      <c r="P251" s="47" t="s">
        <v>6080</v>
      </c>
      <c r="Q251" s="62" t="s">
        <v>592</v>
      </c>
      <c r="R251" s="47" t="s">
        <v>6081</v>
      </c>
      <c r="U251" s="46" t="s">
        <v>491</v>
      </c>
      <c r="V251" s="46"/>
    </row>
    <row r="252" spans="1:22" ht="60" x14ac:dyDescent="0.25">
      <c r="A252" s="61">
        <v>42817</v>
      </c>
      <c r="B252" s="62" t="s">
        <v>643</v>
      </c>
      <c r="C252" s="46" t="s">
        <v>644</v>
      </c>
      <c r="D252" s="46" t="s">
        <v>645</v>
      </c>
      <c r="E252" s="46" t="s">
        <v>588</v>
      </c>
      <c r="F252" s="46" t="s">
        <v>6070</v>
      </c>
      <c r="H252" s="46" t="s">
        <v>905</v>
      </c>
      <c r="I252" s="46" t="s">
        <v>6071</v>
      </c>
      <c r="J252" s="49" t="s">
        <v>644</v>
      </c>
      <c r="M252" s="64">
        <v>1933200</v>
      </c>
      <c r="N252" s="64">
        <v>2240172</v>
      </c>
      <c r="O252" s="47" t="s">
        <v>6072</v>
      </c>
      <c r="P252" s="47" t="s">
        <v>6073</v>
      </c>
      <c r="Q252" s="62" t="s">
        <v>1939</v>
      </c>
      <c r="R252" s="47" t="s">
        <v>6074</v>
      </c>
      <c r="U252" s="46" t="s">
        <v>491</v>
      </c>
      <c r="V252" s="46"/>
    </row>
    <row r="253" spans="1:22" ht="45" x14ac:dyDescent="0.25">
      <c r="A253" s="61">
        <v>42818</v>
      </c>
      <c r="B253" s="62" t="s">
        <v>328</v>
      </c>
      <c r="C253" s="46" t="s">
        <v>899</v>
      </c>
      <c r="D253" s="46" t="s">
        <v>649</v>
      </c>
      <c r="E253" s="46" t="s">
        <v>588</v>
      </c>
      <c r="F253" s="46" t="s">
        <v>6098</v>
      </c>
      <c r="H253" s="46" t="s">
        <v>1626</v>
      </c>
      <c r="I253" s="46" t="s">
        <v>6099</v>
      </c>
      <c r="J253" s="49" t="s">
        <v>899</v>
      </c>
      <c r="L253" s="63">
        <v>4</v>
      </c>
      <c r="M253" s="64">
        <v>912000</v>
      </c>
      <c r="N253" s="64">
        <v>1120000</v>
      </c>
      <c r="O253" s="47" t="s">
        <v>6100</v>
      </c>
      <c r="P253" s="47" t="s">
        <v>6101</v>
      </c>
      <c r="Q253" s="62" t="s">
        <v>29</v>
      </c>
      <c r="R253" s="47" t="s">
        <v>6102</v>
      </c>
      <c r="U253" s="46" t="s">
        <v>491</v>
      </c>
      <c r="V253" s="46"/>
    </row>
    <row r="254" spans="1:22" ht="45" x14ac:dyDescent="0.25">
      <c r="A254" s="61">
        <v>42818</v>
      </c>
      <c r="B254" s="62" t="s">
        <v>328</v>
      </c>
      <c r="C254" s="46" t="s">
        <v>603</v>
      </c>
      <c r="D254" s="46" t="s">
        <v>1401</v>
      </c>
      <c r="E254" s="46" t="s">
        <v>588</v>
      </c>
      <c r="F254" s="46" t="s">
        <v>6103</v>
      </c>
      <c r="H254" s="46" t="s">
        <v>6104</v>
      </c>
      <c r="J254" s="49" t="s">
        <v>3533</v>
      </c>
      <c r="O254" s="47" t="s">
        <v>6105</v>
      </c>
      <c r="P254" s="47" t="s">
        <v>6106</v>
      </c>
      <c r="Q254" s="62" t="s">
        <v>592</v>
      </c>
      <c r="R254" s="47" t="s">
        <v>6107</v>
      </c>
      <c r="U254" s="46" t="s">
        <v>491</v>
      </c>
      <c r="V254" s="46"/>
    </row>
    <row r="255" spans="1:22" ht="45" x14ac:dyDescent="0.25">
      <c r="A255" s="61">
        <v>42818</v>
      </c>
      <c r="B255" s="62" t="s">
        <v>328</v>
      </c>
      <c r="C255" s="46" t="s">
        <v>603</v>
      </c>
      <c r="D255" s="46" t="s">
        <v>1401</v>
      </c>
      <c r="E255" s="46" t="s">
        <v>588</v>
      </c>
      <c r="F255" s="46" t="s">
        <v>6108</v>
      </c>
      <c r="H255" s="46" t="s">
        <v>607</v>
      </c>
      <c r="I255" s="46" t="s">
        <v>6109</v>
      </c>
      <c r="J255" s="49" t="s">
        <v>4785</v>
      </c>
      <c r="M255" s="64">
        <v>450000</v>
      </c>
      <c r="N255" s="64">
        <v>640000</v>
      </c>
      <c r="O255" s="47" t="s">
        <v>3952</v>
      </c>
      <c r="P255" s="47" t="s">
        <v>6110</v>
      </c>
      <c r="Q255" s="62" t="s">
        <v>1939</v>
      </c>
      <c r="R255" s="47" t="s">
        <v>6111</v>
      </c>
      <c r="U255" s="46" t="s">
        <v>491</v>
      </c>
      <c r="V255" s="46"/>
    </row>
    <row r="256" spans="1:22" ht="60" x14ac:dyDescent="0.25">
      <c r="A256" s="61">
        <v>42818</v>
      </c>
      <c r="B256" s="62" t="s">
        <v>569</v>
      </c>
      <c r="C256" s="46" t="s">
        <v>899</v>
      </c>
      <c r="D256" s="46" t="s">
        <v>625</v>
      </c>
      <c r="E256" s="46" t="s">
        <v>588</v>
      </c>
      <c r="F256" s="46" t="s">
        <v>6095</v>
      </c>
      <c r="H256" s="46" t="s">
        <v>607</v>
      </c>
      <c r="I256" s="46" t="s">
        <v>3649</v>
      </c>
      <c r="J256" s="49" t="s">
        <v>899</v>
      </c>
      <c r="L256" s="63">
        <v>10</v>
      </c>
      <c r="M256" s="64">
        <v>2050200</v>
      </c>
      <c r="N256" s="64">
        <v>3207260</v>
      </c>
      <c r="O256" s="47" t="s">
        <v>764</v>
      </c>
      <c r="P256" s="47" t="s">
        <v>6096</v>
      </c>
      <c r="Q256" s="62" t="s">
        <v>1939</v>
      </c>
      <c r="R256" s="47" t="s">
        <v>6097</v>
      </c>
      <c r="U256" s="46" t="s">
        <v>491</v>
      </c>
      <c r="V256" s="46"/>
    </row>
    <row r="257" spans="1:22" ht="75" x14ac:dyDescent="0.25">
      <c r="A257" s="61">
        <v>42818</v>
      </c>
      <c r="B257" s="62" t="s">
        <v>5360</v>
      </c>
      <c r="D257" s="46" t="s">
        <v>732</v>
      </c>
      <c r="E257" s="46" t="s">
        <v>588</v>
      </c>
      <c r="F257" s="46" t="s">
        <v>6112</v>
      </c>
      <c r="H257" s="46" t="s">
        <v>607</v>
      </c>
      <c r="I257" s="46" t="s">
        <v>4689</v>
      </c>
      <c r="J257" s="49" t="s">
        <v>899</v>
      </c>
      <c r="L257" s="63">
        <v>1</v>
      </c>
      <c r="M257" s="64">
        <v>1900000</v>
      </c>
      <c r="N257" s="64">
        <v>3401000</v>
      </c>
      <c r="O257" s="47" t="s">
        <v>560</v>
      </c>
      <c r="P257" s="47" t="s">
        <v>6113</v>
      </c>
      <c r="Q257" s="62" t="s">
        <v>1939</v>
      </c>
      <c r="R257" s="47" t="s">
        <v>6114</v>
      </c>
      <c r="S257" s="47" t="s">
        <v>6148</v>
      </c>
      <c r="U257" s="46" t="s">
        <v>491</v>
      </c>
      <c r="V257" s="46"/>
    </row>
    <row r="258" spans="1:22" ht="105" x14ac:dyDescent="0.25">
      <c r="A258" s="61">
        <v>42819</v>
      </c>
      <c r="B258" s="62" t="s">
        <v>328</v>
      </c>
      <c r="C258" s="46" t="s">
        <v>603</v>
      </c>
      <c r="D258" s="46" t="s">
        <v>1401</v>
      </c>
      <c r="E258" s="46" t="s">
        <v>588</v>
      </c>
      <c r="F258" s="46" t="s">
        <v>6123</v>
      </c>
      <c r="H258" s="46" t="s">
        <v>607</v>
      </c>
      <c r="I258" s="46" t="s">
        <v>6124</v>
      </c>
      <c r="J258" s="49" t="s">
        <v>3371</v>
      </c>
      <c r="M258" s="64">
        <v>356100</v>
      </c>
      <c r="N258" s="64">
        <v>730005</v>
      </c>
      <c r="O258" s="47" t="s">
        <v>3952</v>
      </c>
      <c r="P258" s="47" t="s">
        <v>6125</v>
      </c>
      <c r="Q258" s="62" t="s">
        <v>620</v>
      </c>
      <c r="R258" s="47" t="s">
        <v>6126</v>
      </c>
      <c r="U258" s="46" t="s">
        <v>491</v>
      </c>
      <c r="V258" s="46"/>
    </row>
    <row r="259" spans="1:22" ht="90" x14ac:dyDescent="0.25">
      <c r="A259" s="61">
        <v>42819</v>
      </c>
      <c r="B259" s="62" t="s">
        <v>328</v>
      </c>
      <c r="C259" s="46" t="s">
        <v>603</v>
      </c>
      <c r="D259" s="46" t="s">
        <v>587</v>
      </c>
      <c r="E259" s="46" t="s">
        <v>588</v>
      </c>
      <c r="F259" s="46" t="s">
        <v>6136</v>
      </c>
      <c r="H259" s="46" t="s">
        <v>886</v>
      </c>
      <c r="I259" s="46" t="s">
        <v>6137</v>
      </c>
      <c r="J259" s="49" t="s">
        <v>4458</v>
      </c>
      <c r="M259" s="64">
        <v>275000</v>
      </c>
      <c r="N259" s="64">
        <v>305000</v>
      </c>
      <c r="O259" s="47" t="s">
        <v>2680</v>
      </c>
      <c r="P259" s="47" t="s">
        <v>6135</v>
      </c>
      <c r="Q259" s="62" t="s">
        <v>29</v>
      </c>
      <c r="R259" s="47" t="s">
        <v>6134</v>
      </c>
      <c r="U259" s="46" t="s">
        <v>491</v>
      </c>
      <c r="V259" s="46"/>
    </row>
    <row r="260" spans="1:22" ht="30" x14ac:dyDescent="0.25">
      <c r="A260" s="61">
        <v>42819</v>
      </c>
      <c r="B260" s="62" t="s">
        <v>569</v>
      </c>
      <c r="D260" s="46" t="s">
        <v>930</v>
      </c>
      <c r="E260" s="46" t="s">
        <v>588</v>
      </c>
      <c r="F260" s="46" t="s">
        <v>6115</v>
      </c>
      <c r="H260" s="46" t="s">
        <v>607</v>
      </c>
      <c r="I260" s="46" t="s">
        <v>3721</v>
      </c>
      <c r="J260" s="49" t="s">
        <v>899</v>
      </c>
      <c r="M260" s="64">
        <v>1100000</v>
      </c>
      <c r="N260" s="64">
        <v>1525000</v>
      </c>
      <c r="O260" s="47" t="s">
        <v>695</v>
      </c>
      <c r="P260" s="47" t="s">
        <v>6116</v>
      </c>
      <c r="Q260" s="62" t="s">
        <v>592</v>
      </c>
      <c r="R260" s="47" t="s">
        <v>6117</v>
      </c>
      <c r="U260" s="46" t="s">
        <v>491</v>
      </c>
      <c r="V260" s="46"/>
    </row>
    <row r="261" spans="1:22" ht="60" x14ac:dyDescent="0.25">
      <c r="A261" s="61">
        <v>42819</v>
      </c>
      <c r="B261" s="62" t="s">
        <v>569</v>
      </c>
      <c r="D261" s="46" t="s">
        <v>625</v>
      </c>
      <c r="E261" s="46" t="s">
        <v>588</v>
      </c>
      <c r="F261" s="46" t="s">
        <v>6127</v>
      </c>
      <c r="H261" s="46" t="s">
        <v>905</v>
      </c>
      <c r="I261" s="46" t="s">
        <v>2054</v>
      </c>
      <c r="J261" s="49" t="s">
        <v>899</v>
      </c>
      <c r="M261" s="64">
        <v>1072700</v>
      </c>
      <c r="N261" s="64">
        <v>1122970</v>
      </c>
      <c r="O261" s="47" t="s">
        <v>35</v>
      </c>
      <c r="P261" s="47" t="s">
        <v>6128</v>
      </c>
      <c r="Q261" s="62" t="s">
        <v>1939</v>
      </c>
      <c r="R261" s="47" t="s">
        <v>6129</v>
      </c>
      <c r="U261" s="46" t="s">
        <v>491</v>
      </c>
      <c r="V261" s="46"/>
    </row>
    <row r="262" spans="1:22" ht="45" x14ac:dyDescent="0.25">
      <c r="A262" s="61">
        <v>42819</v>
      </c>
      <c r="B262" s="62" t="s">
        <v>569</v>
      </c>
      <c r="D262" s="46" t="s">
        <v>625</v>
      </c>
      <c r="E262" s="46" t="s">
        <v>588</v>
      </c>
      <c r="F262" s="46" t="s">
        <v>6130</v>
      </c>
      <c r="H262" s="46" t="s">
        <v>607</v>
      </c>
      <c r="I262" s="46" t="s">
        <v>6131</v>
      </c>
      <c r="J262" s="49" t="s">
        <v>899</v>
      </c>
      <c r="M262" s="64">
        <v>1100000</v>
      </c>
      <c r="N262" s="64">
        <v>1980000</v>
      </c>
      <c r="O262" s="47" t="s">
        <v>1171</v>
      </c>
      <c r="P262" s="47" t="s">
        <v>6132</v>
      </c>
      <c r="Q262" s="62" t="s">
        <v>1939</v>
      </c>
      <c r="R262" s="47" t="s">
        <v>6133</v>
      </c>
      <c r="U262" s="46" t="s">
        <v>491</v>
      </c>
      <c r="V262" s="46"/>
    </row>
    <row r="263" spans="1:22" ht="30" x14ac:dyDescent="0.25">
      <c r="A263" s="61">
        <v>42819</v>
      </c>
      <c r="B263" s="62" t="s">
        <v>569</v>
      </c>
      <c r="D263" s="46" t="s">
        <v>625</v>
      </c>
      <c r="E263" s="46" t="s">
        <v>588</v>
      </c>
      <c r="F263" s="46" t="s">
        <v>6138</v>
      </c>
      <c r="H263" s="46" t="s">
        <v>607</v>
      </c>
      <c r="O263" s="47" t="s">
        <v>5922</v>
      </c>
      <c r="P263" s="47" t="s">
        <v>6139</v>
      </c>
      <c r="Q263" s="62" t="s">
        <v>592</v>
      </c>
      <c r="R263" s="47" t="s">
        <v>6140</v>
      </c>
      <c r="U263" s="46" t="s">
        <v>491</v>
      </c>
      <c r="V263" s="46"/>
    </row>
    <row r="264" spans="1:22" ht="45" x14ac:dyDescent="0.25">
      <c r="A264" s="61">
        <v>42819</v>
      </c>
      <c r="B264" s="62" t="s">
        <v>643</v>
      </c>
      <c r="C264" s="46" t="s">
        <v>644</v>
      </c>
      <c r="D264" s="46" t="s">
        <v>645</v>
      </c>
      <c r="E264" s="46" t="s">
        <v>588</v>
      </c>
      <c r="F264" s="46" t="s">
        <v>6118</v>
      </c>
      <c r="H264" s="46" t="s">
        <v>905</v>
      </c>
      <c r="I264" s="46" t="s">
        <v>6119</v>
      </c>
      <c r="J264" s="49" t="s">
        <v>644</v>
      </c>
      <c r="L264" s="63">
        <v>3</v>
      </c>
      <c r="M264" s="64">
        <v>350000</v>
      </c>
      <c r="N264" s="64">
        <v>389000</v>
      </c>
      <c r="O264" s="47" t="s">
        <v>5655</v>
      </c>
      <c r="P264" s="47" t="s">
        <v>6120</v>
      </c>
      <c r="Q264" s="62" t="s">
        <v>592</v>
      </c>
      <c r="R264" s="47" t="s">
        <v>6121</v>
      </c>
      <c r="U264" s="46" t="s">
        <v>491</v>
      </c>
      <c r="V264" s="46"/>
    </row>
    <row r="265" spans="1:22" x14ac:dyDescent="0.25">
      <c r="A265" s="61">
        <v>42821</v>
      </c>
      <c r="B265" s="62" t="s">
        <v>110</v>
      </c>
      <c r="C265" s="46" t="s">
        <v>761</v>
      </c>
      <c r="D265" s="46" t="s">
        <v>715</v>
      </c>
      <c r="E265" s="46" t="s">
        <v>588</v>
      </c>
      <c r="F265" s="46" t="s">
        <v>6141</v>
      </c>
      <c r="H265" s="46" t="s">
        <v>607</v>
      </c>
      <c r="I265" s="46" t="s">
        <v>6142</v>
      </c>
      <c r="J265" s="49" t="s">
        <v>761</v>
      </c>
      <c r="L265" s="63">
        <v>10</v>
      </c>
      <c r="M265" s="64">
        <v>245000</v>
      </c>
      <c r="N265" s="64">
        <v>295000</v>
      </c>
      <c r="O265" s="47" t="s">
        <v>2886</v>
      </c>
      <c r="P265" s="47" t="s">
        <v>6143</v>
      </c>
      <c r="Q265" s="62" t="s">
        <v>592</v>
      </c>
      <c r="U265" s="46" t="s">
        <v>1327</v>
      </c>
      <c r="V265" s="46"/>
    </row>
    <row r="266" spans="1:22" ht="75" x14ac:dyDescent="0.25">
      <c r="A266" s="61">
        <v>42821</v>
      </c>
      <c r="B266" s="62" t="s">
        <v>328</v>
      </c>
      <c r="C266" s="46" t="s">
        <v>603</v>
      </c>
      <c r="D266" s="46" t="s">
        <v>5701</v>
      </c>
      <c r="E266" s="46" t="s">
        <v>588</v>
      </c>
      <c r="F266" s="46" t="s">
        <v>6144</v>
      </c>
      <c r="H266" s="46" t="s">
        <v>607</v>
      </c>
      <c r="I266" s="46" t="s">
        <v>6145</v>
      </c>
      <c r="J266" s="49" t="s">
        <v>3733</v>
      </c>
      <c r="L266" s="63">
        <v>10</v>
      </c>
      <c r="M266" s="64">
        <v>1153000</v>
      </c>
      <c r="N266" s="127">
        <v>2190700</v>
      </c>
      <c r="O266" s="47" t="s">
        <v>2886</v>
      </c>
      <c r="P266" s="47" t="s">
        <v>6146</v>
      </c>
      <c r="Q266" s="62" t="s">
        <v>29</v>
      </c>
      <c r="R266" s="47" t="s">
        <v>6147</v>
      </c>
      <c r="U266" s="46" t="s">
        <v>1327</v>
      </c>
      <c r="V266" s="46"/>
    </row>
    <row r="267" spans="1:22" ht="150" x14ac:dyDescent="0.25">
      <c r="A267" s="61">
        <v>42821</v>
      </c>
      <c r="B267" s="62" t="s">
        <v>569</v>
      </c>
      <c r="C267" s="46" t="s">
        <v>899</v>
      </c>
      <c r="D267" s="46" t="s">
        <v>732</v>
      </c>
      <c r="E267" s="46" t="s">
        <v>588</v>
      </c>
      <c r="F267" s="46" t="s">
        <v>6149</v>
      </c>
      <c r="H267" s="46" t="s">
        <v>607</v>
      </c>
      <c r="I267" s="46" t="s">
        <v>6150</v>
      </c>
      <c r="J267" s="49" t="s">
        <v>899</v>
      </c>
      <c r="L267" s="63">
        <v>4</v>
      </c>
      <c r="M267" s="64">
        <v>155000</v>
      </c>
      <c r="N267" s="64">
        <v>278000</v>
      </c>
      <c r="O267" s="47" t="s">
        <v>3107</v>
      </c>
      <c r="P267" s="47" t="s">
        <v>6151</v>
      </c>
      <c r="Q267" s="62" t="s">
        <v>1939</v>
      </c>
      <c r="R267" s="47" t="s">
        <v>6310</v>
      </c>
      <c r="U267" s="46" t="s">
        <v>1327</v>
      </c>
      <c r="V267" s="46"/>
    </row>
    <row r="268" spans="1:22" ht="105" x14ac:dyDescent="0.25">
      <c r="A268" s="61">
        <v>42821</v>
      </c>
      <c r="B268" s="62" t="s">
        <v>569</v>
      </c>
      <c r="C268" s="46" t="s">
        <v>899</v>
      </c>
      <c r="D268" s="46" t="s">
        <v>611</v>
      </c>
      <c r="E268" s="46" t="s">
        <v>588</v>
      </c>
      <c r="F268" s="46" t="s">
        <v>6154</v>
      </c>
      <c r="H268" s="46" t="s">
        <v>607</v>
      </c>
      <c r="L268" s="63">
        <v>4</v>
      </c>
      <c r="O268" s="47" t="s">
        <v>6153</v>
      </c>
      <c r="P268" s="47" t="s">
        <v>6155</v>
      </c>
      <c r="Q268" s="62" t="s">
        <v>592</v>
      </c>
      <c r="R268" s="47" t="s">
        <v>6152</v>
      </c>
      <c r="U268" s="46" t="s">
        <v>1327</v>
      </c>
      <c r="V268" s="46"/>
    </row>
    <row r="269" spans="1:22" ht="30" x14ac:dyDescent="0.25">
      <c r="A269" s="61">
        <v>42822</v>
      </c>
      <c r="B269" s="62" t="s">
        <v>328</v>
      </c>
      <c r="C269" s="46" t="s">
        <v>899</v>
      </c>
      <c r="D269" s="46" t="s">
        <v>649</v>
      </c>
      <c r="E269" s="46" t="s">
        <v>588</v>
      </c>
      <c r="F269" s="46" t="s">
        <v>6156</v>
      </c>
      <c r="H269" s="46" t="s">
        <v>607</v>
      </c>
      <c r="I269" s="46" t="s">
        <v>6157</v>
      </c>
      <c r="J269" s="49" t="s">
        <v>959</v>
      </c>
      <c r="L269" s="63">
        <v>7</v>
      </c>
      <c r="M269" s="126">
        <v>893000</v>
      </c>
      <c r="N269" s="64">
        <v>1182000</v>
      </c>
      <c r="O269" s="47" t="s">
        <v>6158</v>
      </c>
      <c r="P269" s="47" t="s">
        <v>6159</v>
      </c>
      <c r="Q269" s="62" t="s">
        <v>1939</v>
      </c>
      <c r="R269" s="47" t="s">
        <v>6160</v>
      </c>
      <c r="U269" s="46" t="s">
        <v>1327</v>
      </c>
      <c r="V269" s="46"/>
    </row>
    <row r="270" spans="1:22" ht="75" x14ac:dyDescent="0.25">
      <c r="A270" s="61">
        <v>42822</v>
      </c>
      <c r="B270" s="62" t="s">
        <v>569</v>
      </c>
      <c r="C270" s="46" t="s">
        <v>899</v>
      </c>
      <c r="D270" s="46" t="s">
        <v>625</v>
      </c>
      <c r="E270" s="46" t="s">
        <v>588</v>
      </c>
      <c r="F270" s="47" t="s">
        <v>6165</v>
      </c>
      <c r="G270" s="47"/>
      <c r="H270" s="46" t="s">
        <v>6002</v>
      </c>
      <c r="I270" s="46" t="s">
        <v>6166</v>
      </c>
      <c r="J270" s="49" t="s">
        <v>899</v>
      </c>
      <c r="L270" s="63">
        <v>2</v>
      </c>
      <c r="M270" s="64">
        <v>1212000</v>
      </c>
      <c r="N270" s="64">
        <v>2181600</v>
      </c>
      <c r="O270" s="47" t="s">
        <v>6167</v>
      </c>
      <c r="P270" s="121" t="s">
        <v>6168</v>
      </c>
      <c r="Q270" s="62" t="s">
        <v>1939</v>
      </c>
      <c r="R270" s="47" t="s">
        <v>6169</v>
      </c>
      <c r="U270" s="46" t="s">
        <v>1327</v>
      </c>
      <c r="V270" s="46"/>
    </row>
    <row r="271" spans="1:22" ht="60" x14ac:dyDescent="0.25">
      <c r="A271" s="61">
        <v>42822</v>
      </c>
      <c r="B271" s="62" t="s">
        <v>1788</v>
      </c>
      <c r="C271" s="46" t="s">
        <v>604</v>
      </c>
      <c r="D271" s="46" t="s">
        <v>6161</v>
      </c>
      <c r="E271" s="46" t="s">
        <v>588</v>
      </c>
      <c r="F271" s="47" t="s">
        <v>6162</v>
      </c>
      <c r="G271" s="47"/>
      <c r="H271" s="46" t="s">
        <v>4183</v>
      </c>
      <c r="O271" s="47" t="s">
        <v>6163</v>
      </c>
      <c r="P271" s="85" t="s">
        <v>6311</v>
      </c>
      <c r="Q271" s="62" t="s">
        <v>592</v>
      </c>
      <c r="R271" s="47" t="s">
        <v>6164</v>
      </c>
      <c r="U271" s="46" t="s">
        <v>1327</v>
      </c>
      <c r="V271" s="46"/>
    </row>
    <row r="272" spans="1:22" ht="90" x14ac:dyDescent="0.25">
      <c r="A272" s="61">
        <v>42823</v>
      </c>
      <c r="B272" s="62" t="s">
        <v>328</v>
      </c>
      <c r="C272" s="46" t="s">
        <v>603</v>
      </c>
      <c r="D272" s="46" t="s">
        <v>5701</v>
      </c>
      <c r="E272" s="46" t="s">
        <v>588</v>
      </c>
      <c r="F272" s="46" t="s">
        <v>6182</v>
      </c>
      <c r="H272" s="46" t="s">
        <v>607</v>
      </c>
      <c r="J272" s="49" t="s">
        <v>899</v>
      </c>
      <c r="L272" s="63">
        <v>9</v>
      </c>
      <c r="M272" s="64">
        <v>850000</v>
      </c>
      <c r="N272" s="64">
        <v>1576350</v>
      </c>
      <c r="O272" s="47" t="s">
        <v>6183</v>
      </c>
      <c r="P272" s="85" t="s">
        <v>6184</v>
      </c>
      <c r="Q272" s="62" t="s">
        <v>1939</v>
      </c>
      <c r="R272" s="47" t="s">
        <v>6185</v>
      </c>
      <c r="U272" s="46" t="s">
        <v>1327</v>
      </c>
      <c r="V272" s="46"/>
    </row>
    <row r="273" spans="1:22" ht="57" x14ac:dyDescent="0.25">
      <c r="A273" s="61">
        <v>42823</v>
      </c>
      <c r="B273" s="62" t="s">
        <v>328</v>
      </c>
      <c r="C273" s="46" t="s">
        <v>603</v>
      </c>
      <c r="D273" s="46" t="s">
        <v>672</v>
      </c>
      <c r="E273" s="46" t="s">
        <v>588</v>
      </c>
      <c r="F273" s="46" t="s">
        <v>6189</v>
      </c>
      <c r="H273" s="46" t="s">
        <v>607</v>
      </c>
      <c r="J273" s="49" t="s">
        <v>899</v>
      </c>
      <c r="L273" s="63">
        <v>1</v>
      </c>
      <c r="M273" s="64">
        <v>1100000</v>
      </c>
      <c r="N273" s="112">
        <v>1831000</v>
      </c>
      <c r="O273" s="47" t="s">
        <v>6008</v>
      </c>
      <c r="P273" s="124" t="s">
        <v>6190</v>
      </c>
      <c r="Q273" s="62" t="s">
        <v>592</v>
      </c>
      <c r="R273" s="47" t="s">
        <v>6191</v>
      </c>
      <c r="U273" s="46" t="s">
        <v>1327</v>
      </c>
      <c r="V273" s="46"/>
    </row>
    <row r="274" spans="1:22" ht="60" x14ac:dyDescent="0.25">
      <c r="A274" s="61">
        <v>42823</v>
      </c>
      <c r="B274" s="62" t="s">
        <v>5360</v>
      </c>
      <c r="C274" s="46" t="s">
        <v>899</v>
      </c>
      <c r="D274" s="46" t="s">
        <v>1027</v>
      </c>
      <c r="E274" s="46" t="s">
        <v>588</v>
      </c>
      <c r="F274" s="46" t="s">
        <v>6188</v>
      </c>
      <c r="H274" s="46" t="s">
        <v>607</v>
      </c>
      <c r="J274" s="49" t="s">
        <v>899</v>
      </c>
      <c r="L274" s="63">
        <v>4</v>
      </c>
      <c r="M274" s="111">
        <v>3240000</v>
      </c>
      <c r="N274" s="111">
        <v>3864000</v>
      </c>
      <c r="O274" s="47" t="s">
        <v>560</v>
      </c>
      <c r="P274" s="47" t="s">
        <v>6186</v>
      </c>
      <c r="Q274" s="62" t="s">
        <v>592</v>
      </c>
      <c r="R274" s="47" t="s">
        <v>6187</v>
      </c>
      <c r="U274" s="46" t="s">
        <v>1327</v>
      </c>
      <c r="V274" s="46"/>
    </row>
    <row r="275" spans="1:22" ht="135" x14ac:dyDescent="0.25">
      <c r="A275" s="61">
        <v>42823</v>
      </c>
      <c r="B275" s="62" t="s">
        <v>643</v>
      </c>
      <c r="C275" s="46" t="s">
        <v>644</v>
      </c>
      <c r="D275" s="46" t="s">
        <v>645</v>
      </c>
      <c r="E275" s="46" t="s">
        <v>588</v>
      </c>
      <c r="F275" s="46" t="s">
        <v>6170</v>
      </c>
      <c r="H275" s="46" t="s">
        <v>4183</v>
      </c>
      <c r="J275" s="49" t="s">
        <v>644</v>
      </c>
      <c r="L275" s="63">
        <v>10</v>
      </c>
      <c r="N275" s="64">
        <v>654000</v>
      </c>
      <c r="O275" s="47" t="s">
        <v>6171</v>
      </c>
      <c r="P275" s="130" t="s">
        <v>6172</v>
      </c>
      <c r="Q275" s="62" t="s">
        <v>1939</v>
      </c>
      <c r="R275" s="47" t="s">
        <v>6173</v>
      </c>
      <c r="S275" s="47" t="s">
        <v>6312</v>
      </c>
      <c r="U275" s="46" t="s">
        <v>1327</v>
      </c>
      <c r="V275" s="46"/>
    </row>
    <row r="276" spans="1:22" ht="60" x14ac:dyDescent="0.25">
      <c r="A276" s="61">
        <v>42824</v>
      </c>
      <c r="B276" s="62" t="s">
        <v>5992</v>
      </c>
      <c r="C276" s="46" t="s">
        <v>608</v>
      </c>
      <c r="D276" s="46" t="s">
        <v>5270</v>
      </c>
      <c r="E276" s="46" t="s">
        <v>588</v>
      </c>
      <c r="F276" s="46" t="s">
        <v>6192</v>
      </c>
      <c r="H276" s="46" t="s">
        <v>607</v>
      </c>
      <c r="I276" s="46" t="s">
        <v>6193</v>
      </c>
      <c r="J276" s="49" t="s">
        <v>608</v>
      </c>
      <c r="L276" s="63">
        <v>2</v>
      </c>
      <c r="M276" s="64">
        <v>515000</v>
      </c>
      <c r="N276" s="113">
        <v>916500</v>
      </c>
      <c r="O276" s="47" t="s">
        <v>6201</v>
      </c>
      <c r="P276" s="122" t="s">
        <v>6194</v>
      </c>
      <c r="Q276" s="62" t="s">
        <v>1939</v>
      </c>
      <c r="R276" s="47" t="s">
        <v>6195</v>
      </c>
      <c r="S276" s="47" t="s">
        <v>6196</v>
      </c>
      <c r="U276" s="46" t="s">
        <v>1327</v>
      </c>
      <c r="V276" s="46"/>
    </row>
    <row r="277" spans="1:22" ht="75" x14ac:dyDescent="0.25">
      <c r="A277" s="61">
        <v>42824</v>
      </c>
      <c r="B277" s="62" t="s">
        <v>5992</v>
      </c>
      <c r="C277" s="46" t="s">
        <v>608</v>
      </c>
      <c r="D277" s="46" t="s">
        <v>5270</v>
      </c>
      <c r="E277" s="46" t="s">
        <v>588</v>
      </c>
      <c r="F277" s="46" t="s">
        <v>6203</v>
      </c>
      <c r="H277" s="46" t="s">
        <v>607</v>
      </c>
      <c r="I277" s="46" t="s">
        <v>6202</v>
      </c>
      <c r="J277" s="49" t="s">
        <v>608</v>
      </c>
      <c r="L277" s="63">
        <v>4</v>
      </c>
      <c r="M277" s="110">
        <v>900000</v>
      </c>
      <c r="N277" s="126">
        <v>1620000</v>
      </c>
      <c r="O277" s="47" t="s">
        <v>6198</v>
      </c>
      <c r="P277" s="47" t="s">
        <v>6200</v>
      </c>
      <c r="Q277" s="62" t="s">
        <v>1939</v>
      </c>
      <c r="R277" s="47" t="s">
        <v>6199</v>
      </c>
      <c r="S277" s="47" t="s">
        <v>6197</v>
      </c>
      <c r="U277" s="46" t="s">
        <v>1327</v>
      </c>
      <c r="V277" s="46"/>
    </row>
    <row r="278" spans="1:22" ht="60" x14ac:dyDescent="0.25">
      <c r="A278" s="61">
        <v>42825</v>
      </c>
      <c r="B278" s="62" t="s">
        <v>320</v>
      </c>
      <c r="C278" s="46" t="s">
        <v>1228</v>
      </c>
      <c r="D278" s="46" t="s">
        <v>1229</v>
      </c>
      <c r="E278" s="46" t="s">
        <v>588</v>
      </c>
      <c r="F278" s="46" t="s">
        <v>6208</v>
      </c>
      <c r="H278" s="46" t="s">
        <v>607</v>
      </c>
      <c r="I278" s="46" t="s">
        <v>6209</v>
      </c>
      <c r="J278" s="49" t="s">
        <v>3856</v>
      </c>
      <c r="M278" s="64">
        <v>400000</v>
      </c>
      <c r="N278" s="64">
        <v>515000</v>
      </c>
      <c r="O278" s="47" t="s">
        <v>1680</v>
      </c>
      <c r="P278" s="85" t="s">
        <v>6210</v>
      </c>
      <c r="Q278" s="62" t="s">
        <v>29</v>
      </c>
      <c r="R278" s="47" t="s">
        <v>6211</v>
      </c>
      <c r="U278" s="46" t="s">
        <v>491</v>
      </c>
      <c r="V278" s="46"/>
    </row>
    <row r="279" spans="1:22" ht="75" x14ac:dyDescent="0.25">
      <c r="A279" s="61">
        <v>42825</v>
      </c>
      <c r="B279" s="62" t="s">
        <v>328</v>
      </c>
      <c r="C279" s="46" t="s">
        <v>603</v>
      </c>
      <c r="D279" s="46" t="s">
        <v>1401</v>
      </c>
      <c r="E279" s="46" t="s">
        <v>588</v>
      </c>
      <c r="F279" s="46" t="s">
        <v>6178</v>
      </c>
      <c r="H279" s="46" t="s">
        <v>607</v>
      </c>
      <c r="I279" s="46" t="s">
        <v>6179</v>
      </c>
      <c r="J279" s="49" t="s">
        <v>3523</v>
      </c>
      <c r="M279" s="64">
        <v>425340</v>
      </c>
      <c r="N279" s="64">
        <v>665340</v>
      </c>
      <c r="O279" s="47" t="s">
        <v>3952</v>
      </c>
      <c r="P279" s="47" t="s">
        <v>6180</v>
      </c>
      <c r="Q279" s="62" t="s">
        <v>1939</v>
      </c>
      <c r="R279" s="47" t="s">
        <v>6181</v>
      </c>
      <c r="U279" s="46" t="s">
        <v>491</v>
      </c>
      <c r="V279" s="46"/>
    </row>
    <row r="280" spans="1:22" ht="45" x14ac:dyDescent="0.25">
      <c r="A280" s="61">
        <v>42825</v>
      </c>
      <c r="B280" s="62" t="s">
        <v>328</v>
      </c>
      <c r="C280" s="46" t="s">
        <v>603</v>
      </c>
      <c r="D280" s="46" t="s">
        <v>5701</v>
      </c>
      <c r="E280" s="46" t="s">
        <v>588</v>
      </c>
      <c r="F280" s="46" t="s">
        <v>6204</v>
      </c>
      <c r="H280" s="46" t="s">
        <v>1050</v>
      </c>
      <c r="I280" s="46" t="s">
        <v>6205</v>
      </c>
      <c r="J280" s="49" t="s">
        <v>644</v>
      </c>
      <c r="L280" s="63">
        <v>3</v>
      </c>
      <c r="M280" s="64">
        <v>3000000</v>
      </c>
      <c r="N280" s="64">
        <v>3310000</v>
      </c>
      <c r="O280" s="47" t="s">
        <v>560</v>
      </c>
      <c r="P280" s="47" t="s">
        <v>6206</v>
      </c>
      <c r="Q280" s="62" t="s">
        <v>1939</v>
      </c>
      <c r="R280" s="47" t="s">
        <v>6207</v>
      </c>
      <c r="U280" s="46" t="s">
        <v>491</v>
      </c>
      <c r="V280" s="46"/>
    </row>
    <row r="281" spans="1:22" ht="30" x14ac:dyDescent="0.25">
      <c r="A281" s="61">
        <v>42825</v>
      </c>
      <c r="B281" s="62" t="s">
        <v>5473</v>
      </c>
      <c r="D281" s="46" t="s">
        <v>1495</v>
      </c>
      <c r="E281" s="46" t="s">
        <v>588</v>
      </c>
      <c r="F281" s="46" t="s">
        <v>6212</v>
      </c>
      <c r="H281" s="46" t="s">
        <v>6213</v>
      </c>
      <c r="I281" s="46" t="s">
        <v>3809</v>
      </c>
      <c r="J281" s="49" t="s">
        <v>602</v>
      </c>
      <c r="M281" s="64">
        <v>354000</v>
      </c>
      <c r="N281" s="64">
        <v>529500</v>
      </c>
      <c r="O281" s="47" t="s">
        <v>5190</v>
      </c>
      <c r="P281" s="47" t="s">
        <v>6214</v>
      </c>
      <c r="Q281" s="62" t="s">
        <v>29</v>
      </c>
      <c r="R281" s="47" t="s">
        <v>6215</v>
      </c>
      <c r="U281" s="46" t="s">
        <v>491</v>
      </c>
      <c r="V281" s="46"/>
    </row>
    <row r="282" spans="1:22" ht="75" x14ac:dyDescent="0.25">
      <c r="A282" s="61">
        <v>42825</v>
      </c>
      <c r="B282" s="62" t="s">
        <v>569</v>
      </c>
      <c r="D282" s="46" t="s">
        <v>625</v>
      </c>
      <c r="E282" s="46" t="s">
        <v>588</v>
      </c>
      <c r="F282" s="46" t="s">
        <v>6174</v>
      </c>
      <c r="H282" s="46" t="s">
        <v>905</v>
      </c>
      <c r="I282" s="46" t="s">
        <v>2054</v>
      </c>
      <c r="J282" s="49" t="s">
        <v>899</v>
      </c>
      <c r="L282" s="63">
        <v>2</v>
      </c>
      <c r="M282" s="64">
        <v>4000000</v>
      </c>
      <c r="N282" s="64">
        <v>4800000</v>
      </c>
      <c r="O282" s="47" t="s">
        <v>560</v>
      </c>
      <c r="P282" s="121" t="s">
        <v>6175</v>
      </c>
      <c r="Q282" s="62" t="s">
        <v>1612</v>
      </c>
      <c r="R282" s="47" t="s">
        <v>6742</v>
      </c>
      <c r="U282" s="46" t="s">
        <v>491</v>
      </c>
      <c r="V282" s="46"/>
    </row>
    <row r="283" spans="1:22" ht="45" x14ac:dyDescent="0.25">
      <c r="A283" s="61">
        <v>42825</v>
      </c>
      <c r="B283" s="62" t="s">
        <v>569</v>
      </c>
      <c r="C283" s="46" t="s">
        <v>899</v>
      </c>
      <c r="D283" s="46" t="s">
        <v>625</v>
      </c>
      <c r="E283" s="46" t="s">
        <v>588</v>
      </c>
      <c r="F283" s="46" t="s">
        <v>6216</v>
      </c>
      <c r="H283" s="46" t="s">
        <v>722</v>
      </c>
      <c r="I283" s="46" t="s">
        <v>6217</v>
      </c>
      <c r="J283" s="49" t="s">
        <v>899</v>
      </c>
      <c r="L283" s="63">
        <v>1</v>
      </c>
      <c r="M283" s="64">
        <v>420000</v>
      </c>
      <c r="N283" s="64">
        <v>646000</v>
      </c>
      <c r="O283" s="47" t="s">
        <v>695</v>
      </c>
      <c r="P283" s="47" t="s">
        <v>6218</v>
      </c>
      <c r="Q283" s="62" t="s">
        <v>592</v>
      </c>
      <c r="U283" s="46" t="s">
        <v>491</v>
      </c>
      <c r="V283" s="46"/>
    </row>
    <row r="284" spans="1:22" ht="90" x14ac:dyDescent="0.25">
      <c r="A284" s="61">
        <v>42825</v>
      </c>
      <c r="B284" s="62" t="s">
        <v>643</v>
      </c>
      <c r="C284" s="46" t="s">
        <v>644</v>
      </c>
      <c r="D284" s="46" t="s">
        <v>645</v>
      </c>
      <c r="E284" s="46" t="s">
        <v>588</v>
      </c>
      <c r="F284" s="46" t="s">
        <v>1606</v>
      </c>
      <c r="H284" s="46" t="s">
        <v>6176</v>
      </c>
      <c r="I284" s="46" t="s">
        <v>4390</v>
      </c>
      <c r="J284" s="49" t="s">
        <v>644</v>
      </c>
      <c r="L284" s="63">
        <v>10</v>
      </c>
      <c r="M284" s="64">
        <v>100000</v>
      </c>
      <c r="N284" s="64">
        <v>130000</v>
      </c>
      <c r="O284" s="47" t="s">
        <v>2680</v>
      </c>
      <c r="P284" s="47" t="s">
        <v>6177</v>
      </c>
      <c r="Q284" s="62" t="s">
        <v>1939</v>
      </c>
      <c r="R284" s="47" t="s">
        <v>6566</v>
      </c>
      <c r="U284" s="46" t="s">
        <v>491</v>
      </c>
      <c r="V284" s="46"/>
    </row>
    <row r="285" spans="1:22" ht="45" x14ac:dyDescent="0.25">
      <c r="A285" s="61">
        <v>42828</v>
      </c>
      <c r="B285" s="62" t="s">
        <v>328</v>
      </c>
      <c r="C285" s="46" t="s">
        <v>603</v>
      </c>
      <c r="D285" s="46" t="s">
        <v>672</v>
      </c>
      <c r="E285" s="46" t="s">
        <v>588</v>
      </c>
      <c r="F285" s="46" t="s">
        <v>6224</v>
      </c>
      <c r="H285" s="46" t="s">
        <v>607</v>
      </c>
      <c r="I285" s="46" t="s">
        <v>6225</v>
      </c>
      <c r="J285" s="49" t="s">
        <v>3373</v>
      </c>
      <c r="L285" s="63">
        <v>9</v>
      </c>
      <c r="M285" s="64">
        <v>300000</v>
      </c>
      <c r="N285" s="64">
        <v>705000</v>
      </c>
      <c r="O285" s="47" t="s">
        <v>4959</v>
      </c>
      <c r="P285" s="47" t="s">
        <v>6226</v>
      </c>
      <c r="Q285" s="62" t="s">
        <v>620</v>
      </c>
      <c r="R285" s="47" t="s">
        <v>6227</v>
      </c>
      <c r="U285" s="46" t="s">
        <v>491</v>
      </c>
      <c r="V285" s="46"/>
    </row>
    <row r="286" spans="1:22" ht="30" x14ac:dyDescent="0.25">
      <c r="A286" s="61">
        <v>42828</v>
      </c>
      <c r="B286" s="62" t="s">
        <v>328</v>
      </c>
      <c r="C286" s="46" t="s">
        <v>603</v>
      </c>
      <c r="D286" s="46" t="s">
        <v>649</v>
      </c>
      <c r="E286" s="46" t="s">
        <v>588</v>
      </c>
      <c r="F286" s="46" t="s">
        <v>6228</v>
      </c>
      <c r="H286" s="46" t="s">
        <v>5244</v>
      </c>
      <c r="I286" s="46" t="s">
        <v>6230</v>
      </c>
      <c r="J286" s="49" t="s">
        <v>899</v>
      </c>
      <c r="O286" s="47" t="s">
        <v>5965</v>
      </c>
      <c r="P286" s="47" t="s">
        <v>6229</v>
      </c>
      <c r="Q286" s="62" t="s">
        <v>620</v>
      </c>
      <c r="R286" s="47" t="s">
        <v>5986</v>
      </c>
      <c r="U286" s="46" t="s">
        <v>491</v>
      </c>
      <c r="V286" s="46"/>
    </row>
    <row r="287" spans="1:22" ht="105" x14ac:dyDescent="0.25">
      <c r="A287" s="61">
        <v>42828</v>
      </c>
      <c r="B287" s="62" t="s">
        <v>328</v>
      </c>
      <c r="C287" s="46" t="s">
        <v>603</v>
      </c>
      <c r="D287" s="46" t="s">
        <v>5701</v>
      </c>
      <c r="E287" s="46" t="s">
        <v>588</v>
      </c>
      <c r="F287" s="46" t="s">
        <v>6231</v>
      </c>
      <c r="H287" s="46" t="s">
        <v>607</v>
      </c>
      <c r="I287" s="46" t="s">
        <v>4528</v>
      </c>
      <c r="J287" s="49" t="s">
        <v>899</v>
      </c>
      <c r="L287" s="63">
        <v>10</v>
      </c>
      <c r="M287" s="64">
        <v>1564000</v>
      </c>
      <c r="N287" s="64">
        <v>3049800</v>
      </c>
      <c r="O287" s="47" t="s">
        <v>560</v>
      </c>
      <c r="P287" s="47" t="s">
        <v>6232</v>
      </c>
      <c r="Q287" s="62" t="s">
        <v>1939</v>
      </c>
      <c r="R287" s="47" t="s">
        <v>6233</v>
      </c>
      <c r="U287" s="46" t="s">
        <v>491</v>
      </c>
      <c r="V287" s="46"/>
    </row>
    <row r="288" spans="1:22" ht="30" x14ac:dyDescent="0.25">
      <c r="A288" s="61">
        <v>42828</v>
      </c>
      <c r="B288" s="62" t="s">
        <v>328</v>
      </c>
      <c r="C288" s="46" t="s">
        <v>603</v>
      </c>
      <c r="D288" s="46" t="s">
        <v>649</v>
      </c>
      <c r="E288" s="46" t="s">
        <v>588</v>
      </c>
      <c r="F288" s="46" t="s">
        <v>6234</v>
      </c>
      <c r="H288" s="46" t="s">
        <v>809</v>
      </c>
      <c r="I288" s="46" t="s">
        <v>6235</v>
      </c>
      <c r="J288" s="49" t="s">
        <v>603</v>
      </c>
      <c r="L288" s="63">
        <v>9</v>
      </c>
      <c r="M288" s="64">
        <v>1622000</v>
      </c>
      <c r="N288" s="64">
        <v>2919600</v>
      </c>
      <c r="O288" s="47" t="s">
        <v>560</v>
      </c>
      <c r="P288" s="47" t="s">
        <v>6236</v>
      </c>
      <c r="Q288" s="62" t="s">
        <v>592</v>
      </c>
      <c r="U288" s="46" t="s">
        <v>491</v>
      </c>
      <c r="V288" s="46"/>
    </row>
    <row r="289" spans="1:22" ht="75" x14ac:dyDescent="0.25">
      <c r="A289" s="61">
        <v>42828</v>
      </c>
      <c r="B289" s="62" t="s">
        <v>5176</v>
      </c>
      <c r="C289" s="46" t="s">
        <v>604</v>
      </c>
      <c r="D289" s="46" t="s">
        <v>2186</v>
      </c>
      <c r="E289" s="46" t="s">
        <v>588</v>
      </c>
      <c r="F289" s="46" t="s">
        <v>6219</v>
      </c>
      <c r="H289" s="46" t="s">
        <v>722</v>
      </c>
      <c r="I289" s="46" t="s">
        <v>6220</v>
      </c>
      <c r="J289" s="49" t="s">
        <v>608</v>
      </c>
      <c r="L289" s="63">
        <v>9</v>
      </c>
      <c r="M289" s="64">
        <v>150838</v>
      </c>
      <c r="N289" s="64">
        <v>160838</v>
      </c>
      <c r="O289" s="47" t="s">
        <v>6221</v>
      </c>
      <c r="P289" s="47" t="s">
        <v>6223</v>
      </c>
      <c r="Q289" s="62" t="s">
        <v>1939</v>
      </c>
      <c r="R289" s="47" t="s">
        <v>6222</v>
      </c>
      <c r="U289" s="46" t="s">
        <v>491</v>
      </c>
      <c r="V289" s="46"/>
    </row>
    <row r="290" spans="1:22" ht="60" x14ac:dyDescent="0.25">
      <c r="A290" s="61">
        <v>42828</v>
      </c>
      <c r="B290" s="62" t="s">
        <v>569</v>
      </c>
      <c r="D290" s="46" t="s">
        <v>625</v>
      </c>
      <c r="E290" s="46" t="s">
        <v>588</v>
      </c>
      <c r="F290" s="46" t="s">
        <v>6237</v>
      </c>
      <c r="H290" s="46" t="s">
        <v>607</v>
      </c>
      <c r="I290" s="46" t="s">
        <v>3918</v>
      </c>
      <c r="J290" s="49" t="s">
        <v>899</v>
      </c>
      <c r="L290" s="63">
        <v>2</v>
      </c>
      <c r="M290" s="64">
        <v>1237500</v>
      </c>
      <c r="N290" s="64">
        <v>1700000</v>
      </c>
      <c r="O290" s="47" t="s">
        <v>1171</v>
      </c>
      <c r="P290" s="47" t="s">
        <v>6238</v>
      </c>
      <c r="Q290" s="62" t="s">
        <v>1939</v>
      </c>
      <c r="U290" s="46" t="s">
        <v>491</v>
      </c>
      <c r="V290" s="46"/>
    </row>
    <row r="291" spans="1:22" ht="45" x14ac:dyDescent="0.25">
      <c r="A291" s="61">
        <v>42829</v>
      </c>
      <c r="B291" s="62" t="s">
        <v>328</v>
      </c>
      <c r="C291" s="46" t="s">
        <v>603</v>
      </c>
      <c r="D291" s="46" t="s">
        <v>1401</v>
      </c>
      <c r="E291" s="46" t="s">
        <v>588</v>
      </c>
      <c r="F291" s="46" t="s">
        <v>6239</v>
      </c>
      <c r="H291" s="46" t="s">
        <v>722</v>
      </c>
      <c r="M291" s="64">
        <v>268000</v>
      </c>
      <c r="N291" s="64">
        <v>458800</v>
      </c>
      <c r="O291" s="47" t="s">
        <v>6240</v>
      </c>
      <c r="P291" s="47" t="s">
        <v>6241</v>
      </c>
      <c r="Q291" s="62" t="s">
        <v>1939</v>
      </c>
      <c r="R291" s="47" t="s">
        <v>6242</v>
      </c>
      <c r="U291" s="46" t="s">
        <v>491</v>
      </c>
      <c r="V291" s="46"/>
    </row>
    <row r="292" spans="1:22" ht="75" x14ac:dyDescent="0.25">
      <c r="A292" s="61">
        <v>42829</v>
      </c>
      <c r="B292" s="62" t="s">
        <v>328</v>
      </c>
      <c r="C292" s="46" t="s">
        <v>603</v>
      </c>
      <c r="D292" s="46" t="s">
        <v>2397</v>
      </c>
      <c r="E292" s="46" t="s">
        <v>588</v>
      </c>
      <c r="F292" s="46" t="s">
        <v>6243</v>
      </c>
      <c r="H292" s="46" t="s">
        <v>607</v>
      </c>
      <c r="J292" s="49" t="s">
        <v>3426</v>
      </c>
      <c r="L292" s="63">
        <v>4</v>
      </c>
      <c r="M292" s="64">
        <v>180000</v>
      </c>
      <c r="N292" s="64">
        <v>324000</v>
      </c>
      <c r="O292" s="47" t="s">
        <v>6244</v>
      </c>
      <c r="P292" s="47" t="s">
        <v>6245</v>
      </c>
      <c r="Q292" s="62" t="s">
        <v>1939</v>
      </c>
      <c r="R292" s="47" t="s">
        <v>6246</v>
      </c>
      <c r="U292" s="46" t="s">
        <v>491</v>
      </c>
      <c r="V292" s="46"/>
    </row>
    <row r="293" spans="1:22" ht="45" x14ac:dyDescent="0.25">
      <c r="A293" s="61">
        <v>42829</v>
      </c>
      <c r="B293" s="62" t="s">
        <v>5176</v>
      </c>
      <c r="D293" s="46" t="s">
        <v>727</v>
      </c>
      <c r="E293" s="46" t="s">
        <v>588</v>
      </c>
      <c r="F293" s="46" t="s">
        <v>6250</v>
      </c>
      <c r="H293" s="46" t="s">
        <v>6252</v>
      </c>
      <c r="I293" s="46" t="s">
        <v>6251</v>
      </c>
      <c r="J293" s="49" t="s">
        <v>604</v>
      </c>
      <c r="M293" s="64">
        <v>100000</v>
      </c>
      <c r="N293" s="64">
        <v>150000</v>
      </c>
      <c r="O293" s="47" t="s">
        <v>5416</v>
      </c>
      <c r="P293" s="47" t="s">
        <v>6253</v>
      </c>
      <c r="Q293" s="62" t="s">
        <v>29</v>
      </c>
      <c r="R293" s="47" t="s">
        <v>6254</v>
      </c>
      <c r="U293" s="46" t="s">
        <v>491</v>
      </c>
      <c r="V293" s="46"/>
    </row>
    <row r="294" spans="1:22" ht="60" x14ac:dyDescent="0.25">
      <c r="A294" s="61">
        <v>42829</v>
      </c>
      <c r="B294" s="62" t="s">
        <v>569</v>
      </c>
      <c r="D294" s="46" t="s">
        <v>625</v>
      </c>
      <c r="E294" s="46" t="s">
        <v>588</v>
      </c>
      <c r="F294" s="46" t="s">
        <v>6247</v>
      </c>
      <c r="H294" s="46" t="s">
        <v>1391</v>
      </c>
      <c r="I294" s="46" t="s">
        <v>3649</v>
      </c>
      <c r="J294" s="49" t="s">
        <v>899</v>
      </c>
      <c r="L294" s="63">
        <v>2</v>
      </c>
      <c r="M294" s="64">
        <v>2368000</v>
      </c>
      <c r="N294" s="64">
        <v>3500000</v>
      </c>
      <c r="O294" s="47" t="s">
        <v>560</v>
      </c>
      <c r="P294" s="47" t="s">
        <v>6248</v>
      </c>
      <c r="Q294" s="62" t="s">
        <v>592</v>
      </c>
      <c r="R294" s="47" t="s">
        <v>6249</v>
      </c>
      <c r="U294" s="46" t="s">
        <v>491</v>
      </c>
      <c r="V294" s="46"/>
    </row>
    <row r="295" spans="1:22" ht="60" x14ac:dyDescent="0.25">
      <c r="A295" s="61">
        <v>42830</v>
      </c>
      <c r="B295" s="62" t="s">
        <v>320</v>
      </c>
      <c r="C295" s="46" t="s">
        <v>1228</v>
      </c>
      <c r="D295" s="46" t="s">
        <v>1229</v>
      </c>
      <c r="E295" s="46" t="s">
        <v>588</v>
      </c>
      <c r="H295" s="46" t="s">
        <v>607</v>
      </c>
      <c r="J295" s="49" t="s">
        <v>3856</v>
      </c>
      <c r="O295" s="47" t="s">
        <v>3952</v>
      </c>
      <c r="P295" s="47" t="s">
        <v>6259</v>
      </c>
      <c r="Q295" s="62" t="s">
        <v>620</v>
      </c>
      <c r="R295" s="47" t="s">
        <v>6260</v>
      </c>
      <c r="U295" s="46" t="s">
        <v>491</v>
      </c>
      <c r="V295" s="46"/>
    </row>
    <row r="296" spans="1:22" ht="90" x14ac:dyDescent="0.25">
      <c r="A296" s="61">
        <v>42830</v>
      </c>
      <c r="B296" s="62" t="s">
        <v>328</v>
      </c>
      <c r="C296" s="46" t="s">
        <v>603</v>
      </c>
      <c r="D296" s="46" t="s">
        <v>1401</v>
      </c>
      <c r="E296" s="46" t="s">
        <v>588</v>
      </c>
      <c r="F296" s="46" t="s">
        <v>1606</v>
      </c>
      <c r="H296" s="46" t="s">
        <v>6255</v>
      </c>
      <c r="J296" s="49" t="s">
        <v>644</v>
      </c>
      <c r="L296" s="63">
        <v>10</v>
      </c>
      <c r="M296" s="64">
        <v>100000</v>
      </c>
      <c r="O296" s="47" t="s">
        <v>3886</v>
      </c>
      <c r="P296" s="47" t="s">
        <v>6256</v>
      </c>
      <c r="Q296" s="62" t="s">
        <v>592</v>
      </c>
      <c r="R296" s="47" t="s">
        <v>6257</v>
      </c>
      <c r="S296" s="47" t="s">
        <v>6258</v>
      </c>
      <c r="U296" s="46" t="s">
        <v>491</v>
      </c>
      <c r="V296" s="46"/>
    </row>
    <row r="297" spans="1:22" ht="45" x14ac:dyDescent="0.25">
      <c r="A297" s="61">
        <v>42830</v>
      </c>
      <c r="B297" s="62" t="s">
        <v>328</v>
      </c>
      <c r="C297" s="46" t="s">
        <v>603</v>
      </c>
      <c r="D297" s="46" t="s">
        <v>5701</v>
      </c>
      <c r="E297" s="46" t="s">
        <v>588</v>
      </c>
      <c r="F297" s="46" t="s">
        <v>6265</v>
      </c>
      <c r="H297" s="46" t="s">
        <v>1391</v>
      </c>
      <c r="I297" s="46" t="s">
        <v>6266</v>
      </c>
      <c r="J297" s="49" t="s">
        <v>3733</v>
      </c>
      <c r="L297" s="63">
        <v>10</v>
      </c>
      <c r="M297" s="64">
        <v>272000</v>
      </c>
      <c r="N297" s="64">
        <v>408000</v>
      </c>
      <c r="O297" s="47" t="s">
        <v>764</v>
      </c>
      <c r="P297" s="47" t="s">
        <v>6267</v>
      </c>
      <c r="Q297" s="62" t="s">
        <v>29</v>
      </c>
      <c r="R297" s="47" t="s">
        <v>6268</v>
      </c>
      <c r="U297" s="46" t="s">
        <v>491</v>
      </c>
      <c r="V297" s="46"/>
    </row>
    <row r="298" spans="1:22" ht="60" x14ac:dyDescent="0.25">
      <c r="A298" s="61">
        <v>42830</v>
      </c>
      <c r="B298" s="62" t="s">
        <v>569</v>
      </c>
      <c r="D298" s="46" t="s">
        <v>930</v>
      </c>
      <c r="E298" s="46" t="s">
        <v>588</v>
      </c>
      <c r="F298" s="46" t="s">
        <v>6261</v>
      </c>
      <c r="H298" s="46" t="s">
        <v>607</v>
      </c>
      <c r="I298" s="46" t="s">
        <v>5677</v>
      </c>
      <c r="J298" s="49" t="s">
        <v>899</v>
      </c>
      <c r="L298" s="63">
        <v>3</v>
      </c>
      <c r="M298" s="64">
        <v>747000</v>
      </c>
      <c r="N298" s="64">
        <v>1200000</v>
      </c>
      <c r="O298" s="47" t="s">
        <v>1171</v>
      </c>
      <c r="P298" s="47" t="s">
        <v>6262</v>
      </c>
      <c r="Q298" s="62" t="s">
        <v>1939</v>
      </c>
      <c r="R298" s="47" t="s">
        <v>6263</v>
      </c>
      <c r="U298" s="46" t="s">
        <v>491</v>
      </c>
      <c r="V298" s="46"/>
    </row>
    <row r="299" spans="1:22" ht="150" x14ac:dyDescent="0.25">
      <c r="A299" s="61">
        <v>42830</v>
      </c>
      <c r="B299" s="62" t="s">
        <v>569</v>
      </c>
      <c r="D299" s="46" t="s">
        <v>625</v>
      </c>
      <c r="E299" s="46" t="s">
        <v>588</v>
      </c>
      <c r="F299" s="46" t="s">
        <v>6269</v>
      </c>
      <c r="H299" s="46" t="s">
        <v>607</v>
      </c>
      <c r="I299" s="46" t="s">
        <v>3536</v>
      </c>
      <c r="J299" s="49" t="s">
        <v>899</v>
      </c>
      <c r="L299" s="63">
        <v>3</v>
      </c>
      <c r="M299" s="64">
        <v>1350000</v>
      </c>
      <c r="N299" s="64">
        <v>3290000</v>
      </c>
      <c r="O299" s="47" t="s">
        <v>3107</v>
      </c>
      <c r="P299" s="47" t="s">
        <v>6270</v>
      </c>
      <c r="Q299" s="62" t="s">
        <v>1939</v>
      </c>
      <c r="R299" s="47" t="s">
        <v>6271</v>
      </c>
      <c r="U299" s="46" t="s">
        <v>491</v>
      </c>
      <c r="V299" s="114" t="s">
        <v>6272</v>
      </c>
    </row>
    <row r="300" spans="1:22" ht="60" x14ac:dyDescent="0.25">
      <c r="A300" s="61">
        <v>42831</v>
      </c>
      <c r="B300" s="62" t="s">
        <v>328</v>
      </c>
      <c r="C300" s="46" t="s">
        <v>603</v>
      </c>
      <c r="D300" s="46" t="s">
        <v>2397</v>
      </c>
      <c r="E300" s="46" t="s">
        <v>588</v>
      </c>
      <c r="F300" s="46" t="s">
        <v>6273</v>
      </c>
      <c r="H300" s="46" t="s">
        <v>1391</v>
      </c>
      <c r="I300" s="46" t="s">
        <v>5165</v>
      </c>
      <c r="J300" s="49" t="s">
        <v>644</v>
      </c>
      <c r="L300" s="63">
        <v>10</v>
      </c>
      <c r="M300" s="64">
        <v>118000</v>
      </c>
      <c r="N300" s="64">
        <v>168000</v>
      </c>
      <c r="O300" s="47" t="s">
        <v>2680</v>
      </c>
      <c r="P300" s="115" t="s">
        <v>6274</v>
      </c>
      <c r="Q300" s="62" t="s">
        <v>29</v>
      </c>
      <c r="R300" s="131" t="s">
        <v>6275</v>
      </c>
      <c r="U300" s="46" t="s">
        <v>491</v>
      </c>
      <c r="V300" s="46"/>
    </row>
    <row r="301" spans="1:22" ht="75" x14ac:dyDescent="0.25">
      <c r="A301" s="61">
        <v>42831</v>
      </c>
      <c r="B301" s="62" t="s">
        <v>328</v>
      </c>
      <c r="C301" s="46" t="s">
        <v>603</v>
      </c>
      <c r="D301" s="46" t="s">
        <v>1401</v>
      </c>
      <c r="E301" s="46" t="s">
        <v>588</v>
      </c>
      <c r="F301" s="46" t="s">
        <v>6276</v>
      </c>
      <c r="H301" s="46" t="s">
        <v>1050</v>
      </c>
      <c r="I301" s="46" t="s">
        <v>6277</v>
      </c>
      <c r="J301" s="49" t="s">
        <v>608</v>
      </c>
      <c r="L301" s="63">
        <v>6</v>
      </c>
      <c r="M301" s="64">
        <v>1600000</v>
      </c>
      <c r="N301" s="64">
        <v>1785000</v>
      </c>
      <c r="O301" s="47" t="s">
        <v>695</v>
      </c>
      <c r="P301" s="47" t="s">
        <v>6313</v>
      </c>
      <c r="Q301" s="62" t="s">
        <v>592</v>
      </c>
      <c r="R301" s="47" t="s">
        <v>6278</v>
      </c>
      <c r="U301" s="46" t="s">
        <v>491</v>
      </c>
      <c r="V301" s="46"/>
    </row>
    <row r="302" spans="1:22" ht="90" x14ac:dyDescent="0.25">
      <c r="A302" s="61">
        <v>42831</v>
      </c>
      <c r="B302" s="62" t="s">
        <v>328</v>
      </c>
      <c r="C302" s="46" t="s">
        <v>603</v>
      </c>
      <c r="D302" s="46" t="s">
        <v>672</v>
      </c>
      <c r="E302" s="46" t="s">
        <v>588</v>
      </c>
      <c r="F302" s="46" t="s">
        <v>6284</v>
      </c>
      <c r="H302" s="46" t="s">
        <v>5244</v>
      </c>
      <c r="I302" s="46" t="s">
        <v>6285</v>
      </c>
      <c r="J302" s="49" t="s">
        <v>899</v>
      </c>
      <c r="L302" s="63">
        <v>4</v>
      </c>
      <c r="M302" s="64">
        <v>3072364</v>
      </c>
      <c r="N302" s="64">
        <v>4506134</v>
      </c>
      <c r="O302" s="47" t="s">
        <v>560</v>
      </c>
      <c r="P302" s="47" t="s">
        <v>6314</v>
      </c>
      <c r="Q302" s="62" t="s">
        <v>592</v>
      </c>
      <c r="R302" s="47" t="s">
        <v>6286</v>
      </c>
      <c r="U302" s="46" t="s">
        <v>491</v>
      </c>
      <c r="V302" s="46"/>
    </row>
    <row r="303" spans="1:22" ht="30" x14ac:dyDescent="0.25">
      <c r="A303" s="61">
        <v>42831</v>
      </c>
      <c r="B303" s="62" t="s">
        <v>5473</v>
      </c>
      <c r="C303" s="46" t="s">
        <v>608</v>
      </c>
      <c r="D303" s="46" t="s">
        <v>1495</v>
      </c>
      <c r="E303" s="46" t="s">
        <v>588</v>
      </c>
      <c r="F303" s="46" t="s">
        <v>6287</v>
      </c>
      <c r="H303" s="46" t="s">
        <v>886</v>
      </c>
      <c r="I303" s="46" t="s">
        <v>6288</v>
      </c>
      <c r="J303" s="49" t="s">
        <v>602</v>
      </c>
      <c r="M303" s="64">
        <v>800000</v>
      </c>
      <c r="N303" s="64">
        <v>800000</v>
      </c>
      <c r="O303" s="47" t="s">
        <v>5234</v>
      </c>
      <c r="P303" s="47" t="s">
        <v>6289</v>
      </c>
      <c r="Q303" s="62" t="s">
        <v>29</v>
      </c>
      <c r="U303" s="46" t="s">
        <v>491</v>
      </c>
      <c r="V303" s="46"/>
    </row>
    <row r="304" spans="1:22" ht="60" x14ac:dyDescent="0.25">
      <c r="A304" s="61">
        <v>42831</v>
      </c>
      <c r="B304" s="62" t="s">
        <v>5176</v>
      </c>
      <c r="D304" s="46" t="s">
        <v>727</v>
      </c>
      <c r="E304" s="46" t="s">
        <v>588</v>
      </c>
      <c r="F304" s="46" t="s">
        <v>6279</v>
      </c>
      <c r="H304" s="46" t="s">
        <v>607</v>
      </c>
      <c r="I304" s="46" t="s">
        <v>6280</v>
      </c>
      <c r="J304" s="49" t="s">
        <v>959</v>
      </c>
      <c r="M304" s="64">
        <v>375000</v>
      </c>
      <c r="N304" s="64">
        <v>637500</v>
      </c>
      <c r="O304" s="47" t="s">
        <v>6281</v>
      </c>
      <c r="P304" s="47" t="s">
        <v>6282</v>
      </c>
      <c r="Q304" s="62" t="s">
        <v>29</v>
      </c>
      <c r="R304" s="47" t="s">
        <v>6283</v>
      </c>
      <c r="U304" s="46" t="s">
        <v>491</v>
      </c>
      <c r="V304" s="46"/>
    </row>
    <row r="305" spans="1:22" ht="30" x14ac:dyDescent="0.25">
      <c r="A305" s="61">
        <v>42832</v>
      </c>
      <c r="B305" s="62" t="s">
        <v>110</v>
      </c>
      <c r="C305" s="46" t="s">
        <v>761</v>
      </c>
      <c r="D305" s="46" t="s">
        <v>4782</v>
      </c>
      <c r="E305" s="46" t="s">
        <v>588</v>
      </c>
      <c r="F305" s="46" t="s">
        <v>6323</v>
      </c>
      <c r="H305" s="46" t="s">
        <v>905</v>
      </c>
      <c r="I305" s="46" t="s">
        <v>6324</v>
      </c>
      <c r="J305" s="49" t="s">
        <v>761</v>
      </c>
      <c r="L305" s="63">
        <v>5</v>
      </c>
      <c r="O305" s="47" t="s">
        <v>5655</v>
      </c>
      <c r="P305" s="47" t="s">
        <v>6325</v>
      </c>
      <c r="Q305" s="62" t="s">
        <v>592</v>
      </c>
      <c r="U305" s="46" t="s">
        <v>491</v>
      </c>
      <c r="V305" s="46"/>
    </row>
    <row r="306" spans="1:22" ht="30" x14ac:dyDescent="0.25">
      <c r="A306" s="61">
        <v>42832</v>
      </c>
      <c r="B306" s="62" t="s">
        <v>110</v>
      </c>
      <c r="C306" s="46" t="s">
        <v>761</v>
      </c>
      <c r="D306" s="46" t="s">
        <v>4782</v>
      </c>
      <c r="E306" s="46" t="s">
        <v>588</v>
      </c>
      <c r="F306" s="46" t="s">
        <v>6323</v>
      </c>
      <c r="H306" s="46" t="s">
        <v>905</v>
      </c>
      <c r="I306" s="46" t="s">
        <v>6324</v>
      </c>
      <c r="J306" s="49" t="s">
        <v>761</v>
      </c>
      <c r="L306" s="63">
        <v>5</v>
      </c>
      <c r="O306" s="47" t="s">
        <v>5655</v>
      </c>
      <c r="P306" s="47" t="s">
        <v>6325</v>
      </c>
      <c r="Q306" s="62" t="s">
        <v>592</v>
      </c>
      <c r="U306" s="46" t="s">
        <v>491</v>
      </c>
      <c r="V306" s="46"/>
    </row>
    <row r="307" spans="1:22" ht="60" x14ac:dyDescent="0.25">
      <c r="A307" s="61">
        <v>42832</v>
      </c>
      <c r="B307" s="62" t="s">
        <v>328</v>
      </c>
      <c r="C307" s="46" t="s">
        <v>603</v>
      </c>
      <c r="D307" s="46" t="s">
        <v>649</v>
      </c>
      <c r="E307" s="46" t="s">
        <v>588</v>
      </c>
      <c r="F307" s="46" t="s">
        <v>6316</v>
      </c>
      <c r="H307" s="46" t="s">
        <v>6252</v>
      </c>
      <c r="I307" s="46" t="s">
        <v>6317</v>
      </c>
      <c r="J307" s="49" t="s">
        <v>899</v>
      </c>
      <c r="L307" s="63">
        <v>9</v>
      </c>
      <c r="M307" s="64">
        <v>272000</v>
      </c>
      <c r="N307" s="64">
        <v>435000</v>
      </c>
      <c r="O307" s="47" t="s">
        <v>6318</v>
      </c>
      <c r="P307" s="47" t="s">
        <v>6319</v>
      </c>
      <c r="Q307" s="62" t="s">
        <v>1939</v>
      </c>
      <c r="R307" s="47" t="s">
        <v>6320</v>
      </c>
      <c r="S307" s="47" t="s">
        <v>6322</v>
      </c>
      <c r="U307" s="46" t="s">
        <v>491</v>
      </c>
      <c r="V307" s="46"/>
    </row>
    <row r="308" spans="1:22" ht="30" x14ac:dyDescent="0.25">
      <c r="A308" s="61">
        <v>42832</v>
      </c>
      <c r="B308" s="62" t="s">
        <v>328</v>
      </c>
      <c r="C308" s="46" t="s">
        <v>603</v>
      </c>
      <c r="D308" s="46" t="s">
        <v>1401</v>
      </c>
      <c r="E308" s="46" t="s">
        <v>692</v>
      </c>
      <c r="F308" s="46" t="s">
        <v>6327</v>
      </c>
      <c r="H308" s="46" t="s">
        <v>607</v>
      </c>
      <c r="I308" s="46" t="s">
        <v>6328</v>
      </c>
      <c r="J308" s="49" t="s">
        <v>6329</v>
      </c>
      <c r="L308" s="63">
        <v>1</v>
      </c>
      <c r="M308" s="64">
        <v>1000000</v>
      </c>
      <c r="N308" s="64">
        <v>2000000</v>
      </c>
      <c r="O308" s="47" t="s">
        <v>6330</v>
      </c>
      <c r="P308" s="47" t="s">
        <v>6331</v>
      </c>
      <c r="Q308" s="62" t="s">
        <v>1939</v>
      </c>
      <c r="R308" s="47" t="s">
        <v>6332</v>
      </c>
      <c r="S308" s="47" t="s">
        <v>6326</v>
      </c>
      <c r="U308" s="46" t="s">
        <v>491</v>
      </c>
      <c r="V308" s="46"/>
    </row>
    <row r="309" spans="1:22" ht="60" x14ac:dyDescent="0.25">
      <c r="A309" s="61">
        <v>42832</v>
      </c>
      <c r="B309" s="62" t="s">
        <v>328</v>
      </c>
      <c r="C309" s="46" t="s">
        <v>603</v>
      </c>
      <c r="D309" s="46" t="s">
        <v>5701</v>
      </c>
      <c r="E309" s="46" t="s">
        <v>588</v>
      </c>
      <c r="F309" s="46" t="s">
        <v>6337</v>
      </c>
      <c r="H309" s="46" t="s">
        <v>607</v>
      </c>
      <c r="I309" s="46" t="s">
        <v>6338</v>
      </c>
      <c r="J309" s="49" t="s">
        <v>3369</v>
      </c>
      <c r="M309" s="64">
        <v>1184000</v>
      </c>
      <c r="N309" s="64">
        <v>1876000</v>
      </c>
      <c r="O309" s="47" t="s">
        <v>6339</v>
      </c>
      <c r="P309" s="47" t="s">
        <v>6340</v>
      </c>
      <c r="Q309" s="62" t="s">
        <v>1939</v>
      </c>
      <c r="R309" s="47" t="s">
        <v>6341</v>
      </c>
      <c r="S309" s="47" t="s">
        <v>6342</v>
      </c>
      <c r="U309" s="46" t="s">
        <v>491</v>
      </c>
      <c r="V309" s="46"/>
    </row>
    <row r="310" spans="1:22" ht="105" x14ac:dyDescent="0.25">
      <c r="A310" s="61">
        <v>42832</v>
      </c>
      <c r="B310" s="62" t="s">
        <v>328</v>
      </c>
      <c r="C310" s="46" t="s">
        <v>603</v>
      </c>
      <c r="D310" s="46" t="s">
        <v>672</v>
      </c>
      <c r="E310" s="46" t="s">
        <v>588</v>
      </c>
      <c r="F310" s="46" t="s">
        <v>6343</v>
      </c>
      <c r="H310" s="46" t="s">
        <v>5244</v>
      </c>
      <c r="I310" s="46" t="s">
        <v>6344</v>
      </c>
      <c r="J310" s="49" t="s">
        <v>899</v>
      </c>
      <c r="L310" s="63">
        <v>10</v>
      </c>
      <c r="M310" s="64">
        <v>644000</v>
      </c>
      <c r="N310" s="64">
        <v>1159200</v>
      </c>
      <c r="O310" s="47" t="s">
        <v>2680</v>
      </c>
      <c r="P310" s="47" t="s">
        <v>6345</v>
      </c>
      <c r="Q310" s="62" t="s">
        <v>592</v>
      </c>
      <c r="U310" s="46" t="s">
        <v>491</v>
      </c>
      <c r="V310" s="46"/>
    </row>
    <row r="311" spans="1:22" ht="120" x14ac:dyDescent="0.25">
      <c r="A311" s="61">
        <v>42832</v>
      </c>
      <c r="B311" s="62" t="s">
        <v>569</v>
      </c>
      <c r="C311" s="46" t="s">
        <v>899</v>
      </c>
      <c r="D311" s="46" t="s">
        <v>930</v>
      </c>
      <c r="E311" s="46" t="s">
        <v>821</v>
      </c>
      <c r="F311" s="46" t="s">
        <v>6333</v>
      </c>
      <c r="H311" s="46" t="s">
        <v>905</v>
      </c>
      <c r="O311" s="47" t="s">
        <v>5678</v>
      </c>
      <c r="P311" s="47" t="s">
        <v>6334</v>
      </c>
      <c r="Q311" s="62" t="s">
        <v>592</v>
      </c>
      <c r="U311" s="46" t="s">
        <v>491</v>
      </c>
      <c r="V311" s="46"/>
    </row>
    <row r="312" spans="1:22" ht="60" x14ac:dyDescent="0.25">
      <c r="A312" s="61">
        <v>42832</v>
      </c>
      <c r="B312" s="62" t="s">
        <v>569</v>
      </c>
      <c r="C312" s="46" t="s">
        <v>899</v>
      </c>
      <c r="D312" s="46" t="s">
        <v>625</v>
      </c>
      <c r="E312" s="46" t="s">
        <v>588</v>
      </c>
      <c r="F312" s="46" t="s">
        <v>6335</v>
      </c>
      <c r="H312" s="46" t="s">
        <v>607</v>
      </c>
      <c r="I312" s="46" t="s">
        <v>3388</v>
      </c>
      <c r="J312" s="49" t="s">
        <v>899</v>
      </c>
      <c r="L312" s="63">
        <v>2</v>
      </c>
      <c r="M312" s="64">
        <v>2600000</v>
      </c>
      <c r="N312" s="64">
        <v>4590000</v>
      </c>
      <c r="O312" s="47" t="s">
        <v>5678</v>
      </c>
      <c r="P312" s="47" t="s">
        <v>6336</v>
      </c>
      <c r="Q312" s="62" t="s">
        <v>620</v>
      </c>
      <c r="R312" s="47" t="s">
        <v>6348</v>
      </c>
      <c r="U312" s="46" t="s">
        <v>491</v>
      </c>
      <c r="V312" s="46"/>
    </row>
    <row r="313" spans="1:22" ht="30" x14ac:dyDescent="0.25">
      <c r="A313" s="61">
        <v>42832</v>
      </c>
      <c r="B313" s="62" t="s">
        <v>569</v>
      </c>
      <c r="C313" s="46" t="s">
        <v>899</v>
      </c>
      <c r="D313" s="46" t="s">
        <v>625</v>
      </c>
      <c r="E313" s="46" t="s">
        <v>588</v>
      </c>
      <c r="F313" s="46" t="s">
        <v>6346</v>
      </c>
      <c r="H313" s="46" t="s">
        <v>607</v>
      </c>
      <c r="I313" s="46" t="s">
        <v>3721</v>
      </c>
      <c r="J313" s="49" t="s">
        <v>899</v>
      </c>
      <c r="L313" s="63">
        <v>2</v>
      </c>
      <c r="M313" s="64">
        <v>800000</v>
      </c>
      <c r="N313" s="64">
        <v>970000</v>
      </c>
      <c r="O313" s="47" t="s">
        <v>1171</v>
      </c>
      <c r="P313" s="47" t="s">
        <v>6347</v>
      </c>
      <c r="Q313" s="62" t="s">
        <v>29</v>
      </c>
      <c r="U313" s="46" t="s">
        <v>491</v>
      </c>
      <c r="V313" s="46"/>
    </row>
    <row r="314" spans="1:22" ht="45" x14ac:dyDescent="0.25">
      <c r="A314" s="61">
        <v>42835</v>
      </c>
      <c r="B314" s="62" t="s">
        <v>110</v>
      </c>
      <c r="C314" s="46" t="s">
        <v>761</v>
      </c>
      <c r="D314" s="46" t="s">
        <v>4782</v>
      </c>
      <c r="E314" s="46" t="s">
        <v>588</v>
      </c>
      <c r="F314" s="46" t="s">
        <v>6367</v>
      </c>
      <c r="H314" s="46" t="s">
        <v>607</v>
      </c>
      <c r="I314" s="46" t="s">
        <v>4230</v>
      </c>
      <c r="J314" s="49" t="s">
        <v>761</v>
      </c>
      <c r="L314" s="63">
        <v>5</v>
      </c>
      <c r="M314" s="64">
        <v>475000</v>
      </c>
      <c r="N314" s="64">
        <v>807500</v>
      </c>
      <c r="O314" s="47" t="s">
        <v>5953</v>
      </c>
      <c r="P314" s="47" t="s">
        <v>6368</v>
      </c>
      <c r="Q314" s="62" t="s">
        <v>1939</v>
      </c>
      <c r="R314" s="47" t="s">
        <v>6369</v>
      </c>
      <c r="U314" s="46" t="s">
        <v>491</v>
      </c>
      <c r="V314" s="46"/>
    </row>
    <row r="315" spans="1:22" ht="68.25" x14ac:dyDescent="0.25">
      <c r="A315" s="61">
        <v>42835</v>
      </c>
      <c r="B315" s="62" t="s">
        <v>320</v>
      </c>
      <c r="C315" s="46" t="s">
        <v>603</v>
      </c>
      <c r="D315" s="46" t="s">
        <v>1016</v>
      </c>
      <c r="E315" s="46" t="s">
        <v>588</v>
      </c>
      <c r="F315" s="46" t="s">
        <v>6355</v>
      </c>
      <c r="H315" s="46" t="s">
        <v>607</v>
      </c>
      <c r="I315" s="46" t="s">
        <v>6356</v>
      </c>
      <c r="J315" s="49" t="s">
        <v>3856</v>
      </c>
      <c r="L315" s="63">
        <v>6</v>
      </c>
      <c r="M315" s="64">
        <v>20000000</v>
      </c>
      <c r="N315" s="64">
        <v>2430000</v>
      </c>
      <c r="O315" s="47" t="s">
        <v>6357</v>
      </c>
      <c r="P315" s="47" t="s">
        <v>6358</v>
      </c>
      <c r="Q315" s="62" t="s">
        <v>1939</v>
      </c>
      <c r="R315" s="89" t="s">
        <v>6359</v>
      </c>
      <c r="U315" s="46" t="s">
        <v>491</v>
      </c>
      <c r="V315" s="46"/>
    </row>
    <row r="316" spans="1:22" ht="74.25" x14ac:dyDescent="0.25">
      <c r="A316" s="61">
        <v>42835</v>
      </c>
      <c r="B316" s="62" t="s">
        <v>328</v>
      </c>
      <c r="C316" s="46" t="s">
        <v>603</v>
      </c>
      <c r="D316" s="46" t="s">
        <v>5701</v>
      </c>
      <c r="E316" s="46" t="s">
        <v>588</v>
      </c>
      <c r="F316" s="46" t="s">
        <v>6352</v>
      </c>
      <c r="H316" s="46" t="s">
        <v>6354</v>
      </c>
      <c r="I316" s="46" t="s">
        <v>6353</v>
      </c>
      <c r="J316" s="49" t="s">
        <v>899</v>
      </c>
      <c r="L316" s="63">
        <v>9</v>
      </c>
      <c r="M316" s="64">
        <v>450000</v>
      </c>
      <c r="N316" s="64">
        <v>610000</v>
      </c>
      <c r="O316" s="47" t="s">
        <v>2680</v>
      </c>
      <c r="P316" s="47" t="s">
        <v>6664</v>
      </c>
      <c r="Q316" s="62" t="s">
        <v>1612</v>
      </c>
      <c r="R316" s="47" t="s">
        <v>8400</v>
      </c>
      <c r="U316" s="46" t="s">
        <v>491</v>
      </c>
      <c r="V316" s="46"/>
    </row>
    <row r="317" spans="1:22" ht="75" x14ac:dyDescent="0.25">
      <c r="A317" s="61">
        <v>42835</v>
      </c>
      <c r="B317" s="62" t="s">
        <v>5176</v>
      </c>
      <c r="C317" s="46" t="s">
        <v>604</v>
      </c>
      <c r="D317" s="46" t="s">
        <v>727</v>
      </c>
      <c r="E317" s="46" t="s">
        <v>588</v>
      </c>
      <c r="F317" s="46" t="s">
        <v>6349</v>
      </c>
      <c r="H317" s="46" t="s">
        <v>722</v>
      </c>
      <c r="I317" s="46" t="s">
        <v>6350</v>
      </c>
      <c r="J317" s="49" t="s">
        <v>4684</v>
      </c>
      <c r="L317" s="63">
        <v>9</v>
      </c>
      <c r="M317" s="64">
        <v>153000</v>
      </c>
      <c r="N317" s="64">
        <v>267900</v>
      </c>
      <c r="O317" s="47" t="s">
        <v>2680</v>
      </c>
      <c r="P317" s="47" t="s">
        <v>6351</v>
      </c>
      <c r="Q317" s="62" t="s">
        <v>592</v>
      </c>
      <c r="U317" s="46" t="s">
        <v>491</v>
      </c>
      <c r="V317" s="46"/>
    </row>
    <row r="318" spans="1:22" ht="75" x14ac:dyDescent="0.25">
      <c r="A318" s="61">
        <v>42835</v>
      </c>
      <c r="B318" s="62" t="s">
        <v>5176</v>
      </c>
      <c r="D318" s="46" t="s">
        <v>595</v>
      </c>
      <c r="E318" s="46" t="s">
        <v>821</v>
      </c>
      <c r="H318" s="46" t="s">
        <v>1050</v>
      </c>
      <c r="O318" s="47" t="s">
        <v>5234</v>
      </c>
      <c r="P318" s="47" t="s">
        <v>6365</v>
      </c>
      <c r="Q318" s="62" t="s">
        <v>29</v>
      </c>
      <c r="R318" s="47" t="s">
        <v>6366</v>
      </c>
      <c r="U318" s="46" t="s">
        <v>491</v>
      </c>
      <c r="V318" s="46"/>
    </row>
    <row r="319" spans="1:22" ht="30" x14ac:dyDescent="0.25">
      <c r="A319" s="61">
        <v>42835</v>
      </c>
      <c r="B319" s="62" t="s">
        <v>1788</v>
      </c>
      <c r="C319" s="46" t="s">
        <v>3369</v>
      </c>
      <c r="D319" s="46" t="s">
        <v>6360</v>
      </c>
      <c r="E319" s="46" t="s">
        <v>588</v>
      </c>
      <c r="F319" s="46" t="s">
        <v>6361</v>
      </c>
      <c r="H319" s="46" t="s">
        <v>6362</v>
      </c>
      <c r="I319" s="46" t="s">
        <v>6363</v>
      </c>
      <c r="J319" s="49" t="s">
        <v>3369</v>
      </c>
      <c r="M319" s="64">
        <v>1500000</v>
      </c>
      <c r="N319" s="64">
        <v>2120000</v>
      </c>
      <c r="O319" s="47" t="s">
        <v>560</v>
      </c>
      <c r="P319" s="47" t="s">
        <v>6364</v>
      </c>
      <c r="Q319" s="62" t="s">
        <v>592</v>
      </c>
      <c r="U319" s="46" t="s">
        <v>491</v>
      </c>
      <c r="V319" s="46"/>
    </row>
    <row r="320" spans="1:22" ht="60" x14ac:dyDescent="0.25">
      <c r="A320" s="61">
        <v>42836</v>
      </c>
      <c r="B320" s="62" t="s">
        <v>328</v>
      </c>
      <c r="C320" s="46" t="s">
        <v>603</v>
      </c>
      <c r="D320" s="46" t="s">
        <v>2397</v>
      </c>
      <c r="E320" s="46" t="s">
        <v>588</v>
      </c>
      <c r="F320" s="46" t="s">
        <v>6370</v>
      </c>
      <c r="H320" s="46" t="s">
        <v>607</v>
      </c>
      <c r="I320" s="46" t="s">
        <v>6371</v>
      </c>
      <c r="J320" s="49" t="s">
        <v>644</v>
      </c>
      <c r="L320" s="63">
        <v>10</v>
      </c>
      <c r="M320" s="64">
        <v>220000</v>
      </c>
      <c r="N320" s="64">
        <v>364000</v>
      </c>
      <c r="O320" s="47" t="s">
        <v>2680</v>
      </c>
      <c r="P320" s="47" t="s">
        <v>6665</v>
      </c>
      <c r="Q320" s="62" t="s">
        <v>620</v>
      </c>
      <c r="R320" s="47" t="s">
        <v>6372</v>
      </c>
      <c r="U320" s="46" t="s">
        <v>491</v>
      </c>
      <c r="V320" s="46"/>
    </row>
    <row r="321" spans="1:22" ht="60" x14ac:dyDescent="0.25">
      <c r="A321" s="61">
        <v>42836</v>
      </c>
      <c r="B321" s="62" t="s">
        <v>328</v>
      </c>
      <c r="C321" s="46" t="s">
        <v>603</v>
      </c>
      <c r="D321" s="46" t="s">
        <v>649</v>
      </c>
      <c r="E321" s="46" t="s">
        <v>588</v>
      </c>
      <c r="F321" s="46" t="s">
        <v>6373</v>
      </c>
      <c r="H321" s="46" t="s">
        <v>722</v>
      </c>
      <c r="J321" s="49" t="s">
        <v>899</v>
      </c>
      <c r="L321" s="63">
        <v>5</v>
      </c>
      <c r="M321" s="64">
        <v>1060631</v>
      </c>
      <c r="N321" s="64">
        <v>1860631</v>
      </c>
      <c r="O321" s="47" t="s">
        <v>695</v>
      </c>
      <c r="P321" s="47" t="s">
        <v>6377</v>
      </c>
      <c r="Q321" s="62" t="s">
        <v>1939</v>
      </c>
      <c r="R321" s="47" t="s">
        <v>6374</v>
      </c>
      <c r="S321" s="47" t="s">
        <v>6376</v>
      </c>
      <c r="U321" s="46" t="s">
        <v>491</v>
      </c>
      <c r="V321" s="46"/>
    </row>
    <row r="322" spans="1:22" ht="60" x14ac:dyDescent="0.25">
      <c r="A322" s="61">
        <v>42836</v>
      </c>
      <c r="B322" s="62" t="s">
        <v>328</v>
      </c>
      <c r="C322" s="46" t="s">
        <v>603</v>
      </c>
      <c r="D322" s="46" t="s">
        <v>672</v>
      </c>
      <c r="E322" s="46" t="s">
        <v>588</v>
      </c>
      <c r="F322" s="46" t="s">
        <v>6375</v>
      </c>
      <c r="H322" s="46" t="s">
        <v>607</v>
      </c>
      <c r="J322" s="49" t="s">
        <v>5610</v>
      </c>
      <c r="L322" s="63">
        <v>4</v>
      </c>
      <c r="M322" s="64">
        <v>468000</v>
      </c>
      <c r="N322" s="64">
        <v>928000</v>
      </c>
      <c r="O322" s="47" t="s">
        <v>695</v>
      </c>
      <c r="P322" s="47" t="s">
        <v>6378</v>
      </c>
      <c r="Q322" s="62" t="s">
        <v>592</v>
      </c>
      <c r="S322" s="47" t="s">
        <v>6376</v>
      </c>
      <c r="U322" s="46" t="s">
        <v>491</v>
      </c>
      <c r="V322" s="46"/>
    </row>
    <row r="323" spans="1:22" ht="45" x14ac:dyDescent="0.25">
      <c r="A323" s="61">
        <v>42836</v>
      </c>
      <c r="B323" s="62" t="s">
        <v>328</v>
      </c>
      <c r="C323" s="46" t="s">
        <v>603</v>
      </c>
      <c r="D323" s="46" t="s">
        <v>649</v>
      </c>
      <c r="E323" s="46" t="s">
        <v>588</v>
      </c>
      <c r="F323" s="46" t="s">
        <v>6379</v>
      </c>
      <c r="H323" s="46" t="s">
        <v>1626</v>
      </c>
      <c r="I323" s="46" t="s">
        <v>6380</v>
      </c>
      <c r="J323" s="49" t="s">
        <v>4031</v>
      </c>
      <c r="M323" s="64">
        <v>1181000</v>
      </c>
      <c r="N323" s="64">
        <v>2300000</v>
      </c>
      <c r="O323" s="47" t="s">
        <v>560</v>
      </c>
      <c r="P323" s="47" t="s">
        <v>6381</v>
      </c>
      <c r="Q323" s="62" t="s">
        <v>592</v>
      </c>
      <c r="U323" s="46" t="s">
        <v>491</v>
      </c>
      <c r="V323" s="46"/>
    </row>
    <row r="324" spans="1:22" ht="30" x14ac:dyDescent="0.25">
      <c r="A324" s="61">
        <v>42837</v>
      </c>
      <c r="B324" s="62" t="s">
        <v>328</v>
      </c>
      <c r="C324" s="46" t="s">
        <v>899</v>
      </c>
      <c r="D324" s="46" t="s">
        <v>1401</v>
      </c>
      <c r="E324" s="46" t="s">
        <v>588</v>
      </c>
      <c r="F324" s="46" t="s">
        <v>6397</v>
      </c>
      <c r="H324" s="46" t="s">
        <v>607</v>
      </c>
      <c r="I324" s="46" t="s">
        <v>3721</v>
      </c>
      <c r="J324" s="49" t="s">
        <v>899</v>
      </c>
      <c r="L324" s="63">
        <v>1</v>
      </c>
      <c r="M324" s="64">
        <v>3200000</v>
      </c>
      <c r="N324" s="64">
        <v>4800000</v>
      </c>
      <c r="O324" s="47" t="s">
        <v>560</v>
      </c>
      <c r="P324" s="47" t="s">
        <v>6398</v>
      </c>
      <c r="Q324" s="62" t="s">
        <v>1939</v>
      </c>
      <c r="R324" s="47" t="s">
        <v>6399</v>
      </c>
      <c r="U324" s="46" t="s">
        <v>491</v>
      </c>
      <c r="V324" s="46"/>
    </row>
    <row r="325" spans="1:22" ht="240.75" customHeight="1" x14ac:dyDescent="0.25">
      <c r="A325" s="61">
        <v>42837</v>
      </c>
      <c r="B325" s="62" t="s">
        <v>328</v>
      </c>
      <c r="C325" s="46" t="s">
        <v>6015</v>
      </c>
      <c r="D325" s="46" t="s">
        <v>5701</v>
      </c>
      <c r="E325" s="46" t="s">
        <v>588</v>
      </c>
      <c r="F325" s="46" t="s">
        <v>6400</v>
      </c>
      <c r="H325" s="46" t="s">
        <v>607</v>
      </c>
      <c r="I325" s="46" t="s">
        <v>6016</v>
      </c>
      <c r="J325" s="49" t="s">
        <v>6015</v>
      </c>
      <c r="L325" s="63">
        <v>3</v>
      </c>
      <c r="M325" s="64">
        <v>156213</v>
      </c>
      <c r="N325" s="64">
        <v>281183</v>
      </c>
      <c r="O325" s="47" t="s">
        <v>2934</v>
      </c>
      <c r="P325" s="47" t="s">
        <v>6401</v>
      </c>
      <c r="Q325" s="62" t="s">
        <v>1939</v>
      </c>
      <c r="R325" s="89" t="s">
        <v>6402</v>
      </c>
      <c r="U325" s="46" t="s">
        <v>491</v>
      </c>
      <c r="V325" s="46"/>
    </row>
    <row r="326" spans="1:22" ht="180.75" x14ac:dyDescent="0.25">
      <c r="A326" s="61">
        <v>42837</v>
      </c>
      <c r="B326" s="62" t="s">
        <v>328</v>
      </c>
      <c r="C326" s="46" t="s">
        <v>603</v>
      </c>
      <c r="D326" s="46" t="s">
        <v>1401</v>
      </c>
      <c r="E326" s="46" t="s">
        <v>588</v>
      </c>
      <c r="F326" s="46" t="s">
        <v>6410</v>
      </c>
      <c r="H326" s="46" t="s">
        <v>2074</v>
      </c>
      <c r="I326" s="46" t="s">
        <v>5362</v>
      </c>
      <c r="J326" s="49" t="s">
        <v>899</v>
      </c>
      <c r="M326" s="64">
        <v>1550000</v>
      </c>
      <c r="N326" s="64">
        <v>3145000</v>
      </c>
      <c r="O326" s="47" t="s">
        <v>560</v>
      </c>
      <c r="P326" s="47" t="s">
        <v>6411</v>
      </c>
      <c r="Q326" s="62" t="s">
        <v>1939</v>
      </c>
      <c r="R326" s="89" t="s">
        <v>6430</v>
      </c>
      <c r="U326" s="46" t="s">
        <v>491</v>
      </c>
      <c r="V326" s="46"/>
    </row>
    <row r="327" spans="1:22" ht="45" x14ac:dyDescent="0.25">
      <c r="A327" s="61">
        <v>42837</v>
      </c>
      <c r="B327" s="62" t="s">
        <v>5992</v>
      </c>
      <c r="D327" s="46" t="s">
        <v>5270</v>
      </c>
      <c r="E327" s="46" t="s">
        <v>588</v>
      </c>
      <c r="F327" s="46" t="s">
        <v>6403</v>
      </c>
      <c r="H327" s="46" t="s">
        <v>4132</v>
      </c>
      <c r="I327" s="46" t="s">
        <v>6404</v>
      </c>
      <c r="J327" s="49" t="s">
        <v>608</v>
      </c>
      <c r="M327" s="64">
        <v>780000</v>
      </c>
      <c r="N327" s="64">
        <v>1092000</v>
      </c>
      <c r="O327" s="47" t="s">
        <v>666</v>
      </c>
      <c r="P327" s="47" t="s">
        <v>6405</v>
      </c>
      <c r="Q327" s="62" t="s">
        <v>1939</v>
      </c>
      <c r="R327" s="47" t="s">
        <v>6406</v>
      </c>
      <c r="U327" s="46" t="s">
        <v>491</v>
      </c>
      <c r="V327" s="46"/>
    </row>
    <row r="328" spans="1:22" ht="60" x14ac:dyDescent="0.25">
      <c r="A328" s="61">
        <v>42837</v>
      </c>
      <c r="B328" s="62" t="s">
        <v>5176</v>
      </c>
      <c r="D328" s="46" t="s">
        <v>595</v>
      </c>
      <c r="E328" s="46" t="s">
        <v>588</v>
      </c>
      <c r="F328" s="46" t="s">
        <v>6386</v>
      </c>
      <c r="H328" s="46" t="s">
        <v>809</v>
      </c>
      <c r="I328" s="46" t="s">
        <v>5932</v>
      </c>
      <c r="J328" s="49" t="s">
        <v>604</v>
      </c>
      <c r="O328" s="47" t="s">
        <v>6387</v>
      </c>
      <c r="P328" s="47" t="s">
        <v>6388</v>
      </c>
      <c r="Q328" s="62" t="s">
        <v>1939</v>
      </c>
      <c r="R328" s="47" t="s">
        <v>6389</v>
      </c>
      <c r="U328" s="46" t="s">
        <v>491</v>
      </c>
      <c r="V328" s="46"/>
    </row>
    <row r="329" spans="1:22" ht="150" x14ac:dyDescent="0.25">
      <c r="A329" s="61">
        <v>42837</v>
      </c>
      <c r="B329" s="62" t="s">
        <v>5176</v>
      </c>
      <c r="C329" s="46" t="s">
        <v>959</v>
      </c>
      <c r="D329" s="46" t="s">
        <v>732</v>
      </c>
      <c r="E329" s="46" t="s">
        <v>588</v>
      </c>
      <c r="F329" s="46" t="s">
        <v>6407</v>
      </c>
      <c r="H329" s="46" t="s">
        <v>607</v>
      </c>
      <c r="I329" s="46" t="s">
        <v>6408</v>
      </c>
      <c r="J329" s="49" t="s">
        <v>959</v>
      </c>
      <c r="M329" s="64">
        <v>175000</v>
      </c>
      <c r="N329" s="64">
        <v>289500</v>
      </c>
      <c r="O329" s="47" t="s">
        <v>1033</v>
      </c>
      <c r="P329" s="47" t="s">
        <v>6409</v>
      </c>
      <c r="Q329" s="62" t="s">
        <v>1612</v>
      </c>
      <c r="R329" s="47" t="s">
        <v>6666</v>
      </c>
      <c r="U329" s="46" t="s">
        <v>491</v>
      </c>
      <c r="V329" s="46"/>
    </row>
    <row r="330" spans="1:22" ht="45" x14ac:dyDescent="0.25">
      <c r="A330" s="61">
        <v>42837</v>
      </c>
      <c r="B330" s="62" t="s">
        <v>5176</v>
      </c>
      <c r="D330" s="46" t="s">
        <v>727</v>
      </c>
      <c r="E330" s="46" t="s">
        <v>588</v>
      </c>
      <c r="F330" s="46" t="s">
        <v>6412</v>
      </c>
      <c r="H330" s="46" t="s">
        <v>607</v>
      </c>
      <c r="I330" s="46" t="s">
        <v>6413</v>
      </c>
      <c r="J330" s="49" t="s">
        <v>3369</v>
      </c>
      <c r="O330" s="47" t="s">
        <v>5611</v>
      </c>
      <c r="P330" s="47" t="s">
        <v>6414</v>
      </c>
      <c r="Q330" s="62" t="s">
        <v>29</v>
      </c>
      <c r="R330" s="47" t="s">
        <v>6415</v>
      </c>
      <c r="U330" s="46" t="s">
        <v>491</v>
      </c>
      <c r="V330" s="46"/>
    </row>
    <row r="331" spans="1:22" ht="30" x14ac:dyDescent="0.25">
      <c r="A331" s="61">
        <v>42837</v>
      </c>
      <c r="B331" s="62" t="s">
        <v>569</v>
      </c>
      <c r="D331" s="46" t="s">
        <v>625</v>
      </c>
      <c r="E331" s="46" t="s">
        <v>588</v>
      </c>
      <c r="F331" s="46" t="s">
        <v>6382</v>
      </c>
      <c r="H331" s="46" t="s">
        <v>607</v>
      </c>
      <c r="I331" s="46" t="s">
        <v>6383</v>
      </c>
      <c r="J331" s="49" t="s">
        <v>899</v>
      </c>
      <c r="L331" s="63" t="s">
        <v>833</v>
      </c>
      <c r="M331" s="64">
        <v>502000</v>
      </c>
      <c r="N331" s="64">
        <v>652000</v>
      </c>
      <c r="O331" s="47" t="s">
        <v>639</v>
      </c>
      <c r="P331" s="47" t="s">
        <v>6384</v>
      </c>
      <c r="Q331" s="62" t="s">
        <v>592</v>
      </c>
      <c r="R331" s="47" t="s">
        <v>6385</v>
      </c>
      <c r="U331" s="46" t="s">
        <v>491</v>
      </c>
      <c r="V331" s="46"/>
    </row>
    <row r="332" spans="1:22" ht="45" x14ac:dyDescent="0.25">
      <c r="A332" s="61">
        <v>42837</v>
      </c>
      <c r="B332" s="62" t="s">
        <v>569</v>
      </c>
      <c r="D332" s="46" t="s">
        <v>625</v>
      </c>
      <c r="E332" s="46" t="s">
        <v>821</v>
      </c>
      <c r="H332" s="46" t="s">
        <v>886</v>
      </c>
      <c r="J332" s="49" t="s">
        <v>899</v>
      </c>
      <c r="O332" s="47" t="s">
        <v>5234</v>
      </c>
      <c r="P332" s="47" t="s">
        <v>6395</v>
      </c>
      <c r="Q332" s="62" t="s">
        <v>29</v>
      </c>
      <c r="R332" s="47" t="s">
        <v>6396</v>
      </c>
      <c r="U332" s="46" t="s">
        <v>491</v>
      </c>
      <c r="V332" s="46"/>
    </row>
    <row r="333" spans="1:22" x14ac:dyDescent="0.25">
      <c r="A333" s="61">
        <v>42837</v>
      </c>
      <c r="B333" s="62" t="s">
        <v>643</v>
      </c>
      <c r="C333" s="46" t="s">
        <v>644</v>
      </c>
      <c r="D333" s="46" t="s">
        <v>645</v>
      </c>
      <c r="E333" s="46" t="s">
        <v>588</v>
      </c>
      <c r="F333" s="46" t="s">
        <v>6390</v>
      </c>
      <c r="H333" s="46" t="s">
        <v>905</v>
      </c>
      <c r="I333" s="46" t="s">
        <v>6391</v>
      </c>
      <c r="J333" s="49" t="s">
        <v>3501</v>
      </c>
      <c r="O333" s="47" t="s">
        <v>6392</v>
      </c>
      <c r="P333" s="47" t="s">
        <v>6393</v>
      </c>
      <c r="Q333" s="62" t="s">
        <v>29</v>
      </c>
      <c r="R333" s="47" t="s">
        <v>6394</v>
      </c>
      <c r="U333" s="46" t="s">
        <v>491</v>
      </c>
      <c r="V333" s="46"/>
    </row>
    <row r="334" spans="1:22" ht="75" x14ac:dyDescent="0.25">
      <c r="A334" s="61">
        <v>42838</v>
      </c>
      <c r="B334" s="62" t="s">
        <v>328</v>
      </c>
      <c r="C334" s="46" t="s">
        <v>603</v>
      </c>
      <c r="D334" s="46" t="s">
        <v>1401</v>
      </c>
      <c r="E334" s="46" t="s">
        <v>588</v>
      </c>
      <c r="F334" s="47" t="s">
        <v>6680</v>
      </c>
      <c r="G334" s="47"/>
      <c r="H334" s="46" t="s">
        <v>607</v>
      </c>
      <c r="I334" s="46" t="s">
        <v>3793</v>
      </c>
      <c r="J334" s="49" t="s">
        <v>899</v>
      </c>
      <c r="L334" s="63">
        <v>10</v>
      </c>
      <c r="M334" s="64">
        <v>1125000</v>
      </c>
      <c r="N334" s="64">
        <v>1912500</v>
      </c>
      <c r="O334" s="47" t="s">
        <v>764</v>
      </c>
      <c r="P334" s="47" t="s">
        <v>6420</v>
      </c>
      <c r="Q334" s="62" t="s">
        <v>1939</v>
      </c>
      <c r="R334" s="47" t="s">
        <v>6421</v>
      </c>
      <c r="S334" s="47" t="s">
        <v>6681</v>
      </c>
      <c r="U334" s="46" t="s">
        <v>491</v>
      </c>
      <c r="V334" s="46"/>
    </row>
    <row r="335" spans="1:22" ht="45" x14ac:dyDescent="0.25">
      <c r="A335" s="61">
        <v>42838</v>
      </c>
      <c r="B335" s="62" t="s">
        <v>328</v>
      </c>
      <c r="C335" s="46" t="s">
        <v>603</v>
      </c>
      <c r="D335" s="46" t="s">
        <v>1401</v>
      </c>
      <c r="E335" s="46" t="s">
        <v>588</v>
      </c>
      <c r="F335" s="46" t="s">
        <v>6424</v>
      </c>
      <c r="H335" s="46" t="s">
        <v>905</v>
      </c>
      <c r="I335" s="46" t="s">
        <v>6425</v>
      </c>
      <c r="J335" s="49" t="s">
        <v>899</v>
      </c>
      <c r="L335" s="63">
        <v>10</v>
      </c>
      <c r="M335" s="64">
        <v>2000000</v>
      </c>
      <c r="N335" s="64">
        <v>2400000</v>
      </c>
      <c r="O335" s="47" t="s">
        <v>560</v>
      </c>
      <c r="P335" s="47" t="s">
        <v>6427</v>
      </c>
      <c r="Q335" s="62" t="s">
        <v>1939</v>
      </c>
      <c r="R335" s="47" t="s">
        <v>6426</v>
      </c>
      <c r="U335" s="46" t="s">
        <v>491</v>
      </c>
      <c r="V335" s="46"/>
    </row>
    <row r="336" spans="1:22" ht="30" x14ac:dyDescent="0.25">
      <c r="A336" s="61">
        <v>42838</v>
      </c>
      <c r="B336" s="62" t="s">
        <v>5176</v>
      </c>
      <c r="D336" s="46" t="s">
        <v>595</v>
      </c>
      <c r="E336" s="46" t="s">
        <v>821</v>
      </c>
      <c r="H336" s="46" t="s">
        <v>905</v>
      </c>
      <c r="I336" s="46" t="s">
        <v>106</v>
      </c>
      <c r="J336" s="49" t="s">
        <v>761</v>
      </c>
      <c r="O336" s="47" t="s">
        <v>35</v>
      </c>
      <c r="P336" s="47" t="s">
        <v>6428</v>
      </c>
      <c r="Q336" s="62" t="s">
        <v>620</v>
      </c>
      <c r="R336" s="47" t="s">
        <v>6429</v>
      </c>
      <c r="U336" s="46" t="s">
        <v>491</v>
      </c>
      <c r="V336" s="46"/>
    </row>
    <row r="337" spans="1:22" ht="60" x14ac:dyDescent="0.25">
      <c r="A337" s="61">
        <v>42838</v>
      </c>
      <c r="B337" s="62" t="s">
        <v>569</v>
      </c>
      <c r="D337" s="46" t="s">
        <v>624</v>
      </c>
      <c r="E337" s="46" t="s">
        <v>588</v>
      </c>
      <c r="F337" s="46" t="s">
        <v>6416</v>
      </c>
      <c r="H337" s="46" t="s">
        <v>1391</v>
      </c>
      <c r="I337" s="46" t="s">
        <v>4237</v>
      </c>
      <c r="J337" s="49" t="s">
        <v>899</v>
      </c>
      <c r="O337" s="47" t="s">
        <v>6417</v>
      </c>
      <c r="P337" s="47" t="s">
        <v>6418</v>
      </c>
      <c r="Q337" s="62" t="s">
        <v>592</v>
      </c>
      <c r="R337" s="47" t="s">
        <v>6419</v>
      </c>
      <c r="U337" s="46" t="s">
        <v>491</v>
      </c>
      <c r="V337" s="46"/>
    </row>
    <row r="338" spans="1:22" ht="75" x14ac:dyDescent="0.25">
      <c r="A338" s="61">
        <v>42838</v>
      </c>
      <c r="B338" s="62" t="s">
        <v>569</v>
      </c>
      <c r="D338" s="46" t="s">
        <v>930</v>
      </c>
      <c r="E338" s="46" t="s">
        <v>821</v>
      </c>
      <c r="F338" s="46" t="s">
        <v>6431</v>
      </c>
      <c r="H338" s="46" t="s">
        <v>607</v>
      </c>
      <c r="O338" s="47" t="s">
        <v>1272</v>
      </c>
      <c r="P338" s="47" t="s">
        <v>6667</v>
      </c>
      <c r="Q338" s="62" t="s">
        <v>592</v>
      </c>
      <c r="U338" s="46" t="s">
        <v>491</v>
      </c>
      <c r="V338" s="46"/>
    </row>
    <row r="339" spans="1:22" ht="30" x14ac:dyDescent="0.25">
      <c r="A339" s="61">
        <v>42838</v>
      </c>
      <c r="B339" s="62" t="s">
        <v>6076</v>
      </c>
      <c r="D339" s="46" t="s">
        <v>2836</v>
      </c>
      <c r="E339" s="46" t="s">
        <v>588</v>
      </c>
      <c r="H339" s="46" t="s">
        <v>607</v>
      </c>
      <c r="I339" s="46" t="s">
        <v>4016</v>
      </c>
      <c r="J339" s="49" t="s">
        <v>3370</v>
      </c>
      <c r="M339" s="64">
        <v>1400000</v>
      </c>
      <c r="O339" s="47" t="s">
        <v>2908</v>
      </c>
      <c r="P339" s="47" t="s">
        <v>6422</v>
      </c>
      <c r="Q339" s="62" t="s">
        <v>1939</v>
      </c>
      <c r="R339" s="47" t="s">
        <v>6423</v>
      </c>
      <c r="U339" s="46" t="s">
        <v>491</v>
      </c>
      <c r="V339" s="46"/>
    </row>
    <row r="340" spans="1:22" ht="150" x14ac:dyDescent="0.25">
      <c r="A340" s="61">
        <v>42839</v>
      </c>
      <c r="B340" s="62" t="s">
        <v>328</v>
      </c>
      <c r="C340" s="46" t="s">
        <v>603</v>
      </c>
      <c r="D340" s="46" t="s">
        <v>649</v>
      </c>
      <c r="E340" s="46" t="s">
        <v>588</v>
      </c>
      <c r="F340" s="46" t="s">
        <v>6435</v>
      </c>
      <c r="H340" s="46" t="s">
        <v>607</v>
      </c>
      <c r="I340" s="46" t="s">
        <v>6436</v>
      </c>
      <c r="J340" s="49" t="s">
        <v>3426</v>
      </c>
      <c r="M340" s="64">
        <v>100000</v>
      </c>
      <c r="N340" s="64">
        <v>170000</v>
      </c>
      <c r="O340" s="47" t="s">
        <v>3107</v>
      </c>
      <c r="P340" s="47" t="s">
        <v>6437</v>
      </c>
      <c r="Q340" s="62" t="s">
        <v>1612</v>
      </c>
      <c r="R340" s="47" t="s">
        <v>6561</v>
      </c>
      <c r="U340" s="46" t="s">
        <v>491</v>
      </c>
      <c r="V340" s="46"/>
    </row>
    <row r="341" spans="1:22" ht="120" x14ac:dyDescent="0.25">
      <c r="A341" s="61">
        <v>42839</v>
      </c>
      <c r="B341" s="62" t="s">
        <v>5176</v>
      </c>
      <c r="D341" s="46" t="s">
        <v>595</v>
      </c>
      <c r="E341" s="46" t="s">
        <v>692</v>
      </c>
      <c r="F341" s="46" t="s">
        <v>6438</v>
      </c>
      <c r="H341" s="46" t="s">
        <v>905</v>
      </c>
      <c r="I341" s="46" t="s">
        <v>106</v>
      </c>
      <c r="J341" s="49" t="s">
        <v>761</v>
      </c>
      <c r="L341" s="63">
        <v>2</v>
      </c>
      <c r="M341" s="64">
        <v>200000</v>
      </c>
      <c r="O341" s="47" t="s">
        <v>1171</v>
      </c>
      <c r="P341" s="47" t="s">
        <v>6439</v>
      </c>
      <c r="Q341" s="62" t="s">
        <v>620</v>
      </c>
      <c r="R341" s="47" t="s">
        <v>6440</v>
      </c>
      <c r="U341" s="46" t="s">
        <v>491</v>
      </c>
      <c r="V341" s="46"/>
    </row>
    <row r="342" spans="1:22" ht="60" x14ac:dyDescent="0.25">
      <c r="A342" s="61">
        <v>42839</v>
      </c>
      <c r="B342" s="62" t="s">
        <v>569</v>
      </c>
      <c r="D342" s="46" t="s">
        <v>625</v>
      </c>
      <c r="E342" s="46" t="s">
        <v>588</v>
      </c>
      <c r="F342" s="46" t="s">
        <v>6441</v>
      </c>
      <c r="H342" s="46" t="s">
        <v>607</v>
      </c>
      <c r="I342" s="46" t="s">
        <v>3941</v>
      </c>
      <c r="J342" s="49" t="s">
        <v>899</v>
      </c>
      <c r="L342" s="63">
        <v>4</v>
      </c>
      <c r="M342" s="64">
        <v>4000000</v>
      </c>
      <c r="N342" s="64">
        <v>4800000</v>
      </c>
      <c r="O342" s="47" t="s">
        <v>560</v>
      </c>
      <c r="P342" s="47" t="s">
        <v>6442</v>
      </c>
      <c r="Q342" s="62" t="s">
        <v>1939</v>
      </c>
      <c r="U342" s="46" t="s">
        <v>491</v>
      </c>
      <c r="V342" s="46"/>
    </row>
    <row r="343" spans="1:22" ht="45" x14ac:dyDescent="0.25">
      <c r="A343" s="61">
        <v>42839</v>
      </c>
      <c r="B343" s="62" t="s">
        <v>569</v>
      </c>
      <c r="D343" s="46" t="s">
        <v>625</v>
      </c>
      <c r="E343" s="46" t="s">
        <v>588</v>
      </c>
      <c r="F343" s="46" t="s">
        <v>6446</v>
      </c>
      <c r="H343" s="46" t="s">
        <v>607</v>
      </c>
      <c r="I343" s="46" t="s">
        <v>3672</v>
      </c>
      <c r="J343" s="49" t="s">
        <v>899</v>
      </c>
      <c r="L343" s="63">
        <v>4</v>
      </c>
      <c r="M343" s="64">
        <v>1948000</v>
      </c>
      <c r="N343" s="64">
        <v>3600000</v>
      </c>
      <c r="O343" s="47" t="s">
        <v>6447</v>
      </c>
      <c r="P343" s="47" t="s">
        <v>6448</v>
      </c>
      <c r="Q343" s="62" t="s">
        <v>1939</v>
      </c>
      <c r="R343" s="47" t="s">
        <v>6449</v>
      </c>
      <c r="U343" s="46" t="s">
        <v>491</v>
      </c>
      <c r="V343" s="46"/>
    </row>
    <row r="344" spans="1:22" ht="105" x14ac:dyDescent="0.25">
      <c r="A344" s="61">
        <v>42839</v>
      </c>
      <c r="B344" s="62" t="s">
        <v>643</v>
      </c>
      <c r="C344" s="46" t="s">
        <v>644</v>
      </c>
      <c r="D344" s="46" t="s">
        <v>645</v>
      </c>
      <c r="E344" s="46" t="s">
        <v>588</v>
      </c>
      <c r="F344" s="46" t="s">
        <v>6432</v>
      </c>
      <c r="H344" s="46" t="s">
        <v>722</v>
      </c>
      <c r="I344" s="46" t="s">
        <v>6433</v>
      </c>
      <c r="J344" s="49" t="s">
        <v>644</v>
      </c>
      <c r="L344" s="63">
        <v>10</v>
      </c>
      <c r="M344" s="64">
        <v>2500000</v>
      </c>
      <c r="N344" s="64">
        <v>3200000</v>
      </c>
      <c r="O344" s="47" t="s">
        <v>560</v>
      </c>
      <c r="P344" s="47" t="s">
        <v>6434</v>
      </c>
      <c r="Q344" s="62" t="s">
        <v>1612</v>
      </c>
      <c r="R344" s="47" t="s">
        <v>6485</v>
      </c>
      <c r="U344" s="46" t="s">
        <v>491</v>
      </c>
      <c r="V344" s="46"/>
    </row>
    <row r="345" spans="1:22" ht="75" x14ac:dyDescent="0.25">
      <c r="A345" s="61">
        <v>42839</v>
      </c>
      <c r="B345" s="62" t="s">
        <v>643</v>
      </c>
      <c r="C345" s="46" t="s">
        <v>644</v>
      </c>
      <c r="D345" s="46" t="s">
        <v>645</v>
      </c>
      <c r="E345" s="46" t="s">
        <v>588</v>
      </c>
      <c r="F345" s="46" t="s">
        <v>6443</v>
      </c>
      <c r="H345" s="46" t="s">
        <v>905</v>
      </c>
      <c r="I345" s="46" t="s">
        <v>5141</v>
      </c>
      <c r="J345" s="49" t="s">
        <v>644</v>
      </c>
      <c r="L345" s="63">
        <v>4</v>
      </c>
      <c r="M345" s="64">
        <v>350000</v>
      </c>
      <c r="N345" s="64">
        <v>350000</v>
      </c>
      <c r="O345" s="47" t="s">
        <v>6357</v>
      </c>
      <c r="P345" s="47" t="s">
        <v>6444</v>
      </c>
      <c r="Q345" s="62" t="s">
        <v>1939</v>
      </c>
      <c r="R345" s="47" t="s">
        <v>6445</v>
      </c>
      <c r="U345" s="46" t="s">
        <v>491</v>
      </c>
      <c r="V345" s="46"/>
    </row>
    <row r="346" spans="1:22" ht="60" x14ac:dyDescent="0.25">
      <c r="A346" s="61">
        <v>42842</v>
      </c>
      <c r="B346" s="62" t="s">
        <v>328</v>
      </c>
      <c r="C346" s="46" t="s">
        <v>603</v>
      </c>
      <c r="D346" s="46" t="s">
        <v>5701</v>
      </c>
      <c r="E346" s="46" t="s">
        <v>588</v>
      </c>
      <c r="F346" s="46" t="s">
        <v>6450</v>
      </c>
      <c r="H346" s="46" t="s">
        <v>607</v>
      </c>
      <c r="I346" s="46" t="s">
        <v>2054</v>
      </c>
      <c r="J346" s="49" t="s">
        <v>899</v>
      </c>
      <c r="L346" s="63">
        <v>2</v>
      </c>
      <c r="M346" s="64">
        <v>1900000</v>
      </c>
      <c r="N346" s="64">
        <v>3300000</v>
      </c>
      <c r="O346" s="47" t="s">
        <v>560</v>
      </c>
      <c r="P346" s="47" t="s">
        <v>6451</v>
      </c>
      <c r="Q346" s="62" t="s">
        <v>1612</v>
      </c>
      <c r="R346" s="47" t="s">
        <v>7972</v>
      </c>
      <c r="S346" s="47" t="s">
        <v>8165</v>
      </c>
      <c r="U346" s="46" t="s">
        <v>491</v>
      </c>
      <c r="V346" s="46"/>
    </row>
    <row r="347" spans="1:22" ht="60" x14ac:dyDescent="0.25">
      <c r="A347" s="61">
        <v>42842</v>
      </c>
      <c r="B347" s="62" t="s">
        <v>569</v>
      </c>
      <c r="D347" s="46" t="s">
        <v>625</v>
      </c>
      <c r="E347" s="46" t="s">
        <v>588</v>
      </c>
      <c r="F347" s="46" t="s">
        <v>6452</v>
      </c>
      <c r="H347" s="46" t="s">
        <v>905</v>
      </c>
      <c r="I347" s="46" t="s">
        <v>3388</v>
      </c>
      <c r="J347" s="49" t="s">
        <v>899</v>
      </c>
      <c r="L347" s="63">
        <v>2</v>
      </c>
      <c r="M347" s="64">
        <v>2500000</v>
      </c>
      <c r="N347" s="64">
        <v>3312000</v>
      </c>
      <c r="O347" s="47" t="s">
        <v>560</v>
      </c>
      <c r="P347" s="47" t="s">
        <v>6453</v>
      </c>
      <c r="Q347" s="62" t="s">
        <v>1612</v>
      </c>
      <c r="R347" s="47" t="s">
        <v>6454</v>
      </c>
      <c r="U347" s="46" t="s">
        <v>491</v>
      </c>
      <c r="V347" s="46"/>
    </row>
    <row r="348" spans="1:22" ht="30" x14ac:dyDescent="0.25">
      <c r="A348" s="61">
        <v>42843</v>
      </c>
      <c r="B348" s="62" t="s">
        <v>328</v>
      </c>
      <c r="C348" s="46" t="s">
        <v>603</v>
      </c>
      <c r="D348" s="46" t="s">
        <v>649</v>
      </c>
      <c r="E348" s="46" t="s">
        <v>588</v>
      </c>
      <c r="F348" s="46" t="s">
        <v>6455</v>
      </c>
      <c r="H348" s="46" t="s">
        <v>905</v>
      </c>
      <c r="I348" s="46" t="s">
        <v>6456</v>
      </c>
      <c r="J348" s="49" t="s">
        <v>899</v>
      </c>
      <c r="L348" s="63">
        <v>3</v>
      </c>
      <c r="M348" s="64">
        <v>2100000</v>
      </c>
      <c r="N348" s="64">
        <v>2730000</v>
      </c>
      <c r="O348" s="47" t="s">
        <v>560</v>
      </c>
      <c r="P348" s="47" t="s">
        <v>6457</v>
      </c>
      <c r="Q348" s="62" t="s">
        <v>1939</v>
      </c>
      <c r="R348" s="47" t="s">
        <v>6458</v>
      </c>
      <c r="U348" s="46" t="s">
        <v>491</v>
      </c>
      <c r="V348" s="46"/>
    </row>
    <row r="349" spans="1:22" ht="141" x14ac:dyDescent="0.25">
      <c r="A349" s="61">
        <v>42843</v>
      </c>
      <c r="B349" s="62" t="s">
        <v>328</v>
      </c>
      <c r="C349" s="46" t="s">
        <v>603</v>
      </c>
      <c r="D349" s="46" t="s">
        <v>649</v>
      </c>
      <c r="E349" s="46" t="s">
        <v>588</v>
      </c>
      <c r="F349" s="46" t="s">
        <v>6463</v>
      </c>
      <c r="H349" s="46" t="s">
        <v>607</v>
      </c>
      <c r="I349" s="46" t="s">
        <v>6464</v>
      </c>
      <c r="J349" s="49" t="s">
        <v>3733</v>
      </c>
      <c r="L349" s="63">
        <v>10</v>
      </c>
      <c r="M349" s="64">
        <v>225000</v>
      </c>
      <c r="N349" s="64">
        <v>400000</v>
      </c>
      <c r="O349" s="47" t="s">
        <v>2680</v>
      </c>
      <c r="P349" s="47" t="s">
        <v>6465</v>
      </c>
      <c r="Q349" s="62" t="s">
        <v>1939</v>
      </c>
      <c r="R349" s="88" t="s">
        <v>6466</v>
      </c>
      <c r="U349" s="46" t="s">
        <v>491</v>
      </c>
      <c r="V349" s="46"/>
    </row>
    <row r="350" spans="1:22" ht="60" x14ac:dyDescent="0.25">
      <c r="A350" s="61">
        <v>42843</v>
      </c>
      <c r="B350" s="62" t="s">
        <v>328</v>
      </c>
      <c r="C350" s="46" t="s">
        <v>603</v>
      </c>
      <c r="D350" s="46" t="s">
        <v>5701</v>
      </c>
      <c r="E350" s="46" t="s">
        <v>588</v>
      </c>
      <c r="F350" s="46" t="s">
        <v>6467</v>
      </c>
      <c r="H350" s="46" t="s">
        <v>722</v>
      </c>
      <c r="I350" s="46" t="s">
        <v>6468</v>
      </c>
      <c r="J350" s="49" t="s">
        <v>5562</v>
      </c>
      <c r="L350" s="63">
        <v>10</v>
      </c>
      <c r="M350" s="64">
        <v>1094000</v>
      </c>
      <c r="N350" s="64">
        <v>2113200</v>
      </c>
      <c r="O350" s="47" t="s">
        <v>560</v>
      </c>
      <c r="P350" s="47" t="s">
        <v>6469</v>
      </c>
      <c r="Q350" s="62" t="s">
        <v>1939</v>
      </c>
      <c r="R350" s="47" t="s">
        <v>6470</v>
      </c>
      <c r="U350" s="46" t="s">
        <v>491</v>
      </c>
      <c r="V350" s="46"/>
    </row>
    <row r="351" spans="1:22" ht="120" x14ac:dyDescent="0.25">
      <c r="A351" s="61">
        <v>42843</v>
      </c>
      <c r="B351" s="62" t="s">
        <v>5176</v>
      </c>
      <c r="D351" s="46" t="s">
        <v>595</v>
      </c>
      <c r="E351" s="46" t="s">
        <v>588</v>
      </c>
      <c r="F351" s="46" t="s">
        <v>6459</v>
      </c>
      <c r="H351" s="46" t="s">
        <v>607</v>
      </c>
      <c r="I351" s="46" t="s">
        <v>6460</v>
      </c>
      <c r="J351" s="49" t="s">
        <v>959</v>
      </c>
      <c r="M351" s="64">
        <v>165000</v>
      </c>
      <c r="N351" s="64">
        <v>356000</v>
      </c>
      <c r="O351" s="47" t="s">
        <v>35</v>
      </c>
      <c r="P351" s="47" t="s">
        <v>6461</v>
      </c>
      <c r="Q351" s="62" t="s">
        <v>29</v>
      </c>
      <c r="R351" s="47" t="s">
        <v>6462</v>
      </c>
      <c r="U351" s="46" t="s">
        <v>491</v>
      </c>
      <c r="V351" s="46"/>
    </row>
    <row r="352" spans="1:22" ht="30" x14ac:dyDescent="0.25">
      <c r="A352" s="61">
        <v>42844</v>
      </c>
      <c r="B352" s="62" t="s">
        <v>110</v>
      </c>
      <c r="C352" s="46" t="s">
        <v>761</v>
      </c>
      <c r="D352" s="46" t="s">
        <v>6471</v>
      </c>
      <c r="E352" s="46" t="s">
        <v>588</v>
      </c>
      <c r="F352" s="46" t="s">
        <v>6472</v>
      </c>
      <c r="H352" s="46" t="s">
        <v>607</v>
      </c>
      <c r="J352" s="49" t="s">
        <v>3733</v>
      </c>
      <c r="O352" s="47" t="s">
        <v>6473</v>
      </c>
      <c r="P352" s="47" t="s">
        <v>6474</v>
      </c>
      <c r="Q352" s="62" t="s">
        <v>29</v>
      </c>
      <c r="R352" s="47" t="s">
        <v>6475</v>
      </c>
      <c r="U352" s="46" t="s">
        <v>491</v>
      </c>
      <c r="V352" s="46"/>
    </row>
    <row r="353" spans="1:22" ht="60" x14ac:dyDescent="0.25">
      <c r="A353" s="61">
        <v>42844</v>
      </c>
      <c r="B353" s="62" t="s">
        <v>569</v>
      </c>
      <c r="D353" s="46" t="s">
        <v>625</v>
      </c>
      <c r="E353" s="46" t="s">
        <v>821</v>
      </c>
      <c r="F353" s="46" t="s">
        <v>6479</v>
      </c>
      <c r="H353" s="46" t="s">
        <v>607</v>
      </c>
      <c r="O353" s="47" t="s">
        <v>35</v>
      </c>
      <c r="P353" s="47" t="s">
        <v>6476</v>
      </c>
      <c r="Q353" s="62" t="s">
        <v>1939</v>
      </c>
      <c r="R353" s="47" t="s">
        <v>6480</v>
      </c>
      <c r="U353" s="46" t="s">
        <v>491</v>
      </c>
      <c r="V353" s="46"/>
    </row>
    <row r="354" spans="1:22" ht="75" x14ac:dyDescent="0.25">
      <c r="A354" s="61">
        <v>42844</v>
      </c>
      <c r="B354" s="62" t="s">
        <v>569</v>
      </c>
      <c r="D354" s="46" t="s">
        <v>625</v>
      </c>
      <c r="E354" s="46" t="s">
        <v>821</v>
      </c>
      <c r="H354" s="46" t="s">
        <v>607</v>
      </c>
      <c r="O354" s="47" t="s">
        <v>1171</v>
      </c>
      <c r="P354" s="47" t="s">
        <v>6477</v>
      </c>
      <c r="Q354" s="62" t="s">
        <v>620</v>
      </c>
      <c r="R354" s="47" t="s">
        <v>6478</v>
      </c>
      <c r="U354" s="46" t="s">
        <v>491</v>
      </c>
      <c r="V354" s="46"/>
    </row>
    <row r="355" spans="1:22" ht="90" x14ac:dyDescent="0.25">
      <c r="A355" s="61">
        <v>42845</v>
      </c>
      <c r="B355" s="62" t="s">
        <v>328</v>
      </c>
      <c r="C355" s="46" t="s">
        <v>603</v>
      </c>
      <c r="D355" s="46" t="s">
        <v>1401</v>
      </c>
      <c r="E355" s="46" t="s">
        <v>588</v>
      </c>
      <c r="F355" s="46" t="s">
        <v>6481</v>
      </c>
      <c r="H355" s="46" t="s">
        <v>607</v>
      </c>
      <c r="I355" s="46" t="s">
        <v>6482</v>
      </c>
      <c r="J355" s="49" t="s">
        <v>3751</v>
      </c>
      <c r="L355" s="63">
        <v>6</v>
      </c>
      <c r="M355" s="64">
        <v>175000</v>
      </c>
      <c r="N355" s="64">
        <v>297500</v>
      </c>
      <c r="O355" s="47" t="s">
        <v>3107</v>
      </c>
      <c r="P355" s="47" t="s">
        <v>6484</v>
      </c>
      <c r="Q355" s="62" t="s">
        <v>592</v>
      </c>
      <c r="R355" s="47" t="s">
        <v>6483</v>
      </c>
      <c r="U355" s="46" t="s">
        <v>491</v>
      </c>
      <c r="V355" s="46"/>
    </row>
    <row r="356" spans="1:22" ht="60" x14ac:dyDescent="0.25">
      <c r="A356" s="61">
        <v>42845</v>
      </c>
      <c r="B356" s="62" t="s">
        <v>328</v>
      </c>
      <c r="C356" s="46" t="s">
        <v>603</v>
      </c>
      <c r="D356" s="46" t="s">
        <v>649</v>
      </c>
      <c r="E356" s="46" t="s">
        <v>588</v>
      </c>
      <c r="F356" s="46" t="s">
        <v>6486</v>
      </c>
      <c r="H356" s="46" t="s">
        <v>5321</v>
      </c>
      <c r="I356" s="46" t="s">
        <v>3929</v>
      </c>
      <c r="J356" s="49" t="s">
        <v>899</v>
      </c>
      <c r="L356" s="63">
        <v>1</v>
      </c>
      <c r="M356" s="64">
        <v>1600000</v>
      </c>
      <c r="N356" s="64">
        <v>2120000</v>
      </c>
      <c r="O356" s="47" t="s">
        <v>2908</v>
      </c>
      <c r="P356" s="47" t="s">
        <v>6487</v>
      </c>
      <c r="Q356" s="62" t="s">
        <v>592</v>
      </c>
      <c r="U356" s="46" t="s">
        <v>491</v>
      </c>
      <c r="V356" s="46"/>
    </row>
    <row r="357" spans="1:22" ht="75" x14ac:dyDescent="0.25">
      <c r="A357" s="61">
        <v>42845</v>
      </c>
      <c r="B357" s="62" t="s">
        <v>328</v>
      </c>
      <c r="C357" s="46" t="s">
        <v>603</v>
      </c>
      <c r="D357" s="46" t="s">
        <v>649</v>
      </c>
      <c r="E357" s="46" t="s">
        <v>588</v>
      </c>
      <c r="F357" s="47" t="s">
        <v>6491</v>
      </c>
      <c r="G357" s="47"/>
      <c r="H357" s="46" t="s">
        <v>607</v>
      </c>
      <c r="I357" s="46" t="s">
        <v>6492</v>
      </c>
      <c r="J357" s="49" t="s">
        <v>644</v>
      </c>
      <c r="L357" s="63" t="s">
        <v>833</v>
      </c>
      <c r="M357" s="64">
        <v>4000000</v>
      </c>
      <c r="N357" s="64">
        <v>4400000</v>
      </c>
      <c r="O357" s="47" t="s">
        <v>1033</v>
      </c>
      <c r="P357" s="47" t="s">
        <v>6668</v>
      </c>
      <c r="Q357" s="62" t="s">
        <v>29</v>
      </c>
      <c r="R357" s="47" t="s">
        <v>6496</v>
      </c>
      <c r="U357" s="46" t="s">
        <v>491</v>
      </c>
      <c r="V357" s="46"/>
    </row>
    <row r="358" spans="1:22" ht="45" x14ac:dyDescent="0.25">
      <c r="A358" s="61">
        <v>42845</v>
      </c>
      <c r="B358" s="62" t="s">
        <v>328</v>
      </c>
      <c r="C358" s="46" t="s">
        <v>603</v>
      </c>
      <c r="D358" s="46" t="s">
        <v>649</v>
      </c>
      <c r="E358" s="46" t="s">
        <v>588</v>
      </c>
      <c r="F358" s="46" t="s">
        <v>6495</v>
      </c>
      <c r="H358" s="46" t="s">
        <v>607</v>
      </c>
      <c r="I358" s="46" t="s">
        <v>6497</v>
      </c>
      <c r="J358" s="49" t="s">
        <v>899</v>
      </c>
      <c r="L358" s="63">
        <v>9</v>
      </c>
      <c r="M358" s="64">
        <v>891378</v>
      </c>
      <c r="N358" s="64">
        <v>1600000</v>
      </c>
      <c r="O358" s="47" t="s">
        <v>560</v>
      </c>
      <c r="P358" s="47" t="s">
        <v>6498</v>
      </c>
      <c r="Q358" s="62" t="s">
        <v>592</v>
      </c>
      <c r="U358" s="46" t="s">
        <v>491</v>
      </c>
      <c r="V358" s="46"/>
    </row>
    <row r="359" spans="1:22" ht="60" x14ac:dyDescent="0.25">
      <c r="A359" s="61">
        <v>42845</v>
      </c>
      <c r="B359" s="62" t="s">
        <v>328</v>
      </c>
      <c r="C359" s="46" t="s">
        <v>603</v>
      </c>
      <c r="D359" s="46" t="s">
        <v>649</v>
      </c>
      <c r="E359" s="46" t="s">
        <v>588</v>
      </c>
      <c r="F359" s="46" t="s">
        <v>6499</v>
      </c>
      <c r="H359" s="46" t="s">
        <v>809</v>
      </c>
      <c r="I359" s="46" t="s">
        <v>3624</v>
      </c>
      <c r="J359" s="49" t="s">
        <v>644</v>
      </c>
      <c r="L359" s="63">
        <v>3</v>
      </c>
      <c r="M359" s="64">
        <v>2500000</v>
      </c>
      <c r="N359" s="64">
        <v>2770000</v>
      </c>
      <c r="O359" s="47" t="s">
        <v>560</v>
      </c>
      <c r="P359" s="47" t="s">
        <v>6500</v>
      </c>
      <c r="Q359" s="62" t="s">
        <v>1939</v>
      </c>
      <c r="R359" s="47" t="s">
        <v>6502</v>
      </c>
      <c r="U359" s="46" t="s">
        <v>491</v>
      </c>
      <c r="V359" s="46"/>
    </row>
    <row r="360" spans="1:22" ht="60" x14ac:dyDescent="0.25">
      <c r="A360" s="61">
        <v>42845</v>
      </c>
      <c r="B360" s="62" t="s">
        <v>328</v>
      </c>
      <c r="C360" s="46" t="s">
        <v>603</v>
      </c>
      <c r="D360" s="46" t="s">
        <v>649</v>
      </c>
      <c r="E360" s="46" t="s">
        <v>588</v>
      </c>
      <c r="F360" s="46" t="s">
        <v>6499</v>
      </c>
      <c r="H360" s="46" t="s">
        <v>809</v>
      </c>
      <c r="I360" s="46" t="s">
        <v>3624</v>
      </c>
      <c r="J360" s="49" t="s">
        <v>644</v>
      </c>
      <c r="L360" s="63">
        <v>3</v>
      </c>
      <c r="M360" s="64">
        <v>2500000</v>
      </c>
      <c r="N360" s="64">
        <v>2770000</v>
      </c>
      <c r="O360" s="47" t="s">
        <v>560</v>
      </c>
      <c r="P360" s="47" t="s">
        <v>6501</v>
      </c>
      <c r="Q360" s="62" t="s">
        <v>1939</v>
      </c>
      <c r="R360" s="47" t="s">
        <v>6503</v>
      </c>
      <c r="U360" s="46" t="s">
        <v>491</v>
      </c>
      <c r="V360" s="46"/>
    </row>
    <row r="361" spans="1:22" ht="120" x14ac:dyDescent="0.25">
      <c r="A361" s="61">
        <v>42845</v>
      </c>
      <c r="B361" s="62" t="s">
        <v>5176</v>
      </c>
      <c r="D361" s="46" t="s">
        <v>595</v>
      </c>
      <c r="E361" s="46" t="s">
        <v>692</v>
      </c>
      <c r="F361" s="46" t="s">
        <v>6488</v>
      </c>
      <c r="H361" s="46" t="s">
        <v>809</v>
      </c>
      <c r="I361" s="46" t="s">
        <v>6489</v>
      </c>
      <c r="J361" s="49" t="s">
        <v>959</v>
      </c>
      <c r="M361" s="64">
        <v>300000</v>
      </c>
      <c r="N361" s="64">
        <v>340000</v>
      </c>
      <c r="O361" s="47" t="s">
        <v>6490</v>
      </c>
      <c r="P361" s="47" t="s">
        <v>6494</v>
      </c>
      <c r="Q361" s="62" t="s">
        <v>1939</v>
      </c>
      <c r="R361" s="47" t="s">
        <v>6493</v>
      </c>
      <c r="U361" s="46" t="s">
        <v>491</v>
      </c>
      <c r="V361" s="46"/>
    </row>
    <row r="362" spans="1:22" ht="45" x14ac:dyDescent="0.25">
      <c r="A362" s="61">
        <v>42846</v>
      </c>
      <c r="B362" s="62" t="s">
        <v>110</v>
      </c>
      <c r="C362" s="46" t="s">
        <v>761</v>
      </c>
      <c r="D362" s="46" t="s">
        <v>715</v>
      </c>
      <c r="E362" s="46" t="s">
        <v>588</v>
      </c>
      <c r="F362" s="46" t="s">
        <v>6513</v>
      </c>
      <c r="H362" s="46" t="s">
        <v>607</v>
      </c>
      <c r="I362" s="46" t="s">
        <v>6514</v>
      </c>
      <c r="J362" s="49" t="s">
        <v>4785</v>
      </c>
      <c r="M362" s="64">
        <v>240000</v>
      </c>
      <c r="N362" s="64">
        <v>408000</v>
      </c>
      <c r="O362" s="47" t="s">
        <v>840</v>
      </c>
      <c r="P362" s="47" t="s">
        <v>6515</v>
      </c>
      <c r="Q362" s="62" t="s">
        <v>592</v>
      </c>
      <c r="U362" s="46" t="s">
        <v>491</v>
      </c>
      <c r="V362" s="46"/>
    </row>
    <row r="363" spans="1:22" ht="60" x14ac:dyDescent="0.25">
      <c r="A363" s="61">
        <v>42846</v>
      </c>
      <c r="B363" s="62" t="s">
        <v>328</v>
      </c>
      <c r="C363" s="46" t="s">
        <v>603</v>
      </c>
      <c r="D363" s="46" t="s">
        <v>2397</v>
      </c>
      <c r="E363" s="46" t="s">
        <v>588</v>
      </c>
      <c r="F363" s="46" t="s">
        <v>6504</v>
      </c>
      <c r="H363" s="46" t="s">
        <v>607</v>
      </c>
      <c r="I363" s="46" t="s">
        <v>6505</v>
      </c>
      <c r="J363" s="49" t="s">
        <v>899</v>
      </c>
      <c r="L363" s="63">
        <v>3</v>
      </c>
      <c r="M363" s="64">
        <v>1500000</v>
      </c>
      <c r="N363" s="64">
        <v>2700000</v>
      </c>
      <c r="O363" s="47" t="s">
        <v>6506</v>
      </c>
      <c r="P363" s="47" t="s">
        <v>6507</v>
      </c>
      <c r="Q363" s="62" t="s">
        <v>592</v>
      </c>
      <c r="R363" s="47" t="s">
        <v>6508</v>
      </c>
      <c r="U363" s="46" t="s">
        <v>491</v>
      </c>
      <c r="V363" s="46"/>
    </row>
    <row r="364" spans="1:22" ht="30" x14ac:dyDescent="0.25">
      <c r="A364" s="61">
        <v>42846</v>
      </c>
      <c r="B364" s="62" t="s">
        <v>328</v>
      </c>
      <c r="C364" s="46" t="s">
        <v>603</v>
      </c>
      <c r="D364" s="46" t="s">
        <v>5701</v>
      </c>
      <c r="E364" s="46" t="s">
        <v>588</v>
      </c>
      <c r="F364" s="46" t="s">
        <v>6509</v>
      </c>
      <c r="H364" s="46" t="s">
        <v>722</v>
      </c>
      <c r="I364" s="46" t="s">
        <v>4553</v>
      </c>
      <c r="J364" s="49" t="s">
        <v>899</v>
      </c>
      <c r="L364" s="63">
        <v>4</v>
      </c>
      <c r="M364" s="64">
        <v>2256700</v>
      </c>
      <c r="N364" s="64">
        <v>4326060</v>
      </c>
      <c r="O364" s="47" t="s">
        <v>560</v>
      </c>
      <c r="P364" s="47" t="s">
        <v>6510</v>
      </c>
      <c r="Q364" s="62" t="s">
        <v>1939</v>
      </c>
      <c r="R364" s="47" t="s">
        <v>6054</v>
      </c>
      <c r="U364" s="46" t="s">
        <v>491</v>
      </c>
      <c r="V364" s="46"/>
    </row>
    <row r="365" spans="1:22" ht="113.25" x14ac:dyDescent="0.25">
      <c r="A365" s="61">
        <v>42846</v>
      </c>
      <c r="B365" s="62" t="s">
        <v>5176</v>
      </c>
      <c r="D365" s="46" t="s">
        <v>727</v>
      </c>
      <c r="E365" s="46" t="s">
        <v>588</v>
      </c>
      <c r="M365" s="64">
        <v>1000000</v>
      </c>
      <c r="O365" s="47" t="s">
        <v>6669</v>
      </c>
      <c r="P365" s="47" t="s">
        <v>6511</v>
      </c>
      <c r="Q365" s="62" t="s">
        <v>620</v>
      </c>
      <c r="R365" s="89" t="s">
        <v>6512</v>
      </c>
      <c r="U365" s="46" t="s">
        <v>491</v>
      </c>
      <c r="V365" s="46"/>
    </row>
    <row r="366" spans="1:22" ht="60" x14ac:dyDescent="0.25">
      <c r="A366" s="61">
        <v>42849</v>
      </c>
      <c r="B366" s="62" t="s">
        <v>110</v>
      </c>
      <c r="C366" s="46" t="s">
        <v>761</v>
      </c>
      <c r="D366" s="46" t="s">
        <v>4782</v>
      </c>
      <c r="E366" s="46" t="s">
        <v>588</v>
      </c>
      <c r="F366" s="46" t="s">
        <v>6529</v>
      </c>
      <c r="H366" s="46" t="s">
        <v>905</v>
      </c>
      <c r="I366" s="46" t="s">
        <v>6530</v>
      </c>
      <c r="J366" s="49" t="s">
        <v>761</v>
      </c>
      <c r="L366" s="63">
        <v>5</v>
      </c>
      <c r="M366" s="64">
        <v>175000</v>
      </c>
      <c r="N366" s="64">
        <v>210000</v>
      </c>
      <c r="O366" s="47" t="s">
        <v>1171</v>
      </c>
      <c r="P366" s="47" t="s">
        <v>6532</v>
      </c>
      <c r="Q366" s="62" t="s">
        <v>1939</v>
      </c>
      <c r="R366" s="47" t="s">
        <v>6531</v>
      </c>
      <c r="U366" s="46" t="s">
        <v>491</v>
      </c>
      <c r="V366" s="46"/>
    </row>
    <row r="367" spans="1:22" ht="77.25" x14ac:dyDescent="0.25">
      <c r="A367" s="61">
        <v>42849</v>
      </c>
      <c r="B367" s="62" t="s">
        <v>328</v>
      </c>
      <c r="C367" s="46" t="s">
        <v>603</v>
      </c>
      <c r="D367" s="46" t="s">
        <v>2397</v>
      </c>
      <c r="E367" s="46" t="s">
        <v>588</v>
      </c>
      <c r="F367" s="46" t="s">
        <v>6520</v>
      </c>
      <c r="H367" s="46" t="s">
        <v>607</v>
      </c>
      <c r="I367" s="46" t="s">
        <v>6521</v>
      </c>
      <c r="J367" s="49" t="s">
        <v>3426</v>
      </c>
      <c r="L367" s="63">
        <v>5</v>
      </c>
      <c r="M367" s="64">
        <v>100000</v>
      </c>
      <c r="N367" s="64">
        <v>180000</v>
      </c>
      <c r="O367" s="47" t="s">
        <v>6522</v>
      </c>
      <c r="P367" s="47" t="s">
        <v>6670</v>
      </c>
      <c r="Q367" s="62" t="s">
        <v>592</v>
      </c>
      <c r="R367" s="88" t="s">
        <v>6523</v>
      </c>
      <c r="S367" s="47" t="s">
        <v>7042</v>
      </c>
      <c r="U367" s="46" t="s">
        <v>491</v>
      </c>
      <c r="V367" s="46"/>
    </row>
    <row r="368" spans="1:22" ht="75" x14ac:dyDescent="0.25">
      <c r="A368" s="61">
        <v>42849</v>
      </c>
      <c r="B368" s="62" t="s">
        <v>328</v>
      </c>
      <c r="C368" s="46" t="s">
        <v>603</v>
      </c>
      <c r="D368" s="46" t="s">
        <v>2397</v>
      </c>
      <c r="E368" s="46" t="s">
        <v>588</v>
      </c>
      <c r="F368" s="46" t="s">
        <v>6524</v>
      </c>
      <c r="H368" s="46" t="s">
        <v>886</v>
      </c>
      <c r="I368" s="46" t="s">
        <v>6525</v>
      </c>
      <c r="J368" s="49" t="s">
        <v>3533</v>
      </c>
      <c r="O368" s="47" t="s">
        <v>6526</v>
      </c>
      <c r="P368" s="47" t="s">
        <v>6527</v>
      </c>
      <c r="Q368" s="62" t="s">
        <v>620</v>
      </c>
      <c r="R368" s="47" t="s">
        <v>6528</v>
      </c>
      <c r="U368" s="46" t="s">
        <v>491</v>
      </c>
      <c r="V368" s="46"/>
    </row>
    <row r="369" spans="1:22" ht="120" x14ac:dyDescent="0.25">
      <c r="A369" s="61">
        <v>42849</v>
      </c>
      <c r="B369" s="62" t="s">
        <v>5176</v>
      </c>
      <c r="D369" s="46" t="s">
        <v>727</v>
      </c>
      <c r="E369" s="46" t="s">
        <v>588</v>
      </c>
      <c r="F369" s="46" t="s">
        <v>6516</v>
      </c>
      <c r="H369" s="46" t="s">
        <v>1391</v>
      </c>
      <c r="I369" s="46" t="s">
        <v>6517</v>
      </c>
      <c r="J369" s="49" t="s">
        <v>959</v>
      </c>
      <c r="L369" s="63">
        <v>9</v>
      </c>
      <c r="M369" s="64">
        <v>245000</v>
      </c>
      <c r="N369" s="64">
        <v>315000</v>
      </c>
      <c r="O369" s="47" t="s">
        <v>6518</v>
      </c>
      <c r="P369" s="47" t="s">
        <v>6519</v>
      </c>
      <c r="Q369" s="62" t="s">
        <v>592</v>
      </c>
      <c r="U369" s="46" t="s">
        <v>491</v>
      </c>
      <c r="V369" s="46"/>
    </row>
    <row r="370" spans="1:22" ht="105" x14ac:dyDescent="0.25">
      <c r="A370" s="61">
        <v>42849</v>
      </c>
      <c r="B370" s="62" t="s">
        <v>569</v>
      </c>
      <c r="D370" s="46" t="s">
        <v>625</v>
      </c>
      <c r="E370" s="46" t="s">
        <v>588</v>
      </c>
      <c r="F370" s="46" t="s">
        <v>6533</v>
      </c>
      <c r="O370" s="47" t="s">
        <v>3785</v>
      </c>
      <c r="P370" s="47" t="s">
        <v>6671</v>
      </c>
      <c r="Q370" s="62" t="s">
        <v>592</v>
      </c>
      <c r="R370" s="47" t="s">
        <v>6534</v>
      </c>
      <c r="U370" s="46" t="s">
        <v>491</v>
      </c>
      <c r="V370" s="46"/>
    </row>
    <row r="371" spans="1:22" ht="30" x14ac:dyDescent="0.25">
      <c r="A371" s="61">
        <v>42850</v>
      </c>
      <c r="B371" s="62" t="s">
        <v>569</v>
      </c>
      <c r="D371" s="46" t="s">
        <v>930</v>
      </c>
      <c r="E371" s="46" t="s">
        <v>588</v>
      </c>
      <c r="F371" s="46" t="s">
        <v>6540</v>
      </c>
      <c r="H371" s="46" t="s">
        <v>607</v>
      </c>
      <c r="O371" s="47" t="s">
        <v>695</v>
      </c>
      <c r="P371" s="47" t="s">
        <v>6541</v>
      </c>
      <c r="Q371" s="62" t="s">
        <v>592</v>
      </c>
      <c r="R371" s="47" t="s">
        <v>6547</v>
      </c>
      <c r="U371" s="46" t="s">
        <v>491</v>
      </c>
      <c r="V371" s="46"/>
    </row>
    <row r="372" spans="1:22" ht="45" x14ac:dyDescent="0.25">
      <c r="A372" s="61">
        <v>42850</v>
      </c>
      <c r="B372" s="62" t="s">
        <v>569</v>
      </c>
      <c r="D372" s="46" t="s">
        <v>624</v>
      </c>
      <c r="E372" s="46" t="s">
        <v>588</v>
      </c>
      <c r="F372" s="46" t="s">
        <v>6542</v>
      </c>
      <c r="H372" s="46" t="s">
        <v>886</v>
      </c>
      <c r="I372" s="46" t="s">
        <v>3672</v>
      </c>
      <c r="J372" s="49" t="s">
        <v>899</v>
      </c>
      <c r="M372" s="64">
        <v>600000</v>
      </c>
      <c r="N372" s="64">
        <v>660000</v>
      </c>
      <c r="O372" s="47" t="s">
        <v>6543</v>
      </c>
      <c r="P372" s="47" t="s">
        <v>6544</v>
      </c>
      <c r="Q372" s="62" t="s">
        <v>592</v>
      </c>
      <c r="U372" s="46" t="s">
        <v>491</v>
      </c>
      <c r="V372" s="46"/>
    </row>
    <row r="373" spans="1:22" ht="45" x14ac:dyDescent="0.25">
      <c r="A373" s="61">
        <v>42850</v>
      </c>
      <c r="B373" s="62" t="s">
        <v>569</v>
      </c>
      <c r="D373" s="46" t="s">
        <v>625</v>
      </c>
      <c r="E373" s="46" t="s">
        <v>588</v>
      </c>
      <c r="H373" s="46" t="s">
        <v>607</v>
      </c>
      <c r="O373" s="47" t="s">
        <v>6545</v>
      </c>
      <c r="P373" s="47" t="s">
        <v>6546</v>
      </c>
      <c r="Q373" s="62" t="s">
        <v>1939</v>
      </c>
      <c r="R373" s="47" t="s">
        <v>6597</v>
      </c>
      <c r="U373" s="46" t="s">
        <v>491</v>
      </c>
      <c r="V373" s="46"/>
    </row>
    <row r="374" spans="1:22" ht="45" x14ac:dyDescent="0.25">
      <c r="A374" s="61">
        <v>42850</v>
      </c>
      <c r="B374" s="62" t="s">
        <v>569</v>
      </c>
      <c r="D374" s="46" t="s">
        <v>930</v>
      </c>
      <c r="E374" s="46" t="s">
        <v>821</v>
      </c>
      <c r="H374" s="46" t="s">
        <v>607</v>
      </c>
      <c r="J374" s="49" t="s">
        <v>899</v>
      </c>
      <c r="M374" s="64">
        <v>550000</v>
      </c>
      <c r="N374" s="64">
        <v>1200000</v>
      </c>
      <c r="O374" s="47" t="s">
        <v>6549</v>
      </c>
      <c r="P374" s="47" t="s">
        <v>6550</v>
      </c>
      <c r="Q374" s="62" t="s">
        <v>592</v>
      </c>
      <c r="U374" s="46" t="s">
        <v>491</v>
      </c>
      <c r="V374" s="46"/>
    </row>
    <row r="375" spans="1:22" x14ac:dyDescent="0.25">
      <c r="A375" s="61">
        <v>42850</v>
      </c>
      <c r="B375" s="62" t="s">
        <v>643</v>
      </c>
      <c r="C375" s="46" t="s">
        <v>644</v>
      </c>
      <c r="D375" s="46" t="s">
        <v>645</v>
      </c>
      <c r="E375" s="46" t="s">
        <v>588</v>
      </c>
      <c r="F375" s="46" t="s">
        <v>6535</v>
      </c>
      <c r="H375" s="46" t="s">
        <v>6536</v>
      </c>
      <c r="I375" s="46" t="s">
        <v>6537</v>
      </c>
      <c r="J375" s="49" t="s">
        <v>644</v>
      </c>
      <c r="L375" s="63">
        <v>4</v>
      </c>
      <c r="M375" s="64">
        <v>100000</v>
      </c>
      <c r="N375" s="64">
        <v>170000</v>
      </c>
      <c r="O375" s="47" t="s">
        <v>560</v>
      </c>
      <c r="P375" s="47" t="s">
        <v>6538</v>
      </c>
      <c r="Q375" s="62" t="s">
        <v>592</v>
      </c>
      <c r="U375" s="46" t="s">
        <v>491</v>
      </c>
      <c r="V375" s="46"/>
    </row>
    <row r="376" spans="1:22" x14ac:dyDescent="0.25">
      <c r="A376" s="61">
        <v>42850</v>
      </c>
      <c r="B376" s="62" t="s">
        <v>643</v>
      </c>
      <c r="C376" s="46" t="s">
        <v>644</v>
      </c>
      <c r="D376" s="46" t="s">
        <v>645</v>
      </c>
      <c r="E376" s="46" t="s">
        <v>588</v>
      </c>
      <c r="F376" s="46" t="s">
        <v>6539</v>
      </c>
      <c r="H376" s="46" t="s">
        <v>6536</v>
      </c>
      <c r="I376" s="46" t="s">
        <v>4444</v>
      </c>
      <c r="J376" s="49" t="s">
        <v>644</v>
      </c>
      <c r="L376" s="63">
        <v>6</v>
      </c>
      <c r="M376" s="64">
        <v>220000</v>
      </c>
      <c r="N376" s="64">
        <v>270000</v>
      </c>
      <c r="O376" s="47" t="s">
        <v>560</v>
      </c>
      <c r="P376" s="47" t="s">
        <v>6538</v>
      </c>
      <c r="Q376" s="62" t="s">
        <v>592</v>
      </c>
      <c r="U376" s="46" t="s">
        <v>491</v>
      </c>
      <c r="V376" s="46"/>
    </row>
    <row r="377" spans="1:22" ht="45" x14ac:dyDescent="0.25">
      <c r="A377" s="61">
        <v>42851</v>
      </c>
      <c r="B377" s="62" t="s">
        <v>328</v>
      </c>
      <c r="C377" s="46" t="s">
        <v>603</v>
      </c>
      <c r="D377" s="46" t="s">
        <v>5701</v>
      </c>
      <c r="E377" s="46" t="s">
        <v>588</v>
      </c>
      <c r="F377" s="46" t="s">
        <v>6562</v>
      </c>
      <c r="H377" s="46" t="s">
        <v>722</v>
      </c>
      <c r="I377" s="46" t="s">
        <v>6563</v>
      </c>
      <c r="J377" s="49" t="s">
        <v>3523</v>
      </c>
      <c r="L377" s="63">
        <v>5</v>
      </c>
      <c r="M377" s="64">
        <v>600000</v>
      </c>
      <c r="N377" s="64">
        <v>695000</v>
      </c>
      <c r="O377" s="47" t="s">
        <v>695</v>
      </c>
      <c r="P377" s="47" t="s">
        <v>6564</v>
      </c>
      <c r="Q377" s="62" t="s">
        <v>620</v>
      </c>
      <c r="R377" s="47" t="s">
        <v>6565</v>
      </c>
      <c r="U377" s="46" t="s">
        <v>491</v>
      </c>
      <c r="V377" s="46"/>
    </row>
    <row r="378" spans="1:22" ht="30" x14ac:dyDescent="0.25">
      <c r="A378" s="61">
        <v>42851</v>
      </c>
      <c r="B378" s="62" t="s">
        <v>569</v>
      </c>
      <c r="D378" s="46" t="s">
        <v>611</v>
      </c>
      <c r="E378" s="46" t="s">
        <v>588</v>
      </c>
      <c r="F378" s="46" t="s">
        <v>6551</v>
      </c>
      <c r="O378" s="47" t="s">
        <v>6552</v>
      </c>
      <c r="P378" s="47" t="s">
        <v>6553</v>
      </c>
      <c r="Q378" s="62" t="s">
        <v>1939</v>
      </c>
      <c r="R378" s="47" t="s">
        <v>6554</v>
      </c>
      <c r="U378" s="46" t="s">
        <v>491</v>
      </c>
      <c r="V378" s="46"/>
    </row>
    <row r="379" spans="1:22" ht="90" x14ac:dyDescent="0.25">
      <c r="A379" s="61">
        <v>42851</v>
      </c>
      <c r="B379" s="62" t="s">
        <v>569</v>
      </c>
      <c r="D379" s="46" t="s">
        <v>625</v>
      </c>
      <c r="E379" s="46" t="s">
        <v>588</v>
      </c>
      <c r="F379" s="46" t="s">
        <v>6555</v>
      </c>
      <c r="H379" s="46" t="s">
        <v>607</v>
      </c>
      <c r="I379" s="46" t="s">
        <v>2054</v>
      </c>
      <c r="J379" s="49" t="s">
        <v>899</v>
      </c>
      <c r="M379" s="64">
        <v>1800000</v>
      </c>
      <c r="N379" s="64">
        <v>2600000</v>
      </c>
      <c r="O379" s="47" t="s">
        <v>1171</v>
      </c>
      <c r="P379" s="47" t="s">
        <v>6556</v>
      </c>
      <c r="Q379" s="62" t="s">
        <v>1939</v>
      </c>
      <c r="R379" s="47" t="s">
        <v>6557</v>
      </c>
      <c r="U379" s="46" t="s">
        <v>491</v>
      </c>
      <c r="V379" s="46"/>
    </row>
    <row r="380" spans="1:22" ht="105" x14ac:dyDescent="0.25">
      <c r="A380" s="61">
        <v>42851</v>
      </c>
      <c r="B380" s="62" t="s">
        <v>569</v>
      </c>
      <c r="D380" s="46" t="s">
        <v>625</v>
      </c>
      <c r="E380" s="46" t="s">
        <v>588</v>
      </c>
      <c r="F380" s="46" t="s">
        <v>6558</v>
      </c>
      <c r="H380" s="46" t="s">
        <v>6559</v>
      </c>
      <c r="I380" s="46" t="s">
        <v>3672</v>
      </c>
      <c r="J380" s="49" t="s">
        <v>899</v>
      </c>
      <c r="L380" s="63">
        <v>4</v>
      </c>
      <c r="M380" s="64">
        <v>1000000</v>
      </c>
      <c r="N380" s="64">
        <v>1135000</v>
      </c>
      <c r="O380" s="47" t="s">
        <v>2928</v>
      </c>
      <c r="P380" s="47" t="s">
        <v>6560</v>
      </c>
      <c r="Q380" s="62" t="s">
        <v>1612</v>
      </c>
      <c r="R380" s="47" t="s">
        <v>7259</v>
      </c>
      <c r="U380" s="46" t="s">
        <v>491</v>
      </c>
      <c r="V380" s="46"/>
    </row>
    <row r="381" spans="1:22" ht="90" x14ac:dyDescent="0.25">
      <c r="A381" s="61">
        <v>42851</v>
      </c>
      <c r="B381" s="62" t="s">
        <v>5360</v>
      </c>
      <c r="D381" s="46" t="s">
        <v>1027</v>
      </c>
      <c r="E381" s="46" t="s">
        <v>588</v>
      </c>
      <c r="F381" s="46" t="s">
        <v>6567</v>
      </c>
      <c r="H381" s="46" t="s">
        <v>722</v>
      </c>
      <c r="I381" s="46" t="s">
        <v>3635</v>
      </c>
      <c r="J381" s="49" t="s">
        <v>899</v>
      </c>
      <c r="L381" s="63">
        <v>9</v>
      </c>
      <c r="M381" s="64">
        <v>1425500</v>
      </c>
      <c r="N381" s="64">
        <v>1576050</v>
      </c>
      <c r="O381" s="47" t="s">
        <v>560</v>
      </c>
      <c r="P381" s="47" t="s">
        <v>6568</v>
      </c>
      <c r="Q381" s="62" t="s">
        <v>1939</v>
      </c>
      <c r="R381" s="47" t="s">
        <v>6572</v>
      </c>
      <c r="U381" s="46" t="s">
        <v>491</v>
      </c>
      <c r="V381" s="46"/>
    </row>
    <row r="382" spans="1:22" ht="45" x14ac:dyDescent="0.25">
      <c r="A382" s="61">
        <v>42852</v>
      </c>
      <c r="B382" s="62" t="s">
        <v>328</v>
      </c>
      <c r="C382" s="46" t="s">
        <v>603</v>
      </c>
      <c r="D382" s="46" t="s">
        <v>2397</v>
      </c>
      <c r="E382" s="46" t="s">
        <v>588</v>
      </c>
      <c r="F382" s="46" t="s">
        <v>6569</v>
      </c>
      <c r="H382" s="46" t="s">
        <v>607</v>
      </c>
      <c r="I382" s="46" t="s">
        <v>2054</v>
      </c>
      <c r="J382" s="49" t="s">
        <v>899</v>
      </c>
      <c r="L382" s="63">
        <v>1</v>
      </c>
      <c r="M382" s="64">
        <v>517000</v>
      </c>
      <c r="N382" s="64">
        <v>922100</v>
      </c>
      <c r="O382" s="47" t="s">
        <v>695</v>
      </c>
      <c r="P382" s="47" t="s">
        <v>6570</v>
      </c>
      <c r="Q382" s="62" t="s">
        <v>592</v>
      </c>
      <c r="R382" s="47" t="s">
        <v>6571</v>
      </c>
      <c r="U382" s="46" t="s">
        <v>491</v>
      </c>
      <c r="V382" s="46"/>
    </row>
    <row r="383" spans="1:22" ht="60" x14ac:dyDescent="0.25">
      <c r="A383" s="61">
        <v>42852</v>
      </c>
      <c r="B383" s="62" t="s">
        <v>5176</v>
      </c>
      <c r="C383" s="46" t="s">
        <v>604</v>
      </c>
      <c r="D383" s="46" t="s">
        <v>727</v>
      </c>
      <c r="E383" s="46" t="s">
        <v>588</v>
      </c>
      <c r="F383" s="46" t="s">
        <v>6573</v>
      </c>
      <c r="H383" s="46" t="s">
        <v>722</v>
      </c>
      <c r="I383" s="46" t="s">
        <v>6574</v>
      </c>
      <c r="J383" s="49" t="s">
        <v>6575</v>
      </c>
      <c r="L383" s="63">
        <v>9</v>
      </c>
      <c r="M383" s="64">
        <v>2000000</v>
      </c>
      <c r="N383" s="64">
        <v>3000000</v>
      </c>
      <c r="O383" s="47" t="s">
        <v>560</v>
      </c>
      <c r="P383" s="47" t="s">
        <v>6576</v>
      </c>
      <c r="Q383" s="62" t="s">
        <v>1939</v>
      </c>
      <c r="R383" s="47" t="s">
        <v>6577</v>
      </c>
      <c r="U383" s="46" t="s">
        <v>491</v>
      </c>
      <c r="V383" s="46"/>
    </row>
    <row r="384" spans="1:22" ht="90" x14ac:dyDescent="0.25">
      <c r="A384" s="61">
        <v>42852</v>
      </c>
      <c r="B384" s="62" t="s">
        <v>5176</v>
      </c>
      <c r="C384" s="46" t="s">
        <v>604</v>
      </c>
      <c r="D384" s="46" t="s">
        <v>595</v>
      </c>
      <c r="E384" s="46" t="s">
        <v>821</v>
      </c>
      <c r="F384" s="46" t="s">
        <v>6582</v>
      </c>
      <c r="H384" s="46" t="s">
        <v>6583</v>
      </c>
      <c r="O384" s="47" t="s">
        <v>5234</v>
      </c>
      <c r="P384" s="47" t="s">
        <v>6584</v>
      </c>
      <c r="Q384" s="62" t="s">
        <v>1939</v>
      </c>
      <c r="R384" s="47" t="s">
        <v>6585</v>
      </c>
      <c r="U384" s="46" t="s">
        <v>491</v>
      </c>
      <c r="V384" s="46"/>
    </row>
    <row r="385" spans="1:22" ht="45" x14ac:dyDescent="0.25">
      <c r="A385" s="61">
        <v>42852</v>
      </c>
      <c r="B385" s="62" t="s">
        <v>569</v>
      </c>
      <c r="D385" s="46" t="s">
        <v>930</v>
      </c>
      <c r="E385" s="46" t="s">
        <v>821</v>
      </c>
      <c r="F385" s="46" t="s">
        <v>6578</v>
      </c>
      <c r="H385" s="46" t="s">
        <v>607</v>
      </c>
      <c r="N385" s="64">
        <v>2500000</v>
      </c>
      <c r="O385" s="47" t="s">
        <v>6579</v>
      </c>
      <c r="P385" s="47" t="s">
        <v>6580</v>
      </c>
      <c r="Q385" s="62" t="s">
        <v>592</v>
      </c>
      <c r="R385" s="47" t="s">
        <v>6581</v>
      </c>
      <c r="U385" s="46" t="s">
        <v>491</v>
      </c>
      <c r="V385" s="46"/>
    </row>
    <row r="386" spans="1:22" ht="135" x14ac:dyDescent="0.25">
      <c r="A386" s="61">
        <v>42853</v>
      </c>
      <c r="B386" s="62" t="s">
        <v>328</v>
      </c>
      <c r="C386" s="46" t="s">
        <v>603</v>
      </c>
      <c r="D386" s="46" t="s">
        <v>2397</v>
      </c>
      <c r="E386" s="46" t="s">
        <v>588</v>
      </c>
      <c r="F386" s="46" t="s">
        <v>6586</v>
      </c>
      <c r="H386" s="46" t="s">
        <v>607</v>
      </c>
      <c r="I386" s="46" t="s">
        <v>6587</v>
      </c>
      <c r="J386" s="49" t="s">
        <v>899</v>
      </c>
      <c r="L386" s="63">
        <v>10</v>
      </c>
      <c r="M386" s="64">
        <v>885000</v>
      </c>
      <c r="N386" s="64">
        <v>1754500</v>
      </c>
      <c r="O386" s="47" t="s">
        <v>560</v>
      </c>
      <c r="P386" s="47" t="s">
        <v>6588</v>
      </c>
      <c r="Q386" s="62" t="s">
        <v>1939</v>
      </c>
      <c r="R386" s="47" t="s">
        <v>6589</v>
      </c>
      <c r="U386" s="46" t="s">
        <v>491</v>
      </c>
      <c r="V386" s="46"/>
    </row>
    <row r="387" spans="1:22" ht="165" x14ac:dyDescent="0.25">
      <c r="A387" s="61">
        <v>42853</v>
      </c>
      <c r="B387" s="62" t="s">
        <v>328</v>
      </c>
      <c r="C387" s="46" t="s">
        <v>603</v>
      </c>
      <c r="D387" s="46" t="s">
        <v>1401</v>
      </c>
      <c r="E387" s="46" t="s">
        <v>588</v>
      </c>
      <c r="F387" s="46" t="s">
        <v>6592</v>
      </c>
      <c r="H387" s="46" t="s">
        <v>3987</v>
      </c>
      <c r="I387" s="46" t="s">
        <v>6593</v>
      </c>
      <c r="J387" s="49" t="s">
        <v>3371</v>
      </c>
      <c r="L387" s="63">
        <v>10</v>
      </c>
      <c r="M387" s="64">
        <v>110000</v>
      </c>
      <c r="N387" s="64">
        <v>121000</v>
      </c>
      <c r="O387" s="47" t="s">
        <v>764</v>
      </c>
      <c r="P387" s="47" t="s">
        <v>6594</v>
      </c>
      <c r="Q387" s="62" t="s">
        <v>620</v>
      </c>
      <c r="R387" s="47" t="s">
        <v>6614</v>
      </c>
      <c r="U387" s="46" t="s">
        <v>491</v>
      </c>
      <c r="V387" s="46"/>
    </row>
    <row r="388" spans="1:22" ht="60" x14ac:dyDescent="0.25">
      <c r="A388" s="61">
        <v>42853</v>
      </c>
      <c r="B388" s="62" t="s">
        <v>328</v>
      </c>
      <c r="C388" s="46" t="s">
        <v>603</v>
      </c>
      <c r="D388" s="46" t="s">
        <v>5701</v>
      </c>
      <c r="E388" s="46" t="s">
        <v>588</v>
      </c>
      <c r="F388" s="46" t="s">
        <v>6595</v>
      </c>
      <c r="H388" s="46" t="s">
        <v>607</v>
      </c>
      <c r="I388" s="46" t="s">
        <v>6598</v>
      </c>
      <c r="J388" s="49" t="s">
        <v>4031</v>
      </c>
      <c r="L388" s="63">
        <v>5</v>
      </c>
      <c r="M388" s="64">
        <v>539016</v>
      </c>
      <c r="N388" s="64">
        <v>860418</v>
      </c>
      <c r="O388" s="47" t="s">
        <v>6522</v>
      </c>
      <c r="P388" s="47" t="s">
        <v>6596</v>
      </c>
      <c r="Q388" s="62" t="s">
        <v>620</v>
      </c>
      <c r="R388" s="47" t="s">
        <v>6599</v>
      </c>
      <c r="U388" s="46" t="s">
        <v>491</v>
      </c>
      <c r="V388" s="46"/>
    </row>
    <row r="389" spans="1:22" ht="30" x14ac:dyDescent="0.25">
      <c r="A389" s="61">
        <v>42853</v>
      </c>
      <c r="B389" s="62" t="s">
        <v>5176</v>
      </c>
      <c r="C389" s="46" t="s">
        <v>833</v>
      </c>
      <c r="D389" s="46" t="s">
        <v>595</v>
      </c>
      <c r="E389" s="46" t="s">
        <v>588</v>
      </c>
      <c r="H389" s="46" t="s">
        <v>607</v>
      </c>
      <c r="O389" s="47" t="s">
        <v>6590</v>
      </c>
      <c r="P389" s="47" t="s">
        <v>6591</v>
      </c>
      <c r="Q389" s="62" t="s">
        <v>29</v>
      </c>
      <c r="U389" s="46" t="s">
        <v>491</v>
      </c>
      <c r="V389" s="46"/>
    </row>
    <row r="390" spans="1:22" ht="150" x14ac:dyDescent="0.25">
      <c r="A390" s="61">
        <v>42853</v>
      </c>
      <c r="B390" s="62" t="s">
        <v>5176</v>
      </c>
      <c r="D390" s="46" t="s">
        <v>2454</v>
      </c>
      <c r="E390" s="46" t="s">
        <v>588</v>
      </c>
      <c r="F390" s="46" t="s">
        <v>6600</v>
      </c>
      <c r="H390" s="46" t="s">
        <v>6601</v>
      </c>
      <c r="I390" s="46" t="s">
        <v>6656</v>
      </c>
      <c r="J390" s="49" t="s">
        <v>6657</v>
      </c>
      <c r="O390" s="47" t="s">
        <v>6602</v>
      </c>
      <c r="P390" s="47" t="s">
        <v>6603</v>
      </c>
      <c r="Q390" s="62" t="s">
        <v>620</v>
      </c>
      <c r="R390" s="47" t="s">
        <v>6672</v>
      </c>
      <c r="U390" s="46" t="s">
        <v>491</v>
      </c>
      <c r="V390" s="46"/>
    </row>
    <row r="391" spans="1:22" ht="102.75" x14ac:dyDescent="0.25">
      <c r="A391" s="61">
        <v>42853</v>
      </c>
      <c r="B391" s="62" t="s">
        <v>569</v>
      </c>
      <c r="D391" s="46" t="s">
        <v>625</v>
      </c>
      <c r="E391" s="46" t="s">
        <v>821</v>
      </c>
      <c r="F391" s="46" t="s">
        <v>6604</v>
      </c>
      <c r="H391" s="46" t="s">
        <v>607</v>
      </c>
      <c r="O391" s="47" t="s">
        <v>6005</v>
      </c>
      <c r="P391" s="47" t="s">
        <v>6605</v>
      </c>
      <c r="Q391" s="62" t="s">
        <v>1939</v>
      </c>
      <c r="R391" s="88" t="s">
        <v>6612</v>
      </c>
      <c r="U391" s="46" t="s">
        <v>491</v>
      </c>
      <c r="V391" s="46"/>
    </row>
    <row r="392" spans="1:22" ht="45" x14ac:dyDescent="0.25">
      <c r="A392" s="61">
        <v>42853</v>
      </c>
      <c r="B392" s="62" t="s">
        <v>569</v>
      </c>
      <c r="D392" s="46" t="s">
        <v>625</v>
      </c>
      <c r="E392" s="46" t="s">
        <v>821</v>
      </c>
      <c r="F392" s="46" t="s">
        <v>6606</v>
      </c>
      <c r="H392" s="46" t="s">
        <v>1050</v>
      </c>
      <c r="I392" s="46" t="s">
        <v>6607</v>
      </c>
      <c r="J392" s="49" t="s">
        <v>899</v>
      </c>
      <c r="O392" s="47" t="s">
        <v>6608</v>
      </c>
      <c r="P392" s="47" t="s">
        <v>6609</v>
      </c>
      <c r="Q392" s="62" t="s">
        <v>592</v>
      </c>
      <c r="R392" s="47" t="s">
        <v>6610</v>
      </c>
      <c r="U392" s="46" t="s">
        <v>491</v>
      </c>
      <c r="V392" s="46"/>
    </row>
    <row r="393" spans="1:22" ht="60" x14ac:dyDescent="0.25">
      <c r="A393" s="61">
        <v>42853</v>
      </c>
      <c r="B393" s="62" t="s">
        <v>569</v>
      </c>
      <c r="D393" s="46" t="s">
        <v>625</v>
      </c>
      <c r="E393" s="46" t="s">
        <v>1707</v>
      </c>
      <c r="F393" s="46" t="s">
        <v>6611</v>
      </c>
      <c r="H393" s="46" t="s">
        <v>1044</v>
      </c>
      <c r="I393" s="46" t="s">
        <v>4507</v>
      </c>
      <c r="J393" s="49" t="s">
        <v>899</v>
      </c>
      <c r="L393" s="63">
        <v>4</v>
      </c>
      <c r="M393" s="64">
        <v>488000</v>
      </c>
      <c r="N393" s="64">
        <v>745000</v>
      </c>
      <c r="O393" s="47" t="s">
        <v>35</v>
      </c>
      <c r="P393" s="47" t="s">
        <v>6673</v>
      </c>
      <c r="Q393" s="62" t="s">
        <v>592</v>
      </c>
      <c r="R393" s="47" t="s">
        <v>6613</v>
      </c>
      <c r="U393" s="46" t="s">
        <v>491</v>
      </c>
      <c r="V393" s="46"/>
    </row>
    <row r="394" spans="1:22" ht="105" x14ac:dyDescent="0.25">
      <c r="A394" s="61">
        <v>42856</v>
      </c>
      <c r="B394" s="62" t="s">
        <v>328</v>
      </c>
      <c r="D394" s="46" t="s">
        <v>649</v>
      </c>
      <c r="E394" s="46" t="s">
        <v>588</v>
      </c>
      <c r="F394" s="46" t="s">
        <v>6623</v>
      </c>
      <c r="H394" s="46" t="s">
        <v>6002</v>
      </c>
      <c r="I394" s="46" t="s">
        <v>2054</v>
      </c>
      <c r="J394" s="49" t="s">
        <v>899</v>
      </c>
      <c r="L394" s="63">
        <v>2</v>
      </c>
      <c r="M394" s="64">
        <v>2500000</v>
      </c>
      <c r="N394" s="119">
        <v>4250000</v>
      </c>
      <c r="O394" s="47" t="s">
        <v>560</v>
      </c>
      <c r="P394" s="117" t="s">
        <v>6624</v>
      </c>
      <c r="Q394" s="62" t="s">
        <v>592</v>
      </c>
      <c r="R394" s="47" t="s">
        <v>6625</v>
      </c>
      <c r="U394" s="46" t="s">
        <v>1327</v>
      </c>
      <c r="V394" s="46"/>
    </row>
    <row r="395" spans="1:22" ht="75" x14ac:dyDescent="0.25">
      <c r="A395" s="61">
        <v>42856</v>
      </c>
      <c r="B395" s="62" t="s">
        <v>328</v>
      </c>
      <c r="C395" s="46" t="s">
        <v>899</v>
      </c>
      <c r="D395" s="46" t="s">
        <v>649</v>
      </c>
      <c r="E395" s="46" t="s">
        <v>588</v>
      </c>
      <c r="F395" s="46" t="s">
        <v>6627</v>
      </c>
      <c r="H395" s="46" t="s">
        <v>6002</v>
      </c>
      <c r="I395" s="46" t="s">
        <v>6598</v>
      </c>
      <c r="J395" s="49" t="s">
        <v>4031</v>
      </c>
      <c r="L395" s="63">
        <v>5</v>
      </c>
      <c r="M395" s="64">
        <v>539000</v>
      </c>
      <c r="N395" s="64">
        <v>860000</v>
      </c>
      <c r="O395" s="128" t="s">
        <v>6628</v>
      </c>
      <c r="P395" s="117" t="s">
        <v>6630</v>
      </c>
      <c r="Q395" s="62" t="s">
        <v>1939</v>
      </c>
      <c r="R395" s="47" t="s">
        <v>6629</v>
      </c>
      <c r="U395" s="46" t="s">
        <v>1327</v>
      </c>
      <c r="V395" s="46"/>
    </row>
    <row r="396" spans="1:22" ht="90" x14ac:dyDescent="0.25">
      <c r="A396" s="61">
        <v>42856</v>
      </c>
      <c r="B396" s="62" t="s">
        <v>569</v>
      </c>
      <c r="C396" s="46" t="s">
        <v>899</v>
      </c>
      <c r="D396" s="46" t="s">
        <v>930</v>
      </c>
      <c r="E396" s="46" t="s">
        <v>1707</v>
      </c>
      <c r="F396" s="46" t="s">
        <v>6638</v>
      </c>
      <c r="H396" s="46" t="s">
        <v>6002</v>
      </c>
      <c r="I396" s="46" t="s">
        <v>4078</v>
      </c>
      <c r="J396" s="49" t="s">
        <v>899</v>
      </c>
      <c r="M396" s="64">
        <v>1100000</v>
      </c>
      <c r="N396" s="64">
        <v>1650000</v>
      </c>
      <c r="O396" s="47" t="s">
        <v>3785</v>
      </c>
      <c r="P396" s="129" t="s">
        <v>6639</v>
      </c>
      <c r="Q396" s="62" t="s">
        <v>1939</v>
      </c>
      <c r="R396" s="47" t="s">
        <v>6640</v>
      </c>
      <c r="U396" s="46" t="s">
        <v>1327</v>
      </c>
      <c r="V396" s="46"/>
    </row>
    <row r="397" spans="1:22" ht="75" x14ac:dyDescent="0.25">
      <c r="A397" s="61">
        <v>42856</v>
      </c>
      <c r="B397" s="62" t="s">
        <v>643</v>
      </c>
      <c r="C397" s="46" t="s">
        <v>644</v>
      </c>
      <c r="D397" s="46" t="s">
        <v>645</v>
      </c>
      <c r="E397" s="46" t="s">
        <v>588</v>
      </c>
      <c r="F397" s="46" t="s">
        <v>6615</v>
      </c>
      <c r="H397" s="46" t="s">
        <v>4183</v>
      </c>
      <c r="I397" s="46" t="s">
        <v>6616</v>
      </c>
      <c r="J397" s="49" t="s">
        <v>3501</v>
      </c>
      <c r="L397" s="63">
        <v>10</v>
      </c>
      <c r="M397" s="64">
        <v>1333000</v>
      </c>
      <c r="N397" s="113">
        <v>2174500</v>
      </c>
      <c r="O397" s="85" t="s">
        <v>6617</v>
      </c>
      <c r="P397" s="47" t="s">
        <v>6618</v>
      </c>
      <c r="Q397" s="62" t="s">
        <v>29</v>
      </c>
      <c r="R397" s="47" t="s">
        <v>6147</v>
      </c>
      <c r="U397" s="46" t="s">
        <v>1327</v>
      </c>
      <c r="V397" s="46"/>
    </row>
    <row r="398" spans="1:22" ht="180" x14ac:dyDescent="0.25">
      <c r="A398" s="61">
        <v>42856</v>
      </c>
      <c r="B398" s="62" t="s">
        <v>643</v>
      </c>
      <c r="C398" s="46" t="s">
        <v>644</v>
      </c>
      <c r="D398" s="46" t="s">
        <v>645</v>
      </c>
      <c r="E398" s="46" t="s">
        <v>588</v>
      </c>
      <c r="F398" s="46" t="s">
        <v>6619</v>
      </c>
      <c r="H398" s="46" t="s">
        <v>6011</v>
      </c>
      <c r="I398" s="46" t="s">
        <v>6620</v>
      </c>
      <c r="J398" s="49" t="s">
        <v>3501</v>
      </c>
      <c r="L398" s="63">
        <v>3</v>
      </c>
      <c r="M398" s="64">
        <v>1300000</v>
      </c>
      <c r="N398" s="64">
        <v>2715000</v>
      </c>
      <c r="O398" s="53" t="s">
        <v>6621</v>
      </c>
      <c r="P398" s="47" t="s">
        <v>6622</v>
      </c>
      <c r="Q398" s="62" t="s">
        <v>1939</v>
      </c>
      <c r="R398" s="47" t="s">
        <v>6626</v>
      </c>
      <c r="U398" s="46" t="s">
        <v>1327</v>
      </c>
      <c r="V398" s="46"/>
    </row>
    <row r="399" spans="1:22" ht="60" x14ac:dyDescent="0.25">
      <c r="A399" s="61">
        <v>42857</v>
      </c>
      <c r="B399" s="62" t="s">
        <v>328</v>
      </c>
      <c r="C399" s="46" t="s">
        <v>899</v>
      </c>
      <c r="D399" s="46" t="s">
        <v>1401</v>
      </c>
      <c r="E399" s="46" t="s">
        <v>588</v>
      </c>
      <c r="F399" s="47" t="s">
        <v>6631</v>
      </c>
      <c r="G399" s="47"/>
      <c r="H399" s="46" t="s">
        <v>6632</v>
      </c>
      <c r="I399" s="46" t="s">
        <v>3929</v>
      </c>
      <c r="J399" s="49" t="s">
        <v>899</v>
      </c>
      <c r="L399" s="63">
        <v>2</v>
      </c>
      <c r="M399" s="64">
        <v>2325000</v>
      </c>
      <c r="N399" s="126">
        <v>3290000</v>
      </c>
      <c r="O399" s="47" t="s">
        <v>6633</v>
      </c>
      <c r="P399" s="117" t="s">
        <v>6674</v>
      </c>
      <c r="Q399" s="62" t="s">
        <v>592</v>
      </c>
      <c r="R399" s="47" t="s">
        <v>7043</v>
      </c>
      <c r="U399" s="46" t="s">
        <v>1327</v>
      </c>
      <c r="V399" s="46"/>
    </row>
    <row r="400" spans="1:22" ht="45" x14ac:dyDescent="0.25">
      <c r="A400" s="61">
        <v>42857</v>
      </c>
      <c r="B400" s="62" t="s">
        <v>328</v>
      </c>
      <c r="D400" s="46" t="s">
        <v>649</v>
      </c>
      <c r="E400" s="46" t="s">
        <v>588</v>
      </c>
      <c r="F400" s="46" t="s">
        <v>6652</v>
      </c>
      <c r="H400" s="46" t="s">
        <v>4183</v>
      </c>
      <c r="J400" s="49" t="s">
        <v>3885</v>
      </c>
      <c r="M400" s="64">
        <v>135000</v>
      </c>
      <c r="N400" s="64">
        <v>148500</v>
      </c>
      <c r="O400" s="85" t="s">
        <v>6649</v>
      </c>
      <c r="P400" s="115" t="s">
        <v>6650</v>
      </c>
      <c r="Q400" s="62" t="s">
        <v>592</v>
      </c>
      <c r="R400" s="47" t="s">
        <v>6651</v>
      </c>
      <c r="U400" s="46" t="s">
        <v>1327</v>
      </c>
      <c r="V400" s="46"/>
    </row>
    <row r="401" spans="1:22" ht="30" x14ac:dyDescent="0.25">
      <c r="A401" s="61">
        <v>42857</v>
      </c>
      <c r="B401" s="62" t="s">
        <v>569</v>
      </c>
      <c r="C401" s="46" t="s">
        <v>899</v>
      </c>
      <c r="D401" s="46" t="s">
        <v>625</v>
      </c>
      <c r="E401" s="46" t="s">
        <v>588</v>
      </c>
      <c r="F401" s="46" t="s">
        <v>6641</v>
      </c>
      <c r="H401" s="46" t="s">
        <v>6002</v>
      </c>
      <c r="I401" s="46" t="s">
        <v>3448</v>
      </c>
      <c r="J401" s="49" t="s">
        <v>899</v>
      </c>
      <c r="M401" s="64">
        <v>816000</v>
      </c>
      <c r="N401" s="64">
        <v>966000</v>
      </c>
      <c r="O401" s="47" t="s">
        <v>6642</v>
      </c>
      <c r="P401" s="117" t="s">
        <v>6643</v>
      </c>
      <c r="Q401" s="62" t="s">
        <v>29</v>
      </c>
      <c r="R401" s="47" t="s">
        <v>6644</v>
      </c>
      <c r="U401" s="46" t="s">
        <v>1327</v>
      </c>
      <c r="V401" s="46"/>
    </row>
    <row r="402" spans="1:22" ht="30" x14ac:dyDescent="0.25">
      <c r="A402" s="61">
        <v>42857</v>
      </c>
      <c r="B402" s="62" t="s">
        <v>569</v>
      </c>
      <c r="D402" s="46" t="s">
        <v>625</v>
      </c>
      <c r="E402" s="46" t="s">
        <v>821</v>
      </c>
      <c r="H402" s="46" t="s">
        <v>6645</v>
      </c>
      <c r="O402" s="47" t="s">
        <v>6646</v>
      </c>
      <c r="P402" s="115" t="s">
        <v>6647</v>
      </c>
      <c r="Q402" s="62" t="s">
        <v>620</v>
      </c>
      <c r="R402" s="47" t="s">
        <v>6648</v>
      </c>
      <c r="U402" s="46" t="s">
        <v>1327</v>
      </c>
      <c r="V402" s="46"/>
    </row>
    <row r="403" spans="1:22" ht="60" x14ac:dyDescent="0.25">
      <c r="A403" s="61">
        <v>42857</v>
      </c>
      <c r="B403" s="62" t="s">
        <v>643</v>
      </c>
      <c r="C403" s="46" t="s">
        <v>644</v>
      </c>
      <c r="D403" s="46" t="s">
        <v>645</v>
      </c>
      <c r="E403" s="46" t="s">
        <v>588</v>
      </c>
      <c r="F403" s="46" t="s">
        <v>6634</v>
      </c>
      <c r="H403" s="46" t="s">
        <v>4183</v>
      </c>
      <c r="I403" s="46" t="s">
        <v>6636</v>
      </c>
      <c r="J403" s="49" t="s">
        <v>644</v>
      </c>
      <c r="L403" s="63">
        <v>10</v>
      </c>
      <c r="M403" s="64">
        <v>250000</v>
      </c>
      <c r="N403" s="64">
        <v>500000</v>
      </c>
      <c r="O403" s="121" t="s">
        <v>6635</v>
      </c>
      <c r="P403" s="117" t="s">
        <v>6637</v>
      </c>
      <c r="Q403" s="62" t="s">
        <v>1939</v>
      </c>
      <c r="R403" s="47" t="s">
        <v>7044</v>
      </c>
      <c r="U403" s="46" t="s">
        <v>1327</v>
      </c>
      <c r="V403" s="46"/>
    </row>
    <row r="404" spans="1:22" x14ac:dyDescent="0.25">
      <c r="A404" s="61">
        <v>42858</v>
      </c>
      <c r="B404" s="62" t="s">
        <v>328</v>
      </c>
      <c r="C404" s="46" t="s">
        <v>603</v>
      </c>
      <c r="D404" s="46" t="s">
        <v>1401</v>
      </c>
      <c r="E404" s="46" t="s">
        <v>588</v>
      </c>
      <c r="F404" s="46" t="s">
        <v>6653</v>
      </c>
      <c r="H404" s="46" t="s">
        <v>607</v>
      </c>
      <c r="I404" s="46" t="s">
        <v>6654</v>
      </c>
      <c r="J404" s="49" t="s">
        <v>899</v>
      </c>
      <c r="L404" s="63">
        <v>2</v>
      </c>
      <c r="M404" s="64">
        <v>1752800</v>
      </c>
      <c r="N404" s="64">
        <v>3593240</v>
      </c>
      <c r="O404" s="47" t="s">
        <v>560</v>
      </c>
      <c r="P404" s="115" t="s">
        <v>6655</v>
      </c>
      <c r="Q404" s="62" t="s">
        <v>1939</v>
      </c>
      <c r="U404" s="46" t="s">
        <v>491</v>
      </c>
      <c r="V404" s="46"/>
    </row>
    <row r="405" spans="1:22" ht="105" x14ac:dyDescent="0.25">
      <c r="A405" s="61">
        <v>42858</v>
      </c>
      <c r="B405" s="62" t="s">
        <v>328</v>
      </c>
      <c r="C405" s="46" t="s">
        <v>603</v>
      </c>
      <c r="D405" s="46" t="s">
        <v>1401</v>
      </c>
      <c r="E405" s="46" t="s">
        <v>588</v>
      </c>
      <c r="F405" s="46" t="s">
        <v>6662</v>
      </c>
      <c r="H405" s="46" t="s">
        <v>607</v>
      </c>
      <c r="I405" s="46" t="s">
        <v>6663</v>
      </c>
      <c r="J405" s="49" t="s">
        <v>3373</v>
      </c>
      <c r="O405" s="47" t="s">
        <v>6522</v>
      </c>
      <c r="P405" s="115" t="s">
        <v>7045</v>
      </c>
      <c r="Q405" s="62" t="s">
        <v>592</v>
      </c>
      <c r="U405" s="46" t="s">
        <v>491</v>
      </c>
      <c r="V405" s="46"/>
    </row>
    <row r="406" spans="1:22" ht="45" x14ac:dyDescent="0.25">
      <c r="A406" s="61">
        <v>42858</v>
      </c>
      <c r="B406" s="62" t="s">
        <v>569</v>
      </c>
      <c r="D406" s="46" t="s">
        <v>625</v>
      </c>
      <c r="E406" s="46" t="s">
        <v>588</v>
      </c>
      <c r="F406" s="46" t="s">
        <v>6658</v>
      </c>
      <c r="H406" s="46" t="s">
        <v>607</v>
      </c>
      <c r="I406" s="46" t="s">
        <v>3448</v>
      </c>
      <c r="J406" s="49" t="s">
        <v>899</v>
      </c>
      <c r="M406" s="64">
        <v>816000</v>
      </c>
      <c r="O406" s="47" t="s">
        <v>6659</v>
      </c>
      <c r="P406" s="115" t="s">
        <v>6660</v>
      </c>
      <c r="Q406" s="62" t="s">
        <v>29</v>
      </c>
      <c r="R406" s="47" t="s">
        <v>6661</v>
      </c>
      <c r="U406" s="46" t="s">
        <v>491</v>
      </c>
      <c r="V406" s="46"/>
    </row>
    <row r="407" spans="1:22" ht="75" x14ac:dyDescent="0.25">
      <c r="A407" s="61">
        <v>42859</v>
      </c>
      <c r="B407" s="62" t="s">
        <v>328</v>
      </c>
      <c r="C407" s="46" t="s">
        <v>603</v>
      </c>
      <c r="D407" s="46" t="s">
        <v>1401</v>
      </c>
      <c r="E407" s="46" t="s">
        <v>588</v>
      </c>
      <c r="F407" s="46" t="s">
        <v>6675</v>
      </c>
      <c r="H407" s="46" t="s">
        <v>905</v>
      </c>
      <c r="I407" s="46" t="s">
        <v>6676</v>
      </c>
      <c r="J407" s="49" t="s">
        <v>899</v>
      </c>
      <c r="M407" s="64">
        <v>300000</v>
      </c>
      <c r="N407" s="64">
        <v>324000</v>
      </c>
      <c r="O407" s="47" t="s">
        <v>6677</v>
      </c>
      <c r="P407" s="115" t="s">
        <v>6678</v>
      </c>
      <c r="Q407" s="62" t="s">
        <v>620</v>
      </c>
      <c r="R407" s="47" t="s">
        <v>6679</v>
      </c>
      <c r="U407" s="46" t="s">
        <v>491</v>
      </c>
      <c r="V407" s="46"/>
    </row>
    <row r="408" spans="1:22" ht="30" x14ac:dyDescent="0.25">
      <c r="A408" s="61">
        <v>42859</v>
      </c>
      <c r="B408" s="62" t="s">
        <v>5176</v>
      </c>
      <c r="C408" s="46" t="s">
        <v>604</v>
      </c>
      <c r="D408" s="46" t="s">
        <v>595</v>
      </c>
      <c r="E408" s="46" t="s">
        <v>588</v>
      </c>
      <c r="H408" s="46" t="s">
        <v>607</v>
      </c>
      <c r="O408" s="47" t="s">
        <v>5291</v>
      </c>
      <c r="P408" s="115" t="s">
        <v>6682</v>
      </c>
      <c r="Q408" s="62" t="s">
        <v>592</v>
      </c>
      <c r="R408" s="47" t="s">
        <v>6683</v>
      </c>
      <c r="U408" s="46" t="s">
        <v>491</v>
      </c>
      <c r="V408" s="46"/>
    </row>
    <row r="409" spans="1:22" ht="45" x14ac:dyDescent="0.25">
      <c r="A409" s="61">
        <v>42859</v>
      </c>
      <c r="B409" s="62" t="s">
        <v>328</v>
      </c>
      <c r="C409" s="46" t="s">
        <v>603</v>
      </c>
      <c r="D409" s="46" t="s">
        <v>649</v>
      </c>
      <c r="E409" s="46" t="s">
        <v>588</v>
      </c>
      <c r="F409" s="46" t="s">
        <v>6684</v>
      </c>
      <c r="H409" s="46" t="s">
        <v>607</v>
      </c>
      <c r="I409" s="46" t="s">
        <v>6685</v>
      </c>
      <c r="J409" s="49" t="s">
        <v>3612</v>
      </c>
      <c r="M409" s="64">
        <v>175000</v>
      </c>
      <c r="N409" s="64">
        <v>333500</v>
      </c>
      <c r="O409" s="47" t="s">
        <v>6686</v>
      </c>
      <c r="P409" s="115" t="s">
        <v>7046</v>
      </c>
      <c r="Q409" s="62" t="s">
        <v>1939</v>
      </c>
      <c r="R409" s="47" t="s">
        <v>6687</v>
      </c>
      <c r="U409" s="46" t="s">
        <v>491</v>
      </c>
      <c r="V409" s="46"/>
    </row>
    <row r="410" spans="1:22" ht="90" x14ac:dyDescent="0.25">
      <c r="A410" s="61">
        <v>42860</v>
      </c>
      <c r="B410" s="62" t="s">
        <v>5176</v>
      </c>
      <c r="D410" s="46" t="s">
        <v>595</v>
      </c>
      <c r="E410" s="46" t="s">
        <v>588</v>
      </c>
      <c r="F410" s="46" t="s">
        <v>6688</v>
      </c>
      <c r="H410" s="46" t="s">
        <v>607</v>
      </c>
      <c r="I410" s="46" t="s">
        <v>5541</v>
      </c>
      <c r="J410" s="49" t="s">
        <v>604</v>
      </c>
      <c r="O410" s="47" t="s">
        <v>35</v>
      </c>
      <c r="P410" s="115" t="s">
        <v>7047</v>
      </c>
      <c r="Q410" s="62" t="s">
        <v>620</v>
      </c>
      <c r="R410" s="47" t="s">
        <v>6689</v>
      </c>
      <c r="U410" s="46" t="s">
        <v>491</v>
      </c>
      <c r="V410" s="46"/>
    </row>
    <row r="411" spans="1:22" ht="45" x14ac:dyDescent="0.25">
      <c r="A411" s="61">
        <v>42860</v>
      </c>
      <c r="B411" s="62" t="s">
        <v>328</v>
      </c>
      <c r="C411" s="46" t="s">
        <v>603</v>
      </c>
      <c r="D411" s="46" t="s">
        <v>2397</v>
      </c>
      <c r="E411" s="46" t="s">
        <v>588</v>
      </c>
      <c r="F411" s="46" t="s">
        <v>6690</v>
      </c>
      <c r="H411" s="46" t="s">
        <v>607</v>
      </c>
      <c r="I411" s="46" t="s">
        <v>2054</v>
      </c>
      <c r="J411" s="49" t="s">
        <v>899</v>
      </c>
      <c r="L411" s="63">
        <v>1</v>
      </c>
      <c r="M411" s="64">
        <v>857000</v>
      </c>
      <c r="N411" s="64">
        <v>1542600</v>
      </c>
      <c r="O411" s="47" t="s">
        <v>695</v>
      </c>
      <c r="P411" s="115" t="s">
        <v>6691</v>
      </c>
      <c r="Q411" s="62" t="s">
        <v>1939</v>
      </c>
      <c r="R411" s="47" t="s">
        <v>6692</v>
      </c>
      <c r="U411" s="46" t="s">
        <v>491</v>
      </c>
      <c r="V411" s="46"/>
    </row>
    <row r="412" spans="1:22" ht="60" x14ac:dyDescent="0.25">
      <c r="A412" s="61">
        <v>42860</v>
      </c>
      <c r="B412" s="62" t="s">
        <v>328</v>
      </c>
      <c r="C412" s="46" t="s">
        <v>603</v>
      </c>
      <c r="D412" s="46" t="s">
        <v>672</v>
      </c>
      <c r="E412" s="46" t="s">
        <v>588</v>
      </c>
      <c r="F412" s="46" t="s">
        <v>6693</v>
      </c>
      <c r="H412" s="46" t="s">
        <v>607</v>
      </c>
      <c r="I412" s="46" t="s">
        <v>6694</v>
      </c>
      <c r="J412" s="49" t="s">
        <v>3533</v>
      </c>
      <c r="L412" s="63">
        <v>4</v>
      </c>
      <c r="M412" s="64">
        <v>332126</v>
      </c>
      <c r="N412" s="64">
        <v>564615</v>
      </c>
      <c r="O412" s="47" t="s">
        <v>6522</v>
      </c>
      <c r="P412" s="47" t="s">
        <v>7048</v>
      </c>
      <c r="Q412" s="62" t="s">
        <v>1939</v>
      </c>
      <c r="R412" s="47" t="s">
        <v>6695</v>
      </c>
      <c r="U412" s="46" t="s">
        <v>491</v>
      </c>
      <c r="V412" s="46"/>
    </row>
    <row r="413" spans="1:22" ht="45" x14ac:dyDescent="0.25">
      <c r="A413" s="61">
        <v>42860</v>
      </c>
      <c r="B413" s="62" t="s">
        <v>569</v>
      </c>
      <c r="D413" s="46" t="s">
        <v>625</v>
      </c>
      <c r="E413" s="46" t="s">
        <v>821</v>
      </c>
      <c r="H413" s="46" t="s">
        <v>905</v>
      </c>
      <c r="I413" s="46" t="s">
        <v>3649</v>
      </c>
      <c r="J413" s="49" t="s">
        <v>899</v>
      </c>
      <c r="M413" s="64">
        <v>2000000</v>
      </c>
      <c r="O413" s="47" t="s">
        <v>6696</v>
      </c>
      <c r="P413" s="47" t="s">
        <v>6703</v>
      </c>
      <c r="Q413" s="62" t="s">
        <v>592</v>
      </c>
      <c r="R413" s="47" t="s">
        <v>6697</v>
      </c>
      <c r="U413" s="46" t="s">
        <v>491</v>
      </c>
      <c r="V413" s="46"/>
    </row>
    <row r="414" spans="1:22" ht="30" x14ac:dyDescent="0.25">
      <c r="A414" s="61">
        <v>42860</v>
      </c>
      <c r="B414" s="62" t="s">
        <v>5176</v>
      </c>
      <c r="D414" s="46" t="s">
        <v>2454</v>
      </c>
      <c r="E414" s="46" t="s">
        <v>588</v>
      </c>
      <c r="F414" s="46" t="s">
        <v>6698</v>
      </c>
      <c r="H414" s="46" t="s">
        <v>809</v>
      </c>
      <c r="I414" s="46" t="s">
        <v>6699</v>
      </c>
      <c r="J414" s="49" t="s">
        <v>959</v>
      </c>
      <c r="M414" s="64">
        <v>1100000</v>
      </c>
      <c r="N414" s="64">
        <v>1310000</v>
      </c>
      <c r="O414" s="47" t="s">
        <v>6700</v>
      </c>
      <c r="P414" s="47" t="s">
        <v>6701</v>
      </c>
      <c r="Q414" s="62" t="s">
        <v>1939</v>
      </c>
      <c r="R414" s="47" t="s">
        <v>6702</v>
      </c>
      <c r="U414" s="46" t="s">
        <v>491</v>
      </c>
      <c r="V414" s="46"/>
    </row>
    <row r="415" spans="1:22" ht="75" x14ac:dyDescent="0.25">
      <c r="A415" s="61">
        <v>42863</v>
      </c>
      <c r="B415" s="62" t="s">
        <v>328</v>
      </c>
      <c r="C415" s="46" t="s">
        <v>603</v>
      </c>
      <c r="D415" s="46" t="s">
        <v>5701</v>
      </c>
      <c r="E415" s="46" t="s">
        <v>588</v>
      </c>
      <c r="F415" s="46" t="s">
        <v>6704</v>
      </c>
      <c r="H415" s="46" t="s">
        <v>722</v>
      </c>
      <c r="I415" s="46" t="s">
        <v>6705</v>
      </c>
      <c r="J415" s="49" t="s">
        <v>899</v>
      </c>
      <c r="L415" s="63">
        <v>9</v>
      </c>
      <c r="M415" s="64">
        <v>298000</v>
      </c>
      <c r="N415" s="64">
        <v>554600</v>
      </c>
      <c r="O415" s="47" t="s">
        <v>2680</v>
      </c>
      <c r="P415" s="47" t="s">
        <v>6707</v>
      </c>
      <c r="Q415" s="62" t="s">
        <v>1939</v>
      </c>
      <c r="R415" s="47" t="s">
        <v>6706</v>
      </c>
      <c r="U415" s="46" t="s">
        <v>491</v>
      </c>
      <c r="V415" s="46"/>
    </row>
    <row r="416" spans="1:22" ht="30" x14ac:dyDescent="0.25">
      <c r="A416" s="61">
        <v>42863</v>
      </c>
      <c r="B416" s="62" t="s">
        <v>5176</v>
      </c>
      <c r="D416" s="46" t="s">
        <v>2186</v>
      </c>
      <c r="E416" s="46" t="s">
        <v>588</v>
      </c>
      <c r="F416" s="46" t="s">
        <v>6708</v>
      </c>
      <c r="H416" s="46" t="s">
        <v>2206</v>
      </c>
      <c r="O416" s="47" t="s">
        <v>3810</v>
      </c>
      <c r="P416" s="47" t="s">
        <v>6709</v>
      </c>
      <c r="Q416" s="62" t="s">
        <v>592</v>
      </c>
      <c r="R416" s="47" t="s">
        <v>6710</v>
      </c>
      <c r="U416" s="46" t="s">
        <v>491</v>
      </c>
      <c r="V416" s="46"/>
    </row>
    <row r="417" spans="1:23" ht="60" x14ac:dyDescent="0.25">
      <c r="A417" s="61">
        <v>42864</v>
      </c>
      <c r="B417" s="62" t="s">
        <v>569</v>
      </c>
      <c r="D417" s="46" t="s">
        <v>930</v>
      </c>
      <c r="E417" s="46" t="s">
        <v>821</v>
      </c>
      <c r="F417" s="46" t="s">
        <v>6711</v>
      </c>
      <c r="H417" s="46" t="s">
        <v>5991</v>
      </c>
      <c r="I417" s="46" t="s">
        <v>6712</v>
      </c>
      <c r="J417" s="49" t="s">
        <v>899</v>
      </c>
      <c r="M417" s="64">
        <v>416000</v>
      </c>
      <c r="O417" s="47" t="s">
        <v>2527</v>
      </c>
      <c r="P417" s="47" t="s">
        <v>6713</v>
      </c>
      <c r="Q417" s="62" t="s">
        <v>1939</v>
      </c>
      <c r="R417" s="47" t="s">
        <v>6714</v>
      </c>
      <c r="U417" s="46" t="s">
        <v>491</v>
      </c>
      <c r="V417" s="46"/>
    </row>
    <row r="418" spans="1:23" ht="45" x14ac:dyDescent="0.25">
      <c r="A418" s="61">
        <v>42864</v>
      </c>
      <c r="B418" s="62" t="s">
        <v>328</v>
      </c>
      <c r="C418" s="46" t="s">
        <v>603</v>
      </c>
      <c r="D418" s="46" t="s">
        <v>672</v>
      </c>
      <c r="E418" s="46" t="s">
        <v>588</v>
      </c>
      <c r="F418" s="46" t="s">
        <v>6715</v>
      </c>
      <c r="H418" s="46" t="s">
        <v>905</v>
      </c>
      <c r="I418" s="46" t="s">
        <v>3672</v>
      </c>
      <c r="J418" s="49" t="s">
        <v>899</v>
      </c>
      <c r="L418" s="63">
        <v>42740</v>
      </c>
      <c r="M418" s="64">
        <v>1546650</v>
      </c>
      <c r="N418" s="64">
        <v>2020645</v>
      </c>
      <c r="O418" s="47" t="s">
        <v>560</v>
      </c>
      <c r="P418" s="47" t="s">
        <v>6716</v>
      </c>
      <c r="Q418" s="62" t="s">
        <v>1939</v>
      </c>
      <c r="R418" s="47" t="s">
        <v>6717</v>
      </c>
      <c r="U418" s="46" t="s">
        <v>491</v>
      </c>
      <c r="V418" s="46"/>
    </row>
    <row r="419" spans="1:23" ht="60" x14ac:dyDescent="0.25">
      <c r="A419" s="61">
        <v>42865</v>
      </c>
      <c r="B419" s="62" t="s">
        <v>569</v>
      </c>
      <c r="D419" s="46" t="s">
        <v>930</v>
      </c>
      <c r="E419" s="46" t="s">
        <v>588</v>
      </c>
      <c r="F419" s="46" t="s">
        <v>6718</v>
      </c>
      <c r="H419" s="46" t="s">
        <v>607</v>
      </c>
      <c r="I419" s="46" t="s">
        <v>5677</v>
      </c>
      <c r="J419" s="49" t="s">
        <v>899</v>
      </c>
      <c r="L419" s="63">
        <v>92887</v>
      </c>
      <c r="M419" s="64">
        <v>2065000</v>
      </c>
      <c r="N419" s="64">
        <v>4000000</v>
      </c>
      <c r="O419" s="47" t="s">
        <v>560</v>
      </c>
      <c r="P419" s="47" t="s">
        <v>6720</v>
      </c>
      <c r="Q419" s="62" t="s">
        <v>1939</v>
      </c>
      <c r="R419" s="47" t="s">
        <v>6719</v>
      </c>
      <c r="U419" s="46" t="s">
        <v>491</v>
      </c>
      <c r="V419" s="46"/>
    </row>
    <row r="420" spans="1:23" ht="75" x14ac:dyDescent="0.25">
      <c r="A420" s="61">
        <v>42865</v>
      </c>
      <c r="B420" s="62" t="s">
        <v>5176</v>
      </c>
      <c r="D420" s="46" t="s">
        <v>727</v>
      </c>
      <c r="E420" s="46" t="s">
        <v>588</v>
      </c>
      <c r="F420" s="46" t="s">
        <v>1241</v>
      </c>
      <c r="H420" s="46" t="s">
        <v>607</v>
      </c>
      <c r="I420" s="46" t="s">
        <v>6721</v>
      </c>
      <c r="J420" s="49" t="s">
        <v>761</v>
      </c>
      <c r="N420" s="64">
        <v>2200000</v>
      </c>
      <c r="O420" s="47" t="s">
        <v>6722</v>
      </c>
      <c r="P420" s="47" t="s">
        <v>6723</v>
      </c>
      <c r="Q420" s="62" t="s">
        <v>1939</v>
      </c>
      <c r="R420" s="47" t="s">
        <v>6724</v>
      </c>
      <c r="U420" s="46" t="s">
        <v>491</v>
      </c>
      <c r="V420" s="46"/>
    </row>
    <row r="421" spans="1:23" ht="105" x14ac:dyDescent="0.25">
      <c r="A421" s="61">
        <v>42865</v>
      </c>
      <c r="B421" s="62" t="s">
        <v>328</v>
      </c>
      <c r="C421" s="46" t="s">
        <v>603</v>
      </c>
      <c r="D421" s="46" t="s">
        <v>1401</v>
      </c>
      <c r="E421" s="46" t="s">
        <v>588</v>
      </c>
      <c r="F421" s="46" t="s">
        <v>6725</v>
      </c>
      <c r="H421" s="46" t="s">
        <v>607</v>
      </c>
      <c r="I421" s="46" t="s">
        <v>6726</v>
      </c>
      <c r="J421" s="49" t="s">
        <v>899</v>
      </c>
      <c r="L421" s="63">
        <v>2</v>
      </c>
      <c r="M421" s="64">
        <v>400000</v>
      </c>
      <c r="N421" s="64">
        <v>760000</v>
      </c>
      <c r="O421" s="47" t="s">
        <v>6522</v>
      </c>
      <c r="P421" s="47" t="s">
        <v>6740</v>
      </c>
      <c r="Q421" s="62" t="s">
        <v>1612</v>
      </c>
      <c r="R421" s="47" t="s">
        <v>6741</v>
      </c>
      <c r="U421" s="46" t="s">
        <v>491</v>
      </c>
      <c r="V421" s="46"/>
    </row>
    <row r="422" spans="1:23" ht="75" x14ac:dyDescent="0.25">
      <c r="A422" s="61">
        <v>42865</v>
      </c>
      <c r="B422" s="62" t="s">
        <v>569</v>
      </c>
      <c r="D422" s="46" t="s">
        <v>930</v>
      </c>
      <c r="E422" s="46" t="s">
        <v>1707</v>
      </c>
      <c r="F422" s="46" t="s">
        <v>6809</v>
      </c>
      <c r="H422" s="46" t="s">
        <v>607</v>
      </c>
      <c r="I422" s="46" t="s">
        <v>3388</v>
      </c>
      <c r="J422" s="49" t="s">
        <v>899</v>
      </c>
      <c r="M422" s="64">
        <v>2900000</v>
      </c>
      <c r="N422" s="64">
        <v>5000000</v>
      </c>
      <c r="O422" s="47" t="s">
        <v>6727</v>
      </c>
      <c r="P422" s="47" t="s">
        <v>6728</v>
      </c>
      <c r="Q422" s="62" t="s">
        <v>620</v>
      </c>
      <c r="R422" s="47" t="s">
        <v>7049</v>
      </c>
      <c r="U422" s="46" t="s">
        <v>491</v>
      </c>
      <c r="V422" s="46"/>
    </row>
    <row r="423" spans="1:23" ht="75" x14ac:dyDescent="0.25">
      <c r="A423" s="61">
        <v>42865</v>
      </c>
      <c r="B423" s="62" t="s">
        <v>328</v>
      </c>
      <c r="C423" s="46" t="s">
        <v>603</v>
      </c>
      <c r="D423" s="46" t="s">
        <v>2397</v>
      </c>
      <c r="E423" s="46" t="s">
        <v>588</v>
      </c>
      <c r="F423" s="46" t="s">
        <v>6729</v>
      </c>
      <c r="H423" s="46" t="s">
        <v>607</v>
      </c>
      <c r="I423" s="46" t="s">
        <v>6730</v>
      </c>
      <c r="J423" s="49" t="s">
        <v>4031</v>
      </c>
      <c r="L423" s="63">
        <v>2</v>
      </c>
      <c r="M423" s="64">
        <v>380000</v>
      </c>
      <c r="N423" s="64">
        <v>760000</v>
      </c>
      <c r="O423" s="47" t="s">
        <v>6522</v>
      </c>
      <c r="P423" s="47" t="s">
        <v>6731</v>
      </c>
      <c r="Q423" s="62" t="s">
        <v>1612</v>
      </c>
      <c r="R423" s="47" t="s">
        <v>6772</v>
      </c>
      <c r="U423" s="46" t="s">
        <v>491</v>
      </c>
      <c r="V423" s="46"/>
    </row>
    <row r="424" spans="1:23" ht="45" x14ac:dyDescent="0.25">
      <c r="A424" s="61">
        <v>42865</v>
      </c>
      <c r="B424" s="62" t="s">
        <v>569</v>
      </c>
      <c r="D424" s="46" t="s">
        <v>625</v>
      </c>
      <c r="E424" s="46" t="s">
        <v>588</v>
      </c>
      <c r="F424" s="46" t="s">
        <v>6732</v>
      </c>
      <c r="H424" s="46" t="s">
        <v>607</v>
      </c>
      <c r="I424" s="46" t="s">
        <v>3672</v>
      </c>
      <c r="J424" s="49" t="s">
        <v>899</v>
      </c>
      <c r="M424" s="64">
        <v>1760000</v>
      </c>
      <c r="O424" s="47" t="s">
        <v>6733</v>
      </c>
      <c r="P424" s="47" t="s">
        <v>6734</v>
      </c>
      <c r="Q424" s="62" t="s">
        <v>592</v>
      </c>
      <c r="R424" s="47" t="s">
        <v>6735</v>
      </c>
      <c r="U424" s="46" t="s">
        <v>491</v>
      </c>
      <c r="V424" s="46"/>
    </row>
    <row r="425" spans="1:23" ht="30" x14ac:dyDescent="0.25">
      <c r="A425" s="61">
        <v>42865</v>
      </c>
      <c r="B425" s="62" t="s">
        <v>5992</v>
      </c>
      <c r="D425" s="46" t="s">
        <v>5270</v>
      </c>
      <c r="E425" s="46" t="s">
        <v>588</v>
      </c>
      <c r="F425" s="46" t="s">
        <v>6736</v>
      </c>
      <c r="H425" s="46" t="s">
        <v>607</v>
      </c>
      <c r="I425" s="46" t="s">
        <v>6737</v>
      </c>
      <c r="J425" s="49" t="s">
        <v>899</v>
      </c>
      <c r="M425" s="64">
        <v>359000</v>
      </c>
      <c r="O425" s="47" t="s">
        <v>666</v>
      </c>
      <c r="P425" s="47" t="s">
        <v>6738</v>
      </c>
      <c r="Q425" s="62" t="s">
        <v>592</v>
      </c>
      <c r="S425" s="47" t="s">
        <v>6739</v>
      </c>
      <c r="U425" s="46" t="s">
        <v>491</v>
      </c>
      <c r="V425" s="46"/>
    </row>
    <row r="426" spans="1:23" ht="75" x14ac:dyDescent="0.25">
      <c r="A426" s="61">
        <v>42866</v>
      </c>
      <c r="B426" s="62" t="s">
        <v>328</v>
      </c>
      <c r="C426" s="46" t="s">
        <v>603</v>
      </c>
      <c r="D426" s="46" t="s">
        <v>5701</v>
      </c>
      <c r="E426" s="46" t="s">
        <v>588</v>
      </c>
      <c r="F426" s="46" t="s">
        <v>6743</v>
      </c>
      <c r="H426" s="46" t="s">
        <v>722</v>
      </c>
      <c r="I426" s="46" t="s">
        <v>6744</v>
      </c>
      <c r="J426" s="49" t="s">
        <v>3398</v>
      </c>
      <c r="L426" s="63">
        <v>9</v>
      </c>
      <c r="O426" s="47" t="s">
        <v>5354</v>
      </c>
      <c r="P426" s="47" t="s">
        <v>6747</v>
      </c>
      <c r="Q426" s="62" t="s">
        <v>1939</v>
      </c>
      <c r="R426" s="47" t="s">
        <v>6748</v>
      </c>
      <c r="U426" s="46" t="s">
        <v>491</v>
      </c>
      <c r="V426" s="109" t="s">
        <v>3985</v>
      </c>
      <c r="W426" s="47" t="s">
        <v>7876</v>
      </c>
    </row>
    <row r="427" spans="1:23" ht="45" x14ac:dyDescent="0.25">
      <c r="A427" s="61">
        <v>42866</v>
      </c>
      <c r="B427" s="62" t="s">
        <v>569</v>
      </c>
      <c r="D427" s="46" t="s">
        <v>625</v>
      </c>
      <c r="E427" s="46" t="s">
        <v>588</v>
      </c>
      <c r="F427" s="46" t="s">
        <v>7370</v>
      </c>
      <c r="H427" s="46" t="s">
        <v>886</v>
      </c>
      <c r="I427" s="46" t="s">
        <v>3929</v>
      </c>
      <c r="J427" s="49" t="s">
        <v>899</v>
      </c>
      <c r="N427" s="64">
        <v>3700000</v>
      </c>
      <c r="O427" s="47" t="s">
        <v>6745</v>
      </c>
      <c r="P427" s="47" t="s">
        <v>6746</v>
      </c>
      <c r="Q427" s="62" t="s">
        <v>29</v>
      </c>
      <c r="R427" s="47" t="s">
        <v>7050</v>
      </c>
      <c r="U427" s="46" t="s">
        <v>491</v>
      </c>
      <c r="V427" s="46"/>
    </row>
    <row r="428" spans="1:23" ht="30" x14ac:dyDescent="0.25">
      <c r="A428" s="61">
        <v>42866</v>
      </c>
      <c r="B428" s="62" t="s">
        <v>569</v>
      </c>
      <c r="D428" s="46" t="s">
        <v>625</v>
      </c>
      <c r="E428" s="46" t="s">
        <v>588</v>
      </c>
      <c r="F428" s="46" t="s">
        <v>6749</v>
      </c>
      <c r="H428" s="46" t="s">
        <v>607</v>
      </c>
      <c r="I428" s="46" t="s">
        <v>3837</v>
      </c>
      <c r="J428" s="49" t="s">
        <v>899</v>
      </c>
      <c r="L428" s="63">
        <v>9</v>
      </c>
      <c r="M428" s="64">
        <v>1800000</v>
      </c>
      <c r="N428" s="64">
        <v>3200000</v>
      </c>
      <c r="O428" s="47" t="s">
        <v>560</v>
      </c>
      <c r="P428" s="47" t="s">
        <v>6750</v>
      </c>
      <c r="Q428" s="62" t="s">
        <v>592</v>
      </c>
      <c r="U428" s="46" t="s">
        <v>491</v>
      </c>
      <c r="V428" s="46"/>
    </row>
    <row r="429" spans="1:23" ht="75" x14ac:dyDescent="0.25">
      <c r="A429" s="61">
        <v>42866</v>
      </c>
      <c r="B429" s="62" t="s">
        <v>569</v>
      </c>
      <c r="D429" s="46" t="s">
        <v>611</v>
      </c>
      <c r="E429" s="46" t="s">
        <v>588</v>
      </c>
      <c r="F429" s="46" t="s">
        <v>6751</v>
      </c>
      <c r="H429" s="46" t="s">
        <v>607</v>
      </c>
      <c r="O429" s="47" t="s">
        <v>3785</v>
      </c>
      <c r="P429" s="47" t="s">
        <v>6752</v>
      </c>
      <c r="Q429" s="62" t="s">
        <v>592</v>
      </c>
      <c r="U429" s="46" t="s">
        <v>491</v>
      </c>
      <c r="V429" s="46"/>
    </row>
    <row r="430" spans="1:23" ht="105" x14ac:dyDescent="0.25">
      <c r="A430" s="61">
        <v>42867</v>
      </c>
      <c r="B430" s="62" t="s">
        <v>328</v>
      </c>
      <c r="C430" s="46" t="s">
        <v>603</v>
      </c>
      <c r="D430" s="46" t="s">
        <v>1401</v>
      </c>
      <c r="E430" s="46" t="s">
        <v>588</v>
      </c>
      <c r="F430" s="46" t="s">
        <v>6753</v>
      </c>
      <c r="H430" s="46" t="s">
        <v>607</v>
      </c>
      <c r="I430" s="46" t="s">
        <v>5683</v>
      </c>
      <c r="J430" s="49" t="s">
        <v>899</v>
      </c>
      <c r="L430" s="63">
        <v>2</v>
      </c>
      <c r="M430" s="64">
        <v>2580500</v>
      </c>
      <c r="N430" s="64">
        <v>4890500</v>
      </c>
      <c r="O430" s="47" t="s">
        <v>6754</v>
      </c>
      <c r="P430" s="47" t="s">
        <v>6755</v>
      </c>
      <c r="Q430" s="62" t="s">
        <v>1939</v>
      </c>
      <c r="R430" s="47" t="s">
        <v>6756</v>
      </c>
      <c r="U430" s="46" t="s">
        <v>491</v>
      </c>
      <c r="V430" s="46"/>
    </row>
    <row r="431" spans="1:23" ht="45" x14ac:dyDescent="0.25">
      <c r="A431" s="61">
        <v>42867</v>
      </c>
      <c r="B431" s="62" t="s">
        <v>110</v>
      </c>
      <c r="C431" s="46" t="s">
        <v>761</v>
      </c>
      <c r="D431" s="46" t="s">
        <v>715</v>
      </c>
      <c r="E431" s="46" t="s">
        <v>588</v>
      </c>
      <c r="F431" s="46" t="s">
        <v>6757</v>
      </c>
      <c r="H431" s="46" t="s">
        <v>607</v>
      </c>
      <c r="I431" s="46" t="s">
        <v>6758</v>
      </c>
      <c r="J431" s="49" t="s">
        <v>761</v>
      </c>
      <c r="L431" s="63">
        <v>9</v>
      </c>
      <c r="M431" s="64">
        <v>338000</v>
      </c>
      <c r="N431" s="64">
        <v>574600</v>
      </c>
      <c r="O431" s="47" t="s">
        <v>840</v>
      </c>
      <c r="P431" s="47" t="s">
        <v>6759</v>
      </c>
      <c r="Q431" s="62" t="s">
        <v>592</v>
      </c>
      <c r="U431" s="46" t="s">
        <v>491</v>
      </c>
      <c r="V431" s="46"/>
    </row>
    <row r="432" spans="1:23" ht="75" x14ac:dyDescent="0.25">
      <c r="A432" s="61">
        <v>42867</v>
      </c>
      <c r="B432" s="62" t="s">
        <v>569</v>
      </c>
      <c r="D432" s="46" t="s">
        <v>611</v>
      </c>
      <c r="E432" s="46" t="s">
        <v>588</v>
      </c>
      <c r="F432" s="46" t="s">
        <v>6760</v>
      </c>
      <c r="H432" s="46" t="s">
        <v>607</v>
      </c>
      <c r="I432" s="46" t="s">
        <v>3536</v>
      </c>
      <c r="J432" s="49" t="s">
        <v>899</v>
      </c>
      <c r="L432" s="63">
        <v>1</v>
      </c>
      <c r="M432" s="64">
        <v>3000000</v>
      </c>
      <c r="N432" s="64">
        <v>3150000</v>
      </c>
      <c r="O432" s="47" t="s">
        <v>6761</v>
      </c>
      <c r="P432" s="47" t="s">
        <v>6762</v>
      </c>
      <c r="Q432" s="62" t="s">
        <v>1612</v>
      </c>
      <c r="R432" s="47" t="s">
        <v>6800</v>
      </c>
      <c r="U432" s="46" t="s">
        <v>491</v>
      </c>
      <c r="V432" s="46"/>
    </row>
    <row r="433" spans="1:23" ht="90" x14ac:dyDescent="0.25">
      <c r="A433" s="61">
        <v>42867</v>
      </c>
      <c r="B433" s="62" t="s">
        <v>569</v>
      </c>
      <c r="D433" s="46" t="s">
        <v>930</v>
      </c>
      <c r="E433" s="46" t="s">
        <v>821</v>
      </c>
      <c r="F433" s="46" t="s">
        <v>6763</v>
      </c>
      <c r="H433" s="46" t="s">
        <v>5244</v>
      </c>
      <c r="O433" s="47" t="s">
        <v>5622</v>
      </c>
      <c r="P433" s="47" t="s">
        <v>6764</v>
      </c>
      <c r="Q433" s="62" t="s">
        <v>592</v>
      </c>
      <c r="U433" s="46" t="s">
        <v>491</v>
      </c>
      <c r="V433" s="46"/>
    </row>
    <row r="434" spans="1:23" ht="60" x14ac:dyDescent="0.25">
      <c r="A434" s="61">
        <v>42867</v>
      </c>
      <c r="B434" s="62" t="s">
        <v>328</v>
      </c>
      <c r="C434" s="46" t="s">
        <v>603</v>
      </c>
      <c r="D434" s="46" t="s">
        <v>5701</v>
      </c>
      <c r="E434" s="46" t="s">
        <v>588</v>
      </c>
      <c r="F434" s="46" t="s">
        <v>6765</v>
      </c>
      <c r="H434" s="46" t="s">
        <v>1057</v>
      </c>
      <c r="L434" s="63">
        <v>1</v>
      </c>
      <c r="M434" s="64">
        <v>150000</v>
      </c>
      <c r="N434" s="64">
        <v>660000</v>
      </c>
      <c r="O434" s="47" t="s">
        <v>1171</v>
      </c>
      <c r="P434" s="47" t="s">
        <v>6766</v>
      </c>
      <c r="Q434" s="62" t="s">
        <v>1939</v>
      </c>
      <c r="R434" s="47" t="s">
        <v>6771</v>
      </c>
      <c r="U434" s="46" t="s">
        <v>491</v>
      </c>
      <c r="V434" s="46"/>
    </row>
    <row r="435" spans="1:23" ht="45" x14ac:dyDescent="0.25">
      <c r="A435" s="61">
        <v>42867</v>
      </c>
      <c r="B435" s="62" t="s">
        <v>6076</v>
      </c>
      <c r="D435" s="46" t="s">
        <v>2836</v>
      </c>
      <c r="E435" s="46" t="s">
        <v>588</v>
      </c>
      <c r="F435" s="46" t="s">
        <v>6767</v>
      </c>
      <c r="O435" s="47" t="s">
        <v>6768</v>
      </c>
      <c r="P435" s="47" t="s">
        <v>6770</v>
      </c>
      <c r="Q435" s="62" t="s">
        <v>1939</v>
      </c>
      <c r="R435" s="47" t="s">
        <v>6769</v>
      </c>
      <c r="U435" s="46" t="s">
        <v>491</v>
      </c>
      <c r="V435" s="46"/>
    </row>
    <row r="436" spans="1:23" ht="60" x14ac:dyDescent="0.25">
      <c r="A436" s="61">
        <v>42870</v>
      </c>
      <c r="B436" s="62" t="s">
        <v>569</v>
      </c>
      <c r="D436" s="46" t="s">
        <v>6773</v>
      </c>
      <c r="E436" s="46" t="s">
        <v>588</v>
      </c>
      <c r="F436" s="46" t="s">
        <v>6774</v>
      </c>
      <c r="H436" s="46" t="s">
        <v>607</v>
      </c>
      <c r="I436" s="46" t="s">
        <v>4674</v>
      </c>
      <c r="O436" s="47" t="s">
        <v>6775</v>
      </c>
      <c r="P436" s="47" t="s">
        <v>6776</v>
      </c>
      <c r="Q436" s="62" t="s">
        <v>29</v>
      </c>
      <c r="R436" s="47" t="s">
        <v>6925</v>
      </c>
      <c r="S436" s="47" t="s">
        <v>9482</v>
      </c>
      <c r="U436" s="46" t="s">
        <v>491</v>
      </c>
      <c r="V436" s="46"/>
    </row>
    <row r="437" spans="1:23" ht="30" x14ac:dyDescent="0.25">
      <c r="A437" s="61">
        <v>42870</v>
      </c>
      <c r="B437" s="62" t="s">
        <v>328</v>
      </c>
      <c r="C437" s="46" t="s">
        <v>603</v>
      </c>
      <c r="D437" s="46" t="s">
        <v>587</v>
      </c>
      <c r="E437" s="46" t="s">
        <v>588</v>
      </c>
      <c r="F437" s="46" t="s">
        <v>6777</v>
      </c>
      <c r="H437" s="46" t="s">
        <v>886</v>
      </c>
      <c r="I437" s="46" t="s">
        <v>6780</v>
      </c>
      <c r="J437" s="49" t="s">
        <v>3371</v>
      </c>
      <c r="M437" s="64">
        <v>250000</v>
      </c>
      <c r="N437" s="64">
        <v>278000</v>
      </c>
      <c r="O437" s="47" t="s">
        <v>6779</v>
      </c>
      <c r="P437" s="47" t="s">
        <v>6778</v>
      </c>
      <c r="Q437" s="62" t="s">
        <v>29</v>
      </c>
      <c r="R437" s="47" t="s">
        <v>6782</v>
      </c>
      <c r="S437" s="47" t="s">
        <v>6781</v>
      </c>
      <c r="U437" s="46" t="s">
        <v>491</v>
      </c>
      <c r="V437" s="46"/>
    </row>
    <row r="438" spans="1:23" ht="45" x14ac:dyDescent="0.25">
      <c r="A438" s="61">
        <v>42870</v>
      </c>
      <c r="B438" s="62" t="s">
        <v>328</v>
      </c>
      <c r="C438" s="46" t="s">
        <v>603</v>
      </c>
      <c r="D438" s="46" t="s">
        <v>1401</v>
      </c>
      <c r="E438" s="46" t="s">
        <v>588</v>
      </c>
      <c r="F438" s="46" t="s">
        <v>6783</v>
      </c>
      <c r="H438" s="46" t="s">
        <v>5321</v>
      </c>
      <c r="I438" s="46" t="s">
        <v>3861</v>
      </c>
      <c r="J438" s="49" t="s">
        <v>899</v>
      </c>
      <c r="L438" s="63">
        <v>2</v>
      </c>
      <c r="M438" s="64">
        <v>1025000</v>
      </c>
      <c r="N438" s="64">
        <v>1742500</v>
      </c>
      <c r="O438" s="47" t="s">
        <v>2691</v>
      </c>
      <c r="P438" s="47" t="s">
        <v>6784</v>
      </c>
      <c r="Q438" s="62" t="s">
        <v>1939</v>
      </c>
      <c r="R438" s="47" t="s">
        <v>6785</v>
      </c>
      <c r="U438" s="46" t="s">
        <v>491</v>
      </c>
      <c r="V438" s="109" t="s">
        <v>3985</v>
      </c>
      <c r="W438" s="47" t="s">
        <v>7877</v>
      </c>
    </row>
    <row r="439" spans="1:23" ht="45" x14ac:dyDescent="0.25">
      <c r="A439" s="61">
        <v>42870</v>
      </c>
      <c r="B439" s="62" t="s">
        <v>328</v>
      </c>
      <c r="C439" s="46" t="s">
        <v>603</v>
      </c>
      <c r="D439" s="46" t="s">
        <v>1401</v>
      </c>
      <c r="E439" s="46" t="s">
        <v>588</v>
      </c>
      <c r="F439" s="46" t="s">
        <v>6786</v>
      </c>
      <c r="H439" s="46" t="s">
        <v>607</v>
      </c>
      <c r="I439" s="46" t="s">
        <v>6787</v>
      </c>
      <c r="J439" s="49" t="s">
        <v>3371</v>
      </c>
      <c r="M439" s="64">
        <v>221600</v>
      </c>
      <c r="N439" s="64">
        <v>465360</v>
      </c>
      <c r="O439" s="47" t="s">
        <v>3952</v>
      </c>
      <c r="P439" s="47" t="s">
        <v>6788</v>
      </c>
      <c r="Q439" s="62" t="s">
        <v>592</v>
      </c>
      <c r="R439" s="47" t="s">
        <v>6789</v>
      </c>
      <c r="U439" s="46" t="s">
        <v>491</v>
      </c>
      <c r="V439" s="46"/>
    </row>
    <row r="440" spans="1:23" ht="45" x14ac:dyDescent="0.25">
      <c r="A440" s="61">
        <v>42870</v>
      </c>
      <c r="B440" s="62" t="s">
        <v>328</v>
      </c>
      <c r="C440" s="46" t="s">
        <v>603</v>
      </c>
      <c r="D440" s="46" t="s">
        <v>2397</v>
      </c>
      <c r="E440" s="46" t="s">
        <v>588</v>
      </c>
      <c r="F440" s="46" t="s">
        <v>6790</v>
      </c>
      <c r="H440" s="46" t="s">
        <v>1991</v>
      </c>
      <c r="I440" s="46" t="s">
        <v>6791</v>
      </c>
      <c r="J440" s="49" t="s">
        <v>5562</v>
      </c>
      <c r="M440" s="64">
        <v>150000</v>
      </c>
      <c r="N440" s="64">
        <v>150000</v>
      </c>
      <c r="O440" s="47" t="s">
        <v>6792</v>
      </c>
      <c r="P440" s="47" t="s">
        <v>6793</v>
      </c>
      <c r="Q440" s="62" t="s">
        <v>1939</v>
      </c>
      <c r="R440" s="47" t="s">
        <v>6794</v>
      </c>
      <c r="U440" s="46" t="s">
        <v>491</v>
      </c>
      <c r="V440" s="46"/>
    </row>
    <row r="441" spans="1:23" ht="30" x14ac:dyDescent="0.25">
      <c r="A441" s="61">
        <v>42870</v>
      </c>
      <c r="B441" s="62" t="s">
        <v>328</v>
      </c>
      <c r="C441" s="46" t="s">
        <v>603</v>
      </c>
      <c r="D441" s="46" t="s">
        <v>1401</v>
      </c>
      <c r="E441" s="46" t="s">
        <v>588</v>
      </c>
      <c r="F441" s="46" t="s">
        <v>6795</v>
      </c>
      <c r="H441" s="46" t="s">
        <v>607</v>
      </c>
      <c r="I441" s="46" t="s">
        <v>6796</v>
      </c>
      <c r="J441" s="49" t="s">
        <v>3370</v>
      </c>
      <c r="L441" s="63">
        <v>2</v>
      </c>
      <c r="M441" s="64">
        <v>4000000</v>
      </c>
      <c r="N441" s="64">
        <v>4250000</v>
      </c>
      <c r="O441" s="47" t="s">
        <v>6797</v>
      </c>
      <c r="P441" s="47" t="s">
        <v>6798</v>
      </c>
      <c r="Q441" s="62" t="s">
        <v>1939</v>
      </c>
      <c r="R441" s="47" t="s">
        <v>6799</v>
      </c>
      <c r="U441" s="46" t="s">
        <v>491</v>
      </c>
      <c r="V441" s="46"/>
    </row>
    <row r="442" spans="1:23" ht="60" x14ac:dyDescent="0.25">
      <c r="A442" s="61">
        <v>42871</v>
      </c>
      <c r="B442" s="62" t="s">
        <v>110</v>
      </c>
      <c r="C442" s="46" t="s">
        <v>761</v>
      </c>
      <c r="D442" s="46" t="s">
        <v>1122</v>
      </c>
      <c r="E442" s="46" t="s">
        <v>588</v>
      </c>
      <c r="F442" s="46" t="s">
        <v>6801</v>
      </c>
      <c r="H442" s="46" t="s">
        <v>607</v>
      </c>
      <c r="I442" s="46" t="s">
        <v>6802</v>
      </c>
      <c r="J442" s="49" t="s">
        <v>761</v>
      </c>
      <c r="L442" s="63">
        <v>9</v>
      </c>
      <c r="M442" s="64">
        <v>315000</v>
      </c>
      <c r="N442" s="64">
        <v>535500</v>
      </c>
      <c r="O442" s="47" t="s">
        <v>35</v>
      </c>
      <c r="P442" s="47" t="s">
        <v>6803</v>
      </c>
      <c r="Q442" s="62" t="s">
        <v>1939</v>
      </c>
      <c r="R442" s="47" t="s">
        <v>6820</v>
      </c>
      <c r="U442" s="46" t="s">
        <v>491</v>
      </c>
      <c r="V442" s="46"/>
    </row>
    <row r="443" spans="1:23" ht="90" x14ac:dyDescent="0.25">
      <c r="A443" s="61">
        <v>42871</v>
      </c>
      <c r="B443" s="62" t="s">
        <v>328</v>
      </c>
      <c r="C443" s="46" t="s">
        <v>603</v>
      </c>
      <c r="D443" s="46" t="s">
        <v>672</v>
      </c>
      <c r="E443" s="46" t="s">
        <v>588</v>
      </c>
      <c r="F443" s="46" t="s">
        <v>6804</v>
      </c>
      <c r="H443" s="46" t="s">
        <v>607</v>
      </c>
      <c r="J443" s="49" t="s">
        <v>3733</v>
      </c>
      <c r="L443" s="63">
        <v>2</v>
      </c>
      <c r="M443" s="64">
        <v>150000</v>
      </c>
      <c r="N443" s="64">
        <v>330000</v>
      </c>
      <c r="O443" s="47" t="s">
        <v>6522</v>
      </c>
      <c r="P443" s="47" t="s">
        <v>6805</v>
      </c>
      <c r="Q443" s="62" t="s">
        <v>1939</v>
      </c>
      <c r="R443" s="47" t="s">
        <v>6819</v>
      </c>
      <c r="U443" s="46" t="s">
        <v>491</v>
      </c>
      <c r="V443" s="46"/>
    </row>
    <row r="444" spans="1:23" ht="135" x14ac:dyDescent="0.25">
      <c r="A444" s="61">
        <v>42871</v>
      </c>
      <c r="B444" s="62" t="s">
        <v>328</v>
      </c>
      <c r="C444" s="46" t="s">
        <v>603</v>
      </c>
      <c r="D444" s="46" t="s">
        <v>672</v>
      </c>
      <c r="E444" s="46" t="s">
        <v>588</v>
      </c>
      <c r="F444" s="46" t="s">
        <v>6806</v>
      </c>
      <c r="H444" s="46" t="s">
        <v>905</v>
      </c>
      <c r="I444" s="46" t="s">
        <v>6807</v>
      </c>
      <c r="J444" s="49" t="s">
        <v>3371</v>
      </c>
      <c r="L444" s="63">
        <v>3</v>
      </c>
      <c r="M444" s="64">
        <v>367000</v>
      </c>
      <c r="N444" s="64">
        <v>440400</v>
      </c>
      <c r="O444" s="47" t="s">
        <v>3952</v>
      </c>
      <c r="P444" s="47" t="s">
        <v>6808</v>
      </c>
      <c r="Q444" s="62" t="s">
        <v>29</v>
      </c>
      <c r="R444" s="47" t="s">
        <v>7051</v>
      </c>
      <c r="U444" s="46" t="s">
        <v>491</v>
      </c>
      <c r="V444" s="46"/>
    </row>
    <row r="445" spans="1:23" ht="75" x14ac:dyDescent="0.25">
      <c r="A445" s="61">
        <v>42871</v>
      </c>
      <c r="B445" s="62" t="s">
        <v>569</v>
      </c>
      <c r="D445" s="46" t="s">
        <v>625</v>
      </c>
      <c r="E445" s="46" t="s">
        <v>588</v>
      </c>
      <c r="F445" s="46" t="s">
        <v>6810</v>
      </c>
      <c r="H445" s="46" t="s">
        <v>809</v>
      </c>
      <c r="I445" s="46" t="s">
        <v>5668</v>
      </c>
      <c r="J445" s="49" t="s">
        <v>899</v>
      </c>
      <c r="M445" s="64">
        <v>500000</v>
      </c>
      <c r="N445" s="64">
        <v>550000</v>
      </c>
      <c r="O445" s="47" t="s">
        <v>5926</v>
      </c>
      <c r="P445" s="47" t="s">
        <v>6811</v>
      </c>
      <c r="Q445" s="62" t="s">
        <v>1939</v>
      </c>
      <c r="R445" s="47" t="s">
        <v>6812</v>
      </c>
      <c r="U445" s="46" t="s">
        <v>491</v>
      </c>
      <c r="V445" s="46"/>
    </row>
    <row r="446" spans="1:23" ht="30" x14ac:dyDescent="0.25">
      <c r="A446" s="61">
        <v>42872</v>
      </c>
      <c r="B446" s="62" t="s">
        <v>5473</v>
      </c>
      <c r="D446" s="46" t="s">
        <v>1495</v>
      </c>
      <c r="E446" s="46" t="s">
        <v>588</v>
      </c>
      <c r="F446" s="46" t="s">
        <v>6813</v>
      </c>
      <c r="H446" s="46" t="s">
        <v>1991</v>
      </c>
      <c r="O446" s="47" t="s">
        <v>6814</v>
      </c>
      <c r="P446" s="47" t="s">
        <v>6815</v>
      </c>
      <c r="Q446" s="62" t="s">
        <v>620</v>
      </c>
      <c r="R446" s="47" t="s">
        <v>6816</v>
      </c>
      <c r="U446" s="46" t="s">
        <v>491</v>
      </c>
      <c r="V446" s="46"/>
    </row>
    <row r="447" spans="1:23" ht="192.75" x14ac:dyDescent="0.25">
      <c r="A447" s="61">
        <v>42872</v>
      </c>
      <c r="B447" s="62" t="s">
        <v>328</v>
      </c>
      <c r="C447" s="46" t="s">
        <v>603</v>
      </c>
      <c r="D447" s="46" t="s">
        <v>649</v>
      </c>
      <c r="E447" s="46" t="s">
        <v>588</v>
      </c>
      <c r="F447" s="46" t="s">
        <v>6817</v>
      </c>
      <c r="H447" s="46" t="s">
        <v>1391</v>
      </c>
      <c r="I447" s="46" t="s">
        <v>3452</v>
      </c>
      <c r="J447" s="49" t="s">
        <v>899</v>
      </c>
      <c r="M447" s="64">
        <v>1800000</v>
      </c>
      <c r="N447" s="64">
        <v>3753750</v>
      </c>
      <c r="O447" s="47" t="s">
        <v>560</v>
      </c>
      <c r="P447" s="47" t="s">
        <v>6818</v>
      </c>
      <c r="Q447" s="62" t="s">
        <v>1939</v>
      </c>
      <c r="R447" s="86" t="s">
        <v>6910</v>
      </c>
      <c r="U447" s="46" t="s">
        <v>491</v>
      </c>
      <c r="V447" s="46"/>
    </row>
    <row r="448" spans="1:23" ht="144.75" x14ac:dyDescent="0.25">
      <c r="A448" s="61">
        <v>42872</v>
      </c>
      <c r="B448" s="62" t="s">
        <v>328</v>
      </c>
      <c r="C448" s="46" t="s">
        <v>603</v>
      </c>
      <c r="D448" s="46" t="s">
        <v>5701</v>
      </c>
      <c r="E448" s="46" t="s">
        <v>588</v>
      </c>
      <c r="F448" s="46" t="s">
        <v>6821</v>
      </c>
      <c r="H448" s="46" t="s">
        <v>607</v>
      </c>
      <c r="I448" s="46" t="s">
        <v>6822</v>
      </c>
      <c r="J448" s="49" t="s">
        <v>3371</v>
      </c>
      <c r="L448" s="63">
        <v>5</v>
      </c>
      <c r="M448" s="64">
        <v>153000</v>
      </c>
      <c r="N448" s="64">
        <v>238900</v>
      </c>
      <c r="O448" s="47" t="s">
        <v>2934</v>
      </c>
      <c r="P448" s="47" t="s">
        <v>6823</v>
      </c>
      <c r="Q448" s="62" t="s">
        <v>1939</v>
      </c>
      <c r="R448" s="86" t="s">
        <v>6824</v>
      </c>
      <c r="U448" s="46" t="s">
        <v>491</v>
      </c>
      <c r="V448" s="109" t="s">
        <v>3985</v>
      </c>
      <c r="W448" s="47" t="s">
        <v>7877</v>
      </c>
    </row>
    <row r="449" spans="1:22" ht="60" x14ac:dyDescent="0.25">
      <c r="A449" s="61">
        <v>42872</v>
      </c>
      <c r="B449" s="62" t="s">
        <v>110</v>
      </c>
      <c r="C449" s="46" t="s">
        <v>761</v>
      </c>
      <c r="D449" s="46" t="s">
        <v>715</v>
      </c>
      <c r="E449" s="46" t="s">
        <v>588</v>
      </c>
      <c r="F449" s="46" t="s">
        <v>6825</v>
      </c>
      <c r="H449" s="46" t="s">
        <v>905</v>
      </c>
      <c r="O449" s="47" t="s">
        <v>6826</v>
      </c>
      <c r="P449" s="47" t="s">
        <v>6827</v>
      </c>
      <c r="Q449" s="62" t="s">
        <v>620</v>
      </c>
      <c r="R449" s="47" t="s">
        <v>6828</v>
      </c>
      <c r="U449" s="46" t="s">
        <v>491</v>
      </c>
      <c r="V449" s="46"/>
    </row>
    <row r="450" spans="1:22" ht="60" x14ac:dyDescent="0.25">
      <c r="A450" s="61">
        <v>42872</v>
      </c>
      <c r="B450" s="62" t="s">
        <v>643</v>
      </c>
      <c r="C450" s="46" t="s">
        <v>644</v>
      </c>
      <c r="D450" s="46" t="s">
        <v>645</v>
      </c>
      <c r="E450" s="46" t="s">
        <v>588</v>
      </c>
      <c r="F450" s="46" t="s">
        <v>6830</v>
      </c>
      <c r="H450" s="46" t="s">
        <v>6831</v>
      </c>
      <c r="I450" s="46" t="s">
        <v>6832</v>
      </c>
      <c r="J450" s="49" t="s">
        <v>3501</v>
      </c>
      <c r="L450" s="63">
        <v>4</v>
      </c>
      <c r="M450" s="64">
        <v>1555900</v>
      </c>
      <c r="N450" s="64">
        <v>3267400</v>
      </c>
      <c r="O450" s="47" t="s">
        <v>560</v>
      </c>
      <c r="P450" s="47" t="s">
        <v>6833</v>
      </c>
      <c r="Q450" s="62" t="s">
        <v>592</v>
      </c>
      <c r="R450" s="47" t="s">
        <v>6829</v>
      </c>
      <c r="U450" s="46" t="s">
        <v>491</v>
      </c>
      <c r="V450" s="46"/>
    </row>
    <row r="451" spans="1:22" ht="96.75" x14ac:dyDescent="0.25">
      <c r="A451" s="61">
        <v>42873</v>
      </c>
      <c r="B451" s="62" t="s">
        <v>328</v>
      </c>
      <c r="C451" s="46" t="s">
        <v>603</v>
      </c>
      <c r="D451" s="46" t="s">
        <v>1401</v>
      </c>
      <c r="E451" s="46" t="s">
        <v>588</v>
      </c>
      <c r="F451" s="46" t="s">
        <v>6834</v>
      </c>
      <c r="H451" s="46" t="s">
        <v>607</v>
      </c>
      <c r="I451" s="46" t="s">
        <v>6836</v>
      </c>
      <c r="J451" s="49" t="s">
        <v>3523</v>
      </c>
      <c r="M451" s="64">
        <v>1300000</v>
      </c>
      <c r="N451" s="64">
        <v>2800000</v>
      </c>
      <c r="O451" s="47" t="s">
        <v>6835</v>
      </c>
      <c r="P451" s="47" t="s">
        <v>6837</v>
      </c>
      <c r="Q451" s="62" t="s">
        <v>1939</v>
      </c>
      <c r="R451" s="86" t="s">
        <v>6838</v>
      </c>
      <c r="U451" s="46" t="s">
        <v>491</v>
      </c>
      <c r="V451" s="46"/>
    </row>
    <row r="452" spans="1:22" ht="90" x14ac:dyDescent="0.25">
      <c r="A452" s="61">
        <v>42873</v>
      </c>
      <c r="B452" s="62" t="s">
        <v>328</v>
      </c>
      <c r="C452" s="46" t="s">
        <v>603</v>
      </c>
      <c r="D452" s="46" t="s">
        <v>672</v>
      </c>
      <c r="E452" s="46" t="s">
        <v>588</v>
      </c>
      <c r="F452" s="46" t="s">
        <v>6839</v>
      </c>
      <c r="H452" s="46" t="s">
        <v>722</v>
      </c>
      <c r="I452" s="46" t="s">
        <v>5888</v>
      </c>
      <c r="J452" s="49" t="s">
        <v>899</v>
      </c>
      <c r="L452" s="63">
        <v>3</v>
      </c>
      <c r="M452" s="64">
        <v>3000000</v>
      </c>
      <c r="N452" s="64">
        <v>4800000</v>
      </c>
      <c r="O452" s="47" t="s">
        <v>560</v>
      </c>
      <c r="P452" s="47" t="s">
        <v>6841</v>
      </c>
      <c r="Q452" s="62" t="s">
        <v>592</v>
      </c>
      <c r="S452" s="47" t="s">
        <v>6840</v>
      </c>
      <c r="U452" s="46" t="s">
        <v>491</v>
      </c>
      <c r="V452" s="46"/>
    </row>
    <row r="453" spans="1:22" ht="90" x14ac:dyDescent="0.25">
      <c r="A453" s="61">
        <v>42873</v>
      </c>
      <c r="B453" s="62" t="s">
        <v>569</v>
      </c>
      <c r="D453" s="46" t="s">
        <v>930</v>
      </c>
      <c r="E453" s="46" t="s">
        <v>588</v>
      </c>
      <c r="F453" s="46" t="s">
        <v>6842</v>
      </c>
      <c r="H453" s="46" t="s">
        <v>607</v>
      </c>
      <c r="I453" s="46" t="s">
        <v>6843</v>
      </c>
      <c r="J453" s="49" t="s">
        <v>899</v>
      </c>
      <c r="M453" s="64">
        <v>2000000</v>
      </c>
      <c r="N453" s="64">
        <v>3240000</v>
      </c>
      <c r="O453" s="47" t="s">
        <v>1171</v>
      </c>
      <c r="P453" s="47" t="s">
        <v>6844</v>
      </c>
      <c r="Q453" s="62" t="s">
        <v>1939</v>
      </c>
      <c r="R453" s="47" t="s">
        <v>6845</v>
      </c>
      <c r="U453" s="46" t="s">
        <v>491</v>
      </c>
      <c r="V453" s="46"/>
    </row>
    <row r="454" spans="1:22" ht="156.75" x14ac:dyDescent="0.25">
      <c r="A454" s="61">
        <v>42874</v>
      </c>
      <c r="B454" s="62" t="s">
        <v>328</v>
      </c>
      <c r="C454" s="46" t="s">
        <v>603</v>
      </c>
      <c r="D454" s="46" t="s">
        <v>5701</v>
      </c>
      <c r="E454" s="46" t="s">
        <v>588</v>
      </c>
      <c r="F454" s="46" t="s">
        <v>6846</v>
      </c>
      <c r="H454" s="46" t="s">
        <v>607</v>
      </c>
      <c r="I454" s="46" t="s">
        <v>6847</v>
      </c>
      <c r="J454" s="49" t="s">
        <v>5562</v>
      </c>
      <c r="L454" s="63">
        <v>9</v>
      </c>
      <c r="M454" s="64">
        <v>431000</v>
      </c>
      <c r="N454" s="64">
        <v>924000</v>
      </c>
      <c r="O454" s="47" t="s">
        <v>6848</v>
      </c>
      <c r="P454" s="47" t="s">
        <v>6849</v>
      </c>
      <c r="Q454" s="62" t="s">
        <v>1939</v>
      </c>
      <c r="R454" s="86" t="s">
        <v>6851</v>
      </c>
      <c r="S454" s="47" t="s">
        <v>6850</v>
      </c>
      <c r="U454" s="46" t="s">
        <v>491</v>
      </c>
      <c r="V454" s="46"/>
    </row>
    <row r="455" spans="1:22" ht="30" x14ac:dyDescent="0.25">
      <c r="A455" s="61">
        <v>42874</v>
      </c>
      <c r="B455" s="62" t="s">
        <v>328</v>
      </c>
      <c r="C455" s="46" t="s">
        <v>603</v>
      </c>
      <c r="D455" s="46" t="s">
        <v>672</v>
      </c>
      <c r="E455" s="46" t="s">
        <v>588</v>
      </c>
      <c r="F455" s="46" t="s">
        <v>6852</v>
      </c>
      <c r="H455" s="46" t="s">
        <v>607</v>
      </c>
      <c r="I455" s="46" t="s">
        <v>3388</v>
      </c>
      <c r="J455" s="49" t="s">
        <v>899</v>
      </c>
      <c r="L455" s="63">
        <v>1</v>
      </c>
      <c r="M455" s="64">
        <v>2000000</v>
      </c>
      <c r="N455" s="64">
        <v>3200000</v>
      </c>
      <c r="O455" s="47" t="s">
        <v>560</v>
      </c>
      <c r="P455" s="47" t="s">
        <v>6853</v>
      </c>
      <c r="Q455" s="62" t="s">
        <v>592</v>
      </c>
      <c r="U455" s="46" t="s">
        <v>491</v>
      </c>
      <c r="V455" s="46"/>
    </row>
    <row r="456" spans="1:22" ht="60" x14ac:dyDescent="0.25">
      <c r="A456" s="61">
        <v>42877</v>
      </c>
      <c r="B456" s="62" t="s">
        <v>569</v>
      </c>
      <c r="C456" s="46" t="s">
        <v>899</v>
      </c>
      <c r="D456" s="46" t="s">
        <v>625</v>
      </c>
      <c r="E456" s="46" t="s">
        <v>588</v>
      </c>
      <c r="F456" s="46" t="s">
        <v>6858</v>
      </c>
      <c r="H456" s="46" t="s">
        <v>607</v>
      </c>
      <c r="I456" s="46" t="s">
        <v>6857</v>
      </c>
      <c r="J456" s="49" t="s">
        <v>899</v>
      </c>
      <c r="L456" s="63">
        <v>2</v>
      </c>
      <c r="M456" s="64">
        <v>506000</v>
      </c>
      <c r="N456" s="64">
        <v>806600</v>
      </c>
      <c r="O456" s="47" t="s">
        <v>6856</v>
      </c>
      <c r="P456" s="47" t="s">
        <v>6855</v>
      </c>
      <c r="Q456" s="62" t="s">
        <v>1939</v>
      </c>
      <c r="R456" s="47" t="s">
        <v>6854</v>
      </c>
      <c r="U456" s="46" t="s">
        <v>1327</v>
      </c>
      <c r="V456" s="46"/>
    </row>
    <row r="457" spans="1:22" ht="60" x14ac:dyDescent="0.25">
      <c r="A457" s="61">
        <v>42877</v>
      </c>
      <c r="B457" s="62" t="s">
        <v>328</v>
      </c>
      <c r="C457" s="46" t="s">
        <v>603</v>
      </c>
      <c r="D457" s="46" t="s">
        <v>2397</v>
      </c>
      <c r="E457" s="46" t="s">
        <v>588</v>
      </c>
      <c r="F457" s="46" t="s">
        <v>6859</v>
      </c>
      <c r="H457" s="46" t="s">
        <v>1391</v>
      </c>
      <c r="I457" s="46" t="s">
        <v>3620</v>
      </c>
      <c r="J457" s="49" t="s">
        <v>899</v>
      </c>
      <c r="L457" s="63">
        <v>10</v>
      </c>
      <c r="M457" s="64">
        <v>2700000</v>
      </c>
      <c r="N457" s="132">
        <v>4320000</v>
      </c>
      <c r="O457" s="47" t="s">
        <v>6860</v>
      </c>
      <c r="P457" s="47" t="s">
        <v>7052</v>
      </c>
      <c r="Q457" s="62" t="s">
        <v>592</v>
      </c>
      <c r="R457" s="47" t="s">
        <v>6861</v>
      </c>
      <c r="U457" s="46" t="s">
        <v>1327</v>
      </c>
      <c r="V457" s="46"/>
    </row>
    <row r="458" spans="1:22" ht="60" x14ac:dyDescent="0.25">
      <c r="A458" s="61">
        <v>42877</v>
      </c>
      <c r="B458" s="62" t="s">
        <v>110</v>
      </c>
      <c r="C458" s="46" t="s">
        <v>761</v>
      </c>
      <c r="D458" s="46" t="s">
        <v>6863</v>
      </c>
      <c r="E458" s="46" t="s">
        <v>588</v>
      </c>
      <c r="F458" s="46" t="s">
        <v>6862</v>
      </c>
      <c r="H458" s="46" t="s">
        <v>607</v>
      </c>
      <c r="I458" s="46" t="s">
        <v>6864</v>
      </c>
      <c r="J458" s="49" t="s">
        <v>4785</v>
      </c>
      <c r="L458" s="63">
        <v>5</v>
      </c>
      <c r="M458" s="64">
        <v>352000</v>
      </c>
      <c r="O458" s="47" t="s">
        <v>5416</v>
      </c>
      <c r="P458" s="47" t="s">
        <v>6865</v>
      </c>
      <c r="Q458" s="62" t="s">
        <v>1939</v>
      </c>
      <c r="R458" s="47" t="s">
        <v>6866</v>
      </c>
      <c r="U458" s="46" t="s">
        <v>1327</v>
      </c>
      <c r="V458" s="46"/>
    </row>
    <row r="459" spans="1:22" ht="45" x14ac:dyDescent="0.25">
      <c r="A459" s="61">
        <v>42878</v>
      </c>
      <c r="B459" s="62" t="s">
        <v>328</v>
      </c>
      <c r="C459" s="46" t="s">
        <v>603</v>
      </c>
      <c r="D459" s="46" t="s">
        <v>2397</v>
      </c>
      <c r="E459" s="46" t="s">
        <v>588</v>
      </c>
      <c r="F459" s="46" t="s">
        <v>6867</v>
      </c>
      <c r="H459" s="46" t="s">
        <v>607</v>
      </c>
      <c r="I459" s="46" t="s">
        <v>6868</v>
      </c>
      <c r="J459" s="49" t="s">
        <v>899</v>
      </c>
      <c r="L459" s="63">
        <v>10</v>
      </c>
      <c r="M459" s="64">
        <v>1457000</v>
      </c>
      <c r="N459" s="64">
        <v>2983200</v>
      </c>
      <c r="O459" s="47" t="s">
        <v>2886</v>
      </c>
      <c r="P459" s="133" t="s">
        <v>6869</v>
      </c>
      <c r="Q459" s="62" t="s">
        <v>1939</v>
      </c>
      <c r="R459" s="47" t="s">
        <v>7053</v>
      </c>
      <c r="U459" s="46" t="s">
        <v>1327</v>
      </c>
      <c r="V459" s="46"/>
    </row>
    <row r="460" spans="1:22" ht="60" x14ac:dyDescent="0.25">
      <c r="A460" s="61">
        <v>42878</v>
      </c>
      <c r="B460" s="62" t="s">
        <v>328</v>
      </c>
      <c r="C460" s="46" t="s">
        <v>603</v>
      </c>
      <c r="D460" s="46" t="s">
        <v>2397</v>
      </c>
      <c r="E460" s="46" t="s">
        <v>588</v>
      </c>
      <c r="F460" s="46" t="s">
        <v>6870</v>
      </c>
      <c r="H460" s="46" t="s">
        <v>607</v>
      </c>
      <c r="I460" s="46" t="s">
        <v>4759</v>
      </c>
      <c r="J460" s="49" t="s">
        <v>899</v>
      </c>
      <c r="L460" s="63">
        <v>2</v>
      </c>
      <c r="M460" s="134">
        <v>1859000</v>
      </c>
      <c r="N460" s="132">
        <v>3903800</v>
      </c>
      <c r="O460" s="47" t="s">
        <v>1171</v>
      </c>
      <c r="P460" s="133" t="s">
        <v>6871</v>
      </c>
      <c r="Q460" s="62" t="s">
        <v>1939</v>
      </c>
      <c r="R460" s="47" t="s">
        <v>6872</v>
      </c>
      <c r="U460" s="46" t="s">
        <v>1327</v>
      </c>
      <c r="V460" s="46"/>
    </row>
    <row r="461" spans="1:22" ht="135" x14ac:dyDescent="0.25">
      <c r="A461" s="61">
        <v>42878</v>
      </c>
      <c r="B461" s="62" t="s">
        <v>569</v>
      </c>
      <c r="C461" s="46" t="s">
        <v>899</v>
      </c>
      <c r="D461" s="46" t="s">
        <v>930</v>
      </c>
      <c r="E461" s="46" t="s">
        <v>821</v>
      </c>
      <c r="F461" s="46" t="s">
        <v>6888</v>
      </c>
      <c r="H461" s="46" t="s">
        <v>2206</v>
      </c>
      <c r="I461" s="46" t="s">
        <v>6889</v>
      </c>
      <c r="J461" s="49" t="s">
        <v>899</v>
      </c>
      <c r="L461" s="63">
        <v>4</v>
      </c>
      <c r="M461" s="64">
        <v>750000</v>
      </c>
      <c r="N461" s="64">
        <v>835000</v>
      </c>
      <c r="O461" s="47" t="s">
        <v>6875</v>
      </c>
      <c r="P461" s="47" t="s">
        <v>6884</v>
      </c>
      <c r="Q461" s="62" t="s">
        <v>1939</v>
      </c>
      <c r="R461" s="47" t="s">
        <v>6885</v>
      </c>
      <c r="U461" s="46" t="s">
        <v>1327</v>
      </c>
      <c r="V461" s="46"/>
    </row>
    <row r="462" spans="1:22" ht="60" x14ac:dyDescent="0.25">
      <c r="A462" s="61">
        <v>42878</v>
      </c>
      <c r="B462" s="62" t="s">
        <v>569</v>
      </c>
      <c r="C462" s="46" t="s">
        <v>899</v>
      </c>
      <c r="D462" s="46" t="s">
        <v>930</v>
      </c>
      <c r="E462" s="46" t="s">
        <v>821</v>
      </c>
      <c r="F462" t="s">
        <v>6874</v>
      </c>
      <c r="G462"/>
      <c r="H462" s="46" t="s">
        <v>607</v>
      </c>
      <c r="I462" s="46" t="s">
        <v>5366</v>
      </c>
      <c r="J462" s="49" t="s">
        <v>899</v>
      </c>
      <c r="M462" s="64">
        <v>560000</v>
      </c>
      <c r="N462" s="64">
        <v>962000</v>
      </c>
      <c r="O462" s="47" t="s">
        <v>5125</v>
      </c>
      <c r="P462" s="47" t="s">
        <v>7054</v>
      </c>
      <c r="Q462" s="62" t="s">
        <v>1939</v>
      </c>
      <c r="R462" s="47" t="s">
        <v>6873</v>
      </c>
      <c r="U462" s="46" t="s">
        <v>1327</v>
      </c>
      <c r="V462" s="46"/>
    </row>
    <row r="463" spans="1:22" ht="30" x14ac:dyDescent="0.25">
      <c r="A463" s="61">
        <v>42879</v>
      </c>
      <c r="B463" s="62" t="s">
        <v>110</v>
      </c>
      <c r="C463" s="46" t="s">
        <v>761</v>
      </c>
      <c r="D463" s="46" t="s">
        <v>715</v>
      </c>
      <c r="E463" s="46" t="s">
        <v>588</v>
      </c>
      <c r="F463" s="47" t="s">
        <v>6876</v>
      </c>
      <c r="G463" s="47"/>
      <c r="H463" s="46" t="s">
        <v>1391</v>
      </c>
      <c r="I463" s="46" t="s">
        <v>6878</v>
      </c>
      <c r="J463" s="49" t="s">
        <v>761</v>
      </c>
      <c r="L463" s="63">
        <v>10</v>
      </c>
      <c r="M463" s="64">
        <v>405000</v>
      </c>
      <c r="N463" s="64">
        <v>688500</v>
      </c>
      <c r="O463" s="47" t="s">
        <v>2886</v>
      </c>
      <c r="P463" s="47" t="s">
        <v>6879</v>
      </c>
      <c r="Q463" s="62" t="s">
        <v>592</v>
      </c>
      <c r="R463" s="47" t="s">
        <v>6880</v>
      </c>
      <c r="U463" s="46" t="s">
        <v>1327</v>
      </c>
      <c r="V463" s="46"/>
    </row>
    <row r="464" spans="1:22" ht="30" x14ac:dyDescent="0.25">
      <c r="A464" s="61">
        <v>42879</v>
      </c>
      <c r="B464" s="62" t="s">
        <v>110</v>
      </c>
      <c r="C464" s="46" t="s">
        <v>761</v>
      </c>
      <c r="D464" s="46" t="s">
        <v>715</v>
      </c>
      <c r="E464" s="46" t="s">
        <v>588</v>
      </c>
      <c r="F464" s="46" t="s">
        <v>6877</v>
      </c>
      <c r="H464" s="46" t="s">
        <v>1391</v>
      </c>
      <c r="I464" s="46" t="s">
        <v>6881</v>
      </c>
      <c r="J464" s="49" t="s">
        <v>761</v>
      </c>
      <c r="L464" s="63">
        <v>9</v>
      </c>
      <c r="M464" s="64">
        <v>260000</v>
      </c>
      <c r="N464" s="64">
        <v>442000</v>
      </c>
      <c r="O464" s="47" t="s">
        <v>840</v>
      </c>
      <c r="P464" s="47" t="s">
        <v>6882</v>
      </c>
      <c r="Q464" s="62" t="s">
        <v>1939</v>
      </c>
      <c r="R464" s="47" t="s">
        <v>6883</v>
      </c>
      <c r="U464" s="46" t="s">
        <v>1327</v>
      </c>
      <c r="V464" s="46"/>
    </row>
    <row r="465" spans="1:22" ht="45" x14ac:dyDescent="0.25">
      <c r="A465" s="61">
        <v>42879</v>
      </c>
      <c r="B465" s="62" t="s">
        <v>328</v>
      </c>
      <c r="C465" s="46" t="s">
        <v>603</v>
      </c>
      <c r="D465" s="46" t="s">
        <v>1401</v>
      </c>
      <c r="E465" s="46" t="s">
        <v>588</v>
      </c>
      <c r="F465" s="46" t="s">
        <v>6867</v>
      </c>
      <c r="H465" s="46" t="s">
        <v>607</v>
      </c>
      <c r="I465" s="46" t="s">
        <v>6868</v>
      </c>
      <c r="J465" s="49" t="s">
        <v>899</v>
      </c>
      <c r="L465" s="63">
        <v>10</v>
      </c>
      <c r="M465" s="132">
        <v>1457000</v>
      </c>
      <c r="N465" s="64">
        <v>2982400</v>
      </c>
      <c r="O465" s="47" t="s">
        <v>764</v>
      </c>
      <c r="P465" s="47" t="s">
        <v>6886</v>
      </c>
      <c r="Q465" s="62" t="s">
        <v>1939</v>
      </c>
      <c r="R465" s="47" t="s">
        <v>7055</v>
      </c>
      <c r="S465" s="47" t="s">
        <v>6887</v>
      </c>
      <c r="U465" s="46" t="s">
        <v>1327</v>
      </c>
      <c r="V465" s="46"/>
    </row>
    <row r="466" spans="1:22" ht="45" x14ac:dyDescent="0.25">
      <c r="A466" s="61">
        <v>42880</v>
      </c>
      <c r="B466" s="62" t="s">
        <v>569</v>
      </c>
      <c r="D466" s="46" t="s">
        <v>611</v>
      </c>
      <c r="E466" s="46" t="s">
        <v>588</v>
      </c>
      <c r="F466" s="46" t="s">
        <v>6890</v>
      </c>
      <c r="H466" s="46" t="s">
        <v>886</v>
      </c>
      <c r="O466" s="47" t="s">
        <v>639</v>
      </c>
      <c r="P466" s="47" t="s">
        <v>6891</v>
      </c>
      <c r="Q466" s="62" t="s">
        <v>620</v>
      </c>
      <c r="R466" s="47" t="s">
        <v>6892</v>
      </c>
      <c r="U466" s="46" t="s">
        <v>491</v>
      </c>
      <c r="V466" s="46"/>
    </row>
    <row r="467" spans="1:22" ht="90" x14ac:dyDescent="0.25">
      <c r="A467" s="61">
        <v>42880</v>
      </c>
      <c r="B467" s="62" t="s">
        <v>569</v>
      </c>
      <c r="D467" s="46" t="s">
        <v>625</v>
      </c>
      <c r="E467" s="46" t="s">
        <v>588</v>
      </c>
      <c r="F467" s="46" t="s">
        <v>6893</v>
      </c>
      <c r="H467" s="46" t="s">
        <v>607</v>
      </c>
      <c r="I467" s="46" t="s">
        <v>6894</v>
      </c>
      <c r="J467" s="49" t="s">
        <v>899</v>
      </c>
      <c r="M467" s="64">
        <v>490000</v>
      </c>
      <c r="N467" s="64">
        <v>900000</v>
      </c>
      <c r="O467" s="47" t="s">
        <v>1171</v>
      </c>
      <c r="P467" s="47" t="s">
        <v>6895</v>
      </c>
      <c r="Q467" s="62" t="s">
        <v>1939</v>
      </c>
      <c r="R467" s="47" t="s">
        <v>6896</v>
      </c>
      <c r="U467" s="46" t="s">
        <v>491</v>
      </c>
      <c r="V467" s="46"/>
    </row>
    <row r="468" spans="1:22" ht="30" x14ac:dyDescent="0.25">
      <c r="A468" s="61">
        <v>42880</v>
      </c>
      <c r="B468" s="62" t="s">
        <v>569</v>
      </c>
      <c r="D468" s="46" t="s">
        <v>930</v>
      </c>
      <c r="E468" s="46" t="s">
        <v>821</v>
      </c>
      <c r="F468" s="46" t="s">
        <v>6897</v>
      </c>
      <c r="H468" s="46" t="s">
        <v>607</v>
      </c>
      <c r="O468" s="47" t="s">
        <v>6898</v>
      </c>
      <c r="P468" s="47" t="s">
        <v>6899</v>
      </c>
      <c r="Q468" s="62" t="s">
        <v>620</v>
      </c>
      <c r="R468" s="47" t="s">
        <v>6900</v>
      </c>
      <c r="U468" s="46" t="s">
        <v>491</v>
      </c>
      <c r="V468" s="46"/>
    </row>
    <row r="469" spans="1:22" ht="30" x14ac:dyDescent="0.25">
      <c r="A469" s="61">
        <v>42880</v>
      </c>
      <c r="B469" s="62" t="s">
        <v>569</v>
      </c>
      <c r="D469" s="46" t="s">
        <v>625</v>
      </c>
      <c r="E469" s="46" t="s">
        <v>588</v>
      </c>
      <c r="F469" s="46" t="s">
        <v>6901</v>
      </c>
      <c r="H469" s="46" t="s">
        <v>1050</v>
      </c>
      <c r="I469" s="46" t="s">
        <v>3388</v>
      </c>
      <c r="J469" s="49" t="s">
        <v>899</v>
      </c>
      <c r="M469" s="64">
        <v>3500000</v>
      </c>
      <c r="N469" s="64">
        <v>4100000</v>
      </c>
      <c r="O469" s="47" t="s">
        <v>639</v>
      </c>
      <c r="P469" s="47" t="s">
        <v>6902</v>
      </c>
      <c r="Q469" s="62" t="s">
        <v>592</v>
      </c>
      <c r="U469" s="46" t="s">
        <v>491</v>
      </c>
      <c r="V469" s="46"/>
    </row>
    <row r="470" spans="1:22" x14ac:dyDescent="0.25">
      <c r="A470" s="61">
        <v>42880</v>
      </c>
      <c r="B470" s="62" t="s">
        <v>110</v>
      </c>
      <c r="C470" s="46" t="s">
        <v>761</v>
      </c>
      <c r="D470" s="46" t="s">
        <v>715</v>
      </c>
      <c r="E470" s="46" t="s">
        <v>588</v>
      </c>
      <c r="F470" s="46" t="s">
        <v>6903</v>
      </c>
      <c r="H470" s="46" t="s">
        <v>607</v>
      </c>
      <c r="I470" s="46" t="s">
        <v>6904</v>
      </c>
      <c r="J470" s="49" t="s">
        <v>3523</v>
      </c>
      <c r="M470" s="64">
        <v>262000</v>
      </c>
      <c r="N470" s="64">
        <v>471600</v>
      </c>
      <c r="O470" s="47" t="s">
        <v>764</v>
      </c>
      <c r="P470" s="47" t="s">
        <v>6905</v>
      </c>
      <c r="Q470" s="62" t="s">
        <v>29</v>
      </c>
      <c r="R470" s="47" t="s">
        <v>6906</v>
      </c>
      <c r="U470" s="46" t="s">
        <v>491</v>
      </c>
      <c r="V470" s="46"/>
    </row>
    <row r="471" spans="1:22" ht="30" x14ac:dyDescent="0.25">
      <c r="A471" s="61">
        <v>42880</v>
      </c>
      <c r="B471" s="62" t="s">
        <v>569</v>
      </c>
      <c r="D471" s="46" t="s">
        <v>611</v>
      </c>
      <c r="E471" s="46" t="s">
        <v>588</v>
      </c>
      <c r="F471" s="46" t="s">
        <v>6907</v>
      </c>
      <c r="H471" s="46" t="s">
        <v>607</v>
      </c>
      <c r="O471" s="47" t="s">
        <v>6908</v>
      </c>
      <c r="P471" s="47" t="s">
        <v>6909</v>
      </c>
      <c r="Q471" s="62" t="s">
        <v>592</v>
      </c>
      <c r="R471" s="47" t="s">
        <v>6914</v>
      </c>
      <c r="U471" s="46" t="s">
        <v>491</v>
      </c>
      <c r="V471" s="46"/>
    </row>
    <row r="472" spans="1:22" ht="45" x14ac:dyDescent="0.25">
      <c r="A472" s="61">
        <v>42880</v>
      </c>
      <c r="B472" s="62" t="s">
        <v>328</v>
      </c>
      <c r="C472" s="46" t="s">
        <v>603</v>
      </c>
      <c r="D472" s="46" t="s">
        <v>649</v>
      </c>
      <c r="E472" s="46" t="s">
        <v>588</v>
      </c>
      <c r="F472" s="47" t="s">
        <v>6911</v>
      </c>
      <c r="G472" s="47"/>
      <c r="H472" s="46" t="s">
        <v>905</v>
      </c>
      <c r="I472" s="46" t="s">
        <v>6607</v>
      </c>
      <c r="J472" s="49" t="s">
        <v>899</v>
      </c>
      <c r="L472" s="63">
        <v>1</v>
      </c>
      <c r="M472" s="64">
        <v>3000000</v>
      </c>
      <c r="N472" s="64">
        <v>3305000</v>
      </c>
      <c r="O472" s="47" t="s">
        <v>560</v>
      </c>
      <c r="P472" s="47" t="s">
        <v>6912</v>
      </c>
      <c r="Q472" s="62" t="s">
        <v>1939</v>
      </c>
      <c r="R472" s="47" t="s">
        <v>6913</v>
      </c>
      <c r="S472" s="47" t="s">
        <v>7769</v>
      </c>
      <c r="U472" s="46" t="s">
        <v>491</v>
      </c>
      <c r="V472" s="46"/>
    </row>
    <row r="473" spans="1:22" ht="60" x14ac:dyDescent="0.25">
      <c r="A473" s="61">
        <v>42880</v>
      </c>
      <c r="B473" s="62" t="s">
        <v>328</v>
      </c>
      <c r="C473" s="46" t="s">
        <v>603</v>
      </c>
      <c r="D473" s="46" t="s">
        <v>649</v>
      </c>
      <c r="E473" s="46" t="s">
        <v>588</v>
      </c>
      <c r="F473" s="46" t="s">
        <v>6915</v>
      </c>
      <c r="H473" s="46" t="s">
        <v>4108</v>
      </c>
      <c r="I473" s="46" t="s">
        <v>6916</v>
      </c>
      <c r="J473" s="49" t="s">
        <v>899</v>
      </c>
      <c r="L473" s="63">
        <v>10</v>
      </c>
      <c r="M473" s="64">
        <v>215000</v>
      </c>
      <c r="N473" s="64">
        <v>325000</v>
      </c>
      <c r="O473" s="47" t="s">
        <v>2680</v>
      </c>
      <c r="P473" s="47" t="s">
        <v>6917</v>
      </c>
      <c r="Q473" s="62" t="s">
        <v>1939</v>
      </c>
      <c r="R473" s="47" t="s">
        <v>6918</v>
      </c>
      <c r="U473" s="46" t="s">
        <v>491</v>
      </c>
      <c r="V473" s="46"/>
    </row>
    <row r="474" spans="1:22" ht="271.5" customHeight="1" x14ac:dyDescent="0.25">
      <c r="A474" s="61">
        <v>42880</v>
      </c>
      <c r="B474" s="62" t="s">
        <v>328</v>
      </c>
      <c r="C474" s="46" t="s">
        <v>603</v>
      </c>
      <c r="D474" s="46" t="s">
        <v>649</v>
      </c>
      <c r="E474" s="46" t="s">
        <v>588</v>
      </c>
      <c r="F474" s="46" t="s">
        <v>6919</v>
      </c>
      <c r="H474" s="46" t="s">
        <v>607</v>
      </c>
      <c r="I474" s="46" t="s">
        <v>5083</v>
      </c>
      <c r="J474" s="49" t="s">
        <v>899</v>
      </c>
      <c r="L474" s="63">
        <v>3</v>
      </c>
      <c r="M474" s="64">
        <v>825000</v>
      </c>
      <c r="N474" s="64">
        <v>2295000</v>
      </c>
      <c r="O474" s="47" t="s">
        <v>6920</v>
      </c>
      <c r="P474" s="47" t="s">
        <v>6921</v>
      </c>
      <c r="Q474" s="62" t="s">
        <v>1939</v>
      </c>
      <c r="R474" s="89" t="s">
        <v>6922</v>
      </c>
      <c r="S474" s="47" t="s">
        <v>7031</v>
      </c>
      <c r="U474" s="46" t="s">
        <v>491</v>
      </c>
      <c r="V474" s="46"/>
    </row>
    <row r="475" spans="1:22" ht="90" x14ac:dyDescent="0.25">
      <c r="A475" s="61">
        <v>42881</v>
      </c>
      <c r="B475" s="62" t="s">
        <v>569</v>
      </c>
      <c r="D475" s="46" t="s">
        <v>611</v>
      </c>
      <c r="E475" s="46" t="s">
        <v>588</v>
      </c>
      <c r="F475" s="46" t="s">
        <v>6923</v>
      </c>
      <c r="H475" s="46" t="s">
        <v>607</v>
      </c>
      <c r="I475" s="46" t="s">
        <v>6938</v>
      </c>
      <c r="J475" s="49" t="s">
        <v>899</v>
      </c>
      <c r="M475" s="64">
        <v>297490</v>
      </c>
      <c r="N475" s="64">
        <v>440000</v>
      </c>
      <c r="O475" s="47" t="s">
        <v>666</v>
      </c>
      <c r="P475" s="47" t="s">
        <v>6924</v>
      </c>
      <c r="Q475" s="62" t="s">
        <v>1939</v>
      </c>
      <c r="R475" s="47" t="s">
        <v>6939</v>
      </c>
      <c r="U475" s="46" t="s">
        <v>491</v>
      </c>
      <c r="V475" s="46"/>
    </row>
    <row r="476" spans="1:22" ht="45" x14ac:dyDescent="0.25">
      <c r="A476" s="61">
        <v>42881</v>
      </c>
      <c r="B476" s="62" t="s">
        <v>569</v>
      </c>
      <c r="D476" s="46" t="s">
        <v>930</v>
      </c>
      <c r="E476" s="46" t="s">
        <v>821</v>
      </c>
      <c r="F476" s="46" t="s">
        <v>833</v>
      </c>
      <c r="H476" s="46" t="s">
        <v>607</v>
      </c>
      <c r="O476" s="47" t="s">
        <v>639</v>
      </c>
      <c r="P476" s="47" t="s">
        <v>6926</v>
      </c>
      <c r="Q476" s="62" t="s">
        <v>592</v>
      </c>
      <c r="U476" s="46" t="s">
        <v>491</v>
      </c>
      <c r="V476" s="46"/>
    </row>
    <row r="477" spans="1:22" ht="75" x14ac:dyDescent="0.25">
      <c r="A477" s="61">
        <v>42881</v>
      </c>
      <c r="B477" s="62" t="s">
        <v>569</v>
      </c>
      <c r="D477" s="46" t="s">
        <v>930</v>
      </c>
      <c r="E477" s="46" t="s">
        <v>821</v>
      </c>
      <c r="H477" s="46" t="s">
        <v>886</v>
      </c>
      <c r="O477" s="47" t="s">
        <v>639</v>
      </c>
      <c r="P477" s="47" t="s">
        <v>6927</v>
      </c>
      <c r="Q477" s="62" t="s">
        <v>1939</v>
      </c>
      <c r="R477" s="47" t="s">
        <v>6928</v>
      </c>
      <c r="U477" s="46" t="s">
        <v>491</v>
      </c>
      <c r="V477" s="46"/>
    </row>
    <row r="478" spans="1:22" ht="108.75" x14ac:dyDescent="0.25">
      <c r="A478" s="61">
        <v>42881</v>
      </c>
      <c r="B478" s="62" t="s">
        <v>328</v>
      </c>
      <c r="D478" s="46" t="s">
        <v>672</v>
      </c>
      <c r="E478" s="46" t="s">
        <v>588</v>
      </c>
      <c r="F478" s="46" t="s">
        <v>6929</v>
      </c>
      <c r="H478" s="46" t="s">
        <v>905</v>
      </c>
      <c r="I478" s="46" t="s">
        <v>6930</v>
      </c>
      <c r="J478" s="49" t="s">
        <v>899</v>
      </c>
      <c r="L478" s="63">
        <v>2</v>
      </c>
      <c r="M478" s="64">
        <v>2400000</v>
      </c>
      <c r="N478" s="64">
        <v>4480000</v>
      </c>
      <c r="O478" s="47" t="s">
        <v>560</v>
      </c>
      <c r="P478" s="47" t="s">
        <v>6931</v>
      </c>
      <c r="Q478" s="62" t="s">
        <v>1939</v>
      </c>
      <c r="R478" s="86" t="s">
        <v>6932</v>
      </c>
      <c r="U478" s="46" t="s">
        <v>491</v>
      </c>
      <c r="V478" s="46"/>
    </row>
    <row r="479" spans="1:22" ht="30" x14ac:dyDescent="0.25">
      <c r="A479" s="61">
        <v>42881</v>
      </c>
      <c r="B479" s="62" t="s">
        <v>328</v>
      </c>
      <c r="D479" s="46" t="s">
        <v>672</v>
      </c>
      <c r="E479" s="46" t="s">
        <v>588</v>
      </c>
      <c r="F479" s="46" t="s">
        <v>6933</v>
      </c>
      <c r="H479" s="46" t="s">
        <v>607</v>
      </c>
      <c r="I479" s="46" t="s">
        <v>3536</v>
      </c>
      <c r="J479" s="49" t="s">
        <v>899</v>
      </c>
      <c r="L479" s="63">
        <v>1</v>
      </c>
      <c r="M479" s="64">
        <v>160000</v>
      </c>
      <c r="N479" s="64">
        <v>3080000</v>
      </c>
      <c r="O479" s="47" t="s">
        <v>560</v>
      </c>
      <c r="P479" s="47" t="s">
        <v>6934</v>
      </c>
      <c r="Q479" s="62" t="s">
        <v>592</v>
      </c>
      <c r="U479" s="46" t="s">
        <v>491</v>
      </c>
      <c r="V479" s="46"/>
    </row>
    <row r="480" spans="1:22" ht="90" x14ac:dyDescent="0.25">
      <c r="A480" s="61">
        <v>42881</v>
      </c>
      <c r="B480" s="62" t="s">
        <v>328</v>
      </c>
      <c r="C480" s="46" t="s">
        <v>603</v>
      </c>
      <c r="D480" s="46" t="s">
        <v>672</v>
      </c>
      <c r="E480" s="46" t="s">
        <v>588</v>
      </c>
      <c r="F480" s="46" t="s">
        <v>6935</v>
      </c>
      <c r="H480" s="46" t="s">
        <v>607</v>
      </c>
      <c r="I480" s="46" t="s">
        <v>5212</v>
      </c>
      <c r="J480" s="49" t="s">
        <v>644</v>
      </c>
      <c r="L480" s="63">
        <v>2</v>
      </c>
      <c r="M480" s="64">
        <v>386000</v>
      </c>
      <c r="N480" s="64">
        <v>832700</v>
      </c>
      <c r="O480" s="47" t="s">
        <v>639</v>
      </c>
      <c r="P480" s="47" t="s">
        <v>6936</v>
      </c>
      <c r="Q480" s="62" t="s">
        <v>1939</v>
      </c>
      <c r="R480" s="47" t="s">
        <v>6937</v>
      </c>
      <c r="U480" s="46" t="s">
        <v>491</v>
      </c>
      <c r="V480" s="46"/>
    </row>
    <row r="481" spans="1:22" ht="45" x14ac:dyDescent="0.25">
      <c r="A481" s="61">
        <v>42881</v>
      </c>
      <c r="B481" s="62" t="s">
        <v>569</v>
      </c>
      <c r="D481" s="46" t="s">
        <v>930</v>
      </c>
      <c r="E481" s="46" t="s">
        <v>821</v>
      </c>
      <c r="F481" s="46" t="s">
        <v>6940</v>
      </c>
      <c r="H481" s="46" t="s">
        <v>607</v>
      </c>
      <c r="I481" s="46" t="s">
        <v>6941</v>
      </c>
      <c r="J481" s="49" t="s">
        <v>899</v>
      </c>
      <c r="M481" s="64">
        <v>263000</v>
      </c>
      <c r="N481" s="64">
        <v>474000</v>
      </c>
      <c r="O481" s="47" t="s">
        <v>6942</v>
      </c>
      <c r="P481" s="47" t="s">
        <v>6943</v>
      </c>
      <c r="Q481" s="62" t="s">
        <v>592</v>
      </c>
      <c r="R481" s="47" t="s">
        <v>6944</v>
      </c>
      <c r="U481" s="46" t="s">
        <v>491</v>
      </c>
      <c r="V481" s="46"/>
    </row>
    <row r="482" spans="1:22" x14ac:dyDescent="0.25">
      <c r="A482" s="61">
        <v>42885</v>
      </c>
      <c r="B482" s="62" t="s">
        <v>110</v>
      </c>
      <c r="C482" s="46" t="s">
        <v>761</v>
      </c>
      <c r="D482" s="46" t="s">
        <v>715</v>
      </c>
      <c r="E482" s="46" t="s">
        <v>588</v>
      </c>
      <c r="F482" s="46" t="s">
        <v>6945</v>
      </c>
      <c r="H482" s="46" t="s">
        <v>607</v>
      </c>
      <c r="I482" s="46" t="s">
        <v>6946</v>
      </c>
      <c r="J482" s="49" t="s">
        <v>761</v>
      </c>
      <c r="L482" s="63">
        <v>9</v>
      </c>
      <c r="M482" s="64">
        <v>170000</v>
      </c>
      <c r="N482" s="64">
        <v>289000</v>
      </c>
      <c r="O482" s="47" t="s">
        <v>2680</v>
      </c>
      <c r="P482" s="47" t="s">
        <v>6947</v>
      </c>
      <c r="Q482" s="62" t="s">
        <v>592</v>
      </c>
      <c r="U482" s="46" t="s">
        <v>491</v>
      </c>
      <c r="V482" s="46"/>
    </row>
    <row r="483" spans="1:22" ht="45" x14ac:dyDescent="0.25">
      <c r="A483" s="61">
        <v>42885</v>
      </c>
      <c r="B483" s="62" t="s">
        <v>110</v>
      </c>
      <c r="C483" s="46" t="s">
        <v>761</v>
      </c>
      <c r="D483" s="46" t="s">
        <v>715</v>
      </c>
      <c r="E483" s="46" t="s">
        <v>588</v>
      </c>
      <c r="F483" s="46" t="s">
        <v>6948</v>
      </c>
      <c r="H483" s="46" t="s">
        <v>722</v>
      </c>
      <c r="I483" s="46" t="s">
        <v>6949</v>
      </c>
      <c r="J483" s="49" t="s">
        <v>761</v>
      </c>
      <c r="L483" s="63">
        <v>10</v>
      </c>
      <c r="M483" s="64">
        <v>242000</v>
      </c>
      <c r="N483" s="64">
        <v>411400</v>
      </c>
      <c r="O483" s="47" t="s">
        <v>764</v>
      </c>
      <c r="P483" s="47" t="s">
        <v>6950</v>
      </c>
      <c r="Q483" s="62" t="s">
        <v>29</v>
      </c>
      <c r="R483" s="47" t="s">
        <v>6951</v>
      </c>
      <c r="U483" s="46" t="s">
        <v>491</v>
      </c>
      <c r="V483" s="46"/>
    </row>
    <row r="484" spans="1:22" ht="45" x14ac:dyDescent="0.25">
      <c r="A484" s="61">
        <v>42885</v>
      </c>
      <c r="B484" s="62" t="s">
        <v>110</v>
      </c>
      <c r="C484" s="46" t="s">
        <v>761</v>
      </c>
      <c r="D484" s="46" t="s">
        <v>715</v>
      </c>
      <c r="E484" s="46" t="s">
        <v>588</v>
      </c>
      <c r="F484" s="46" t="s">
        <v>6952</v>
      </c>
      <c r="H484" s="46" t="s">
        <v>607</v>
      </c>
      <c r="I484" s="46" t="s">
        <v>3059</v>
      </c>
      <c r="J484" s="49" t="s">
        <v>761</v>
      </c>
      <c r="L484" s="63">
        <v>5</v>
      </c>
      <c r="M484" s="64">
        <v>316000</v>
      </c>
      <c r="N484" s="64">
        <v>537200</v>
      </c>
      <c r="O484" s="47" t="s">
        <v>35</v>
      </c>
      <c r="P484" s="47" t="s">
        <v>6953</v>
      </c>
      <c r="Q484" s="62" t="s">
        <v>592</v>
      </c>
      <c r="R484" s="47" t="s">
        <v>6954</v>
      </c>
      <c r="S484" s="47" t="s">
        <v>7020</v>
      </c>
      <c r="U484" s="46" t="s">
        <v>491</v>
      </c>
      <c r="V484" s="46"/>
    </row>
    <row r="485" spans="1:22" ht="30" x14ac:dyDescent="0.25">
      <c r="A485" s="61">
        <v>42885</v>
      </c>
      <c r="B485" s="62" t="s">
        <v>110</v>
      </c>
      <c r="C485" s="46" t="s">
        <v>761</v>
      </c>
      <c r="D485" s="46" t="s">
        <v>715</v>
      </c>
      <c r="E485" s="46" t="s">
        <v>588</v>
      </c>
      <c r="H485" s="46" t="s">
        <v>905</v>
      </c>
      <c r="O485" s="47" t="s">
        <v>6955</v>
      </c>
      <c r="P485" s="47" t="s">
        <v>6956</v>
      </c>
      <c r="Q485" s="62" t="s">
        <v>620</v>
      </c>
      <c r="R485" s="47" t="s">
        <v>6957</v>
      </c>
      <c r="U485" s="46" t="s">
        <v>491</v>
      </c>
      <c r="V485" s="46"/>
    </row>
    <row r="486" spans="1:22" ht="30" x14ac:dyDescent="0.25">
      <c r="A486" s="61">
        <v>42885</v>
      </c>
      <c r="B486" s="62" t="s">
        <v>110</v>
      </c>
      <c r="C486" s="46" t="s">
        <v>761</v>
      </c>
      <c r="D486" s="46" t="s">
        <v>4782</v>
      </c>
      <c r="E486" s="46" t="s">
        <v>588</v>
      </c>
      <c r="F486" s="46" t="s">
        <v>6958</v>
      </c>
      <c r="H486" s="46" t="s">
        <v>607</v>
      </c>
      <c r="I486" s="46" t="s">
        <v>3059</v>
      </c>
      <c r="J486" s="49" t="s">
        <v>761</v>
      </c>
      <c r="L486" s="63">
        <v>5</v>
      </c>
      <c r="M486" s="64">
        <v>790000</v>
      </c>
      <c r="N486" s="64">
        <v>1370300</v>
      </c>
      <c r="O486" s="47" t="s">
        <v>560</v>
      </c>
      <c r="P486" s="47" t="s">
        <v>6962</v>
      </c>
      <c r="Q486" s="62" t="s">
        <v>592</v>
      </c>
      <c r="R486" s="47" t="s">
        <v>6963</v>
      </c>
      <c r="U486" s="46" t="s">
        <v>491</v>
      </c>
      <c r="V486" s="46"/>
    </row>
    <row r="487" spans="1:22" ht="60" x14ac:dyDescent="0.25">
      <c r="A487" s="61">
        <v>42885</v>
      </c>
      <c r="B487" s="62" t="s">
        <v>110</v>
      </c>
      <c r="C487" s="46" t="s">
        <v>761</v>
      </c>
      <c r="D487" s="46" t="s">
        <v>715</v>
      </c>
      <c r="E487" s="46" t="s">
        <v>588</v>
      </c>
      <c r="F487" s="46" t="s">
        <v>6959</v>
      </c>
      <c r="H487" s="46" t="s">
        <v>722</v>
      </c>
      <c r="I487" s="46" t="s">
        <v>6960</v>
      </c>
      <c r="J487" s="49" t="s">
        <v>761</v>
      </c>
      <c r="L487" s="63">
        <v>10</v>
      </c>
      <c r="M487" s="64">
        <v>1000000</v>
      </c>
      <c r="N487" s="64">
        <v>1600000</v>
      </c>
      <c r="O487" s="47" t="s">
        <v>764</v>
      </c>
      <c r="P487" s="47" t="s">
        <v>6961</v>
      </c>
      <c r="Q487" s="62" t="s">
        <v>29</v>
      </c>
      <c r="R487" s="47" t="s">
        <v>6951</v>
      </c>
      <c r="U487" s="46" t="s">
        <v>491</v>
      </c>
      <c r="V487" s="46"/>
    </row>
    <row r="488" spans="1:22" ht="45" x14ac:dyDescent="0.25">
      <c r="A488" s="61">
        <v>42885</v>
      </c>
      <c r="B488" s="62" t="s">
        <v>328</v>
      </c>
      <c r="C488" s="46" t="s">
        <v>603</v>
      </c>
      <c r="D488" s="46" t="s">
        <v>672</v>
      </c>
      <c r="E488" s="46" t="s">
        <v>588</v>
      </c>
      <c r="F488" s="46" t="s">
        <v>6964</v>
      </c>
      <c r="H488" s="46" t="s">
        <v>607</v>
      </c>
      <c r="I488" s="46" t="s">
        <v>6965</v>
      </c>
      <c r="J488" s="49" t="s">
        <v>3371</v>
      </c>
      <c r="L488" s="63">
        <v>5</v>
      </c>
      <c r="M488" s="64">
        <v>228900</v>
      </c>
      <c r="N488" s="64">
        <v>351680</v>
      </c>
      <c r="O488" s="47" t="s">
        <v>2934</v>
      </c>
      <c r="P488" s="47" t="s">
        <v>6966</v>
      </c>
      <c r="Q488" s="62" t="s">
        <v>1939</v>
      </c>
      <c r="R488" s="47" t="s">
        <v>6967</v>
      </c>
      <c r="U488" s="46" t="s">
        <v>491</v>
      </c>
      <c r="V488" s="46"/>
    </row>
    <row r="489" spans="1:22" ht="60" x14ac:dyDescent="0.25">
      <c r="A489" s="61">
        <v>42885</v>
      </c>
      <c r="B489" s="62" t="s">
        <v>569</v>
      </c>
      <c r="D489" s="46" t="s">
        <v>930</v>
      </c>
      <c r="E489" s="46" t="s">
        <v>821</v>
      </c>
      <c r="H489" s="46" t="s">
        <v>886</v>
      </c>
      <c r="O489" s="47" t="s">
        <v>6968</v>
      </c>
      <c r="P489" s="47" t="s">
        <v>7056</v>
      </c>
      <c r="Q489" s="62" t="s">
        <v>1939</v>
      </c>
      <c r="R489" s="47" t="s">
        <v>6969</v>
      </c>
      <c r="U489" s="46" t="s">
        <v>491</v>
      </c>
      <c r="V489" s="46"/>
    </row>
    <row r="490" spans="1:22" ht="30" x14ac:dyDescent="0.25">
      <c r="A490" s="61">
        <v>42886</v>
      </c>
      <c r="B490" s="62" t="s">
        <v>569</v>
      </c>
      <c r="D490" s="46" t="s">
        <v>625</v>
      </c>
      <c r="E490" s="46" t="s">
        <v>588</v>
      </c>
      <c r="F490" s="46" t="s">
        <v>6970</v>
      </c>
      <c r="H490" s="46" t="s">
        <v>905</v>
      </c>
      <c r="I490" s="46" t="s">
        <v>3721</v>
      </c>
      <c r="J490" s="49" t="s">
        <v>899</v>
      </c>
      <c r="L490" s="63">
        <v>5</v>
      </c>
      <c r="M490" s="64">
        <v>2700000</v>
      </c>
      <c r="N490" s="64">
        <v>3560000</v>
      </c>
      <c r="O490" s="47" t="s">
        <v>560</v>
      </c>
      <c r="P490" s="47" t="s">
        <v>6971</v>
      </c>
      <c r="Q490" s="62" t="s">
        <v>1939</v>
      </c>
      <c r="R490" s="47" t="s">
        <v>6972</v>
      </c>
      <c r="U490" s="46" t="s">
        <v>491</v>
      </c>
      <c r="V490" s="46"/>
    </row>
    <row r="491" spans="1:22" ht="132.75" x14ac:dyDescent="0.25">
      <c r="A491" s="61">
        <v>42886</v>
      </c>
      <c r="B491" s="62" t="s">
        <v>328</v>
      </c>
      <c r="C491" s="46" t="s">
        <v>603</v>
      </c>
      <c r="D491" s="46" t="s">
        <v>5701</v>
      </c>
      <c r="E491" s="46" t="s">
        <v>588</v>
      </c>
      <c r="F491" s="46" t="s">
        <v>6973</v>
      </c>
      <c r="H491" s="46" t="s">
        <v>809</v>
      </c>
      <c r="I491" s="46" t="s">
        <v>6974</v>
      </c>
      <c r="J491" s="49" t="s">
        <v>603</v>
      </c>
      <c r="L491" s="63">
        <v>6</v>
      </c>
      <c r="M491" s="64">
        <v>3000000</v>
      </c>
      <c r="N491" s="64">
        <v>3050000</v>
      </c>
      <c r="O491" s="47" t="s">
        <v>560</v>
      </c>
      <c r="P491" s="47" t="s">
        <v>6975</v>
      </c>
      <c r="Q491" s="62" t="s">
        <v>1939</v>
      </c>
      <c r="R491" s="86" t="s">
        <v>6976</v>
      </c>
      <c r="U491" s="46" t="s">
        <v>491</v>
      </c>
      <c r="V491" s="46"/>
    </row>
    <row r="492" spans="1:22" ht="60" x14ac:dyDescent="0.25">
      <c r="A492" s="61">
        <v>42886</v>
      </c>
      <c r="B492" s="62" t="s">
        <v>5176</v>
      </c>
      <c r="C492" s="46" t="s">
        <v>604</v>
      </c>
      <c r="D492" s="46" t="s">
        <v>727</v>
      </c>
      <c r="E492" s="46" t="s">
        <v>588</v>
      </c>
      <c r="F492" s="46" t="s">
        <v>6977</v>
      </c>
      <c r="H492" s="46" t="s">
        <v>6978</v>
      </c>
      <c r="I492" s="46" t="s">
        <v>6979</v>
      </c>
      <c r="J492" s="49" t="s">
        <v>604</v>
      </c>
      <c r="M492" s="64">
        <v>150000</v>
      </c>
      <c r="N492" s="64">
        <v>150000</v>
      </c>
      <c r="O492" s="47" t="s">
        <v>6980</v>
      </c>
      <c r="P492" s="47" t="s">
        <v>6981</v>
      </c>
      <c r="Q492" s="62" t="s">
        <v>29</v>
      </c>
      <c r="R492" s="47" t="s">
        <v>6982</v>
      </c>
      <c r="U492" s="46" t="s">
        <v>491</v>
      </c>
      <c r="V492" s="46"/>
    </row>
    <row r="493" spans="1:22" ht="75" x14ac:dyDescent="0.25">
      <c r="A493" s="61">
        <v>42886</v>
      </c>
      <c r="B493" s="62" t="s">
        <v>643</v>
      </c>
      <c r="C493" s="46" t="s">
        <v>644</v>
      </c>
      <c r="D493" s="46" t="s">
        <v>645</v>
      </c>
      <c r="E493" s="46" t="s">
        <v>588</v>
      </c>
      <c r="F493" s="46" t="s">
        <v>9743</v>
      </c>
      <c r="G493" s="46" t="s">
        <v>9744</v>
      </c>
      <c r="H493" s="46" t="s">
        <v>1391</v>
      </c>
      <c r="I493" s="46" t="s">
        <v>5165</v>
      </c>
      <c r="J493" s="49" t="s">
        <v>644</v>
      </c>
      <c r="L493" s="63">
        <v>10</v>
      </c>
      <c r="M493" s="64">
        <v>80000</v>
      </c>
      <c r="N493" s="64">
        <v>92500</v>
      </c>
      <c r="O493" s="47" t="s">
        <v>764</v>
      </c>
      <c r="P493" s="47" t="s">
        <v>6983</v>
      </c>
      <c r="Q493" s="62" t="s">
        <v>1612</v>
      </c>
      <c r="R493" s="47" t="s">
        <v>9745</v>
      </c>
      <c r="U493" s="46" t="s">
        <v>491</v>
      </c>
      <c r="V493" s="46"/>
    </row>
    <row r="494" spans="1:22" ht="90" x14ac:dyDescent="0.25">
      <c r="A494" s="61">
        <v>42886</v>
      </c>
      <c r="B494" s="62" t="s">
        <v>569</v>
      </c>
      <c r="D494" s="46" t="s">
        <v>625</v>
      </c>
      <c r="E494" s="46" t="s">
        <v>821</v>
      </c>
      <c r="H494" s="46" t="s">
        <v>905</v>
      </c>
      <c r="I494" s="46" t="s">
        <v>3388</v>
      </c>
      <c r="J494" s="49" t="s">
        <v>899</v>
      </c>
      <c r="M494" s="64">
        <v>1750000</v>
      </c>
      <c r="O494" s="47" t="s">
        <v>1171</v>
      </c>
      <c r="P494" s="47" t="s">
        <v>6984</v>
      </c>
      <c r="Q494" s="62" t="s">
        <v>620</v>
      </c>
      <c r="R494" s="47" t="s">
        <v>6985</v>
      </c>
      <c r="U494" s="46" t="s">
        <v>491</v>
      </c>
      <c r="V494" s="46"/>
    </row>
    <row r="495" spans="1:22" ht="30" x14ac:dyDescent="0.25">
      <c r="A495" s="61">
        <v>42886</v>
      </c>
      <c r="B495" s="62" t="s">
        <v>643</v>
      </c>
      <c r="C495" s="46" t="s">
        <v>644</v>
      </c>
      <c r="D495" s="46" t="s">
        <v>645</v>
      </c>
      <c r="E495" s="46" t="s">
        <v>588</v>
      </c>
      <c r="F495" s="46" t="s">
        <v>6986</v>
      </c>
      <c r="H495" s="46" t="s">
        <v>607</v>
      </c>
      <c r="I495" s="46" t="s">
        <v>6987</v>
      </c>
      <c r="J495" s="49" t="s">
        <v>644</v>
      </c>
      <c r="M495" s="64">
        <v>336600</v>
      </c>
      <c r="O495" s="47" t="s">
        <v>6988</v>
      </c>
      <c r="P495" s="47" t="s">
        <v>6989</v>
      </c>
      <c r="Q495" s="62" t="s">
        <v>592</v>
      </c>
      <c r="R495" s="47" t="s">
        <v>6990</v>
      </c>
      <c r="U495" s="46" t="s">
        <v>491</v>
      </c>
      <c r="V495" s="46"/>
    </row>
    <row r="496" spans="1:22" ht="150" x14ac:dyDescent="0.25">
      <c r="A496" s="61">
        <v>42886</v>
      </c>
      <c r="B496" s="62" t="s">
        <v>328</v>
      </c>
      <c r="C496" s="46" t="s">
        <v>603</v>
      </c>
      <c r="D496" s="46" t="s">
        <v>2397</v>
      </c>
      <c r="E496" s="46" t="s">
        <v>588</v>
      </c>
      <c r="F496" s="46" t="s">
        <v>6991</v>
      </c>
      <c r="H496" s="46" t="s">
        <v>905</v>
      </c>
      <c r="I496" s="46" t="s">
        <v>6992</v>
      </c>
      <c r="J496" s="49" t="s">
        <v>603</v>
      </c>
      <c r="L496" s="63">
        <v>3</v>
      </c>
      <c r="M496" s="64">
        <v>200000</v>
      </c>
      <c r="N496" s="64">
        <v>220000</v>
      </c>
      <c r="O496" s="47" t="s">
        <v>6993</v>
      </c>
      <c r="P496" s="47" t="s">
        <v>6994</v>
      </c>
      <c r="Q496" s="62" t="s">
        <v>29</v>
      </c>
      <c r="U496" s="46" t="s">
        <v>491</v>
      </c>
      <c r="V496" s="46"/>
    </row>
    <row r="497" spans="1:23" ht="105" x14ac:dyDescent="0.25">
      <c r="A497" s="61">
        <v>42886</v>
      </c>
      <c r="B497" s="62" t="s">
        <v>5176</v>
      </c>
      <c r="C497" s="46" t="s">
        <v>604</v>
      </c>
      <c r="D497" s="46" t="s">
        <v>6995</v>
      </c>
      <c r="E497" s="46" t="s">
        <v>588</v>
      </c>
      <c r="F497" s="46" t="s">
        <v>6996</v>
      </c>
      <c r="H497" s="46" t="s">
        <v>607</v>
      </c>
      <c r="I497" s="46" t="s">
        <v>6997</v>
      </c>
      <c r="J497" s="49" t="s">
        <v>959</v>
      </c>
      <c r="M497" s="64">
        <v>434000</v>
      </c>
      <c r="O497" s="47" t="s">
        <v>5190</v>
      </c>
      <c r="P497" s="47" t="s">
        <v>6998</v>
      </c>
      <c r="Q497" s="62" t="s">
        <v>29</v>
      </c>
      <c r="R497" s="47" t="s">
        <v>7008</v>
      </c>
      <c r="U497" s="46" t="s">
        <v>491</v>
      </c>
      <c r="V497" s="46"/>
    </row>
    <row r="498" spans="1:23" ht="30" x14ac:dyDescent="0.25">
      <c r="A498" s="61">
        <v>42886</v>
      </c>
      <c r="B498" s="62" t="s">
        <v>5176</v>
      </c>
      <c r="C498" s="46" t="s">
        <v>604</v>
      </c>
      <c r="D498" s="46" t="s">
        <v>595</v>
      </c>
      <c r="E498" s="46" t="s">
        <v>588</v>
      </c>
      <c r="F498" s="46" t="s">
        <v>6999</v>
      </c>
      <c r="H498" s="46" t="s">
        <v>809</v>
      </c>
      <c r="I498" s="46" t="s">
        <v>7000</v>
      </c>
      <c r="J498" s="49" t="s">
        <v>959</v>
      </c>
      <c r="O498" s="47" t="s">
        <v>7001</v>
      </c>
      <c r="P498" s="47" t="s">
        <v>7002</v>
      </c>
      <c r="Q498" s="62" t="s">
        <v>592</v>
      </c>
      <c r="R498" s="47" t="s">
        <v>7003</v>
      </c>
      <c r="U498" s="46" t="s">
        <v>491</v>
      </c>
      <c r="V498" s="46"/>
    </row>
    <row r="499" spans="1:23" ht="30" x14ac:dyDescent="0.25">
      <c r="A499" s="61">
        <v>42886</v>
      </c>
      <c r="B499" s="62" t="s">
        <v>5176</v>
      </c>
      <c r="C499" s="46" t="s">
        <v>604</v>
      </c>
      <c r="D499" s="46" t="s">
        <v>727</v>
      </c>
      <c r="E499" s="46" t="s">
        <v>588</v>
      </c>
      <c r="F499" s="46" t="s">
        <v>7004</v>
      </c>
      <c r="H499" s="46" t="s">
        <v>905</v>
      </c>
      <c r="J499" s="49" t="s">
        <v>4825</v>
      </c>
      <c r="O499" s="47" t="s">
        <v>7005</v>
      </c>
      <c r="P499" s="47" t="s">
        <v>7006</v>
      </c>
      <c r="Q499" s="62" t="s">
        <v>29</v>
      </c>
      <c r="R499" s="47" t="s">
        <v>7007</v>
      </c>
      <c r="U499" s="46" t="s">
        <v>491</v>
      </c>
      <c r="V499" s="46"/>
    </row>
    <row r="500" spans="1:23" ht="45" x14ac:dyDescent="0.25">
      <c r="A500" s="61">
        <v>42886</v>
      </c>
      <c r="B500" s="62" t="s">
        <v>328</v>
      </c>
      <c r="C500" s="46" t="s">
        <v>603</v>
      </c>
      <c r="D500" s="46" t="s">
        <v>672</v>
      </c>
      <c r="E500" s="46" t="s">
        <v>588</v>
      </c>
      <c r="F500" s="46" t="s">
        <v>7009</v>
      </c>
      <c r="H500" s="46" t="s">
        <v>607</v>
      </c>
      <c r="I500" s="46" t="s">
        <v>3452</v>
      </c>
      <c r="J500" s="49" t="s">
        <v>899</v>
      </c>
      <c r="L500" s="63">
        <v>9</v>
      </c>
      <c r="M500" s="64">
        <v>1792000</v>
      </c>
      <c r="N500" s="64">
        <v>3720600</v>
      </c>
      <c r="O500" s="47" t="s">
        <v>560</v>
      </c>
      <c r="P500" s="47" t="s">
        <v>7010</v>
      </c>
      <c r="Q500" s="62" t="s">
        <v>592</v>
      </c>
      <c r="R500" s="47" t="s">
        <v>7298</v>
      </c>
      <c r="S500" s="47" t="s">
        <v>7487</v>
      </c>
      <c r="U500" s="46" t="s">
        <v>491</v>
      </c>
      <c r="V500" s="46"/>
    </row>
    <row r="501" spans="1:23" s="138" customFormat="1" ht="45" x14ac:dyDescent="0.25">
      <c r="A501" s="136">
        <v>42887</v>
      </c>
      <c r="B501" s="137" t="s">
        <v>569</v>
      </c>
      <c r="C501" s="138" t="s">
        <v>899</v>
      </c>
      <c r="D501" s="138" t="s">
        <v>624</v>
      </c>
      <c r="E501" s="138" t="s">
        <v>588</v>
      </c>
      <c r="F501" s="138" t="s">
        <v>7011</v>
      </c>
      <c r="H501" s="138" t="s">
        <v>7012</v>
      </c>
      <c r="I501" s="138" t="s">
        <v>5910</v>
      </c>
      <c r="J501" s="139" t="s">
        <v>899</v>
      </c>
      <c r="K501" s="139"/>
      <c r="L501" s="140"/>
      <c r="M501" s="141">
        <v>1050000</v>
      </c>
      <c r="N501" s="141">
        <v>1205000</v>
      </c>
      <c r="O501" s="142" t="s">
        <v>7015</v>
      </c>
      <c r="P501" s="142" t="s">
        <v>7016</v>
      </c>
      <c r="Q501" s="137" t="s">
        <v>592</v>
      </c>
      <c r="R501" s="142" t="s">
        <v>7013</v>
      </c>
      <c r="S501" s="142"/>
      <c r="T501" s="142"/>
      <c r="U501" s="138" t="s">
        <v>1327</v>
      </c>
      <c r="W501" s="142"/>
    </row>
    <row r="502" spans="1:23" ht="60" x14ac:dyDescent="0.25">
      <c r="A502" s="61">
        <v>42887</v>
      </c>
      <c r="B502" s="62" t="s">
        <v>328</v>
      </c>
      <c r="C502" s="46" t="s">
        <v>603</v>
      </c>
      <c r="D502" s="46" t="s">
        <v>649</v>
      </c>
      <c r="E502" s="46" t="s">
        <v>588</v>
      </c>
      <c r="F502" s="132" t="s">
        <v>1408</v>
      </c>
      <c r="G502" s="132"/>
      <c r="H502" s="46" t="s">
        <v>6002</v>
      </c>
      <c r="I502" s="46" t="s">
        <v>4279</v>
      </c>
      <c r="J502" s="49" t="s">
        <v>899</v>
      </c>
      <c r="L502" s="63">
        <v>9</v>
      </c>
      <c r="M502" s="64">
        <v>1100000</v>
      </c>
      <c r="N502" s="64">
        <v>1760000</v>
      </c>
      <c r="O502" s="47" t="s">
        <v>6183</v>
      </c>
      <c r="P502" s="47" t="s">
        <v>7057</v>
      </c>
      <c r="Q502" s="62" t="s">
        <v>592</v>
      </c>
      <c r="R502" s="47" t="s">
        <v>7014</v>
      </c>
      <c r="U502" s="46" t="s">
        <v>1327</v>
      </c>
      <c r="V502" s="46"/>
    </row>
    <row r="503" spans="1:23" ht="105" x14ac:dyDescent="0.25">
      <c r="A503" s="61">
        <v>42887</v>
      </c>
      <c r="B503" s="62" t="s">
        <v>643</v>
      </c>
      <c r="C503" s="46" t="s">
        <v>644</v>
      </c>
      <c r="D503" s="46" t="s">
        <v>645</v>
      </c>
      <c r="E503" s="46" t="s">
        <v>588</v>
      </c>
      <c r="F503" s="46" t="s">
        <v>7017</v>
      </c>
      <c r="H503" s="46" t="s">
        <v>6002</v>
      </c>
      <c r="I503" s="46" t="s">
        <v>4230</v>
      </c>
      <c r="J503" s="49" t="s">
        <v>644</v>
      </c>
      <c r="L503" s="63">
        <v>3</v>
      </c>
      <c r="M503" s="132">
        <v>216700</v>
      </c>
      <c r="N503" s="132">
        <v>455100</v>
      </c>
      <c r="O503" s="47" t="s">
        <v>2315</v>
      </c>
      <c r="P503" s="47" t="s">
        <v>7018</v>
      </c>
      <c r="Q503" s="62" t="s">
        <v>29</v>
      </c>
      <c r="R503" s="47" t="s">
        <v>7019</v>
      </c>
      <c r="U503" s="46" t="s">
        <v>1327</v>
      </c>
      <c r="V503" s="46"/>
    </row>
    <row r="504" spans="1:23" ht="75" x14ac:dyDescent="0.25">
      <c r="A504" s="61">
        <v>42887</v>
      </c>
      <c r="B504" s="62" t="s">
        <v>643</v>
      </c>
      <c r="C504" s="46" t="s">
        <v>644</v>
      </c>
      <c r="D504" s="46" t="s">
        <v>645</v>
      </c>
      <c r="E504" s="46" t="s">
        <v>588</v>
      </c>
      <c r="F504" s="46" t="s">
        <v>7021</v>
      </c>
      <c r="H504" s="46" t="s">
        <v>4183</v>
      </c>
      <c r="I504" s="46" t="s">
        <v>7022</v>
      </c>
      <c r="J504" s="49" t="s">
        <v>644</v>
      </c>
      <c r="L504" s="63">
        <v>10</v>
      </c>
      <c r="M504" s="64">
        <v>106000</v>
      </c>
      <c r="N504" s="64">
        <v>147000</v>
      </c>
      <c r="O504" s="47" t="s">
        <v>7058</v>
      </c>
      <c r="P504" s="47" t="s">
        <v>7059</v>
      </c>
      <c r="Q504" s="62" t="s">
        <v>29</v>
      </c>
      <c r="R504" s="47" t="s">
        <v>7023</v>
      </c>
      <c r="U504" s="46" t="s">
        <v>1327</v>
      </c>
      <c r="V504" s="46"/>
    </row>
    <row r="505" spans="1:23" ht="60" x14ac:dyDescent="0.25">
      <c r="A505" s="61">
        <v>42887</v>
      </c>
      <c r="B505" s="62" t="s">
        <v>328</v>
      </c>
      <c r="C505" s="46" t="s">
        <v>603</v>
      </c>
      <c r="D505" s="46" t="s">
        <v>1401</v>
      </c>
      <c r="E505" s="46" t="s">
        <v>588</v>
      </c>
      <c r="F505" s="46" t="s">
        <v>7024</v>
      </c>
      <c r="H505" s="46" t="s">
        <v>6002</v>
      </c>
      <c r="I505" s="46" t="s">
        <v>7025</v>
      </c>
      <c r="J505" s="49" t="s">
        <v>3373</v>
      </c>
      <c r="L505" s="63">
        <v>3</v>
      </c>
      <c r="M505" s="64">
        <v>133000</v>
      </c>
      <c r="N505" s="64">
        <v>212000</v>
      </c>
      <c r="O505" s="47" t="s">
        <v>7026</v>
      </c>
      <c r="P505" s="135" t="s">
        <v>7027</v>
      </c>
      <c r="Q505" s="62" t="s">
        <v>1939</v>
      </c>
      <c r="R505" s="47" t="s">
        <v>7060</v>
      </c>
      <c r="U505" s="46" t="s">
        <v>1327</v>
      </c>
      <c r="V505" s="46"/>
    </row>
    <row r="506" spans="1:23" ht="60" x14ac:dyDescent="0.25">
      <c r="A506" s="61">
        <v>42888</v>
      </c>
      <c r="B506" s="62" t="s">
        <v>328</v>
      </c>
      <c r="C506" s="46" t="s">
        <v>603</v>
      </c>
      <c r="D506" s="46" t="s">
        <v>672</v>
      </c>
      <c r="E506" s="46" t="s">
        <v>588</v>
      </c>
      <c r="F506" s="46" t="s">
        <v>7028</v>
      </c>
      <c r="H506" s="46" t="s">
        <v>2295</v>
      </c>
      <c r="J506" s="49" t="s">
        <v>3733</v>
      </c>
      <c r="M506" s="64">
        <v>5000000</v>
      </c>
      <c r="N506" s="64">
        <v>5000000</v>
      </c>
      <c r="O506" s="47" t="s">
        <v>560</v>
      </c>
      <c r="P506" s="47" t="s">
        <v>7029</v>
      </c>
      <c r="Q506" s="62" t="s">
        <v>29</v>
      </c>
      <c r="R506" s="47" t="s">
        <v>7030</v>
      </c>
      <c r="U506" s="46" t="s">
        <v>1327</v>
      </c>
      <c r="V506" s="46"/>
    </row>
    <row r="507" spans="1:23" ht="30" x14ac:dyDescent="0.25">
      <c r="A507" s="61">
        <v>42891</v>
      </c>
      <c r="B507" s="62" t="s">
        <v>5992</v>
      </c>
      <c r="D507" s="46" t="s">
        <v>5270</v>
      </c>
      <c r="E507" s="46" t="s">
        <v>588</v>
      </c>
      <c r="F507" s="46" t="s">
        <v>7032</v>
      </c>
      <c r="H507" s="46" t="s">
        <v>607</v>
      </c>
      <c r="O507" s="47" t="s">
        <v>7033</v>
      </c>
      <c r="P507" s="47" t="s">
        <v>7034</v>
      </c>
      <c r="Q507" s="62" t="s">
        <v>592</v>
      </c>
      <c r="U507" s="46" t="s">
        <v>491</v>
      </c>
      <c r="V507" s="46"/>
    </row>
    <row r="508" spans="1:23" ht="104.25" customHeight="1" x14ac:dyDescent="0.25">
      <c r="A508" s="61">
        <v>42891</v>
      </c>
      <c r="B508" s="62" t="s">
        <v>328</v>
      </c>
      <c r="C508" s="46" t="s">
        <v>603</v>
      </c>
      <c r="D508" s="46" t="s">
        <v>1401</v>
      </c>
      <c r="E508" s="46" t="s">
        <v>588</v>
      </c>
      <c r="F508" s="46" t="s">
        <v>7035</v>
      </c>
      <c r="H508" s="46" t="s">
        <v>5321</v>
      </c>
      <c r="I508" s="46" t="s">
        <v>7036</v>
      </c>
      <c r="J508" s="49" t="s">
        <v>644</v>
      </c>
      <c r="L508" s="63">
        <v>9</v>
      </c>
      <c r="M508" s="64">
        <v>870000</v>
      </c>
      <c r="N508" s="64">
        <v>1170000</v>
      </c>
      <c r="O508" s="47" t="s">
        <v>7037</v>
      </c>
      <c r="P508" s="47" t="s">
        <v>7038</v>
      </c>
      <c r="Q508" s="62" t="s">
        <v>592</v>
      </c>
      <c r="U508" s="46" t="s">
        <v>491</v>
      </c>
      <c r="V508" s="46"/>
    </row>
    <row r="509" spans="1:23" ht="45" x14ac:dyDescent="0.25">
      <c r="A509" s="61">
        <v>42891</v>
      </c>
      <c r="B509" s="62" t="s">
        <v>5360</v>
      </c>
      <c r="D509" s="46" t="s">
        <v>732</v>
      </c>
      <c r="E509" s="46" t="s">
        <v>588</v>
      </c>
      <c r="F509" s="46" t="s">
        <v>7039</v>
      </c>
      <c r="H509" s="46" t="s">
        <v>2074</v>
      </c>
      <c r="I509" s="46" t="s">
        <v>3925</v>
      </c>
      <c r="J509" s="49" t="s">
        <v>899</v>
      </c>
      <c r="L509" s="63">
        <v>3</v>
      </c>
      <c r="M509" s="64">
        <v>564000</v>
      </c>
      <c r="N509" s="64">
        <v>784000</v>
      </c>
      <c r="O509" s="47" t="s">
        <v>7040</v>
      </c>
      <c r="P509" s="47" t="s">
        <v>7041</v>
      </c>
      <c r="Q509" s="62" t="s">
        <v>1612</v>
      </c>
      <c r="R509" s="47" t="s">
        <v>7079</v>
      </c>
      <c r="U509" s="46" t="s">
        <v>491</v>
      </c>
      <c r="V509" s="46"/>
    </row>
    <row r="510" spans="1:23" ht="108.75" x14ac:dyDescent="0.25">
      <c r="A510" s="61">
        <v>42892</v>
      </c>
      <c r="B510" s="62" t="s">
        <v>5176</v>
      </c>
      <c r="C510" s="46" t="s">
        <v>604</v>
      </c>
      <c r="D510" s="46" t="s">
        <v>595</v>
      </c>
      <c r="E510" s="46" t="s">
        <v>588</v>
      </c>
      <c r="F510" s="46" t="s">
        <v>7061</v>
      </c>
      <c r="H510" s="46" t="s">
        <v>905</v>
      </c>
      <c r="I510" s="46" t="s">
        <v>6460</v>
      </c>
      <c r="J510" s="49" t="s">
        <v>959</v>
      </c>
      <c r="M510" s="64">
        <v>250000</v>
      </c>
      <c r="N510" s="64">
        <v>300000</v>
      </c>
      <c r="O510" s="47" t="s">
        <v>639</v>
      </c>
      <c r="P510" s="47" t="s">
        <v>7062</v>
      </c>
      <c r="Q510" s="62" t="s">
        <v>1939</v>
      </c>
      <c r="R510" s="86" t="s">
        <v>7063</v>
      </c>
      <c r="U510" s="46" t="s">
        <v>491</v>
      </c>
      <c r="V510" s="46"/>
    </row>
    <row r="511" spans="1:23" ht="45" x14ac:dyDescent="0.25">
      <c r="A511" s="61">
        <v>42892</v>
      </c>
      <c r="B511" s="62" t="s">
        <v>643</v>
      </c>
      <c r="C511" s="46" t="s">
        <v>644</v>
      </c>
      <c r="D511" s="46" t="s">
        <v>645</v>
      </c>
      <c r="E511" s="46" t="s">
        <v>588</v>
      </c>
      <c r="F511" s="46" t="s">
        <v>7064</v>
      </c>
      <c r="H511" s="46" t="s">
        <v>809</v>
      </c>
      <c r="I511" s="46" t="s">
        <v>7065</v>
      </c>
      <c r="J511" s="49" t="s">
        <v>3398</v>
      </c>
      <c r="L511" s="63">
        <v>4</v>
      </c>
      <c r="M511" s="64">
        <v>273000</v>
      </c>
      <c r="N511" s="64">
        <v>458000</v>
      </c>
      <c r="O511" s="47" t="s">
        <v>7066</v>
      </c>
      <c r="P511" s="47" t="s">
        <v>7067</v>
      </c>
      <c r="Q511" s="62" t="s">
        <v>1939</v>
      </c>
      <c r="R511" s="47" t="s">
        <v>7068</v>
      </c>
      <c r="U511" s="46" t="s">
        <v>491</v>
      </c>
      <c r="V511" s="46"/>
    </row>
    <row r="512" spans="1:23" ht="30" x14ac:dyDescent="0.25">
      <c r="A512" s="61">
        <v>42892</v>
      </c>
      <c r="B512" s="62" t="s">
        <v>569</v>
      </c>
      <c r="D512" s="46" t="s">
        <v>624</v>
      </c>
      <c r="E512" s="46" t="s">
        <v>588</v>
      </c>
      <c r="F512" s="46" t="s">
        <v>7069</v>
      </c>
      <c r="H512" s="46" t="s">
        <v>607</v>
      </c>
      <c r="I512" s="46" t="s">
        <v>2054</v>
      </c>
      <c r="J512" s="49" t="s">
        <v>899</v>
      </c>
      <c r="M512" s="64">
        <v>1650000</v>
      </c>
      <c r="N512" s="64">
        <v>3000000</v>
      </c>
      <c r="O512" s="47" t="s">
        <v>560</v>
      </c>
      <c r="P512" s="47" t="s">
        <v>7070</v>
      </c>
      <c r="Q512" s="62" t="s">
        <v>1939</v>
      </c>
      <c r="R512" s="47" t="s">
        <v>7071</v>
      </c>
      <c r="U512" s="46" t="s">
        <v>491</v>
      </c>
      <c r="V512" s="46"/>
    </row>
    <row r="513" spans="1:23" ht="105" x14ac:dyDescent="0.25">
      <c r="A513" s="61">
        <v>42892</v>
      </c>
      <c r="B513" s="62" t="s">
        <v>569</v>
      </c>
      <c r="D513" s="46" t="s">
        <v>625</v>
      </c>
      <c r="E513" s="46" t="s">
        <v>588</v>
      </c>
      <c r="F513" s="46" t="s">
        <v>7072</v>
      </c>
      <c r="H513" s="46" t="s">
        <v>607</v>
      </c>
      <c r="I513" s="46" t="s">
        <v>7073</v>
      </c>
      <c r="J513" s="49" t="s">
        <v>899</v>
      </c>
      <c r="M513" s="64">
        <v>220000</v>
      </c>
      <c r="N513" s="64">
        <v>384000</v>
      </c>
      <c r="O513" s="47" t="s">
        <v>7074</v>
      </c>
      <c r="P513" s="47" t="s">
        <v>7075</v>
      </c>
      <c r="Q513" s="62" t="s">
        <v>1939</v>
      </c>
      <c r="R513" s="47" t="s">
        <v>7076</v>
      </c>
      <c r="U513" s="46" t="s">
        <v>491</v>
      </c>
      <c r="V513" s="46"/>
    </row>
    <row r="514" spans="1:23" ht="90" x14ac:dyDescent="0.25">
      <c r="A514" s="61">
        <v>42892</v>
      </c>
      <c r="B514" s="62" t="s">
        <v>569</v>
      </c>
      <c r="D514" s="46" t="s">
        <v>930</v>
      </c>
      <c r="E514" s="46" t="s">
        <v>588</v>
      </c>
      <c r="F514" s="46" t="s">
        <v>7077</v>
      </c>
      <c r="H514" s="46" t="s">
        <v>607</v>
      </c>
      <c r="I514" s="46" t="s">
        <v>3918</v>
      </c>
      <c r="J514" s="49" t="s">
        <v>899</v>
      </c>
      <c r="L514" s="63">
        <v>1</v>
      </c>
      <c r="M514" s="64">
        <v>2331000</v>
      </c>
      <c r="N514" s="64">
        <v>4195800</v>
      </c>
      <c r="O514" s="47" t="s">
        <v>35</v>
      </c>
      <c r="P514" s="47" t="s">
        <v>7078</v>
      </c>
      <c r="Q514" s="62" t="s">
        <v>592</v>
      </c>
      <c r="U514" s="46" t="s">
        <v>491</v>
      </c>
      <c r="V514" s="46"/>
    </row>
    <row r="515" spans="1:23" ht="90" x14ac:dyDescent="0.25">
      <c r="A515" s="61">
        <v>42892</v>
      </c>
      <c r="B515" s="62" t="s">
        <v>643</v>
      </c>
      <c r="C515" s="45" t="s">
        <v>644</v>
      </c>
      <c r="D515" s="46" t="s">
        <v>645</v>
      </c>
      <c r="E515" s="46" t="s">
        <v>588</v>
      </c>
      <c r="F515" s="47" t="s">
        <v>3198</v>
      </c>
      <c r="G515" s="47"/>
      <c r="H515" s="48" t="s">
        <v>722</v>
      </c>
      <c r="I515" s="46" t="s">
        <v>3199</v>
      </c>
      <c r="J515" s="49" t="s">
        <v>644</v>
      </c>
      <c r="L515" s="49">
        <v>10</v>
      </c>
      <c r="M515" s="50">
        <v>440000</v>
      </c>
      <c r="N515" s="51">
        <v>660000</v>
      </c>
      <c r="O515" s="50" t="s">
        <v>1651</v>
      </c>
      <c r="P515" s="65" t="s">
        <v>3201</v>
      </c>
      <c r="Q515" s="46" t="s">
        <v>1939</v>
      </c>
      <c r="R515" s="47" t="s">
        <v>3200</v>
      </c>
      <c r="U515" s="46" t="s">
        <v>491</v>
      </c>
      <c r="V515" s="46"/>
    </row>
    <row r="516" spans="1:23" ht="45" x14ac:dyDescent="0.25">
      <c r="A516" s="61">
        <v>42892</v>
      </c>
      <c r="B516" s="62" t="s">
        <v>569</v>
      </c>
      <c r="D516" s="46" t="s">
        <v>930</v>
      </c>
      <c r="E516" s="46" t="s">
        <v>821</v>
      </c>
      <c r="F516" s="46" t="s">
        <v>7080</v>
      </c>
      <c r="H516" s="46" t="s">
        <v>4132</v>
      </c>
      <c r="O516" s="47" t="s">
        <v>7081</v>
      </c>
      <c r="P516" s="47" t="s">
        <v>7082</v>
      </c>
      <c r="Q516" s="62" t="s">
        <v>1939</v>
      </c>
      <c r="R516" s="47" t="s">
        <v>7083</v>
      </c>
      <c r="U516" s="46" t="s">
        <v>491</v>
      </c>
      <c r="V516" s="46"/>
    </row>
    <row r="517" spans="1:23" ht="60" x14ac:dyDescent="0.25">
      <c r="A517" s="61">
        <v>42892</v>
      </c>
      <c r="B517" s="62" t="s">
        <v>643</v>
      </c>
      <c r="C517" s="46" t="s">
        <v>644</v>
      </c>
      <c r="D517" s="46" t="s">
        <v>645</v>
      </c>
      <c r="E517" s="46" t="s">
        <v>588</v>
      </c>
      <c r="F517" s="46" t="s">
        <v>7084</v>
      </c>
      <c r="H517" s="46" t="s">
        <v>7085</v>
      </c>
      <c r="M517" s="64">
        <v>75000</v>
      </c>
      <c r="O517" s="47" t="s">
        <v>7086</v>
      </c>
      <c r="P517" s="47" t="s">
        <v>7530</v>
      </c>
      <c r="Q517" s="62" t="s">
        <v>592</v>
      </c>
      <c r="U517" s="46" t="s">
        <v>491</v>
      </c>
      <c r="V517" s="46"/>
    </row>
    <row r="518" spans="1:23" ht="45" x14ac:dyDescent="0.25">
      <c r="A518" s="61">
        <v>42892</v>
      </c>
      <c r="B518" s="62" t="s">
        <v>569</v>
      </c>
      <c r="D518" s="46" t="s">
        <v>625</v>
      </c>
      <c r="E518" s="46" t="s">
        <v>588</v>
      </c>
      <c r="F518" s="46" t="s">
        <v>7087</v>
      </c>
      <c r="H518" s="46" t="s">
        <v>607</v>
      </c>
      <c r="I518" s="46" t="s">
        <v>7088</v>
      </c>
      <c r="J518" s="49" t="s">
        <v>899</v>
      </c>
      <c r="L518" s="63">
        <v>4</v>
      </c>
      <c r="M518" s="64">
        <v>1600000</v>
      </c>
      <c r="N518" s="64">
        <v>3460000</v>
      </c>
      <c r="O518" s="47" t="s">
        <v>560</v>
      </c>
      <c r="P518" s="47" t="s">
        <v>7089</v>
      </c>
      <c r="Q518" s="62" t="s">
        <v>1939</v>
      </c>
      <c r="R518" s="47" t="s">
        <v>7090</v>
      </c>
      <c r="U518" s="46" t="s">
        <v>491</v>
      </c>
      <c r="V518" s="46"/>
    </row>
    <row r="519" spans="1:23" ht="30" x14ac:dyDescent="0.25">
      <c r="A519" s="61">
        <v>42893</v>
      </c>
      <c r="B519" s="62" t="s">
        <v>5473</v>
      </c>
      <c r="D519" s="46" t="s">
        <v>7091</v>
      </c>
      <c r="E519" s="46" t="s">
        <v>588</v>
      </c>
      <c r="F519" s="46" t="s">
        <v>7092</v>
      </c>
      <c r="H519" s="46" t="s">
        <v>886</v>
      </c>
      <c r="O519" s="47" t="s">
        <v>7093</v>
      </c>
      <c r="P519" s="47" t="s">
        <v>7094</v>
      </c>
      <c r="Q519" s="62" t="s">
        <v>1939</v>
      </c>
      <c r="R519" s="47" t="s">
        <v>7095</v>
      </c>
      <c r="U519" s="46" t="s">
        <v>491</v>
      </c>
      <c r="V519" s="46"/>
    </row>
    <row r="520" spans="1:23" ht="45" x14ac:dyDescent="0.25">
      <c r="A520" s="61">
        <v>42893</v>
      </c>
      <c r="B520" s="62" t="s">
        <v>328</v>
      </c>
      <c r="C520" s="46" t="s">
        <v>603</v>
      </c>
      <c r="D520" s="46" t="s">
        <v>2397</v>
      </c>
      <c r="E520" s="46" t="s">
        <v>588</v>
      </c>
      <c r="F520" s="46" t="s">
        <v>7096</v>
      </c>
      <c r="H520" s="46" t="s">
        <v>607</v>
      </c>
      <c r="I520" s="46" t="s">
        <v>7097</v>
      </c>
      <c r="J520" s="49" t="s">
        <v>3733</v>
      </c>
      <c r="L520" s="63">
        <v>2</v>
      </c>
      <c r="M520" s="64">
        <v>750000</v>
      </c>
      <c r="N520" s="64">
        <v>1462500</v>
      </c>
      <c r="O520" s="47" t="s">
        <v>695</v>
      </c>
      <c r="P520" s="47" t="s">
        <v>7098</v>
      </c>
      <c r="Q520" s="62" t="s">
        <v>592</v>
      </c>
      <c r="U520" s="46" t="s">
        <v>491</v>
      </c>
      <c r="V520" s="46"/>
    </row>
    <row r="521" spans="1:23" ht="75" x14ac:dyDescent="0.25">
      <c r="A521" s="61">
        <v>42893</v>
      </c>
      <c r="B521" s="62" t="s">
        <v>328</v>
      </c>
      <c r="C521" s="46" t="s">
        <v>603</v>
      </c>
      <c r="D521" s="46" t="s">
        <v>1401</v>
      </c>
      <c r="E521" s="46" t="s">
        <v>588</v>
      </c>
      <c r="F521" s="46" t="s">
        <v>7099</v>
      </c>
      <c r="H521" s="46" t="s">
        <v>3095</v>
      </c>
      <c r="I521" s="46" t="s">
        <v>3776</v>
      </c>
      <c r="J521" s="49" t="s">
        <v>3373</v>
      </c>
      <c r="M521" s="64">
        <v>200000</v>
      </c>
      <c r="N521" s="64">
        <v>210000</v>
      </c>
      <c r="O521" s="47" t="s">
        <v>6522</v>
      </c>
      <c r="P521" s="47" t="s">
        <v>7100</v>
      </c>
      <c r="Q521" s="62" t="s">
        <v>592</v>
      </c>
      <c r="R521" s="47" t="s">
        <v>7114</v>
      </c>
      <c r="U521" s="46" t="s">
        <v>491</v>
      </c>
      <c r="V521" s="46"/>
    </row>
    <row r="522" spans="1:23" ht="45" x14ac:dyDescent="0.25">
      <c r="A522" s="61">
        <v>42893</v>
      </c>
      <c r="B522" s="62" t="s">
        <v>328</v>
      </c>
      <c r="C522" s="46" t="s">
        <v>603</v>
      </c>
      <c r="D522" s="46" t="s">
        <v>5701</v>
      </c>
      <c r="E522" s="46" t="s">
        <v>588</v>
      </c>
      <c r="F522" s="46" t="s">
        <v>7101</v>
      </c>
      <c r="H522" s="46" t="s">
        <v>607</v>
      </c>
      <c r="I522" s="46" t="s">
        <v>7102</v>
      </c>
      <c r="J522" s="49" t="s">
        <v>3612</v>
      </c>
      <c r="L522" s="63" t="s">
        <v>833</v>
      </c>
      <c r="M522" s="64">
        <v>235000</v>
      </c>
      <c r="O522" s="47" t="s">
        <v>7103</v>
      </c>
      <c r="P522" s="47" t="s">
        <v>7104</v>
      </c>
      <c r="Q522" s="62" t="s">
        <v>592</v>
      </c>
      <c r="S522" s="47" t="s">
        <v>7105</v>
      </c>
      <c r="U522" s="46" t="s">
        <v>491</v>
      </c>
      <c r="V522" s="109" t="s">
        <v>3985</v>
      </c>
      <c r="W522" s="47" t="s">
        <v>7878</v>
      </c>
    </row>
    <row r="523" spans="1:23" ht="30" x14ac:dyDescent="0.25">
      <c r="A523" s="61">
        <v>42887</v>
      </c>
      <c r="B523" s="62" t="s">
        <v>569</v>
      </c>
      <c r="C523" s="46" t="s">
        <v>899</v>
      </c>
      <c r="D523" s="46" t="s">
        <v>930</v>
      </c>
      <c r="E523" s="46" t="s">
        <v>588</v>
      </c>
      <c r="F523" s="46" t="s">
        <v>7106</v>
      </c>
      <c r="H523" s="46" t="s">
        <v>607</v>
      </c>
      <c r="I523" s="46" t="s">
        <v>2054</v>
      </c>
      <c r="J523" s="49" t="s">
        <v>899</v>
      </c>
      <c r="L523" s="63">
        <v>2</v>
      </c>
      <c r="M523" s="64">
        <v>750000</v>
      </c>
      <c r="O523" s="47" t="s">
        <v>695</v>
      </c>
      <c r="P523" s="47" t="s">
        <v>7107</v>
      </c>
      <c r="Q523" s="62" t="s">
        <v>592</v>
      </c>
      <c r="R523" s="47" t="s">
        <v>7108</v>
      </c>
      <c r="U523" s="46" t="s">
        <v>1327</v>
      </c>
      <c r="V523" s="46"/>
    </row>
    <row r="524" spans="1:23" ht="45" x14ac:dyDescent="0.25">
      <c r="A524" s="61">
        <v>42893</v>
      </c>
      <c r="B524" s="62" t="s">
        <v>320</v>
      </c>
      <c r="C524" s="46" t="s">
        <v>3888</v>
      </c>
      <c r="D524" s="46" t="s">
        <v>1229</v>
      </c>
      <c r="E524" s="46" t="s">
        <v>588</v>
      </c>
      <c r="F524" s="46" t="s">
        <v>7109</v>
      </c>
      <c r="H524" s="46" t="s">
        <v>607</v>
      </c>
      <c r="I524" s="46" t="s">
        <v>7110</v>
      </c>
      <c r="J524" s="49" t="s">
        <v>3856</v>
      </c>
      <c r="L524" s="63">
        <v>3</v>
      </c>
      <c r="M524" s="64">
        <v>113000</v>
      </c>
      <c r="N524" s="64">
        <v>173000</v>
      </c>
      <c r="O524" s="47" t="s">
        <v>666</v>
      </c>
      <c r="P524" s="47" t="s">
        <v>7111</v>
      </c>
      <c r="Q524" s="62" t="s">
        <v>29</v>
      </c>
      <c r="R524" s="47" t="s">
        <v>7112</v>
      </c>
      <c r="S524" s="47" t="s">
        <v>7113</v>
      </c>
      <c r="U524" s="46" t="s">
        <v>1327</v>
      </c>
      <c r="V524" s="46"/>
    </row>
    <row r="525" spans="1:23" ht="60" x14ac:dyDescent="0.25">
      <c r="A525" s="61">
        <v>42893</v>
      </c>
      <c r="B525" s="62" t="s">
        <v>328</v>
      </c>
      <c r="C525" s="46" t="s">
        <v>899</v>
      </c>
      <c r="D525" s="46" t="s">
        <v>672</v>
      </c>
      <c r="E525" s="46" t="s">
        <v>588</v>
      </c>
      <c r="F525" s="46" t="s">
        <v>7115</v>
      </c>
      <c r="H525" s="46" t="s">
        <v>607</v>
      </c>
      <c r="I525" s="46" t="s">
        <v>7117</v>
      </c>
      <c r="J525" s="49" t="s">
        <v>3371</v>
      </c>
      <c r="M525" s="64">
        <v>120000</v>
      </c>
      <c r="N525" s="64">
        <v>204000</v>
      </c>
      <c r="O525" s="47" t="s">
        <v>2934</v>
      </c>
      <c r="P525" s="47" t="s">
        <v>7119</v>
      </c>
      <c r="Q525" s="62" t="s">
        <v>1939</v>
      </c>
      <c r="R525" s="47" t="s">
        <v>7120</v>
      </c>
      <c r="U525" s="46" t="s">
        <v>1327</v>
      </c>
      <c r="V525" s="46"/>
    </row>
    <row r="526" spans="1:23" ht="60" x14ac:dyDescent="0.25">
      <c r="A526" s="61">
        <v>42894</v>
      </c>
      <c r="B526" s="62" t="s">
        <v>110</v>
      </c>
      <c r="C526" s="46" t="s">
        <v>761</v>
      </c>
      <c r="D526" s="46" t="s">
        <v>715</v>
      </c>
      <c r="E526" s="46" t="s">
        <v>588</v>
      </c>
      <c r="F526" s="46" t="s">
        <v>7116</v>
      </c>
      <c r="H526" s="46" t="s">
        <v>607</v>
      </c>
      <c r="I526" s="46" t="s">
        <v>3059</v>
      </c>
      <c r="J526" s="49" t="s">
        <v>761</v>
      </c>
      <c r="M526" s="64">
        <v>460000</v>
      </c>
      <c r="N526" s="64">
        <v>782000</v>
      </c>
      <c r="O526" s="47" t="s">
        <v>5953</v>
      </c>
      <c r="P526" s="47" t="s">
        <v>7121</v>
      </c>
      <c r="Q526" s="62" t="s">
        <v>1939</v>
      </c>
      <c r="R526" s="47" t="s">
        <v>7118</v>
      </c>
      <c r="U526" s="46" t="s">
        <v>1327</v>
      </c>
      <c r="V526" s="46"/>
    </row>
    <row r="527" spans="1:23" ht="60" x14ac:dyDescent="0.25">
      <c r="A527" s="61">
        <v>42894</v>
      </c>
      <c r="B527" s="62" t="s">
        <v>328</v>
      </c>
      <c r="C527" s="46" t="s">
        <v>603</v>
      </c>
      <c r="D527" s="46" t="s">
        <v>649</v>
      </c>
      <c r="E527" s="46" t="s">
        <v>588</v>
      </c>
      <c r="F527" s="46" t="s">
        <v>7122</v>
      </c>
      <c r="H527" s="46" t="s">
        <v>4183</v>
      </c>
      <c r="I527" s="46" t="s">
        <v>7123</v>
      </c>
      <c r="J527" s="49" t="s">
        <v>899</v>
      </c>
      <c r="L527" s="63">
        <v>10</v>
      </c>
      <c r="M527" s="64">
        <v>1000000</v>
      </c>
      <c r="N527" s="64">
        <v>1700000</v>
      </c>
      <c r="O527" s="47" t="s">
        <v>7124</v>
      </c>
      <c r="P527" s="47" t="s">
        <v>7531</v>
      </c>
      <c r="Q527" s="62" t="s">
        <v>1939</v>
      </c>
      <c r="R527" s="47" t="s">
        <v>7125</v>
      </c>
      <c r="U527" s="46" t="s">
        <v>1327</v>
      </c>
      <c r="V527" s="46"/>
    </row>
    <row r="528" spans="1:23" ht="60" x14ac:dyDescent="0.25">
      <c r="A528" s="61">
        <v>42895</v>
      </c>
      <c r="B528" s="62" t="s">
        <v>5176</v>
      </c>
      <c r="D528" s="46" t="s">
        <v>2454</v>
      </c>
      <c r="E528" s="46" t="s">
        <v>588</v>
      </c>
      <c r="F528" s="46" t="s">
        <v>7126</v>
      </c>
      <c r="H528" s="46" t="s">
        <v>905</v>
      </c>
      <c r="I528" s="46" t="s">
        <v>7127</v>
      </c>
      <c r="J528" s="49" t="s">
        <v>3369</v>
      </c>
      <c r="M528" s="64">
        <v>160000</v>
      </c>
      <c r="N528" s="64">
        <v>180000</v>
      </c>
      <c r="O528" s="47" t="s">
        <v>7128</v>
      </c>
      <c r="P528" s="47" t="s">
        <v>7129</v>
      </c>
      <c r="Q528" s="62" t="s">
        <v>1939</v>
      </c>
      <c r="R528" s="47" t="s">
        <v>7130</v>
      </c>
      <c r="U528" s="46" t="s">
        <v>491</v>
      </c>
      <c r="V528" s="46"/>
    </row>
    <row r="529" spans="1:22" ht="30" x14ac:dyDescent="0.25">
      <c r="A529" s="61">
        <v>42895</v>
      </c>
      <c r="B529" s="62" t="s">
        <v>569</v>
      </c>
      <c r="D529" s="46" t="s">
        <v>611</v>
      </c>
      <c r="E529" s="46" t="s">
        <v>588</v>
      </c>
      <c r="F529" s="46" t="s">
        <v>7131</v>
      </c>
      <c r="H529" s="46" t="s">
        <v>607</v>
      </c>
      <c r="O529" s="47" t="s">
        <v>4241</v>
      </c>
      <c r="P529" s="47" t="s">
        <v>7132</v>
      </c>
      <c r="Q529" s="62" t="s">
        <v>1939</v>
      </c>
      <c r="R529" s="47" t="s">
        <v>7133</v>
      </c>
      <c r="U529" s="46" t="s">
        <v>491</v>
      </c>
      <c r="V529" s="46"/>
    </row>
    <row r="530" spans="1:22" ht="30" x14ac:dyDescent="0.25">
      <c r="A530" s="61">
        <v>42895</v>
      </c>
      <c r="B530" s="62" t="s">
        <v>110</v>
      </c>
      <c r="C530" s="46" t="s">
        <v>761</v>
      </c>
      <c r="D530" s="46" t="s">
        <v>715</v>
      </c>
      <c r="E530" s="46" t="s">
        <v>588</v>
      </c>
      <c r="F530" s="46" t="s">
        <v>7532</v>
      </c>
      <c r="H530" s="46" t="s">
        <v>7134</v>
      </c>
      <c r="O530" s="47" t="s">
        <v>4241</v>
      </c>
      <c r="P530" s="47" t="s">
        <v>7135</v>
      </c>
      <c r="Q530" s="62" t="s">
        <v>592</v>
      </c>
      <c r="R530" s="47" t="s">
        <v>7136</v>
      </c>
      <c r="U530" s="46" t="s">
        <v>491</v>
      </c>
      <c r="V530" s="46"/>
    </row>
    <row r="531" spans="1:22" ht="45" x14ac:dyDescent="0.25">
      <c r="A531" s="61">
        <v>42895</v>
      </c>
      <c r="B531" s="62" t="s">
        <v>328</v>
      </c>
      <c r="C531" s="46" t="s">
        <v>603</v>
      </c>
      <c r="D531" s="46" t="s">
        <v>2397</v>
      </c>
      <c r="E531" s="46" t="s">
        <v>588</v>
      </c>
      <c r="F531" s="46" t="s">
        <v>7138</v>
      </c>
      <c r="H531" s="46" t="s">
        <v>607</v>
      </c>
      <c r="I531" s="46" t="s">
        <v>7139</v>
      </c>
      <c r="J531" s="49" t="s">
        <v>899</v>
      </c>
      <c r="L531" s="63">
        <v>3</v>
      </c>
      <c r="M531" s="64">
        <v>2487000</v>
      </c>
      <c r="N531" s="64">
        <v>4476600</v>
      </c>
      <c r="O531" s="47" t="s">
        <v>560</v>
      </c>
      <c r="P531" s="47" t="s">
        <v>7141</v>
      </c>
      <c r="Q531" s="62" t="s">
        <v>1939</v>
      </c>
      <c r="R531" s="47" t="s">
        <v>7140</v>
      </c>
      <c r="U531" s="46" t="s">
        <v>491</v>
      </c>
      <c r="V531" s="46"/>
    </row>
    <row r="532" spans="1:22" ht="60" x14ac:dyDescent="0.25">
      <c r="A532" s="61">
        <v>42895</v>
      </c>
      <c r="B532" s="62" t="s">
        <v>328</v>
      </c>
      <c r="C532" s="46" t="s">
        <v>603</v>
      </c>
      <c r="D532" s="46" t="s">
        <v>2397</v>
      </c>
      <c r="E532" s="46" t="s">
        <v>588</v>
      </c>
      <c r="F532" s="46" t="s">
        <v>7142</v>
      </c>
      <c r="H532" s="46" t="s">
        <v>886</v>
      </c>
      <c r="I532" s="46" t="s">
        <v>7143</v>
      </c>
      <c r="J532" s="49" t="s">
        <v>899</v>
      </c>
      <c r="L532" s="63">
        <v>10</v>
      </c>
      <c r="M532" s="64">
        <v>950000</v>
      </c>
      <c r="N532" s="64">
        <v>950000</v>
      </c>
      <c r="O532" s="47" t="s">
        <v>653</v>
      </c>
      <c r="P532" s="47" t="s">
        <v>7144</v>
      </c>
      <c r="Q532" s="62" t="s">
        <v>29</v>
      </c>
      <c r="R532" s="47" t="s">
        <v>7145</v>
      </c>
      <c r="U532" s="46" t="s">
        <v>491</v>
      </c>
      <c r="V532" s="46"/>
    </row>
    <row r="533" spans="1:22" ht="60" x14ac:dyDescent="0.25">
      <c r="A533" s="61">
        <v>42895</v>
      </c>
      <c r="B533" s="62" t="s">
        <v>328</v>
      </c>
      <c r="C533" s="46" t="s">
        <v>603</v>
      </c>
      <c r="D533" s="46" t="s">
        <v>672</v>
      </c>
      <c r="E533" s="46" t="s">
        <v>588</v>
      </c>
      <c r="F533" s="46" t="s">
        <v>7146</v>
      </c>
      <c r="H533" s="46" t="s">
        <v>607</v>
      </c>
      <c r="I533" s="46" t="s">
        <v>7147</v>
      </c>
      <c r="J533" s="49" t="s">
        <v>5402</v>
      </c>
      <c r="L533" s="63">
        <v>3</v>
      </c>
      <c r="M533" s="64">
        <v>185000</v>
      </c>
      <c r="N533" s="64">
        <v>370000</v>
      </c>
      <c r="O533" s="47" t="s">
        <v>6522</v>
      </c>
      <c r="P533" s="47" t="s">
        <v>7148</v>
      </c>
      <c r="Q533" s="62" t="s">
        <v>1939</v>
      </c>
      <c r="R533" s="47" t="s">
        <v>7149</v>
      </c>
      <c r="U533" s="46" t="s">
        <v>491</v>
      </c>
      <c r="V533" s="46"/>
    </row>
    <row r="534" spans="1:22" ht="45" x14ac:dyDescent="0.25">
      <c r="A534" s="61">
        <v>42895</v>
      </c>
      <c r="B534" s="62" t="s">
        <v>328</v>
      </c>
      <c r="C534" s="46" t="s">
        <v>603</v>
      </c>
      <c r="D534" s="46" t="s">
        <v>672</v>
      </c>
      <c r="E534" s="46" t="s">
        <v>588</v>
      </c>
      <c r="F534" s="46" t="s">
        <v>7150</v>
      </c>
      <c r="H534" s="46" t="s">
        <v>1050</v>
      </c>
      <c r="I534" s="46" t="s">
        <v>7151</v>
      </c>
      <c r="J534" s="49" t="s">
        <v>644</v>
      </c>
      <c r="M534" s="64">
        <v>4600000</v>
      </c>
      <c r="N534" s="64">
        <v>4650000</v>
      </c>
      <c r="O534" s="47" t="s">
        <v>560</v>
      </c>
      <c r="P534" s="47" t="s">
        <v>7152</v>
      </c>
      <c r="Q534" s="62" t="s">
        <v>1939</v>
      </c>
      <c r="R534" s="47" t="s">
        <v>7153</v>
      </c>
      <c r="U534" s="46" t="s">
        <v>491</v>
      </c>
      <c r="V534" s="46"/>
    </row>
    <row r="535" spans="1:22" ht="30" x14ac:dyDescent="0.25">
      <c r="A535" s="61">
        <v>42895</v>
      </c>
      <c r="B535" s="62" t="s">
        <v>328</v>
      </c>
      <c r="C535" s="46" t="s">
        <v>603</v>
      </c>
      <c r="D535" s="46" t="s">
        <v>1401</v>
      </c>
      <c r="E535" s="46" t="s">
        <v>588</v>
      </c>
      <c r="F535" s="46" t="s">
        <v>7154</v>
      </c>
      <c r="H535" s="46" t="s">
        <v>905</v>
      </c>
      <c r="I535" s="46" t="s">
        <v>5898</v>
      </c>
      <c r="J535" s="49" t="s">
        <v>899</v>
      </c>
      <c r="L535" s="63">
        <v>3</v>
      </c>
      <c r="M535" s="64">
        <v>1800000</v>
      </c>
      <c r="N535" s="64">
        <v>1990000</v>
      </c>
      <c r="O535" s="47" t="s">
        <v>560</v>
      </c>
      <c r="P535" s="47" t="s">
        <v>7155</v>
      </c>
      <c r="Q535" s="62" t="s">
        <v>592</v>
      </c>
      <c r="U535" s="46" t="s">
        <v>491</v>
      </c>
      <c r="V535" s="46"/>
    </row>
    <row r="536" spans="1:22" ht="90" x14ac:dyDescent="0.25">
      <c r="A536" s="61">
        <v>42898</v>
      </c>
      <c r="B536" s="62" t="s">
        <v>328</v>
      </c>
      <c r="C536" s="46" t="s">
        <v>603</v>
      </c>
      <c r="D536" s="46" t="s">
        <v>649</v>
      </c>
      <c r="E536" s="46" t="s">
        <v>588</v>
      </c>
      <c r="F536" s="46" t="s">
        <v>7157</v>
      </c>
      <c r="H536" s="46" t="s">
        <v>722</v>
      </c>
      <c r="I536" s="46" t="s">
        <v>7156</v>
      </c>
      <c r="J536" s="49" t="s">
        <v>899</v>
      </c>
      <c r="L536" s="63">
        <v>9</v>
      </c>
      <c r="M536" s="64">
        <v>325904</v>
      </c>
      <c r="N536" s="64">
        <v>490000</v>
      </c>
      <c r="O536" s="47" t="s">
        <v>2680</v>
      </c>
      <c r="P536" s="47" t="s">
        <v>7158</v>
      </c>
      <c r="Q536" s="62" t="s">
        <v>29</v>
      </c>
      <c r="R536" s="47" t="s">
        <v>7159</v>
      </c>
      <c r="U536" s="46" t="s">
        <v>491</v>
      </c>
      <c r="V536" s="46"/>
    </row>
    <row r="537" spans="1:22" ht="120" x14ac:dyDescent="0.25">
      <c r="A537" s="61">
        <v>42898</v>
      </c>
      <c r="B537" s="62" t="s">
        <v>569</v>
      </c>
      <c r="D537" s="46" t="s">
        <v>930</v>
      </c>
      <c r="E537" s="46" t="s">
        <v>821</v>
      </c>
      <c r="F537" s="46" t="s">
        <v>7160</v>
      </c>
      <c r="H537" s="46" t="s">
        <v>886</v>
      </c>
      <c r="M537" s="64">
        <v>3000000</v>
      </c>
      <c r="O537" s="47" t="s">
        <v>7161</v>
      </c>
      <c r="P537" s="47" t="s">
        <v>7162</v>
      </c>
      <c r="Q537" s="62" t="s">
        <v>592</v>
      </c>
      <c r="U537" s="46" t="s">
        <v>491</v>
      </c>
      <c r="V537" s="46"/>
    </row>
    <row r="538" spans="1:22" ht="75" x14ac:dyDescent="0.25">
      <c r="A538" s="61">
        <v>42898</v>
      </c>
      <c r="B538" s="62" t="s">
        <v>5360</v>
      </c>
      <c r="D538" s="46" t="s">
        <v>732</v>
      </c>
      <c r="E538" s="46" t="s">
        <v>1707</v>
      </c>
      <c r="F538" s="46" t="s">
        <v>7163</v>
      </c>
      <c r="H538" s="46" t="s">
        <v>886</v>
      </c>
      <c r="I538" s="46" t="s">
        <v>7164</v>
      </c>
      <c r="J538" s="49" t="s">
        <v>899</v>
      </c>
      <c r="L538" s="63">
        <v>1</v>
      </c>
      <c r="M538" s="64">
        <v>2900000</v>
      </c>
      <c r="N538" s="64">
        <v>2900000</v>
      </c>
      <c r="O538" s="47" t="s">
        <v>2121</v>
      </c>
      <c r="P538" s="47" t="s">
        <v>7165</v>
      </c>
      <c r="Q538" s="62" t="s">
        <v>1612</v>
      </c>
      <c r="R538" s="47" t="s">
        <v>7209</v>
      </c>
      <c r="S538" s="47" t="s">
        <v>9560</v>
      </c>
      <c r="U538" s="46" t="s">
        <v>491</v>
      </c>
      <c r="V538" s="46"/>
    </row>
    <row r="539" spans="1:22" ht="45" x14ac:dyDescent="0.25">
      <c r="A539" s="61">
        <v>42899</v>
      </c>
      <c r="B539" s="62" t="s">
        <v>569</v>
      </c>
      <c r="D539" s="46" t="s">
        <v>930</v>
      </c>
      <c r="E539" s="46" t="s">
        <v>588</v>
      </c>
      <c r="F539" s="46" t="s">
        <v>7166</v>
      </c>
      <c r="H539" s="46" t="s">
        <v>607</v>
      </c>
      <c r="I539" s="46" t="s">
        <v>3462</v>
      </c>
      <c r="J539" s="49" t="s">
        <v>899</v>
      </c>
      <c r="L539" s="63">
        <v>2</v>
      </c>
      <c r="M539" s="64">
        <v>2500000</v>
      </c>
      <c r="N539" s="64">
        <v>4250000</v>
      </c>
      <c r="O539" s="47" t="s">
        <v>695</v>
      </c>
      <c r="P539" s="47" t="s">
        <v>7167</v>
      </c>
      <c r="Q539" s="62" t="s">
        <v>1939</v>
      </c>
      <c r="R539" s="47" t="s">
        <v>7168</v>
      </c>
      <c r="U539" s="46" t="s">
        <v>491</v>
      </c>
      <c r="V539" s="46"/>
    </row>
    <row r="540" spans="1:22" ht="45" x14ac:dyDescent="0.25">
      <c r="A540" s="61">
        <v>42899</v>
      </c>
      <c r="B540" s="62" t="s">
        <v>328</v>
      </c>
      <c r="C540" s="46" t="s">
        <v>603</v>
      </c>
      <c r="D540" s="46" t="s">
        <v>649</v>
      </c>
      <c r="E540" s="46" t="s">
        <v>588</v>
      </c>
      <c r="F540" s="46" t="s">
        <v>7169</v>
      </c>
      <c r="H540" s="46" t="s">
        <v>905</v>
      </c>
      <c r="I540" s="46" t="s">
        <v>5366</v>
      </c>
      <c r="J540" s="49" t="s">
        <v>899</v>
      </c>
      <c r="L540" s="63">
        <v>9</v>
      </c>
      <c r="M540" s="64">
        <v>216800</v>
      </c>
      <c r="N540" s="64">
        <v>242800</v>
      </c>
      <c r="O540" s="47" t="s">
        <v>2680</v>
      </c>
      <c r="P540" s="47" t="s">
        <v>7170</v>
      </c>
      <c r="Q540" s="62" t="s">
        <v>1939</v>
      </c>
      <c r="R540" s="47" t="s">
        <v>7171</v>
      </c>
      <c r="U540" s="46" t="s">
        <v>491</v>
      </c>
      <c r="V540" s="46"/>
    </row>
    <row r="541" spans="1:22" ht="60" x14ac:dyDescent="0.25">
      <c r="A541" s="61">
        <v>42899</v>
      </c>
      <c r="B541" s="62" t="s">
        <v>5956</v>
      </c>
      <c r="C541" s="46" t="s">
        <v>3369</v>
      </c>
      <c r="D541" s="46" t="s">
        <v>7172</v>
      </c>
      <c r="E541" s="46" t="s">
        <v>588</v>
      </c>
      <c r="F541" s="46" t="s">
        <v>7173</v>
      </c>
      <c r="H541" s="46" t="s">
        <v>905</v>
      </c>
      <c r="I541" s="46" t="s">
        <v>7174</v>
      </c>
      <c r="J541" s="49" t="s">
        <v>3369</v>
      </c>
      <c r="M541" s="64">
        <v>1461000</v>
      </c>
      <c r="N541" s="64">
        <v>1461000</v>
      </c>
      <c r="O541" s="47" t="s">
        <v>35</v>
      </c>
      <c r="P541" s="47" t="s">
        <v>7175</v>
      </c>
      <c r="Q541" s="62" t="s">
        <v>1939</v>
      </c>
      <c r="R541" s="47" t="s">
        <v>7176</v>
      </c>
      <c r="U541" s="46" t="s">
        <v>491</v>
      </c>
      <c r="V541" s="46"/>
    </row>
    <row r="542" spans="1:22" ht="30" x14ac:dyDescent="0.25">
      <c r="A542" s="61">
        <v>42900</v>
      </c>
      <c r="B542" s="62" t="s">
        <v>328</v>
      </c>
      <c r="C542" s="46" t="s">
        <v>603</v>
      </c>
      <c r="D542" s="46" t="s">
        <v>649</v>
      </c>
      <c r="E542" s="46" t="s">
        <v>588</v>
      </c>
      <c r="F542" s="46" t="s">
        <v>7177</v>
      </c>
      <c r="H542" s="46" t="s">
        <v>607</v>
      </c>
      <c r="I542" s="46" t="s">
        <v>4633</v>
      </c>
      <c r="J542" s="49" t="s">
        <v>899</v>
      </c>
      <c r="L542" s="63">
        <v>10</v>
      </c>
      <c r="M542" s="64">
        <v>835000</v>
      </c>
      <c r="N542" s="64">
        <v>1586500</v>
      </c>
      <c r="O542" s="47" t="s">
        <v>764</v>
      </c>
      <c r="P542" s="47" t="s">
        <v>7178</v>
      </c>
      <c r="Q542" s="62" t="s">
        <v>592</v>
      </c>
      <c r="U542" s="46" t="s">
        <v>491</v>
      </c>
      <c r="V542" s="46"/>
    </row>
    <row r="543" spans="1:22" ht="45" x14ac:dyDescent="0.25">
      <c r="A543" s="61">
        <v>42900</v>
      </c>
      <c r="B543" s="62" t="s">
        <v>569</v>
      </c>
      <c r="D543" s="46" t="s">
        <v>611</v>
      </c>
      <c r="E543" s="46" t="s">
        <v>588</v>
      </c>
      <c r="F543" s="46" t="s">
        <v>7179</v>
      </c>
      <c r="H543" s="46" t="s">
        <v>722</v>
      </c>
      <c r="I543" s="46" t="s">
        <v>5423</v>
      </c>
      <c r="J543" s="49" t="s">
        <v>899</v>
      </c>
      <c r="M543" s="64">
        <v>473013</v>
      </c>
      <c r="N543" s="64">
        <v>675000</v>
      </c>
      <c r="O543" s="47" t="s">
        <v>6980</v>
      </c>
      <c r="P543" s="47" t="s">
        <v>7180</v>
      </c>
      <c r="Q543" s="62" t="s">
        <v>29</v>
      </c>
      <c r="U543" s="46" t="s">
        <v>491</v>
      </c>
      <c r="V543" s="46"/>
    </row>
    <row r="544" spans="1:22" ht="75" x14ac:dyDescent="0.25">
      <c r="A544" s="61">
        <v>42900</v>
      </c>
      <c r="B544" s="62" t="s">
        <v>110</v>
      </c>
      <c r="C544" s="46" t="s">
        <v>761</v>
      </c>
      <c r="D544" s="46" t="s">
        <v>715</v>
      </c>
      <c r="E544" s="46" t="s">
        <v>588</v>
      </c>
      <c r="F544" s="46" t="s">
        <v>7181</v>
      </c>
      <c r="H544" s="46" t="s">
        <v>607</v>
      </c>
      <c r="I544" s="46" t="s">
        <v>3059</v>
      </c>
      <c r="J544" s="49" t="s">
        <v>761</v>
      </c>
      <c r="L544" s="63">
        <v>10</v>
      </c>
      <c r="M544" s="64">
        <v>170000</v>
      </c>
      <c r="N544" s="64">
        <v>289000</v>
      </c>
      <c r="O544" s="47" t="s">
        <v>764</v>
      </c>
      <c r="P544" s="47" t="s">
        <v>7182</v>
      </c>
      <c r="Q544" s="62" t="s">
        <v>1612</v>
      </c>
      <c r="R544" s="47" t="s">
        <v>7211</v>
      </c>
      <c r="U544" s="46" t="s">
        <v>491</v>
      </c>
      <c r="V544" s="46"/>
    </row>
    <row r="545" spans="1:22" ht="75" x14ac:dyDescent="0.25">
      <c r="A545" s="61">
        <v>42900</v>
      </c>
      <c r="B545" s="62" t="s">
        <v>569</v>
      </c>
      <c r="D545" s="46" t="s">
        <v>930</v>
      </c>
      <c r="E545" s="46" t="s">
        <v>588</v>
      </c>
      <c r="F545" s="46" t="s">
        <v>7183</v>
      </c>
      <c r="H545" s="46" t="s">
        <v>886</v>
      </c>
      <c r="I545" s="46" t="s">
        <v>833</v>
      </c>
      <c r="J545" s="49" t="s">
        <v>899</v>
      </c>
      <c r="M545" s="64">
        <v>600000</v>
      </c>
      <c r="O545" s="47" t="s">
        <v>7184</v>
      </c>
      <c r="P545" s="47" t="s">
        <v>7185</v>
      </c>
      <c r="Q545" s="62" t="s">
        <v>1939</v>
      </c>
      <c r="R545" s="47" t="s">
        <v>7186</v>
      </c>
      <c r="U545" s="46" t="s">
        <v>491</v>
      </c>
      <c r="V545" s="46"/>
    </row>
    <row r="546" spans="1:22" ht="75" x14ac:dyDescent="0.25">
      <c r="A546" s="61">
        <v>42900</v>
      </c>
      <c r="B546" s="62" t="s">
        <v>328</v>
      </c>
      <c r="C546" s="46" t="s">
        <v>603</v>
      </c>
      <c r="D546" s="46" t="s">
        <v>672</v>
      </c>
      <c r="E546" s="46" t="s">
        <v>588</v>
      </c>
      <c r="F546" s="46" t="s">
        <v>7187</v>
      </c>
      <c r="H546" s="46" t="s">
        <v>607</v>
      </c>
      <c r="I546" s="46" t="s">
        <v>7188</v>
      </c>
      <c r="J546" s="49" t="s">
        <v>899</v>
      </c>
      <c r="L546" s="63">
        <v>4</v>
      </c>
      <c r="M546" s="64">
        <v>1600000</v>
      </c>
      <c r="N546" s="64">
        <v>3200000</v>
      </c>
      <c r="O546" s="47" t="s">
        <v>35</v>
      </c>
      <c r="P546" s="47" t="s">
        <v>7192</v>
      </c>
      <c r="Q546" s="62" t="s">
        <v>1939</v>
      </c>
      <c r="R546" s="47" t="s">
        <v>7193</v>
      </c>
      <c r="S546" s="47" t="s">
        <v>7194</v>
      </c>
      <c r="U546" s="46" t="s">
        <v>491</v>
      </c>
      <c r="V546" s="46"/>
    </row>
    <row r="547" spans="1:22" ht="75" x14ac:dyDescent="0.25">
      <c r="A547" s="61">
        <v>42900</v>
      </c>
      <c r="B547" s="62" t="s">
        <v>328</v>
      </c>
      <c r="C547" s="46" t="s">
        <v>603</v>
      </c>
      <c r="D547" s="46" t="s">
        <v>672</v>
      </c>
      <c r="E547" s="46" t="s">
        <v>588</v>
      </c>
      <c r="F547" s="46" t="s">
        <v>7189</v>
      </c>
      <c r="H547" s="46" t="s">
        <v>607</v>
      </c>
      <c r="I547" s="46" t="s">
        <v>7190</v>
      </c>
      <c r="J547" s="49" t="s">
        <v>899</v>
      </c>
      <c r="L547" s="63">
        <v>2</v>
      </c>
      <c r="M547" s="64">
        <v>1706600</v>
      </c>
      <c r="N547" s="64">
        <v>3071880</v>
      </c>
      <c r="O547" s="47" t="s">
        <v>1171</v>
      </c>
      <c r="P547" s="47" t="s">
        <v>7191</v>
      </c>
      <c r="Q547" s="62" t="s">
        <v>592</v>
      </c>
      <c r="U547" s="46" t="s">
        <v>491</v>
      </c>
      <c r="V547" s="46"/>
    </row>
    <row r="548" spans="1:22" ht="30" x14ac:dyDescent="0.25">
      <c r="A548" s="61">
        <v>42900</v>
      </c>
      <c r="B548" s="62" t="s">
        <v>328</v>
      </c>
      <c r="C548" s="46" t="s">
        <v>603</v>
      </c>
      <c r="D548" s="46" t="s">
        <v>672</v>
      </c>
      <c r="E548" s="46" t="s">
        <v>588</v>
      </c>
      <c r="F548" s="46" t="s">
        <v>7195</v>
      </c>
      <c r="H548" s="46" t="s">
        <v>905</v>
      </c>
      <c r="I548" s="46" t="s">
        <v>7196</v>
      </c>
      <c r="J548" s="49" t="s">
        <v>899</v>
      </c>
      <c r="L548" s="63">
        <v>3</v>
      </c>
      <c r="M548" s="64">
        <v>1900000</v>
      </c>
      <c r="N548" s="64" t="s">
        <v>833</v>
      </c>
      <c r="O548" s="47" t="s">
        <v>560</v>
      </c>
      <c r="P548" s="47" t="s">
        <v>7197</v>
      </c>
      <c r="Q548" s="62" t="s">
        <v>1612</v>
      </c>
      <c r="R548" s="47" t="s">
        <v>7382</v>
      </c>
      <c r="U548" s="46" t="s">
        <v>491</v>
      </c>
      <c r="V548" s="46"/>
    </row>
    <row r="549" spans="1:22" x14ac:dyDescent="0.25">
      <c r="A549" s="61">
        <v>42900</v>
      </c>
      <c r="B549" s="62" t="s">
        <v>5473</v>
      </c>
      <c r="D549" s="46" t="s">
        <v>7091</v>
      </c>
      <c r="E549" s="46" t="s">
        <v>588</v>
      </c>
      <c r="F549" s="46" t="s">
        <v>7198</v>
      </c>
      <c r="H549" s="46" t="s">
        <v>607</v>
      </c>
      <c r="I549" s="46" t="s">
        <v>7199</v>
      </c>
      <c r="J549" s="49" t="s">
        <v>602</v>
      </c>
      <c r="L549" s="63">
        <v>9</v>
      </c>
      <c r="O549" s="47" t="s">
        <v>7200</v>
      </c>
      <c r="P549" s="47" t="s">
        <v>7201</v>
      </c>
      <c r="Q549" s="62" t="s">
        <v>620</v>
      </c>
      <c r="R549" s="47" t="s">
        <v>7202</v>
      </c>
      <c r="U549" s="46" t="s">
        <v>491</v>
      </c>
      <c r="V549" s="46"/>
    </row>
    <row r="550" spans="1:22" ht="60" x14ac:dyDescent="0.25">
      <c r="A550" s="61">
        <v>42900</v>
      </c>
      <c r="B550" s="62" t="s">
        <v>569</v>
      </c>
      <c r="D550" s="46" t="s">
        <v>930</v>
      </c>
      <c r="E550" s="46" t="s">
        <v>588</v>
      </c>
      <c r="F550" s="46" t="s">
        <v>7203</v>
      </c>
      <c r="H550" s="46" t="s">
        <v>607</v>
      </c>
      <c r="I550" s="46" t="s">
        <v>6166</v>
      </c>
      <c r="J550" s="49" t="s">
        <v>899</v>
      </c>
      <c r="M550" s="64">
        <v>320000</v>
      </c>
      <c r="N550" s="64">
        <v>576000</v>
      </c>
      <c r="O550" s="47" t="s">
        <v>7204</v>
      </c>
      <c r="P550" s="47" t="s">
        <v>7205</v>
      </c>
      <c r="Q550" s="62" t="s">
        <v>1939</v>
      </c>
      <c r="R550" s="47" t="s">
        <v>7206</v>
      </c>
      <c r="U550" s="46" t="s">
        <v>491</v>
      </c>
      <c r="V550" s="46"/>
    </row>
    <row r="551" spans="1:22" ht="90" x14ac:dyDescent="0.25">
      <c r="A551" s="61">
        <v>42902</v>
      </c>
      <c r="B551" s="62" t="s">
        <v>328</v>
      </c>
      <c r="C551" s="46" t="s">
        <v>603</v>
      </c>
      <c r="D551" s="46" t="s">
        <v>649</v>
      </c>
      <c r="E551" s="46" t="s">
        <v>588</v>
      </c>
      <c r="F551" s="46" t="s">
        <v>7207</v>
      </c>
      <c r="H551" s="46" t="s">
        <v>1391</v>
      </c>
      <c r="I551" s="46" t="s">
        <v>3388</v>
      </c>
      <c r="J551" s="49" t="s">
        <v>899</v>
      </c>
      <c r="L551" s="63">
        <v>1</v>
      </c>
      <c r="M551" s="64">
        <v>3640000</v>
      </c>
      <c r="N551" s="64">
        <v>4640000</v>
      </c>
      <c r="O551" s="47" t="s">
        <v>560</v>
      </c>
      <c r="P551" s="47" t="s">
        <v>7208</v>
      </c>
      <c r="Q551" s="62" t="s">
        <v>1612</v>
      </c>
      <c r="R551" s="47" t="s">
        <v>7668</v>
      </c>
      <c r="U551" s="46" t="s">
        <v>491</v>
      </c>
      <c r="V551" s="46"/>
    </row>
    <row r="552" spans="1:22" ht="342" customHeight="1" x14ac:dyDescent="0.25">
      <c r="A552" s="61">
        <v>42902</v>
      </c>
      <c r="B552" s="62" t="s">
        <v>569</v>
      </c>
      <c r="D552" s="46" t="s">
        <v>930</v>
      </c>
      <c r="E552" s="46" t="s">
        <v>821</v>
      </c>
      <c r="F552" s="46" t="s">
        <v>7290</v>
      </c>
      <c r="H552" s="46" t="s">
        <v>809</v>
      </c>
      <c r="I552" s="46" t="s">
        <v>3956</v>
      </c>
      <c r="J552" s="49" t="s">
        <v>899</v>
      </c>
      <c r="M552" s="64">
        <v>1700000</v>
      </c>
      <c r="N552" s="64">
        <v>1940000</v>
      </c>
      <c r="O552" s="47" t="s">
        <v>639</v>
      </c>
      <c r="P552" s="47" t="s">
        <v>7244</v>
      </c>
      <c r="Q552" s="62" t="s">
        <v>1612</v>
      </c>
      <c r="R552" s="88" t="s">
        <v>7333</v>
      </c>
      <c r="U552" s="46" t="s">
        <v>491</v>
      </c>
      <c r="V552" s="46"/>
    </row>
    <row r="553" spans="1:22" ht="75" x14ac:dyDescent="0.25">
      <c r="A553" s="61">
        <v>42902</v>
      </c>
      <c r="B553" s="62" t="s">
        <v>569</v>
      </c>
      <c r="D553" s="46" t="s">
        <v>624</v>
      </c>
      <c r="E553" s="46" t="s">
        <v>821</v>
      </c>
      <c r="F553" s="46" t="s">
        <v>7288</v>
      </c>
      <c r="H553" s="46" t="s">
        <v>886</v>
      </c>
      <c r="I553" s="46" t="s">
        <v>5972</v>
      </c>
      <c r="J553" s="49" t="s">
        <v>899</v>
      </c>
      <c r="M553" s="64">
        <v>425000</v>
      </c>
      <c r="N553" s="64">
        <v>625000</v>
      </c>
      <c r="O553" s="47" t="s">
        <v>5926</v>
      </c>
      <c r="P553" s="47" t="s">
        <v>7212</v>
      </c>
      <c r="Q553" s="62" t="s">
        <v>1612</v>
      </c>
      <c r="R553" s="47" t="s">
        <v>7289</v>
      </c>
      <c r="U553" s="46" t="s">
        <v>491</v>
      </c>
      <c r="V553" s="46"/>
    </row>
    <row r="554" spans="1:22" ht="30" x14ac:dyDescent="0.25">
      <c r="A554" s="61">
        <v>42902</v>
      </c>
      <c r="B554" s="62" t="s">
        <v>569</v>
      </c>
      <c r="D554" s="46" t="s">
        <v>611</v>
      </c>
      <c r="E554" s="46" t="s">
        <v>588</v>
      </c>
      <c r="H554" s="46" t="s">
        <v>607</v>
      </c>
      <c r="I554" s="46" t="s">
        <v>6099</v>
      </c>
      <c r="J554" s="49" t="s">
        <v>899</v>
      </c>
      <c r="L554" s="63">
        <v>2</v>
      </c>
      <c r="M554" s="64">
        <v>1894568</v>
      </c>
      <c r="N554" s="64">
        <v>3894568</v>
      </c>
      <c r="O554" s="47" t="s">
        <v>560</v>
      </c>
      <c r="P554" s="47" t="s">
        <v>7213</v>
      </c>
      <c r="Q554" s="62" t="s">
        <v>592</v>
      </c>
      <c r="U554" s="46" t="s">
        <v>491</v>
      </c>
      <c r="V554" s="46"/>
    </row>
    <row r="555" spans="1:22" ht="105" x14ac:dyDescent="0.25">
      <c r="A555" s="61">
        <v>42902</v>
      </c>
      <c r="B555" s="62" t="s">
        <v>569</v>
      </c>
      <c r="D555" s="46" t="s">
        <v>625</v>
      </c>
      <c r="E555" s="46" t="s">
        <v>588</v>
      </c>
      <c r="F555" s="46" t="s">
        <v>7214</v>
      </c>
      <c r="H555" s="46" t="s">
        <v>607</v>
      </c>
      <c r="I555" s="46" t="s">
        <v>7533</v>
      </c>
      <c r="J555" s="49" t="s">
        <v>899</v>
      </c>
      <c r="M555" s="64">
        <v>750000</v>
      </c>
      <c r="N555" s="64">
        <v>1762500</v>
      </c>
      <c r="O555" s="47" t="s">
        <v>7215</v>
      </c>
      <c r="P555" s="47" t="s">
        <v>7534</v>
      </c>
      <c r="Q555" s="62" t="s">
        <v>1939</v>
      </c>
      <c r="R555" s="47" t="s">
        <v>7216</v>
      </c>
      <c r="S555" s="47" t="s">
        <v>7217</v>
      </c>
      <c r="U555" s="46" t="s">
        <v>491</v>
      </c>
      <c r="V555" s="46"/>
    </row>
    <row r="556" spans="1:22" ht="60" x14ac:dyDescent="0.25">
      <c r="A556" s="61">
        <v>42902</v>
      </c>
      <c r="B556" s="62" t="s">
        <v>328</v>
      </c>
      <c r="C556" s="46" t="s">
        <v>603</v>
      </c>
      <c r="D556" s="46" t="s">
        <v>2397</v>
      </c>
      <c r="E556" s="46" t="s">
        <v>588</v>
      </c>
      <c r="F556" s="46" t="s">
        <v>7218</v>
      </c>
      <c r="H556" s="46" t="s">
        <v>1391</v>
      </c>
      <c r="I556" s="46" t="s">
        <v>7219</v>
      </c>
      <c r="J556" s="49" t="s">
        <v>899</v>
      </c>
      <c r="L556" s="63">
        <v>2</v>
      </c>
      <c r="M556" s="64">
        <v>2000000</v>
      </c>
      <c r="N556" s="64">
        <v>3400000</v>
      </c>
      <c r="O556" s="47" t="s">
        <v>560</v>
      </c>
      <c r="P556" s="47" t="s">
        <v>7220</v>
      </c>
      <c r="Q556" s="62" t="s">
        <v>1612</v>
      </c>
      <c r="R556" s="47" t="s">
        <v>7315</v>
      </c>
      <c r="U556" s="46" t="s">
        <v>491</v>
      </c>
      <c r="V556" s="46"/>
    </row>
    <row r="557" spans="1:22" ht="45" x14ac:dyDescent="0.25">
      <c r="A557" s="61">
        <v>42902</v>
      </c>
      <c r="B557" s="62" t="s">
        <v>569</v>
      </c>
      <c r="D557" s="46" t="s">
        <v>611</v>
      </c>
      <c r="E557" s="46" t="s">
        <v>588</v>
      </c>
      <c r="F557" s="46" t="s">
        <v>7221</v>
      </c>
      <c r="H557" s="46" t="s">
        <v>607</v>
      </c>
      <c r="I557" s="46" t="s">
        <v>2054</v>
      </c>
      <c r="J557" s="49" t="s">
        <v>899</v>
      </c>
      <c r="L557" s="63">
        <v>2</v>
      </c>
      <c r="M557" s="64">
        <v>2040000</v>
      </c>
      <c r="N557" s="64">
        <v>2340000</v>
      </c>
      <c r="O557" s="47" t="s">
        <v>5821</v>
      </c>
      <c r="P557" s="47" t="s">
        <v>7222</v>
      </c>
      <c r="Q557" s="62" t="s">
        <v>1939</v>
      </c>
      <c r="R557" s="47" t="s">
        <v>7223</v>
      </c>
      <c r="U557" s="46" t="s">
        <v>491</v>
      </c>
      <c r="V557" s="46"/>
    </row>
    <row r="558" spans="1:22" ht="60" x14ac:dyDescent="0.25">
      <c r="A558" s="61">
        <v>42902</v>
      </c>
      <c r="B558" s="62" t="s">
        <v>5360</v>
      </c>
      <c r="D558" s="46" t="s">
        <v>1027</v>
      </c>
      <c r="E558" s="46" t="s">
        <v>588</v>
      </c>
      <c r="F558" s="46" t="s">
        <v>7224</v>
      </c>
      <c r="H558" s="46" t="s">
        <v>607</v>
      </c>
      <c r="I558" s="46" t="s">
        <v>3462</v>
      </c>
      <c r="J558" s="49" t="s">
        <v>899</v>
      </c>
      <c r="L558" s="63">
        <v>4</v>
      </c>
      <c r="M558" s="64">
        <v>3095400</v>
      </c>
      <c r="N558" s="64">
        <v>4869240</v>
      </c>
      <c r="O558" s="47" t="s">
        <v>560</v>
      </c>
      <c r="P558" s="47" t="s">
        <v>7225</v>
      </c>
      <c r="Q558" s="62" t="s">
        <v>620</v>
      </c>
      <c r="R558" s="47" t="s">
        <v>7226</v>
      </c>
      <c r="S558" s="47" t="s">
        <v>7230</v>
      </c>
      <c r="U558" s="46" t="s">
        <v>491</v>
      </c>
      <c r="V558" s="46"/>
    </row>
    <row r="559" spans="1:22" ht="45" x14ac:dyDescent="0.25">
      <c r="A559" s="61">
        <v>42902</v>
      </c>
      <c r="B559" s="62" t="s">
        <v>5176</v>
      </c>
      <c r="D559" s="46" t="s">
        <v>595</v>
      </c>
      <c r="E559" s="46" t="s">
        <v>821</v>
      </c>
      <c r="F559" s="46" t="s">
        <v>7227</v>
      </c>
      <c r="H559" s="46" t="s">
        <v>607</v>
      </c>
      <c r="I559" s="46" t="s">
        <v>1487</v>
      </c>
      <c r="J559" s="49" t="s">
        <v>604</v>
      </c>
      <c r="O559" s="47" t="s">
        <v>1589</v>
      </c>
      <c r="P559" s="47" t="s">
        <v>7228</v>
      </c>
      <c r="Q559" s="62" t="s">
        <v>1939</v>
      </c>
      <c r="R559" s="47" t="s">
        <v>7229</v>
      </c>
      <c r="U559" s="46" t="s">
        <v>491</v>
      </c>
      <c r="V559" s="46"/>
    </row>
    <row r="560" spans="1:22" ht="30" x14ac:dyDescent="0.25">
      <c r="A560" s="61">
        <v>42902</v>
      </c>
      <c r="B560" s="62" t="s">
        <v>328</v>
      </c>
      <c r="C560" s="46" t="s">
        <v>603</v>
      </c>
      <c r="D560" s="46" t="s">
        <v>2397</v>
      </c>
      <c r="E560" s="46" t="s">
        <v>588</v>
      </c>
      <c r="F560" s="46" t="s">
        <v>7231</v>
      </c>
      <c r="H560" s="46" t="s">
        <v>607</v>
      </c>
      <c r="I560" s="46" t="s">
        <v>7232</v>
      </c>
      <c r="J560" s="49" t="s">
        <v>899</v>
      </c>
      <c r="L560" s="63">
        <v>4</v>
      </c>
      <c r="M560" s="64">
        <v>1750000</v>
      </c>
      <c r="N560" s="64">
        <v>3500000</v>
      </c>
      <c r="O560" s="47" t="s">
        <v>560</v>
      </c>
      <c r="P560" s="47" t="s">
        <v>7233</v>
      </c>
      <c r="Q560" s="62" t="s">
        <v>1612</v>
      </c>
      <c r="R560" s="47" t="s">
        <v>7299</v>
      </c>
      <c r="U560" s="46" t="s">
        <v>491</v>
      </c>
      <c r="V560" s="46"/>
    </row>
    <row r="561" spans="1:22" ht="30" x14ac:dyDescent="0.25">
      <c r="A561" s="61">
        <v>42905</v>
      </c>
      <c r="B561" s="62" t="s">
        <v>5176</v>
      </c>
      <c r="D561" s="46" t="s">
        <v>732</v>
      </c>
      <c r="E561" s="46" t="s">
        <v>588</v>
      </c>
      <c r="F561" s="46" t="s">
        <v>7234</v>
      </c>
      <c r="H561" s="46" t="s">
        <v>886</v>
      </c>
      <c r="I561" s="46" t="s">
        <v>7235</v>
      </c>
      <c r="J561" s="49" t="s">
        <v>959</v>
      </c>
      <c r="L561" s="63">
        <v>9</v>
      </c>
      <c r="M561" s="64">
        <v>3000000</v>
      </c>
      <c r="O561" s="47" t="s">
        <v>560</v>
      </c>
      <c r="P561" s="47" t="s">
        <v>7236</v>
      </c>
      <c r="Q561" s="62" t="s">
        <v>592</v>
      </c>
      <c r="U561" s="46" t="s">
        <v>491</v>
      </c>
      <c r="V561" s="46"/>
    </row>
    <row r="562" spans="1:22" ht="60" x14ac:dyDescent="0.25">
      <c r="A562" s="61">
        <v>42905</v>
      </c>
      <c r="B562" s="62" t="s">
        <v>5176</v>
      </c>
      <c r="D562" s="46" t="s">
        <v>732</v>
      </c>
      <c r="E562" s="46" t="s">
        <v>588</v>
      </c>
      <c r="F562" s="46" t="s">
        <v>7237</v>
      </c>
      <c r="H562" s="46" t="s">
        <v>607</v>
      </c>
      <c r="I562" s="46" t="s">
        <v>7238</v>
      </c>
      <c r="J562" s="49" t="s">
        <v>959</v>
      </c>
      <c r="L562" s="63">
        <v>3</v>
      </c>
      <c r="M562" s="64">
        <v>600000</v>
      </c>
      <c r="N562" s="64">
        <v>1035000</v>
      </c>
      <c r="O562" s="47" t="s">
        <v>35</v>
      </c>
      <c r="P562" s="65" t="s">
        <v>7239</v>
      </c>
      <c r="Q562" s="62" t="s">
        <v>1612</v>
      </c>
      <c r="R562" s="47" t="s">
        <v>7240</v>
      </c>
      <c r="U562" s="46" t="s">
        <v>491</v>
      </c>
      <c r="V562" s="46"/>
    </row>
    <row r="563" spans="1:22" ht="45" x14ac:dyDescent="0.25">
      <c r="A563" s="61">
        <v>42905</v>
      </c>
      <c r="B563" s="62" t="s">
        <v>569</v>
      </c>
      <c r="D563" s="46" t="s">
        <v>611</v>
      </c>
      <c r="E563" s="46" t="s">
        <v>588</v>
      </c>
      <c r="F563" s="46" t="s">
        <v>7241</v>
      </c>
      <c r="H563" s="46" t="s">
        <v>607</v>
      </c>
      <c r="I563" s="46" t="s">
        <v>6099</v>
      </c>
      <c r="J563" s="49" t="s">
        <v>899</v>
      </c>
      <c r="L563" s="63">
        <v>2</v>
      </c>
      <c r="M563" s="64">
        <v>1689243</v>
      </c>
      <c r="N563" s="64">
        <v>3189243</v>
      </c>
      <c r="O563" s="47" t="s">
        <v>560</v>
      </c>
      <c r="P563" s="47" t="s">
        <v>7242</v>
      </c>
      <c r="Q563" s="62" t="s">
        <v>1939</v>
      </c>
      <c r="R563" s="47" t="s">
        <v>7243</v>
      </c>
      <c r="U563" s="46" t="s">
        <v>491</v>
      </c>
      <c r="V563" s="46"/>
    </row>
    <row r="564" spans="1:22" ht="75" x14ac:dyDescent="0.25">
      <c r="A564" s="61">
        <v>42905</v>
      </c>
      <c r="B564" s="62" t="s">
        <v>569</v>
      </c>
      <c r="D564" s="46" t="s">
        <v>625</v>
      </c>
      <c r="E564" s="46" t="s">
        <v>588</v>
      </c>
      <c r="F564" s="46" t="s">
        <v>7245</v>
      </c>
      <c r="H564" s="46" t="s">
        <v>607</v>
      </c>
      <c r="I564" s="46" t="s">
        <v>2054</v>
      </c>
      <c r="J564" s="49" t="s">
        <v>899</v>
      </c>
      <c r="L564" s="63">
        <v>3</v>
      </c>
      <c r="M564" s="64">
        <v>723000</v>
      </c>
      <c r="N564" s="64">
        <v>1300400</v>
      </c>
      <c r="O564" s="47" t="s">
        <v>1171</v>
      </c>
      <c r="P564" s="47" t="s">
        <v>7246</v>
      </c>
      <c r="Q564" s="62" t="s">
        <v>1612</v>
      </c>
      <c r="R564" s="47" t="s">
        <v>7258</v>
      </c>
      <c r="U564" s="46" t="s">
        <v>491</v>
      </c>
      <c r="V564" s="46"/>
    </row>
    <row r="565" spans="1:22" ht="45" x14ac:dyDescent="0.25">
      <c r="A565" s="61">
        <v>42905</v>
      </c>
      <c r="B565" s="62" t="s">
        <v>5176</v>
      </c>
      <c r="D565" s="46" t="s">
        <v>595</v>
      </c>
      <c r="E565" s="46" t="s">
        <v>588</v>
      </c>
      <c r="F565" s="46" t="s">
        <v>7254</v>
      </c>
      <c r="H565" s="46" t="s">
        <v>7247</v>
      </c>
      <c r="I565" s="46" t="s">
        <v>7248</v>
      </c>
      <c r="J565" s="49" t="s">
        <v>604</v>
      </c>
      <c r="O565" s="47" t="s">
        <v>7249</v>
      </c>
      <c r="P565" s="47" t="s">
        <v>7250</v>
      </c>
      <c r="Q565" s="62" t="s">
        <v>1612</v>
      </c>
      <c r="R565" s="47" t="s">
        <v>7310</v>
      </c>
      <c r="U565" s="46" t="s">
        <v>491</v>
      </c>
      <c r="V565" s="46"/>
    </row>
    <row r="566" spans="1:22" ht="45" x14ac:dyDescent="0.25">
      <c r="A566" s="61">
        <v>42905</v>
      </c>
      <c r="B566" s="62" t="s">
        <v>5360</v>
      </c>
      <c r="D566" s="46" t="s">
        <v>732</v>
      </c>
      <c r="E566" s="46" t="s">
        <v>588</v>
      </c>
      <c r="F566" s="46" t="s">
        <v>7255</v>
      </c>
      <c r="H566" s="46" t="s">
        <v>905</v>
      </c>
      <c r="I566" s="46" t="s">
        <v>7251</v>
      </c>
      <c r="J566" s="49" t="s">
        <v>899</v>
      </c>
      <c r="M566" s="64">
        <v>230000</v>
      </c>
      <c r="O566" s="47" t="s">
        <v>5622</v>
      </c>
      <c r="P566" s="47" t="s">
        <v>7252</v>
      </c>
      <c r="Q566" s="62" t="s">
        <v>592</v>
      </c>
      <c r="U566" s="46" t="s">
        <v>491</v>
      </c>
      <c r="V566" s="46"/>
    </row>
    <row r="567" spans="1:22" ht="45" x14ac:dyDescent="0.25">
      <c r="A567" s="61">
        <v>42905</v>
      </c>
      <c r="B567" s="62" t="s">
        <v>643</v>
      </c>
      <c r="C567" s="46" t="s">
        <v>644</v>
      </c>
      <c r="D567" s="46" t="s">
        <v>625</v>
      </c>
      <c r="E567" s="46" t="s">
        <v>588</v>
      </c>
      <c r="F567" s="46" t="s">
        <v>7253</v>
      </c>
      <c r="H567" s="46" t="s">
        <v>1391</v>
      </c>
      <c r="I567" s="46" t="s">
        <v>3913</v>
      </c>
      <c r="J567" s="49" t="s">
        <v>644</v>
      </c>
      <c r="O567" s="47" t="s">
        <v>5872</v>
      </c>
      <c r="P567" s="47" t="s">
        <v>7256</v>
      </c>
      <c r="Q567" s="62" t="s">
        <v>592</v>
      </c>
      <c r="R567" s="47" t="s">
        <v>7257</v>
      </c>
      <c r="U567" s="46" t="s">
        <v>491</v>
      </c>
      <c r="V567" s="46"/>
    </row>
    <row r="568" spans="1:22" ht="30" x14ac:dyDescent="0.25">
      <c r="A568" s="61">
        <v>42906</v>
      </c>
      <c r="B568" s="62" t="s">
        <v>5176</v>
      </c>
      <c r="D568" s="46" t="s">
        <v>727</v>
      </c>
      <c r="E568" s="46" t="s">
        <v>588</v>
      </c>
      <c r="F568" s="46" t="s">
        <v>7260</v>
      </c>
      <c r="H568" s="46" t="s">
        <v>809</v>
      </c>
      <c r="O568" s="47" t="s">
        <v>7261</v>
      </c>
      <c r="P568" s="47" t="s">
        <v>7262</v>
      </c>
      <c r="Q568" s="62" t="s">
        <v>592</v>
      </c>
      <c r="R568" s="47" t="s">
        <v>7263</v>
      </c>
      <c r="U568" s="46" t="s">
        <v>491</v>
      </c>
      <c r="V568" s="46"/>
    </row>
    <row r="569" spans="1:22" ht="30" x14ac:dyDescent="0.25">
      <c r="A569" s="61">
        <v>42906</v>
      </c>
      <c r="B569" s="62" t="s">
        <v>569</v>
      </c>
      <c r="D569" s="46" t="s">
        <v>611</v>
      </c>
      <c r="E569" s="46" t="s">
        <v>588</v>
      </c>
      <c r="F569" s="46" t="s">
        <v>7264</v>
      </c>
      <c r="H569" s="46" t="s">
        <v>607</v>
      </c>
      <c r="I569" s="46" t="s">
        <v>5412</v>
      </c>
      <c r="J569" s="49" t="s">
        <v>899</v>
      </c>
      <c r="O569" s="47" t="s">
        <v>1589</v>
      </c>
      <c r="P569" s="47" t="s">
        <v>7277</v>
      </c>
      <c r="Q569" s="62" t="s">
        <v>592</v>
      </c>
      <c r="R569" s="47" t="s">
        <v>7278</v>
      </c>
      <c r="U569" s="46" t="s">
        <v>491</v>
      </c>
      <c r="V569" s="46"/>
    </row>
    <row r="570" spans="1:22" ht="30" x14ac:dyDescent="0.25">
      <c r="A570" s="61">
        <v>42906</v>
      </c>
      <c r="B570" s="62" t="s">
        <v>5176</v>
      </c>
      <c r="D570" s="46" t="s">
        <v>732</v>
      </c>
      <c r="E570" s="46" t="s">
        <v>588</v>
      </c>
      <c r="H570" s="46" t="s">
        <v>886</v>
      </c>
      <c r="O570" s="47" t="s">
        <v>7265</v>
      </c>
      <c r="P570" s="47" t="s">
        <v>7266</v>
      </c>
      <c r="Q570" s="62" t="s">
        <v>592</v>
      </c>
      <c r="R570" s="47" t="s">
        <v>7267</v>
      </c>
      <c r="U570" s="46" t="s">
        <v>491</v>
      </c>
      <c r="V570" s="46"/>
    </row>
    <row r="571" spans="1:22" ht="90" x14ac:dyDescent="0.25">
      <c r="A571" s="61">
        <v>42906</v>
      </c>
      <c r="B571" s="62" t="s">
        <v>328</v>
      </c>
      <c r="C571" s="46" t="s">
        <v>603</v>
      </c>
      <c r="D571" s="46" t="s">
        <v>649</v>
      </c>
      <c r="E571" s="46" t="s">
        <v>588</v>
      </c>
      <c r="F571" s="46" t="s">
        <v>2517</v>
      </c>
      <c r="H571" s="46" t="s">
        <v>1391</v>
      </c>
      <c r="I571" s="46" t="s">
        <v>7268</v>
      </c>
      <c r="J571" s="49" t="s">
        <v>899</v>
      </c>
      <c r="L571" s="63">
        <v>10</v>
      </c>
      <c r="M571" s="64">
        <v>243000</v>
      </c>
      <c r="N571" s="64">
        <v>359280</v>
      </c>
      <c r="O571" s="47" t="s">
        <v>7269</v>
      </c>
      <c r="P571" s="47" t="s">
        <v>7270</v>
      </c>
      <c r="Q571" s="62" t="s">
        <v>1939</v>
      </c>
      <c r="R571" s="88" t="s">
        <v>7271</v>
      </c>
      <c r="U571" s="46" t="s">
        <v>491</v>
      </c>
      <c r="V571" s="46"/>
    </row>
    <row r="572" spans="1:22" ht="90" x14ac:dyDescent="0.25">
      <c r="A572" s="61">
        <v>42906</v>
      </c>
      <c r="B572" s="62" t="s">
        <v>328</v>
      </c>
      <c r="C572" s="46" t="s">
        <v>603</v>
      </c>
      <c r="D572" s="46" t="s">
        <v>649</v>
      </c>
      <c r="E572" s="46" t="s">
        <v>588</v>
      </c>
      <c r="F572" s="46" t="s">
        <v>7272</v>
      </c>
      <c r="H572" s="46" t="s">
        <v>7273</v>
      </c>
      <c r="I572" s="46" t="s">
        <v>3809</v>
      </c>
      <c r="J572" s="49" t="s">
        <v>602</v>
      </c>
      <c r="M572" s="64">
        <v>285000</v>
      </c>
      <c r="O572" s="47" t="s">
        <v>7274</v>
      </c>
      <c r="P572" s="47" t="s">
        <v>7535</v>
      </c>
      <c r="Q572" s="62" t="s">
        <v>1939</v>
      </c>
      <c r="R572" s="47" t="s">
        <v>7275</v>
      </c>
      <c r="S572" s="47" t="s">
        <v>7276</v>
      </c>
      <c r="U572" s="46" t="s">
        <v>491</v>
      </c>
      <c r="V572" s="46"/>
    </row>
    <row r="573" spans="1:22" ht="90" x14ac:dyDescent="0.25">
      <c r="A573" s="61">
        <v>42906</v>
      </c>
      <c r="B573" s="62" t="s">
        <v>569</v>
      </c>
      <c r="D573" s="46" t="s">
        <v>930</v>
      </c>
      <c r="E573" s="46" t="s">
        <v>821</v>
      </c>
      <c r="F573" s="46" t="s">
        <v>7280</v>
      </c>
      <c r="H573" s="46" t="s">
        <v>886</v>
      </c>
      <c r="O573" s="47" t="s">
        <v>7279</v>
      </c>
      <c r="P573" s="47" t="s">
        <v>7281</v>
      </c>
      <c r="Q573" s="62" t="s">
        <v>1939</v>
      </c>
      <c r="R573" s="47" t="s">
        <v>7282</v>
      </c>
      <c r="U573" s="46" t="s">
        <v>491</v>
      </c>
      <c r="V573" s="46"/>
    </row>
    <row r="574" spans="1:22" ht="60" x14ac:dyDescent="0.25">
      <c r="A574" s="61">
        <v>42906</v>
      </c>
      <c r="B574" s="62" t="s">
        <v>569</v>
      </c>
      <c r="D574" s="46" t="s">
        <v>625</v>
      </c>
      <c r="E574" s="46" t="s">
        <v>692</v>
      </c>
      <c r="F574" s="46" t="s">
        <v>7283</v>
      </c>
      <c r="H574" s="46" t="s">
        <v>886</v>
      </c>
      <c r="I574" s="46" t="s">
        <v>7284</v>
      </c>
      <c r="J574" s="49" t="s">
        <v>899</v>
      </c>
      <c r="M574" s="64">
        <v>450000</v>
      </c>
      <c r="N574" s="64">
        <v>450000</v>
      </c>
      <c r="O574" s="47" t="s">
        <v>7285</v>
      </c>
      <c r="P574" s="47" t="s">
        <v>7286</v>
      </c>
      <c r="Q574" s="62" t="s">
        <v>592</v>
      </c>
      <c r="R574" s="47" t="s">
        <v>7287</v>
      </c>
      <c r="U574" s="46" t="s">
        <v>491</v>
      </c>
      <c r="V574" s="46"/>
    </row>
    <row r="575" spans="1:22" ht="183.75" customHeight="1" x14ac:dyDescent="0.25">
      <c r="A575" s="61">
        <v>42906</v>
      </c>
      <c r="B575" s="62" t="s">
        <v>328</v>
      </c>
      <c r="C575" s="46" t="s">
        <v>603</v>
      </c>
      <c r="D575" s="46" t="s">
        <v>649</v>
      </c>
      <c r="E575" s="46" t="s">
        <v>588</v>
      </c>
      <c r="F575" s="46" t="s">
        <v>7291</v>
      </c>
      <c r="H575" s="46" t="s">
        <v>4261</v>
      </c>
      <c r="I575" s="46" t="s">
        <v>3672</v>
      </c>
      <c r="J575" s="49" t="s">
        <v>899</v>
      </c>
      <c r="L575" s="63">
        <v>5</v>
      </c>
      <c r="M575" s="64">
        <v>2100000</v>
      </c>
      <c r="N575" s="64">
        <v>4200000</v>
      </c>
      <c r="O575" s="47" t="s">
        <v>560</v>
      </c>
      <c r="P575" s="47" t="s">
        <v>7292</v>
      </c>
      <c r="Q575" s="62" t="s">
        <v>1939</v>
      </c>
      <c r="R575" s="88" t="s">
        <v>7293</v>
      </c>
      <c r="U575" s="46" t="s">
        <v>491</v>
      </c>
      <c r="V575" s="46"/>
    </row>
    <row r="576" spans="1:22" ht="45" x14ac:dyDescent="0.25">
      <c r="A576" s="61">
        <v>42906</v>
      </c>
      <c r="B576" s="62" t="s">
        <v>328</v>
      </c>
      <c r="C576" s="46" t="s">
        <v>603</v>
      </c>
      <c r="D576" s="46" t="s">
        <v>2397</v>
      </c>
      <c r="E576" s="46" t="s">
        <v>588</v>
      </c>
      <c r="F576" s="46" t="s">
        <v>7294</v>
      </c>
      <c r="H576" s="46" t="s">
        <v>886</v>
      </c>
      <c r="I576" s="46" t="s">
        <v>7295</v>
      </c>
      <c r="J576" s="49" t="s">
        <v>3369</v>
      </c>
      <c r="L576" s="63">
        <v>4</v>
      </c>
      <c r="M576" s="64">
        <v>750000</v>
      </c>
      <c r="O576" s="47" t="s">
        <v>6526</v>
      </c>
      <c r="P576" s="47" t="s">
        <v>7296</v>
      </c>
      <c r="Q576" s="62" t="s">
        <v>1939</v>
      </c>
      <c r="R576" s="47" t="s">
        <v>7297</v>
      </c>
      <c r="U576" s="46" t="s">
        <v>491</v>
      </c>
      <c r="V576" s="46"/>
    </row>
    <row r="577" spans="1:22" ht="90" x14ac:dyDescent="0.25">
      <c r="A577" s="61">
        <v>42906</v>
      </c>
      <c r="B577" s="62" t="s">
        <v>328</v>
      </c>
      <c r="C577" s="46" t="s">
        <v>603</v>
      </c>
      <c r="D577" s="46" t="s">
        <v>649</v>
      </c>
      <c r="E577" s="46" t="s">
        <v>588</v>
      </c>
      <c r="F577" s="46" t="s">
        <v>7300</v>
      </c>
      <c r="H577" s="46" t="s">
        <v>886</v>
      </c>
      <c r="I577" s="46" t="s">
        <v>7301</v>
      </c>
      <c r="J577" s="49" t="s">
        <v>603</v>
      </c>
      <c r="M577" s="64">
        <v>870000</v>
      </c>
      <c r="O577" s="47" t="s">
        <v>7302</v>
      </c>
      <c r="P577" s="47" t="s">
        <v>7303</v>
      </c>
      <c r="Q577" s="62" t="s">
        <v>1939</v>
      </c>
      <c r="R577" s="47" t="s">
        <v>7304</v>
      </c>
      <c r="U577" s="46" t="s">
        <v>491</v>
      </c>
      <c r="V577" s="46"/>
    </row>
    <row r="578" spans="1:22" ht="60" x14ac:dyDescent="0.25">
      <c r="A578" s="61">
        <v>42907</v>
      </c>
      <c r="B578" s="62" t="s">
        <v>5176</v>
      </c>
      <c r="D578" s="46" t="s">
        <v>595</v>
      </c>
      <c r="E578" s="46" t="s">
        <v>821</v>
      </c>
      <c r="F578" s="46" t="s">
        <v>7305</v>
      </c>
      <c r="H578" s="46" t="s">
        <v>607</v>
      </c>
      <c r="O578" s="47" t="s">
        <v>639</v>
      </c>
      <c r="P578" s="47" t="s">
        <v>7306</v>
      </c>
      <c r="Q578" s="62" t="s">
        <v>592</v>
      </c>
      <c r="R578" s="47" t="s">
        <v>7307</v>
      </c>
      <c r="U578" s="46" t="s">
        <v>491</v>
      </c>
      <c r="V578" s="46"/>
    </row>
    <row r="579" spans="1:22" ht="75" x14ac:dyDescent="0.25">
      <c r="A579" s="61">
        <v>42907</v>
      </c>
      <c r="B579" s="62" t="s">
        <v>643</v>
      </c>
      <c r="C579" s="46" t="s">
        <v>644</v>
      </c>
      <c r="D579" s="46" t="s">
        <v>645</v>
      </c>
      <c r="E579" s="46" t="s">
        <v>588</v>
      </c>
      <c r="F579" s="46" t="s">
        <v>7308</v>
      </c>
      <c r="H579" s="46" t="s">
        <v>1050</v>
      </c>
      <c r="I579" s="46" t="s">
        <v>4399</v>
      </c>
      <c r="J579" s="49" t="s">
        <v>644</v>
      </c>
      <c r="L579" s="63">
        <v>2</v>
      </c>
      <c r="M579" s="64">
        <v>2400000</v>
      </c>
      <c r="N579" s="64">
        <v>2500000</v>
      </c>
      <c r="O579" s="47" t="s">
        <v>639</v>
      </c>
      <c r="P579" s="47" t="s">
        <v>7309</v>
      </c>
      <c r="Q579" s="62" t="s">
        <v>1612</v>
      </c>
      <c r="R579" s="47" t="s">
        <v>7334</v>
      </c>
      <c r="U579" s="46" t="s">
        <v>491</v>
      </c>
      <c r="V579" s="46"/>
    </row>
    <row r="580" spans="1:22" ht="60" x14ac:dyDescent="0.25">
      <c r="A580" s="61">
        <v>42907</v>
      </c>
      <c r="B580" s="62" t="s">
        <v>328</v>
      </c>
      <c r="C580" s="46" t="s">
        <v>603</v>
      </c>
      <c r="D580" s="46" t="s">
        <v>2397</v>
      </c>
      <c r="E580" s="46" t="s">
        <v>588</v>
      </c>
      <c r="F580" s="46" t="s">
        <v>7311</v>
      </c>
      <c r="H580" s="46" t="s">
        <v>607</v>
      </c>
      <c r="I580" s="46" t="s">
        <v>7312</v>
      </c>
      <c r="J580" s="49" t="s">
        <v>3612</v>
      </c>
      <c r="M580" s="64">
        <v>386000</v>
      </c>
      <c r="N580" s="64">
        <v>694800</v>
      </c>
      <c r="O580" s="47" t="s">
        <v>3952</v>
      </c>
      <c r="P580" s="47" t="s">
        <v>7314</v>
      </c>
      <c r="Q580" s="62" t="s">
        <v>592</v>
      </c>
      <c r="R580" s="47" t="s">
        <v>7313</v>
      </c>
      <c r="U580" s="46" t="s">
        <v>491</v>
      </c>
      <c r="V580" s="46"/>
    </row>
    <row r="581" spans="1:22" ht="75" x14ac:dyDescent="0.25">
      <c r="A581" s="61">
        <v>42907</v>
      </c>
      <c r="B581" s="62" t="s">
        <v>328</v>
      </c>
      <c r="C581" s="46" t="s">
        <v>603</v>
      </c>
      <c r="D581" s="46" t="s">
        <v>1401</v>
      </c>
      <c r="E581" s="46" t="s">
        <v>588</v>
      </c>
      <c r="F581" s="46" t="s">
        <v>7316</v>
      </c>
      <c r="H581" s="46" t="s">
        <v>607</v>
      </c>
      <c r="I581" s="46" t="s">
        <v>5366</v>
      </c>
      <c r="J581" s="49" t="s">
        <v>899</v>
      </c>
      <c r="L581" s="63">
        <v>9</v>
      </c>
      <c r="M581" s="64">
        <v>1550000</v>
      </c>
      <c r="N581" s="64">
        <v>3000000</v>
      </c>
      <c r="O581" s="47" t="s">
        <v>7317</v>
      </c>
      <c r="P581" s="47" t="s">
        <v>7318</v>
      </c>
      <c r="Q581" s="62" t="s">
        <v>1939</v>
      </c>
      <c r="R581" s="47" t="s">
        <v>7319</v>
      </c>
      <c r="S581" s="47" t="s">
        <v>7320</v>
      </c>
      <c r="U581" s="46" t="s">
        <v>491</v>
      </c>
      <c r="V581" s="46"/>
    </row>
    <row r="582" spans="1:22" ht="210" x14ac:dyDescent="0.25">
      <c r="A582" s="61">
        <v>42907</v>
      </c>
      <c r="B582" s="62" t="s">
        <v>5360</v>
      </c>
      <c r="D582" s="46" t="s">
        <v>732</v>
      </c>
      <c r="E582" s="46" t="s">
        <v>588</v>
      </c>
      <c r="F582" s="46" t="s">
        <v>7321</v>
      </c>
      <c r="H582" s="46" t="s">
        <v>1050</v>
      </c>
      <c r="I582" s="46" t="s">
        <v>3929</v>
      </c>
      <c r="J582" s="49" t="s">
        <v>899</v>
      </c>
      <c r="L582" s="63">
        <v>2</v>
      </c>
      <c r="M582" s="64">
        <v>3800000</v>
      </c>
      <c r="N582" s="64">
        <v>3800000</v>
      </c>
      <c r="O582" s="47" t="s">
        <v>2121</v>
      </c>
      <c r="P582" s="47" t="s">
        <v>7322</v>
      </c>
      <c r="Q582" s="62" t="s">
        <v>1939</v>
      </c>
      <c r="R582" s="47" t="s">
        <v>7326</v>
      </c>
      <c r="U582" s="46" t="s">
        <v>491</v>
      </c>
      <c r="V582" s="46"/>
    </row>
    <row r="583" spans="1:22" ht="30" x14ac:dyDescent="0.25">
      <c r="A583" s="61">
        <v>42907</v>
      </c>
      <c r="B583" s="62" t="s">
        <v>569</v>
      </c>
      <c r="D583" s="46" t="s">
        <v>625</v>
      </c>
      <c r="E583" s="46" t="s">
        <v>821</v>
      </c>
      <c r="F583" s="46" t="s">
        <v>7323</v>
      </c>
      <c r="H583" s="46" t="s">
        <v>809</v>
      </c>
      <c r="I583" s="46" t="s">
        <v>2054</v>
      </c>
      <c r="J583" s="49" t="s">
        <v>899</v>
      </c>
      <c r="O583" s="47" t="s">
        <v>1589</v>
      </c>
      <c r="P583" s="47" t="s">
        <v>7324</v>
      </c>
      <c r="Q583" s="62" t="s">
        <v>592</v>
      </c>
      <c r="R583" s="47" t="s">
        <v>7325</v>
      </c>
      <c r="U583" s="46" t="s">
        <v>491</v>
      </c>
      <c r="V583" s="46"/>
    </row>
    <row r="584" spans="1:22" ht="60" x14ac:dyDescent="0.25">
      <c r="A584" s="61">
        <v>42908</v>
      </c>
      <c r="B584" s="62" t="s">
        <v>643</v>
      </c>
      <c r="C584" s="46" t="s">
        <v>644</v>
      </c>
      <c r="D584" s="46" t="s">
        <v>645</v>
      </c>
      <c r="E584" s="46" t="s">
        <v>588</v>
      </c>
      <c r="F584" s="46" t="s">
        <v>7327</v>
      </c>
      <c r="H584" s="46" t="s">
        <v>886</v>
      </c>
      <c r="I584" s="46" t="s">
        <v>4861</v>
      </c>
      <c r="J584" s="49" t="s">
        <v>644</v>
      </c>
      <c r="L584" s="63">
        <v>5</v>
      </c>
      <c r="M584" s="64">
        <v>3200000</v>
      </c>
      <c r="N584" s="64">
        <v>3200000</v>
      </c>
      <c r="O584" s="47" t="s">
        <v>560</v>
      </c>
      <c r="P584" s="47" t="s">
        <v>7328</v>
      </c>
      <c r="Q584" s="62" t="s">
        <v>1939</v>
      </c>
      <c r="R584" s="47" t="s">
        <v>7332</v>
      </c>
      <c r="U584" s="46" t="s">
        <v>491</v>
      </c>
      <c r="V584" s="46"/>
    </row>
    <row r="585" spans="1:22" ht="75" x14ac:dyDescent="0.25">
      <c r="A585" s="61">
        <v>42908</v>
      </c>
      <c r="B585" s="62" t="s">
        <v>328</v>
      </c>
      <c r="C585" s="46" t="s">
        <v>603</v>
      </c>
      <c r="D585" s="46" t="s">
        <v>2397</v>
      </c>
      <c r="E585" s="46" t="s">
        <v>588</v>
      </c>
      <c r="F585" s="46" t="s">
        <v>7329</v>
      </c>
      <c r="H585" s="46" t="s">
        <v>809</v>
      </c>
      <c r="I585" s="46" t="s">
        <v>5925</v>
      </c>
      <c r="J585" s="49" t="s">
        <v>959</v>
      </c>
      <c r="L585" s="63">
        <v>4</v>
      </c>
      <c r="M585" s="64">
        <v>3300000</v>
      </c>
      <c r="N585" s="64">
        <v>3300000</v>
      </c>
      <c r="O585" s="47" t="s">
        <v>560</v>
      </c>
      <c r="P585" s="47" t="s">
        <v>7331</v>
      </c>
      <c r="Q585" s="62" t="s">
        <v>1939</v>
      </c>
      <c r="R585" s="47" t="s">
        <v>7330</v>
      </c>
      <c r="U585" s="46" t="s">
        <v>491</v>
      </c>
      <c r="V585" s="46"/>
    </row>
    <row r="586" spans="1:22" ht="60" x14ac:dyDescent="0.25">
      <c r="A586" s="61">
        <v>42908</v>
      </c>
      <c r="B586" s="62" t="s">
        <v>328</v>
      </c>
      <c r="C586" s="46" t="s">
        <v>603</v>
      </c>
      <c r="D586" s="46" t="s">
        <v>649</v>
      </c>
      <c r="E586" s="46" t="s">
        <v>588</v>
      </c>
      <c r="F586" s="46" t="s">
        <v>7335</v>
      </c>
      <c r="H586" s="46" t="s">
        <v>7336</v>
      </c>
      <c r="I586" s="46" t="s">
        <v>7337</v>
      </c>
      <c r="J586" s="49" t="s">
        <v>644</v>
      </c>
      <c r="L586" s="63">
        <v>10</v>
      </c>
      <c r="M586" s="64">
        <v>60000</v>
      </c>
      <c r="N586" s="64">
        <v>66000</v>
      </c>
      <c r="O586" s="47" t="s">
        <v>764</v>
      </c>
      <c r="P586" s="47" t="s">
        <v>7338</v>
      </c>
      <c r="Q586" s="62" t="s">
        <v>592</v>
      </c>
      <c r="U586" s="46" t="s">
        <v>491</v>
      </c>
      <c r="V586" s="46"/>
    </row>
    <row r="587" spans="1:22" ht="30" x14ac:dyDescent="0.25">
      <c r="A587" s="61">
        <v>42908</v>
      </c>
      <c r="B587" s="62" t="s">
        <v>5992</v>
      </c>
      <c r="C587" s="46" t="s">
        <v>603</v>
      </c>
      <c r="D587" s="46" t="s">
        <v>5270</v>
      </c>
      <c r="E587" s="46" t="s">
        <v>588</v>
      </c>
      <c r="H587" s="46" t="s">
        <v>607</v>
      </c>
      <c r="J587" s="49" t="s">
        <v>608</v>
      </c>
      <c r="O587" s="47" t="s">
        <v>7339</v>
      </c>
      <c r="P587" s="47" t="s">
        <v>7340</v>
      </c>
      <c r="Q587" s="62" t="s">
        <v>29</v>
      </c>
      <c r="R587" s="47" t="s">
        <v>7341</v>
      </c>
      <c r="U587" s="46" t="s">
        <v>491</v>
      </c>
      <c r="V587" s="46"/>
    </row>
    <row r="588" spans="1:22" ht="60" x14ac:dyDescent="0.25">
      <c r="A588" s="61">
        <v>42908</v>
      </c>
      <c r="B588" s="62" t="s">
        <v>5360</v>
      </c>
      <c r="D588" s="46" t="s">
        <v>732</v>
      </c>
      <c r="E588" s="46" t="s">
        <v>588</v>
      </c>
      <c r="F588" s="46" t="s">
        <v>7345</v>
      </c>
      <c r="H588" s="46" t="s">
        <v>607</v>
      </c>
      <c r="I588" s="46" t="s">
        <v>3649</v>
      </c>
      <c r="J588" s="49" t="s">
        <v>899</v>
      </c>
      <c r="L588" s="63">
        <v>4</v>
      </c>
      <c r="M588" s="64">
        <v>1856000</v>
      </c>
      <c r="N588" s="64">
        <v>3433600</v>
      </c>
      <c r="O588" s="47" t="s">
        <v>560</v>
      </c>
      <c r="P588" s="47" t="s">
        <v>7342</v>
      </c>
      <c r="Q588" s="62" t="s">
        <v>1939</v>
      </c>
      <c r="R588" s="47" t="s">
        <v>7343</v>
      </c>
      <c r="U588" s="46" t="s">
        <v>491</v>
      </c>
      <c r="V588" s="46"/>
    </row>
    <row r="589" spans="1:22" ht="60" x14ac:dyDescent="0.25">
      <c r="A589" s="61">
        <v>42909</v>
      </c>
      <c r="B589" s="62" t="s">
        <v>569</v>
      </c>
      <c r="D589" s="46" t="s">
        <v>624</v>
      </c>
      <c r="E589" s="46" t="s">
        <v>588</v>
      </c>
      <c r="F589" s="46" t="s">
        <v>7344</v>
      </c>
      <c r="H589" s="46" t="s">
        <v>905</v>
      </c>
      <c r="I589" s="46" t="s">
        <v>7346</v>
      </c>
      <c r="J589" s="49" t="s">
        <v>899</v>
      </c>
      <c r="L589" s="63">
        <v>10</v>
      </c>
      <c r="M589" s="64">
        <v>700000</v>
      </c>
      <c r="N589" s="64">
        <v>1050000</v>
      </c>
      <c r="O589" s="47" t="s">
        <v>2680</v>
      </c>
      <c r="P589" s="47" t="s">
        <v>7347</v>
      </c>
      <c r="Q589" s="62" t="s">
        <v>29</v>
      </c>
      <c r="R589" s="47" t="s">
        <v>7359</v>
      </c>
      <c r="U589" s="46" t="s">
        <v>491</v>
      </c>
      <c r="V589" s="46"/>
    </row>
    <row r="590" spans="1:22" ht="90" x14ac:dyDescent="0.25">
      <c r="A590" s="61">
        <v>42909</v>
      </c>
      <c r="B590" s="62" t="s">
        <v>569</v>
      </c>
      <c r="D590" s="46" t="s">
        <v>624</v>
      </c>
      <c r="E590" s="46" t="s">
        <v>588</v>
      </c>
      <c r="F590" s="46" t="s">
        <v>7348</v>
      </c>
      <c r="H590" s="46" t="s">
        <v>607</v>
      </c>
      <c r="I590" s="46" t="s">
        <v>7349</v>
      </c>
      <c r="J590" s="49" t="s">
        <v>899</v>
      </c>
      <c r="M590" s="64">
        <v>1093982</v>
      </c>
      <c r="N590" s="64">
        <v>1900000</v>
      </c>
      <c r="O590" s="47" t="s">
        <v>1844</v>
      </c>
      <c r="P590" s="47" t="s">
        <v>7350</v>
      </c>
      <c r="Q590" s="62" t="s">
        <v>1939</v>
      </c>
      <c r="R590" s="47" t="s">
        <v>7351</v>
      </c>
      <c r="U590" s="46" t="s">
        <v>491</v>
      </c>
      <c r="V590" s="46"/>
    </row>
    <row r="591" spans="1:22" ht="165" x14ac:dyDescent="0.25">
      <c r="A591" s="61">
        <v>42909</v>
      </c>
      <c r="B591" s="62" t="s">
        <v>5176</v>
      </c>
      <c r="D591" s="46" t="s">
        <v>6995</v>
      </c>
      <c r="E591" s="46" t="s">
        <v>588</v>
      </c>
      <c r="F591" s="46" t="s">
        <v>7352</v>
      </c>
      <c r="H591" s="46" t="s">
        <v>886</v>
      </c>
      <c r="I591" s="46" t="s">
        <v>7353</v>
      </c>
      <c r="J591" s="49" t="s">
        <v>604</v>
      </c>
      <c r="M591" s="64">
        <v>480200</v>
      </c>
      <c r="O591" s="47" t="s">
        <v>5926</v>
      </c>
      <c r="P591" s="47" t="s">
        <v>7360</v>
      </c>
      <c r="Q591" s="62" t="s">
        <v>1612</v>
      </c>
      <c r="R591" s="47" t="s">
        <v>7536</v>
      </c>
      <c r="U591" s="46" t="s">
        <v>491</v>
      </c>
      <c r="V591" s="46"/>
    </row>
    <row r="592" spans="1:22" ht="75" x14ac:dyDescent="0.25">
      <c r="A592" s="61">
        <v>42909</v>
      </c>
      <c r="B592" s="62" t="s">
        <v>5176</v>
      </c>
      <c r="D592" s="46" t="s">
        <v>595</v>
      </c>
      <c r="E592" s="46" t="s">
        <v>821</v>
      </c>
      <c r="F592" s="46" t="s">
        <v>7354</v>
      </c>
      <c r="H592" s="46" t="s">
        <v>607</v>
      </c>
      <c r="O592" s="47" t="s">
        <v>3952</v>
      </c>
      <c r="P592" s="47" t="s">
        <v>7355</v>
      </c>
      <c r="Q592" s="62" t="s">
        <v>1939</v>
      </c>
      <c r="R592" s="47" t="s">
        <v>7356</v>
      </c>
      <c r="U592" s="46" t="s">
        <v>491</v>
      </c>
      <c r="V592" s="46"/>
    </row>
    <row r="593" spans="1:22" ht="105" x14ac:dyDescent="0.25">
      <c r="A593" s="61">
        <v>42909</v>
      </c>
      <c r="B593" s="62" t="s">
        <v>5176</v>
      </c>
      <c r="D593" s="46" t="s">
        <v>595</v>
      </c>
      <c r="E593" s="46" t="s">
        <v>821</v>
      </c>
      <c r="H593" s="46" t="s">
        <v>607</v>
      </c>
      <c r="J593" s="49" t="s">
        <v>959</v>
      </c>
      <c r="M593" s="64">
        <v>290000</v>
      </c>
      <c r="O593" s="47" t="s">
        <v>1171</v>
      </c>
      <c r="P593" s="47" t="s">
        <v>7358</v>
      </c>
      <c r="Q593" s="62" t="s">
        <v>620</v>
      </c>
      <c r="R593" s="47" t="s">
        <v>7357</v>
      </c>
      <c r="U593" s="46" t="s">
        <v>491</v>
      </c>
      <c r="V593" s="46"/>
    </row>
    <row r="594" spans="1:22" ht="45" x14ac:dyDescent="0.25">
      <c r="A594" s="61">
        <v>42909</v>
      </c>
      <c r="B594" s="62" t="s">
        <v>569</v>
      </c>
      <c r="D594" s="46" t="s">
        <v>625</v>
      </c>
      <c r="E594" s="46" t="s">
        <v>821</v>
      </c>
      <c r="F594" s="46" t="s">
        <v>7361</v>
      </c>
      <c r="H594" s="46" t="s">
        <v>607</v>
      </c>
      <c r="I594" s="46" t="s">
        <v>3918</v>
      </c>
      <c r="J594" s="49" t="s">
        <v>899</v>
      </c>
      <c r="M594" s="64">
        <v>1140000</v>
      </c>
      <c r="O594" s="47" t="s">
        <v>35</v>
      </c>
      <c r="P594" s="47" t="s">
        <v>7362</v>
      </c>
      <c r="Q594" s="62" t="s">
        <v>1939</v>
      </c>
      <c r="R594" s="47" t="s">
        <v>7363</v>
      </c>
      <c r="U594" s="46" t="s">
        <v>491</v>
      </c>
      <c r="V594" s="46"/>
    </row>
    <row r="595" spans="1:22" ht="75" x14ac:dyDescent="0.25">
      <c r="A595" s="61">
        <v>42909</v>
      </c>
      <c r="B595" s="62" t="s">
        <v>569</v>
      </c>
      <c r="D595" s="46" t="s">
        <v>625</v>
      </c>
      <c r="E595" s="46" t="s">
        <v>1707</v>
      </c>
      <c r="F595" s="46" t="s">
        <v>7390</v>
      </c>
      <c r="H595" s="46" t="s">
        <v>607</v>
      </c>
      <c r="I595" s="46" t="s">
        <v>3649</v>
      </c>
      <c r="J595" s="49" t="s">
        <v>899</v>
      </c>
      <c r="L595" s="63">
        <v>4</v>
      </c>
      <c r="M595" s="64">
        <v>2815000</v>
      </c>
      <c r="N595" s="64">
        <v>3478000</v>
      </c>
      <c r="O595" s="47" t="s">
        <v>639</v>
      </c>
      <c r="P595" s="47" t="s">
        <v>7364</v>
      </c>
      <c r="Q595" s="62" t="s">
        <v>1939</v>
      </c>
      <c r="R595" s="47" t="s">
        <v>7365</v>
      </c>
      <c r="U595" s="46" t="s">
        <v>491</v>
      </c>
      <c r="V595" s="46"/>
    </row>
    <row r="596" spans="1:22" ht="60" x14ac:dyDescent="0.25">
      <c r="A596" s="61">
        <v>42912</v>
      </c>
      <c r="B596" s="62" t="s">
        <v>328</v>
      </c>
      <c r="C596" s="46" t="s">
        <v>603</v>
      </c>
      <c r="D596" s="46" t="s">
        <v>1401</v>
      </c>
      <c r="E596" s="46" t="s">
        <v>588</v>
      </c>
      <c r="F596" s="46" t="s">
        <v>7366</v>
      </c>
      <c r="H596" s="46" t="s">
        <v>607</v>
      </c>
      <c r="I596" s="46" t="s">
        <v>7367</v>
      </c>
      <c r="J596" s="49" t="s">
        <v>3373</v>
      </c>
      <c r="M596" s="64">
        <v>150000</v>
      </c>
      <c r="N596" s="64">
        <v>255000</v>
      </c>
      <c r="O596" s="47" t="s">
        <v>7368</v>
      </c>
      <c r="P596" s="47" t="s">
        <v>7369</v>
      </c>
      <c r="Q596" s="62" t="s">
        <v>1612</v>
      </c>
      <c r="R596" s="47" t="s">
        <v>7400</v>
      </c>
      <c r="U596" s="46" t="s">
        <v>491</v>
      </c>
      <c r="V596" s="46"/>
    </row>
    <row r="597" spans="1:22" ht="45" x14ac:dyDescent="0.25">
      <c r="A597" s="61">
        <v>42912</v>
      </c>
      <c r="B597" s="62" t="s">
        <v>643</v>
      </c>
      <c r="C597" s="46" t="s">
        <v>644</v>
      </c>
      <c r="D597" s="46" t="s">
        <v>645</v>
      </c>
      <c r="E597" s="46" t="s">
        <v>588</v>
      </c>
      <c r="F597" s="46" t="s">
        <v>7370</v>
      </c>
      <c r="H597" s="46" t="s">
        <v>7371</v>
      </c>
      <c r="I597" s="46" t="s">
        <v>3929</v>
      </c>
      <c r="J597" s="49" t="s">
        <v>899</v>
      </c>
      <c r="M597" s="64">
        <v>3780000</v>
      </c>
      <c r="N597" s="64">
        <v>3780000</v>
      </c>
      <c r="O597" s="47" t="s">
        <v>6745</v>
      </c>
      <c r="P597" s="47" t="s">
        <v>7372</v>
      </c>
      <c r="Q597" s="62" t="s">
        <v>29</v>
      </c>
      <c r="R597" s="47" t="s">
        <v>7373</v>
      </c>
      <c r="U597" s="46" t="s">
        <v>491</v>
      </c>
      <c r="V597" s="46"/>
    </row>
    <row r="598" spans="1:22" ht="60" x14ac:dyDescent="0.25">
      <c r="A598" s="61">
        <v>42912</v>
      </c>
      <c r="B598" s="62" t="s">
        <v>643</v>
      </c>
      <c r="C598" s="46" t="s">
        <v>644</v>
      </c>
      <c r="D598" s="46" t="s">
        <v>645</v>
      </c>
      <c r="E598" s="46" t="s">
        <v>588</v>
      </c>
      <c r="F598" s="46" t="s">
        <v>7374</v>
      </c>
      <c r="H598" s="46" t="s">
        <v>886</v>
      </c>
      <c r="I598" s="46" t="s">
        <v>5230</v>
      </c>
      <c r="J598" s="49" t="s">
        <v>899</v>
      </c>
      <c r="M598" s="64">
        <v>1765517</v>
      </c>
      <c r="N598" s="64">
        <v>2326551</v>
      </c>
      <c r="O598" s="47" t="s">
        <v>7375</v>
      </c>
      <c r="P598" s="47" t="s">
        <v>7376</v>
      </c>
      <c r="Q598" s="62" t="s">
        <v>1939</v>
      </c>
      <c r="R598" s="47" t="s">
        <v>7383</v>
      </c>
      <c r="U598" s="46" t="s">
        <v>491</v>
      </c>
      <c r="V598" s="46"/>
    </row>
    <row r="599" spans="1:22" ht="105" x14ac:dyDescent="0.25">
      <c r="A599" s="61">
        <v>42912</v>
      </c>
      <c r="B599" s="62" t="s">
        <v>569</v>
      </c>
      <c r="D599" s="46" t="s">
        <v>930</v>
      </c>
      <c r="E599" s="46" t="s">
        <v>821</v>
      </c>
      <c r="F599" s="46" t="s">
        <v>7377</v>
      </c>
      <c r="H599" s="46" t="s">
        <v>886</v>
      </c>
      <c r="J599" s="49" t="s">
        <v>899</v>
      </c>
      <c r="O599" s="47" t="s">
        <v>7379</v>
      </c>
      <c r="P599" s="47" t="s">
        <v>7537</v>
      </c>
      <c r="Q599" s="62" t="s">
        <v>592</v>
      </c>
      <c r="U599" s="46" t="s">
        <v>491</v>
      </c>
      <c r="V599" s="46"/>
    </row>
    <row r="600" spans="1:22" ht="150" x14ac:dyDescent="0.25">
      <c r="A600" s="61">
        <v>42912</v>
      </c>
      <c r="B600" s="62" t="s">
        <v>569</v>
      </c>
      <c r="D600" s="46" t="s">
        <v>930</v>
      </c>
      <c r="E600" s="46" t="s">
        <v>821</v>
      </c>
      <c r="F600" s="46" t="s">
        <v>7378</v>
      </c>
      <c r="H600" s="46" t="s">
        <v>607</v>
      </c>
      <c r="J600" s="49" t="s">
        <v>899</v>
      </c>
      <c r="M600" s="64">
        <v>500000</v>
      </c>
      <c r="O600" s="47" t="s">
        <v>7380</v>
      </c>
      <c r="P600" s="47" t="s">
        <v>7381</v>
      </c>
      <c r="Q600" s="62" t="s">
        <v>592</v>
      </c>
      <c r="U600" s="46" t="s">
        <v>491</v>
      </c>
      <c r="V600" s="46"/>
    </row>
    <row r="601" spans="1:22" ht="60" x14ac:dyDescent="0.25">
      <c r="A601" s="61">
        <v>42912</v>
      </c>
      <c r="B601" s="62" t="s">
        <v>328</v>
      </c>
      <c r="C601" s="46" t="s">
        <v>603</v>
      </c>
      <c r="D601" s="46" t="s">
        <v>649</v>
      </c>
      <c r="E601" s="46" t="s">
        <v>588</v>
      </c>
      <c r="F601" s="46" t="s">
        <v>7384</v>
      </c>
      <c r="H601" s="46" t="s">
        <v>5991</v>
      </c>
      <c r="I601" s="46" t="s">
        <v>7385</v>
      </c>
      <c r="J601" s="49" t="s">
        <v>3533</v>
      </c>
      <c r="L601" s="63">
        <v>10</v>
      </c>
      <c r="M601" s="64">
        <v>1715000</v>
      </c>
      <c r="N601" s="64">
        <v>2429500</v>
      </c>
      <c r="O601" s="47" t="s">
        <v>7386</v>
      </c>
      <c r="P601" s="47" t="s">
        <v>7387</v>
      </c>
      <c r="Q601" s="62" t="s">
        <v>1939</v>
      </c>
      <c r="R601" s="47" t="s">
        <v>7395</v>
      </c>
      <c r="S601" s="47" t="s">
        <v>7396</v>
      </c>
      <c r="U601" s="46" t="s">
        <v>491</v>
      </c>
      <c r="V601" s="46"/>
    </row>
    <row r="602" spans="1:22" ht="45" x14ac:dyDescent="0.25">
      <c r="A602" s="61">
        <v>42912</v>
      </c>
      <c r="B602" s="62" t="s">
        <v>569</v>
      </c>
      <c r="D602" s="46" t="s">
        <v>625</v>
      </c>
      <c r="E602" s="46" t="s">
        <v>588</v>
      </c>
      <c r="F602" s="46" t="s">
        <v>4010</v>
      </c>
      <c r="H602" s="46" t="s">
        <v>809</v>
      </c>
      <c r="I602" s="46" t="s">
        <v>3918</v>
      </c>
      <c r="J602" s="49" t="s">
        <v>899</v>
      </c>
      <c r="M602" s="64">
        <v>3000000</v>
      </c>
      <c r="N602" s="64">
        <v>3300000</v>
      </c>
      <c r="O602" s="47" t="s">
        <v>7388</v>
      </c>
      <c r="P602" s="47" t="s">
        <v>7389</v>
      </c>
      <c r="Q602" s="62" t="s">
        <v>592</v>
      </c>
      <c r="U602" s="46" t="s">
        <v>491</v>
      </c>
      <c r="V602" s="46"/>
    </row>
    <row r="603" spans="1:22" ht="135" x14ac:dyDescent="0.25">
      <c r="A603" s="61">
        <v>42913</v>
      </c>
      <c r="B603" s="62" t="s">
        <v>328</v>
      </c>
      <c r="C603" s="46" t="s">
        <v>603</v>
      </c>
      <c r="D603" s="46" t="s">
        <v>649</v>
      </c>
      <c r="E603" s="46" t="s">
        <v>588</v>
      </c>
      <c r="F603" s="46" t="s">
        <v>7391</v>
      </c>
      <c r="H603" s="46" t="s">
        <v>607</v>
      </c>
      <c r="I603" s="46" t="s">
        <v>7392</v>
      </c>
      <c r="J603" s="49" t="s">
        <v>3751</v>
      </c>
      <c r="M603" s="64">
        <v>1648072</v>
      </c>
      <c r="N603" s="64">
        <v>2803082</v>
      </c>
      <c r="O603" s="47" t="s">
        <v>3107</v>
      </c>
      <c r="P603" s="47" t="s">
        <v>7393</v>
      </c>
      <c r="Q603" s="62" t="s">
        <v>29</v>
      </c>
      <c r="R603" s="47" t="s">
        <v>7394</v>
      </c>
      <c r="U603" s="46" t="s">
        <v>491</v>
      </c>
      <c r="V603" s="46"/>
    </row>
    <row r="604" spans="1:22" ht="60" x14ac:dyDescent="0.25">
      <c r="A604" s="61">
        <v>42913</v>
      </c>
      <c r="B604" s="62" t="s">
        <v>569</v>
      </c>
      <c r="C604" s="46" t="s">
        <v>833</v>
      </c>
      <c r="D604" s="46" t="s">
        <v>625</v>
      </c>
      <c r="E604" s="46" t="s">
        <v>588</v>
      </c>
      <c r="F604" s="46" t="s">
        <v>7397</v>
      </c>
      <c r="H604" s="46" t="s">
        <v>905</v>
      </c>
      <c r="I604" s="46" t="s">
        <v>3388</v>
      </c>
      <c r="J604" s="49" t="s">
        <v>899</v>
      </c>
      <c r="L604" s="63">
        <v>1</v>
      </c>
      <c r="M604" s="64">
        <v>2900000</v>
      </c>
      <c r="N604" s="64">
        <v>3505000</v>
      </c>
      <c r="O604" s="47" t="s">
        <v>560</v>
      </c>
      <c r="P604" s="47" t="s">
        <v>7398</v>
      </c>
      <c r="Q604" s="62" t="s">
        <v>1939</v>
      </c>
      <c r="R604" s="47" t="s">
        <v>7399</v>
      </c>
      <c r="U604" s="46" t="s">
        <v>491</v>
      </c>
      <c r="V604" s="46"/>
    </row>
    <row r="605" spans="1:22" ht="30" x14ac:dyDescent="0.25">
      <c r="A605" s="61">
        <v>42913</v>
      </c>
      <c r="B605" s="62" t="s">
        <v>110</v>
      </c>
      <c r="C605" s="46" t="s">
        <v>761</v>
      </c>
      <c r="D605" s="46" t="s">
        <v>715</v>
      </c>
      <c r="E605" s="46" t="s">
        <v>588</v>
      </c>
      <c r="F605" s="46" t="s">
        <v>7401</v>
      </c>
      <c r="H605" s="46" t="s">
        <v>905</v>
      </c>
      <c r="I605" s="46" t="s">
        <v>7402</v>
      </c>
      <c r="J605" s="49" t="s">
        <v>761</v>
      </c>
      <c r="L605" s="63">
        <v>10</v>
      </c>
      <c r="M605" s="64">
        <v>155000</v>
      </c>
      <c r="N605" s="64">
        <v>186000</v>
      </c>
      <c r="O605" s="47" t="s">
        <v>764</v>
      </c>
      <c r="P605" s="47" t="s">
        <v>7403</v>
      </c>
      <c r="Q605" s="62" t="s">
        <v>620</v>
      </c>
      <c r="R605" s="47" t="s">
        <v>7404</v>
      </c>
      <c r="U605" s="46" t="s">
        <v>491</v>
      </c>
      <c r="V605" s="46"/>
    </row>
    <row r="606" spans="1:22" ht="30" x14ac:dyDescent="0.25">
      <c r="A606" s="61">
        <v>42913</v>
      </c>
      <c r="B606" s="62" t="s">
        <v>110</v>
      </c>
      <c r="C606" s="46" t="s">
        <v>761</v>
      </c>
      <c r="D606" s="46" t="s">
        <v>715</v>
      </c>
      <c r="E606" s="46" t="s">
        <v>588</v>
      </c>
      <c r="F606" s="46" t="s">
        <v>7405</v>
      </c>
      <c r="H606" s="46" t="s">
        <v>1615</v>
      </c>
      <c r="I606" s="46" t="s">
        <v>7406</v>
      </c>
      <c r="J606" s="49" t="s">
        <v>761</v>
      </c>
      <c r="L606" s="63">
        <v>10</v>
      </c>
      <c r="M606" s="64">
        <v>270000</v>
      </c>
      <c r="N606" s="64">
        <v>486000</v>
      </c>
      <c r="O606" s="47" t="s">
        <v>764</v>
      </c>
      <c r="P606" s="47" t="s">
        <v>7407</v>
      </c>
      <c r="Q606" s="62" t="s">
        <v>620</v>
      </c>
      <c r="R606" s="47" t="s">
        <v>7404</v>
      </c>
      <c r="U606" s="46" t="s">
        <v>491</v>
      </c>
      <c r="V606" s="46"/>
    </row>
    <row r="607" spans="1:22" ht="75" x14ac:dyDescent="0.25">
      <c r="A607" s="61">
        <v>42914</v>
      </c>
      <c r="B607" s="62" t="s">
        <v>328</v>
      </c>
      <c r="C607" s="46" t="s">
        <v>603</v>
      </c>
      <c r="D607" s="46" t="s">
        <v>672</v>
      </c>
      <c r="E607" s="46" t="s">
        <v>588</v>
      </c>
      <c r="F607" s="46" t="s">
        <v>7195</v>
      </c>
      <c r="H607" s="46" t="s">
        <v>5991</v>
      </c>
      <c r="I607" s="46" t="s">
        <v>7196</v>
      </c>
      <c r="J607" s="49" t="s">
        <v>899</v>
      </c>
      <c r="L607" s="63">
        <v>1</v>
      </c>
      <c r="M607" s="64">
        <v>1900000</v>
      </c>
      <c r="N607" s="64">
        <v>2390000</v>
      </c>
      <c r="O607" s="47" t="s">
        <v>560</v>
      </c>
      <c r="P607" s="47" t="s">
        <v>7408</v>
      </c>
      <c r="Q607" s="62" t="s">
        <v>1612</v>
      </c>
      <c r="R607" s="47" t="s">
        <v>7468</v>
      </c>
      <c r="U607" s="46" t="s">
        <v>491</v>
      </c>
      <c r="V607" s="46"/>
    </row>
    <row r="608" spans="1:22" ht="45" x14ac:dyDescent="0.25">
      <c r="A608" s="61">
        <v>42914</v>
      </c>
      <c r="B608" s="62" t="s">
        <v>5176</v>
      </c>
      <c r="D608" s="46" t="s">
        <v>595</v>
      </c>
      <c r="E608" s="46" t="s">
        <v>588</v>
      </c>
      <c r="F608" s="46" t="s">
        <v>7409</v>
      </c>
      <c r="H608" s="46" t="s">
        <v>886</v>
      </c>
      <c r="I608" s="46" t="s">
        <v>7410</v>
      </c>
      <c r="J608" s="49" t="s">
        <v>3733</v>
      </c>
      <c r="M608" s="64">
        <v>1500000</v>
      </c>
      <c r="O608" s="47" t="s">
        <v>5926</v>
      </c>
      <c r="P608" s="47" t="s">
        <v>7411</v>
      </c>
      <c r="Q608" s="62" t="s">
        <v>1612</v>
      </c>
      <c r="R608" s="47" t="s">
        <v>7412</v>
      </c>
      <c r="U608" s="46" t="s">
        <v>491</v>
      </c>
      <c r="V608" s="46"/>
    </row>
    <row r="609" spans="1:22" ht="30" x14ac:dyDescent="0.25">
      <c r="A609" s="61">
        <v>42914</v>
      </c>
      <c r="B609" s="62" t="s">
        <v>5360</v>
      </c>
      <c r="D609" s="46" t="s">
        <v>732</v>
      </c>
      <c r="E609" s="46" t="s">
        <v>588</v>
      </c>
      <c r="F609" s="46" t="s">
        <v>7413</v>
      </c>
      <c r="H609" s="46" t="s">
        <v>1391</v>
      </c>
      <c r="I609" s="46" t="s">
        <v>7414</v>
      </c>
      <c r="J609" s="49" t="s">
        <v>899</v>
      </c>
      <c r="L609" s="63">
        <v>4</v>
      </c>
      <c r="M609" s="64">
        <v>2800000</v>
      </c>
      <c r="N609" s="64">
        <v>3410000</v>
      </c>
      <c r="O609" s="47" t="s">
        <v>560</v>
      </c>
      <c r="P609" s="47" t="s">
        <v>7415</v>
      </c>
      <c r="Q609" s="62" t="s">
        <v>592</v>
      </c>
      <c r="U609" s="46" t="s">
        <v>491</v>
      </c>
      <c r="V609" s="46"/>
    </row>
    <row r="610" spans="1:22" ht="45" x14ac:dyDescent="0.25">
      <c r="A610" s="61">
        <v>42914</v>
      </c>
      <c r="B610" s="62" t="s">
        <v>328</v>
      </c>
      <c r="C610" s="46" t="s">
        <v>603</v>
      </c>
      <c r="D610" s="46" t="s">
        <v>2397</v>
      </c>
      <c r="E610" s="46" t="s">
        <v>588</v>
      </c>
      <c r="F610" s="46" t="s">
        <v>7416</v>
      </c>
      <c r="H610" s="46" t="s">
        <v>7247</v>
      </c>
      <c r="I610" s="46" t="s">
        <v>6607</v>
      </c>
      <c r="J610" s="49" t="s">
        <v>899</v>
      </c>
      <c r="L610" s="63">
        <v>2</v>
      </c>
      <c r="M610" s="64">
        <v>3500000</v>
      </c>
      <c r="N610" s="64">
        <v>3700000</v>
      </c>
      <c r="O610" s="143" t="s">
        <v>560</v>
      </c>
      <c r="P610" s="47" t="s">
        <v>7417</v>
      </c>
      <c r="Q610" s="62" t="s">
        <v>1939</v>
      </c>
      <c r="R610" s="47" t="s">
        <v>7418</v>
      </c>
      <c r="U610" s="46" t="s">
        <v>491</v>
      </c>
      <c r="V610" s="46"/>
    </row>
    <row r="611" spans="1:22" ht="135" x14ac:dyDescent="0.25">
      <c r="A611" s="61">
        <v>42914</v>
      </c>
      <c r="B611" s="62" t="s">
        <v>5176</v>
      </c>
      <c r="D611" s="46" t="s">
        <v>595</v>
      </c>
      <c r="E611" s="46" t="s">
        <v>588</v>
      </c>
      <c r="F611" s="46" t="s">
        <v>7419</v>
      </c>
      <c r="H611" s="46" t="s">
        <v>905</v>
      </c>
      <c r="I611" s="46" t="s">
        <v>7420</v>
      </c>
      <c r="J611" s="49" t="s">
        <v>959</v>
      </c>
      <c r="M611" s="64">
        <v>344304</v>
      </c>
      <c r="N611" s="64">
        <v>378734</v>
      </c>
      <c r="O611" s="47" t="s">
        <v>7421</v>
      </c>
      <c r="P611" s="47" t="s">
        <v>7422</v>
      </c>
      <c r="Q611" s="62" t="s">
        <v>29</v>
      </c>
      <c r="R611" s="47" t="s">
        <v>7426</v>
      </c>
      <c r="U611" s="46" t="s">
        <v>491</v>
      </c>
      <c r="V611" s="46"/>
    </row>
    <row r="612" spans="1:22" ht="75" x14ac:dyDescent="0.25">
      <c r="A612" s="61">
        <v>42914</v>
      </c>
      <c r="B612" s="62" t="s">
        <v>569</v>
      </c>
      <c r="D612" s="46" t="s">
        <v>624</v>
      </c>
      <c r="E612" s="46" t="s">
        <v>588</v>
      </c>
      <c r="F612" s="46" t="s">
        <v>7423</v>
      </c>
      <c r="H612" s="46" t="s">
        <v>7247</v>
      </c>
      <c r="I612" s="46" t="s">
        <v>2054</v>
      </c>
      <c r="J612" s="49" t="s">
        <v>899</v>
      </c>
      <c r="M612" s="64">
        <v>1500000</v>
      </c>
      <c r="N612" s="64">
        <v>2250000</v>
      </c>
      <c r="O612" s="47" t="s">
        <v>7424</v>
      </c>
      <c r="P612" s="47" t="s">
        <v>7425</v>
      </c>
      <c r="Q612" s="62" t="s">
        <v>29</v>
      </c>
      <c r="R612" s="47" t="s">
        <v>7538</v>
      </c>
      <c r="U612" s="46" t="s">
        <v>491</v>
      </c>
      <c r="V612" s="46"/>
    </row>
    <row r="613" spans="1:22" ht="45" x14ac:dyDescent="0.25">
      <c r="A613" s="61">
        <v>42914</v>
      </c>
      <c r="B613" s="62" t="s">
        <v>328</v>
      </c>
      <c r="C613" s="46" t="s">
        <v>603</v>
      </c>
      <c r="D613" s="46" t="s">
        <v>5701</v>
      </c>
      <c r="E613" s="46" t="s">
        <v>588</v>
      </c>
      <c r="F613" s="46" t="s">
        <v>7427</v>
      </c>
      <c r="H613" s="46" t="s">
        <v>607</v>
      </c>
      <c r="I613" s="46" t="s">
        <v>7428</v>
      </c>
      <c r="J613" s="49" t="s">
        <v>3373</v>
      </c>
      <c r="L613" s="63">
        <v>4</v>
      </c>
      <c r="M613" s="64">
        <v>2100000</v>
      </c>
      <c r="N613" s="64">
        <v>3927000</v>
      </c>
      <c r="O613" s="47" t="s">
        <v>560</v>
      </c>
      <c r="P613" s="47" t="s">
        <v>7429</v>
      </c>
      <c r="Q613" s="62" t="s">
        <v>592</v>
      </c>
      <c r="U613" s="46" t="s">
        <v>491</v>
      </c>
      <c r="V613" s="46"/>
    </row>
    <row r="614" spans="1:22" ht="180" x14ac:dyDescent="0.25">
      <c r="A614" s="61">
        <v>42914</v>
      </c>
      <c r="B614" s="62" t="s">
        <v>569</v>
      </c>
      <c r="D614" s="46" t="s">
        <v>625</v>
      </c>
      <c r="E614" s="46" t="s">
        <v>692</v>
      </c>
      <c r="F614" s="46" t="s">
        <v>7446</v>
      </c>
      <c r="H614" s="47" t="s">
        <v>7449</v>
      </c>
      <c r="I614" s="46" t="s">
        <v>7447</v>
      </c>
      <c r="J614" s="49" t="s">
        <v>899</v>
      </c>
      <c r="L614" s="63">
        <v>9</v>
      </c>
      <c r="M614" s="64">
        <v>450000</v>
      </c>
      <c r="N614" s="64">
        <v>765000</v>
      </c>
      <c r="O614" s="47" t="s">
        <v>7448</v>
      </c>
      <c r="P614" s="47" t="s">
        <v>7450</v>
      </c>
      <c r="Q614" s="62" t="s">
        <v>1612</v>
      </c>
      <c r="R614" s="47" t="s">
        <v>7461</v>
      </c>
      <c r="U614" s="46" t="s">
        <v>491</v>
      </c>
      <c r="V614" s="46"/>
    </row>
    <row r="615" spans="1:22" ht="75" x14ac:dyDescent="0.25">
      <c r="A615" s="61">
        <v>42914</v>
      </c>
      <c r="B615" s="62" t="s">
        <v>569</v>
      </c>
      <c r="D615" s="46" t="s">
        <v>930</v>
      </c>
      <c r="E615" s="46" t="s">
        <v>821</v>
      </c>
      <c r="H615" s="46" t="s">
        <v>886</v>
      </c>
      <c r="J615" s="49" t="s">
        <v>899</v>
      </c>
      <c r="O615" s="47" t="s">
        <v>7451</v>
      </c>
      <c r="P615" s="47" t="s">
        <v>7452</v>
      </c>
      <c r="Q615" s="62" t="s">
        <v>592</v>
      </c>
      <c r="R615" s="47" t="s">
        <v>7453</v>
      </c>
      <c r="U615" s="46" t="s">
        <v>491</v>
      </c>
      <c r="V615" s="46"/>
    </row>
    <row r="616" spans="1:22" ht="60" x14ac:dyDescent="0.25">
      <c r="A616" s="61">
        <v>42914</v>
      </c>
      <c r="B616" s="62" t="s">
        <v>569</v>
      </c>
      <c r="D616" s="46" t="s">
        <v>930</v>
      </c>
      <c r="E616" s="46" t="s">
        <v>821</v>
      </c>
      <c r="F616" s="46" t="s">
        <v>7454</v>
      </c>
      <c r="H616" s="46" t="s">
        <v>607</v>
      </c>
      <c r="J616" s="49" t="s">
        <v>899</v>
      </c>
      <c r="O616" s="47" t="s">
        <v>1507</v>
      </c>
      <c r="P616" s="47" t="s">
        <v>7455</v>
      </c>
      <c r="Q616" s="62" t="s">
        <v>592</v>
      </c>
      <c r="R616" s="47" t="s">
        <v>7456</v>
      </c>
      <c r="U616" s="46" t="s">
        <v>491</v>
      </c>
      <c r="V616" s="46"/>
    </row>
    <row r="617" spans="1:22" ht="192.75" x14ac:dyDescent="0.25">
      <c r="A617" s="61">
        <v>42915</v>
      </c>
      <c r="B617" s="62" t="s">
        <v>643</v>
      </c>
      <c r="C617" s="46" t="s">
        <v>644</v>
      </c>
      <c r="D617" s="46" t="s">
        <v>645</v>
      </c>
      <c r="E617" s="46" t="s">
        <v>588</v>
      </c>
      <c r="F617" s="46" t="s">
        <v>7430</v>
      </c>
      <c r="H617" s="46" t="s">
        <v>1391</v>
      </c>
      <c r="I617" s="46" t="s">
        <v>7431</v>
      </c>
      <c r="J617" s="49" t="s">
        <v>899</v>
      </c>
      <c r="L617" s="63">
        <v>5</v>
      </c>
      <c r="M617" s="64">
        <v>1695000</v>
      </c>
      <c r="N617" s="64">
        <v>3429000</v>
      </c>
      <c r="O617" s="47" t="s">
        <v>560</v>
      </c>
      <c r="P617" s="47" t="s">
        <v>7539</v>
      </c>
      <c r="Q617" s="62" t="s">
        <v>1939</v>
      </c>
      <c r="R617" s="86" t="s">
        <v>7432</v>
      </c>
      <c r="U617" s="46" t="s">
        <v>491</v>
      </c>
      <c r="V617" s="46"/>
    </row>
    <row r="618" spans="1:22" ht="75" x14ac:dyDescent="0.25">
      <c r="A618" s="61">
        <v>42915</v>
      </c>
      <c r="B618" s="62" t="s">
        <v>328</v>
      </c>
      <c r="C618" s="46" t="s">
        <v>603</v>
      </c>
      <c r="D618" s="46" t="s">
        <v>5701</v>
      </c>
      <c r="E618" s="46" t="s">
        <v>588</v>
      </c>
      <c r="F618" s="46" t="s">
        <v>7433</v>
      </c>
      <c r="H618" s="46" t="s">
        <v>722</v>
      </c>
      <c r="I618" s="46" t="s">
        <v>7434</v>
      </c>
      <c r="J618" s="49" t="s">
        <v>3501</v>
      </c>
      <c r="L618" s="63">
        <v>10</v>
      </c>
      <c r="M618" s="64">
        <v>175000</v>
      </c>
      <c r="N618" s="64">
        <v>315000</v>
      </c>
      <c r="O618" s="47" t="s">
        <v>764</v>
      </c>
      <c r="P618" s="47" t="s">
        <v>7436</v>
      </c>
      <c r="Q618" s="62" t="s">
        <v>1939</v>
      </c>
      <c r="R618" s="47" t="s">
        <v>7435</v>
      </c>
      <c r="U618" s="46" t="s">
        <v>491</v>
      </c>
      <c r="V618" s="46"/>
    </row>
    <row r="619" spans="1:22" ht="120.75" x14ac:dyDescent="0.25">
      <c r="A619" s="61">
        <v>42915</v>
      </c>
      <c r="B619" s="62" t="s">
        <v>328</v>
      </c>
      <c r="C619" s="46" t="s">
        <v>603</v>
      </c>
      <c r="D619" s="46" t="s">
        <v>5701</v>
      </c>
      <c r="E619" s="46" t="s">
        <v>588</v>
      </c>
      <c r="F619" s="46" t="s">
        <v>7437</v>
      </c>
      <c r="H619" s="46" t="s">
        <v>7247</v>
      </c>
      <c r="I619" s="46" t="s">
        <v>7438</v>
      </c>
      <c r="J619" s="49" t="s">
        <v>3733</v>
      </c>
      <c r="L619" s="63">
        <v>3</v>
      </c>
      <c r="M619" s="64">
        <v>89000</v>
      </c>
      <c r="N619" s="64">
        <v>189000</v>
      </c>
      <c r="O619" s="47" t="s">
        <v>6027</v>
      </c>
      <c r="P619" s="47" t="s">
        <v>7439</v>
      </c>
      <c r="Q619" s="62" t="s">
        <v>1939</v>
      </c>
      <c r="R619" s="86" t="s">
        <v>7440</v>
      </c>
      <c r="U619" s="46" t="s">
        <v>491</v>
      </c>
      <c r="V619" s="46"/>
    </row>
    <row r="620" spans="1:22" ht="156.75" x14ac:dyDescent="0.25">
      <c r="A620" s="61">
        <v>42915</v>
      </c>
      <c r="B620" s="62" t="s">
        <v>328</v>
      </c>
      <c r="C620" s="46" t="s">
        <v>603</v>
      </c>
      <c r="D620" s="46" t="s">
        <v>672</v>
      </c>
      <c r="E620" s="46" t="s">
        <v>588</v>
      </c>
      <c r="F620" s="46" t="s">
        <v>7441</v>
      </c>
      <c r="H620" s="46" t="s">
        <v>607</v>
      </c>
      <c r="I620" s="46" t="s">
        <v>7442</v>
      </c>
      <c r="J620" s="49" t="s">
        <v>899</v>
      </c>
      <c r="L620" s="63">
        <v>9</v>
      </c>
      <c r="M620" s="64">
        <v>310000</v>
      </c>
      <c r="N620" s="64">
        <v>544000</v>
      </c>
      <c r="O620" s="47" t="s">
        <v>7443</v>
      </c>
      <c r="P620" s="47" t="s">
        <v>7445</v>
      </c>
      <c r="Q620" s="62" t="s">
        <v>1939</v>
      </c>
      <c r="R620" s="86" t="s">
        <v>7444</v>
      </c>
      <c r="U620" s="46" t="s">
        <v>491</v>
      </c>
      <c r="V620" s="46"/>
    </row>
    <row r="621" spans="1:22" ht="45" x14ac:dyDescent="0.25">
      <c r="A621" s="61">
        <v>42915</v>
      </c>
      <c r="B621" s="62" t="s">
        <v>5992</v>
      </c>
      <c r="D621" s="46" t="s">
        <v>7457</v>
      </c>
      <c r="E621" s="46" t="s">
        <v>588</v>
      </c>
      <c r="F621" s="46" t="s">
        <v>6736</v>
      </c>
      <c r="H621" s="46" t="s">
        <v>607</v>
      </c>
      <c r="O621" s="47" t="s">
        <v>666</v>
      </c>
      <c r="P621" s="47" t="s">
        <v>7459</v>
      </c>
      <c r="Q621" s="62" t="s">
        <v>29</v>
      </c>
      <c r="R621" s="47" t="s">
        <v>7458</v>
      </c>
      <c r="S621" s="47" t="s">
        <v>7460</v>
      </c>
      <c r="U621" s="46" t="s">
        <v>491</v>
      </c>
      <c r="V621" s="46"/>
    </row>
    <row r="622" spans="1:22" ht="264.75" x14ac:dyDescent="0.25">
      <c r="A622" s="61">
        <v>42915</v>
      </c>
      <c r="B622" s="62" t="s">
        <v>328</v>
      </c>
      <c r="C622" s="46" t="s">
        <v>603</v>
      </c>
      <c r="D622" s="46" t="s">
        <v>649</v>
      </c>
      <c r="E622" s="46" t="s">
        <v>588</v>
      </c>
      <c r="F622" s="46" t="s">
        <v>7462</v>
      </c>
      <c r="H622" s="46" t="s">
        <v>607</v>
      </c>
      <c r="I622" s="46" t="s">
        <v>3452</v>
      </c>
      <c r="J622" s="49" t="s">
        <v>899</v>
      </c>
      <c r="L622" s="63">
        <v>9</v>
      </c>
      <c r="M622" s="64">
        <v>275000</v>
      </c>
      <c r="N622" s="64">
        <v>588500</v>
      </c>
      <c r="O622" s="47" t="s">
        <v>7443</v>
      </c>
      <c r="P622" s="47" t="s">
        <v>7463</v>
      </c>
      <c r="Q622" s="62" t="s">
        <v>1939</v>
      </c>
      <c r="R622" s="86" t="s">
        <v>7464</v>
      </c>
      <c r="S622" s="47" t="s">
        <v>7556</v>
      </c>
      <c r="U622" s="46" t="s">
        <v>491</v>
      </c>
      <c r="V622" s="46"/>
    </row>
    <row r="623" spans="1:22" ht="105" x14ac:dyDescent="0.25">
      <c r="A623" s="61">
        <v>42915</v>
      </c>
      <c r="B623" s="62" t="s">
        <v>328</v>
      </c>
      <c r="C623" s="46" t="s">
        <v>603</v>
      </c>
      <c r="D623" s="46" t="s">
        <v>649</v>
      </c>
      <c r="E623" s="46" t="s">
        <v>588</v>
      </c>
      <c r="F623" s="47" t="s">
        <v>7465</v>
      </c>
      <c r="G623" s="47"/>
      <c r="H623" s="46" t="s">
        <v>905</v>
      </c>
      <c r="I623" s="46" t="s">
        <v>6587</v>
      </c>
      <c r="J623" s="49" t="s">
        <v>3373</v>
      </c>
      <c r="L623" s="63">
        <v>5</v>
      </c>
      <c r="M623" s="64">
        <v>2500000</v>
      </c>
      <c r="N623" s="64">
        <v>2655000</v>
      </c>
      <c r="O623" s="47" t="s">
        <v>560</v>
      </c>
      <c r="P623" s="47" t="s">
        <v>7466</v>
      </c>
      <c r="Q623" s="62" t="s">
        <v>1939</v>
      </c>
      <c r="R623" s="47" t="s">
        <v>7467</v>
      </c>
      <c r="U623" s="46" t="s">
        <v>491</v>
      </c>
      <c r="V623" s="46"/>
    </row>
    <row r="624" spans="1:22" ht="75" x14ac:dyDescent="0.25">
      <c r="A624" s="61">
        <v>42916</v>
      </c>
      <c r="B624" s="62" t="s">
        <v>569</v>
      </c>
      <c r="D624" s="46" t="s">
        <v>930</v>
      </c>
      <c r="E624" s="46" t="s">
        <v>588</v>
      </c>
      <c r="F624" s="46" t="s">
        <v>7469</v>
      </c>
      <c r="H624" s="46" t="s">
        <v>886</v>
      </c>
      <c r="J624" s="49" t="s">
        <v>899</v>
      </c>
      <c r="O624" s="47" t="s">
        <v>7470</v>
      </c>
      <c r="P624" s="47" t="s">
        <v>7471</v>
      </c>
      <c r="Q624" s="62" t="s">
        <v>592</v>
      </c>
      <c r="U624" s="46" t="s">
        <v>491</v>
      </c>
      <c r="V624" s="46"/>
    </row>
    <row r="625" spans="1:23" ht="90" x14ac:dyDescent="0.25">
      <c r="A625" s="61">
        <v>42916</v>
      </c>
      <c r="B625" s="62" t="s">
        <v>569</v>
      </c>
      <c r="D625" s="46" t="s">
        <v>625</v>
      </c>
      <c r="E625" s="46" t="s">
        <v>588</v>
      </c>
      <c r="F625" s="46" t="s">
        <v>7472</v>
      </c>
      <c r="H625" s="46" t="s">
        <v>722</v>
      </c>
      <c r="I625" s="46" t="s">
        <v>3649</v>
      </c>
      <c r="J625" s="49" t="s">
        <v>899</v>
      </c>
      <c r="M625" s="64">
        <v>2300000</v>
      </c>
      <c r="N625" s="64">
        <v>3910000</v>
      </c>
      <c r="O625" s="47" t="s">
        <v>7473</v>
      </c>
      <c r="P625" s="47" t="s">
        <v>7474</v>
      </c>
      <c r="Q625" s="62" t="s">
        <v>1612</v>
      </c>
      <c r="R625" s="47" t="s">
        <v>7500</v>
      </c>
      <c r="U625" s="46" t="s">
        <v>491</v>
      </c>
      <c r="V625" s="46"/>
    </row>
    <row r="626" spans="1:23" ht="120" x14ac:dyDescent="0.25">
      <c r="A626" s="61">
        <v>42916</v>
      </c>
      <c r="B626" s="62" t="s">
        <v>328</v>
      </c>
      <c r="C626" s="46" t="s">
        <v>603</v>
      </c>
      <c r="D626" s="46" t="s">
        <v>672</v>
      </c>
      <c r="E626" s="46" t="s">
        <v>588</v>
      </c>
      <c r="F626" s="46" t="s">
        <v>7478</v>
      </c>
      <c r="H626" s="46" t="s">
        <v>607</v>
      </c>
      <c r="I626" s="46" t="s">
        <v>7475</v>
      </c>
      <c r="J626" s="49" t="s">
        <v>644</v>
      </c>
      <c r="L626" s="63">
        <v>5</v>
      </c>
      <c r="M626" s="64">
        <v>2107280</v>
      </c>
      <c r="N626" s="64">
        <v>3424200</v>
      </c>
      <c r="O626" s="47" t="s">
        <v>7476</v>
      </c>
      <c r="P626" s="47" t="s">
        <v>7477</v>
      </c>
      <c r="Q626" s="62" t="s">
        <v>1612</v>
      </c>
      <c r="R626" s="47" t="s">
        <v>7669</v>
      </c>
      <c r="U626" s="46" t="s">
        <v>491</v>
      </c>
      <c r="V626" s="46"/>
    </row>
    <row r="627" spans="1:23" s="146" customFormat="1" ht="115.5" x14ac:dyDescent="0.25">
      <c r="A627" s="144">
        <v>42916</v>
      </c>
      <c r="B627" s="145" t="s">
        <v>328</v>
      </c>
      <c r="C627" s="146" t="s">
        <v>603</v>
      </c>
      <c r="D627" s="146" t="s">
        <v>672</v>
      </c>
      <c r="E627" s="146" t="s">
        <v>588</v>
      </c>
      <c r="F627" s="146" t="s">
        <v>7479</v>
      </c>
      <c r="H627" s="146" t="s">
        <v>607</v>
      </c>
      <c r="I627" s="146" t="s">
        <v>7480</v>
      </c>
      <c r="J627" s="109" t="s">
        <v>3733</v>
      </c>
      <c r="K627" s="109"/>
      <c r="L627" s="147">
        <v>4</v>
      </c>
      <c r="M627" s="148">
        <v>150000</v>
      </c>
      <c r="N627" s="148">
        <v>255000</v>
      </c>
      <c r="O627" s="149" t="s">
        <v>6522</v>
      </c>
      <c r="P627" s="149" t="s">
        <v>7482</v>
      </c>
      <c r="Q627" s="145" t="s">
        <v>1939</v>
      </c>
      <c r="R627" s="157" t="s">
        <v>7481</v>
      </c>
      <c r="S627" s="149"/>
      <c r="T627" s="149"/>
      <c r="U627" s="146" t="s">
        <v>491</v>
      </c>
      <c r="W627" s="149"/>
    </row>
    <row r="628" spans="1:23" ht="45" x14ac:dyDescent="0.25">
      <c r="A628" s="61">
        <v>42921</v>
      </c>
      <c r="B628" s="62" t="s">
        <v>328</v>
      </c>
      <c r="C628" s="46" t="s">
        <v>603</v>
      </c>
      <c r="D628" s="46" t="s">
        <v>1401</v>
      </c>
      <c r="E628" s="46" t="s">
        <v>588</v>
      </c>
      <c r="F628" s="46" t="s">
        <v>7483</v>
      </c>
      <c r="H628" s="46" t="s">
        <v>1391</v>
      </c>
      <c r="I628" s="46" t="s">
        <v>7484</v>
      </c>
      <c r="J628" s="49" t="s">
        <v>899</v>
      </c>
      <c r="L628" s="63">
        <v>2</v>
      </c>
      <c r="M628" s="64">
        <v>2000000</v>
      </c>
      <c r="N628" s="64">
        <v>3100000</v>
      </c>
      <c r="O628" s="47" t="s">
        <v>560</v>
      </c>
      <c r="P628" s="47" t="s">
        <v>7485</v>
      </c>
      <c r="Q628" s="62" t="s">
        <v>1939</v>
      </c>
      <c r="R628" s="47" t="s">
        <v>7486</v>
      </c>
      <c r="U628" s="46" t="s">
        <v>1327</v>
      </c>
      <c r="V628" s="46"/>
    </row>
    <row r="629" spans="1:23" ht="30" x14ac:dyDescent="0.25">
      <c r="A629" s="61">
        <v>42922</v>
      </c>
      <c r="B629" s="62" t="s">
        <v>5176</v>
      </c>
      <c r="D629" s="46" t="s">
        <v>2454</v>
      </c>
      <c r="E629" s="46" t="s">
        <v>588</v>
      </c>
      <c r="F629" s="46" t="s">
        <v>7488</v>
      </c>
      <c r="H629" s="46" t="s">
        <v>5991</v>
      </c>
      <c r="I629" s="46" t="s">
        <v>7489</v>
      </c>
      <c r="J629" s="49" t="s">
        <v>3617</v>
      </c>
      <c r="L629" s="63">
        <v>5</v>
      </c>
      <c r="M629" s="64">
        <v>308800</v>
      </c>
      <c r="N629" s="64">
        <v>383800</v>
      </c>
      <c r="O629" s="47" t="s">
        <v>7005</v>
      </c>
      <c r="P629" s="47" t="s">
        <v>7490</v>
      </c>
      <c r="Q629" s="62" t="s">
        <v>29</v>
      </c>
      <c r="R629" s="47" t="s">
        <v>7491</v>
      </c>
      <c r="U629" s="46" t="s">
        <v>491</v>
      </c>
      <c r="V629" s="46"/>
    </row>
    <row r="630" spans="1:23" ht="168.75" x14ac:dyDescent="0.25">
      <c r="A630" s="61">
        <v>42922</v>
      </c>
      <c r="B630" s="62" t="s">
        <v>5176</v>
      </c>
      <c r="D630" s="46" t="s">
        <v>6995</v>
      </c>
      <c r="E630" s="46" t="s">
        <v>588</v>
      </c>
      <c r="F630" s="46" t="s">
        <v>7495</v>
      </c>
      <c r="H630" s="46" t="s">
        <v>886</v>
      </c>
      <c r="I630" s="46" t="s">
        <v>1487</v>
      </c>
      <c r="J630" s="49" t="s">
        <v>604</v>
      </c>
      <c r="M630" s="64">
        <v>313000</v>
      </c>
      <c r="O630" s="47" t="s">
        <v>7161</v>
      </c>
      <c r="P630" s="47" t="s">
        <v>7494</v>
      </c>
      <c r="Q630" s="62" t="s">
        <v>29</v>
      </c>
      <c r="R630" s="47" t="s">
        <v>7493</v>
      </c>
      <c r="S630" s="86" t="s">
        <v>7492</v>
      </c>
      <c r="T630" s="86"/>
      <c r="U630" s="46" t="s">
        <v>491</v>
      </c>
      <c r="V630" s="46"/>
    </row>
    <row r="631" spans="1:23" ht="45" x14ac:dyDescent="0.25">
      <c r="A631" s="61">
        <v>42922</v>
      </c>
      <c r="B631" s="62" t="s">
        <v>5360</v>
      </c>
      <c r="D631" s="46" t="s">
        <v>1027</v>
      </c>
      <c r="E631" s="46" t="s">
        <v>588</v>
      </c>
      <c r="F631" s="46" t="s">
        <v>7499</v>
      </c>
      <c r="H631" s="46" t="s">
        <v>5991</v>
      </c>
      <c r="I631" s="46" t="s">
        <v>7496</v>
      </c>
      <c r="J631" s="49" t="s">
        <v>899</v>
      </c>
      <c r="L631" s="63">
        <v>3</v>
      </c>
      <c r="M631" s="64">
        <v>2500000</v>
      </c>
      <c r="N631" s="64">
        <v>3560000</v>
      </c>
      <c r="O631" s="47" t="s">
        <v>560</v>
      </c>
      <c r="P631" s="47" t="s">
        <v>7497</v>
      </c>
      <c r="Q631" s="62" t="s">
        <v>1939</v>
      </c>
      <c r="R631" s="47" t="s">
        <v>7498</v>
      </c>
      <c r="U631" s="46" t="s">
        <v>491</v>
      </c>
      <c r="V631" s="46"/>
    </row>
    <row r="632" spans="1:23" ht="90" x14ac:dyDescent="0.25">
      <c r="A632" s="61">
        <v>42922</v>
      </c>
      <c r="B632" s="62" t="s">
        <v>569</v>
      </c>
      <c r="D632" s="46" t="s">
        <v>7501</v>
      </c>
      <c r="E632" s="46" t="s">
        <v>692</v>
      </c>
      <c r="F632" s="47" t="s">
        <v>7511</v>
      </c>
      <c r="G632" s="47"/>
      <c r="H632" s="46" t="s">
        <v>809</v>
      </c>
      <c r="I632" s="46" t="s">
        <v>3672</v>
      </c>
      <c r="J632" s="49" t="s">
        <v>899</v>
      </c>
      <c r="M632" s="64">
        <v>4269600</v>
      </c>
      <c r="N632" s="64">
        <v>5000000</v>
      </c>
      <c r="O632" s="47" t="s">
        <v>560</v>
      </c>
      <c r="P632" s="47" t="s">
        <v>7512</v>
      </c>
      <c r="Q632" s="62" t="s">
        <v>592</v>
      </c>
      <c r="R632" s="47" t="s">
        <v>7502</v>
      </c>
      <c r="U632" s="46" t="s">
        <v>491</v>
      </c>
      <c r="V632" s="46"/>
    </row>
    <row r="633" spans="1:23" ht="45" x14ac:dyDescent="0.25">
      <c r="A633" s="61">
        <v>42922</v>
      </c>
      <c r="B633" s="62" t="s">
        <v>569</v>
      </c>
      <c r="D633" s="46" t="s">
        <v>930</v>
      </c>
      <c r="E633" s="46" t="s">
        <v>821</v>
      </c>
      <c r="F633" s="46" t="s">
        <v>7503</v>
      </c>
      <c r="H633" s="46" t="s">
        <v>886</v>
      </c>
      <c r="J633" s="49" t="s">
        <v>899</v>
      </c>
      <c r="O633" s="47" t="s">
        <v>7504</v>
      </c>
      <c r="P633" s="47" t="s">
        <v>7505</v>
      </c>
      <c r="Q633" s="62" t="s">
        <v>1939</v>
      </c>
      <c r="R633" s="47" t="s">
        <v>7506</v>
      </c>
      <c r="U633" s="46" t="s">
        <v>491</v>
      </c>
      <c r="V633" s="46"/>
    </row>
    <row r="634" spans="1:23" ht="60" x14ac:dyDescent="0.25">
      <c r="A634" s="61">
        <v>42923</v>
      </c>
      <c r="B634" s="62" t="s">
        <v>569</v>
      </c>
      <c r="D634" s="46" t="s">
        <v>625</v>
      </c>
      <c r="E634" s="46" t="s">
        <v>588</v>
      </c>
      <c r="F634" s="46" t="s">
        <v>7507</v>
      </c>
      <c r="H634" s="46" t="s">
        <v>1050</v>
      </c>
      <c r="I634" s="46" t="s">
        <v>2054</v>
      </c>
      <c r="J634" s="49" t="s">
        <v>899</v>
      </c>
      <c r="M634" s="64">
        <v>700000</v>
      </c>
      <c r="N634" s="64">
        <v>770000</v>
      </c>
      <c r="O634" s="47" t="s">
        <v>7508</v>
      </c>
      <c r="P634" s="47" t="s">
        <v>7509</v>
      </c>
      <c r="Q634" s="62" t="s">
        <v>1939</v>
      </c>
      <c r="R634" s="47" t="s">
        <v>7510</v>
      </c>
      <c r="U634" s="46" t="s">
        <v>491</v>
      </c>
      <c r="V634" s="46"/>
    </row>
    <row r="635" spans="1:23" ht="45" x14ac:dyDescent="0.25">
      <c r="A635" s="61">
        <v>42923</v>
      </c>
      <c r="B635" s="62" t="s">
        <v>328</v>
      </c>
      <c r="C635" s="46" t="s">
        <v>603</v>
      </c>
      <c r="D635" s="46" t="s">
        <v>649</v>
      </c>
      <c r="E635" s="46" t="s">
        <v>588</v>
      </c>
      <c r="F635" s="46" t="s">
        <v>7513</v>
      </c>
      <c r="H635" s="46" t="s">
        <v>607</v>
      </c>
      <c r="I635" s="46" t="s">
        <v>3649</v>
      </c>
      <c r="J635" s="49" t="s">
        <v>899</v>
      </c>
      <c r="M635" s="64">
        <v>1066000</v>
      </c>
      <c r="N635" s="64">
        <v>1858600</v>
      </c>
      <c r="O635" s="47" t="s">
        <v>7514</v>
      </c>
      <c r="P635" s="47" t="s">
        <v>7515</v>
      </c>
      <c r="Q635" s="62" t="s">
        <v>1939</v>
      </c>
      <c r="R635" s="47" t="s">
        <v>7516</v>
      </c>
      <c r="U635" s="46" t="s">
        <v>491</v>
      </c>
      <c r="V635" s="46"/>
    </row>
    <row r="636" spans="1:23" ht="45" x14ac:dyDescent="0.25">
      <c r="A636" s="61">
        <v>42923</v>
      </c>
      <c r="B636" s="62" t="s">
        <v>328</v>
      </c>
      <c r="C636" s="46" t="s">
        <v>603</v>
      </c>
      <c r="D636" s="46" t="s">
        <v>649</v>
      </c>
      <c r="E636" s="46" t="s">
        <v>588</v>
      </c>
      <c r="F636" s="46" t="s">
        <v>6919</v>
      </c>
      <c r="H636" s="46" t="s">
        <v>607</v>
      </c>
      <c r="I636" s="46" t="s">
        <v>7517</v>
      </c>
      <c r="J636" s="49" t="s">
        <v>899</v>
      </c>
      <c r="L636" s="63">
        <v>3</v>
      </c>
      <c r="M636" s="64">
        <v>110000</v>
      </c>
      <c r="N636" s="64">
        <v>1870000</v>
      </c>
      <c r="O636" s="47" t="s">
        <v>7518</v>
      </c>
      <c r="P636" s="47" t="s">
        <v>7519</v>
      </c>
      <c r="Q636" s="62" t="s">
        <v>1939</v>
      </c>
      <c r="R636" s="47" t="s">
        <v>7520</v>
      </c>
      <c r="U636" s="46" t="s">
        <v>491</v>
      </c>
      <c r="V636" s="46"/>
    </row>
    <row r="637" spans="1:23" ht="75" x14ac:dyDescent="0.25">
      <c r="A637" s="61">
        <v>42923</v>
      </c>
      <c r="B637" s="62" t="s">
        <v>328</v>
      </c>
      <c r="C637" s="46" t="s">
        <v>603</v>
      </c>
      <c r="D637" s="46" t="s">
        <v>649</v>
      </c>
      <c r="E637" s="46" t="s">
        <v>588</v>
      </c>
      <c r="F637" s="46" t="s">
        <v>7521</v>
      </c>
      <c r="H637" s="46" t="s">
        <v>607</v>
      </c>
      <c r="I637" s="46" t="s">
        <v>7522</v>
      </c>
      <c r="J637" s="49" t="s">
        <v>3373</v>
      </c>
      <c r="L637" s="63">
        <v>9</v>
      </c>
      <c r="M637" s="64">
        <v>246000</v>
      </c>
      <c r="N637" s="64">
        <v>470600</v>
      </c>
      <c r="O637" s="47" t="s">
        <v>6522</v>
      </c>
      <c r="P637" s="47" t="s">
        <v>7523</v>
      </c>
      <c r="Q637" s="62" t="s">
        <v>1939</v>
      </c>
      <c r="R637" s="47" t="s">
        <v>7930</v>
      </c>
      <c r="S637" s="47" t="s">
        <v>7570</v>
      </c>
      <c r="U637" s="46" t="s">
        <v>491</v>
      </c>
      <c r="V637" s="46"/>
    </row>
    <row r="638" spans="1:23" ht="45" x14ac:dyDescent="0.25">
      <c r="A638" s="61">
        <v>42923</v>
      </c>
      <c r="B638" s="62" t="s">
        <v>328</v>
      </c>
      <c r="C638" s="46" t="s">
        <v>603</v>
      </c>
      <c r="D638" s="46" t="s">
        <v>2397</v>
      </c>
      <c r="E638" s="46" t="s">
        <v>588</v>
      </c>
      <c r="F638" s="46" t="s">
        <v>7524</v>
      </c>
      <c r="H638" s="46" t="s">
        <v>607</v>
      </c>
      <c r="I638" s="46" t="s">
        <v>7525</v>
      </c>
      <c r="J638" s="49" t="s">
        <v>899</v>
      </c>
      <c r="L638" s="63">
        <v>3</v>
      </c>
      <c r="M638" s="64">
        <v>2300000</v>
      </c>
      <c r="N638" s="64">
        <v>3910000</v>
      </c>
      <c r="O638" s="47" t="s">
        <v>560</v>
      </c>
      <c r="P638" s="47" t="s">
        <v>7526</v>
      </c>
      <c r="Q638" s="62" t="s">
        <v>1939</v>
      </c>
      <c r="R638" s="47" t="s">
        <v>7418</v>
      </c>
      <c r="U638" s="46" t="s">
        <v>491</v>
      </c>
      <c r="V638" s="46"/>
    </row>
    <row r="639" spans="1:23" ht="45" x14ac:dyDescent="0.25">
      <c r="A639" s="61">
        <v>42923</v>
      </c>
      <c r="B639" s="46" t="s">
        <v>328</v>
      </c>
      <c r="C639" s="45" t="s">
        <v>603</v>
      </c>
      <c r="D639" s="46" t="s">
        <v>5701</v>
      </c>
      <c r="E639" s="46" t="s">
        <v>588</v>
      </c>
      <c r="F639" s="47" t="s">
        <v>4933</v>
      </c>
      <c r="G639" s="47"/>
      <c r="H639" s="47" t="s">
        <v>607</v>
      </c>
      <c r="I639" s="46" t="s">
        <v>3837</v>
      </c>
      <c r="J639" s="49" t="s">
        <v>899</v>
      </c>
      <c r="L639" s="49">
        <v>4</v>
      </c>
      <c r="M639" s="50">
        <v>1047000</v>
      </c>
      <c r="N639" s="51">
        <v>2572000</v>
      </c>
      <c r="O639" s="50" t="s">
        <v>695</v>
      </c>
      <c r="P639" s="65" t="s">
        <v>4934</v>
      </c>
      <c r="Q639" s="46" t="s">
        <v>1939</v>
      </c>
      <c r="R639" s="47" t="s">
        <v>7527</v>
      </c>
      <c r="U639" s="46" t="s">
        <v>491</v>
      </c>
      <c r="V639" s="46"/>
    </row>
    <row r="640" spans="1:23" ht="45" x14ac:dyDescent="0.25">
      <c r="A640" s="61">
        <v>42923</v>
      </c>
      <c r="B640" s="62" t="s">
        <v>328</v>
      </c>
      <c r="C640" s="46" t="s">
        <v>603</v>
      </c>
      <c r="D640" s="46" t="s">
        <v>672</v>
      </c>
      <c r="E640" s="46" t="s">
        <v>588</v>
      </c>
      <c r="F640" s="46" t="s">
        <v>7529</v>
      </c>
      <c r="H640" s="46" t="s">
        <v>607</v>
      </c>
      <c r="I640" s="46" t="s">
        <v>3649</v>
      </c>
      <c r="J640" s="49" t="s">
        <v>899</v>
      </c>
      <c r="L640" s="63">
        <v>4</v>
      </c>
      <c r="M640" s="64">
        <v>2582235</v>
      </c>
      <c r="N640" s="64">
        <v>4490493</v>
      </c>
      <c r="O640" s="47" t="s">
        <v>560</v>
      </c>
      <c r="P640" s="47" t="s">
        <v>7931</v>
      </c>
      <c r="Q640" s="62" t="s">
        <v>592</v>
      </c>
      <c r="U640" s="46" t="s">
        <v>491</v>
      </c>
      <c r="V640" s="46"/>
    </row>
    <row r="641" spans="1:22" ht="60" x14ac:dyDescent="0.25">
      <c r="A641" s="61">
        <v>42926</v>
      </c>
      <c r="B641" s="62" t="s">
        <v>569</v>
      </c>
      <c r="D641" s="46" t="s">
        <v>930</v>
      </c>
      <c r="E641" s="46" t="s">
        <v>588</v>
      </c>
      <c r="F641" s="46" t="s">
        <v>6809</v>
      </c>
      <c r="H641" s="46" t="s">
        <v>607</v>
      </c>
      <c r="O641" s="47" t="s">
        <v>7540</v>
      </c>
      <c r="P641" s="47" t="s">
        <v>7541</v>
      </c>
      <c r="Q641" s="62" t="s">
        <v>29</v>
      </c>
      <c r="R641" s="47" t="s">
        <v>7542</v>
      </c>
      <c r="U641" s="46" t="s">
        <v>491</v>
      </c>
      <c r="V641" s="46"/>
    </row>
    <row r="642" spans="1:22" ht="75" x14ac:dyDescent="0.25">
      <c r="A642" s="61">
        <v>42926</v>
      </c>
      <c r="B642" s="62" t="s">
        <v>569</v>
      </c>
      <c r="D642" s="46" t="s">
        <v>625</v>
      </c>
      <c r="E642" s="46" t="s">
        <v>588</v>
      </c>
      <c r="F642" s="46" t="s">
        <v>6901</v>
      </c>
      <c r="H642" s="46" t="s">
        <v>809</v>
      </c>
      <c r="J642" s="49" t="s">
        <v>899</v>
      </c>
      <c r="L642" s="63" t="s">
        <v>833</v>
      </c>
      <c r="M642" s="64">
        <v>3500000</v>
      </c>
      <c r="N642" s="64">
        <v>4800000</v>
      </c>
      <c r="O642" s="47" t="s">
        <v>7543</v>
      </c>
      <c r="P642" s="47" t="s">
        <v>7544</v>
      </c>
      <c r="Q642" s="62" t="s">
        <v>1939</v>
      </c>
      <c r="R642" s="47" t="s">
        <v>7545</v>
      </c>
      <c r="U642" s="46" t="s">
        <v>491</v>
      </c>
      <c r="V642" s="46"/>
    </row>
    <row r="643" spans="1:22" ht="282" x14ac:dyDescent="0.25">
      <c r="A643" s="61">
        <v>42926</v>
      </c>
      <c r="B643" s="62" t="s">
        <v>328</v>
      </c>
      <c r="C643" s="46" t="s">
        <v>603</v>
      </c>
      <c r="D643" s="46" t="s">
        <v>649</v>
      </c>
      <c r="E643" s="46" t="s">
        <v>588</v>
      </c>
      <c r="F643" s="46" t="s">
        <v>8505</v>
      </c>
      <c r="H643" s="46" t="s">
        <v>607</v>
      </c>
      <c r="I643" s="46" t="s">
        <v>7546</v>
      </c>
      <c r="J643" s="49" t="s">
        <v>6015</v>
      </c>
      <c r="M643" s="64">
        <v>283400</v>
      </c>
      <c r="N643" s="64">
        <v>500000</v>
      </c>
      <c r="O643" s="47" t="s">
        <v>6522</v>
      </c>
      <c r="P643" s="47" t="s">
        <v>7547</v>
      </c>
      <c r="Q643" s="62" t="s">
        <v>1612</v>
      </c>
      <c r="R643" s="89" t="s">
        <v>8506</v>
      </c>
      <c r="U643" s="46" t="s">
        <v>491</v>
      </c>
      <c r="V643" s="46"/>
    </row>
    <row r="644" spans="1:22" ht="135" x14ac:dyDescent="0.25">
      <c r="A644" s="61">
        <v>42926</v>
      </c>
      <c r="B644" s="62" t="s">
        <v>5176</v>
      </c>
      <c r="D644" s="46" t="s">
        <v>595</v>
      </c>
      <c r="E644" s="46" t="s">
        <v>821</v>
      </c>
      <c r="H644" s="46" t="s">
        <v>809</v>
      </c>
      <c r="O644" s="47" t="s">
        <v>639</v>
      </c>
      <c r="P644" s="47" t="s">
        <v>7548</v>
      </c>
      <c r="Q644" s="62" t="s">
        <v>29</v>
      </c>
      <c r="R644" s="47" t="s">
        <v>7549</v>
      </c>
      <c r="U644" s="46" t="s">
        <v>491</v>
      </c>
      <c r="V644" s="46"/>
    </row>
    <row r="645" spans="1:22" ht="30" x14ac:dyDescent="0.25">
      <c r="A645" s="61">
        <v>42926</v>
      </c>
      <c r="B645" s="62" t="s">
        <v>569</v>
      </c>
      <c r="D645" s="46" t="s">
        <v>625</v>
      </c>
      <c r="E645" s="46" t="s">
        <v>588</v>
      </c>
      <c r="F645" s="46" t="s">
        <v>7550</v>
      </c>
      <c r="H645" s="46" t="s">
        <v>607</v>
      </c>
      <c r="I645" s="46" t="s">
        <v>3536</v>
      </c>
      <c r="J645" s="49" t="s">
        <v>899</v>
      </c>
      <c r="M645" s="64">
        <v>3500000</v>
      </c>
      <c r="N645" s="64">
        <v>4350000</v>
      </c>
      <c r="O645" s="47" t="s">
        <v>560</v>
      </c>
      <c r="P645" s="47" t="s">
        <v>7551</v>
      </c>
      <c r="Q645" s="62" t="s">
        <v>592</v>
      </c>
      <c r="R645" s="47" t="s">
        <v>7552</v>
      </c>
      <c r="U645" s="46" t="s">
        <v>491</v>
      </c>
      <c r="V645" s="46"/>
    </row>
    <row r="646" spans="1:22" ht="60" x14ac:dyDescent="0.25">
      <c r="A646" s="61">
        <v>42927</v>
      </c>
      <c r="B646" s="62" t="s">
        <v>328</v>
      </c>
      <c r="C646" s="46" t="s">
        <v>603</v>
      </c>
      <c r="D646" s="46" t="s">
        <v>649</v>
      </c>
      <c r="E646" s="46" t="s">
        <v>588</v>
      </c>
      <c r="F646" s="46" t="s">
        <v>7555</v>
      </c>
      <c r="H646" s="46" t="s">
        <v>905</v>
      </c>
      <c r="I646" s="46" t="s">
        <v>7554</v>
      </c>
      <c r="J646" s="49" t="s">
        <v>4557</v>
      </c>
      <c r="L646" s="63">
        <v>10</v>
      </c>
      <c r="M646" s="132">
        <v>1800000</v>
      </c>
      <c r="N646" s="132">
        <v>3060000</v>
      </c>
      <c r="O646" s="47" t="s">
        <v>7553</v>
      </c>
      <c r="P646" s="135" t="s">
        <v>7944</v>
      </c>
      <c r="Q646" s="62" t="s">
        <v>1939</v>
      </c>
      <c r="S646" s="47" t="s">
        <v>7577</v>
      </c>
      <c r="U646" s="46" t="s">
        <v>2227</v>
      </c>
      <c r="V646" s="46"/>
    </row>
    <row r="647" spans="1:22" ht="57" x14ac:dyDescent="0.25">
      <c r="A647" s="61">
        <v>42927</v>
      </c>
      <c r="B647" s="62" t="s">
        <v>328</v>
      </c>
      <c r="C647" s="46" t="s">
        <v>603</v>
      </c>
      <c r="D647" s="46" t="s">
        <v>649</v>
      </c>
      <c r="E647" s="46" t="s">
        <v>588</v>
      </c>
      <c r="F647" s="47" t="s">
        <v>7557</v>
      </c>
      <c r="G647" s="47"/>
      <c r="H647" s="46" t="s">
        <v>1348</v>
      </c>
      <c r="I647" s="46" t="s">
        <v>7558</v>
      </c>
      <c r="J647" s="49" t="s">
        <v>899</v>
      </c>
      <c r="L647" s="63">
        <v>4</v>
      </c>
      <c r="M647" s="64">
        <v>2100000</v>
      </c>
      <c r="N647" s="132">
        <v>3780000</v>
      </c>
      <c r="O647" s="47" t="s">
        <v>560</v>
      </c>
      <c r="P647" s="150" t="s">
        <v>7559</v>
      </c>
      <c r="Q647" s="62" t="s">
        <v>592</v>
      </c>
      <c r="R647" s="47" t="s">
        <v>7932</v>
      </c>
      <c r="U647" s="46" t="s">
        <v>2227</v>
      </c>
      <c r="V647" s="46"/>
    </row>
    <row r="648" spans="1:22" ht="60" x14ac:dyDescent="0.25">
      <c r="A648" s="61">
        <v>42927</v>
      </c>
      <c r="B648" s="62" t="s">
        <v>5992</v>
      </c>
      <c r="C648" s="46" t="s">
        <v>608</v>
      </c>
      <c r="D648" s="46" t="s">
        <v>5270</v>
      </c>
      <c r="E648" s="46" t="s">
        <v>588</v>
      </c>
      <c r="F648" s="46" t="s">
        <v>7561</v>
      </c>
      <c r="H648" s="46" t="s">
        <v>1391</v>
      </c>
      <c r="I648" s="46" t="s">
        <v>5630</v>
      </c>
      <c r="J648" s="49" t="s">
        <v>608</v>
      </c>
      <c r="L648" s="63">
        <v>5</v>
      </c>
      <c r="M648" s="64">
        <v>459500</v>
      </c>
      <c r="N648" s="64">
        <v>919000</v>
      </c>
      <c r="O648" s="47" t="s">
        <v>7929</v>
      </c>
      <c r="P648" s="47" t="s">
        <v>7560</v>
      </c>
      <c r="Q648" s="62" t="s">
        <v>620</v>
      </c>
      <c r="R648" s="47" t="s">
        <v>7933</v>
      </c>
      <c r="U648" s="46" t="s">
        <v>2227</v>
      </c>
      <c r="V648" s="46"/>
    </row>
    <row r="649" spans="1:22" ht="60" x14ac:dyDescent="0.25">
      <c r="A649" s="61">
        <v>42927</v>
      </c>
      <c r="B649" s="62" t="s">
        <v>328</v>
      </c>
      <c r="C649" s="46" t="s">
        <v>603</v>
      </c>
      <c r="D649" s="46" t="s">
        <v>649</v>
      </c>
      <c r="E649" s="46" t="s">
        <v>588</v>
      </c>
      <c r="F649" s="46" t="s">
        <v>7562</v>
      </c>
      <c r="H649" s="46" t="s">
        <v>607</v>
      </c>
      <c r="I649" s="46" t="s">
        <v>7563</v>
      </c>
      <c r="J649" s="49" t="s">
        <v>899</v>
      </c>
      <c r="M649" s="134">
        <v>1300000</v>
      </c>
      <c r="O649" s="47" t="s">
        <v>7564</v>
      </c>
      <c r="P649" s="47" t="s">
        <v>7565</v>
      </c>
      <c r="Q649" s="62" t="s">
        <v>29</v>
      </c>
      <c r="R649" s="47" t="s">
        <v>7566</v>
      </c>
      <c r="U649" s="46" t="s">
        <v>2227</v>
      </c>
      <c r="V649" s="46"/>
    </row>
    <row r="650" spans="1:22" ht="208.5" customHeight="1" x14ac:dyDescent="0.25">
      <c r="A650" s="61">
        <v>42927</v>
      </c>
      <c r="B650" s="62" t="s">
        <v>5360</v>
      </c>
      <c r="C650" s="46" t="s">
        <v>899</v>
      </c>
      <c r="D650" s="46" t="s">
        <v>1027</v>
      </c>
      <c r="E650" s="46" t="s">
        <v>588</v>
      </c>
      <c r="F650" s="46" t="s">
        <v>7528</v>
      </c>
      <c r="H650" s="46" t="s">
        <v>607</v>
      </c>
      <c r="I650" s="46" t="s">
        <v>6676</v>
      </c>
      <c r="J650" s="49" t="s">
        <v>899</v>
      </c>
      <c r="L650" s="63">
        <v>3</v>
      </c>
      <c r="M650" s="64">
        <v>1720000</v>
      </c>
      <c r="N650" s="151">
        <v>3462600</v>
      </c>
      <c r="O650" s="47" t="s">
        <v>7567</v>
      </c>
      <c r="P650" s="47" t="s">
        <v>7568</v>
      </c>
      <c r="Q650" s="62" t="s">
        <v>1939</v>
      </c>
      <c r="R650" s="47" t="s">
        <v>7569</v>
      </c>
      <c r="S650" s="89" t="s">
        <v>8376</v>
      </c>
      <c r="U650" s="46" t="s">
        <v>2227</v>
      </c>
      <c r="V650" s="46"/>
    </row>
    <row r="651" spans="1:22" ht="60" x14ac:dyDescent="0.25">
      <c r="A651" s="61">
        <v>42927</v>
      </c>
      <c r="B651" s="62" t="s">
        <v>328</v>
      </c>
      <c r="C651" s="46" t="s">
        <v>899</v>
      </c>
      <c r="D651" s="46" t="s">
        <v>672</v>
      </c>
      <c r="E651" s="46" t="s">
        <v>588</v>
      </c>
      <c r="F651" s="46" t="s">
        <v>3103</v>
      </c>
      <c r="H651" s="46" t="s">
        <v>607</v>
      </c>
      <c r="J651" s="49" t="s">
        <v>899</v>
      </c>
      <c r="N651" s="64">
        <v>5000000</v>
      </c>
      <c r="O651" s="47" t="s">
        <v>7571</v>
      </c>
      <c r="P651" s="47" t="s">
        <v>7572</v>
      </c>
      <c r="Q651" s="62" t="s">
        <v>1939</v>
      </c>
      <c r="R651" s="47" t="s">
        <v>7573</v>
      </c>
      <c r="U651" s="46" t="s">
        <v>2227</v>
      </c>
      <c r="V651" s="46"/>
    </row>
    <row r="652" spans="1:22" ht="45" x14ac:dyDescent="0.25">
      <c r="A652" s="61">
        <v>42927</v>
      </c>
      <c r="B652" s="62" t="s">
        <v>328</v>
      </c>
      <c r="C652" s="46" t="s">
        <v>603</v>
      </c>
      <c r="D652" s="46" t="s">
        <v>649</v>
      </c>
      <c r="E652" s="46" t="s">
        <v>588</v>
      </c>
      <c r="F652" s="46" t="s">
        <v>7576</v>
      </c>
      <c r="H652" s="46" t="s">
        <v>607</v>
      </c>
      <c r="I652" s="46" t="s">
        <v>5888</v>
      </c>
      <c r="J652" s="49" t="s">
        <v>3373</v>
      </c>
      <c r="L652" s="63">
        <v>5</v>
      </c>
      <c r="M652" s="64">
        <v>200000</v>
      </c>
      <c r="N652" s="132">
        <v>3600000</v>
      </c>
      <c r="O652" s="47" t="s">
        <v>560</v>
      </c>
      <c r="P652" s="150" t="s">
        <v>7575</v>
      </c>
      <c r="Q652" s="62" t="s">
        <v>1939</v>
      </c>
      <c r="R652" s="47" t="s">
        <v>7574</v>
      </c>
      <c r="U652" s="46" t="s">
        <v>2227</v>
      </c>
      <c r="V652" s="46"/>
    </row>
    <row r="653" spans="1:22" ht="45" x14ac:dyDescent="0.25">
      <c r="A653" s="61">
        <v>42928</v>
      </c>
      <c r="B653" s="62" t="s">
        <v>328</v>
      </c>
      <c r="C653" s="46" t="s">
        <v>603</v>
      </c>
      <c r="D653" s="46" t="s">
        <v>649</v>
      </c>
      <c r="E653" s="46" t="s">
        <v>588</v>
      </c>
      <c r="F653" s="46" t="s">
        <v>7578</v>
      </c>
      <c r="H653" s="46" t="s">
        <v>607</v>
      </c>
      <c r="I653" s="46" t="s">
        <v>3710</v>
      </c>
      <c r="J653" s="49" t="s">
        <v>899</v>
      </c>
      <c r="L653" s="63" t="s">
        <v>7579</v>
      </c>
      <c r="M653" s="64">
        <v>850000</v>
      </c>
      <c r="N653" s="132">
        <v>1700000</v>
      </c>
      <c r="O653" s="47" t="s">
        <v>6183</v>
      </c>
      <c r="P653" s="47" t="s">
        <v>7580</v>
      </c>
      <c r="Q653" s="62" t="s">
        <v>592</v>
      </c>
      <c r="R653" s="47" t="s">
        <v>7581</v>
      </c>
      <c r="U653" s="46" t="s">
        <v>2227</v>
      </c>
      <c r="V653" s="46"/>
    </row>
    <row r="654" spans="1:22" ht="60" x14ac:dyDescent="0.25">
      <c r="A654" s="61">
        <v>42928</v>
      </c>
      <c r="B654" s="62" t="s">
        <v>328</v>
      </c>
      <c r="C654" s="46" t="s">
        <v>603</v>
      </c>
      <c r="D654" s="46" t="s">
        <v>5701</v>
      </c>
      <c r="E654" s="46" t="s">
        <v>588</v>
      </c>
      <c r="F654" s="46" t="s">
        <v>7583</v>
      </c>
      <c r="H654" s="46" t="s">
        <v>4183</v>
      </c>
      <c r="I654" s="46" t="s">
        <v>7584</v>
      </c>
      <c r="J654" s="49" t="s">
        <v>3374</v>
      </c>
      <c r="L654" s="63">
        <v>2</v>
      </c>
      <c r="M654" s="132">
        <v>2118214</v>
      </c>
      <c r="N654" s="132">
        <v>3918696</v>
      </c>
      <c r="O654" s="47" t="s">
        <v>560</v>
      </c>
      <c r="P654" s="47" t="s">
        <v>7934</v>
      </c>
      <c r="Q654" s="62" t="s">
        <v>592</v>
      </c>
      <c r="R654" s="47" t="s">
        <v>7585</v>
      </c>
      <c r="S654" s="47" t="s">
        <v>7586</v>
      </c>
      <c r="U654" s="46" t="s">
        <v>2227</v>
      </c>
      <c r="V654" s="46"/>
    </row>
    <row r="655" spans="1:22" ht="60" x14ac:dyDescent="0.25">
      <c r="A655" s="61">
        <v>42928</v>
      </c>
      <c r="B655" s="62" t="s">
        <v>643</v>
      </c>
      <c r="C655" s="46" t="s">
        <v>644</v>
      </c>
      <c r="D655" s="46" t="s">
        <v>645</v>
      </c>
      <c r="E655" s="46" t="s">
        <v>588</v>
      </c>
      <c r="F655" s="46" t="s">
        <v>7588</v>
      </c>
      <c r="H655" s="46" t="s">
        <v>6002</v>
      </c>
      <c r="I655" s="46" t="s">
        <v>7587</v>
      </c>
      <c r="J655" s="49" t="s">
        <v>644</v>
      </c>
      <c r="L655" s="63">
        <v>7</v>
      </c>
      <c r="M655" s="64">
        <v>520000</v>
      </c>
      <c r="N655" s="64">
        <v>1040000</v>
      </c>
      <c r="O655" s="47" t="s">
        <v>1033</v>
      </c>
      <c r="P655" s="47" t="s">
        <v>7589</v>
      </c>
      <c r="Q655" s="62" t="s">
        <v>1939</v>
      </c>
      <c r="R655" s="47" t="s">
        <v>7590</v>
      </c>
      <c r="U655" s="46" t="s">
        <v>2227</v>
      </c>
      <c r="V655" s="46"/>
    </row>
    <row r="656" spans="1:22" ht="45" x14ac:dyDescent="0.25">
      <c r="A656" s="61">
        <v>42929</v>
      </c>
      <c r="B656" s="62" t="s">
        <v>328</v>
      </c>
      <c r="D656" s="46" t="s">
        <v>7595</v>
      </c>
      <c r="E656" s="46" t="s">
        <v>588</v>
      </c>
      <c r="F656" s="46" t="s">
        <v>7594</v>
      </c>
      <c r="H656" s="46" t="s">
        <v>6002</v>
      </c>
      <c r="I656" s="46" t="s">
        <v>7593</v>
      </c>
      <c r="J656" s="49" t="s">
        <v>3426</v>
      </c>
      <c r="L656" s="63">
        <v>5</v>
      </c>
      <c r="M656" s="64">
        <v>192000</v>
      </c>
      <c r="N656" s="64">
        <v>393600</v>
      </c>
      <c r="O656" s="47" t="s">
        <v>7592</v>
      </c>
      <c r="P656" s="47" t="s">
        <v>7943</v>
      </c>
      <c r="Q656" s="62" t="s">
        <v>1939</v>
      </c>
      <c r="R656" s="47" t="s">
        <v>7591</v>
      </c>
      <c r="S656" s="47" t="s">
        <v>9678</v>
      </c>
      <c r="U656" s="46" t="s">
        <v>2227</v>
      </c>
      <c r="V656" s="46"/>
    </row>
    <row r="657" spans="1:22" ht="105" x14ac:dyDescent="0.25">
      <c r="A657" s="61">
        <v>42929</v>
      </c>
      <c r="B657" s="62" t="s">
        <v>110</v>
      </c>
      <c r="C657" s="46" t="s">
        <v>761</v>
      </c>
      <c r="D657" s="46" t="s">
        <v>715</v>
      </c>
      <c r="E657" s="46" t="s">
        <v>588</v>
      </c>
      <c r="F657" s="46" t="s">
        <v>7596</v>
      </c>
      <c r="H657" s="46" t="s">
        <v>6002</v>
      </c>
      <c r="I657" s="46" t="s">
        <v>6758</v>
      </c>
      <c r="J657" s="49" t="s">
        <v>761</v>
      </c>
      <c r="L657" s="63">
        <v>10</v>
      </c>
      <c r="M657" s="64">
        <v>365000</v>
      </c>
      <c r="N657" s="64">
        <v>620500</v>
      </c>
      <c r="O657" s="47" t="s">
        <v>3365</v>
      </c>
      <c r="P657" s="47" t="s">
        <v>7598</v>
      </c>
      <c r="Q657" s="62" t="s">
        <v>1939</v>
      </c>
      <c r="R657" s="47" t="s">
        <v>7597</v>
      </c>
      <c r="U657" s="46" t="s">
        <v>2227</v>
      </c>
      <c r="V657" s="46"/>
    </row>
    <row r="658" spans="1:22" ht="60" x14ac:dyDescent="0.25">
      <c r="A658" s="61">
        <v>42929</v>
      </c>
      <c r="B658" s="62" t="s">
        <v>328</v>
      </c>
      <c r="C658" s="46" t="s">
        <v>603</v>
      </c>
      <c r="D658" s="46" t="s">
        <v>649</v>
      </c>
      <c r="E658" s="46" t="s">
        <v>588</v>
      </c>
      <c r="F658" s="46" t="s">
        <v>7009</v>
      </c>
      <c r="H658" s="46" t="s">
        <v>6002</v>
      </c>
      <c r="I658" s="46" t="s">
        <v>3452</v>
      </c>
      <c r="J658" s="49" t="s">
        <v>899</v>
      </c>
      <c r="L658" s="63">
        <v>8</v>
      </c>
      <c r="M658" s="132">
        <v>1755000</v>
      </c>
      <c r="N658" s="132">
        <v>3951500</v>
      </c>
      <c r="O658" s="47" t="s">
        <v>560</v>
      </c>
      <c r="P658" s="150" t="s">
        <v>7599</v>
      </c>
      <c r="Q658" s="62" t="s">
        <v>1939</v>
      </c>
      <c r="R658" s="135" t="s">
        <v>7601</v>
      </c>
      <c r="S658" s="47" t="s">
        <v>7600</v>
      </c>
      <c r="U658" s="46" t="s">
        <v>2227</v>
      </c>
      <c r="V658" s="46"/>
    </row>
    <row r="659" spans="1:22" x14ac:dyDescent="0.25">
      <c r="A659" s="61">
        <v>42929</v>
      </c>
      <c r="B659" s="62" t="s">
        <v>569</v>
      </c>
      <c r="C659" s="46" t="s">
        <v>899</v>
      </c>
      <c r="D659" s="46" t="s">
        <v>625</v>
      </c>
      <c r="E659" s="46" t="s">
        <v>588</v>
      </c>
      <c r="F659" s="46" t="s">
        <v>7602</v>
      </c>
      <c r="H659" s="46" t="s">
        <v>7603</v>
      </c>
      <c r="I659" s="46" t="s">
        <v>2054</v>
      </c>
      <c r="J659" s="49" t="s">
        <v>899</v>
      </c>
      <c r="L659" s="63">
        <v>2</v>
      </c>
      <c r="M659" s="64">
        <v>2000000</v>
      </c>
      <c r="N659" s="64">
        <v>3535000</v>
      </c>
      <c r="O659" s="47" t="s">
        <v>560</v>
      </c>
      <c r="P659" s="47" t="s">
        <v>7604</v>
      </c>
      <c r="Q659" s="62" t="s">
        <v>592</v>
      </c>
      <c r="R659" s="47" t="s">
        <v>7605</v>
      </c>
      <c r="U659" s="46" t="s">
        <v>2227</v>
      </c>
      <c r="V659" s="46"/>
    </row>
    <row r="660" spans="1:22" ht="60" x14ac:dyDescent="0.25">
      <c r="A660" s="61">
        <v>42930</v>
      </c>
      <c r="B660" s="62" t="s">
        <v>328</v>
      </c>
      <c r="C660" s="46" t="s">
        <v>899</v>
      </c>
      <c r="D660" s="46" t="s">
        <v>5701</v>
      </c>
      <c r="E660" s="46" t="s">
        <v>588</v>
      </c>
      <c r="F660" s="46" t="s">
        <v>7606</v>
      </c>
      <c r="H660" s="46" t="s">
        <v>6002</v>
      </c>
      <c r="I660" s="46" t="s">
        <v>5412</v>
      </c>
      <c r="J660" s="49" t="s">
        <v>899</v>
      </c>
      <c r="L660" s="63">
        <v>3</v>
      </c>
      <c r="M660" s="132">
        <v>3650000</v>
      </c>
      <c r="N660" s="64">
        <v>3900000</v>
      </c>
      <c r="O660" s="47" t="s">
        <v>560</v>
      </c>
      <c r="P660" s="135" t="s">
        <v>7607</v>
      </c>
      <c r="Q660" s="62" t="s">
        <v>620</v>
      </c>
      <c r="R660" s="47" t="s">
        <v>7608</v>
      </c>
      <c r="U660" s="46" t="s">
        <v>2227</v>
      </c>
      <c r="V660" s="46"/>
    </row>
    <row r="661" spans="1:22" ht="105" x14ac:dyDescent="0.25">
      <c r="A661" s="61">
        <v>42930</v>
      </c>
      <c r="B661" s="62" t="s">
        <v>328</v>
      </c>
      <c r="C661" s="46" t="s">
        <v>603</v>
      </c>
      <c r="D661" s="46" t="s">
        <v>672</v>
      </c>
      <c r="E661" s="46" t="s">
        <v>588</v>
      </c>
      <c r="F661" s="46" t="s">
        <v>7609</v>
      </c>
      <c r="H661" s="46" t="s">
        <v>6002</v>
      </c>
      <c r="I661" s="46" t="s">
        <v>7610</v>
      </c>
      <c r="J661" s="49" t="s">
        <v>3398</v>
      </c>
      <c r="L661" s="63">
        <v>10</v>
      </c>
      <c r="M661" s="118">
        <v>726000</v>
      </c>
      <c r="N661" s="152">
        <v>1574850</v>
      </c>
      <c r="O661" s="47" t="s">
        <v>6860</v>
      </c>
      <c r="P661" s="47" t="s">
        <v>7612</v>
      </c>
      <c r="Q661" s="62" t="s">
        <v>1939</v>
      </c>
      <c r="R661" s="47" t="s">
        <v>7611</v>
      </c>
      <c r="U661" s="46" t="s">
        <v>2227</v>
      </c>
      <c r="V661" s="46"/>
    </row>
    <row r="662" spans="1:22" ht="75" x14ac:dyDescent="0.25">
      <c r="A662" s="61">
        <v>42930</v>
      </c>
      <c r="B662" s="62" t="s">
        <v>328</v>
      </c>
      <c r="C662" s="46" t="s">
        <v>603</v>
      </c>
      <c r="D662" s="46" t="s">
        <v>2397</v>
      </c>
      <c r="E662" s="46" t="s">
        <v>588</v>
      </c>
      <c r="F662" s="46" t="s">
        <v>7614</v>
      </c>
      <c r="H662" s="46" t="s">
        <v>7603</v>
      </c>
      <c r="I662" s="46" t="s">
        <v>3649</v>
      </c>
      <c r="J662" s="49" t="s">
        <v>899</v>
      </c>
      <c r="L662" s="63">
        <v>4</v>
      </c>
      <c r="M662" s="132">
        <v>2650000</v>
      </c>
      <c r="N662" s="132">
        <v>3241000</v>
      </c>
      <c r="O662" s="47" t="s">
        <v>560</v>
      </c>
      <c r="P662" s="150" t="s">
        <v>7613</v>
      </c>
      <c r="Q662" s="62" t="s">
        <v>1612</v>
      </c>
      <c r="R662" s="47" t="s">
        <v>7915</v>
      </c>
      <c r="U662" s="46" t="s">
        <v>2227</v>
      </c>
      <c r="V662" s="46"/>
    </row>
    <row r="663" spans="1:22" ht="150" x14ac:dyDescent="0.25">
      <c r="A663" s="61">
        <v>42930</v>
      </c>
      <c r="B663" s="62" t="s">
        <v>328</v>
      </c>
      <c r="C663" s="46" t="s">
        <v>603</v>
      </c>
      <c r="D663" s="46" t="s">
        <v>2397</v>
      </c>
      <c r="E663" s="46" t="s">
        <v>588</v>
      </c>
      <c r="F663" s="46" t="s">
        <v>7619</v>
      </c>
      <c r="H663" s="46" t="s">
        <v>6002</v>
      </c>
      <c r="I663" s="46" t="s">
        <v>7618</v>
      </c>
      <c r="J663" s="49" t="s">
        <v>899</v>
      </c>
      <c r="L663" s="63">
        <v>4</v>
      </c>
      <c r="M663" s="64">
        <v>1107000</v>
      </c>
      <c r="N663" s="132">
        <v>2269350</v>
      </c>
      <c r="O663" s="47" t="s">
        <v>7617</v>
      </c>
      <c r="P663" s="135" t="s">
        <v>7616</v>
      </c>
      <c r="Q663" s="62" t="s">
        <v>1939</v>
      </c>
      <c r="R663" s="47" t="s">
        <v>7615</v>
      </c>
      <c r="U663" s="46" t="s">
        <v>2227</v>
      </c>
      <c r="V663" s="46"/>
    </row>
    <row r="664" spans="1:22" ht="45" x14ac:dyDescent="0.25">
      <c r="A664" s="61">
        <v>42933</v>
      </c>
      <c r="B664" s="62" t="s">
        <v>569</v>
      </c>
      <c r="D664" s="46" t="s">
        <v>625</v>
      </c>
      <c r="E664" s="46" t="s">
        <v>588</v>
      </c>
      <c r="F664" s="46" t="s">
        <v>7620</v>
      </c>
      <c r="H664" s="46" t="s">
        <v>4261</v>
      </c>
      <c r="I664" s="46" t="s">
        <v>3388</v>
      </c>
      <c r="J664" s="49" t="s">
        <v>899</v>
      </c>
      <c r="L664" s="63">
        <v>1</v>
      </c>
      <c r="M664" s="64">
        <v>1900000</v>
      </c>
      <c r="N664" s="64">
        <v>3458000</v>
      </c>
      <c r="O664" s="47" t="s">
        <v>560</v>
      </c>
      <c r="P664" s="47" t="s">
        <v>7621</v>
      </c>
      <c r="Q664" s="62" t="s">
        <v>1939</v>
      </c>
      <c r="R664" s="47" t="s">
        <v>7622</v>
      </c>
      <c r="U664" s="46" t="s">
        <v>491</v>
      </c>
      <c r="V664" s="46"/>
    </row>
    <row r="665" spans="1:22" ht="60" x14ac:dyDescent="0.25">
      <c r="A665" s="61">
        <v>42933</v>
      </c>
      <c r="B665" s="62" t="s">
        <v>110</v>
      </c>
      <c r="C665" s="46" t="s">
        <v>761</v>
      </c>
      <c r="D665" s="46" t="s">
        <v>715</v>
      </c>
      <c r="E665" s="46" t="s">
        <v>588</v>
      </c>
      <c r="F665" s="46" t="s">
        <v>7623</v>
      </c>
      <c r="H665" s="46" t="s">
        <v>607</v>
      </c>
      <c r="I665" s="46" t="s">
        <v>4230</v>
      </c>
      <c r="J665" s="49" t="s">
        <v>761</v>
      </c>
      <c r="L665" s="63">
        <v>5</v>
      </c>
      <c r="M665" s="64">
        <v>425000</v>
      </c>
      <c r="N665" s="64">
        <v>790000</v>
      </c>
      <c r="O665" s="47" t="s">
        <v>1171</v>
      </c>
      <c r="P665" s="47" t="s">
        <v>7624</v>
      </c>
      <c r="Q665" s="62" t="s">
        <v>1939</v>
      </c>
      <c r="R665" s="47" t="s">
        <v>7625</v>
      </c>
      <c r="U665" s="46" t="s">
        <v>491</v>
      </c>
      <c r="V665" s="46"/>
    </row>
    <row r="666" spans="1:22" ht="321" customHeight="1" x14ac:dyDescent="0.25">
      <c r="A666" s="61">
        <v>42933</v>
      </c>
      <c r="B666" s="62" t="s">
        <v>328</v>
      </c>
      <c r="D666" s="46" t="s">
        <v>649</v>
      </c>
      <c r="E666" s="46" t="s">
        <v>588</v>
      </c>
      <c r="F666" s="46" t="s">
        <v>7626</v>
      </c>
      <c r="H666" s="46" t="s">
        <v>607</v>
      </c>
      <c r="I666" s="46" t="s">
        <v>7627</v>
      </c>
      <c r="J666" s="49" t="s">
        <v>3398</v>
      </c>
      <c r="L666" s="63">
        <v>9</v>
      </c>
      <c r="M666" s="64">
        <v>399000</v>
      </c>
      <c r="N666" s="64">
        <v>778050</v>
      </c>
      <c r="O666" s="47" t="s">
        <v>2680</v>
      </c>
      <c r="P666" s="47" t="s">
        <v>7628</v>
      </c>
      <c r="Q666" s="62" t="s">
        <v>1612</v>
      </c>
      <c r="R666" s="89" t="s">
        <v>7694</v>
      </c>
      <c r="S666" s="47" t="s">
        <v>7710</v>
      </c>
      <c r="U666" s="46" t="s">
        <v>491</v>
      </c>
      <c r="V666" s="46"/>
    </row>
    <row r="667" spans="1:22" ht="45" x14ac:dyDescent="0.25">
      <c r="A667" s="61">
        <v>42933</v>
      </c>
      <c r="B667" s="62" t="s">
        <v>5360</v>
      </c>
      <c r="D667" s="46" t="s">
        <v>732</v>
      </c>
      <c r="E667" s="46" t="s">
        <v>821</v>
      </c>
      <c r="F667" s="46" t="s">
        <v>7629</v>
      </c>
      <c r="H667" s="46" t="s">
        <v>905</v>
      </c>
      <c r="O667" s="47" t="s">
        <v>2295</v>
      </c>
      <c r="P667" s="47" t="s">
        <v>7630</v>
      </c>
      <c r="Q667" s="62" t="s">
        <v>592</v>
      </c>
      <c r="U667" s="46" t="s">
        <v>491</v>
      </c>
      <c r="V667" s="46"/>
    </row>
    <row r="668" spans="1:22" ht="45" x14ac:dyDescent="0.25">
      <c r="A668" s="61">
        <v>42933</v>
      </c>
      <c r="B668" s="62" t="s">
        <v>569</v>
      </c>
      <c r="D668" s="46" t="s">
        <v>625</v>
      </c>
      <c r="E668" s="46" t="s">
        <v>588</v>
      </c>
      <c r="O668" s="47" t="s">
        <v>7631</v>
      </c>
      <c r="P668" s="47" t="s">
        <v>7632</v>
      </c>
      <c r="Q668" s="62" t="s">
        <v>29</v>
      </c>
      <c r="U668" s="46" t="s">
        <v>491</v>
      </c>
      <c r="V668" s="46"/>
    </row>
    <row r="669" spans="1:22" ht="60" x14ac:dyDescent="0.25">
      <c r="A669" s="61">
        <v>42934</v>
      </c>
      <c r="B669" s="62" t="s">
        <v>569</v>
      </c>
      <c r="D669" s="46" t="s">
        <v>624</v>
      </c>
      <c r="E669" s="46" t="s">
        <v>588</v>
      </c>
      <c r="F669" s="47" t="s">
        <v>7633</v>
      </c>
      <c r="G669" s="47"/>
      <c r="H669" s="46" t="s">
        <v>607</v>
      </c>
      <c r="O669" s="47" t="s">
        <v>5739</v>
      </c>
      <c r="P669" s="47" t="s">
        <v>7634</v>
      </c>
      <c r="Q669" s="62" t="s">
        <v>1939</v>
      </c>
      <c r="R669" s="47" t="s">
        <v>7635</v>
      </c>
      <c r="S669" s="47" t="s">
        <v>8168</v>
      </c>
      <c r="U669" s="46" t="s">
        <v>491</v>
      </c>
      <c r="V669" s="46"/>
    </row>
    <row r="670" spans="1:22" ht="30" x14ac:dyDescent="0.25">
      <c r="A670" s="61">
        <v>42934</v>
      </c>
      <c r="B670" s="62" t="s">
        <v>643</v>
      </c>
      <c r="C670" s="46" t="s">
        <v>644</v>
      </c>
      <c r="D670" s="46" t="s">
        <v>645</v>
      </c>
      <c r="E670" s="46" t="s">
        <v>588</v>
      </c>
      <c r="F670" s="46" t="s">
        <v>7636</v>
      </c>
      <c r="H670" s="46" t="s">
        <v>5991</v>
      </c>
      <c r="I670" s="46" t="s">
        <v>5212</v>
      </c>
      <c r="J670" s="49" t="s">
        <v>644</v>
      </c>
      <c r="L670" s="63">
        <v>3</v>
      </c>
      <c r="M670" s="64">
        <v>2000000</v>
      </c>
      <c r="N670" s="64">
        <v>2750000</v>
      </c>
      <c r="O670" s="47" t="s">
        <v>7637</v>
      </c>
      <c r="P670" s="47" t="s">
        <v>7638</v>
      </c>
      <c r="Q670" s="62" t="s">
        <v>1939</v>
      </c>
      <c r="R670" s="47" t="s">
        <v>7639</v>
      </c>
      <c r="U670" s="46" t="s">
        <v>491</v>
      </c>
      <c r="V670" s="46"/>
    </row>
    <row r="671" spans="1:22" ht="30" x14ac:dyDescent="0.25">
      <c r="A671" s="61">
        <v>42934</v>
      </c>
      <c r="B671" s="62" t="s">
        <v>110</v>
      </c>
      <c r="C671" s="46" t="s">
        <v>761</v>
      </c>
      <c r="D671" s="46" t="s">
        <v>715</v>
      </c>
      <c r="E671" s="46" t="s">
        <v>588</v>
      </c>
      <c r="F671" s="46" t="s">
        <v>7640</v>
      </c>
      <c r="H671" s="46" t="s">
        <v>905</v>
      </c>
      <c r="I671" s="46" t="s">
        <v>7641</v>
      </c>
      <c r="J671" s="49" t="s">
        <v>4785</v>
      </c>
      <c r="L671" s="63">
        <v>9</v>
      </c>
      <c r="M671" s="64">
        <v>595000</v>
      </c>
      <c r="N671" s="64">
        <v>719000</v>
      </c>
      <c r="O671" s="47" t="s">
        <v>840</v>
      </c>
      <c r="P671" s="47" t="s">
        <v>7642</v>
      </c>
      <c r="Q671" s="62" t="s">
        <v>1939</v>
      </c>
      <c r="R671" s="47" t="s">
        <v>7643</v>
      </c>
      <c r="U671" s="46" t="s">
        <v>491</v>
      </c>
      <c r="V671" s="46"/>
    </row>
    <row r="672" spans="1:22" ht="45" x14ac:dyDescent="0.25">
      <c r="A672" s="61">
        <v>42934</v>
      </c>
      <c r="B672" s="62" t="s">
        <v>569</v>
      </c>
      <c r="D672" s="46" t="s">
        <v>930</v>
      </c>
      <c r="E672" s="46" t="s">
        <v>821</v>
      </c>
      <c r="F672" s="46" t="s">
        <v>7644</v>
      </c>
      <c r="H672" s="46" t="s">
        <v>607</v>
      </c>
      <c r="I672" s="46" t="s">
        <v>3649</v>
      </c>
      <c r="J672" s="49" t="s">
        <v>899</v>
      </c>
      <c r="M672" s="64">
        <v>2336000</v>
      </c>
      <c r="O672" s="47" t="s">
        <v>7645</v>
      </c>
      <c r="P672" s="47" t="s">
        <v>7646</v>
      </c>
      <c r="Q672" s="62" t="s">
        <v>1939</v>
      </c>
      <c r="R672" s="47" t="s">
        <v>7647</v>
      </c>
      <c r="U672" s="46" t="s">
        <v>491</v>
      </c>
      <c r="V672" s="46"/>
    </row>
    <row r="673" spans="1:23" ht="60" x14ac:dyDescent="0.25">
      <c r="A673" s="61">
        <v>42934</v>
      </c>
      <c r="B673" s="62" t="s">
        <v>569</v>
      </c>
      <c r="D673" s="46" t="s">
        <v>930</v>
      </c>
      <c r="E673" s="46" t="s">
        <v>821</v>
      </c>
      <c r="F673" s="46" t="s">
        <v>7648</v>
      </c>
      <c r="H673" s="46" t="s">
        <v>1050</v>
      </c>
      <c r="O673" s="47" t="s">
        <v>5291</v>
      </c>
      <c r="P673" s="47" t="s">
        <v>7649</v>
      </c>
      <c r="Q673" s="62" t="s">
        <v>592</v>
      </c>
      <c r="U673" s="46" t="s">
        <v>491</v>
      </c>
      <c r="V673" s="46"/>
    </row>
    <row r="674" spans="1:23" ht="90" x14ac:dyDescent="0.25">
      <c r="A674" s="61">
        <v>42934</v>
      </c>
      <c r="B674" s="62" t="s">
        <v>328</v>
      </c>
      <c r="C674" s="46" t="s">
        <v>603</v>
      </c>
      <c r="D674" s="46" t="s">
        <v>649</v>
      </c>
      <c r="E674" s="46" t="s">
        <v>692</v>
      </c>
      <c r="F674" s="46" t="s">
        <v>7650</v>
      </c>
      <c r="H674" s="46" t="s">
        <v>607</v>
      </c>
      <c r="I674" s="46" t="s">
        <v>7651</v>
      </c>
      <c r="J674" s="49" t="s">
        <v>644</v>
      </c>
      <c r="O674" s="47" t="s">
        <v>7652</v>
      </c>
      <c r="P674" s="47" t="s">
        <v>7653</v>
      </c>
      <c r="Q674" s="62" t="s">
        <v>1939</v>
      </c>
      <c r="R674" s="47" t="s">
        <v>7654</v>
      </c>
      <c r="U674" s="46" t="s">
        <v>491</v>
      </c>
      <c r="V674" s="46"/>
    </row>
    <row r="675" spans="1:23" ht="60" x14ac:dyDescent="0.25">
      <c r="A675" s="61">
        <v>42934</v>
      </c>
      <c r="B675" s="62" t="s">
        <v>569</v>
      </c>
      <c r="C675" s="46" t="s">
        <v>833</v>
      </c>
      <c r="D675" s="46" t="s">
        <v>930</v>
      </c>
      <c r="E675" s="46" t="s">
        <v>1707</v>
      </c>
      <c r="F675" s="46" t="s">
        <v>7655</v>
      </c>
      <c r="H675" s="46" t="s">
        <v>607</v>
      </c>
      <c r="O675" s="47" t="s">
        <v>7656</v>
      </c>
      <c r="P675" s="47" t="s">
        <v>7657</v>
      </c>
      <c r="Q675" s="62" t="s">
        <v>1939</v>
      </c>
      <c r="R675" s="47" t="s">
        <v>7658</v>
      </c>
      <c r="U675" s="46" t="s">
        <v>491</v>
      </c>
      <c r="V675" s="46"/>
    </row>
    <row r="676" spans="1:23" ht="192.75" x14ac:dyDescent="0.25">
      <c r="A676" s="61">
        <v>42934</v>
      </c>
      <c r="B676" s="62" t="s">
        <v>328</v>
      </c>
      <c r="C676" s="46" t="s">
        <v>603</v>
      </c>
      <c r="D676" s="46" t="s">
        <v>649</v>
      </c>
      <c r="E676" s="46" t="s">
        <v>588</v>
      </c>
      <c r="F676" s="46" t="s">
        <v>7707</v>
      </c>
      <c r="G676" s="46" t="s">
        <v>7708</v>
      </c>
      <c r="H676" s="46" t="s">
        <v>905</v>
      </c>
      <c r="I676" s="46" t="s">
        <v>7659</v>
      </c>
      <c r="J676" s="49" t="s">
        <v>5610</v>
      </c>
      <c r="L676" s="63">
        <v>10</v>
      </c>
      <c r="M676" s="64">
        <v>200000</v>
      </c>
      <c r="N676" s="64">
        <v>220000</v>
      </c>
      <c r="O676" s="47" t="s">
        <v>7656</v>
      </c>
      <c r="P676" s="47" t="s">
        <v>7660</v>
      </c>
      <c r="Q676" s="62" t="s">
        <v>29</v>
      </c>
      <c r="R676" s="86" t="s">
        <v>7709</v>
      </c>
      <c r="U676" s="46" t="s">
        <v>491</v>
      </c>
      <c r="V676" s="46"/>
    </row>
    <row r="677" spans="1:23" ht="135" x14ac:dyDescent="0.25">
      <c r="A677" s="61">
        <v>42934</v>
      </c>
      <c r="B677" s="62" t="s">
        <v>5176</v>
      </c>
      <c r="D677" s="46" t="s">
        <v>595</v>
      </c>
      <c r="E677" s="46" t="s">
        <v>588</v>
      </c>
      <c r="F677" s="46" t="s">
        <v>7661</v>
      </c>
      <c r="H677" s="46" t="s">
        <v>607</v>
      </c>
      <c r="I677" s="46" t="s">
        <v>7662</v>
      </c>
      <c r="J677" s="49" t="s">
        <v>959</v>
      </c>
      <c r="M677" s="64">
        <v>551000</v>
      </c>
      <c r="O677" s="47" t="s">
        <v>1844</v>
      </c>
      <c r="P677" s="47" t="s">
        <v>7663</v>
      </c>
      <c r="Q677" s="62" t="s">
        <v>1939</v>
      </c>
      <c r="R677" s="47" t="s">
        <v>7664</v>
      </c>
      <c r="U677" s="46" t="s">
        <v>491</v>
      </c>
      <c r="V677" s="46"/>
    </row>
    <row r="678" spans="1:23" ht="120" x14ac:dyDescent="0.25">
      <c r="A678" s="61">
        <v>42934</v>
      </c>
      <c r="B678" s="62" t="s">
        <v>328</v>
      </c>
      <c r="C678" s="46" t="s">
        <v>603</v>
      </c>
      <c r="D678" s="46" t="s">
        <v>649</v>
      </c>
      <c r="E678" s="46" t="s">
        <v>588</v>
      </c>
      <c r="F678" s="46" t="s">
        <v>7665</v>
      </c>
      <c r="H678" s="46" t="s">
        <v>5514</v>
      </c>
      <c r="I678" s="46" t="s">
        <v>7666</v>
      </c>
      <c r="J678" s="49" t="s">
        <v>5562</v>
      </c>
      <c r="L678" s="63">
        <v>6</v>
      </c>
      <c r="M678" s="64">
        <v>250000</v>
      </c>
      <c r="N678" s="64">
        <v>535000</v>
      </c>
      <c r="O678" s="47" t="s">
        <v>6522</v>
      </c>
      <c r="P678" s="47" t="s">
        <v>7667</v>
      </c>
      <c r="Q678" s="62" t="s">
        <v>1612</v>
      </c>
      <c r="R678" s="47" t="s">
        <v>7726</v>
      </c>
      <c r="U678" s="46" t="s">
        <v>491</v>
      </c>
      <c r="V678" s="46"/>
    </row>
    <row r="679" spans="1:23" ht="45" x14ac:dyDescent="0.25">
      <c r="A679" s="61">
        <v>42935</v>
      </c>
      <c r="B679" s="62" t="s">
        <v>569</v>
      </c>
      <c r="D679" s="46" t="s">
        <v>611</v>
      </c>
      <c r="E679" s="46" t="s">
        <v>588</v>
      </c>
      <c r="F679" s="47" t="s">
        <v>7670</v>
      </c>
      <c r="G679" s="47"/>
      <c r="H679" s="46" t="s">
        <v>1050</v>
      </c>
      <c r="O679" s="47" t="s">
        <v>35</v>
      </c>
      <c r="P679" s="47" t="s">
        <v>7671</v>
      </c>
      <c r="Q679" s="62" t="s">
        <v>1939</v>
      </c>
      <c r="R679" s="47" t="s">
        <v>7672</v>
      </c>
      <c r="U679" s="46" t="s">
        <v>491</v>
      </c>
      <c r="V679" s="46"/>
    </row>
    <row r="680" spans="1:23" ht="60" x14ac:dyDescent="0.25">
      <c r="A680" s="61">
        <v>42935</v>
      </c>
      <c r="B680" s="62" t="s">
        <v>569</v>
      </c>
      <c r="D680" s="46" t="s">
        <v>625</v>
      </c>
      <c r="E680" s="46" t="s">
        <v>821</v>
      </c>
      <c r="F680" s="46" t="s">
        <v>7673</v>
      </c>
      <c r="H680" s="46" t="s">
        <v>905</v>
      </c>
      <c r="O680" s="47" t="s">
        <v>7674</v>
      </c>
      <c r="P680" s="47" t="s">
        <v>7675</v>
      </c>
      <c r="Q680" s="62" t="s">
        <v>592</v>
      </c>
      <c r="U680" s="46" t="s">
        <v>491</v>
      </c>
      <c r="V680" s="46"/>
    </row>
    <row r="681" spans="1:23" ht="75" x14ac:dyDescent="0.25">
      <c r="A681" s="61">
        <v>42935</v>
      </c>
      <c r="B681" s="62" t="s">
        <v>328</v>
      </c>
      <c r="C681" s="46" t="s">
        <v>603</v>
      </c>
      <c r="D681" s="46" t="s">
        <v>672</v>
      </c>
      <c r="E681" s="46" t="s">
        <v>588</v>
      </c>
      <c r="F681" s="47" t="s">
        <v>7678</v>
      </c>
      <c r="G681" s="47"/>
      <c r="H681" s="46" t="s">
        <v>905</v>
      </c>
      <c r="I681" s="46" t="s">
        <v>7676</v>
      </c>
      <c r="J681" s="49" t="s">
        <v>3612</v>
      </c>
      <c r="L681" s="63">
        <v>10</v>
      </c>
      <c r="M681" s="64">
        <v>234674</v>
      </c>
      <c r="N681" s="64">
        <v>350000</v>
      </c>
      <c r="O681" s="47" t="s">
        <v>7677</v>
      </c>
      <c r="P681" s="47" t="s">
        <v>7679</v>
      </c>
      <c r="Q681" s="62" t="s">
        <v>29</v>
      </c>
      <c r="R681" s="47" t="s">
        <v>7680</v>
      </c>
      <c r="U681" s="46" t="s">
        <v>491</v>
      </c>
      <c r="V681" s="46"/>
    </row>
    <row r="682" spans="1:23" ht="150" x14ac:dyDescent="0.25">
      <c r="A682" s="61">
        <v>42935</v>
      </c>
      <c r="B682" s="62" t="s">
        <v>569</v>
      </c>
      <c r="D682" s="46" t="s">
        <v>930</v>
      </c>
      <c r="E682" s="46" t="s">
        <v>588</v>
      </c>
      <c r="F682" s="46" t="s">
        <v>7681</v>
      </c>
      <c r="H682" s="46" t="s">
        <v>1391</v>
      </c>
      <c r="I682" s="46" t="s">
        <v>7682</v>
      </c>
      <c r="J682" s="49" t="s">
        <v>899</v>
      </c>
      <c r="L682" s="63">
        <v>4</v>
      </c>
      <c r="M682" s="64">
        <v>250000</v>
      </c>
      <c r="N682" s="64">
        <v>375000</v>
      </c>
      <c r="O682" s="47" t="s">
        <v>7683</v>
      </c>
      <c r="P682" s="47" t="s">
        <v>7727</v>
      </c>
      <c r="Q682" s="62" t="s">
        <v>1612</v>
      </c>
      <c r="R682" s="47" t="s">
        <v>9483</v>
      </c>
      <c r="U682" s="46" t="s">
        <v>491</v>
      </c>
      <c r="V682" s="109" t="s">
        <v>3985</v>
      </c>
      <c r="W682" s="47" t="s">
        <v>7731</v>
      </c>
    </row>
    <row r="683" spans="1:23" ht="75" x14ac:dyDescent="0.25">
      <c r="A683" s="61">
        <v>42936</v>
      </c>
      <c r="B683" s="62" t="s">
        <v>328</v>
      </c>
      <c r="C683" s="46" t="s">
        <v>603</v>
      </c>
      <c r="D683" s="46" t="s">
        <v>1401</v>
      </c>
      <c r="E683" s="46" t="s">
        <v>588</v>
      </c>
      <c r="F683" s="46" t="s">
        <v>7684</v>
      </c>
      <c r="H683" s="46" t="s">
        <v>607</v>
      </c>
      <c r="I683" s="46" t="s">
        <v>7685</v>
      </c>
      <c r="J683" s="49" t="s">
        <v>3733</v>
      </c>
      <c r="M683" s="64">
        <v>450000</v>
      </c>
      <c r="N683" s="64">
        <v>695000</v>
      </c>
      <c r="O683" s="47" t="s">
        <v>7592</v>
      </c>
      <c r="P683" s="47" t="s">
        <v>7687</v>
      </c>
      <c r="Q683" s="62" t="s">
        <v>1939</v>
      </c>
      <c r="R683" s="47" t="s">
        <v>7686</v>
      </c>
      <c r="U683" s="46" t="s">
        <v>2227</v>
      </c>
      <c r="V683" s="46"/>
    </row>
    <row r="684" spans="1:23" ht="135" x14ac:dyDescent="0.25">
      <c r="A684" s="61">
        <v>42936</v>
      </c>
      <c r="B684" s="62" t="s">
        <v>328</v>
      </c>
      <c r="C684" s="46" t="s">
        <v>603</v>
      </c>
      <c r="D684" s="46" t="s">
        <v>649</v>
      </c>
      <c r="E684" s="46" t="s">
        <v>588</v>
      </c>
      <c r="F684" s="46" t="s">
        <v>7688</v>
      </c>
      <c r="H684" s="46" t="s">
        <v>1391</v>
      </c>
      <c r="I684" s="46" t="s">
        <v>5444</v>
      </c>
      <c r="J684" s="49" t="s">
        <v>3885</v>
      </c>
      <c r="L684" s="63">
        <v>10</v>
      </c>
      <c r="M684" s="132">
        <v>1800000</v>
      </c>
      <c r="N684" s="132">
        <v>3060000</v>
      </c>
      <c r="O684" s="47" t="s">
        <v>6860</v>
      </c>
      <c r="P684" s="47" t="s">
        <v>7689</v>
      </c>
      <c r="Q684" s="62" t="s">
        <v>1939</v>
      </c>
      <c r="R684" s="47" t="s">
        <v>7690</v>
      </c>
      <c r="S684" s="47" t="s">
        <v>7691</v>
      </c>
      <c r="U684" s="46" t="s">
        <v>2227</v>
      </c>
      <c r="V684" s="46"/>
    </row>
    <row r="685" spans="1:23" ht="75" x14ac:dyDescent="0.25">
      <c r="A685" s="61">
        <v>42936</v>
      </c>
      <c r="B685" s="62" t="s">
        <v>328</v>
      </c>
      <c r="C685" s="46" t="s">
        <v>603</v>
      </c>
      <c r="D685" s="46" t="s">
        <v>649</v>
      </c>
      <c r="E685" s="46" t="s">
        <v>588</v>
      </c>
      <c r="F685" s="46" t="s">
        <v>7698</v>
      </c>
      <c r="G685" s="46" t="s">
        <v>7697</v>
      </c>
      <c r="H685" s="46" t="s">
        <v>905</v>
      </c>
      <c r="I685" s="46" t="s">
        <v>7692</v>
      </c>
      <c r="J685" s="49" t="s">
        <v>3367</v>
      </c>
      <c r="L685" s="63">
        <v>3</v>
      </c>
      <c r="M685" s="64">
        <v>300000</v>
      </c>
      <c r="N685" s="64">
        <v>405000</v>
      </c>
      <c r="O685" s="47" t="s">
        <v>4533</v>
      </c>
      <c r="P685" s="47" t="s">
        <v>7693</v>
      </c>
      <c r="Q685" s="62" t="s">
        <v>1939</v>
      </c>
      <c r="R685" s="47" t="s">
        <v>7942</v>
      </c>
      <c r="U685" s="46" t="s">
        <v>2227</v>
      </c>
      <c r="V685" s="46"/>
    </row>
    <row r="686" spans="1:23" ht="30" x14ac:dyDescent="0.25">
      <c r="A686" s="61">
        <v>42936</v>
      </c>
      <c r="B686" s="62" t="s">
        <v>328</v>
      </c>
      <c r="C686" s="46" t="s">
        <v>603</v>
      </c>
      <c r="D686" s="46" t="s">
        <v>649</v>
      </c>
      <c r="E686" s="46" t="s">
        <v>588</v>
      </c>
      <c r="H686" s="46" t="s">
        <v>1050</v>
      </c>
      <c r="J686" s="49" t="s">
        <v>899</v>
      </c>
      <c r="O686" s="47" t="s">
        <v>7699</v>
      </c>
      <c r="P686" s="47" t="s">
        <v>7700</v>
      </c>
      <c r="Q686" s="62" t="s">
        <v>1939</v>
      </c>
      <c r="R686" s="47" t="s">
        <v>7701</v>
      </c>
      <c r="U686" s="46" t="s">
        <v>491</v>
      </c>
      <c r="V686" s="46"/>
    </row>
    <row r="687" spans="1:23" ht="30" x14ac:dyDescent="0.25">
      <c r="A687" s="61">
        <v>42936</v>
      </c>
      <c r="B687" s="62" t="s">
        <v>5176</v>
      </c>
      <c r="D687" s="46" t="s">
        <v>595</v>
      </c>
      <c r="E687" s="46" t="s">
        <v>588</v>
      </c>
      <c r="F687" s="46" t="s">
        <v>7702</v>
      </c>
      <c r="G687" s="46" t="s">
        <v>7703</v>
      </c>
      <c r="H687" s="46" t="s">
        <v>607</v>
      </c>
      <c r="I687" s="46" t="s">
        <v>6974</v>
      </c>
      <c r="J687" s="49" t="s">
        <v>959</v>
      </c>
      <c r="M687" s="64">
        <v>250000</v>
      </c>
      <c r="O687" s="47" t="s">
        <v>7704</v>
      </c>
      <c r="P687" s="47" t="s">
        <v>7705</v>
      </c>
      <c r="Q687" s="62" t="s">
        <v>29</v>
      </c>
      <c r="R687" s="47" t="s">
        <v>7706</v>
      </c>
      <c r="U687" s="46" t="s">
        <v>491</v>
      </c>
      <c r="V687" s="46"/>
    </row>
    <row r="688" spans="1:23" ht="60" x14ac:dyDescent="0.25">
      <c r="A688" s="61">
        <v>42937</v>
      </c>
      <c r="B688" s="62" t="s">
        <v>328</v>
      </c>
      <c r="C688" s="46" t="s">
        <v>603</v>
      </c>
      <c r="D688" s="46" t="s">
        <v>5701</v>
      </c>
      <c r="E688" s="46" t="s">
        <v>588</v>
      </c>
      <c r="F688" s="47" t="s">
        <v>7711</v>
      </c>
      <c r="H688" s="46" t="s">
        <v>607</v>
      </c>
      <c r="I688" s="46" t="s">
        <v>2054</v>
      </c>
      <c r="J688" s="49" t="s">
        <v>899</v>
      </c>
      <c r="L688" s="63">
        <v>1</v>
      </c>
      <c r="M688" s="64">
        <v>2700000</v>
      </c>
      <c r="N688" s="132">
        <v>4860000</v>
      </c>
      <c r="O688" s="47" t="s">
        <v>560</v>
      </c>
      <c r="P688" s="47" t="s">
        <v>7712</v>
      </c>
      <c r="Q688" s="62" t="s">
        <v>1939</v>
      </c>
      <c r="R688" s="47" t="s">
        <v>7935</v>
      </c>
      <c r="U688" s="46" t="s">
        <v>2227</v>
      </c>
      <c r="V688" s="46"/>
    </row>
    <row r="689" spans="1:23" ht="75" x14ac:dyDescent="0.25">
      <c r="A689" s="61">
        <v>42937</v>
      </c>
      <c r="B689" s="62" t="s">
        <v>328</v>
      </c>
      <c r="C689" s="46" t="s">
        <v>603</v>
      </c>
      <c r="D689" s="46" t="s">
        <v>5701</v>
      </c>
      <c r="E689" s="46" t="s">
        <v>588</v>
      </c>
      <c r="F689" s="46" t="s">
        <v>7713</v>
      </c>
      <c r="G689" s="46" t="s">
        <v>7714</v>
      </c>
      <c r="H689" s="46" t="s">
        <v>905</v>
      </c>
      <c r="I689" s="46" t="s">
        <v>2054</v>
      </c>
      <c r="J689" s="49" t="s">
        <v>899</v>
      </c>
      <c r="L689" s="63">
        <v>1</v>
      </c>
      <c r="M689" s="64">
        <v>2350000</v>
      </c>
      <c r="N689" s="64">
        <v>1800000</v>
      </c>
      <c r="O689" s="47" t="s">
        <v>560</v>
      </c>
      <c r="P689" s="150" t="s">
        <v>7715</v>
      </c>
      <c r="Q689" s="62" t="s">
        <v>1939</v>
      </c>
      <c r="R689" s="47" t="s">
        <v>7716</v>
      </c>
      <c r="U689" s="46" t="s">
        <v>2227</v>
      </c>
      <c r="V689" s="46"/>
    </row>
    <row r="690" spans="1:23" ht="75" x14ac:dyDescent="0.25">
      <c r="A690" s="61">
        <v>42940</v>
      </c>
      <c r="B690" s="62" t="s">
        <v>569</v>
      </c>
      <c r="D690" s="46" t="s">
        <v>625</v>
      </c>
      <c r="E690" s="46" t="s">
        <v>588</v>
      </c>
      <c r="F690" s="46" t="s">
        <v>7717</v>
      </c>
      <c r="G690" s="46" t="s">
        <v>7714</v>
      </c>
      <c r="H690" s="46" t="s">
        <v>905</v>
      </c>
      <c r="I690" s="46" t="s">
        <v>5677</v>
      </c>
      <c r="J690" s="49" t="s">
        <v>899</v>
      </c>
      <c r="L690" s="63">
        <v>3</v>
      </c>
      <c r="M690" s="64">
        <v>1200000</v>
      </c>
      <c r="N690" s="64">
        <v>1570000</v>
      </c>
      <c r="O690" s="47" t="s">
        <v>639</v>
      </c>
      <c r="P690" s="47" t="s">
        <v>7718</v>
      </c>
      <c r="Q690" s="62" t="s">
        <v>1939</v>
      </c>
      <c r="R690" s="47" t="s">
        <v>7719</v>
      </c>
      <c r="U690" s="46" t="s">
        <v>491</v>
      </c>
      <c r="V690" s="46"/>
    </row>
    <row r="691" spans="1:23" ht="45" x14ac:dyDescent="0.25">
      <c r="A691" s="61">
        <v>42940</v>
      </c>
      <c r="B691" s="62" t="s">
        <v>328</v>
      </c>
      <c r="C691" s="46" t="s">
        <v>603</v>
      </c>
      <c r="D691" s="46" t="s">
        <v>672</v>
      </c>
      <c r="E691" s="46" t="s">
        <v>588</v>
      </c>
      <c r="F691" s="46" t="s">
        <v>7720</v>
      </c>
      <c r="G691" s="46" t="s">
        <v>7721</v>
      </c>
      <c r="H691" s="46" t="s">
        <v>722</v>
      </c>
      <c r="I691" s="46" t="s">
        <v>4674</v>
      </c>
      <c r="J691" s="49" t="s">
        <v>899</v>
      </c>
      <c r="L691" s="63">
        <v>4</v>
      </c>
      <c r="M691" s="64">
        <v>2171000</v>
      </c>
      <c r="N691" s="64">
        <v>3691000</v>
      </c>
      <c r="O691" s="47" t="s">
        <v>560</v>
      </c>
      <c r="P691" s="47" t="s">
        <v>7722</v>
      </c>
      <c r="Q691" s="62" t="s">
        <v>1939</v>
      </c>
      <c r="R691" s="47" t="s">
        <v>7723</v>
      </c>
      <c r="U691" s="46" t="s">
        <v>491</v>
      </c>
      <c r="V691" s="46"/>
    </row>
    <row r="692" spans="1:23" ht="30" x14ac:dyDescent="0.25">
      <c r="A692" s="61">
        <v>42940</v>
      </c>
      <c r="B692" s="62" t="s">
        <v>328</v>
      </c>
      <c r="C692" s="46" t="s">
        <v>603</v>
      </c>
      <c r="D692" s="46" t="s">
        <v>672</v>
      </c>
      <c r="E692" s="46" t="s">
        <v>588</v>
      </c>
      <c r="F692" s="46" t="s">
        <v>7734</v>
      </c>
      <c r="G692" s="46" t="s">
        <v>7724</v>
      </c>
      <c r="H692" s="46" t="s">
        <v>905</v>
      </c>
      <c r="I692" s="46" t="s">
        <v>5230</v>
      </c>
      <c r="J692" s="49" t="s">
        <v>899</v>
      </c>
      <c r="L692" s="63">
        <v>3</v>
      </c>
      <c r="M692" s="64">
        <v>3500000</v>
      </c>
      <c r="N692" s="64">
        <v>4910000</v>
      </c>
      <c r="O692" s="47" t="s">
        <v>560</v>
      </c>
      <c r="P692" s="47" t="s">
        <v>7725</v>
      </c>
      <c r="Q692" s="62" t="s">
        <v>592</v>
      </c>
      <c r="U692" s="46" t="s">
        <v>491</v>
      </c>
      <c r="V692" s="46"/>
    </row>
    <row r="693" spans="1:23" ht="246" customHeight="1" x14ac:dyDescent="0.25">
      <c r="A693" s="61">
        <v>42940</v>
      </c>
      <c r="B693" s="62" t="s">
        <v>5176</v>
      </c>
      <c r="D693" s="46" t="s">
        <v>595</v>
      </c>
      <c r="E693" s="46" t="s">
        <v>1707</v>
      </c>
      <c r="F693" s="46" t="s">
        <v>7732</v>
      </c>
      <c r="G693" s="46" t="s">
        <v>7733</v>
      </c>
      <c r="H693" s="46" t="s">
        <v>7728</v>
      </c>
      <c r="I693" s="46" t="s">
        <v>7729</v>
      </c>
      <c r="J693" s="49" t="s">
        <v>6329</v>
      </c>
      <c r="M693" s="64">
        <v>340000</v>
      </c>
      <c r="N693" s="64">
        <v>430000</v>
      </c>
      <c r="O693" s="47" t="s">
        <v>639</v>
      </c>
      <c r="P693" s="47" t="s">
        <v>7730</v>
      </c>
      <c r="Q693" s="62" t="s">
        <v>1612</v>
      </c>
      <c r="R693" s="89" t="s">
        <v>7795</v>
      </c>
      <c r="S693" s="47" t="s">
        <v>7796</v>
      </c>
      <c r="U693" s="46" t="s">
        <v>491</v>
      </c>
      <c r="V693" s="46"/>
    </row>
    <row r="694" spans="1:23" ht="30" x14ac:dyDescent="0.25">
      <c r="A694" s="61">
        <v>42941</v>
      </c>
      <c r="B694" s="62" t="s">
        <v>569</v>
      </c>
      <c r="D694" s="46" t="s">
        <v>611</v>
      </c>
      <c r="E694" s="46" t="s">
        <v>588</v>
      </c>
      <c r="F694" s="46" t="s">
        <v>7735</v>
      </c>
      <c r="G694" s="46" t="s">
        <v>7736</v>
      </c>
      <c r="O694" s="47" t="s">
        <v>1589</v>
      </c>
      <c r="P694" s="47" t="s">
        <v>7737</v>
      </c>
      <c r="Q694" s="62" t="s">
        <v>1939</v>
      </c>
      <c r="R694" s="47" t="s">
        <v>7738</v>
      </c>
      <c r="U694" s="46" t="s">
        <v>491</v>
      </c>
      <c r="V694" s="46"/>
    </row>
    <row r="695" spans="1:23" ht="30" x14ac:dyDescent="0.25">
      <c r="A695" s="61">
        <v>42941</v>
      </c>
      <c r="B695" s="62" t="s">
        <v>569</v>
      </c>
      <c r="D695" s="46" t="s">
        <v>611</v>
      </c>
      <c r="E695" s="46" t="s">
        <v>588</v>
      </c>
      <c r="F695" s="46" t="s">
        <v>7741</v>
      </c>
      <c r="G695" s="46" t="s">
        <v>7742</v>
      </c>
      <c r="O695" s="47" t="s">
        <v>7739</v>
      </c>
      <c r="P695" s="47" t="s">
        <v>7740</v>
      </c>
      <c r="Q695" s="62" t="s">
        <v>592</v>
      </c>
      <c r="U695" s="46" t="s">
        <v>491</v>
      </c>
      <c r="V695" s="46"/>
    </row>
    <row r="696" spans="1:23" ht="45" x14ac:dyDescent="0.25">
      <c r="A696" s="61">
        <v>42941</v>
      </c>
      <c r="B696" s="62" t="s">
        <v>569</v>
      </c>
      <c r="D696" s="46" t="s">
        <v>625</v>
      </c>
      <c r="E696" s="46" t="s">
        <v>588</v>
      </c>
      <c r="F696" s="46" t="s">
        <v>7743</v>
      </c>
      <c r="G696" s="46" t="s">
        <v>7744</v>
      </c>
      <c r="H696" s="46" t="s">
        <v>905</v>
      </c>
      <c r="I696" s="46" t="s">
        <v>3649</v>
      </c>
      <c r="J696" s="49" t="s">
        <v>899</v>
      </c>
      <c r="L696" s="63">
        <v>3</v>
      </c>
      <c r="M696" s="64">
        <v>3848000</v>
      </c>
      <c r="N696" s="64">
        <v>4466000</v>
      </c>
      <c r="O696" s="47" t="s">
        <v>560</v>
      </c>
      <c r="P696" s="47" t="s">
        <v>7745</v>
      </c>
      <c r="Q696" s="62" t="s">
        <v>592</v>
      </c>
      <c r="U696" s="46" t="s">
        <v>491</v>
      </c>
      <c r="V696" s="46"/>
    </row>
    <row r="697" spans="1:23" ht="60" x14ac:dyDescent="0.25">
      <c r="A697" s="61">
        <v>42941</v>
      </c>
      <c r="B697" s="62" t="s">
        <v>328</v>
      </c>
      <c r="C697" s="46" t="s">
        <v>603</v>
      </c>
      <c r="D697" s="46" t="s">
        <v>1401</v>
      </c>
      <c r="E697" s="46" t="s">
        <v>588</v>
      </c>
      <c r="F697" s="46" t="s">
        <v>7746</v>
      </c>
      <c r="G697" s="46" t="s">
        <v>7747</v>
      </c>
      <c r="H697" s="46" t="s">
        <v>1050</v>
      </c>
      <c r="I697" s="46" t="s">
        <v>7748</v>
      </c>
      <c r="J697" s="49" t="s">
        <v>4557</v>
      </c>
      <c r="L697" s="63">
        <v>3</v>
      </c>
      <c r="M697" s="64">
        <v>958000</v>
      </c>
      <c r="N697" s="64">
        <v>1053800</v>
      </c>
      <c r="O697" s="47" t="s">
        <v>5968</v>
      </c>
      <c r="P697" s="47" t="s">
        <v>7749</v>
      </c>
      <c r="Q697" s="62" t="s">
        <v>592</v>
      </c>
      <c r="R697" s="47" t="s">
        <v>7936</v>
      </c>
      <c r="S697" s="47" t="s">
        <v>833</v>
      </c>
      <c r="U697" s="46" t="s">
        <v>491</v>
      </c>
      <c r="V697" s="46"/>
    </row>
    <row r="698" spans="1:23" ht="45" x14ac:dyDescent="0.25">
      <c r="A698" s="61">
        <v>42941</v>
      </c>
      <c r="B698" s="62" t="s">
        <v>328</v>
      </c>
      <c r="C698" s="46" t="s">
        <v>603</v>
      </c>
      <c r="D698" s="46" t="s">
        <v>7595</v>
      </c>
      <c r="E698" s="46" t="s">
        <v>588</v>
      </c>
      <c r="F698" s="46" t="s">
        <v>7750</v>
      </c>
      <c r="G698" s="46" t="s">
        <v>7751</v>
      </c>
      <c r="H698" s="46" t="s">
        <v>905</v>
      </c>
      <c r="I698" s="46" t="s">
        <v>7196</v>
      </c>
      <c r="J698" s="49" t="s">
        <v>899</v>
      </c>
      <c r="L698" s="63">
        <v>3</v>
      </c>
      <c r="M698" s="64">
        <v>2500000</v>
      </c>
      <c r="N698" s="64">
        <v>3250000</v>
      </c>
      <c r="O698" s="47" t="s">
        <v>560</v>
      </c>
      <c r="P698" s="47" t="s">
        <v>7752</v>
      </c>
      <c r="Q698" s="62" t="s">
        <v>1939</v>
      </c>
      <c r="R698" s="47" t="s">
        <v>7937</v>
      </c>
      <c r="U698" s="46" t="s">
        <v>491</v>
      </c>
      <c r="V698" s="46"/>
    </row>
    <row r="699" spans="1:23" ht="75" x14ac:dyDescent="0.25">
      <c r="A699" s="61">
        <v>42941</v>
      </c>
      <c r="B699" s="62" t="s">
        <v>569</v>
      </c>
      <c r="D699" s="46" t="s">
        <v>624</v>
      </c>
      <c r="E699" s="46" t="s">
        <v>692</v>
      </c>
      <c r="F699" s="46" t="s">
        <v>7753</v>
      </c>
      <c r="G699" s="46" t="s">
        <v>7754</v>
      </c>
      <c r="H699" s="46" t="s">
        <v>5244</v>
      </c>
      <c r="I699" s="46" t="s">
        <v>4507</v>
      </c>
      <c r="J699" s="49" t="s">
        <v>899</v>
      </c>
      <c r="L699" s="63">
        <v>4</v>
      </c>
      <c r="M699" s="64">
        <v>760000</v>
      </c>
      <c r="N699" s="64">
        <v>870000</v>
      </c>
      <c r="O699" s="47" t="s">
        <v>3785</v>
      </c>
      <c r="P699" s="47" t="s">
        <v>7755</v>
      </c>
      <c r="Q699" s="62" t="s">
        <v>1939</v>
      </c>
      <c r="R699" s="47" t="s">
        <v>7775</v>
      </c>
      <c r="U699" s="46" t="s">
        <v>491</v>
      </c>
      <c r="V699" s="109" t="s">
        <v>3985</v>
      </c>
      <c r="W699" s="47" t="s">
        <v>7776</v>
      </c>
    </row>
    <row r="700" spans="1:23" ht="75" x14ac:dyDescent="0.25">
      <c r="A700" s="61">
        <v>42941</v>
      </c>
      <c r="B700" s="62" t="s">
        <v>569</v>
      </c>
      <c r="D700" s="46" t="s">
        <v>625</v>
      </c>
      <c r="E700" s="46" t="s">
        <v>588</v>
      </c>
      <c r="F700" s="46" t="s">
        <v>7756</v>
      </c>
      <c r="G700" s="46" t="s">
        <v>7757</v>
      </c>
      <c r="H700" s="46" t="s">
        <v>4261</v>
      </c>
      <c r="I700" s="46" t="s">
        <v>3649</v>
      </c>
      <c r="J700" s="49" t="s">
        <v>899</v>
      </c>
      <c r="L700" s="63">
        <v>4</v>
      </c>
      <c r="M700" s="64">
        <v>2025000</v>
      </c>
      <c r="N700" s="64">
        <v>3094000</v>
      </c>
      <c r="O700" s="47" t="s">
        <v>560</v>
      </c>
      <c r="P700" s="47" t="s">
        <v>7758</v>
      </c>
      <c r="Q700" s="62" t="s">
        <v>1939</v>
      </c>
      <c r="R700" s="47" t="s">
        <v>7759</v>
      </c>
      <c r="U700" s="46" t="s">
        <v>491</v>
      </c>
      <c r="V700" s="46"/>
    </row>
    <row r="701" spans="1:23" ht="30" x14ac:dyDescent="0.25">
      <c r="A701" s="61">
        <v>42941</v>
      </c>
      <c r="B701" s="62" t="s">
        <v>328</v>
      </c>
      <c r="D701" s="46" t="s">
        <v>5701</v>
      </c>
      <c r="E701" s="46" t="s">
        <v>588</v>
      </c>
      <c r="F701" s="46" t="s">
        <v>7760</v>
      </c>
      <c r="G701" s="46" t="s">
        <v>7761</v>
      </c>
      <c r="H701" s="46" t="s">
        <v>1391</v>
      </c>
      <c r="I701" s="46" t="s">
        <v>7762</v>
      </c>
      <c r="J701" s="49" t="s">
        <v>959</v>
      </c>
      <c r="L701" s="63">
        <v>2</v>
      </c>
      <c r="M701" s="64">
        <v>1100000</v>
      </c>
      <c r="N701" s="64">
        <v>1870000</v>
      </c>
      <c r="O701" s="47" t="s">
        <v>695</v>
      </c>
      <c r="P701" s="47" t="s">
        <v>7938</v>
      </c>
      <c r="Q701" s="62" t="s">
        <v>1939</v>
      </c>
      <c r="R701" s="47" t="s">
        <v>7774</v>
      </c>
      <c r="S701" s="47" t="s">
        <v>7773</v>
      </c>
      <c r="U701" s="46" t="s">
        <v>491</v>
      </c>
      <c r="V701" s="46"/>
    </row>
    <row r="702" spans="1:23" ht="75" x14ac:dyDescent="0.25">
      <c r="A702" s="61">
        <v>42942</v>
      </c>
      <c r="B702" s="62" t="s">
        <v>5360</v>
      </c>
      <c r="C702" s="46" t="s">
        <v>899</v>
      </c>
      <c r="D702" s="46" t="s">
        <v>732</v>
      </c>
      <c r="E702" s="46" t="s">
        <v>588</v>
      </c>
      <c r="F702" s="46" t="s">
        <v>7768</v>
      </c>
      <c r="G702" s="46" t="s">
        <v>7767</v>
      </c>
      <c r="H702" s="46" t="s">
        <v>6002</v>
      </c>
      <c r="I702" s="46" t="s">
        <v>7766</v>
      </c>
      <c r="J702" s="49" t="s">
        <v>899</v>
      </c>
      <c r="L702" s="63">
        <v>4</v>
      </c>
      <c r="M702" s="64">
        <v>381000</v>
      </c>
      <c r="N702" s="64">
        <v>681200</v>
      </c>
      <c r="O702" s="47" t="s">
        <v>7765</v>
      </c>
      <c r="P702" s="47" t="s">
        <v>7764</v>
      </c>
      <c r="Q702" s="62" t="s">
        <v>29</v>
      </c>
      <c r="R702" s="47" t="s">
        <v>7763</v>
      </c>
      <c r="U702" s="46" t="s">
        <v>1327</v>
      </c>
      <c r="V702" s="46"/>
    </row>
    <row r="703" spans="1:23" ht="204.75" x14ac:dyDescent="0.25">
      <c r="A703" s="61">
        <v>42942</v>
      </c>
      <c r="B703" s="62" t="s">
        <v>569</v>
      </c>
      <c r="D703" s="46" t="s">
        <v>625</v>
      </c>
      <c r="E703" s="46" t="s">
        <v>588</v>
      </c>
      <c r="F703" s="46" t="s">
        <v>7770</v>
      </c>
      <c r="H703" s="46" t="s">
        <v>7247</v>
      </c>
      <c r="I703" s="46" t="s">
        <v>4674</v>
      </c>
      <c r="J703" s="49" t="s">
        <v>899</v>
      </c>
      <c r="M703" s="64">
        <v>556200</v>
      </c>
      <c r="N703" s="64">
        <v>667440</v>
      </c>
      <c r="O703" s="47" t="s">
        <v>7771</v>
      </c>
      <c r="P703" s="47" t="s">
        <v>7939</v>
      </c>
      <c r="Q703" s="62" t="s">
        <v>1939</v>
      </c>
      <c r="R703" s="86" t="s">
        <v>7772</v>
      </c>
      <c r="U703" s="46" t="s">
        <v>491</v>
      </c>
      <c r="V703" s="46"/>
    </row>
    <row r="704" spans="1:23" ht="180" x14ac:dyDescent="0.25">
      <c r="A704" s="61">
        <v>42942</v>
      </c>
      <c r="B704" s="62" t="s">
        <v>569</v>
      </c>
      <c r="D704" s="46" t="s">
        <v>611</v>
      </c>
      <c r="E704" s="46" t="s">
        <v>588</v>
      </c>
      <c r="F704" s="46" t="s">
        <v>7777</v>
      </c>
      <c r="G704" s="46" t="s">
        <v>7778</v>
      </c>
      <c r="H704" s="46" t="s">
        <v>607</v>
      </c>
      <c r="O704" s="47" t="s">
        <v>35</v>
      </c>
      <c r="P704" s="47" t="s">
        <v>7779</v>
      </c>
      <c r="Q704" s="62" t="s">
        <v>29</v>
      </c>
      <c r="R704" s="47" t="s">
        <v>7780</v>
      </c>
      <c r="U704" s="46" t="s">
        <v>491</v>
      </c>
      <c r="V704" s="46"/>
    </row>
    <row r="705" spans="1:23" ht="60" x14ac:dyDescent="0.25">
      <c r="A705" s="61">
        <v>42942</v>
      </c>
      <c r="B705" s="62" t="s">
        <v>569</v>
      </c>
      <c r="D705" s="46" t="s">
        <v>625</v>
      </c>
      <c r="E705" s="46" t="s">
        <v>1707</v>
      </c>
      <c r="F705" s="46" t="s">
        <v>7781</v>
      </c>
      <c r="H705" s="46" t="s">
        <v>905</v>
      </c>
      <c r="I705" s="46" t="s">
        <v>3649</v>
      </c>
      <c r="J705" s="49" t="s">
        <v>899</v>
      </c>
      <c r="O705" s="47" t="s">
        <v>7782</v>
      </c>
      <c r="P705" s="47" t="s">
        <v>7783</v>
      </c>
      <c r="Q705" s="62" t="s">
        <v>1939</v>
      </c>
      <c r="R705" s="47" t="s">
        <v>7784</v>
      </c>
      <c r="U705" s="46" t="s">
        <v>491</v>
      </c>
      <c r="V705" s="46"/>
    </row>
    <row r="706" spans="1:23" ht="60" x14ac:dyDescent="0.25">
      <c r="A706" s="61">
        <v>42943</v>
      </c>
      <c r="B706" s="62" t="s">
        <v>110</v>
      </c>
      <c r="C706" s="46" t="s">
        <v>761</v>
      </c>
      <c r="D706" s="46" t="s">
        <v>715</v>
      </c>
      <c r="E706" s="46" t="s">
        <v>588</v>
      </c>
      <c r="F706" s="46" t="s">
        <v>7789</v>
      </c>
      <c r="G706" s="46" t="s">
        <v>7786</v>
      </c>
      <c r="H706" s="46" t="s">
        <v>607</v>
      </c>
      <c r="I706" s="46" t="s">
        <v>4784</v>
      </c>
      <c r="J706" s="49" t="s">
        <v>4785</v>
      </c>
      <c r="L706" s="63">
        <v>10</v>
      </c>
      <c r="M706" s="64">
        <v>350000</v>
      </c>
      <c r="N706" s="64">
        <v>595000</v>
      </c>
      <c r="O706" s="47" t="s">
        <v>764</v>
      </c>
      <c r="P706" s="47" t="s">
        <v>7788</v>
      </c>
      <c r="Q706" s="62" t="s">
        <v>1939</v>
      </c>
      <c r="R706" s="47" t="s">
        <v>7787</v>
      </c>
      <c r="T706" s="149">
        <v>12</v>
      </c>
      <c r="U706" s="46" t="s">
        <v>491</v>
      </c>
      <c r="V706" s="46"/>
    </row>
    <row r="707" spans="1:23" ht="30" x14ac:dyDescent="0.25">
      <c r="A707" s="61">
        <v>42943</v>
      </c>
      <c r="B707" s="62" t="s">
        <v>5176</v>
      </c>
      <c r="D707" s="46" t="s">
        <v>7790</v>
      </c>
      <c r="E707" s="46" t="s">
        <v>588</v>
      </c>
      <c r="F707" s="46" t="s">
        <v>7791</v>
      </c>
      <c r="G707" s="46" t="s">
        <v>7792</v>
      </c>
      <c r="H707" s="46" t="s">
        <v>886</v>
      </c>
      <c r="O707" s="47" t="s">
        <v>7161</v>
      </c>
      <c r="P707" s="47" t="s">
        <v>7793</v>
      </c>
      <c r="Q707" s="62" t="s">
        <v>1939</v>
      </c>
      <c r="R707" s="47" t="s">
        <v>7794</v>
      </c>
      <c r="T707" s="47">
        <v>10</v>
      </c>
      <c r="U707" s="46" t="s">
        <v>491</v>
      </c>
      <c r="V707" s="46"/>
    </row>
    <row r="708" spans="1:23" ht="96.75" x14ac:dyDescent="0.25">
      <c r="A708" s="61">
        <v>42943</v>
      </c>
      <c r="B708" s="62" t="s">
        <v>328</v>
      </c>
      <c r="C708" s="46" t="s">
        <v>603</v>
      </c>
      <c r="D708" s="46" t="s">
        <v>5701</v>
      </c>
      <c r="E708" s="46" t="s">
        <v>588</v>
      </c>
      <c r="F708" s="46" t="s">
        <v>7797</v>
      </c>
      <c r="G708" s="46" t="s">
        <v>7798</v>
      </c>
      <c r="H708" s="46" t="s">
        <v>722</v>
      </c>
      <c r="I708" s="46" t="s">
        <v>7799</v>
      </c>
      <c r="J708" s="49" t="s">
        <v>899</v>
      </c>
      <c r="L708" s="63">
        <v>9</v>
      </c>
      <c r="M708" s="64">
        <v>1270698</v>
      </c>
      <c r="N708" s="64">
        <v>2414327</v>
      </c>
      <c r="O708" s="47" t="s">
        <v>560</v>
      </c>
      <c r="P708" s="47" t="s">
        <v>7800</v>
      </c>
      <c r="Q708" s="62" t="s">
        <v>1939</v>
      </c>
      <c r="R708" s="47" t="s">
        <v>7801</v>
      </c>
      <c r="S708" s="86" t="s">
        <v>7802</v>
      </c>
      <c r="T708" s="47">
        <v>29</v>
      </c>
      <c r="U708" s="46" t="s">
        <v>491</v>
      </c>
      <c r="V708" s="46"/>
    </row>
    <row r="709" spans="1:23" ht="60" x14ac:dyDescent="0.25">
      <c r="A709" s="61">
        <v>42943</v>
      </c>
      <c r="B709" s="62" t="s">
        <v>569</v>
      </c>
      <c r="D709" s="46" t="s">
        <v>611</v>
      </c>
      <c r="E709" s="46" t="s">
        <v>1707</v>
      </c>
      <c r="F709" s="46" t="s">
        <v>7806</v>
      </c>
      <c r="G709" s="46" t="s">
        <v>7803</v>
      </c>
      <c r="H709" s="46" t="s">
        <v>607</v>
      </c>
      <c r="I709" s="46" t="s">
        <v>7804</v>
      </c>
      <c r="J709" s="49" t="s">
        <v>899</v>
      </c>
      <c r="M709" s="64">
        <v>1959469</v>
      </c>
      <c r="O709" s="47" t="s">
        <v>7805</v>
      </c>
      <c r="P709" s="47" t="s">
        <v>7808</v>
      </c>
      <c r="Q709" s="62" t="s">
        <v>1939</v>
      </c>
      <c r="R709" s="47" t="s">
        <v>7807</v>
      </c>
      <c r="T709" s="47">
        <v>27</v>
      </c>
      <c r="U709" s="46" t="s">
        <v>491</v>
      </c>
      <c r="V709" s="46"/>
    </row>
    <row r="710" spans="1:23" ht="105" x14ac:dyDescent="0.25">
      <c r="A710" s="61">
        <v>42943</v>
      </c>
      <c r="B710" s="62" t="s">
        <v>569</v>
      </c>
      <c r="D710" s="46" t="s">
        <v>930</v>
      </c>
      <c r="E710" s="46" t="s">
        <v>821</v>
      </c>
      <c r="F710" s="46" t="s">
        <v>7809</v>
      </c>
      <c r="H710" s="46" t="s">
        <v>1626</v>
      </c>
      <c r="J710" s="49" t="s">
        <v>899</v>
      </c>
      <c r="L710" s="63" t="s">
        <v>833</v>
      </c>
      <c r="M710" s="64">
        <v>150000</v>
      </c>
      <c r="O710" s="47" t="s">
        <v>7826</v>
      </c>
      <c r="P710" s="47" t="s">
        <v>7810</v>
      </c>
      <c r="Q710" s="62" t="s">
        <v>592</v>
      </c>
      <c r="T710" s="47">
        <v>13</v>
      </c>
      <c r="U710" s="46" t="s">
        <v>491</v>
      </c>
      <c r="V710" s="46"/>
    </row>
    <row r="711" spans="1:23" ht="90" x14ac:dyDescent="0.25">
      <c r="A711" s="61">
        <v>42943</v>
      </c>
      <c r="B711" s="62" t="s">
        <v>569</v>
      </c>
      <c r="D711" s="46" t="s">
        <v>930</v>
      </c>
      <c r="E711" s="46" t="s">
        <v>821</v>
      </c>
      <c r="F711" s="46" t="s">
        <v>8211</v>
      </c>
      <c r="G711" s="46" t="s">
        <v>8212</v>
      </c>
      <c r="H711" s="46" t="s">
        <v>607</v>
      </c>
      <c r="J711" s="49" t="s">
        <v>899</v>
      </c>
      <c r="O711" s="47" t="s">
        <v>7811</v>
      </c>
      <c r="P711" s="47" t="s">
        <v>7812</v>
      </c>
      <c r="Q711" s="62" t="s">
        <v>1939</v>
      </c>
      <c r="R711" s="47" t="s">
        <v>8242</v>
      </c>
      <c r="T711" s="47">
        <v>32</v>
      </c>
      <c r="U711" s="46" t="s">
        <v>491</v>
      </c>
      <c r="V711" s="46"/>
    </row>
    <row r="712" spans="1:23" ht="105" x14ac:dyDescent="0.25">
      <c r="A712" s="61">
        <v>42943</v>
      </c>
      <c r="B712" s="62" t="s">
        <v>569</v>
      </c>
      <c r="D712" s="46" t="s">
        <v>930</v>
      </c>
      <c r="E712" s="46" t="s">
        <v>821</v>
      </c>
      <c r="F712" s="46" t="s">
        <v>7813</v>
      </c>
      <c r="G712" s="46" t="s">
        <v>7814</v>
      </c>
      <c r="H712" s="46" t="s">
        <v>607</v>
      </c>
      <c r="I712" s="49"/>
      <c r="J712" s="63" t="s">
        <v>899</v>
      </c>
      <c r="K712" s="63"/>
      <c r="L712" s="64"/>
      <c r="N712" s="47"/>
      <c r="O712" s="47" t="s">
        <v>7815</v>
      </c>
      <c r="P712" s="47" t="s">
        <v>7816</v>
      </c>
      <c r="Q712" s="62" t="s">
        <v>1939</v>
      </c>
      <c r="R712" s="47" t="s">
        <v>7817</v>
      </c>
      <c r="S712" s="46"/>
      <c r="T712" s="47">
        <v>13</v>
      </c>
      <c r="U712" s="46" t="s">
        <v>491</v>
      </c>
      <c r="V712" s="47"/>
      <c r="W712" s="46"/>
    </row>
    <row r="713" spans="1:23" ht="75" x14ac:dyDescent="0.25">
      <c r="A713" s="61">
        <v>42943</v>
      </c>
      <c r="B713" s="62" t="s">
        <v>569</v>
      </c>
      <c r="D713" s="46" t="s">
        <v>930</v>
      </c>
      <c r="E713" s="46" t="s">
        <v>821</v>
      </c>
      <c r="F713" s="46" t="s">
        <v>7818</v>
      </c>
      <c r="H713" s="46" t="s">
        <v>905</v>
      </c>
      <c r="I713" s="49"/>
      <c r="J713" s="63" t="s">
        <v>899</v>
      </c>
      <c r="K713" s="63"/>
      <c r="L713" s="64"/>
      <c r="N713" s="153">
        <v>3200000</v>
      </c>
      <c r="O713" s="47" t="s">
        <v>2941</v>
      </c>
      <c r="P713" s="47" t="s">
        <v>7819</v>
      </c>
      <c r="Q713" s="62" t="s">
        <v>1939</v>
      </c>
      <c r="R713" s="47" t="s">
        <v>7820</v>
      </c>
      <c r="S713" s="46"/>
      <c r="T713" s="47">
        <v>13</v>
      </c>
      <c r="U713" s="46" t="s">
        <v>491</v>
      </c>
      <c r="V713" s="47"/>
      <c r="W713" s="46"/>
    </row>
    <row r="714" spans="1:23" ht="135" x14ac:dyDescent="0.25">
      <c r="A714" s="61">
        <v>42943</v>
      </c>
      <c r="B714" s="62" t="s">
        <v>569</v>
      </c>
      <c r="D714" s="46" t="s">
        <v>930</v>
      </c>
      <c r="E714" s="46" t="s">
        <v>821</v>
      </c>
      <c r="F714" s="46" t="s">
        <v>7821</v>
      </c>
      <c r="G714" s="46" t="s">
        <v>7822</v>
      </c>
      <c r="H714" s="46" t="s">
        <v>607</v>
      </c>
      <c r="I714" s="49"/>
      <c r="J714" s="63" t="s">
        <v>899</v>
      </c>
      <c r="K714" s="63"/>
      <c r="L714" s="64"/>
      <c r="N714" s="153">
        <v>900000</v>
      </c>
      <c r="O714" s="47" t="s">
        <v>7823</v>
      </c>
      <c r="P714" s="47" t="s">
        <v>7824</v>
      </c>
      <c r="Q714" s="62" t="s">
        <v>29</v>
      </c>
      <c r="R714" s="47" t="s">
        <v>7825</v>
      </c>
      <c r="S714" s="46"/>
      <c r="T714" s="47">
        <v>13</v>
      </c>
      <c r="U714" s="46" t="s">
        <v>491</v>
      </c>
      <c r="V714" s="47"/>
      <c r="W714" s="46"/>
    </row>
    <row r="715" spans="1:23" ht="60" x14ac:dyDescent="0.25">
      <c r="A715" s="61">
        <v>42943</v>
      </c>
      <c r="B715" s="62" t="s">
        <v>328</v>
      </c>
      <c r="C715" s="46" t="s">
        <v>603</v>
      </c>
      <c r="D715" s="46" t="s">
        <v>672</v>
      </c>
      <c r="E715" s="46" t="s">
        <v>588</v>
      </c>
      <c r="F715" s="46" t="s">
        <v>7827</v>
      </c>
      <c r="G715" s="46" t="s">
        <v>7828</v>
      </c>
      <c r="H715" s="46" t="s">
        <v>607</v>
      </c>
      <c r="I715" s="49"/>
      <c r="J715" s="63" t="s">
        <v>3426</v>
      </c>
      <c r="K715" s="63"/>
      <c r="L715" s="91">
        <v>3</v>
      </c>
      <c r="M715" s="64">
        <v>100000</v>
      </c>
      <c r="N715" s="154">
        <v>200000</v>
      </c>
      <c r="O715" s="47" t="s">
        <v>3107</v>
      </c>
      <c r="P715" s="47" t="s">
        <v>7940</v>
      </c>
      <c r="Q715" s="62" t="s">
        <v>1939</v>
      </c>
      <c r="R715" s="47" t="s">
        <v>7941</v>
      </c>
      <c r="S715" s="46"/>
      <c r="T715" s="46"/>
      <c r="U715" s="46" t="s">
        <v>2227</v>
      </c>
      <c r="V715" s="47"/>
      <c r="W715" s="46"/>
    </row>
    <row r="716" spans="1:23" ht="60" x14ac:dyDescent="0.25">
      <c r="A716" s="61">
        <v>42943</v>
      </c>
      <c r="B716" s="62" t="s">
        <v>328</v>
      </c>
      <c r="C716" s="46" t="s">
        <v>603</v>
      </c>
      <c r="D716" s="46" t="s">
        <v>1401</v>
      </c>
      <c r="E716" s="46" t="s">
        <v>588</v>
      </c>
      <c r="F716" s="46" t="s">
        <v>7831</v>
      </c>
      <c r="G716" s="46" t="s">
        <v>7830</v>
      </c>
      <c r="H716" s="46" t="s">
        <v>1391</v>
      </c>
      <c r="I716" s="49"/>
      <c r="J716" s="63" t="s">
        <v>644</v>
      </c>
      <c r="K716" s="63"/>
      <c r="L716" s="156">
        <v>4</v>
      </c>
      <c r="M716" s="155">
        <v>2658000</v>
      </c>
      <c r="N716" s="153">
        <v>3971000</v>
      </c>
      <c r="O716" s="47" t="s">
        <v>560</v>
      </c>
      <c r="P716" s="47" t="s">
        <v>7838</v>
      </c>
      <c r="Q716" s="62" t="s">
        <v>592</v>
      </c>
      <c r="R716" s="135" t="s">
        <v>7829</v>
      </c>
      <c r="S716" s="46"/>
      <c r="T716" s="46"/>
      <c r="U716" s="46" t="s">
        <v>2227</v>
      </c>
      <c r="V716" s="47"/>
      <c r="W716" s="46"/>
    </row>
    <row r="717" spans="1:23" ht="75" x14ac:dyDescent="0.25">
      <c r="A717" s="61">
        <v>42943</v>
      </c>
      <c r="B717" s="62" t="s">
        <v>110</v>
      </c>
      <c r="C717" s="46" t="s">
        <v>761</v>
      </c>
      <c r="D717" s="46" t="s">
        <v>715</v>
      </c>
      <c r="E717" s="46" t="s">
        <v>588</v>
      </c>
      <c r="F717" s="46" t="s">
        <v>473</v>
      </c>
      <c r="G717" s="46" t="s">
        <v>7832</v>
      </c>
      <c r="H717" s="46" t="s">
        <v>1391</v>
      </c>
      <c r="I717" s="49"/>
      <c r="J717" s="63" t="s">
        <v>4785</v>
      </c>
      <c r="K717" s="63"/>
      <c r="L717" s="156">
        <v>4</v>
      </c>
      <c r="M717" s="64">
        <v>2142000</v>
      </c>
      <c r="N717" s="153">
        <v>2606288</v>
      </c>
      <c r="O717" s="47" t="s">
        <v>560</v>
      </c>
      <c r="P717" s="47" t="s">
        <v>7833</v>
      </c>
      <c r="Q717" s="62" t="s">
        <v>1939</v>
      </c>
      <c r="R717" s="47" t="s">
        <v>7834</v>
      </c>
      <c r="S717" s="46"/>
      <c r="T717" s="46"/>
      <c r="U717" s="46" t="s">
        <v>2227</v>
      </c>
      <c r="V717" s="47"/>
      <c r="W717" s="46"/>
    </row>
    <row r="718" spans="1:23" ht="15.75" x14ac:dyDescent="0.25">
      <c r="A718" s="61">
        <v>42943</v>
      </c>
      <c r="B718" s="62" t="s">
        <v>5360</v>
      </c>
      <c r="C718" s="46" t="s">
        <v>899</v>
      </c>
      <c r="D718" s="46" t="s">
        <v>1027</v>
      </c>
      <c r="E718" s="46" t="s">
        <v>588</v>
      </c>
      <c r="F718" s="46" t="s">
        <v>7835</v>
      </c>
      <c r="G718" s="46" t="s">
        <v>7836</v>
      </c>
      <c r="H718" s="46" t="s">
        <v>7837</v>
      </c>
      <c r="J718" s="49" t="s">
        <v>899</v>
      </c>
      <c r="M718" s="151">
        <v>2753700</v>
      </c>
      <c r="N718" s="64">
        <v>3029070</v>
      </c>
      <c r="O718" s="47" t="s">
        <v>560</v>
      </c>
      <c r="P718" s="47" t="s">
        <v>7839</v>
      </c>
      <c r="Q718" s="62" t="s">
        <v>592</v>
      </c>
      <c r="R718" s="47" t="s">
        <v>7840</v>
      </c>
      <c r="U718" s="46" t="s">
        <v>2227</v>
      </c>
      <c r="V718" s="46"/>
    </row>
    <row r="719" spans="1:23" ht="75" x14ac:dyDescent="0.25">
      <c r="A719" s="61">
        <v>42943</v>
      </c>
      <c r="B719" s="62" t="s">
        <v>328</v>
      </c>
      <c r="C719" s="46" t="s">
        <v>603</v>
      </c>
      <c r="D719" s="46" t="s">
        <v>5701</v>
      </c>
      <c r="E719" s="46" t="s">
        <v>588</v>
      </c>
      <c r="F719" s="46" t="s">
        <v>7841</v>
      </c>
      <c r="G719" s="46" t="s">
        <v>7842</v>
      </c>
      <c r="H719" s="46" t="s">
        <v>607</v>
      </c>
      <c r="I719" s="46" t="s">
        <v>7843</v>
      </c>
      <c r="J719" s="49" t="s">
        <v>3533</v>
      </c>
      <c r="L719" s="63">
        <v>1</v>
      </c>
      <c r="M719" s="64">
        <v>403000</v>
      </c>
      <c r="N719" s="64">
        <v>644800</v>
      </c>
      <c r="O719" s="47" t="s">
        <v>3107</v>
      </c>
      <c r="P719" s="47" t="s">
        <v>7844</v>
      </c>
      <c r="Q719" s="62" t="s">
        <v>1612</v>
      </c>
      <c r="R719" s="47" t="s">
        <v>7882</v>
      </c>
      <c r="T719" s="47">
        <v>34</v>
      </c>
      <c r="U719" s="46" t="s">
        <v>491</v>
      </c>
      <c r="V719" s="46"/>
    </row>
    <row r="720" spans="1:23" ht="60" x14ac:dyDescent="0.25">
      <c r="A720" s="61">
        <v>42943</v>
      </c>
      <c r="B720" s="62" t="s">
        <v>5176</v>
      </c>
      <c r="D720" s="46" t="s">
        <v>6995</v>
      </c>
      <c r="E720" s="46" t="s">
        <v>588</v>
      </c>
      <c r="F720" s="46" t="s">
        <v>7847</v>
      </c>
      <c r="G720" s="46" t="s">
        <v>7845</v>
      </c>
      <c r="H720" s="46" t="s">
        <v>1391</v>
      </c>
      <c r="I720" s="46" t="s">
        <v>5541</v>
      </c>
      <c r="J720" s="49" t="s">
        <v>959</v>
      </c>
      <c r="L720" s="63">
        <v>5</v>
      </c>
      <c r="M720" s="64">
        <v>838440</v>
      </c>
      <c r="N720" s="64">
        <v>1038440</v>
      </c>
      <c r="O720" s="47" t="s">
        <v>7846</v>
      </c>
      <c r="P720" s="47" t="s">
        <v>7848</v>
      </c>
      <c r="Q720" s="62" t="s">
        <v>1939</v>
      </c>
      <c r="R720" s="47" t="s">
        <v>7849</v>
      </c>
      <c r="T720" s="47">
        <v>27</v>
      </c>
      <c r="U720" s="46" t="s">
        <v>491</v>
      </c>
      <c r="V720" s="46"/>
    </row>
    <row r="721" spans="1:23" ht="30" x14ac:dyDescent="0.25">
      <c r="A721" s="61">
        <v>42943</v>
      </c>
      <c r="B721" s="62" t="s">
        <v>328</v>
      </c>
      <c r="C721" s="46" t="s">
        <v>603</v>
      </c>
      <c r="D721" s="46" t="s">
        <v>5701</v>
      </c>
      <c r="E721" s="46" t="s">
        <v>588</v>
      </c>
      <c r="F721" s="46" t="s">
        <v>7850</v>
      </c>
      <c r="G721" s="46" t="s">
        <v>7814</v>
      </c>
      <c r="H721" s="46" t="s">
        <v>886</v>
      </c>
      <c r="I721" s="46" t="s">
        <v>7851</v>
      </c>
      <c r="J721" s="49" t="s">
        <v>4031</v>
      </c>
      <c r="L721" s="63">
        <v>4</v>
      </c>
      <c r="M721" s="64">
        <v>320000</v>
      </c>
      <c r="N721" s="64">
        <v>320000</v>
      </c>
      <c r="O721" s="47" t="s">
        <v>7375</v>
      </c>
      <c r="P721" s="47" t="s">
        <v>7852</v>
      </c>
      <c r="Q721" s="62" t="s">
        <v>29</v>
      </c>
      <c r="R721" s="47" t="s">
        <v>7853</v>
      </c>
      <c r="T721" s="47">
        <v>10</v>
      </c>
      <c r="U721" s="46" t="s">
        <v>491</v>
      </c>
      <c r="V721" s="46"/>
    </row>
    <row r="722" spans="1:23" ht="60" x14ac:dyDescent="0.25">
      <c r="A722" s="61">
        <v>42943</v>
      </c>
      <c r="B722" s="62" t="s">
        <v>5176</v>
      </c>
      <c r="D722" s="46" t="s">
        <v>732</v>
      </c>
      <c r="E722" s="46" t="s">
        <v>588</v>
      </c>
      <c r="F722" s="46" t="s">
        <v>7854</v>
      </c>
      <c r="G722" s="46" t="s">
        <v>7855</v>
      </c>
      <c r="H722" s="46" t="s">
        <v>905</v>
      </c>
      <c r="I722" s="46" t="s">
        <v>7856</v>
      </c>
      <c r="J722" s="49" t="s">
        <v>959</v>
      </c>
      <c r="M722" s="64">
        <v>625000</v>
      </c>
      <c r="N722" s="64">
        <v>754000</v>
      </c>
      <c r="O722" s="47" t="s">
        <v>2908</v>
      </c>
      <c r="P722" s="47" t="s">
        <v>7857</v>
      </c>
      <c r="Q722" s="62" t="s">
        <v>592</v>
      </c>
      <c r="T722" s="47">
        <v>15</v>
      </c>
      <c r="U722" s="46" t="s">
        <v>491</v>
      </c>
      <c r="V722" s="46"/>
    </row>
    <row r="723" spans="1:23" ht="60" x14ac:dyDescent="0.25">
      <c r="A723" s="61">
        <v>42943</v>
      </c>
      <c r="B723" s="62" t="s">
        <v>5992</v>
      </c>
      <c r="D723" s="46" t="s">
        <v>7858</v>
      </c>
      <c r="E723" s="46" t="s">
        <v>588</v>
      </c>
      <c r="F723" s="46" t="s">
        <v>7860</v>
      </c>
      <c r="G723" s="46" t="s">
        <v>7859</v>
      </c>
      <c r="H723" s="46" t="s">
        <v>607</v>
      </c>
      <c r="I723" s="46" t="s">
        <v>7861</v>
      </c>
      <c r="J723" s="49" t="s">
        <v>608</v>
      </c>
      <c r="O723" s="47" t="s">
        <v>7862</v>
      </c>
      <c r="P723" s="47" t="s">
        <v>7863</v>
      </c>
      <c r="Q723" s="62" t="s">
        <v>592</v>
      </c>
      <c r="T723" s="149">
        <v>12</v>
      </c>
      <c r="U723" s="46" t="s">
        <v>491</v>
      </c>
      <c r="V723" s="46"/>
    </row>
    <row r="724" spans="1:23" ht="135" x14ac:dyDescent="0.25">
      <c r="A724" s="61">
        <v>42944</v>
      </c>
      <c r="B724" s="62" t="s">
        <v>328</v>
      </c>
      <c r="C724" s="46" t="s">
        <v>603</v>
      </c>
      <c r="D724" s="46" t="s">
        <v>1401</v>
      </c>
      <c r="E724" s="46" t="s">
        <v>588</v>
      </c>
      <c r="F724" s="46" t="s">
        <v>7864</v>
      </c>
      <c r="G724" s="46" t="s">
        <v>7865</v>
      </c>
      <c r="H724" s="46" t="s">
        <v>607</v>
      </c>
      <c r="I724" s="46" t="s">
        <v>7866</v>
      </c>
      <c r="J724" s="49" t="s">
        <v>3751</v>
      </c>
      <c r="L724" s="63">
        <v>9</v>
      </c>
      <c r="M724" s="64">
        <v>450000</v>
      </c>
      <c r="N724" s="64">
        <v>740000</v>
      </c>
      <c r="O724" s="47" t="s">
        <v>3107</v>
      </c>
      <c r="P724" s="47" t="s">
        <v>7867</v>
      </c>
      <c r="Q724" s="62" t="s">
        <v>1612</v>
      </c>
      <c r="R724" s="47" t="s">
        <v>7909</v>
      </c>
      <c r="T724" s="47">
        <v>39</v>
      </c>
      <c r="U724" s="46" t="s">
        <v>491</v>
      </c>
      <c r="V724" s="46"/>
    </row>
    <row r="725" spans="1:23" ht="90" x14ac:dyDescent="0.25">
      <c r="A725" s="61">
        <v>42944</v>
      </c>
      <c r="B725" s="62" t="s">
        <v>569</v>
      </c>
      <c r="D725" s="46" t="s">
        <v>625</v>
      </c>
      <c r="E725" s="46" t="s">
        <v>821</v>
      </c>
      <c r="F725" s="46" t="s">
        <v>7868</v>
      </c>
      <c r="H725" s="46" t="s">
        <v>7869</v>
      </c>
      <c r="J725" s="49" t="s">
        <v>899</v>
      </c>
      <c r="L725" s="63">
        <v>10</v>
      </c>
      <c r="M725" s="64">
        <v>400000</v>
      </c>
      <c r="O725" s="47" t="s">
        <v>5354</v>
      </c>
      <c r="P725" s="47" t="s">
        <v>7870</v>
      </c>
      <c r="Q725" s="62" t="s">
        <v>29</v>
      </c>
      <c r="R725" s="47" t="s">
        <v>7875</v>
      </c>
      <c r="T725" s="47">
        <v>17</v>
      </c>
      <c r="U725" s="46" t="s">
        <v>491</v>
      </c>
      <c r="V725" s="46"/>
    </row>
    <row r="726" spans="1:23" ht="120" x14ac:dyDescent="0.25">
      <c r="A726" s="61">
        <v>42944</v>
      </c>
      <c r="B726" s="62" t="s">
        <v>569</v>
      </c>
      <c r="D726" s="46" t="s">
        <v>625</v>
      </c>
      <c r="E726" s="46" t="s">
        <v>821</v>
      </c>
      <c r="F726" s="46" t="s">
        <v>7871</v>
      </c>
      <c r="G726" s="46" t="s">
        <v>7872</v>
      </c>
      <c r="H726" s="46" t="s">
        <v>607</v>
      </c>
      <c r="J726" s="49" t="s">
        <v>899</v>
      </c>
      <c r="M726" s="64">
        <v>340000</v>
      </c>
      <c r="O726" s="47" t="s">
        <v>3107</v>
      </c>
      <c r="P726" s="47" t="s">
        <v>7873</v>
      </c>
      <c r="Q726" s="62" t="s">
        <v>29</v>
      </c>
      <c r="R726" s="47" t="s">
        <v>7874</v>
      </c>
      <c r="T726" s="149">
        <v>15</v>
      </c>
      <c r="U726" s="46" t="s">
        <v>491</v>
      </c>
      <c r="V726" s="46"/>
    </row>
    <row r="727" spans="1:23" ht="60" x14ac:dyDescent="0.25">
      <c r="A727" s="61">
        <v>42947</v>
      </c>
      <c r="B727" s="62" t="s">
        <v>110</v>
      </c>
      <c r="C727" s="46" t="s">
        <v>761</v>
      </c>
      <c r="D727" s="46" t="s">
        <v>715</v>
      </c>
      <c r="E727" s="46" t="s">
        <v>588</v>
      </c>
      <c r="F727" s="46" t="s">
        <v>7879</v>
      </c>
      <c r="G727" s="46" t="s">
        <v>7880</v>
      </c>
      <c r="H727" s="46" t="s">
        <v>607</v>
      </c>
      <c r="I727" s="46" t="s">
        <v>7881</v>
      </c>
      <c r="J727" s="49" t="s">
        <v>761</v>
      </c>
      <c r="L727" s="63">
        <v>10</v>
      </c>
      <c r="M727" s="64">
        <v>243000</v>
      </c>
      <c r="N727" s="64">
        <v>291400</v>
      </c>
      <c r="O727" s="47" t="s">
        <v>3665</v>
      </c>
      <c r="P727" s="47" t="s">
        <v>7886</v>
      </c>
      <c r="Q727" s="62" t="s">
        <v>1612</v>
      </c>
      <c r="R727" s="47" t="s">
        <v>7928</v>
      </c>
      <c r="T727" s="47">
        <v>41</v>
      </c>
      <c r="U727" s="46" t="s">
        <v>491</v>
      </c>
      <c r="V727" s="46"/>
    </row>
    <row r="728" spans="1:23" ht="90" x14ac:dyDescent="0.25">
      <c r="A728" s="61">
        <v>42947</v>
      </c>
      <c r="B728" s="62" t="s">
        <v>110</v>
      </c>
      <c r="C728" s="46" t="s">
        <v>761</v>
      </c>
      <c r="D728" s="46" t="s">
        <v>715</v>
      </c>
      <c r="E728" s="46" t="s">
        <v>588</v>
      </c>
      <c r="F728" s="46" t="s">
        <v>7884</v>
      </c>
      <c r="G728" s="46" t="s">
        <v>7883</v>
      </c>
      <c r="H728" s="46" t="s">
        <v>607</v>
      </c>
      <c r="I728" s="46" t="s">
        <v>7885</v>
      </c>
      <c r="J728" s="49" t="s">
        <v>4785</v>
      </c>
      <c r="L728" s="63">
        <v>10</v>
      </c>
      <c r="M728" s="64">
        <v>154000</v>
      </c>
      <c r="N728" s="64">
        <v>261800</v>
      </c>
      <c r="O728" s="47" t="s">
        <v>3665</v>
      </c>
      <c r="P728" s="47" t="s">
        <v>7887</v>
      </c>
      <c r="Q728" s="62" t="s">
        <v>1612</v>
      </c>
      <c r="R728" s="47" t="s">
        <v>7908</v>
      </c>
      <c r="T728" s="47">
        <v>43</v>
      </c>
      <c r="U728" s="46" t="s">
        <v>491</v>
      </c>
      <c r="V728" s="46"/>
    </row>
    <row r="729" spans="1:23" ht="60" x14ac:dyDescent="0.25">
      <c r="A729" s="61">
        <v>42947</v>
      </c>
      <c r="B729" s="62" t="s">
        <v>569</v>
      </c>
      <c r="D729" s="46" t="s">
        <v>625</v>
      </c>
      <c r="E729" s="46" t="s">
        <v>588</v>
      </c>
      <c r="F729" s="47" t="s">
        <v>7888</v>
      </c>
      <c r="H729" s="46" t="s">
        <v>905</v>
      </c>
      <c r="I729" s="46" t="s">
        <v>3649</v>
      </c>
      <c r="J729" s="49" t="s">
        <v>899</v>
      </c>
      <c r="M729" s="64">
        <v>1907000</v>
      </c>
      <c r="N729" s="64">
        <v>1530000</v>
      </c>
      <c r="O729" s="47" t="s">
        <v>7889</v>
      </c>
      <c r="P729" s="47" t="s">
        <v>7890</v>
      </c>
      <c r="Q729" s="62" t="s">
        <v>1939</v>
      </c>
      <c r="R729" s="47" t="s">
        <v>7891</v>
      </c>
      <c r="T729" s="47">
        <v>12</v>
      </c>
      <c r="U729" s="46" t="s">
        <v>491</v>
      </c>
      <c r="V729" s="46"/>
    </row>
    <row r="730" spans="1:23" ht="45" x14ac:dyDescent="0.25">
      <c r="A730" s="61">
        <v>42947</v>
      </c>
      <c r="B730" s="62" t="s">
        <v>569</v>
      </c>
      <c r="D730" s="46" t="s">
        <v>625</v>
      </c>
      <c r="E730" s="46" t="s">
        <v>588</v>
      </c>
      <c r="F730" s="46" t="s">
        <v>7892</v>
      </c>
      <c r="G730" s="46" t="s">
        <v>2454</v>
      </c>
      <c r="H730" s="46" t="s">
        <v>607</v>
      </c>
      <c r="I730" s="46" t="s">
        <v>7088</v>
      </c>
      <c r="J730" s="49" t="s">
        <v>899</v>
      </c>
      <c r="L730" s="63">
        <v>4</v>
      </c>
      <c r="M730" s="64">
        <v>907000</v>
      </c>
      <c r="N730" s="64">
        <v>160000</v>
      </c>
      <c r="O730" s="47" t="s">
        <v>7893</v>
      </c>
      <c r="P730" s="47" t="s">
        <v>7894</v>
      </c>
      <c r="Q730" s="62" t="s">
        <v>1939</v>
      </c>
      <c r="R730" s="47" t="s">
        <v>7895</v>
      </c>
      <c r="T730" s="47">
        <v>12</v>
      </c>
      <c r="U730" s="46" t="s">
        <v>491</v>
      </c>
      <c r="V730" s="46"/>
    </row>
    <row r="731" spans="1:23" ht="45" x14ac:dyDescent="0.25">
      <c r="A731" s="61">
        <v>42947</v>
      </c>
      <c r="B731" s="62" t="s">
        <v>569</v>
      </c>
      <c r="D731" s="46" t="s">
        <v>625</v>
      </c>
      <c r="E731" s="46" t="s">
        <v>821</v>
      </c>
      <c r="F731" s="46" t="s">
        <v>543</v>
      </c>
      <c r="H731" s="46" t="s">
        <v>607</v>
      </c>
      <c r="J731" s="49" t="s">
        <v>899</v>
      </c>
      <c r="O731" s="47" t="s">
        <v>7898</v>
      </c>
      <c r="P731" s="47" t="s">
        <v>7897</v>
      </c>
      <c r="Q731" s="62" t="s">
        <v>29</v>
      </c>
      <c r="R731" s="47" t="s">
        <v>7896</v>
      </c>
      <c r="T731" s="47">
        <v>7</v>
      </c>
      <c r="U731" s="46" t="s">
        <v>491</v>
      </c>
      <c r="V731" s="46"/>
    </row>
    <row r="732" spans="1:23" ht="75" x14ac:dyDescent="0.25">
      <c r="A732" s="61">
        <v>42947</v>
      </c>
      <c r="B732" s="62" t="s">
        <v>328</v>
      </c>
      <c r="C732" s="46" t="s">
        <v>603</v>
      </c>
      <c r="D732" s="46" t="s">
        <v>2397</v>
      </c>
      <c r="E732" s="46" t="s">
        <v>588</v>
      </c>
      <c r="F732" s="46" t="s">
        <v>7899</v>
      </c>
      <c r="G732" s="46" t="s">
        <v>7900</v>
      </c>
      <c r="H732" s="46" t="s">
        <v>607</v>
      </c>
      <c r="I732" s="46" t="s">
        <v>7312</v>
      </c>
      <c r="J732" s="49" t="s">
        <v>3612</v>
      </c>
      <c r="L732" s="63">
        <v>3</v>
      </c>
      <c r="M732" s="64">
        <v>180000</v>
      </c>
      <c r="N732" s="64">
        <v>360000</v>
      </c>
      <c r="O732" s="47" t="s">
        <v>2934</v>
      </c>
      <c r="P732" s="47" t="s">
        <v>7901</v>
      </c>
      <c r="Q732" s="62" t="s">
        <v>1939</v>
      </c>
      <c r="R732" s="47" t="s">
        <v>7902</v>
      </c>
      <c r="T732" s="47">
        <v>12</v>
      </c>
      <c r="U732" s="46" t="s">
        <v>491</v>
      </c>
      <c r="V732" s="46"/>
    </row>
    <row r="733" spans="1:23" s="146" customFormat="1" ht="60" x14ac:dyDescent="0.25">
      <c r="A733" s="144">
        <v>42947</v>
      </c>
      <c r="B733" s="145" t="s">
        <v>328</v>
      </c>
      <c r="C733" s="146" t="s">
        <v>603</v>
      </c>
      <c r="D733" s="146" t="s">
        <v>649</v>
      </c>
      <c r="E733" s="146" t="s">
        <v>588</v>
      </c>
      <c r="F733" s="146" t="s">
        <v>7903</v>
      </c>
      <c r="G733" s="146" t="s">
        <v>7904</v>
      </c>
      <c r="H733" s="146" t="s">
        <v>607</v>
      </c>
      <c r="I733" s="146" t="s">
        <v>7905</v>
      </c>
      <c r="J733" s="109" t="s">
        <v>3885</v>
      </c>
      <c r="K733" s="109"/>
      <c r="L733" s="147"/>
      <c r="M733" s="148">
        <v>125000</v>
      </c>
      <c r="N733" s="148">
        <v>240000</v>
      </c>
      <c r="O733" s="149" t="s">
        <v>3107</v>
      </c>
      <c r="P733" s="149" t="s">
        <v>7906</v>
      </c>
      <c r="Q733" s="145" t="s">
        <v>620</v>
      </c>
      <c r="R733" s="149" t="s">
        <v>7907</v>
      </c>
      <c r="S733" s="149"/>
      <c r="T733" s="149">
        <v>15</v>
      </c>
      <c r="U733" s="146" t="s">
        <v>491</v>
      </c>
      <c r="W733" s="149"/>
    </row>
    <row r="734" spans="1:23" ht="30" x14ac:dyDescent="0.25">
      <c r="A734" s="61">
        <v>42948</v>
      </c>
      <c r="B734" s="62" t="s">
        <v>328</v>
      </c>
      <c r="C734" s="46" t="s">
        <v>603</v>
      </c>
      <c r="D734" s="46" t="s">
        <v>649</v>
      </c>
      <c r="E734" s="46" t="s">
        <v>588</v>
      </c>
      <c r="F734" s="46" t="s">
        <v>7910</v>
      </c>
      <c r="G734" s="46" t="s">
        <v>7911</v>
      </c>
      <c r="H734" s="46" t="s">
        <v>607</v>
      </c>
      <c r="J734" s="49" t="s">
        <v>3733</v>
      </c>
      <c r="M734" s="64">
        <v>145000</v>
      </c>
      <c r="N734" s="64">
        <v>265000</v>
      </c>
      <c r="O734" s="47" t="s">
        <v>7912</v>
      </c>
      <c r="P734" s="47" t="s">
        <v>7913</v>
      </c>
      <c r="Q734" s="62" t="s">
        <v>29</v>
      </c>
      <c r="R734" s="47" t="s">
        <v>7914</v>
      </c>
      <c r="T734" s="47">
        <v>10</v>
      </c>
      <c r="U734" s="46" t="s">
        <v>491</v>
      </c>
      <c r="V734" s="46"/>
    </row>
    <row r="735" spans="1:23" ht="30" x14ac:dyDescent="0.25">
      <c r="A735" s="61">
        <v>42948</v>
      </c>
      <c r="B735" s="62" t="s">
        <v>569</v>
      </c>
      <c r="D735" s="46" t="s">
        <v>625</v>
      </c>
      <c r="E735" s="46" t="s">
        <v>588</v>
      </c>
      <c r="F735" s="46" t="s">
        <v>7916</v>
      </c>
      <c r="G735" s="46" t="s">
        <v>7917</v>
      </c>
      <c r="H735" s="46" t="s">
        <v>5991</v>
      </c>
      <c r="O735" s="47" t="s">
        <v>7918</v>
      </c>
      <c r="P735" s="47" t="s">
        <v>7919</v>
      </c>
      <c r="Q735" s="62" t="s">
        <v>592</v>
      </c>
      <c r="T735" s="47">
        <v>17</v>
      </c>
      <c r="U735" s="46" t="s">
        <v>491</v>
      </c>
      <c r="V735" s="46"/>
    </row>
    <row r="736" spans="1:23" ht="261.75" customHeight="1" x14ac:dyDescent="0.25">
      <c r="A736" s="61">
        <v>42948</v>
      </c>
      <c r="B736" s="62" t="s">
        <v>328</v>
      </c>
      <c r="C736" s="46" t="s">
        <v>603</v>
      </c>
      <c r="D736" s="46" t="s">
        <v>649</v>
      </c>
      <c r="E736" s="46" t="s">
        <v>588</v>
      </c>
      <c r="F736" s="46" t="s">
        <v>7920</v>
      </c>
      <c r="G736" s="46" t="s">
        <v>7921</v>
      </c>
      <c r="H736" s="46" t="s">
        <v>607</v>
      </c>
      <c r="I736" s="46" t="s">
        <v>7922</v>
      </c>
      <c r="J736" s="49" t="s">
        <v>6015</v>
      </c>
      <c r="M736" s="64">
        <v>280000</v>
      </c>
      <c r="N736" s="64">
        <v>530000</v>
      </c>
      <c r="O736" s="47" t="s">
        <v>2934</v>
      </c>
      <c r="P736" s="47" t="s">
        <v>8391</v>
      </c>
      <c r="Q736" s="62" t="s">
        <v>1939</v>
      </c>
      <c r="R736" s="86" t="s">
        <v>7923</v>
      </c>
      <c r="T736" s="47">
        <v>14</v>
      </c>
      <c r="U736" s="46" t="s">
        <v>491</v>
      </c>
      <c r="V736" s="46"/>
    </row>
    <row r="737" spans="1:22" ht="195" x14ac:dyDescent="0.25">
      <c r="A737" s="61">
        <v>42948</v>
      </c>
      <c r="B737" s="62" t="s">
        <v>328</v>
      </c>
      <c r="C737" s="46" t="s">
        <v>603</v>
      </c>
      <c r="D737" s="46" t="s">
        <v>7595</v>
      </c>
      <c r="E737" s="46" t="s">
        <v>588</v>
      </c>
      <c r="F737" s="46" t="s">
        <v>7924</v>
      </c>
      <c r="G737" s="46" t="s">
        <v>7925</v>
      </c>
      <c r="H737" s="46" t="s">
        <v>607</v>
      </c>
      <c r="I737" s="46" t="s">
        <v>7926</v>
      </c>
      <c r="J737" s="49" t="s">
        <v>899</v>
      </c>
      <c r="L737" s="63">
        <v>3</v>
      </c>
      <c r="M737" s="64">
        <v>1800000</v>
      </c>
      <c r="N737" s="64">
        <v>3060000</v>
      </c>
      <c r="O737" s="47" t="s">
        <v>560</v>
      </c>
      <c r="P737" s="47" t="s">
        <v>7927</v>
      </c>
      <c r="Q737" s="62" t="s">
        <v>1612</v>
      </c>
      <c r="R737" s="47" t="s">
        <v>7945</v>
      </c>
      <c r="T737" s="47">
        <v>40</v>
      </c>
      <c r="U737" s="46" t="s">
        <v>491</v>
      </c>
      <c r="V737" s="46"/>
    </row>
    <row r="738" spans="1:22" ht="45" x14ac:dyDescent="0.25">
      <c r="A738" s="61">
        <v>42948</v>
      </c>
      <c r="B738" s="62" t="s">
        <v>328</v>
      </c>
      <c r="C738" s="46" t="s">
        <v>603</v>
      </c>
      <c r="D738" s="46" t="s">
        <v>7595</v>
      </c>
      <c r="E738" s="46" t="s">
        <v>588</v>
      </c>
      <c r="F738" s="46" t="s">
        <v>7951</v>
      </c>
      <c r="G738" s="46" t="s">
        <v>7946</v>
      </c>
      <c r="H738" s="46" t="s">
        <v>607</v>
      </c>
      <c r="I738" s="46" t="s">
        <v>7947</v>
      </c>
      <c r="J738" s="49" t="s">
        <v>603</v>
      </c>
      <c r="L738" s="63">
        <v>1</v>
      </c>
      <c r="M738" s="64">
        <v>171910</v>
      </c>
      <c r="N738" s="64">
        <v>317910</v>
      </c>
      <c r="O738" s="47" t="s">
        <v>7948</v>
      </c>
      <c r="P738" s="47" t="s">
        <v>7949</v>
      </c>
      <c r="Q738" s="62" t="s">
        <v>1939</v>
      </c>
      <c r="R738" s="47" t="s">
        <v>7950</v>
      </c>
      <c r="T738" s="47">
        <v>10</v>
      </c>
      <c r="U738" s="46" t="s">
        <v>491</v>
      </c>
      <c r="V738" s="46"/>
    </row>
    <row r="739" spans="1:22" ht="90" x14ac:dyDescent="0.25">
      <c r="A739" s="61">
        <v>42948</v>
      </c>
      <c r="B739" s="62" t="s">
        <v>569</v>
      </c>
      <c r="D739" s="46" t="s">
        <v>624</v>
      </c>
      <c r="E739" s="46" t="s">
        <v>588</v>
      </c>
      <c r="F739" s="46" t="s">
        <v>7952</v>
      </c>
      <c r="G739" s="46" t="s">
        <v>7953</v>
      </c>
      <c r="H739" s="46" t="s">
        <v>607</v>
      </c>
      <c r="I739" s="46" t="s">
        <v>7954</v>
      </c>
      <c r="J739" s="49" t="s">
        <v>899</v>
      </c>
      <c r="L739" s="63">
        <v>3</v>
      </c>
      <c r="M739" s="64">
        <v>1850000</v>
      </c>
      <c r="N739" s="64">
        <v>3500000</v>
      </c>
      <c r="O739" s="47" t="s">
        <v>560</v>
      </c>
      <c r="P739" s="47" t="s">
        <v>7955</v>
      </c>
      <c r="Q739" s="62" t="s">
        <v>1939</v>
      </c>
      <c r="R739" s="47" t="s">
        <v>7956</v>
      </c>
      <c r="T739" s="149">
        <v>18</v>
      </c>
      <c r="U739" s="46" t="s">
        <v>491</v>
      </c>
      <c r="V739" s="46"/>
    </row>
    <row r="740" spans="1:22" ht="105" x14ac:dyDescent="0.25">
      <c r="A740" s="61">
        <v>42949</v>
      </c>
      <c r="B740" s="62" t="s">
        <v>569</v>
      </c>
      <c r="D740" s="46" t="s">
        <v>930</v>
      </c>
      <c r="E740" s="46" t="s">
        <v>821</v>
      </c>
      <c r="F740" s="46" t="s">
        <v>7957</v>
      </c>
      <c r="H740" s="46" t="s">
        <v>905</v>
      </c>
      <c r="M740" s="64">
        <v>750000</v>
      </c>
      <c r="O740" s="47" t="s">
        <v>639</v>
      </c>
      <c r="P740" s="47" t="s">
        <v>8401</v>
      </c>
      <c r="Q740" s="62" t="s">
        <v>592</v>
      </c>
      <c r="T740" s="47">
        <v>10</v>
      </c>
      <c r="U740" s="46" t="s">
        <v>491</v>
      </c>
      <c r="V740" s="46"/>
    </row>
    <row r="741" spans="1:22" ht="90" x14ac:dyDescent="0.25">
      <c r="A741" s="61">
        <v>42949</v>
      </c>
      <c r="B741" s="62" t="s">
        <v>328</v>
      </c>
      <c r="C741" s="46" t="s">
        <v>603</v>
      </c>
      <c r="D741" s="46" t="s">
        <v>2397</v>
      </c>
      <c r="E741" s="46" t="s">
        <v>588</v>
      </c>
      <c r="F741" s="46" t="s">
        <v>7958</v>
      </c>
      <c r="G741" s="46" t="s">
        <v>7959</v>
      </c>
      <c r="H741" s="46" t="s">
        <v>722</v>
      </c>
      <c r="I741" s="46" t="s">
        <v>7960</v>
      </c>
      <c r="J741" s="49" t="s">
        <v>899</v>
      </c>
      <c r="L741" s="63">
        <v>9</v>
      </c>
      <c r="M741" s="64">
        <v>300000</v>
      </c>
      <c r="N741" s="64">
        <v>380000</v>
      </c>
      <c r="O741" s="47" t="s">
        <v>2680</v>
      </c>
      <c r="P741" s="47" t="s">
        <v>7961</v>
      </c>
      <c r="Q741" s="62" t="s">
        <v>1939</v>
      </c>
      <c r="R741" s="47" t="s">
        <v>8402</v>
      </c>
      <c r="T741" s="47">
        <v>22</v>
      </c>
      <c r="U741" s="46" t="s">
        <v>491</v>
      </c>
      <c r="V741" s="46"/>
    </row>
    <row r="742" spans="1:22" ht="30" x14ac:dyDescent="0.25">
      <c r="A742" s="61">
        <v>42949</v>
      </c>
      <c r="B742" s="62" t="s">
        <v>328</v>
      </c>
      <c r="C742" s="46" t="s">
        <v>603</v>
      </c>
      <c r="D742" s="46" t="s">
        <v>1401</v>
      </c>
      <c r="E742" s="46" t="s">
        <v>588</v>
      </c>
      <c r="F742" s="46" t="s">
        <v>7962</v>
      </c>
      <c r="G742" s="46" t="s">
        <v>2346</v>
      </c>
      <c r="H742" s="46" t="s">
        <v>722</v>
      </c>
      <c r="I742" s="46" t="s">
        <v>3518</v>
      </c>
      <c r="J742" s="49" t="s">
        <v>899</v>
      </c>
      <c r="L742" s="63">
        <v>6</v>
      </c>
      <c r="M742" s="64">
        <v>200000</v>
      </c>
      <c r="N742" s="64">
        <v>300000</v>
      </c>
      <c r="O742" s="47" t="s">
        <v>560</v>
      </c>
      <c r="P742" s="47" t="s">
        <v>7963</v>
      </c>
      <c r="Q742" s="62" t="s">
        <v>592</v>
      </c>
      <c r="S742" s="47" t="s">
        <v>7964</v>
      </c>
      <c r="T742" s="149">
        <v>15</v>
      </c>
      <c r="U742" s="46" t="s">
        <v>491</v>
      </c>
      <c r="V742" s="46"/>
    </row>
    <row r="743" spans="1:22" ht="60" x14ac:dyDescent="0.25">
      <c r="A743" s="61">
        <v>42950</v>
      </c>
      <c r="B743" s="62" t="s">
        <v>569</v>
      </c>
      <c r="D743" s="46" t="s">
        <v>624</v>
      </c>
      <c r="E743" s="46" t="s">
        <v>588</v>
      </c>
      <c r="F743" s="46" t="s">
        <v>7965</v>
      </c>
      <c r="G743" s="46" t="s">
        <v>7480</v>
      </c>
      <c r="H743" s="46" t="s">
        <v>607</v>
      </c>
      <c r="I743" s="46" t="s">
        <v>2054</v>
      </c>
      <c r="J743" s="49" t="s">
        <v>899</v>
      </c>
      <c r="L743" s="63">
        <v>4</v>
      </c>
      <c r="M743" s="64">
        <v>2500000</v>
      </c>
      <c r="N743" s="64">
        <v>4000000</v>
      </c>
      <c r="O743" s="47" t="s">
        <v>560</v>
      </c>
      <c r="P743" s="47" t="s">
        <v>7966</v>
      </c>
      <c r="Q743" s="62" t="s">
        <v>592</v>
      </c>
      <c r="R743" s="47" t="s">
        <v>7967</v>
      </c>
      <c r="T743" s="47">
        <v>18</v>
      </c>
      <c r="U743" s="46" t="s">
        <v>491</v>
      </c>
      <c r="V743" s="46"/>
    </row>
    <row r="744" spans="1:22" ht="45" x14ac:dyDescent="0.25">
      <c r="A744" s="61">
        <v>42950</v>
      </c>
      <c r="B744" s="62" t="s">
        <v>5360</v>
      </c>
      <c r="D744" s="46" t="s">
        <v>1027</v>
      </c>
      <c r="E744" s="46" t="s">
        <v>821</v>
      </c>
      <c r="F744" s="46" t="s">
        <v>7969</v>
      </c>
      <c r="G744" s="46" t="s">
        <v>7968</v>
      </c>
      <c r="H744" s="46" t="s">
        <v>607</v>
      </c>
      <c r="O744" s="47" t="s">
        <v>6447</v>
      </c>
      <c r="P744" s="47" t="s">
        <v>7970</v>
      </c>
      <c r="Q744" s="62" t="s">
        <v>1939</v>
      </c>
      <c r="R744" s="47" t="s">
        <v>7971</v>
      </c>
      <c r="T744" s="47">
        <v>12</v>
      </c>
      <c r="U744" s="46" t="s">
        <v>491</v>
      </c>
      <c r="V744" s="46"/>
    </row>
    <row r="745" spans="1:22" ht="60" x14ac:dyDescent="0.25">
      <c r="A745" s="61">
        <v>42950</v>
      </c>
      <c r="B745" s="62" t="s">
        <v>569</v>
      </c>
      <c r="D745" s="46" t="s">
        <v>3505</v>
      </c>
      <c r="E745" s="46" t="s">
        <v>588</v>
      </c>
      <c r="F745" s="46" t="s">
        <v>7973</v>
      </c>
      <c r="G745" s="46" t="s">
        <v>7974</v>
      </c>
      <c r="H745" s="46" t="s">
        <v>722</v>
      </c>
      <c r="I745" s="46" t="s">
        <v>7975</v>
      </c>
      <c r="J745" s="49" t="s">
        <v>899</v>
      </c>
      <c r="M745" s="64">
        <v>816000</v>
      </c>
      <c r="N745" s="64">
        <v>966000</v>
      </c>
      <c r="O745" s="47" t="s">
        <v>5622</v>
      </c>
      <c r="P745" s="47" t="s">
        <v>7976</v>
      </c>
      <c r="Q745" s="62" t="s">
        <v>1939</v>
      </c>
      <c r="R745" s="47" t="s">
        <v>7994</v>
      </c>
      <c r="T745" s="47">
        <v>26</v>
      </c>
      <c r="U745" s="46" t="s">
        <v>491</v>
      </c>
      <c r="V745" s="46"/>
    </row>
    <row r="746" spans="1:22" ht="45" x14ac:dyDescent="0.25">
      <c r="A746" s="61">
        <v>42950</v>
      </c>
      <c r="B746" s="62" t="s">
        <v>320</v>
      </c>
      <c r="D746" s="46" t="s">
        <v>1229</v>
      </c>
      <c r="E746" s="46" t="s">
        <v>692</v>
      </c>
      <c r="F746" s="46" t="s">
        <v>7977</v>
      </c>
      <c r="G746" s="46" t="s">
        <v>7978</v>
      </c>
      <c r="H746" s="46" t="s">
        <v>607</v>
      </c>
      <c r="I746" s="46" t="s">
        <v>3937</v>
      </c>
      <c r="J746" s="49" t="s">
        <v>3856</v>
      </c>
      <c r="M746" s="64">
        <v>250000</v>
      </c>
      <c r="N746" s="64">
        <v>370000</v>
      </c>
      <c r="O746" s="47" t="s">
        <v>7979</v>
      </c>
      <c r="P746" s="47" t="s">
        <v>7980</v>
      </c>
      <c r="Q746" s="62" t="s">
        <v>1939</v>
      </c>
      <c r="R746" s="47" t="s">
        <v>7981</v>
      </c>
      <c r="T746" s="47">
        <v>34</v>
      </c>
      <c r="U746" s="46" t="s">
        <v>491</v>
      </c>
      <c r="V746" s="46"/>
    </row>
    <row r="747" spans="1:22" ht="75" x14ac:dyDescent="0.25">
      <c r="A747" s="61">
        <v>42950</v>
      </c>
      <c r="B747" s="62" t="s">
        <v>328</v>
      </c>
      <c r="C747" s="46" t="s">
        <v>603</v>
      </c>
      <c r="D747" s="46" t="s">
        <v>649</v>
      </c>
      <c r="E747" s="46" t="s">
        <v>588</v>
      </c>
      <c r="F747" s="46" t="s">
        <v>7982</v>
      </c>
      <c r="G747" s="46" t="s">
        <v>7983</v>
      </c>
      <c r="H747" s="46" t="s">
        <v>607</v>
      </c>
      <c r="I747" s="46" t="s">
        <v>4192</v>
      </c>
      <c r="J747" s="49" t="s">
        <v>3398</v>
      </c>
      <c r="L747" s="63">
        <v>2</v>
      </c>
      <c r="M747" s="64">
        <v>400000</v>
      </c>
      <c r="N747" s="64">
        <v>680000</v>
      </c>
      <c r="O747" s="47" t="s">
        <v>1171</v>
      </c>
      <c r="P747" s="47" t="s">
        <v>7984</v>
      </c>
      <c r="Q747" s="62" t="s">
        <v>1612</v>
      </c>
      <c r="R747" s="47" t="s">
        <v>7999</v>
      </c>
      <c r="T747" s="149">
        <v>46</v>
      </c>
      <c r="U747" s="46" t="s">
        <v>491</v>
      </c>
      <c r="V747" s="46"/>
    </row>
    <row r="748" spans="1:22" ht="264.75" x14ac:dyDescent="0.25">
      <c r="A748" s="61">
        <v>42951</v>
      </c>
      <c r="B748" s="62" t="s">
        <v>328</v>
      </c>
      <c r="C748" s="46" t="s">
        <v>603</v>
      </c>
      <c r="D748" s="46" t="s">
        <v>5701</v>
      </c>
      <c r="E748" s="46" t="s">
        <v>588</v>
      </c>
      <c r="F748" s="46" t="s">
        <v>7985</v>
      </c>
      <c r="G748" s="46" t="s">
        <v>7986</v>
      </c>
      <c r="H748" s="46" t="s">
        <v>905</v>
      </c>
      <c r="I748" s="46" t="s">
        <v>7987</v>
      </c>
      <c r="J748" s="49" t="s">
        <v>644</v>
      </c>
      <c r="L748" s="63">
        <v>2</v>
      </c>
      <c r="M748" s="64">
        <v>225000</v>
      </c>
      <c r="N748" s="64">
        <v>275000</v>
      </c>
      <c r="O748" s="47" t="s">
        <v>5502</v>
      </c>
      <c r="P748" s="47" t="s">
        <v>7988</v>
      </c>
      <c r="Q748" s="62" t="s">
        <v>1612</v>
      </c>
      <c r="R748" s="86" t="s">
        <v>7995</v>
      </c>
      <c r="S748" s="47" t="s">
        <v>7989</v>
      </c>
      <c r="T748" s="47">
        <v>38</v>
      </c>
      <c r="U748" s="46" t="s">
        <v>491</v>
      </c>
      <c r="V748" s="46"/>
    </row>
    <row r="749" spans="1:22" ht="156.75" x14ac:dyDescent="0.25">
      <c r="A749" s="61">
        <v>42951</v>
      </c>
      <c r="B749" s="62" t="s">
        <v>569</v>
      </c>
      <c r="D749" s="46" t="s">
        <v>625</v>
      </c>
      <c r="E749" s="46" t="s">
        <v>588</v>
      </c>
      <c r="F749" s="46" t="s">
        <v>7990</v>
      </c>
      <c r="G749" s="46" t="s">
        <v>7991</v>
      </c>
      <c r="H749" s="46" t="s">
        <v>607</v>
      </c>
      <c r="I749" s="46" t="s">
        <v>5972</v>
      </c>
      <c r="J749" s="49" t="s">
        <v>899</v>
      </c>
      <c r="L749" s="63">
        <v>10</v>
      </c>
      <c r="M749" s="64">
        <v>2433000</v>
      </c>
      <c r="N749" s="64">
        <v>5000000</v>
      </c>
      <c r="O749" s="47" t="s">
        <v>560</v>
      </c>
      <c r="P749" s="47" t="s">
        <v>7992</v>
      </c>
      <c r="Q749" s="62" t="s">
        <v>620</v>
      </c>
      <c r="R749" s="86" t="s">
        <v>7993</v>
      </c>
      <c r="T749" s="47">
        <v>19</v>
      </c>
      <c r="U749" s="46" t="s">
        <v>491</v>
      </c>
      <c r="V749" s="46"/>
    </row>
    <row r="750" spans="1:22" ht="45" x14ac:dyDescent="0.25">
      <c r="A750" s="61">
        <v>42954</v>
      </c>
      <c r="B750" s="62" t="s">
        <v>328</v>
      </c>
      <c r="C750" s="46" t="s">
        <v>603</v>
      </c>
      <c r="D750" s="46" t="s">
        <v>2397</v>
      </c>
      <c r="E750" s="46" t="s">
        <v>588</v>
      </c>
      <c r="F750" s="46" t="s">
        <v>7996</v>
      </c>
      <c r="G750" s="46" t="s">
        <v>727</v>
      </c>
      <c r="H750" s="46" t="s">
        <v>607</v>
      </c>
      <c r="I750" s="46" t="s">
        <v>5345</v>
      </c>
      <c r="J750" s="49" t="s">
        <v>644</v>
      </c>
      <c r="L750" s="63">
        <v>9</v>
      </c>
      <c r="M750" s="64">
        <v>1800000</v>
      </c>
      <c r="N750" s="64">
        <v>2880000</v>
      </c>
      <c r="O750" s="47" t="s">
        <v>560</v>
      </c>
      <c r="P750" s="47" t="s">
        <v>7997</v>
      </c>
      <c r="Q750" s="62" t="s">
        <v>592</v>
      </c>
      <c r="S750" s="47" t="s">
        <v>7998</v>
      </c>
      <c r="T750" s="47">
        <v>15</v>
      </c>
      <c r="U750" s="46" t="s">
        <v>491</v>
      </c>
      <c r="V750" s="46"/>
    </row>
    <row r="751" spans="1:22" ht="105" x14ac:dyDescent="0.25">
      <c r="A751" s="61">
        <v>42954</v>
      </c>
      <c r="B751" s="62" t="s">
        <v>328</v>
      </c>
      <c r="C751" s="46" t="s">
        <v>603</v>
      </c>
      <c r="D751" s="46" t="s">
        <v>649</v>
      </c>
      <c r="E751" s="46" t="s">
        <v>588</v>
      </c>
      <c r="F751" s="46" t="s">
        <v>8000</v>
      </c>
      <c r="G751" s="46" t="s">
        <v>8113</v>
      </c>
      <c r="H751" s="46" t="s">
        <v>607</v>
      </c>
      <c r="O751" s="47" t="s">
        <v>8001</v>
      </c>
      <c r="P751" s="47" t="s">
        <v>8002</v>
      </c>
      <c r="Q751" s="62" t="s">
        <v>29</v>
      </c>
      <c r="R751" s="47" t="s">
        <v>8115</v>
      </c>
      <c r="S751" s="47" t="s">
        <v>8114</v>
      </c>
      <c r="T751" s="47">
        <v>62</v>
      </c>
      <c r="U751" s="46" t="s">
        <v>491</v>
      </c>
      <c r="V751" s="46"/>
    </row>
    <row r="752" spans="1:22" ht="60" x14ac:dyDescent="0.25">
      <c r="A752" s="61">
        <v>42954</v>
      </c>
      <c r="B752" s="62" t="s">
        <v>5992</v>
      </c>
      <c r="C752" s="46" t="s">
        <v>608</v>
      </c>
      <c r="D752" s="46" t="s">
        <v>5270</v>
      </c>
      <c r="E752" s="46" t="s">
        <v>588</v>
      </c>
      <c r="F752" s="46" t="s">
        <v>8003</v>
      </c>
      <c r="G752" s="46" t="s">
        <v>8004</v>
      </c>
      <c r="H752" s="46" t="s">
        <v>5991</v>
      </c>
      <c r="I752" s="46" t="s">
        <v>8005</v>
      </c>
      <c r="J752" s="49" t="s">
        <v>608</v>
      </c>
      <c r="L752" s="63">
        <v>4</v>
      </c>
      <c r="M752" s="64">
        <v>230000</v>
      </c>
      <c r="N752" s="64">
        <v>414000</v>
      </c>
      <c r="O752" s="47" t="s">
        <v>3086</v>
      </c>
      <c r="P752" s="47" t="s">
        <v>8006</v>
      </c>
      <c r="Q752" s="62" t="s">
        <v>592</v>
      </c>
      <c r="R752" s="47" t="s">
        <v>8007</v>
      </c>
      <c r="S752" s="47" t="s">
        <v>8008</v>
      </c>
      <c r="T752" s="149">
        <v>14</v>
      </c>
      <c r="U752" s="46" t="s">
        <v>491</v>
      </c>
      <c r="V752" s="46"/>
    </row>
    <row r="753" spans="1:22" ht="60" x14ac:dyDescent="0.25">
      <c r="A753" s="61">
        <v>42955</v>
      </c>
      <c r="B753" s="62" t="s">
        <v>328</v>
      </c>
      <c r="C753" s="46" t="s">
        <v>603</v>
      </c>
      <c r="D753" s="46" t="s">
        <v>8039</v>
      </c>
      <c r="E753" s="46" t="s">
        <v>588</v>
      </c>
      <c r="F753" s="46" t="s">
        <v>8009</v>
      </c>
      <c r="G753" s="46" t="s">
        <v>8010</v>
      </c>
      <c r="H753" s="46" t="s">
        <v>905</v>
      </c>
      <c r="I753" s="46" t="s">
        <v>3925</v>
      </c>
      <c r="J753" s="49" t="s">
        <v>899</v>
      </c>
      <c r="L753" s="63">
        <v>3</v>
      </c>
      <c r="M753" s="64">
        <v>2060000</v>
      </c>
      <c r="N753" s="64">
        <v>2818080</v>
      </c>
      <c r="O753" s="47" t="s">
        <v>560</v>
      </c>
      <c r="P753" s="47" t="s">
        <v>8011</v>
      </c>
      <c r="Q753" s="62" t="s">
        <v>1612</v>
      </c>
      <c r="R753" s="47" t="s">
        <v>8012</v>
      </c>
      <c r="S753" s="47" t="s">
        <v>8062</v>
      </c>
      <c r="T753" s="47">
        <v>25</v>
      </c>
      <c r="U753" s="46" t="s">
        <v>491</v>
      </c>
      <c r="V753" s="46"/>
    </row>
    <row r="754" spans="1:22" ht="30" x14ac:dyDescent="0.25">
      <c r="A754" s="61">
        <v>42955</v>
      </c>
      <c r="B754" s="62" t="s">
        <v>110</v>
      </c>
      <c r="C754" s="46" t="s">
        <v>761</v>
      </c>
      <c r="D754" s="46" t="s">
        <v>4782</v>
      </c>
      <c r="E754" s="46" t="s">
        <v>588</v>
      </c>
      <c r="F754" s="46" t="s">
        <v>8013</v>
      </c>
      <c r="G754" s="46" t="s">
        <v>7880</v>
      </c>
      <c r="H754" s="46" t="s">
        <v>607</v>
      </c>
      <c r="I754" s="46" t="s">
        <v>8014</v>
      </c>
      <c r="J754" s="49" t="s">
        <v>761</v>
      </c>
      <c r="L754" s="63">
        <v>10</v>
      </c>
      <c r="M754" s="64">
        <v>206215</v>
      </c>
      <c r="N754" s="64">
        <v>350567</v>
      </c>
      <c r="O754" s="47" t="s">
        <v>2680</v>
      </c>
      <c r="P754" s="47" t="s">
        <v>8015</v>
      </c>
      <c r="Q754" s="62" t="s">
        <v>1939</v>
      </c>
      <c r="R754" s="47" t="s">
        <v>8016</v>
      </c>
      <c r="T754" s="47">
        <v>16</v>
      </c>
      <c r="U754" s="46" t="s">
        <v>491</v>
      </c>
      <c r="V754" s="46"/>
    </row>
    <row r="755" spans="1:22" ht="90" x14ac:dyDescent="0.25">
      <c r="A755" s="61">
        <v>42955</v>
      </c>
      <c r="B755" s="62" t="s">
        <v>328</v>
      </c>
      <c r="C755" s="46" t="s">
        <v>603</v>
      </c>
      <c r="D755" s="46" t="s">
        <v>5701</v>
      </c>
      <c r="E755" s="46" t="s">
        <v>588</v>
      </c>
      <c r="F755" s="46" t="s">
        <v>8017</v>
      </c>
      <c r="G755" s="46" t="s">
        <v>8018</v>
      </c>
      <c r="H755" s="46" t="s">
        <v>607</v>
      </c>
      <c r="O755" s="47" t="s">
        <v>2928</v>
      </c>
      <c r="P755" s="47" t="s">
        <v>8019</v>
      </c>
      <c r="Q755" s="62" t="s">
        <v>29</v>
      </c>
      <c r="R755" s="47" t="s">
        <v>8052</v>
      </c>
      <c r="T755" s="47">
        <v>41</v>
      </c>
      <c r="U755" s="46" t="s">
        <v>491</v>
      </c>
      <c r="V755" s="46"/>
    </row>
    <row r="756" spans="1:22" ht="30" x14ac:dyDescent="0.25">
      <c r="A756" s="61">
        <v>42955</v>
      </c>
      <c r="B756" s="62" t="s">
        <v>328</v>
      </c>
      <c r="C756" s="46" t="s">
        <v>603</v>
      </c>
      <c r="D756" s="46" t="s">
        <v>2397</v>
      </c>
      <c r="E756" s="46" t="s">
        <v>588</v>
      </c>
      <c r="F756" s="46" t="s">
        <v>8021</v>
      </c>
      <c r="H756" s="46" t="s">
        <v>809</v>
      </c>
      <c r="I756" s="46" t="s">
        <v>8020</v>
      </c>
      <c r="J756" s="49" t="s">
        <v>644</v>
      </c>
      <c r="L756" s="63">
        <v>5</v>
      </c>
      <c r="M756" s="64">
        <v>3000000</v>
      </c>
      <c r="N756" s="64">
        <v>3000000</v>
      </c>
      <c r="O756" s="47" t="s">
        <v>560</v>
      </c>
      <c r="P756" s="47" t="s">
        <v>8022</v>
      </c>
      <c r="Q756" s="62" t="s">
        <v>592</v>
      </c>
      <c r="S756" s="47" t="s">
        <v>8025</v>
      </c>
      <c r="T756" s="47">
        <v>9</v>
      </c>
      <c r="U756" s="46" t="s">
        <v>491</v>
      </c>
      <c r="V756" s="46"/>
    </row>
    <row r="757" spans="1:22" ht="30" x14ac:dyDescent="0.25">
      <c r="A757" s="61">
        <v>42955</v>
      </c>
      <c r="B757" s="62" t="s">
        <v>328</v>
      </c>
      <c r="C757" s="46" t="s">
        <v>603</v>
      </c>
      <c r="D757" s="46" t="s">
        <v>2397</v>
      </c>
      <c r="E757" s="46" t="s">
        <v>588</v>
      </c>
      <c r="F757" s="46" t="s">
        <v>8023</v>
      </c>
      <c r="H757" s="46" t="s">
        <v>809</v>
      </c>
      <c r="I757" s="46" t="s">
        <v>8020</v>
      </c>
      <c r="J757" s="49" t="s">
        <v>644</v>
      </c>
      <c r="L757" s="63">
        <v>5</v>
      </c>
      <c r="M757" s="64">
        <v>5000000</v>
      </c>
      <c r="N757" s="64">
        <v>5000000</v>
      </c>
      <c r="O757" s="47" t="s">
        <v>560</v>
      </c>
      <c r="P757" s="47" t="s">
        <v>8024</v>
      </c>
      <c r="Q757" s="62" t="s">
        <v>592</v>
      </c>
      <c r="T757" s="47">
        <v>8</v>
      </c>
      <c r="U757" s="46" t="s">
        <v>491</v>
      </c>
      <c r="V757" s="46"/>
    </row>
    <row r="758" spans="1:22" ht="30" x14ac:dyDescent="0.25">
      <c r="A758" s="61">
        <v>42955</v>
      </c>
      <c r="B758" s="62" t="s">
        <v>110</v>
      </c>
      <c r="C758" s="46" t="s">
        <v>761</v>
      </c>
      <c r="D758" s="46" t="s">
        <v>715</v>
      </c>
      <c r="E758" s="46" t="s">
        <v>588</v>
      </c>
      <c r="F758" s="46" t="s">
        <v>8026</v>
      </c>
      <c r="G758" s="46" t="s">
        <v>8027</v>
      </c>
      <c r="H758" s="46" t="s">
        <v>607</v>
      </c>
      <c r="I758" s="46" t="s">
        <v>8028</v>
      </c>
      <c r="J758" s="49" t="s">
        <v>761</v>
      </c>
      <c r="L758" s="63">
        <v>10</v>
      </c>
      <c r="M758" s="64">
        <v>1300000</v>
      </c>
      <c r="N758" s="64">
        <v>2700000</v>
      </c>
      <c r="O758" s="47" t="s">
        <v>764</v>
      </c>
      <c r="P758" s="47" t="s">
        <v>8029</v>
      </c>
      <c r="Q758" s="62" t="s">
        <v>592</v>
      </c>
      <c r="T758" s="47">
        <v>12</v>
      </c>
      <c r="U758" s="46" t="s">
        <v>491</v>
      </c>
      <c r="V758" s="46"/>
    </row>
    <row r="759" spans="1:22" ht="45" x14ac:dyDescent="0.25">
      <c r="A759" s="61">
        <v>42955</v>
      </c>
      <c r="B759" s="62" t="s">
        <v>328</v>
      </c>
      <c r="C759" s="46" t="s">
        <v>603</v>
      </c>
      <c r="D759" s="46" t="s">
        <v>5701</v>
      </c>
      <c r="E759" s="46" t="s">
        <v>588</v>
      </c>
      <c r="F759" s="46" t="s">
        <v>8030</v>
      </c>
      <c r="H759" s="46" t="s">
        <v>809</v>
      </c>
      <c r="I759" s="46" t="s">
        <v>4399</v>
      </c>
      <c r="J759" s="49" t="s">
        <v>644</v>
      </c>
      <c r="L759" s="63">
        <v>2</v>
      </c>
      <c r="M759" s="64">
        <v>4000000</v>
      </c>
      <c r="N759" s="64">
        <v>4400000</v>
      </c>
      <c r="O759" s="47" t="s">
        <v>560</v>
      </c>
      <c r="P759" s="47" t="s">
        <v>8031</v>
      </c>
      <c r="Q759" s="62" t="s">
        <v>592</v>
      </c>
      <c r="T759" s="47">
        <v>14</v>
      </c>
      <c r="U759" s="46" t="s">
        <v>491</v>
      </c>
      <c r="V759" s="46"/>
    </row>
    <row r="760" spans="1:22" ht="45" x14ac:dyDescent="0.25">
      <c r="A760" s="61">
        <v>42955</v>
      </c>
      <c r="B760" s="62" t="s">
        <v>569</v>
      </c>
      <c r="D760" s="46" t="s">
        <v>930</v>
      </c>
      <c r="E760" s="46" t="s">
        <v>1707</v>
      </c>
      <c r="F760" s="46" t="s">
        <v>8032</v>
      </c>
      <c r="G760" s="46" t="s">
        <v>8135</v>
      </c>
      <c r="H760" s="46" t="s">
        <v>1626</v>
      </c>
      <c r="I760" s="46" t="s">
        <v>8136</v>
      </c>
      <c r="J760" s="49" t="s">
        <v>899</v>
      </c>
      <c r="L760" s="63">
        <v>4</v>
      </c>
      <c r="M760" s="64">
        <v>172000</v>
      </c>
      <c r="N760" s="64">
        <v>216000</v>
      </c>
      <c r="O760" s="47" t="s">
        <v>35</v>
      </c>
      <c r="P760" s="47" t="s">
        <v>8033</v>
      </c>
      <c r="Q760" s="62" t="s">
        <v>1612</v>
      </c>
      <c r="R760" s="47" t="s">
        <v>8403</v>
      </c>
      <c r="T760" s="47">
        <v>21</v>
      </c>
      <c r="U760" s="46" t="s">
        <v>491</v>
      </c>
      <c r="V760" s="46"/>
    </row>
    <row r="761" spans="1:22" ht="90" x14ac:dyDescent="0.25">
      <c r="A761" s="61">
        <v>42955</v>
      </c>
      <c r="B761" s="62" t="s">
        <v>569</v>
      </c>
      <c r="D761" s="46" t="s">
        <v>625</v>
      </c>
      <c r="E761" s="46" t="s">
        <v>821</v>
      </c>
      <c r="F761" s="46" t="s">
        <v>8053</v>
      </c>
      <c r="H761" s="46" t="s">
        <v>722</v>
      </c>
      <c r="I761" s="46" t="s">
        <v>3925</v>
      </c>
      <c r="J761" s="49" t="s">
        <v>899</v>
      </c>
      <c r="M761" s="64">
        <v>210000</v>
      </c>
      <c r="O761" s="47" t="s">
        <v>8034</v>
      </c>
      <c r="P761" s="47" t="s">
        <v>8404</v>
      </c>
      <c r="Q761" s="62" t="s">
        <v>1939</v>
      </c>
      <c r="R761" s="47" t="s">
        <v>8035</v>
      </c>
      <c r="T761" s="47">
        <v>27</v>
      </c>
      <c r="U761" s="46" t="s">
        <v>491</v>
      </c>
      <c r="V761" s="46"/>
    </row>
    <row r="762" spans="1:22" ht="60" x14ac:dyDescent="0.25">
      <c r="A762" s="61">
        <v>42955</v>
      </c>
      <c r="B762" s="62" t="s">
        <v>569</v>
      </c>
      <c r="D762" s="46" t="s">
        <v>625</v>
      </c>
      <c r="E762" s="46" t="s">
        <v>821</v>
      </c>
      <c r="F762" s="46" t="s">
        <v>8036</v>
      </c>
      <c r="H762" s="46" t="s">
        <v>607</v>
      </c>
      <c r="I762" s="46" t="s">
        <v>4064</v>
      </c>
      <c r="J762" s="49" t="s">
        <v>899</v>
      </c>
      <c r="O762" s="47" t="s">
        <v>6387</v>
      </c>
      <c r="P762" s="47" t="s">
        <v>8037</v>
      </c>
      <c r="Q762" s="62" t="s">
        <v>1939</v>
      </c>
      <c r="R762" s="47" t="s">
        <v>8038</v>
      </c>
      <c r="T762" s="47">
        <v>30</v>
      </c>
      <c r="U762" s="46" t="s">
        <v>491</v>
      </c>
      <c r="V762" s="46"/>
    </row>
    <row r="763" spans="1:22" ht="60" x14ac:dyDescent="0.25">
      <c r="A763" s="61">
        <v>42955</v>
      </c>
      <c r="B763" s="62" t="s">
        <v>643</v>
      </c>
      <c r="C763" s="46" t="s">
        <v>644</v>
      </c>
      <c r="D763" s="46" t="s">
        <v>645</v>
      </c>
      <c r="E763" s="46" t="s">
        <v>588</v>
      </c>
      <c r="F763" s="46" t="s">
        <v>8040</v>
      </c>
      <c r="G763" s="46" t="s">
        <v>8041</v>
      </c>
      <c r="H763" s="46" t="s">
        <v>607</v>
      </c>
      <c r="I763" s="46" t="s">
        <v>4237</v>
      </c>
      <c r="J763" s="49" t="s">
        <v>899</v>
      </c>
      <c r="L763" s="63">
        <v>2</v>
      </c>
      <c r="M763" s="64">
        <v>1800000</v>
      </c>
      <c r="N763" s="64">
        <v>3240000</v>
      </c>
      <c r="O763" s="47" t="s">
        <v>35</v>
      </c>
      <c r="P763" s="47" t="s">
        <v>8042</v>
      </c>
      <c r="Q763" s="62" t="s">
        <v>620</v>
      </c>
      <c r="R763" s="47" t="s">
        <v>8043</v>
      </c>
      <c r="T763" s="149">
        <v>10</v>
      </c>
      <c r="U763" s="46" t="s">
        <v>491</v>
      </c>
      <c r="V763" s="46"/>
    </row>
    <row r="764" spans="1:22" ht="60" x14ac:dyDescent="0.25">
      <c r="A764" s="61">
        <v>42956</v>
      </c>
      <c r="B764" s="62" t="s">
        <v>328</v>
      </c>
      <c r="C764" s="46" t="s">
        <v>603</v>
      </c>
      <c r="D764" s="46" t="s">
        <v>5701</v>
      </c>
      <c r="E764" s="46" t="s">
        <v>588</v>
      </c>
      <c r="F764" s="46" t="s">
        <v>149</v>
      </c>
      <c r="G764" s="46" t="s">
        <v>8044</v>
      </c>
      <c r="H764" s="46" t="s">
        <v>905</v>
      </c>
      <c r="I764" s="46" t="s">
        <v>3809</v>
      </c>
      <c r="J764" s="49" t="s">
        <v>602</v>
      </c>
      <c r="L764" s="63">
        <v>2</v>
      </c>
      <c r="M764" s="64">
        <v>525000</v>
      </c>
      <c r="N764" s="64">
        <v>595000</v>
      </c>
      <c r="O764" s="47" t="s">
        <v>8045</v>
      </c>
      <c r="P764" s="47" t="s">
        <v>8046</v>
      </c>
      <c r="Q764" s="62" t="s">
        <v>1939</v>
      </c>
      <c r="R764" s="47" t="s">
        <v>8047</v>
      </c>
      <c r="T764" s="47">
        <v>30</v>
      </c>
      <c r="U764" s="46" t="s">
        <v>491</v>
      </c>
      <c r="V764" s="46"/>
    </row>
    <row r="765" spans="1:22" ht="45" x14ac:dyDescent="0.25">
      <c r="A765" s="61">
        <v>42956</v>
      </c>
      <c r="B765" s="62" t="s">
        <v>328</v>
      </c>
      <c r="C765" s="46" t="s">
        <v>603</v>
      </c>
      <c r="D765" s="46" t="s">
        <v>1401</v>
      </c>
      <c r="E765" s="46" t="s">
        <v>588</v>
      </c>
      <c r="F765" s="46" t="s">
        <v>8048</v>
      </c>
      <c r="G765" s="46" t="s">
        <v>8049</v>
      </c>
      <c r="H765" s="46" t="s">
        <v>809</v>
      </c>
      <c r="I765" s="46" t="s">
        <v>5910</v>
      </c>
      <c r="J765" s="49" t="s">
        <v>899</v>
      </c>
      <c r="L765" s="63">
        <v>2</v>
      </c>
      <c r="M765" s="64">
        <v>300000</v>
      </c>
      <c r="N765" s="64">
        <v>3600000</v>
      </c>
      <c r="O765" s="47" t="s">
        <v>560</v>
      </c>
      <c r="P765" s="47" t="s">
        <v>8050</v>
      </c>
      <c r="Q765" s="62" t="s">
        <v>1612</v>
      </c>
      <c r="R765" s="47" t="s">
        <v>8051</v>
      </c>
      <c r="T765" s="47">
        <v>29</v>
      </c>
      <c r="U765" s="46" t="s">
        <v>491</v>
      </c>
      <c r="V765" s="46"/>
    </row>
    <row r="766" spans="1:22" ht="60" x14ac:dyDescent="0.25">
      <c r="A766" s="61">
        <v>42956</v>
      </c>
      <c r="B766" s="62" t="s">
        <v>569</v>
      </c>
      <c r="D766" s="46" t="s">
        <v>611</v>
      </c>
      <c r="E766" s="46" t="s">
        <v>588</v>
      </c>
      <c r="F766" s="46" t="s">
        <v>8054</v>
      </c>
      <c r="G766" s="46" t="s">
        <v>8055</v>
      </c>
      <c r="H766" s="46" t="s">
        <v>607</v>
      </c>
      <c r="I766" s="46" t="s">
        <v>7196</v>
      </c>
      <c r="J766" s="49" t="s">
        <v>899</v>
      </c>
      <c r="M766" s="64">
        <v>2454448</v>
      </c>
      <c r="N766" s="64">
        <v>4500000</v>
      </c>
      <c r="O766" s="47" t="s">
        <v>8059</v>
      </c>
      <c r="P766" s="47" t="s">
        <v>8090</v>
      </c>
      <c r="Q766" s="62" t="s">
        <v>1612</v>
      </c>
      <c r="R766" s="47" t="s">
        <v>8091</v>
      </c>
      <c r="T766" s="47">
        <v>28</v>
      </c>
      <c r="U766" s="46" t="s">
        <v>491</v>
      </c>
      <c r="V766" s="46"/>
    </row>
    <row r="767" spans="1:22" ht="45" x14ac:dyDescent="0.25">
      <c r="A767" s="61">
        <v>42956</v>
      </c>
      <c r="B767" s="62" t="s">
        <v>569</v>
      </c>
      <c r="D767" s="46" t="s">
        <v>624</v>
      </c>
      <c r="E767" s="46" t="s">
        <v>588</v>
      </c>
      <c r="F767" s="46" t="s">
        <v>8056</v>
      </c>
      <c r="G767" s="46" t="s">
        <v>8057</v>
      </c>
      <c r="H767" s="46" t="s">
        <v>607</v>
      </c>
      <c r="I767" s="46" t="s">
        <v>8058</v>
      </c>
      <c r="J767" s="49" t="s">
        <v>899</v>
      </c>
      <c r="M767" s="64">
        <v>800000</v>
      </c>
      <c r="O767" s="47" t="s">
        <v>8059</v>
      </c>
      <c r="P767" s="47" t="s">
        <v>8060</v>
      </c>
      <c r="Q767" s="62" t="s">
        <v>1939</v>
      </c>
      <c r="R767" s="47" t="s">
        <v>8061</v>
      </c>
      <c r="T767" s="47">
        <v>18</v>
      </c>
      <c r="U767" s="46" t="s">
        <v>491</v>
      </c>
      <c r="V767" s="46"/>
    </row>
    <row r="768" spans="1:22" ht="30" x14ac:dyDescent="0.25">
      <c r="A768" s="61">
        <v>42956</v>
      </c>
      <c r="B768" s="62" t="s">
        <v>328</v>
      </c>
      <c r="C768" s="46" t="s">
        <v>603</v>
      </c>
      <c r="D768" s="46" t="s">
        <v>5701</v>
      </c>
      <c r="E768" s="46" t="s">
        <v>692</v>
      </c>
      <c r="F768" s="46" t="s">
        <v>8063</v>
      </c>
      <c r="G768" s="46" t="s">
        <v>8064</v>
      </c>
      <c r="H768" s="46" t="s">
        <v>886</v>
      </c>
      <c r="I768" s="46" t="s">
        <v>6904</v>
      </c>
      <c r="J768" s="49" t="s">
        <v>3523</v>
      </c>
      <c r="M768" s="64">
        <v>2200000</v>
      </c>
      <c r="N768" s="64">
        <v>2200000</v>
      </c>
      <c r="O768" s="47" t="s">
        <v>8065</v>
      </c>
      <c r="P768" s="47" t="s">
        <v>8066</v>
      </c>
      <c r="Q768" s="62" t="s">
        <v>1939</v>
      </c>
      <c r="R768" s="47" t="s">
        <v>8067</v>
      </c>
      <c r="S768" s="47" t="s">
        <v>8068</v>
      </c>
      <c r="T768" s="47">
        <v>28</v>
      </c>
      <c r="U768" s="46" t="s">
        <v>491</v>
      </c>
      <c r="V768" s="46"/>
    </row>
    <row r="769" spans="1:22" ht="60" x14ac:dyDescent="0.25">
      <c r="A769" s="61">
        <v>42956</v>
      </c>
      <c r="B769" s="62" t="s">
        <v>643</v>
      </c>
      <c r="C769" s="46" t="s">
        <v>644</v>
      </c>
      <c r="D769" s="46" t="s">
        <v>645</v>
      </c>
      <c r="E769" s="46" t="s">
        <v>588</v>
      </c>
      <c r="F769" s="46" t="s">
        <v>497</v>
      </c>
      <c r="G769" s="46" t="s">
        <v>8069</v>
      </c>
      <c r="H769" s="46" t="s">
        <v>886</v>
      </c>
      <c r="I769" s="46" t="s">
        <v>8070</v>
      </c>
      <c r="J769" s="49" t="s">
        <v>644</v>
      </c>
      <c r="M769" s="64">
        <v>200000</v>
      </c>
      <c r="N769" s="64">
        <v>200000</v>
      </c>
      <c r="O769" s="47" t="s">
        <v>5234</v>
      </c>
      <c r="P769" s="47" t="s">
        <v>8405</v>
      </c>
      <c r="Q769" s="62" t="s">
        <v>29</v>
      </c>
      <c r="R769" s="47" t="s">
        <v>8071</v>
      </c>
      <c r="T769" s="47">
        <v>30</v>
      </c>
      <c r="U769" s="46" t="s">
        <v>491</v>
      </c>
      <c r="V769" s="46"/>
    </row>
    <row r="770" spans="1:22" ht="60" x14ac:dyDescent="0.25">
      <c r="A770" s="61">
        <v>42956</v>
      </c>
      <c r="B770" s="62" t="s">
        <v>328</v>
      </c>
      <c r="C770" s="46" t="s">
        <v>603</v>
      </c>
      <c r="D770" s="46" t="s">
        <v>672</v>
      </c>
      <c r="E770" s="46" t="s">
        <v>588</v>
      </c>
      <c r="F770" s="46" t="s">
        <v>8072</v>
      </c>
      <c r="H770" s="46" t="s">
        <v>809</v>
      </c>
      <c r="I770" s="46" t="s">
        <v>3635</v>
      </c>
      <c r="J770" s="49" t="s">
        <v>899</v>
      </c>
      <c r="L770" s="63">
        <v>5</v>
      </c>
      <c r="M770" s="64">
        <v>4000000</v>
      </c>
      <c r="N770" s="64">
        <v>4030000</v>
      </c>
      <c r="O770" s="47" t="s">
        <v>560</v>
      </c>
      <c r="P770" s="47" t="s">
        <v>8073</v>
      </c>
      <c r="Q770" s="62" t="s">
        <v>1612</v>
      </c>
      <c r="R770" s="47" t="s">
        <v>8112</v>
      </c>
      <c r="S770" s="47" t="s">
        <v>8074</v>
      </c>
      <c r="T770" s="149">
        <v>24</v>
      </c>
      <c r="U770" s="46" t="s">
        <v>491</v>
      </c>
      <c r="V770" s="46"/>
    </row>
    <row r="771" spans="1:22" ht="45" x14ac:dyDescent="0.25">
      <c r="A771" s="61">
        <v>42957</v>
      </c>
      <c r="B771" s="62" t="s">
        <v>5992</v>
      </c>
      <c r="D771" s="46" t="s">
        <v>7858</v>
      </c>
      <c r="E771" s="46" t="s">
        <v>588</v>
      </c>
      <c r="F771" s="46" t="s">
        <v>8075</v>
      </c>
      <c r="G771" s="46" t="s">
        <v>8076</v>
      </c>
      <c r="H771" s="46" t="s">
        <v>607</v>
      </c>
      <c r="I771" s="46" t="s">
        <v>8077</v>
      </c>
      <c r="J771" s="49" t="s">
        <v>608</v>
      </c>
      <c r="M771" s="64">
        <v>115000</v>
      </c>
      <c r="N771" s="64">
        <v>200000</v>
      </c>
      <c r="O771" s="47" t="s">
        <v>3107</v>
      </c>
      <c r="P771" s="47" t="s">
        <v>8078</v>
      </c>
      <c r="Q771" s="62" t="s">
        <v>620</v>
      </c>
      <c r="S771" s="47" t="s">
        <v>8079</v>
      </c>
      <c r="T771" s="47">
        <v>26</v>
      </c>
      <c r="U771" s="46" t="s">
        <v>491</v>
      </c>
      <c r="V771" s="46"/>
    </row>
    <row r="772" spans="1:22" ht="30" x14ac:dyDescent="0.25">
      <c r="A772" s="61">
        <v>42957</v>
      </c>
      <c r="B772" s="62" t="s">
        <v>328</v>
      </c>
      <c r="C772" s="46" t="s">
        <v>603</v>
      </c>
      <c r="D772" s="46" t="s">
        <v>2397</v>
      </c>
      <c r="E772" s="46" t="s">
        <v>588</v>
      </c>
      <c r="F772" s="46" t="s">
        <v>8080</v>
      </c>
      <c r="G772" s="46" t="s">
        <v>8081</v>
      </c>
      <c r="H772" s="46" t="s">
        <v>607</v>
      </c>
      <c r="I772" s="46" t="s">
        <v>4271</v>
      </c>
      <c r="J772" s="49" t="s">
        <v>644</v>
      </c>
      <c r="L772" s="63">
        <v>10</v>
      </c>
      <c r="M772" s="64">
        <v>864000</v>
      </c>
      <c r="N772" s="64">
        <v>1523200</v>
      </c>
      <c r="O772" s="47" t="s">
        <v>560</v>
      </c>
      <c r="P772" s="47" t="s">
        <v>8082</v>
      </c>
      <c r="Q772" s="62" t="s">
        <v>592</v>
      </c>
      <c r="T772" s="47">
        <v>11</v>
      </c>
      <c r="U772" s="46" t="s">
        <v>491</v>
      </c>
      <c r="V772" s="46"/>
    </row>
    <row r="773" spans="1:22" ht="45" x14ac:dyDescent="0.25">
      <c r="A773" s="61">
        <v>42957</v>
      </c>
      <c r="B773" s="62" t="s">
        <v>328</v>
      </c>
      <c r="C773" s="46" t="s">
        <v>603</v>
      </c>
      <c r="D773" s="46" t="s">
        <v>2397</v>
      </c>
      <c r="E773" s="46" t="s">
        <v>588</v>
      </c>
      <c r="F773" s="46" t="s">
        <v>8083</v>
      </c>
      <c r="H773" s="46" t="s">
        <v>809</v>
      </c>
      <c r="I773" s="46" t="s">
        <v>4078</v>
      </c>
      <c r="J773" s="49" t="s">
        <v>899</v>
      </c>
      <c r="L773" s="63">
        <v>5</v>
      </c>
      <c r="M773" s="64">
        <v>1700000</v>
      </c>
      <c r="N773" s="64">
        <v>2210000</v>
      </c>
      <c r="O773" s="47" t="s">
        <v>560</v>
      </c>
      <c r="P773" s="47" t="s">
        <v>8084</v>
      </c>
      <c r="Q773" s="62" t="s">
        <v>1939</v>
      </c>
      <c r="R773" s="47" t="s">
        <v>8085</v>
      </c>
      <c r="T773" s="47">
        <v>15</v>
      </c>
      <c r="U773" s="46" t="s">
        <v>491</v>
      </c>
      <c r="V773" s="46"/>
    </row>
    <row r="774" spans="1:22" ht="30" x14ac:dyDescent="0.25">
      <c r="A774" s="61">
        <v>42957</v>
      </c>
      <c r="B774" s="62" t="s">
        <v>328</v>
      </c>
      <c r="C774" s="46" t="s">
        <v>603</v>
      </c>
      <c r="D774" s="46" t="s">
        <v>2500</v>
      </c>
      <c r="E774" s="46" t="s">
        <v>588</v>
      </c>
      <c r="F774" s="46" t="s">
        <v>6744</v>
      </c>
      <c r="G774" s="46" t="s">
        <v>8086</v>
      </c>
      <c r="H774" s="46" t="s">
        <v>905</v>
      </c>
      <c r="I774" s="46" t="s">
        <v>8087</v>
      </c>
      <c r="J774" s="49" t="s">
        <v>899</v>
      </c>
      <c r="L774" s="63">
        <v>1</v>
      </c>
      <c r="M774" s="64">
        <v>1100000</v>
      </c>
      <c r="N774" s="64">
        <v>2110000</v>
      </c>
      <c r="O774" s="47" t="s">
        <v>560</v>
      </c>
      <c r="P774" s="47" t="s">
        <v>8088</v>
      </c>
      <c r="Q774" s="62" t="s">
        <v>1939</v>
      </c>
      <c r="R774" s="47" t="s">
        <v>8089</v>
      </c>
      <c r="T774" s="47">
        <v>13</v>
      </c>
      <c r="U774" s="46" t="s">
        <v>491</v>
      </c>
      <c r="V774" s="46"/>
    </row>
    <row r="775" spans="1:22" ht="60" x14ac:dyDescent="0.25">
      <c r="A775" s="61">
        <v>42957</v>
      </c>
      <c r="B775" s="62" t="s">
        <v>328</v>
      </c>
      <c r="C775" s="46" t="s">
        <v>603</v>
      </c>
      <c r="D775" s="46" t="s">
        <v>649</v>
      </c>
      <c r="E775" s="46" t="s">
        <v>588</v>
      </c>
      <c r="F775" s="46" t="s">
        <v>8092</v>
      </c>
      <c r="G775" s="46" t="s">
        <v>8093</v>
      </c>
      <c r="H775" s="46" t="s">
        <v>607</v>
      </c>
      <c r="I775" s="46" t="s">
        <v>8094</v>
      </c>
      <c r="J775" s="49" t="s">
        <v>3751</v>
      </c>
      <c r="M775" s="64">
        <v>422100</v>
      </c>
      <c r="N775" s="64">
        <v>1000000</v>
      </c>
      <c r="O775" s="47" t="s">
        <v>8095</v>
      </c>
      <c r="P775" s="47" t="s">
        <v>8096</v>
      </c>
      <c r="Q775" s="62" t="s">
        <v>620</v>
      </c>
      <c r="R775" s="47" t="s">
        <v>8097</v>
      </c>
      <c r="T775" s="47">
        <v>28</v>
      </c>
      <c r="U775" s="46" t="s">
        <v>491</v>
      </c>
      <c r="V775" s="46"/>
    </row>
    <row r="776" spans="1:22" ht="90" x14ac:dyDescent="0.25">
      <c r="A776" s="61">
        <v>42957</v>
      </c>
      <c r="B776" s="62" t="s">
        <v>569</v>
      </c>
      <c r="D776" s="46" t="s">
        <v>930</v>
      </c>
      <c r="E776" s="46" t="s">
        <v>588</v>
      </c>
      <c r="F776" s="46" t="s">
        <v>8098</v>
      </c>
      <c r="G776" s="46" t="s">
        <v>8099</v>
      </c>
      <c r="H776" s="46" t="s">
        <v>5991</v>
      </c>
      <c r="I776" s="46" t="s">
        <v>8100</v>
      </c>
      <c r="J776" s="49" t="s">
        <v>899</v>
      </c>
      <c r="L776" s="63">
        <v>4</v>
      </c>
      <c r="M776" s="64">
        <v>710000</v>
      </c>
      <c r="N776" s="64">
        <v>881000</v>
      </c>
      <c r="O776" s="47" t="s">
        <v>35</v>
      </c>
      <c r="P776" s="47" t="s">
        <v>8101</v>
      </c>
      <c r="Q776" s="62" t="s">
        <v>1939</v>
      </c>
      <c r="R776" s="47" t="s">
        <v>8102</v>
      </c>
      <c r="T776" s="47">
        <v>15</v>
      </c>
      <c r="U776" s="46" t="s">
        <v>491</v>
      </c>
      <c r="V776" s="46"/>
    </row>
    <row r="777" spans="1:22" ht="45" x14ac:dyDescent="0.25">
      <c r="A777" s="61">
        <v>42957</v>
      </c>
      <c r="B777" s="62" t="s">
        <v>328</v>
      </c>
      <c r="C777" s="46" t="s">
        <v>603</v>
      </c>
      <c r="D777" s="46" t="s">
        <v>2500</v>
      </c>
      <c r="E777" s="46" t="s">
        <v>588</v>
      </c>
      <c r="F777" s="46" t="s">
        <v>8103</v>
      </c>
      <c r="G777" s="46" t="s">
        <v>8104</v>
      </c>
      <c r="H777" s="46" t="s">
        <v>905</v>
      </c>
      <c r="I777" s="46" t="s">
        <v>3929</v>
      </c>
      <c r="J777" s="49" t="s">
        <v>899</v>
      </c>
      <c r="L777" s="63">
        <v>1</v>
      </c>
      <c r="M777" s="64">
        <v>1935900</v>
      </c>
      <c r="N777" s="64">
        <v>2333080</v>
      </c>
      <c r="O777" s="47" t="s">
        <v>560</v>
      </c>
      <c r="P777" s="47" t="s">
        <v>8105</v>
      </c>
      <c r="Q777" s="62" t="s">
        <v>1939</v>
      </c>
      <c r="R777" s="47" t="s">
        <v>8106</v>
      </c>
      <c r="T777" s="47">
        <v>21</v>
      </c>
      <c r="U777" s="46" t="s">
        <v>491</v>
      </c>
      <c r="V777" s="46"/>
    </row>
    <row r="778" spans="1:22" ht="60" x14ac:dyDescent="0.25">
      <c r="A778" s="61">
        <v>42957</v>
      </c>
      <c r="B778" s="62" t="s">
        <v>328</v>
      </c>
      <c r="C778" s="46" t="s">
        <v>603</v>
      </c>
      <c r="D778" s="46" t="s">
        <v>649</v>
      </c>
      <c r="E778" s="46" t="s">
        <v>588</v>
      </c>
      <c r="F778" s="46" t="s">
        <v>8107</v>
      </c>
      <c r="G778" s="46" t="s">
        <v>8108</v>
      </c>
      <c r="H778" s="46" t="s">
        <v>607</v>
      </c>
      <c r="I778" s="46" t="s">
        <v>8109</v>
      </c>
      <c r="J778" s="49" t="s">
        <v>899</v>
      </c>
      <c r="L778" s="63">
        <v>1</v>
      </c>
      <c r="M778" s="64">
        <v>633000</v>
      </c>
      <c r="N778" s="64">
        <v>1130000</v>
      </c>
      <c r="O778" s="47" t="s">
        <v>695</v>
      </c>
      <c r="P778" s="47" t="s">
        <v>8110</v>
      </c>
      <c r="Q778" s="62" t="s">
        <v>1939</v>
      </c>
      <c r="R778" s="47" t="s">
        <v>8111</v>
      </c>
      <c r="T778" s="149">
        <v>17</v>
      </c>
      <c r="U778" s="46" t="s">
        <v>491</v>
      </c>
      <c r="V778" s="46"/>
    </row>
    <row r="779" spans="1:22" ht="90" x14ac:dyDescent="0.25">
      <c r="A779" s="61">
        <v>42958</v>
      </c>
      <c r="B779" s="62" t="s">
        <v>569</v>
      </c>
      <c r="D779" s="46" t="s">
        <v>611</v>
      </c>
      <c r="E779" s="46" t="s">
        <v>1707</v>
      </c>
      <c r="F779" s="46" t="s">
        <v>8117</v>
      </c>
      <c r="G779" s="46" t="s">
        <v>8116</v>
      </c>
      <c r="H779" s="46" t="s">
        <v>607</v>
      </c>
      <c r="O779" s="47" t="s">
        <v>1589</v>
      </c>
      <c r="P779" s="47" t="s">
        <v>8118</v>
      </c>
      <c r="Q779" s="62" t="s">
        <v>592</v>
      </c>
      <c r="R779" s="47" t="s">
        <v>8119</v>
      </c>
      <c r="T779" s="47">
        <v>10</v>
      </c>
      <c r="U779" s="46" t="s">
        <v>491</v>
      </c>
      <c r="V779" s="46"/>
    </row>
    <row r="780" spans="1:22" ht="60" x14ac:dyDescent="0.25">
      <c r="A780" s="61">
        <v>42958</v>
      </c>
      <c r="B780" s="62" t="s">
        <v>643</v>
      </c>
      <c r="C780" s="46" t="s">
        <v>644</v>
      </c>
      <c r="D780" s="46" t="s">
        <v>645</v>
      </c>
      <c r="E780" s="46" t="s">
        <v>588</v>
      </c>
      <c r="F780" s="46" t="s">
        <v>8120</v>
      </c>
      <c r="G780" s="46" t="s">
        <v>8121</v>
      </c>
      <c r="H780" s="46" t="s">
        <v>6536</v>
      </c>
      <c r="I780" s="46" t="s">
        <v>8122</v>
      </c>
      <c r="J780" s="49" t="s">
        <v>644</v>
      </c>
      <c r="L780" s="63">
        <v>3</v>
      </c>
      <c r="M780" s="64">
        <v>200000</v>
      </c>
      <c r="N780" s="64">
        <v>3000000</v>
      </c>
      <c r="O780" s="47" t="s">
        <v>560</v>
      </c>
      <c r="P780" s="47" t="s">
        <v>8123</v>
      </c>
      <c r="Q780" s="62" t="s">
        <v>1939</v>
      </c>
      <c r="R780" s="47" t="s">
        <v>8124</v>
      </c>
      <c r="S780" s="47" t="s">
        <v>8125</v>
      </c>
      <c r="T780" s="47">
        <v>32</v>
      </c>
      <c r="U780" s="46" t="s">
        <v>491</v>
      </c>
      <c r="V780" s="46"/>
    </row>
    <row r="781" spans="1:22" ht="101.25" customHeight="1" x14ac:dyDescent="0.25">
      <c r="A781" s="61">
        <v>42958</v>
      </c>
      <c r="B781" s="62" t="s">
        <v>328</v>
      </c>
      <c r="C781" s="46" t="s">
        <v>603</v>
      </c>
      <c r="D781" s="46" t="s">
        <v>2500</v>
      </c>
      <c r="E781" s="46" t="s">
        <v>588</v>
      </c>
      <c r="F781" s="46" t="s">
        <v>8127</v>
      </c>
      <c r="G781" s="46" t="s">
        <v>8126</v>
      </c>
      <c r="H781" s="46" t="s">
        <v>4261</v>
      </c>
      <c r="O781" s="47" t="s">
        <v>639</v>
      </c>
      <c r="P781" s="47" t="s">
        <v>8128</v>
      </c>
      <c r="Q781" s="62" t="s">
        <v>1939</v>
      </c>
      <c r="R781" s="88" t="s">
        <v>8129</v>
      </c>
      <c r="T781" s="47">
        <v>10</v>
      </c>
      <c r="U781" s="46" t="s">
        <v>491</v>
      </c>
      <c r="V781" s="46"/>
    </row>
    <row r="782" spans="1:22" ht="75" x14ac:dyDescent="0.25">
      <c r="A782" s="61">
        <v>42958</v>
      </c>
      <c r="B782" s="62" t="s">
        <v>328</v>
      </c>
      <c r="C782" s="46" t="s">
        <v>603</v>
      </c>
      <c r="D782" s="46" t="s">
        <v>672</v>
      </c>
      <c r="E782" s="46" t="s">
        <v>588</v>
      </c>
      <c r="F782" s="46" t="s">
        <v>8130</v>
      </c>
      <c r="G782" s="46" t="s">
        <v>8131</v>
      </c>
      <c r="H782" s="46" t="s">
        <v>1050</v>
      </c>
      <c r="I782" s="46" t="s">
        <v>3536</v>
      </c>
      <c r="J782" s="49" t="s">
        <v>899</v>
      </c>
      <c r="L782" s="63">
        <v>1</v>
      </c>
      <c r="M782" s="64">
        <v>3200000</v>
      </c>
      <c r="N782" s="64">
        <v>3520000</v>
      </c>
      <c r="O782" s="47" t="s">
        <v>2691</v>
      </c>
      <c r="P782" s="47" t="s">
        <v>8132</v>
      </c>
      <c r="Q782" s="62" t="s">
        <v>1939</v>
      </c>
      <c r="R782" s="47" t="s">
        <v>8134</v>
      </c>
      <c r="S782" s="47" t="s">
        <v>8133</v>
      </c>
      <c r="T782" s="47">
        <v>18</v>
      </c>
      <c r="U782" s="46" t="s">
        <v>491</v>
      </c>
      <c r="V782" s="46"/>
    </row>
    <row r="783" spans="1:22" ht="45" x14ac:dyDescent="0.25">
      <c r="A783" s="61">
        <v>42958</v>
      </c>
      <c r="B783" s="62" t="s">
        <v>328</v>
      </c>
      <c r="C783" s="46" t="s">
        <v>603</v>
      </c>
      <c r="D783" s="46" t="s">
        <v>672</v>
      </c>
      <c r="E783" s="46" t="s">
        <v>588</v>
      </c>
      <c r="F783" s="46" t="s">
        <v>8137</v>
      </c>
      <c r="G783" s="46" t="s">
        <v>8138</v>
      </c>
      <c r="H783" s="46" t="s">
        <v>607</v>
      </c>
      <c r="I783" s="46" t="s">
        <v>8139</v>
      </c>
      <c r="J783" s="49" t="s">
        <v>899</v>
      </c>
      <c r="O783" s="47" t="s">
        <v>2928</v>
      </c>
      <c r="P783" s="47" t="s">
        <v>8141</v>
      </c>
      <c r="Q783" s="62" t="s">
        <v>1612</v>
      </c>
      <c r="R783" s="47" t="s">
        <v>8140</v>
      </c>
      <c r="T783" s="47">
        <v>22</v>
      </c>
      <c r="U783" s="46" t="s">
        <v>491</v>
      </c>
      <c r="V783" s="46"/>
    </row>
    <row r="784" spans="1:22" ht="60" x14ac:dyDescent="0.25">
      <c r="A784" s="61">
        <v>42958</v>
      </c>
      <c r="B784" s="62" t="s">
        <v>328</v>
      </c>
      <c r="C784" s="46" t="s">
        <v>603</v>
      </c>
      <c r="D784" s="46" t="s">
        <v>1401</v>
      </c>
      <c r="E784" s="46" t="s">
        <v>588</v>
      </c>
      <c r="F784" s="46" t="s">
        <v>8142</v>
      </c>
      <c r="G784" s="46" t="s">
        <v>8143</v>
      </c>
      <c r="H784" s="46" t="s">
        <v>607</v>
      </c>
      <c r="I784" s="46" t="s">
        <v>8144</v>
      </c>
      <c r="J784" s="49" t="s">
        <v>899</v>
      </c>
      <c r="L784" s="63">
        <v>10</v>
      </c>
      <c r="M784" s="64">
        <v>1575900</v>
      </c>
      <c r="N784" s="64">
        <v>2800000</v>
      </c>
      <c r="O784" s="47" t="s">
        <v>764</v>
      </c>
      <c r="P784" s="47" t="s">
        <v>8145</v>
      </c>
      <c r="Q784" s="62" t="s">
        <v>1939</v>
      </c>
      <c r="R784" s="47" t="s">
        <v>8146</v>
      </c>
      <c r="T784" s="47">
        <v>15</v>
      </c>
      <c r="U784" s="46" t="s">
        <v>491</v>
      </c>
      <c r="V784" s="46"/>
    </row>
    <row r="785" spans="1:22" ht="75" x14ac:dyDescent="0.25">
      <c r="A785" s="61">
        <v>42958</v>
      </c>
      <c r="B785" s="62" t="s">
        <v>328</v>
      </c>
      <c r="C785" s="46" t="s">
        <v>603</v>
      </c>
      <c r="D785" s="46" t="s">
        <v>1401</v>
      </c>
      <c r="E785" s="46" t="s">
        <v>588</v>
      </c>
      <c r="F785" s="46" t="s">
        <v>8147</v>
      </c>
      <c r="G785" s="46" t="s">
        <v>8148</v>
      </c>
      <c r="H785" s="46" t="s">
        <v>607</v>
      </c>
      <c r="I785" s="46" t="s">
        <v>8149</v>
      </c>
      <c r="J785" s="49" t="s">
        <v>3374</v>
      </c>
      <c r="M785" s="64">
        <v>250000</v>
      </c>
      <c r="N785" s="64">
        <v>450000</v>
      </c>
      <c r="O785" s="47">
        <v>4</v>
      </c>
      <c r="P785" s="47" t="s">
        <v>8150</v>
      </c>
      <c r="Q785" s="62" t="s">
        <v>620</v>
      </c>
      <c r="R785" s="47" t="s">
        <v>8151</v>
      </c>
      <c r="T785" s="149">
        <v>21</v>
      </c>
      <c r="U785" s="46" t="s">
        <v>491</v>
      </c>
      <c r="V785" s="46"/>
    </row>
    <row r="786" spans="1:22" ht="75" x14ac:dyDescent="0.25">
      <c r="A786" s="61">
        <v>42962</v>
      </c>
      <c r="B786" s="62" t="s">
        <v>328</v>
      </c>
      <c r="C786" s="46" t="s">
        <v>603</v>
      </c>
      <c r="D786" s="46" t="s">
        <v>2397</v>
      </c>
      <c r="E786" s="46" t="s">
        <v>588</v>
      </c>
      <c r="F786" s="46" t="s">
        <v>8157</v>
      </c>
      <c r="G786" s="46" t="s">
        <v>8156</v>
      </c>
      <c r="H786" s="46" t="s">
        <v>607</v>
      </c>
      <c r="I786" s="46" t="s">
        <v>8155</v>
      </c>
      <c r="J786" s="49" t="s">
        <v>3369</v>
      </c>
      <c r="L786" s="63">
        <v>3</v>
      </c>
      <c r="M786" s="163">
        <v>1600000</v>
      </c>
      <c r="N786" s="134">
        <v>3280000</v>
      </c>
      <c r="O786" s="47" t="s">
        <v>8153</v>
      </c>
      <c r="P786" s="135" t="s">
        <v>8154</v>
      </c>
      <c r="Q786" s="62" t="s">
        <v>1939</v>
      </c>
      <c r="R786" s="47" t="s">
        <v>8152</v>
      </c>
      <c r="U786" s="46" t="s">
        <v>1327</v>
      </c>
      <c r="V786" s="46"/>
    </row>
    <row r="787" spans="1:22" ht="90" x14ac:dyDescent="0.25">
      <c r="A787" s="61">
        <v>42962</v>
      </c>
      <c r="B787" s="62" t="s">
        <v>328</v>
      </c>
      <c r="C787" s="46" t="s">
        <v>603</v>
      </c>
      <c r="D787" s="46" t="s">
        <v>649</v>
      </c>
      <c r="E787" s="46" t="s">
        <v>588</v>
      </c>
      <c r="F787" s="46" t="s">
        <v>8158</v>
      </c>
      <c r="G787" s="46" t="s">
        <v>8158</v>
      </c>
      <c r="H787" s="46" t="s">
        <v>607</v>
      </c>
      <c r="I787" s="46" t="s">
        <v>8159</v>
      </c>
      <c r="J787" s="49" t="s">
        <v>3373</v>
      </c>
      <c r="L787" s="63">
        <v>7</v>
      </c>
      <c r="M787" s="164">
        <v>1905700</v>
      </c>
      <c r="N787" s="113">
        <v>3906685</v>
      </c>
      <c r="O787" s="47" t="s">
        <v>8160</v>
      </c>
      <c r="P787" s="162" t="s">
        <v>8161</v>
      </c>
      <c r="Q787" s="62" t="s">
        <v>620</v>
      </c>
      <c r="R787" s="47" t="s">
        <v>8270</v>
      </c>
      <c r="U787" s="46" t="s">
        <v>2227</v>
      </c>
      <c r="V787" s="46"/>
    </row>
    <row r="788" spans="1:22" ht="105" x14ac:dyDescent="0.25">
      <c r="A788" s="61">
        <v>42962</v>
      </c>
      <c r="B788" s="62" t="s">
        <v>5176</v>
      </c>
      <c r="C788" s="46" t="s">
        <v>604</v>
      </c>
      <c r="D788" s="46" t="s">
        <v>2454</v>
      </c>
      <c r="E788" s="46" t="s">
        <v>588</v>
      </c>
      <c r="F788" s="46" t="s">
        <v>8162</v>
      </c>
      <c r="G788" s="46" t="s">
        <v>8162</v>
      </c>
      <c r="H788" s="46" t="s">
        <v>4132</v>
      </c>
      <c r="J788" s="49" t="s">
        <v>4684</v>
      </c>
      <c r="L788" s="63">
        <v>0.9</v>
      </c>
      <c r="O788" s="158" t="s">
        <v>3365</v>
      </c>
      <c r="P788" s="47" t="s">
        <v>8163</v>
      </c>
      <c r="Q788" s="62" t="s">
        <v>1939</v>
      </c>
      <c r="R788" s="47" t="s">
        <v>8164</v>
      </c>
      <c r="S788" s="47" t="s">
        <v>8169</v>
      </c>
      <c r="U788" s="46" t="s">
        <v>2227</v>
      </c>
      <c r="V788" s="46"/>
    </row>
    <row r="789" spans="1:22" ht="60" x14ac:dyDescent="0.25">
      <c r="A789" s="61">
        <v>42962</v>
      </c>
      <c r="B789" s="62" t="s">
        <v>328</v>
      </c>
      <c r="C789" s="46" t="s">
        <v>603</v>
      </c>
      <c r="D789" s="46" t="s">
        <v>649</v>
      </c>
      <c r="E789" s="46" t="s">
        <v>588</v>
      </c>
      <c r="F789" s="46" t="s">
        <v>8167</v>
      </c>
      <c r="G789" s="46" t="s">
        <v>2204</v>
      </c>
      <c r="H789" s="46" t="s">
        <v>4183</v>
      </c>
      <c r="J789" s="49" t="s">
        <v>4031</v>
      </c>
      <c r="L789" s="63">
        <v>10</v>
      </c>
      <c r="M789" s="64">
        <v>701000</v>
      </c>
      <c r="N789" s="132">
        <v>1331900</v>
      </c>
      <c r="O789" s="47" t="s">
        <v>5064</v>
      </c>
      <c r="P789" s="47" t="s">
        <v>8166</v>
      </c>
      <c r="Q789" s="62" t="s">
        <v>1939</v>
      </c>
      <c r="R789" s="47" t="s">
        <v>8406</v>
      </c>
      <c r="U789" s="46" t="s">
        <v>2227</v>
      </c>
      <c r="V789" s="46"/>
    </row>
    <row r="790" spans="1:22" ht="105" x14ac:dyDescent="0.25">
      <c r="A790" s="61">
        <v>42963</v>
      </c>
      <c r="B790" s="62" t="s">
        <v>328</v>
      </c>
      <c r="C790" s="46" t="s">
        <v>603</v>
      </c>
      <c r="D790" s="46" t="s">
        <v>1401</v>
      </c>
      <c r="E790" s="46" t="s">
        <v>588</v>
      </c>
      <c r="F790" s="46" t="s">
        <v>8170</v>
      </c>
      <c r="G790" s="46" t="s">
        <v>8171</v>
      </c>
      <c r="H790" s="46" t="s">
        <v>2295</v>
      </c>
      <c r="J790" s="49" t="s">
        <v>899</v>
      </c>
      <c r="L790" s="63">
        <v>10</v>
      </c>
      <c r="O790" s="47" t="s">
        <v>5064</v>
      </c>
      <c r="P790" s="47" t="s">
        <v>8172</v>
      </c>
      <c r="Q790" s="62" t="s">
        <v>592</v>
      </c>
      <c r="R790" s="47" t="s">
        <v>8173</v>
      </c>
      <c r="U790" s="46" t="s">
        <v>2227</v>
      </c>
      <c r="V790" s="46"/>
    </row>
    <row r="791" spans="1:22" ht="45" x14ac:dyDescent="0.25">
      <c r="A791" s="61">
        <v>42963</v>
      </c>
      <c r="B791" s="62" t="s">
        <v>328</v>
      </c>
      <c r="C791" s="46" t="s">
        <v>603</v>
      </c>
      <c r="D791" s="46" t="s">
        <v>7595</v>
      </c>
      <c r="E791" s="46" t="s">
        <v>588</v>
      </c>
      <c r="H791" s="46" t="s">
        <v>8174</v>
      </c>
      <c r="I791" s="46" t="s">
        <v>8175</v>
      </c>
      <c r="J791" s="49" t="s">
        <v>3617</v>
      </c>
      <c r="M791" s="64">
        <v>20000</v>
      </c>
      <c r="N791" s="64">
        <v>20000</v>
      </c>
      <c r="O791" s="47" t="s">
        <v>3886</v>
      </c>
      <c r="P791" s="135" t="s">
        <v>8176</v>
      </c>
      <c r="Q791" s="62" t="s">
        <v>1939</v>
      </c>
      <c r="R791" s="47" t="s">
        <v>8177</v>
      </c>
      <c r="U791" s="46" t="s">
        <v>2227</v>
      </c>
      <c r="V791" s="46"/>
    </row>
    <row r="792" spans="1:22" ht="30" x14ac:dyDescent="0.25">
      <c r="A792" s="61">
        <v>42964</v>
      </c>
      <c r="B792" s="62" t="s">
        <v>569</v>
      </c>
      <c r="C792" s="159" t="s">
        <v>899</v>
      </c>
      <c r="D792" s="46" t="s">
        <v>611</v>
      </c>
      <c r="E792" s="46" t="s">
        <v>588</v>
      </c>
      <c r="F792" s="46" t="s">
        <v>8178</v>
      </c>
      <c r="G792" s="46" t="s">
        <v>8178</v>
      </c>
      <c r="H792" s="46" t="s">
        <v>6002</v>
      </c>
      <c r="I792" s="46" t="s">
        <v>3941</v>
      </c>
      <c r="J792" s="49" t="s">
        <v>899</v>
      </c>
      <c r="L792" s="63">
        <v>4</v>
      </c>
      <c r="M792" s="64">
        <v>3676000</v>
      </c>
      <c r="N792" s="64">
        <v>4616000</v>
      </c>
      <c r="O792" s="47" t="s">
        <v>560</v>
      </c>
      <c r="P792" s="47" t="s">
        <v>8179</v>
      </c>
      <c r="Q792" s="62" t="s">
        <v>1939</v>
      </c>
      <c r="R792" s="47" t="s">
        <v>8180</v>
      </c>
      <c r="U792" s="46" t="s">
        <v>2227</v>
      </c>
      <c r="V792" s="46"/>
    </row>
    <row r="793" spans="1:22" x14ac:dyDescent="0.25">
      <c r="A793" s="61">
        <v>42964</v>
      </c>
      <c r="B793" s="62" t="s">
        <v>5176</v>
      </c>
      <c r="C793" s="46" t="s">
        <v>604</v>
      </c>
      <c r="D793" s="46" t="s">
        <v>2454</v>
      </c>
      <c r="E793" s="46" t="s">
        <v>588</v>
      </c>
      <c r="F793" s="46" t="s">
        <v>8181</v>
      </c>
      <c r="G793" s="46" t="s">
        <v>8182</v>
      </c>
      <c r="H793" s="46" t="s">
        <v>4183</v>
      </c>
      <c r="I793" s="46" t="s">
        <v>8184</v>
      </c>
      <c r="J793" s="49" t="s">
        <v>604</v>
      </c>
      <c r="L793" s="63">
        <v>9</v>
      </c>
      <c r="M793" s="64">
        <v>1300000</v>
      </c>
      <c r="N793" s="64">
        <v>2340000</v>
      </c>
      <c r="O793" s="47" t="s">
        <v>8183</v>
      </c>
      <c r="P793" s="47" t="s">
        <v>8185</v>
      </c>
      <c r="Q793" s="62" t="s">
        <v>592</v>
      </c>
      <c r="R793" s="47" t="s">
        <v>8186</v>
      </c>
      <c r="U793" s="46" t="s">
        <v>2227</v>
      </c>
      <c r="V793" s="46"/>
    </row>
    <row r="794" spans="1:22" ht="75" x14ac:dyDescent="0.25">
      <c r="A794" s="61">
        <v>42965</v>
      </c>
      <c r="B794" s="62" t="s">
        <v>328</v>
      </c>
      <c r="C794" s="46" t="s">
        <v>603</v>
      </c>
      <c r="D794" s="46" t="s">
        <v>2397</v>
      </c>
      <c r="E794" s="46" t="s">
        <v>588</v>
      </c>
      <c r="F794" s="46" t="s">
        <v>8191</v>
      </c>
      <c r="G794" s="46" t="s">
        <v>8191</v>
      </c>
      <c r="H794" s="46" t="s">
        <v>7837</v>
      </c>
      <c r="I794" s="46" t="s">
        <v>8189</v>
      </c>
      <c r="J794" s="49" t="s">
        <v>5562</v>
      </c>
      <c r="L794" s="63">
        <v>4</v>
      </c>
      <c r="M794" s="134">
        <v>1177000</v>
      </c>
      <c r="N794" s="64">
        <v>1294700</v>
      </c>
      <c r="O794" s="47" t="s">
        <v>8190</v>
      </c>
      <c r="P794" s="160" t="s">
        <v>8187</v>
      </c>
      <c r="Q794" s="62" t="s">
        <v>1939</v>
      </c>
      <c r="R794" s="47" t="s">
        <v>8188</v>
      </c>
      <c r="U794" s="46" t="s">
        <v>2227</v>
      </c>
      <c r="V794" s="46"/>
    </row>
    <row r="795" spans="1:22" x14ac:dyDescent="0.25">
      <c r="A795" s="61">
        <v>42965</v>
      </c>
      <c r="B795" s="62" t="s">
        <v>328</v>
      </c>
      <c r="C795" s="46" t="s">
        <v>603</v>
      </c>
      <c r="D795" s="46" t="s">
        <v>672</v>
      </c>
      <c r="E795" s="46" t="s">
        <v>588</v>
      </c>
      <c r="F795" s="46" t="s">
        <v>240</v>
      </c>
      <c r="G795" s="46" t="s">
        <v>8192</v>
      </c>
      <c r="H795" s="46" t="s">
        <v>7837</v>
      </c>
      <c r="I795" s="46" t="s">
        <v>8193</v>
      </c>
      <c r="J795" s="49" t="s">
        <v>8194</v>
      </c>
      <c r="L795" s="63">
        <v>5</v>
      </c>
      <c r="M795" s="132">
        <v>2124000</v>
      </c>
      <c r="N795" s="132">
        <v>2124000</v>
      </c>
      <c r="O795" s="47" t="s">
        <v>560</v>
      </c>
      <c r="P795" s="47" t="s">
        <v>8195</v>
      </c>
      <c r="Q795" s="62" t="s">
        <v>592</v>
      </c>
      <c r="R795" s="47" t="s">
        <v>8186</v>
      </c>
      <c r="U795" s="46" t="s">
        <v>2227</v>
      </c>
      <c r="V795" s="46"/>
    </row>
    <row r="796" spans="1:22" ht="135" x14ac:dyDescent="0.25">
      <c r="A796" s="61">
        <v>42965</v>
      </c>
      <c r="B796" s="62" t="s">
        <v>643</v>
      </c>
      <c r="C796" s="46" t="s">
        <v>644</v>
      </c>
      <c r="D796" s="46" t="s">
        <v>645</v>
      </c>
      <c r="E796" s="46" t="s">
        <v>588</v>
      </c>
      <c r="F796" s="46" t="s">
        <v>134</v>
      </c>
      <c r="G796" s="46" t="s">
        <v>8198</v>
      </c>
      <c r="H796" s="46" t="s">
        <v>7603</v>
      </c>
      <c r="I796" s="46" t="s">
        <v>5345</v>
      </c>
      <c r="J796" s="49" t="s">
        <v>644</v>
      </c>
      <c r="L796" s="63">
        <v>2</v>
      </c>
      <c r="M796" s="64">
        <v>1117600</v>
      </c>
      <c r="N796" s="134">
        <v>2237400</v>
      </c>
      <c r="O796" s="47" t="s">
        <v>6754</v>
      </c>
      <c r="P796" s="161" t="s">
        <v>8196</v>
      </c>
      <c r="Q796" s="62" t="s">
        <v>1939</v>
      </c>
      <c r="R796" s="47" t="s">
        <v>8197</v>
      </c>
      <c r="U796" s="46" t="s">
        <v>2227</v>
      </c>
      <c r="V796" s="46"/>
    </row>
    <row r="797" spans="1:22" ht="60" x14ac:dyDescent="0.25">
      <c r="A797" s="61">
        <v>42965</v>
      </c>
      <c r="B797" s="62" t="s">
        <v>328</v>
      </c>
      <c r="C797" s="46" t="s">
        <v>603</v>
      </c>
      <c r="D797" s="46" t="s">
        <v>672</v>
      </c>
      <c r="E797" s="46" t="s">
        <v>588</v>
      </c>
      <c r="F797" s="46" t="s">
        <v>8199</v>
      </c>
      <c r="G797" s="46" t="s">
        <v>8200</v>
      </c>
      <c r="H797" s="46" t="s">
        <v>6002</v>
      </c>
      <c r="I797" s="46" t="s">
        <v>8203</v>
      </c>
      <c r="J797" s="49" t="s">
        <v>899</v>
      </c>
      <c r="L797" s="63">
        <v>4</v>
      </c>
      <c r="M797" s="64">
        <v>984000</v>
      </c>
      <c r="N797" s="64">
        <v>1672800</v>
      </c>
      <c r="O797" s="47" t="s">
        <v>6183</v>
      </c>
      <c r="P797" s="47" t="s">
        <v>8202</v>
      </c>
      <c r="Q797" s="62" t="s">
        <v>592</v>
      </c>
      <c r="R797" s="47" t="s">
        <v>8186</v>
      </c>
      <c r="U797" s="46" t="s">
        <v>2227</v>
      </c>
      <c r="V797" s="46"/>
    </row>
    <row r="798" spans="1:22" ht="30" x14ac:dyDescent="0.25">
      <c r="A798" s="61">
        <v>42965</v>
      </c>
      <c r="B798" s="62" t="s">
        <v>5360</v>
      </c>
      <c r="C798" s="46" t="s">
        <v>899</v>
      </c>
      <c r="D798" s="46" t="s">
        <v>732</v>
      </c>
      <c r="E798" s="46" t="s">
        <v>588</v>
      </c>
      <c r="F798" s="46" t="s">
        <v>440</v>
      </c>
      <c r="G798" s="46" t="s">
        <v>8201</v>
      </c>
      <c r="H798" s="46" t="s">
        <v>7603</v>
      </c>
      <c r="I798" s="46" t="s">
        <v>3649</v>
      </c>
      <c r="J798" s="49" t="s">
        <v>899</v>
      </c>
      <c r="L798" s="63">
        <v>4</v>
      </c>
      <c r="M798" s="64">
        <v>1780000</v>
      </c>
      <c r="N798" s="64">
        <v>3560000</v>
      </c>
      <c r="O798" s="47" t="s">
        <v>560</v>
      </c>
      <c r="P798" s="47" t="s">
        <v>8204</v>
      </c>
      <c r="Q798" s="62" t="s">
        <v>592</v>
      </c>
      <c r="R798" s="47" t="s">
        <v>8186</v>
      </c>
      <c r="T798" s="149"/>
      <c r="U798" s="46" t="s">
        <v>2227</v>
      </c>
      <c r="V798" s="46"/>
    </row>
    <row r="799" spans="1:22" ht="210" x14ac:dyDescent="0.25">
      <c r="A799" s="61">
        <v>42968</v>
      </c>
      <c r="B799" s="62" t="s">
        <v>328</v>
      </c>
      <c r="C799" s="46" t="s">
        <v>603</v>
      </c>
      <c r="D799" s="46" t="s">
        <v>2500</v>
      </c>
      <c r="E799" s="46" t="s">
        <v>588</v>
      </c>
      <c r="F799" s="46" t="s">
        <v>8205</v>
      </c>
      <c r="G799" s="46" t="s">
        <v>256</v>
      </c>
      <c r="H799" s="46" t="s">
        <v>886</v>
      </c>
      <c r="I799" s="46" t="s">
        <v>8206</v>
      </c>
      <c r="J799" s="49" t="s">
        <v>604</v>
      </c>
      <c r="L799" s="63">
        <v>9</v>
      </c>
      <c r="M799" s="64">
        <v>1375000</v>
      </c>
      <c r="N799" s="64">
        <v>1512500</v>
      </c>
      <c r="O799" s="47" t="s">
        <v>560</v>
      </c>
      <c r="P799" s="47" t="s">
        <v>8207</v>
      </c>
      <c r="Q799" s="62" t="s">
        <v>1612</v>
      </c>
      <c r="R799" s="47" t="s">
        <v>8358</v>
      </c>
      <c r="S799" s="47" t="s">
        <v>8359</v>
      </c>
      <c r="T799" s="142">
        <v>29</v>
      </c>
      <c r="U799" s="46" t="s">
        <v>491</v>
      </c>
      <c r="V799" s="46"/>
    </row>
    <row r="800" spans="1:22" ht="45" x14ac:dyDescent="0.25">
      <c r="A800" s="61">
        <v>42968</v>
      </c>
      <c r="B800" s="62" t="s">
        <v>569</v>
      </c>
      <c r="D800" s="46" t="s">
        <v>930</v>
      </c>
      <c r="E800" s="46" t="s">
        <v>821</v>
      </c>
      <c r="F800" s="46" t="s">
        <v>8208</v>
      </c>
      <c r="H800" s="46" t="s">
        <v>905</v>
      </c>
      <c r="O800" s="47" t="s">
        <v>639</v>
      </c>
      <c r="P800" s="47" t="s">
        <v>8209</v>
      </c>
      <c r="Q800" s="62" t="s">
        <v>1939</v>
      </c>
      <c r="R800" s="47" t="s">
        <v>8210</v>
      </c>
      <c r="T800" s="142">
        <v>17</v>
      </c>
      <c r="U800" s="46" t="s">
        <v>491</v>
      </c>
      <c r="V800" s="46"/>
    </row>
    <row r="801" spans="1:23" ht="30" x14ac:dyDescent="0.25">
      <c r="A801" s="61">
        <v>42968</v>
      </c>
      <c r="B801" s="62" t="s">
        <v>569</v>
      </c>
      <c r="D801" s="46" t="s">
        <v>625</v>
      </c>
      <c r="E801" s="46" t="s">
        <v>588</v>
      </c>
      <c r="F801" s="46" t="s">
        <v>8213</v>
      </c>
      <c r="G801" s="46" t="s">
        <v>2204</v>
      </c>
      <c r="H801" s="46" t="s">
        <v>607</v>
      </c>
      <c r="I801" s="46" t="s">
        <v>3536</v>
      </c>
      <c r="J801" s="49" t="s">
        <v>899</v>
      </c>
      <c r="L801" s="63">
        <v>2</v>
      </c>
      <c r="M801" s="64">
        <v>2706000</v>
      </c>
      <c r="N801" s="64">
        <v>4517800</v>
      </c>
      <c r="O801" s="47" t="s">
        <v>560</v>
      </c>
      <c r="P801" s="47" t="s">
        <v>8214</v>
      </c>
      <c r="Q801" s="62" t="s">
        <v>1939</v>
      </c>
      <c r="R801" s="47" t="s">
        <v>8215</v>
      </c>
      <c r="T801" s="142">
        <v>16</v>
      </c>
      <c r="U801" s="46" t="s">
        <v>491</v>
      </c>
      <c r="V801" s="46"/>
    </row>
    <row r="802" spans="1:23" ht="60" x14ac:dyDescent="0.25">
      <c r="A802" s="61">
        <v>42968</v>
      </c>
      <c r="B802" s="62" t="s">
        <v>1788</v>
      </c>
      <c r="C802" s="46" t="s">
        <v>3369</v>
      </c>
      <c r="D802" s="46" t="s">
        <v>8216</v>
      </c>
      <c r="E802" s="46" t="s">
        <v>588</v>
      </c>
      <c r="F802" s="46" t="s">
        <v>289</v>
      </c>
      <c r="G802" s="46" t="s">
        <v>8217</v>
      </c>
      <c r="H802" s="46" t="s">
        <v>5991</v>
      </c>
      <c r="I802" s="46" t="s">
        <v>8218</v>
      </c>
      <c r="J802" s="49" t="s">
        <v>3617</v>
      </c>
      <c r="L802" s="63">
        <v>9</v>
      </c>
      <c r="M802" s="64">
        <v>303081</v>
      </c>
      <c r="N802" s="64">
        <v>600000</v>
      </c>
      <c r="O802" s="47" t="s">
        <v>8219</v>
      </c>
      <c r="P802" s="47" t="s">
        <v>8223</v>
      </c>
      <c r="Q802" s="62" t="s">
        <v>620</v>
      </c>
      <c r="R802" s="47" t="s">
        <v>8230</v>
      </c>
      <c r="T802" s="142">
        <v>14</v>
      </c>
      <c r="U802" s="46" t="s">
        <v>491</v>
      </c>
      <c r="V802" s="46"/>
    </row>
    <row r="803" spans="1:23" ht="90" x14ac:dyDescent="0.25">
      <c r="A803" s="61">
        <v>42968</v>
      </c>
      <c r="B803" s="62" t="s">
        <v>328</v>
      </c>
      <c r="C803" s="46" t="s">
        <v>603</v>
      </c>
      <c r="D803" s="46" t="s">
        <v>672</v>
      </c>
      <c r="E803" s="46" t="s">
        <v>588</v>
      </c>
      <c r="F803" s="46" t="s">
        <v>8220</v>
      </c>
      <c r="G803" s="46" t="s">
        <v>8221</v>
      </c>
      <c r="H803" s="46" t="s">
        <v>8278</v>
      </c>
      <c r="O803" s="47" t="s">
        <v>2295</v>
      </c>
      <c r="P803" s="47" t="s">
        <v>8407</v>
      </c>
      <c r="Q803" s="62" t="s">
        <v>592</v>
      </c>
      <c r="R803" s="47" t="s">
        <v>8222</v>
      </c>
      <c r="T803" s="142">
        <v>29</v>
      </c>
      <c r="U803" s="46" t="s">
        <v>491</v>
      </c>
      <c r="V803" s="46"/>
    </row>
    <row r="804" spans="1:23" ht="120" x14ac:dyDescent="0.25">
      <c r="A804" s="61">
        <v>42968</v>
      </c>
      <c r="B804" s="62" t="s">
        <v>569</v>
      </c>
      <c r="C804" s="46" t="s">
        <v>899</v>
      </c>
      <c r="D804" s="46" t="s">
        <v>930</v>
      </c>
      <c r="E804" s="46" t="s">
        <v>1707</v>
      </c>
      <c r="F804" s="46" t="s">
        <v>8249</v>
      </c>
      <c r="G804" s="46" t="s">
        <v>8250</v>
      </c>
      <c r="H804" s="46" t="s">
        <v>607</v>
      </c>
      <c r="I804" s="46" t="s">
        <v>3462</v>
      </c>
      <c r="J804" s="49" t="s">
        <v>899</v>
      </c>
      <c r="L804" s="63">
        <v>4</v>
      </c>
      <c r="M804" s="64">
        <v>986000</v>
      </c>
      <c r="N804" s="64">
        <v>2000000</v>
      </c>
      <c r="O804" s="47" t="s">
        <v>1171</v>
      </c>
      <c r="P804" s="47" t="s">
        <v>8251</v>
      </c>
      <c r="Q804" s="62" t="s">
        <v>1939</v>
      </c>
      <c r="R804" s="47" t="s">
        <v>8252</v>
      </c>
      <c r="T804" s="142">
        <v>28</v>
      </c>
      <c r="U804" s="46" t="s">
        <v>491</v>
      </c>
      <c r="V804" s="46"/>
    </row>
    <row r="805" spans="1:23" ht="60" x14ac:dyDescent="0.25">
      <c r="A805" s="61">
        <v>42968</v>
      </c>
      <c r="B805" s="62" t="s">
        <v>5176</v>
      </c>
      <c r="C805" s="46" t="s">
        <v>604</v>
      </c>
      <c r="D805" s="46" t="s">
        <v>2454</v>
      </c>
      <c r="E805" s="46" t="s">
        <v>588</v>
      </c>
      <c r="F805" s="46" t="s">
        <v>8224</v>
      </c>
      <c r="G805" s="46" t="s">
        <v>8225</v>
      </c>
      <c r="H805" s="46" t="s">
        <v>886</v>
      </c>
      <c r="I805" s="46" t="s">
        <v>8226</v>
      </c>
      <c r="J805" s="49" t="s">
        <v>3369</v>
      </c>
      <c r="L805" s="63">
        <v>4</v>
      </c>
      <c r="M805" s="64">
        <v>400000</v>
      </c>
      <c r="N805" s="64">
        <v>400000</v>
      </c>
      <c r="O805" s="47" t="s">
        <v>8227</v>
      </c>
      <c r="P805" s="47" t="s">
        <v>8228</v>
      </c>
      <c r="Q805" s="62" t="s">
        <v>29</v>
      </c>
      <c r="R805" s="47" t="s">
        <v>8229</v>
      </c>
      <c r="T805" s="142">
        <v>18</v>
      </c>
      <c r="U805" s="46" t="s">
        <v>491</v>
      </c>
      <c r="V805" s="46"/>
    </row>
    <row r="806" spans="1:23" ht="45" x14ac:dyDescent="0.25">
      <c r="A806" s="61">
        <v>42968</v>
      </c>
      <c r="B806" s="62" t="s">
        <v>328</v>
      </c>
      <c r="C806" s="46" t="s">
        <v>603</v>
      </c>
      <c r="D806" s="46" t="s">
        <v>649</v>
      </c>
      <c r="E806" s="46" t="s">
        <v>588</v>
      </c>
      <c r="H806" s="46" t="s">
        <v>6255</v>
      </c>
      <c r="O806" s="47" t="s">
        <v>3886</v>
      </c>
      <c r="P806" s="47" t="s">
        <v>8231</v>
      </c>
      <c r="Q806" s="62" t="s">
        <v>620</v>
      </c>
      <c r="R806" s="47" t="s">
        <v>8232</v>
      </c>
      <c r="T806" s="149">
        <v>18</v>
      </c>
      <c r="U806" s="46" t="s">
        <v>491</v>
      </c>
      <c r="V806" s="46"/>
    </row>
    <row r="807" spans="1:23" ht="45" x14ac:dyDescent="0.25">
      <c r="A807" s="61">
        <v>42969</v>
      </c>
      <c r="B807" s="62" t="s">
        <v>328</v>
      </c>
      <c r="C807" s="46" t="s">
        <v>603</v>
      </c>
      <c r="D807" s="46" t="s">
        <v>649</v>
      </c>
      <c r="E807" s="46" t="s">
        <v>588</v>
      </c>
      <c r="F807" s="46" t="s">
        <v>8233</v>
      </c>
      <c r="G807" s="46" t="s">
        <v>8234</v>
      </c>
      <c r="H807" s="46" t="s">
        <v>607</v>
      </c>
      <c r="I807" s="46" t="s">
        <v>2054</v>
      </c>
      <c r="J807" s="49" t="s">
        <v>899</v>
      </c>
      <c r="L807" s="63">
        <v>1</v>
      </c>
      <c r="M807" s="64">
        <v>250000</v>
      </c>
      <c r="N807" s="64">
        <v>425000</v>
      </c>
      <c r="O807" s="47" t="s">
        <v>695</v>
      </c>
      <c r="P807" s="47" t="s">
        <v>8235</v>
      </c>
      <c r="Q807" s="62" t="s">
        <v>1612</v>
      </c>
      <c r="R807" s="47" t="s">
        <v>8287</v>
      </c>
      <c r="S807" s="47" t="s">
        <v>8236</v>
      </c>
      <c r="T807" s="47">
        <v>23</v>
      </c>
      <c r="U807" s="46" t="s">
        <v>491</v>
      </c>
      <c r="V807" s="46"/>
    </row>
    <row r="808" spans="1:23" ht="75" x14ac:dyDescent="0.25">
      <c r="A808" s="61">
        <v>42969</v>
      </c>
      <c r="B808" s="62" t="s">
        <v>569</v>
      </c>
      <c r="C808" s="46" t="s">
        <v>899</v>
      </c>
      <c r="D808" s="46" t="s">
        <v>625</v>
      </c>
      <c r="E808" s="46" t="s">
        <v>588</v>
      </c>
      <c r="F808" s="46" t="s">
        <v>8237</v>
      </c>
      <c r="G808" s="46" t="s">
        <v>8238</v>
      </c>
      <c r="H808" s="46" t="s">
        <v>607</v>
      </c>
      <c r="I808" s="46" t="s">
        <v>8239</v>
      </c>
      <c r="J808" s="49" t="s">
        <v>899</v>
      </c>
      <c r="L808" s="63">
        <v>10</v>
      </c>
      <c r="M808" s="64">
        <v>1600000</v>
      </c>
      <c r="N808" s="64">
        <v>3080000</v>
      </c>
      <c r="O808" s="47" t="s">
        <v>560</v>
      </c>
      <c r="P808" s="47" t="s">
        <v>8240</v>
      </c>
      <c r="Q808" s="62" t="s">
        <v>29</v>
      </c>
      <c r="R808" s="47" t="s">
        <v>8241</v>
      </c>
      <c r="T808" s="47">
        <v>25</v>
      </c>
      <c r="U808" s="46" t="s">
        <v>491</v>
      </c>
      <c r="V808" s="46"/>
    </row>
    <row r="809" spans="1:23" ht="75" x14ac:dyDescent="0.25">
      <c r="A809" s="61">
        <v>42969</v>
      </c>
      <c r="B809" s="62" t="s">
        <v>328</v>
      </c>
      <c r="C809" s="46" t="s">
        <v>603</v>
      </c>
      <c r="D809" s="46" t="s">
        <v>649</v>
      </c>
      <c r="E809" s="46" t="s">
        <v>588</v>
      </c>
      <c r="F809" s="46" t="s">
        <v>8243</v>
      </c>
      <c r="G809" s="46" t="s">
        <v>8244</v>
      </c>
      <c r="H809" s="46" t="s">
        <v>607</v>
      </c>
      <c r="I809" s="46" t="s">
        <v>8245</v>
      </c>
      <c r="J809" s="49" t="s">
        <v>6015</v>
      </c>
      <c r="L809" s="63">
        <v>3</v>
      </c>
      <c r="M809" s="64">
        <v>149900</v>
      </c>
      <c r="N809" s="64">
        <v>300000</v>
      </c>
      <c r="O809" s="47" t="s">
        <v>8246</v>
      </c>
      <c r="P809" s="47" t="s">
        <v>8247</v>
      </c>
      <c r="Q809" s="62" t="s">
        <v>1939</v>
      </c>
      <c r="R809" s="47" t="s">
        <v>8248</v>
      </c>
      <c r="T809" s="47">
        <v>17</v>
      </c>
      <c r="U809" s="46" t="s">
        <v>491</v>
      </c>
      <c r="V809" s="46"/>
    </row>
    <row r="810" spans="1:23" ht="150" x14ac:dyDescent="0.25">
      <c r="A810" s="61">
        <v>42969</v>
      </c>
      <c r="B810" s="62" t="s">
        <v>328</v>
      </c>
      <c r="C810" s="46" t="s">
        <v>603</v>
      </c>
      <c r="D810" s="46" t="s">
        <v>649</v>
      </c>
      <c r="E810" s="46" t="s">
        <v>588</v>
      </c>
      <c r="F810" s="46" t="s">
        <v>8253</v>
      </c>
      <c r="G810" s="46" t="s">
        <v>8254</v>
      </c>
      <c r="H810" s="46" t="s">
        <v>607</v>
      </c>
      <c r="I810" s="46" t="s">
        <v>8256</v>
      </c>
      <c r="J810" s="49" t="s">
        <v>3612</v>
      </c>
      <c r="L810" s="63">
        <v>10</v>
      </c>
      <c r="M810" s="64">
        <v>150000</v>
      </c>
      <c r="N810" s="64">
        <v>250000</v>
      </c>
      <c r="O810" s="47" t="s">
        <v>3107</v>
      </c>
      <c r="P810" s="47" t="s">
        <v>8257</v>
      </c>
      <c r="Q810" s="62" t="s">
        <v>1939</v>
      </c>
      <c r="R810" s="47" t="s">
        <v>8258</v>
      </c>
      <c r="T810" s="47">
        <v>31</v>
      </c>
      <c r="U810" s="46" t="s">
        <v>491</v>
      </c>
      <c r="V810" s="109" t="s">
        <v>3985</v>
      </c>
      <c r="W810" s="47" t="s">
        <v>8255</v>
      </c>
    </row>
    <row r="811" spans="1:23" ht="165" x14ac:dyDescent="0.25">
      <c r="A811" s="61">
        <v>42969</v>
      </c>
      <c r="B811" s="62" t="s">
        <v>5176</v>
      </c>
      <c r="C811" s="46" t="s">
        <v>604</v>
      </c>
      <c r="D811" s="46" t="s">
        <v>2454</v>
      </c>
      <c r="E811" s="46" t="s">
        <v>588</v>
      </c>
      <c r="F811" s="46" t="s">
        <v>8259</v>
      </c>
      <c r="H811" s="46" t="s">
        <v>607</v>
      </c>
      <c r="I811" s="46" t="s">
        <v>8260</v>
      </c>
      <c r="J811" s="49" t="s">
        <v>4785</v>
      </c>
      <c r="M811" s="64">
        <v>1400000</v>
      </c>
      <c r="N811" s="64">
        <v>3220000</v>
      </c>
      <c r="O811" s="47" t="s">
        <v>560</v>
      </c>
      <c r="P811" s="47" t="s">
        <v>8261</v>
      </c>
      <c r="Q811" s="62" t="s">
        <v>1939</v>
      </c>
      <c r="R811" s="47" t="s">
        <v>8262</v>
      </c>
      <c r="T811" s="47">
        <v>17</v>
      </c>
      <c r="U811" s="46" t="s">
        <v>491</v>
      </c>
      <c r="V811" s="46"/>
    </row>
    <row r="812" spans="1:23" ht="125.25" customHeight="1" x14ac:dyDescent="0.25">
      <c r="A812" s="61">
        <v>42969</v>
      </c>
      <c r="B812" s="62" t="s">
        <v>328</v>
      </c>
      <c r="C812" s="46" t="s">
        <v>603</v>
      </c>
      <c r="D812" s="46" t="s">
        <v>649</v>
      </c>
      <c r="E812" s="46" t="s">
        <v>588</v>
      </c>
      <c r="F812" s="46" t="s">
        <v>8263</v>
      </c>
      <c r="G812" s="46" t="s">
        <v>8264</v>
      </c>
      <c r="H812" s="46" t="s">
        <v>607</v>
      </c>
      <c r="I812" s="46" t="s">
        <v>2054</v>
      </c>
      <c r="J812" s="49" t="s">
        <v>899</v>
      </c>
      <c r="M812" s="64">
        <v>1930000</v>
      </c>
      <c r="N812" s="64">
        <v>3088000</v>
      </c>
      <c r="O812" s="47" t="s">
        <v>560</v>
      </c>
      <c r="P812" s="47" t="s">
        <v>8265</v>
      </c>
      <c r="Q812" s="62" t="s">
        <v>1612</v>
      </c>
      <c r="R812" s="88" t="s">
        <v>9436</v>
      </c>
      <c r="T812" s="47">
        <v>21</v>
      </c>
      <c r="U812" s="46" t="s">
        <v>491</v>
      </c>
      <c r="V812" s="46"/>
    </row>
    <row r="813" spans="1:23" ht="45" x14ac:dyDescent="0.25">
      <c r="A813" s="61">
        <v>42969</v>
      </c>
      <c r="B813" s="62" t="s">
        <v>328</v>
      </c>
      <c r="C813" s="46" t="s">
        <v>603</v>
      </c>
      <c r="D813" s="46" t="s">
        <v>649</v>
      </c>
      <c r="E813" s="46" t="s">
        <v>588</v>
      </c>
      <c r="F813" s="46" t="s">
        <v>8266</v>
      </c>
      <c r="G813" s="46" t="s">
        <v>8267</v>
      </c>
      <c r="H813" s="46" t="s">
        <v>607</v>
      </c>
      <c r="I813" s="46" t="s">
        <v>4885</v>
      </c>
      <c r="J813" s="49" t="s">
        <v>899</v>
      </c>
      <c r="L813" s="63">
        <v>9</v>
      </c>
      <c r="M813" s="64">
        <v>940000</v>
      </c>
      <c r="N813" s="64">
        <v>1830000</v>
      </c>
      <c r="O813" s="47" t="s">
        <v>6357</v>
      </c>
      <c r="P813" s="47" t="s">
        <v>8268</v>
      </c>
      <c r="Q813" s="62" t="s">
        <v>1939</v>
      </c>
      <c r="R813" s="47" t="s">
        <v>8269</v>
      </c>
      <c r="T813" s="142">
        <v>19</v>
      </c>
      <c r="U813" s="46" t="s">
        <v>491</v>
      </c>
      <c r="V813" s="46"/>
    </row>
    <row r="814" spans="1:23" ht="60" x14ac:dyDescent="0.25">
      <c r="A814" s="61">
        <v>42969</v>
      </c>
      <c r="B814" s="62" t="s">
        <v>569</v>
      </c>
      <c r="C814" s="46" t="s">
        <v>899</v>
      </c>
      <c r="D814" s="46" t="s">
        <v>625</v>
      </c>
      <c r="E814" s="46" t="s">
        <v>821</v>
      </c>
      <c r="F814" s="46" t="s">
        <v>8271</v>
      </c>
      <c r="H814" s="46" t="s">
        <v>1050</v>
      </c>
      <c r="M814" s="64">
        <v>600000</v>
      </c>
      <c r="O814" s="47" t="s">
        <v>8272</v>
      </c>
      <c r="P814" s="47" t="s">
        <v>8273</v>
      </c>
      <c r="Q814" s="62" t="s">
        <v>1939</v>
      </c>
      <c r="R814" s="47" t="s">
        <v>8274</v>
      </c>
      <c r="T814" s="149">
        <v>10</v>
      </c>
      <c r="U814" s="46" t="s">
        <v>491</v>
      </c>
      <c r="V814" s="46"/>
    </row>
    <row r="815" spans="1:23" ht="45" x14ac:dyDescent="0.25">
      <c r="A815" s="61">
        <v>42970</v>
      </c>
      <c r="B815" s="62" t="s">
        <v>643</v>
      </c>
      <c r="C815" s="46" t="s">
        <v>644</v>
      </c>
      <c r="D815" s="46" t="s">
        <v>645</v>
      </c>
      <c r="E815" s="46" t="s">
        <v>588</v>
      </c>
      <c r="F815" s="46" t="s">
        <v>8275</v>
      </c>
      <c r="G815" s="46" t="s">
        <v>8276</v>
      </c>
      <c r="H815" s="46" t="s">
        <v>809</v>
      </c>
      <c r="I815" s="46" t="s">
        <v>4399</v>
      </c>
      <c r="J815" s="49" t="s">
        <v>644</v>
      </c>
      <c r="L815" s="63">
        <v>5</v>
      </c>
      <c r="M815" s="64">
        <v>2000000</v>
      </c>
      <c r="N815" s="64">
        <v>2060000</v>
      </c>
      <c r="O815" s="47" t="s">
        <v>560</v>
      </c>
      <c r="P815" s="47" t="s">
        <v>8277</v>
      </c>
      <c r="Q815" s="62" t="s">
        <v>592</v>
      </c>
      <c r="T815" s="47">
        <v>12</v>
      </c>
      <c r="U815" s="46" t="s">
        <v>491</v>
      </c>
      <c r="V815" s="46"/>
    </row>
    <row r="816" spans="1:23" ht="60" x14ac:dyDescent="0.25">
      <c r="A816" s="61">
        <v>42970</v>
      </c>
      <c r="B816" s="62" t="s">
        <v>328</v>
      </c>
      <c r="C816" s="46" t="s">
        <v>603</v>
      </c>
      <c r="D816" s="46" t="s">
        <v>2397</v>
      </c>
      <c r="E816" s="46" t="s">
        <v>588</v>
      </c>
      <c r="F816" s="46" t="s">
        <v>8279</v>
      </c>
      <c r="G816" s="46" t="s">
        <v>8280</v>
      </c>
      <c r="H816" s="46" t="s">
        <v>607</v>
      </c>
      <c r="I816" s="46" t="s">
        <v>8281</v>
      </c>
      <c r="J816" s="49" t="s">
        <v>899</v>
      </c>
      <c r="L816" s="63">
        <v>4</v>
      </c>
      <c r="M816" s="64">
        <v>2181000</v>
      </c>
      <c r="N816" s="64">
        <v>3925000</v>
      </c>
      <c r="O816" s="47" t="s">
        <v>560</v>
      </c>
      <c r="P816" s="47" t="s">
        <v>8282</v>
      </c>
      <c r="Q816" s="62" t="s">
        <v>592</v>
      </c>
      <c r="T816" s="47">
        <v>23</v>
      </c>
      <c r="U816" s="46" t="s">
        <v>491</v>
      </c>
      <c r="V816" s="46"/>
    </row>
    <row r="817" spans="1:22" ht="60" x14ac:dyDescent="0.25">
      <c r="A817" s="61">
        <v>42970</v>
      </c>
      <c r="B817" s="62" t="s">
        <v>328</v>
      </c>
      <c r="C817" s="46" t="s">
        <v>603</v>
      </c>
      <c r="D817" s="46" t="s">
        <v>1401</v>
      </c>
      <c r="E817" s="46" t="s">
        <v>692</v>
      </c>
      <c r="F817" s="46" t="s">
        <v>8283</v>
      </c>
      <c r="G817" s="46" t="s">
        <v>8284</v>
      </c>
      <c r="H817" s="46" t="s">
        <v>886</v>
      </c>
      <c r="I817" s="46" t="s">
        <v>8285</v>
      </c>
      <c r="J817" s="49" t="s">
        <v>3885</v>
      </c>
      <c r="L817" s="63">
        <v>10</v>
      </c>
      <c r="M817" s="64">
        <v>1000000</v>
      </c>
      <c r="N817" s="64">
        <v>1400000</v>
      </c>
      <c r="O817" s="47" t="s">
        <v>2680</v>
      </c>
      <c r="P817" s="47" t="s">
        <v>8286</v>
      </c>
      <c r="Q817" s="62" t="s">
        <v>1612</v>
      </c>
      <c r="R817" s="47" t="s">
        <v>8353</v>
      </c>
      <c r="T817" s="149">
        <v>54</v>
      </c>
      <c r="U817" s="46" t="s">
        <v>491</v>
      </c>
      <c r="V817" s="46"/>
    </row>
    <row r="818" spans="1:22" ht="75" x14ac:dyDescent="0.25">
      <c r="A818" s="61">
        <v>42971</v>
      </c>
      <c r="B818" s="62" t="s">
        <v>328</v>
      </c>
      <c r="C818" s="46" t="s">
        <v>603</v>
      </c>
      <c r="D818" s="46" t="s">
        <v>672</v>
      </c>
      <c r="E818" s="46" t="s">
        <v>588</v>
      </c>
      <c r="F818" s="46" t="s">
        <v>8288</v>
      </c>
      <c r="G818" s="46" t="s">
        <v>8289</v>
      </c>
      <c r="H818" s="46" t="s">
        <v>722</v>
      </c>
      <c r="I818" s="46" t="s">
        <v>8290</v>
      </c>
      <c r="J818" s="49" t="s">
        <v>3533</v>
      </c>
      <c r="L818" s="63">
        <v>10</v>
      </c>
      <c r="M818" s="64">
        <v>160000</v>
      </c>
      <c r="N818" s="64">
        <v>160000</v>
      </c>
      <c r="O818" s="47" t="s">
        <v>2680</v>
      </c>
      <c r="P818" s="47" t="s">
        <v>8291</v>
      </c>
      <c r="Q818" s="62" t="s">
        <v>1939</v>
      </c>
      <c r="R818" s="47" t="s">
        <v>8292</v>
      </c>
      <c r="T818" s="47">
        <v>33</v>
      </c>
      <c r="U818" s="46" t="s">
        <v>491</v>
      </c>
      <c r="V818" s="46"/>
    </row>
    <row r="819" spans="1:22" ht="60" x14ac:dyDescent="0.25">
      <c r="A819" s="61">
        <v>42971</v>
      </c>
      <c r="B819" s="62" t="s">
        <v>569</v>
      </c>
      <c r="C819" s="46" t="s">
        <v>899</v>
      </c>
      <c r="D819" s="46" t="s">
        <v>625</v>
      </c>
      <c r="E819" s="46" t="s">
        <v>588</v>
      </c>
      <c r="F819" s="46" t="s">
        <v>8293</v>
      </c>
      <c r="G819" s="46" t="s">
        <v>8294</v>
      </c>
      <c r="H819" s="46" t="s">
        <v>607</v>
      </c>
      <c r="I819" s="46" t="s">
        <v>2054</v>
      </c>
      <c r="J819" s="49" t="s">
        <v>899</v>
      </c>
      <c r="N819" s="64">
        <v>4680000</v>
      </c>
      <c r="O819" s="47" t="s">
        <v>560</v>
      </c>
      <c r="P819" s="47" t="s">
        <v>8295</v>
      </c>
      <c r="Q819" s="62" t="s">
        <v>29</v>
      </c>
      <c r="R819" s="47" t="s">
        <v>8296</v>
      </c>
      <c r="T819" s="47">
        <v>44</v>
      </c>
      <c r="U819" s="46" t="s">
        <v>491</v>
      </c>
      <c r="V819" s="46"/>
    </row>
    <row r="820" spans="1:22" ht="45" x14ac:dyDescent="0.25">
      <c r="A820" s="61">
        <v>42971</v>
      </c>
      <c r="B820" s="62" t="s">
        <v>328</v>
      </c>
      <c r="C820" s="46" t="s">
        <v>603</v>
      </c>
      <c r="D820" s="46" t="s">
        <v>649</v>
      </c>
      <c r="E820" s="46" t="s">
        <v>588</v>
      </c>
      <c r="F820" s="46" t="s">
        <v>8</v>
      </c>
      <c r="G820" s="46" t="s">
        <v>8297</v>
      </c>
      <c r="H820" s="46" t="s">
        <v>607</v>
      </c>
      <c r="I820" s="46" t="s">
        <v>8298</v>
      </c>
      <c r="J820" s="49" t="s">
        <v>899</v>
      </c>
      <c r="L820" s="63">
        <v>3</v>
      </c>
      <c r="M820" s="64">
        <v>1700000</v>
      </c>
      <c r="N820" s="64">
        <v>1970000</v>
      </c>
      <c r="O820" s="47" t="s">
        <v>8299</v>
      </c>
      <c r="P820" s="47" t="s">
        <v>8408</v>
      </c>
      <c r="Q820" s="62" t="s">
        <v>29</v>
      </c>
      <c r="R820" s="47" t="s">
        <v>8300</v>
      </c>
      <c r="T820" s="47">
        <v>10</v>
      </c>
      <c r="U820" s="46" t="s">
        <v>491</v>
      </c>
      <c r="V820" s="46"/>
    </row>
    <row r="821" spans="1:22" ht="45" x14ac:dyDescent="0.25">
      <c r="A821" s="61">
        <v>42971</v>
      </c>
      <c r="B821" s="62" t="s">
        <v>5176</v>
      </c>
      <c r="C821" s="46" t="s">
        <v>959</v>
      </c>
      <c r="D821" s="46" t="s">
        <v>732</v>
      </c>
      <c r="E821" s="46" t="s">
        <v>588</v>
      </c>
      <c r="H821" s="46" t="s">
        <v>607</v>
      </c>
      <c r="I821" s="46" t="s">
        <v>8301</v>
      </c>
      <c r="J821" s="49" t="s">
        <v>959</v>
      </c>
      <c r="O821" s="47" t="s">
        <v>8302</v>
      </c>
      <c r="P821" s="47" t="s">
        <v>8303</v>
      </c>
      <c r="Q821" s="62" t="s">
        <v>29</v>
      </c>
      <c r="R821" s="47" t="s">
        <v>8304</v>
      </c>
      <c r="T821" s="47">
        <v>18</v>
      </c>
      <c r="U821" s="46" t="s">
        <v>491</v>
      </c>
      <c r="V821" s="46"/>
    </row>
    <row r="822" spans="1:22" ht="30" x14ac:dyDescent="0.25">
      <c r="A822" s="61">
        <v>42971</v>
      </c>
      <c r="B822" s="62" t="s">
        <v>5360</v>
      </c>
      <c r="C822" s="46" t="s">
        <v>899</v>
      </c>
      <c r="D822" s="46" t="s">
        <v>732</v>
      </c>
      <c r="E822" s="46" t="s">
        <v>588</v>
      </c>
      <c r="F822" s="46" t="s">
        <v>8305</v>
      </c>
      <c r="G822" s="46" t="s">
        <v>8306</v>
      </c>
      <c r="H822" s="46" t="s">
        <v>607</v>
      </c>
      <c r="I822" s="46" t="s">
        <v>7073</v>
      </c>
      <c r="J822" s="49" t="s">
        <v>899</v>
      </c>
      <c r="L822" s="63">
        <v>9</v>
      </c>
      <c r="M822" s="64">
        <v>900000</v>
      </c>
      <c r="N822" s="64">
        <v>1570000</v>
      </c>
      <c r="O822" s="47" t="s">
        <v>560</v>
      </c>
      <c r="P822" s="47" t="s">
        <v>8307</v>
      </c>
      <c r="Q822" s="62" t="s">
        <v>1939</v>
      </c>
      <c r="R822" s="47" t="s">
        <v>8308</v>
      </c>
      <c r="T822" s="47">
        <v>19</v>
      </c>
      <c r="U822" s="46" t="s">
        <v>491</v>
      </c>
      <c r="V822" s="46"/>
    </row>
    <row r="823" spans="1:22" ht="60" x14ac:dyDescent="0.25">
      <c r="A823" s="61">
        <v>42971</v>
      </c>
      <c r="B823" s="62" t="s">
        <v>328</v>
      </c>
      <c r="C823" s="46" t="s">
        <v>603</v>
      </c>
      <c r="D823" s="46" t="s">
        <v>649</v>
      </c>
      <c r="E823" s="46" t="s">
        <v>588</v>
      </c>
      <c r="F823" s="46" t="s">
        <v>8309</v>
      </c>
      <c r="G823" s="46" t="s">
        <v>6161</v>
      </c>
      <c r="H823" s="46" t="s">
        <v>607</v>
      </c>
      <c r="J823" s="49" t="s">
        <v>3751</v>
      </c>
      <c r="L823" s="63">
        <v>3</v>
      </c>
      <c r="M823" s="64">
        <v>185600</v>
      </c>
      <c r="N823" s="64">
        <v>370000</v>
      </c>
      <c r="O823" s="47" t="s">
        <v>3952</v>
      </c>
      <c r="P823" s="47" t="s">
        <v>8310</v>
      </c>
      <c r="Q823" s="62" t="s">
        <v>620</v>
      </c>
      <c r="R823" s="47" t="s">
        <v>8311</v>
      </c>
      <c r="T823" s="149">
        <v>17</v>
      </c>
      <c r="U823" s="46" t="s">
        <v>491</v>
      </c>
      <c r="V823" s="46"/>
    </row>
    <row r="824" spans="1:22" ht="75" x14ac:dyDescent="0.25">
      <c r="A824" s="61">
        <v>42972</v>
      </c>
      <c r="B824" s="62" t="s">
        <v>328</v>
      </c>
      <c r="C824" s="46" t="s">
        <v>603</v>
      </c>
      <c r="D824" s="46" t="s">
        <v>649</v>
      </c>
      <c r="E824" s="46" t="s">
        <v>588</v>
      </c>
      <c r="F824" s="46" t="s">
        <v>8312</v>
      </c>
      <c r="G824" s="46" t="s">
        <v>8313</v>
      </c>
      <c r="H824" s="46" t="s">
        <v>4261</v>
      </c>
      <c r="I824" s="46" t="s">
        <v>8314</v>
      </c>
      <c r="J824" s="49" t="s">
        <v>3398</v>
      </c>
      <c r="L824" s="63">
        <v>5</v>
      </c>
      <c r="M824" s="64">
        <v>510000</v>
      </c>
      <c r="N824" s="64">
        <v>711000</v>
      </c>
      <c r="O824" s="47" t="s">
        <v>3952</v>
      </c>
      <c r="P824" s="47" t="s">
        <v>8315</v>
      </c>
      <c r="Q824" s="62" t="s">
        <v>1939</v>
      </c>
      <c r="R824" s="47" t="s">
        <v>8316</v>
      </c>
      <c r="T824" s="47">
        <v>23</v>
      </c>
      <c r="U824" s="46" t="s">
        <v>491</v>
      </c>
      <c r="V824" s="46"/>
    </row>
    <row r="825" spans="1:22" ht="75" x14ac:dyDescent="0.25">
      <c r="A825" s="61">
        <v>42972</v>
      </c>
      <c r="B825" s="62" t="s">
        <v>569</v>
      </c>
      <c r="C825" s="46" t="s">
        <v>899</v>
      </c>
      <c r="D825" s="46" t="s">
        <v>930</v>
      </c>
      <c r="E825" s="46" t="s">
        <v>821</v>
      </c>
      <c r="J825" s="49" t="s">
        <v>899</v>
      </c>
      <c r="O825" s="47" t="s">
        <v>5611</v>
      </c>
      <c r="P825" s="47" t="s">
        <v>8317</v>
      </c>
      <c r="Q825" s="62" t="s">
        <v>29</v>
      </c>
      <c r="R825" s="47" t="s">
        <v>8318</v>
      </c>
      <c r="T825" s="47">
        <v>12</v>
      </c>
      <c r="U825" s="46" t="s">
        <v>491</v>
      </c>
      <c r="V825" s="46"/>
    </row>
    <row r="826" spans="1:22" ht="132.75" x14ac:dyDescent="0.25">
      <c r="A826" s="61">
        <v>42972</v>
      </c>
      <c r="B826" s="62" t="s">
        <v>328</v>
      </c>
      <c r="C826" s="46" t="s">
        <v>603</v>
      </c>
      <c r="D826" s="46" t="s">
        <v>649</v>
      </c>
      <c r="E826" s="46" t="s">
        <v>588</v>
      </c>
      <c r="F826" s="46" t="s">
        <v>8319</v>
      </c>
      <c r="G826" s="46" t="s">
        <v>8320</v>
      </c>
      <c r="H826" s="46" t="s">
        <v>607</v>
      </c>
      <c r="I826" s="46" t="s">
        <v>2054</v>
      </c>
      <c r="J826" s="49" t="s">
        <v>899</v>
      </c>
      <c r="L826" s="63">
        <v>1</v>
      </c>
      <c r="M826" s="64">
        <v>638000</v>
      </c>
      <c r="N826" s="64">
        <v>1130000</v>
      </c>
      <c r="O826" s="47" t="s">
        <v>695</v>
      </c>
      <c r="P826" s="47" t="s">
        <v>8321</v>
      </c>
      <c r="Q826" s="62" t="s">
        <v>1939</v>
      </c>
      <c r="R826" s="86" t="s">
        <v>8322</v>
      </c>
      <c r="S826" s="47" t="s">
        <v>8323</v>
      </c>
      <c r="T826" s="47">
        <v>25</v>
      </c>
      <c r="U826" s="46" t="s">
        <v>491</v>
      </c>
      <c r="V826" s="46"/>
    </row>
    <row r="827" spans="1:22" ht="45" x14ac:dyDescent="0.25">
      <c r="A827" s="61">
        <v>42972</v>
      </c>
      <c r="B827" s="62" t="s">
        <v>5992</v>
      </c>
      <c r="C827" s="46" t="s">
        <v>608</v>
      </c>
      <c r="D827" s="46" t="s">
        <v>5270</v>
      </c>
      <c r="E827" s="46" t="s">
        <v>588</v>
      </c>
      <c r="F827" s="46" t="s">
        <v>8324</v>
      </c>
      <c r="G827" s="46" t="s">
        <v>256</v>
      </c>
      <c r="H827" s="46" t="s">
        <v>6559</v>
      </c>
      <c r="J827" s="49" t="s">
        <v>608</v>
      </c>
      <c r="M827" s="64">
        <v>177000</v>
      </c>
      <c r="O827" s="47" t="s">
        <v>666</v>
      </c>
      <c r="P827" s="47" t="s">
        <v>8325</v>
      </c>
      <c r="Q827" s="62" t="s">
        <v>1939</v>
      </c>
      <c r="R827" s="47" t="s">
        <v>8326</v>
      </c>
      <c r="T827" s="149">
        <v>12</v>
      </c>
      <c r="U827" s="46" t="s">
        <v>491</v>
      </c>
      <c r="V827" s="46"/>
    </row>
    <row r="828" spans="1:22" ht="75" x14ac:dyDescent="0.25">
      <c r="A828" s="61">
        <v>42976</v>
      </c>
      <c r="B828" s="62" t="s">
        <v>328</v>
      </c>
      <c r="C828" s="46" t="s">
        <v>603</v>
      </c>
      <c r="D828" s="46" t="s">
        <v>649</v>
      </c>
      <c r="E828" s="46" t="s">
        <v>588</v>
      </c>
      <c r="F828" s="46" t="s">
        <v>8328</v>
      </c>
      <c r="G828" s="46" t="s">
        <v>4655</v>
      </c>
      <c r="H828" s="46" t="s">
        <v>1391</v>
      </c>
      <c r="I828" s="46" t="s">
        <v>8327</v>
      </c>
      <c r="J828" s="49" t="s">
        <v>899</v>
      </c>
      <c r="L828" s="63">
        <v>10</v>
      </c>
      <c r="M828" s="64">
        <v>800000</v>
      </c>
      <c r="N828" s="64">
        <v>1200000</v>
      </c>
      <c r="O828" s="47" t="s">
        <v>2680</v>
      </c>
      <c r="P828" s="47" t="s">
        <v>8329</v>
      </c>
      <c r="Q828" s="62" t="s">
        <v>1939</v>
      </c>
      <c r="R828" s="47" t="s">
        <v>8330</v>
      </c>
      <c r="S828" s="47" t="s">
        <v>8555</v>
      </c>
      <c r="T828" s="47">
        <v>27</v>
      </c>
      <c r="U828" s="46" t="s">
        <v>491</v>
      </c>
      <c r="V828" s="46"/>
    </row>
    <row r="829" spans="1:22" ht="281.25" customHeight="1" x14ac:dyDescent="0.25">
      <c r="A829" s="61">
        <v>42976</v>
      </c>
      <c r="B829" s="62" t="s">
        <v>5360</v>
      </c>
      <c r="C829" s="46" t="s">
        <v>899</v>
      </c>
      <c r="D829" s="46" t="s">
        <v>732</v>
      </c>
      <c r="E829" s="46" t="s">
        <v>588</v>
      </c>
      <c r="F829" s="46" t="s">
        <v>134</v>
      </c>
      <c r="G829" s="46" t="s">
        <v>8331</v>
      </c>
      <c r="H829" s="46" t="s">
        <v>607</v>
      </c>
      <c r="I829" s="46" t="s">
        <v>8332</v>
      </c>
      <c r="J829" s="49" t="s">
        <v>899</v>
      </c>
      <c r="L829" s="63">
        <v>4</v>
      </c>
      <c r="M829" s="64">
        <v>550000</v>
      </c>
      <c r="N829" s="64">
        <v>1100000</v>
      </c>
      <c r="O829" s="47" t="s">
        <v>666</v>
      </c>
      <c r="P829" s="47" t="s">
        <v>8333</v>
      </c>
      <c r="Q829" s="62" t="s">
        <v>620</v>
      </c>
      <c r="R829" s="89" t="s">
        <v>8361</v>
      </c>
      <c r="S829" s="47" t="s">
        <v>8360</v>
      </c>
      <c r="T829" s="47">
        <v>35</v>
      </c>
      <c r="U829" s="46" t="s">
        <v>491</v>
      </c>
      <c r="V829" s="46"/>
    </row>
    <row r="830" spans="1:22" ht="60" x14ac:dyDescent="0.25">
      <c r="A830" s="61">
        <v>42976</v>
      </c>
      <c r="B830" s="62" t="s">
        <v>569</v>
      </c>
      <c r="C830" s="46" t="s">
        <v>899</v>
      </c>
      <c r="D830" s="46" t="s">
        <v>625</v>
      </c>
      <c r="E830" s="46" t="s">
        <v>588</v>
      </c>
      <c r="F830" s="46" t="s">
        <v>8334</v>
      </c>
      <c r="H830" s="46" t="s">
        <v>8335</v>
      </c>
      <c r="I830" s="46" t="s">
        <v>4237</v>
      </c>
      <c r="J830" s="49" t="s">
        <v>899</v>
      </c>
      <c r="M830" s="64">
        <v>3900000</v>
      </c>
      <c r="N830" s="64">
        <v>3900000</v>
      </c>
      <c r="O830" s="47" t="s">
        <v>560</v>
      </c>
      <c r="P830" s="47" t="s">
        <v>8336</v>
      </c>
      <c r="Q830" s="62" t="s">
        <v>1939</v>
      </c>
      <c r="R830" s="47" t="s">
        <v>8337</v>
      </c>
      <c r="T830" s="47">
        <v>16</v>
      </c>
      <c r="U830" s="46" t="s">
        <v>491</v>
      </c>
      <c r="V830" s="46"/>
    </row>
    <row r="831" spans="1:22" ht="75" x14ac:dyDescent="0.25">
      <c r="A831" s="61">
        <v>42976</v>
      </c>
      <c r="B831" s="62" t="s">
        <v>569</v>
      </c>
      <c r="C831" s="46" t="s">
        <v>899</v>
      </c>
      <c r="D831" s="46" t="s">
        <v>625</v>
      </c>
      <c r="E831" s="46" t="s">
        <v>821</v>
      </c>
      <c r="F831" s="46" t="s">
        <v>8338</v>
      </c>
      <c r="H831" s="46" t="s">
        <v>607</v>
      </c>
      <c r="I831" s="46" t="s">
        <v>4256</v>
      </c>
      <c r="J831" s="49" t="s">
        <v>899</v>
      </c>
      <c r="M831" s="64">
        <v>1100000</v>
      </c>
      <c r="O831" s="47" t="s">
        <v>8342</v>
      </c>
      <c r="P831" s="47" t="s">
        <v>8343</v>
      </c>
      <c r="Q831" s="62" t="s">
        <v>1939</v>
      </c>
      <c r="R831" s="47" t="s">
        <v>8344</v>
      </c>
      <c r="T831" s="47">
        <v>10</v>
      </c>
      <c r="U831" s="46" t="s">
        <v>491</v>
      </c>
      <c r="V831" s="46"/>
    </row>
    <row r="832" spans="1:22" ht="90" x14ac:dyDescent="0.25">
      <c r="A832" s="61">
        <v>42976</v>
      </c>
      <c r="B832" s="62" t="s">
        <v>569</v>
      </c>
      <c r="C832" s="46" t="s">
        <v>899</v>
      </c>
      <c r="D832" s="46" t="s">
        <v>625</v>
      </c>
      <c r="E832" s="46" t="s">
        <v>821</v>
      </c>
      <c r="F832" s="46" t="s">
        <v>8339</v>
      </c>
      <c r="G832" s="46" t="s">
        <v>7814</v>
      </c>
      <c r="H832" s="46" t="s">
        <v>607</v>
      </c>
      <c r="O832" s="47" t="s">
        <v>8345</v>
      </c>
      <c r="P832" s="47" t="s">
        <v>8346</v>
      </c>
      <c r="Q832" s="62" t="s">
        <v>1939</v>
      </c>
      <c r="R832" s="47" t="s">
        <v>8377</v>
      </c>
      <c r="T832" s="47">
        <v>14</v>
      </c>
      <c r="U832" s="46" t="s">
        <v>491</v>
      </c>
      <c r="V832" s="46"/>
    </row>
    <row r="833" spans="1:23" ht="60" x14ac:dyDescent="0.25">
      <c r="A833" s="61">
        <v>42976</v>
      </c>
      <c r="B833" s="62" t="s">
        <v>569</v>
      </c>
      <c r="C833" s="46" t="s">
        <v>899</v>
      </c>
      <c r="D833" s="46" t="s">
        <v>625</v>
      </c>
      <c r="E833" s="46" t="s">
        <v>821</v>
      </c>
      <c r="F833" s="46" t="s">
        <v>8340</v>
      </c>
      <c r="G833" s="46" t="s">
        <v>7792</v>
      </c>
      <c r="H833" s="46" t="s">
        <v>607</v>
      </c>
      <c r="O833" s="47" t="s">
        <v>8347</v>
      </c>
      <c r="P833" s="47" t="s">
        <v>8348</v>
      </c>
      <c r="Q833" s="62" t="s">
        <v>1939</v>
      </c>
      <c r="R833" s="47" t="s">
        <v>8349</v>
      </c>
      <c r="T833" s="47">
        <v>10</v>
      </c>
      <c r="U833" s="46" t="s">
        <v>491</v>
      </c>
      <c r="V833" s="46"/>
    </row>
    <row r="834" spans="1:23" ht="90" x14ac:dyDescent="0.25">
      <c r="A834" s="61">
        <v>42976</v>
      </c>
      <c r="B834" s="62" t="s">
        <v>569</v>
      </c>
      <c r="C834" s="46" t="s">
        <v>899</v>
      </c>
      <c r="D834" s="46" t="s">
        <v>930</v>
      </c>
      <c r="E834" s="46" t="s">
        <v>821</v>
      </c>
      <c r="F834" s="46" t="s">
        <v>8341</v>
      </c>
      <c r="H834" s="46" t="s">
        <v>607</v>
      </c>
      <c r="I834" s="46" t="s">
        <v>8350</v>
      </c>
      <c r="J834" s="49" t="s">
        <v>899</v>
      </c>
      <c r="O834" s="47" t="s">
        <v>7074</v>
      </c>
      <c r="P834" s="47" t="s">
        <v>8351</v>
      </c>
      <c r="Q834" s="62" t="s">
        <v>1939</v>
      </c>
      <c r="R834" s="47" t="s">
        <v>8352</v>
      </c>
      <c r="T834" s="149">
        <v>8</v>
      </c>
      <c r="U834" s="46" t="s">
        <v>491</v>
      </c>
      <c r="V834" s="46"/>
    </row>
    <row r="835" spans="1:23" ht="30" x14ac:dyDescent="0.25">
      <c r="A835" s="61">
        <v>42977</v>
      </c>
      <c r="B835" s="62" t="s">
        <v>328</v>
      </c>
      <c r="C835" s="46" t="s">
        <v>603</v>
      </c>
      <c r="D835" s="46" t="s">
        <v>649</v>
      </c>
      <c r="E835" s="46" t="s">
        <v>588</v>
      </c>
      <c r="F835" s="46" t="s">
        <v>8354</v>
      </c>
      <c r="G835" s="46" t="s">
        <v>8355</v>
      </c>
      <c r="H835" s="46" t="s">
        <v>607</v>
      </c>
      <c r="I835" s="46" t="s">
        <v>4674</v>
      </c>
      <c r="J835" s="49" t="s">
        <v>899</v>
      </c>
      <c r="L835" s="63">
        <v>4</v>
      </c>
      <c r="M835" s="64">
        <v>2300000</v>
      </c>
      <c r="N835" s="64">
        <v>4370000</v>
      </c>
      <c r="O835" s="47" t="s">
        <v>560</v>
      </c>
      <c r="P835" s="47" t="s">
        <v>8356</v>
      </c>
      <c r="Q835" s="62" t="s">
        <v>1939</v>
      </c>
      <c r="R835" s="47" t="s">
        <v>8357</v>
      </c>
      <c r="T835" s="47">
        <v>18</v>
      </c>
      <c r="U835" s="46" t="s">
        <v>491</v>
      </c>
      <c r="V835" s="46"/>
    </row>
    <row r="836" spans="1:23" ht="45" x14ac:dyDescent="0.25">
      <c r="A836" s="61">
        <v>42977</v>
      </c>
      <c r="B836" s="62" t="s">
        <v>5360</v>
      </c>
      <c r="C836" s="46" t="s">
        <v>899</v>
      </c>
      <c r="D836" s="46" t="s">
        <v>732</v>
      </c>
      <c r="E836" s="46" t="s">
        <v>588</v>
      </c>
      <c r="F836" s="46" t="s">
        <v>8362</v>
      </c>
      <c r="G836" s="46" t="s">
        <v>8363</v>
      </c>
      <c r="H836" s="46" t="s">
        <v>607</v>
      </c>
      <c r="I836" s="46" t="s">
        <v>3586</v>
      </c>
      <c r="J836" s="49" t="s">
        <v>899</v>
      </c>
      <c r="L836" s="63">
        <v>10</v>
      </c>
      <c r="M836" s="64">
        <v>810000</v>
      </c>
      <c r="N836" s="64">
        <v>1296000</v>
      </c>
      <c r="O836" s="47" t="s">
        <v>764</v>
      </c>
      <c r="P836" s="47" t="s">
        <v>8364</v>
      </c>
      <c r="Q836" s="62" t="s">
        <v>620</v>
      </c>
      <c r="R836" s="47" t="s">
        <v>8365</v>
      </c>
      <c r="T836" s="47">
        <v>23</v>
      </c>
      <c r="U836" s="46" t="s">
        <v>491</v>
      </c>
      <c r="V836" s="46"/>
    </row>
    <row r="837" spans="1:23" ht="225" x14ac:dyDescent="0.25">
      <c r="A837" s="61">
        <v>42977</v>
      </c>
      <c r="B837" s="62" t="s">
        <v>5176</v>
      </c>
      <c r="C837" s="46" t="s">
        <v>604</v>
      </c>
      <c r="D837" s="46" t="s">
        <v>595</v>
      </c>
      <c r="E837" s="46" t="s">
        <v>1707</v>
      </c>
      <c r="F837" s="46" t="s">
        <v>8366</v>
      </c>
      <c r="G837" s="46" t="s">
        <v>8367</v>
      </c>
      <c r="H837" s="46" t="s">
        <v>886</v>
      </c>
      <c r="I837" s="46" t="s">
        <v>8369</v>
      </c>
      <c r="J837" s="49" t="s">
        <v>959</v>
      </c>
      <c r="M837" s="64">
        <v>2100000</v>
      </c>
      <c r="O837" s="47" t="s">
        <v>5926</v>
      </c>
      <c r="P837" s="47" t="s">
        <v>8368</v>
      </c>
      <c r="Q837" s="62" t="s">
        <v>29</v>
      </c>
      <c r="R837" s="47" t="s">
        <v>8370</v>
      </c>
      <c r="S837" s="47" t="s">
        <v>8961</v>
      </c>
      <c r="T837" s="47">
        <v>95</v>
      </c>
      <c r="U837" s="46" t="s">
        <v>491</v>
      </c>
      <c r="V837" s="46"/>
    </row>
    <row r="838" spans="1:23" ht="30" x14ac:dyDescent="0.25">
      <c r="A838" s="61">
        <v>42977</v>
      </c>
      <c r="B838" s="62" t="s">
        <v>5956</v>
      </c>
      <c r="C838" s="46" t="s">
        <v>3369</v>
      </c>
      <c r="D838" s="46" t="s">
        <v>8126</v>
      </c>
      <c r="E838" s="46" t="s">
        <v>588</v>
      </c>
      <c r="F838" s="46" t="s">
        <v>8371</v>
      </c>
      <c r="G838" s="46" t="s">
        <v>8372</v>
      </c>
      <c r="H838" s="46" t="s">
        <v>886</v>
      </c>
      <c r="I838" s="46" t="s">
        <v>8373</v>
      </c>
      <c r="J838" s="49" t="s">
        <v>6575</v>
      </c>
      <c r="L838" s="63">
        <v>10</v>
      </c>
      <c r="M838" s="64">
        <v>5000000</v>
      </c>
      <c r="N838" s="64">
        <v>9000000</v>
      </c>
      <c r="O838" s="47" t="s">
        <v>560</v>
      </c>
      <c r="P838" s="47" t="s">
        <v>8374</v>
      </c>
      <c r="Q838" s="62" t="s">
        <v>29</v>
      </c>
      <c r="R838" s="47" t="s">
        <v>8375</v>
      </c>
      <c r="T838" s="149">
        <v>12</v>
      </c>
      <c r="U838" s="46" t="s">
        <v>491</v>
      </c>
      <c r="V838" s="46"/>
    </row>
    <row r="839" spans="1:23" ht="165" x14ac:dyDescent="0.25">
      <c r="A839" s="61">
        <v>42978</v>
      </c>
      <c r="B839" s="62" t="s">
        <v>569</v>
      </c>
      <c r="C839" s="46" t="s">
        <v>899</v>
      </c>
      <c r="D839" s="46" t="s">
        <v>930</v>
      </c>
      <c r="E839" s="46" t="s">
        <v>821</v>
      </c>
      <c r="F839" s="46" t="s">
        <v>8378</v>
      </c>
      <c r="H839" s="46" t="s">
        <v>886</v>
      </c>
      <c r="O839" s="47" t="s">
        <v>8442</v>
      </c>
      <c r="P839" s="47" t="s">
        <v>8441</v>
      </c>
      <c r="Q839" s="62" t="s">
        <v>1612</v>
      </c>
      <c r="R839" s="47" t="s">
        <v>8448</v>
      </c>
      <c r="T839" s="47">
        <v>27</v>
      </c>
      <c r="U839" s="46" t="s">
        <v>491</v>
      </c>
      <c r="V839" s="46"/>
    </row>
    <row r="840" spans="1:23" ht="60" x14ac:dyDescent="0.25">
      <c r="A840" s="61">
        <v>42978</v>
      </c>
      <c r="B840" s="62" t="s">
        <v>569</v>
      </c>
      <c r="C840" s="46" t="s">
        <v>899</v>
      </c>
      <c r="D840" s="46" t="s">
        <v>930</v>
      </c>
      <c r="E840" s="46" t="s">
        <v>821</v>
      </c>
      <c r="F840" s="46" t="s">
        <v>8379</v>
      </c>
      <c r="H840" s="46" t="s">
        <v>1391</v>
      </c>
      <c r="M840" s="64">
        <v>1500000</v>
      </c>
      <c r="O840" s="47" t="s">
        <v>639</v>
      </c>
      <c r="P840" s="47" t="s">
        <v>8380</v>
      </c>
      <c r="Q840" s="62" t="s">
        <v>1939</v>
      </c>
      <c r="R840" s="47" t="s">
        <v>8381</v>
      </c>
      <c r="T840" s="47">
        <v>8</v>
      </c>
      <c r="U840" s="46" t="s">
        <v>491</v>
      </c>
      <c r="V840" s="46"/>
    </row>
    <row r="841" spans="1:23" ht="60" x14ac:dyDescent="0.25">
      <c r="A841" s="61">
        <v>42978</v>
      </c>
      <c r="B841" s="62" t="s">
        <v>328</v>
      </c>
      <c r="C841" s="46" t="s">
        <v>603</v>
      </c>
      <c r="D841" s="46" t="s">
        <v>649</v>
      </c>
      <c r="E841" s="46" t="s">
        <v>588</v>
      </c>
      <c r="F841" s="46" t="s">
        <v>8382</v>
      </c>
      <c r="G841" s="46" t="s">
        <v>8383</v>
      </c>
      <c r="H841" s="46" t="s">
        <v>607</v>
      </c>
      <c r="I841" s="46" t="s">
        <v>7349</v>
      </c>
      <c r="J841" s="49" t="s">
        <v>899</v>
      </c>
      <c r="M841" s="64">
        <v>100000</v>
      </c>
      <c r="N841" s="64">
        <v>1800000</v>
      </c>
      <c r="O841" s="47" t="s">
        <v>6387</v>
      </c>
      <c r="P841" s="47" t="s">
        <v>8384</v>
      </c>
      <c r="Q841" s="62" t="s">
        <v>1939</v>
      </c>
      <c r="R841" s="47" t="s">
        <v>8385</v>
      </c>
      <c r="T841" s="47">
        <v>12</v>
      </c>
      <c r="U841" s="46" t="s">
        <v>491</v>
      </c>
      <c r="V841" s="46"/>
    </row>
    <row r="842" spans="1:23" s="146" customFormat="1" ht="105" x14ac:dyDescent="0.25">
      <c r="A842" s="144">
        <v>42979</v>
      </c>
      <c r="B842" s="145" t="s">
        <v>569</v>
      </c>
      <c r="C842" s="146" t="s">
        <v>899</v>
      </c>
      <c r="D842" s="146" t="s">
        <v>611</v>
      </c>
      <c r="E842" s="146" t="s">
        <v>588</v>
      </c>
      <c r="F842" s="146" t="s">
        <v>8386</v>
      </c>
      <c r="G842" s="146" t="s">
        <v>8387</v>
      </c>
      <c r="H842" s="146" t="s">
        <v>607</v>
      </c>
      <c r="I842" s="146" t="s">
        <v>3672</v>
      </c>
      <c r="J842" s="109" t="s">
        <v>899</v>
      </c>
      <c r="K842" s="109"/>
      <c r="L842" s="147"/>
      <c r="M842" s="148">
        <v>655000</v>
      </c>
      <c r="N842" s="148">
        <v>1179000</v>
      </c>
      <c r="O842" s="149" t="s">
        <v>8388</v>
      </c>
      <c r="P842" s="149" t="s">
        <v>8389</v>
      </c>
      <c r="Q842" s="145" t="s">
        <v>1939</v>
      </c>
      <c r="R842" s="149" t="s">
        <v>8390</v>
      </c>
      <c r="S842" s="149"/>
      <c r="T842" s="149">
        <v>27</v>
      </c>
      <c r="U842" s="146" t="s">
        <v>491</v>
      </c>
      <c r="W842" s="149"/>
    </row>
    <row r="843" spans="1:23" ht="75" x14ac:dyDescent="0.25">
      <c r="A843" s="61">
        <v>42979</v>
      </c>
      <c r="B843" s="62" t="s">
        <v>5176</v>
      </c>
      <c r="C843" s="46" t="s">
        <v>959</v>
      </c>
      <c r="D843" s="46" t="s">
        <v>6995</v>
      </c>
      <c r="E843" s="46" t="s">
        <v>588</v>
      </c>
      <c r="F843" s="46" t="s">
        <v>8392</v>
      </c>
      <c r="H843" s="46" t="s">
        <v>905</v>
      </c>
      <c r="I843" s="46" t="s">
        <v>6997</v>
      </c>
      <c r="J843" s="49" t="s">
        <v>959</v>
      </c>
      <c r="M843" s="64">
        <v>794000</v>
      </c>
      <c r="N843" s="64">
        <v>863300</v>
      </c>
      <c r="O843" s="47" t="s">
        <v>7805</v>
      </c>
      <c r="P843" s="47" t="s">
        <v>8393</v>
      </c>
      <c r="Q843" s="62" t="s">
        <v>29</v>
      </c>
      <c r="R843" s="47" t="s">
        <v>8394</v>
      </c>
      <c r="T843" s="47">
        <v>16</v>
      </c>
      <c r="U843" s="46" t="s">
        <v>491</v>
      </c>
      <c r="V843" s="46"/>
    </row>
    <row r="844" spans="1:23" ht="90" x14ac:dyDescent="0.25">
      <c r="A844" s="61">
        <v>42979</v>
      </c>
      <c r="B844" s="62" t="s">
        <v>328</v>
      </c>
      <c r="C844" s="46" t="s">
        <v>603</v>
      </c>
      <c r="D844" s="46" t="s">
        <v>2500</v>
      </c>
      <c r="E844" s="46" t="s">
        <v>588</v>
      </c>
      <c r="F844" s="46" t="s">
        <v>8395</v>
      </c>
      <c r="G844" s="46" t="s">
        <v>8396</v>
      </c>
      <c r="H844" s="46" t="s">
        <v>1050</v>
      </c>
      <c r="I844" s="46" t="s">
        <v>8397</v>
      </c>
      <c r="J844" s="49" t="s">
        <v>899</v>
      </c>
      <c r="M844" s="64">
        <v>1500000</v>
      </c>
      <c r="N844" s="64">
        <v>2600000</v>
      </c>
      <c r="O844" s="47" t="s">
        <v>560</v>
      </c>
      <c r="P844" s="47" t="s">
        <v>8398</v>
      </c>
      <c r="Q844" s="62" t="s">
        <v>620</v>
      </c>
      <c r="R844" s="47" t="s">
        <v>8399</v>
      </c>
      <c r="S844" s="47" t="s">
        <v>8447</v>
      </c>
      <c r="T844" s="149">
        <v>39</v>
      </c>
      <c r="U844" s="46" t="s">
        <v>491</v>
      </c>
      <c r="V844" s="46"/>
    </row>
    <row r="845" spans="1:23" ht="90" customHeight="1" x14ac:dyDescent="0.25">
      <c r="A845" s="61">
        <v>42983</v>
      </c>
      <c r="B845" s="62" t="s">
        <v>5992</v>
      </c>
      <c r="C845" s="46" t="s">
        <v>608</v>
      </c>
      <c r="D845" s="46" t="s">
        <v>5270</v>
      </c>
      <c r="E845" s="46" t="s">
        <v>588</v>
      </c>
      <c r="F845" s="46" t="s">
        <v>8409</v>
      </c>
      <c r="G845" s="46" t="s">
        <v>8412</v>
      </c>
      <c r="H845" s="46" t="s">
        <v>607</v>
      </c>
      <c r="I845" s="46" t="s">
        <v>8410</v>
      </c>
      <c r="J845" s="49" t="s">
        <v>608</v>
      </c>
      <c r="M845" s="64">
        <v>136000</v>
      </c>
      <c r="N845" s="64">
        <v>250000</v>
      </c>
      <c r="O845" s="47" t="s">
        <v>35</v>
      </c>
      <c r="P845" s="47" t="s">
        <v>8416</v>
      </c>
      <c r="Q845" s="62" t="s">
        <v>29</v>
      </c>
      <c r="R845" s="47" t="s">
        <v>8417</v>
      </c>
      <c r="S845" s="47" t="s">
        <v>8418</v>
      </c>
      <c r="T845" s="47">
        <v>20</v>
      </c>
      <c r="U845" s="46" t="s">
        <v>491</v>
      </c>
      <c r="V845" s="46"/>
    </row>
    <row r="846" spans="1:23" ht="45" x14ac:dyDescent="0.25">
      <c r="A846" s="61">
        <v>42983</v>
      </c>
      <c r="B846" s="62" t="s">
        <v>569</v>
      </c>
      <c r="C846" s="46" t="s">
        <v>899</v>
      </c>
      <c r="D846" s="46" t="s">
        <v>624</v>
      </c>
      <c r="E846" s="46" t="s">
        <v>588</v>
      </c>
      <c r="F846" s="46" t="s">
        <v>8411</v>
      </c>
      <c r="G846" s="46" t="s">
        <v>8413</v>
      </c>
      <c r="H846" s="46" t="s">
        <v>886</v>
      </c>
      <c r="I846" s="46" t="s">
        <v>4967</v>
      </c>
      <c r="J846" s="49" t="s">
        <v>899</v>
      </c>
      <c r="M846" s="64">
        <v>350000</v>
      </c>
      <c r="N846" s="64">
        <v>350000</v>
      </c>
      <c r="O846" s="47" t="s">
        <v>8414</v>
      </c>
      <c r="P846" s="47" t="s">
        <v>8430</v>
      </c>
      <c r="Q846" s="62" t="s">
        <v>620</v>
      </c>
      <c r="R846" s="47" t="s">
        <v>8415</v>
      </c>
      <c r="T846" s="47">
        <v>13</v>
      </c>
      <c r="U846" s="46" t="s">
        <v>491</v>
      </c>
      <c r="V846" s="46"/>
    </row>
    <row r="847" spans="1:23" x14ac:dyDescent="0.25">
      <c r="A847" s="61">
        <v>42983</v>
      </c>
      <c r="B847" s="62" t="s">
        <v>328</v>
      </c>
      <c r="C847" s="46" t="s">
        <v>603</v>
      </c>
      <c r="D847" s="46" t="s">
        <v>649</v>
      </c>
      <c r="E847" s="46" t="s">
        <v>588</v>
      </c>
      <c r="F847" s="46" t="s">
        <v>543</v>
      </c>
      <c r="H847" s="46" t="s">
        <v>6255</v>
      </c>
      <c r="J847" s="49" t="s">
        <v>3888</v>
      </c>
      <c r="O847" s="47" t="s">
        <v>3886</v>
      </c>
      <c r="P847" s="47" t="s">
        <v>8419</v>
      </c>
      <c r="Q847" s="62" t="s">
        <v>620</v>
      </c>
      <c r="R847" s="47" t="s">
        <v>8420</v>
      </c>
      <c r="T847" s="47">
        <v>10</v>
      </c>
      <c r="U847" s="46" t="s">
        <v>491</v>
      </c>
      <c r="V847" s="46"/>
    </row>
    <row r="848" spans="1:23" ht="60" x14ac:dyDescent="0.25">
      <c r="A848" s="61">
        <v>42983</v>
      </c>
      <c r="B848" s="62" t="s">
        <v>328</v>
      </c>
      <c r="C848" s="46" t="s">
        <v>603</v>
      </c>
      <c r="D848" s="46" t="s">
        <v>2500</v>
      </c>
      <c r="E848" s="46" t="s">
        <v>588</v>
      </c>
      <c r="F848" s="46" t="s">
        <v>8423</v>
      </c>
      <c r="G848" s="46" t="s">
        <v>8421</v>
      </c>
      <c r="H848" s="46" t="s">
        <v>8422</v>
      </c>
      <c r="I848" s="46" t="s">
        <v>8424</v>
      </c>
      <c r="J848" s="49" t="s">
        <v>899</v>
      </c>
      <c r="M848" s="64">
        <v>298000</v>
      </c>
      <c r="N848" s="64">
        <v>506600</v>
      </c>
      <c r="O848" s="47" t="s">
        <v>7514</v>
      </c>
      <c r="P848" s="47" t="s">
        <v>8425</v>
      </c>
      <c r="Q848" s="62" t="s">
        <v>1939</v>
      </c>
      <c r="R848" s="47" t="s">
        <v>8426</v>
      </c>
      <c r="T848" s="142">
        <v>23</v>
      </c>
      <c r="U848" s="46" t="s">
        <v>491</v>
      </c>
      <c r="V848" s="46"/>
    </row>
    <row r="849" spans="1:22" ht="60" x14ac:dyDescent="0.25">
      <c r="A849" s="61">
        <v>42983</v>
      </c>
      <c r="B849" s="62" t="s">
        <v>569</v>
      </c>
      <c r="C849" s="46" t="s">
        <v>899</v>
      </c>
      <c r="D849" s="46" t="s">
        <v>930</v>
      </c>
      <c r="E849" s="46" t="s">
        <v>821</v>
      </c>
      <c r="F849" s="46" t="s">
        <v>8427</v>
      </c>
      <c r="G849" s="46" t="s">
        <v>8428</v>
      </c>
      <c r="H849" s="46" t="s">
        <v>7728</v>
      </c>
      <c r="I849" s="46" t="s">
        <v>8437</v>
      </c>
      <c r="J849" s="49" t="s">
        <v>899</v>
      </c>
      <c r="O849" s="47" t="s">
        <v>666</v>
      </c>
      <c r="P849" s="47" t="s">
        <v>8438</v>
      </c>
      <c r="Q849" s="62" t="s">
        <v>592</v>
      </c>
      <c r="T849" s="47">
        <v>8</v>
      </c>
      <c r="U849" s="46" t="s">
        <v>491</v>
      </c>
      <c r="V849" s="46"/>
    </row>
    <row r="850" spans="1:22" ht="60" x14ac:dyDescent="0.25">
      <c r="A850" s="61">
        <v>42983</v>
      </c>
      <c r="B850" s="62" t="s">
        <v>569</v>
      </c>
      <c r="C850" s="46" t="s">
        <v>899</v>
      </c>
      <c r="D850" s="46" t="s">
        <v>930</v>
      </c>
      <c r="E850" s="46" t="s">
        <v>821</v>
      </c>
      <c r="F850" s="46" t="s">
        <v>8429</v>
      </c>
      <c r="H850" s="46" t="s">
        <v>607</v>
      </c>
      <c r="O850" s="47" t="s">
        <v>639</v>
      </c>
      <c r="P850" s="47" t="s">
        <v>8439</v>
      </c>
      <c r="Q850" s="62" t="s">
        <v>592</v>
      </c>
      <c r="R850" s="47" t="s">
        <v>8440</v>
      </c>
      <c r="T850" s="149">
        <v>10</v>
      </c>
      <c r="U850" s="46" t="s">
        <v>491</v>
      </c>
      <c r="V850" s="46"/>
    </row>
    <row r="851" spans="1:22" ht="45" x14ac:dyDescent="0.25">
      <c r="A851" s="61">
        <v>42983</v>
      </c>
      <c r="B851" s="62" t="s">
        <v>569</v>
      </c>
      <c r="C851" s="46" t="s">
        <v>899</v>
      </c>
      <c r="D851" s="46" t="s">
        <v>624</v>
      </c>
      <c r="E851" s="46" t="s">
        <v>588</v>
      </c>
      <c r="F851" s="46" t="s">
        <v>8543</v>
      </c>
      <c r="G851" s="46" t="s">
        <v>8544</v>
      </c>
      <c r="H851" s="46" t="s">
        <v>4050</v>
      </c>
      <c r="I851" s="46" t="s">
        <v>8545</v>
      </c>
      <c r="J851" s="49" t="s">
        <v>899</v>
      </c>
      <c r="M851" s="64">
        <v>380000</v>
      </c>
      <c r="N851" s="64">
        <v>384000</v>
      </c>
      <c r="O851" s="47" t="s">
        <v>8546</v>
      </c>
      <c r="P851" s="47" t="s">
        <v>8547</v>
      </c>
      <c r="Q851" s="62" t="s">
        <v>592</v>
      </c>
      <c r="R851" s="47" t="s">
        <v>8548</v>
      </c>
      <c r="U851" s="46" t="s">
        <v>1327</v>
      </c>
      <c r="V851" s="46"/>
    </row>
    <row r="852" spans="1:22" ht="135" x14ac:dyDescent="0.25">
      <c r="A852" s="61">
        <v>42984</v>
      </c>
      <c r="B852" s="62" t="s">
        <v>328</v>
      </c>
      <c r="C852" s="46" t="s">
        <v>603</v>
      </c>
      <c r="D852" s="46" t="s">
        <v>1401</v>
      </c>
      <c r="E852" s="46" t="s">
        <v>588</v>
      </c>
      <c r="F852" s="46" t="s">
        <v>8431</v>
      </c>
      <c r="G852" s="46" t="s">
        <v>7814</v>
      </c>
      <c r="H852" s="46" t="s">
        <v>607</v>
      </c>
      <c r="I852" s="46" t="s">
        <v>4237</v>
      </c>
      <c r="J852" s="49" t="s">
        <v>899</v>
      </c>
      <c r="M852" s="64">
        <v>10000</v>
      </c>
      <c r="N852" s="64">
        <v>480000</v>
      </c>
      <c r="O852" s="47" t="s">
        <v>35</v>
      </c>
      <c r="P852" s="47" t="s">
        <v>8494</v>
      </c>
      <c r="Q852" s="62" t="s">
        <v>1612</v>
      </c>
      <c r="R852" s="47" t="s">
        <v>8495</v>
      </c>
      <c r="T852" s="47">
        <v>29</v>
      </c>
      <c r="U852" s="46" t="s">
        <v>491</v>
      </c>
      <c r="V852" s="46"/>
    </row>
    <row r="853" spans="1:22" ht="45" x14ac:dyDescent="0.25">
      <c r="A853" s="61">
        <v>42984</v>
      </c>
      <c r="B853" s="62" t="s">
        <v>1788</v>
      </c>
      <c r="C853" s="46" t="s">
        <v>3369</v>
      </c>
      <c r="D853" s="46" t="s">
        <v>6360</v>
      </c>
      <c r="E853" s="46" t="s">
        <v>588</v>
      </c>
      <c r="F853" s="46" t="s">
        <v>8432</v>
      </c>
      <c r="G853" s="46" t="s">
        <v>8433</v>
      </c>
      <c r="H853" s="46" t="s">
        <v>1391</v>
      </c>
      <c r="I853" s="46" t="s">
        <v>4515</v>
      </c>
      <c r="J853" s="49" t="s">
        <v>3369</v>
      </c>
      <c r="M853" s="64">
        <v>3000000</v>
      </c>
      <c r="O853" s="47" t="s">
        <v>8434</v>
      </c>
      <c r="P853" s="47" t="s">
        <v>8435</v>
      </c>
      <c r="Q853" s="62" t="s">
        <v>1939</v>
      </c>
      <c r="R853" s="47" t="s">
        <v>8436</v>
      </c>
      <c r="T853" s="149">
        <v>15</v>
      </c>
      <c r="U853" s="46" t="s">
        <v>491</v>
      </c>
      <c r="V853" s="46"/>
    </row>
    <row r="854" spans="1:22" ht="60" x14ac:dyDescent="0.25">
      <c r="A854" s="61">
        <v>42984</v>
      </c>
      <c r="B854" s="62" t="s">
        <v>328</v>
      </c>
      <c r="C854" s="46" t="s">
        <v>603</v>
      </c>
      <c r="D854" s="46" t="s">
        <v>649</v>
      </c>
      <c r="E854" s="46" t="s">
        <v>588</v>
      </c>
      <c r="F854" s="46" t="s">
        <v>8549</v>
      </c>
      <c r="G854" s="58" t="s">
        <v>8550</v>
      </c>
      <c r="H854" s="46" t="s">
        <v>8551</v>
      </c>
      <c r="I854" s="46" t="s">
        <v>3959</v>
      </c>
      <c r="J854" s="49" t="s">
        <v>899</v>
      </c>
      <c r="L854" s="63">
        <v>4</v>
      </c>
      <c r="M854" s="64">
        <v>1700000</v>
      </c>
      <c r="N854" s="64">
        <v>2210000</v>
      </c>
      <c r="O854" s="47" t="s">
        <v>560</v>
      </c>
      <c r="P854" s="135" t="s">
        <v>8552</v>
      </c>
      <c r="Q854" s="62" t="s">
        <v>1939</v>
      </c>
      <c r="R854" s="47" t="s">
        <v>8553</v>
      </c>
      <c r="S854" s="47" t="s">
        <v>8554</v>
      </c>
      <c r="U854" s="46" t="s">
        <v>1327</v>
      </c>
      <c r="V854" s="46"/>
    </row>
    <row r="855" spans="1:22" ht="30" x14ac:dyDescent="0.25">
      <c r="A855" s="61">
        <v>42985</v>
      </c>
      <c r="B855" s="62" t="s">
        <v>328</v>
      </c>
      <c r="C855" s="46" t="s">
        <v>603</v>
      </c>
      <c r="D855" s="46" t="s">
        <v>7595</v>
      </c>
      <c r="E855" s="46" t="s">
        <v>588</v>
      </c>
      <c r="F855" s="46" t="s">
        <v>8443</v>
      </c>
      <c r="G855" s="46" t="s">
        <v>8444</v>
      </c>
      <c r="H855" s="46" t="s">
        <v>1391</v>
      </c>
      <c r="I855" s="46" t="s">
        <v>8445</v>
      </c>
      <c r="J855" s="49" t="s">
        <v>899</v>
      </c>
      <c r="L855" s="63">
        <v>3</v>
      </c>
      <c r="M855" s="64">
        <v>2285555</v>
      </c>
      <c r="N855" s="64">
        <v>3885445</v>
      </c>
      <c r="O855" s="47" t="s">
        <v>560</v>
      </c>
      <c r="P855" s="47" t="s">
        <v>8446</v>
      </c>
      <c r="Q855" s="62" t="s">
        <v>592</v>
      </c>
      <c r="T855" s="149">
        <v>18</v>
      </c>
      <c r="U855" s="46" t="s">
        <v>491</v>
      </c>
      <c r="V855" s="46"/>
    </row>
    <row r="856" spans="1:22" ht="156.75" x14ac:dyDescent="0.25">
      <c r="A856" s="61">
        <v>42986</v>
      </c>
      <c r="B856" s="62" t="s">
        <v>328</v>
      </c>
      <c r="C856" s="46" t="s">
        <v>603</v>
      </c>
      <c r="D856" s="46" t="s">
        <v>649</v>
      </c>
      <c r="E856" s="46" t="s">
        <v>588</v>
      </c>
      <c r="F856" s="46" t="s">
        <v>7831</v>
      </c>
      <c r="G856" s="46" t="s">
        <v>8449</v>
      </c>
      <c r="H856" s="46" t="s">
        <v>607</v>
      </c>
      <c r="I856" s="46" t="s">
        <v>3649</v>
      </c>
      <c r="J856" s="49" t="s">
        <v>899</v>
      </c>
      <c r="L856" s="63">
        <v>9</v>
      </c>
      <c r="M856" s="64">
        <v>903000</v>
      </c>
      <c r="N856" s="64">
        <v>1625400</v>
      </c>
      <c r="O856" s="47" t="s">
        <v>560</v>
      </c>
      <c r="P856" s="47" t="s">
        <v>8450</v>
      </c>
      <c r="Q856" s="62" t="s">
        <v>1939</v>
      </c>
      <c r="R856" s="86" t="s">
        <v>8451</v>
      </c>
      <c r="T856" s="47">
        <v>28</v>
      </c>
      <c r="U856" s="46" t="s">
        <v>491</v>
      </c>
      <c r="V856" s="46"/>
    </row>
    <row r="857" spans="1:22" ht="30" x14ac:dyDescent="0.25">
      <c r="A857" s="61">
        <v>42986</v>
      </c>
      <c r="B857" s="62" t="s">
        <v>569</v>
      </c>
      <c r="C857" s="46" t="s">
        <v>899</v>
      </c>
      <c r="D857" s="46" t="s">
        <v>930</v>
      </c>
      <c r="E857" s="46" t="s">
        <v>588</v>
      </c>
      <c r="F857" s="46" t="s">
        <v>195</v>
      </c>
      <c r="G857" s="46" t="s">
        <v>8452</v>
      </c>
      <c r="H857" s="46" t="s">
        <v>607</v>
      </c>
      <c r="I857" s="46" t="s">
        <v>5423</v>
      </c>
      <c r="J857" s="49" t="s">
        <v>899</v>
      </c>
      <c r="L857" s="63">
        <v>4</v>
      </c>
      <c r="M857" s="64">
        <v>2200000</v>
      </c>
      <c r="N857" s="64">
        <v>3200000</v>
      </c>
      <c r="O857" s="47" t="s">
        <v>560</v>
      </c>
      <c r="P857" s="47" t="s">
        <v>8453</v>
      </c>
      <c r="Q857" s="62" t="s">
        <v>592</v>
      </c>
      <c r="R857" s="47" t="s">
        <v>8454</v>
      </c>
      <c r="T857" s="47">
        <v>18</v>
      </c>
      <c r="U857" s="46" t="s">
        <v>491</v>
      </c>
      <c r="V857" s="46"/>
    </row>
    <row r="858" spans="1:22" ht="45" x14ac:dyDescent="0.25">
      <c r="A858" s="61">
        <v>42986</v>
      </c>
      <c r="B858" s="62" t="s">
        <v>5176</v>
      </c>
      <c r="C858" s="46" t="s">
        <v>604</v>
      </c>
      <c r="D858" s="46" t="s">
        <v>2454</v>
      </c>
      <c r="E858" s="46" t="s">
        <v>588</v>
      </c>
      <c r="F858" s="46" t="s">
        <v>8455</v>
      </c>
      <c r="G858" s="46" t="s">
        <v>15</v>
      </c>
      <c r="H858" s="46" t="s">
        <v>3827</v>
      </c>
      <c r="I858" s="46" t="s">
        <v>8456</v>
      </c>
      <c r="J858" s="49" t="s">
        <v>959</v>
      </c>
      <c r="M858" s="64">
        <v>30000</v>
      </c>
      <c r="N858" s="64">
        <v>50000</v>
      </c>
      <c r="O858" s="47" t="s">
        <v>7508</v>
      </c>
      <c r="P858" s="47" t="s">
        <v>8457</v>
      </c>
      <c r="Q858" s="62" t="s">
        <v>1939</v>
      </c>
      <c r="R858" s="47" t="s">
        <v>8458</v>
      </c>
      <c r="T858" s="47">
        <v>14</v>
      </c>
      <c r="U858" s="46" t="s">
        <v>491</v>
      </c>
      <c r="V858" s="46"/>
    </row>
    <row r="859" spans="1:22" ht="120" x14ac:dyDescent="0.25">
      <c r="A859" s="61">
        <v>42986</v>
      </c>
      <c r="B859" s="62" t="s">
        <v>328</v>
      </c>
      <c r="C859" s="46" t="s">
        <v>603</v>
      </c>
      <c r="D859" s="46" t="s">
        <v>8488</v>
      </c>
      <c r="E859" s="46" t="s">
        <v>588</v>
      </c>
      <c r="F859" s="46" t="s">
        <v>8459</v>
      </c>
      <c r="G859" s="46" t="s">
        <v>8460</v>
      </c>
      <c r="H859" s="46" t="s">
        <v>607</v>
      </c>
      <c r="I859" s="46" t="s">
        <v>8461</v>
      </c>
      <c r="J859" s="49" t="s">
        <v>899</v>
      </c>
      <c r="L859" s="63">
        <v>10</v>
      </c>
      <c r="M859" s="64">
        <v>2000000</v>
      </c>
      <c r="N859" s="64">
        <v>3400000</v>
      </c>
      <c r="O859" s="47" t="s">
        <v>560</v>
      </c>
      <c r="P859" s="47" t="s">
        <v>8462</v>
      </c>
      <c r="Q859" s="62" t="s">
        <v>1939</v>
      </c>
      <c r="R859" s="47" t="s">
        <v>8541</v>
      </c>
      <c r="T859" s="47">
        <v>26</v>
      </c>
      <c r="U859" s="46" t="s">
        <v>491</v>
      </c>
      <c r="V859" s="46"/>
    </row>
    <row r="860" spans="1:22" ht="105" x14ac:dyDescent="0.25">
      <c r="A860" s="61">
        <v>42986</v>
      </c>
      <c r="B860" s="62" t="s">
        <v>5176</v>
      </c>
      <c r="C860" s="46" t="s">
        <v>604</v>
      </c>
      <c r="D860" s="46" t="s">
        <v>595</v>
      </c>
      <c r="E860" s="46" t="s">
        <v>588</v>
      </c>
      <c r="F860" s="46" t="s">
        <v>8463</v>
      </c>
      <c r="G860" s="46" t="s">
        <v>8464</v>
      </c>
      <c r="H860" s="46" t="s">
        <v>905</v>
      </c>
      <c r="I860" s="46" t="s">
        <v>8465</v>
      </c>
      <c r="J860" s="49" t="s">
        <v>604</v>
      </c>
      <c r="L860" s="63">
        <v>9</v>
      </c>
      <c r="M860" s="64">
        <v>275000</v>
      </c>
      <c r="N860" s="64">
        <v>330000</v>
      </c>
      <c r="O860" s="47" t="s">
        <v>7074</v>
      </c>
      <c r="P860" s="47" t="s">
        <v>8831</v>
      </c>
      <c r="Q860" s="62" t="s">
        <v>1939</v>
      </c>
      <c r="R860" s="47" t="s">
        <v>8466</v>
      </c>
      <c r="T860" s="47">
        <v>31</v>
      </c>
      <c r="U860" s="46" t="s">
        <v>491</v>
      </c>
      <c r="V860" s="46"/>
    </row>
    <row r="861" spans="1:22" ht="75" x14ac:dyDescent="0.25">
      <c r="A861" s="61">
        <v>42986</v>
      </c>
      <c r="B861" s="62" t="s">
        <v>328</v>
      </c>
      <c r="C861" s="46" t="s">
        <v>603</v>
      </c>
      <c r="D861" s="46" t="s">
        <v>649</v>
      </c>
      <c r="E861" s="46" t="s">
        <v>821</v>
      </c>
      <c r="F861" s="46" t="s">
        <v>8467</v>
      </c>
      <c r="G861" s="46" t="s">
        <v>8468</v>
      </c>
      <c r="H861" s="46" t="s">
        <v>6255</v>
      </c>
      <c r="O861" s="47" t="s">
        <v>8469</v>
      </c>
      <c r="P861" s="47" t="s">
        <v>8470</v>
      </c>
      <c r="Q861" s="62" t="s">
        <v>592</v>
      </c>
      <c r="T861" s="47">
        <v>12</v>
      </c>
      <c r="U861" s="46" t="s">
        <v>491</v>
      </c>
      <c r="V861" s="46"/>
    </row>
    <row r="862" spans="1:22" ht="90" x14ac:dyDescent="0.25">
      <c r="A862" s="61">
        <v>42986</v>
      </c>
      <c r="B862" s="62" t="s">
        <v>569</v>
      </c>
      <c r="C862" s="46" t="s">
        <v>899</v>
      </c>
      <c r="D862" s="46" t="s">
        <v>624</v>
      </c>
      <c r="E862" s="46" t="s">
        <v>821</v>
      </c>
      <c r="F862" s="46" t="s">
        <v>8471</v>
      </c>
      <c r="H862" s="46" t="s">
        <v>886</v>
      </c>
      <c r="O862" s="47" t="s">
        <v>8472</v>
      </c>
      <c r="P862" s="47" t="s">
        <v>8473</v>
      </c>
      <c r="Q862" s="62" t="s">
        <v>592</v>
      </c>
      <c r="T862" s="47">
        <v>10</v>
      </c>
      <c r="U862" s="46" t="s">
        <v>491</v>
      </c>
      <c r="V862" s="46"/>
    </row>
    <row r="863" spans="1:22" ht="45" x14ac:dyDescent="0.25">
      <c r="A863" s="61">
        <v>42986</v>
      </c>
      <c r="B863" s="62" t="s">
        <v>110</v>
      </c>
      <c r="C863" s="46" t="s">
        <v>761</v>
      </c>
      <c r="D863" s="46" t="s">
        <v>4782</v>
      </c>
      <c r="E863" s="46" t="s">
        <v>588</v>
      </c>
      <c r="F863" s="46" t="s">
        <v>7831</v>
      </c>
      <c r="G863" s="46" t="s">
        <v>8474</v>
      </c>
      <c r="H863" s="46" t="s">
        <v>607</v>
      </c>
      <c r="I863" s="46" t="s">
        <v>8475</v>
      </c>
      <c r="J863" s="49" t="s">
        <v>4785</v>
      </c>
      <c r="L863" s="63">
        <v>5</v>
      </c>
      <c r="M863" s="64">
        <v>215000</v>
      </c>
      <c r="N863" s="64">
        <v>408000</v>
      </c>
      <c r="O863" s="47" t="s">
        <v>2934</v>
      </c>
      <c r="P863" s="47" t="s">
        <v>8476</v>
      </c>
      <c r="Q863" s="62" t="s">
        <v>1939</v>
      </c>
      <c r="R863" s="47" t="s">
        <v>8477</v>
      </c>
      <c r="T863" s="47">
        <v>25</v>
      </c>
      <c r="U863" s="46" t="s">
        <v>491</v>
      </c>
      <c r="V863" s="46"/>
    </row>
    <row r="864" spans="1:22" ht="120" x14ac:dyDescent="0.25">
      <c r="A864" s="61">
        <v>42986</v>
      </c>
      <c r="B864" s="62" t="s">
        <v>328</v>
      </c>
      <c r="C864" s="46" t="s">
        <v>603</v>
      </c>
      <c r="D864" s="46" t="s">
        <v>2500</v>
      </c>
      <c r="E864" s="46" t="s">
        <v>588</v>
      </c>
      <c r="F864" s="46" t="s">
        <v>8478</v>
      </c>
      <c r="G864" s="46" t="s">
        <v>2500</v>
      </c>
      <c r="H864" s="46" t="s">
        <v>607</v>
      </c>
      <c r="I864" s="46" t="s">
        <v>8479</v>
      </c>
      <c r="J864" s="49" t="s">
        <v>899</v>
      </c>
      <c r="L864" s="63">
        <v>10</v>
      </c>
      <c r="M864" s="64">
        <v>1100000</v>
      </c>
      <c r="N864" s="64">
        <v>2120000</v>
      </c>
      <c r="O864" s="47" t="s">
        <v>560</v>
      </c>
      <c r="P864" s="47" t="s">
        <v>8480</v>
      </c>
      <c r="Q864" s="62" t="s">
        <v>1939</v>
      </c>
      <c r="R864" s="47" t="s">
        <v>8481</v>
      </c>
      <c r="T864" s="149">
        <v>27</v>
      </c>
      <c r="U864" s="46" t="s">
        <v>491</v>
      </c>
      <c r="V864" s="46"/>
    </row>
    <row r="865" spans="1:22" ht="45" x14ac:dyDescent="0.25">
      <c r="A865" s="61">
        <v>42989</v>
      </c>
      <c r="B865" s="62" t="s">
        <v>569</v>
      </c>
      <c r="C865" s="46" t="s">
        <v>899</v>
      </c>
      <c r="D865" s="46" t="s">
        <v>930</v>
      </c>
      <c r="E865" s="46" t="s">
        <v>588</v>
      </c>
      <c r="F865" s="46" t="s">
        <v>8482</v>
      </c>
      <c r="H865" s="46" t="s">
        <v>607</v>
      </c>
      <c r="I865" s="46" t="s">
        <v>2054</v>
      </c>
      <c r="J865" s="49" t="s">
        <v>899</v>
      </c>
      <c r="L865" s="63">
        <v>4</v>
      </c>
      <c r="M865" s="64">
        <v>3825000</v>
      </c>
      <c r="N865" s="64">
        <v>3825000</v>
      </c>
      <c r="O865" s="47" t="s">
        <v>560</v>
      </c>
      <c r="P865" s="47" t="s">
        <v>8484</v>
      </c>
      <c r="Q865" s="62" t="s">
        <v>1939</v>
      </c>
      <c r="R865" s="47" t="s">
        <v>8483</v>
      </c>
      <c r="T865" s="47">
        <v>18</v>
      </c>
      <c r="U865" s="46" t="s">
        <v>491</v>
      </c>
      <c r="V865" s="46"/>
    </row>
    <row r="866" spans="1:22" ht="105" x14ac:dyDescent="0.25">
      <c r="A866" s="61">
        <v>42989</v>
      </c>
      <c r="B866" s="62" t="s">
        <v>328</v>
      </c>
      <c r="C866" s="46" t="s">
        <v>603</v>
      </c>
      <c r="D866" s="46" t="s">
        <v>5701</v>
      </c>
      <c r="E866" s="46" t="s">
        <v>588</v>
      </c>
      <c r="F866" s="46" t="s">
        <v>8485</v>
      </c>
      <c r="G866" s="46" t="s">
        <v>8486</v>
      </c>
      <c r="H866" s="46" t="s">
        <v>607</v>
      </c>
      <c r="I866" s="46" t="s">
        <v>3814</v>
      </c>
      <c r="J866" s="49" t="s">
        <v>644</v>
      </c>
      <c r="L866" s="63">
        <v>2</v>
      </c>
      <c r="M866" s="64">
        <v>2000000</v>
      </c>
      <c r="N866" s="64">
        <v>3800000</v>
      </c>
      <c r="O866" s="47" t="s">
        <v>35</v>
      </c>
      <c r="P866" s="47" t="s">
        <v>8487</v>
      </c>
      <c r="Q866" s="62" t="s">
        <v>29</v>
      </c>
      <c r="R866" s="47" t="s">
        <v>8493</v>
      </c>
      <c r="T866" s="47">
        <v>32</v>
      </c>
      <c r="U866" s="46" t="s">
        <v>491</v>
      </c>
      <c r="V866" s="46"/>
    </row>
    <row r="867" spans="1:22" ht="75" x14ac:dyDescent="0.25">
      <c r="A867" s="61">
        <v>42989</v>
      </c>
      <c r="B867" s="62" t="s">
        <v>328</v>
      </c>
      <c r="C867" s="46" t="s">
        <v>603</v>
      </c>
      <c r="D867" s="46" t="s">
        <v>1401</v>
      </c>
      <c r="E867" s="46" t="s">
        <v>588</v>
      </c>
      <c r="F867" s="46" t="s">
        <v>8489</v>
      </c>
      <c r="G867" s="46" t="s">
        <v>8490</v>
      </c>
      <c r="H867" s="46" t="s">
        <v>607</v>
      </c>
      <c r="I867" s="46" t="s">
        <v>3710</v>
      </c>
      <c r="J867" s="49" t="s">
        <v>899</v>
      </c>
      <c r="L867" s="63">
        <v>9</v>
      </c>
      <c r="M867" s="64">
        <v>950000</v>
      </c>
      <c r="N867" s="64">
        <v>1900000</v>
      </c>
      <c r="O867" s="47" t="s">
        <v>560</v>
      </c>
      <c r="P867" s="47" t="s">
        <v>8491</v>
      </c>
      <c r="Q867" s="62" t="s">
        <v>1939</v>
      </c>
      <c r="R867" s="47" t="s">
        <v>8492</v>
      </c>
      <c r="T867" s="149">
        <v>24</v>
      </c>
      <c r="U867" s="46" t="s">
        <v>491</v>
      </c>
      <c r="V867" s="46"/>
    </row>
    <row r="868" spans="1:22" ht="45" x14ac:dyDescent="0.25">
      <c r="A868" s="61">
        <v>42990</v>
      </c>
      <c r="B868" s="62" t="s">
        <v>5992</v>
      </c>
      <c r="C868" s="46" t="s">
        <v>608</v>
      </c>
      <c r="D868" s="46" t="s">
        <v>7858</v>
      </c>
      <c r="E868" s="46" t="s">
        <v>588</v>
      </c>
      <c r="F868" s="46" t="s">
        <v>8324</v>
      </c>
      <c r="G868" s="46" t="s">
        <v>8496</v>
      </c>
      <c r="H868" s="46" t="s">
        <v>607</v>
      </c>
      <c r="O868" s="47" t="s">
        <v>7033</v>
      </c>
      <c r="P868" s="47" t="s">
        <v>8497</v>
      </c>
      <c r="Q868" s="62" t="s">
        <v>1939</v>
      </c>
      <c r="R868" s="47" t="s">
        <v>8498</v>
      </c>
      <c r="T868" s="47">
        <v>10</v>
      </c>
      <c r="U868" s="46" t="s">
        <v>491</v>
      </c>
      <c r="V868" s="46"/>
    </row>
    <row r="869" spans="1:22" ht="60" x14ac:dyDescent="0.25">
      <c r="A869" s="61">
        <v>42990</v>
      </c>
      <c r="B869" s="62" t="s">
        <v>328</v>
      </c>
      <c r="C869" s="46" t="s">
        <v>603</v>
      </c>
      <c r="D869" s="46" t="s">
        <v>649</v>
      </c>
      <c r="E869" s="46" t="s">
        <v>588</v>
      </c>
      <c r="F869" s="46" t="s">
        <v>8499</v>
      </c>
      <c r="H869" s="46" t="s">
        <v>1391</v>
      </c>
      <c r="I869" s="46" t="s">
        <v>8500</v>
      </c>
      <c r="J869" s="49" t="s">
        <v>3733</v>
      </c>
      <c r="L869" s="63">
        <v>6</v>
      </c>
      <c r="M869" s="64">
        <v>600000</v>
      </c>
      <c r="N869" s="64">
        <v>1500000</v>
      </c>
      <c r="O869" s="47" t="s">
        <v>7066</v>
      </c>
      <c r="P869" s="47" t="s">
        <v>8501</v>
      </c>
      <c r="Q869" s="62" t="s">
        <v>1939</v>
      </c>
      <c r="T869" s="47">
        <v>26</v>
      </c>
      <c r="U869" s="46" t="s">
        <v>491</v>
      </c>
      <c r="V869" s="46"/>
    </row>
    <row r="870" spans="1:22" ht="30" x14ac:dyDescent="0.25">
      <c r="A870" s="61">
        <v>42990</v>
      </c>
      <c r="B870" s="62" t="s">
        <v>569</v>
      </c>
      <c r="C870" s="46" t="s">
        <v>899</v>
      </c>
      <c r="D870" s="46" t="s">
        <v>930</v>
      </c>
      <c r="E870" s="46" t="s">
        <v>821</v>
      </c>
      <c r="F870" s="46" t="s">
        <v>8502</v>
      </c>
      <c r="J870" s="49" t="s">
        <v>899</v>
      </c>
      <c r="O870" s="47" t="s">
        <v>639</v>
      </c>
      <c r="P870" s="47" t="s">
        <v>8503</v>
      </c>
      <c r="Q870" s="62" t="s">
        <v>29</v>
      </c>
      <c r="R870" s="47" t="s">
        <v>8504</v>
      </c>
      <c r="T870" s="47">
        <v>9</v>
      </c>
      <c r="U870" s="46" t="s">
        <v>491</v>
      </c>
      <c r="V870" s="46"/>
    </row>
    <row r="871" spans="1:22" ht="45" x14ac:dyDescent="0.25">
      <c r="A871" s="61">
        <v>42990</v>
      </c>
      <c r="B871" s="62" t="s">
        <v>569</v>
      </c>
      <c r="C871" s="46" t="s">
        <v>899</v>
      </c>
      <c r="D871" s="46" t="s">
        <v>611</v>
      </c>
      <c r="E871" s="46" t="s">
        <v>588</v>
      </c>
      <c r="F871" s="46" t="s">
        <v>8507</v>
      </c>
      <c r="G871" s="46" t="s">
        <v>8508</v>
      </c>
      <c r="H871" s="46" t="s">
        <v>607</v>
      </c>
      <c r="I871" s="46" t="s">
        <v>2054</v>
      </c>
      <c r="J871" s="49" t="s">
        <v>899</v>
      </c>
      <c r="L871" s="63">
        <v>2</v>
      </c>
      <c r="M871" s="64">
        <v>1922000</v>
      </c>
      <c r="N871" s="64">
        <v>3000000</v>
      </c>
      <c r="O871" s="47" t="s">
        <v>560</v>
      </c>
      <c r="P871" s="47" t="s">
        <v>8509</v>
      </c>
      <c r="Q871" s="62" t="s">
        <v>1939</v>
      </c>
      <c r="R871" s="47" t="s">
        <v>8510</v>
      </c>
      <c r="T871" s="47">
        <v>24</v>
      </c>
      <c r="U871" s="46" t="s">
        <v>491</v>
      </c>
      <c r="V871" s="46"/>
    </row>
    <row r="872" spans="1:22" ht="45" x14ac:dyDescent="0.25">
      <c r="A872" s="61">
        <v>42990</v>
      </c>
      <c r="B872" s="62" t="s">
        <v>569</v>
      </c>
      <c r="C872" s="46" t="s">
        <v>899</v>
      </c>
      <c r="D872" s="46" t="s">
        <v>624</v>
      </c>
      <c r="E872" s="46" t="s">
        <v>821</v>
      </c>
      <c r="F872" s="46" t="s">
        <v>8511</v>
      </c>
      <c r="H872" s="46" t="s">
        <v>4261</v>
      </c>
      <c r="I872" s="46" t="s">
        <v>6061</v>
      </c>
      <c r="J872" s="49" t="s">
        <v>899</v>
      </c>
      <c r="O872" s="47" t="s">
        <v>639</v>
      </c>
      <c r="P872" s="47" t="s">
        <v>8512</v>
      </c>
      <c r="Q872" s="62" t="s">
        <v>1939</v>
      </c>
      <c r="R872" s="47" t="s">
        <v>8513</v>
      </c>
      <c r="T872" s="47">
        <v>7</v>
      </c>
      <c r="U872" s="46" t="s">
        <v>491</v>
      </c>
      <c r="V872" s="46"/>
    </row>
    <row r="873" spans="1:22" ht="45" x14ac:dyDescent="0.25">
      <c r="A873" s="61">
        <v>42990</v>
      </c>
      <c r="B873" s="62" t="s">
        <v>569</v>
      </c>
      <c r="C873" s="46" t="s">
        <v>899</v>
      </c>
      <c r="D873" s="46" t="s">
        <v>930</v>
      </c>
      <c r="E873" s="46" t="s">
        <v>1707</v>
      </c>
      <c r="F873" s="46" t="s">
        <v>8514</v>
      </c>
      <c r="G873" s="46" t="s">
        <v>8515</v>
      </c>
      <c r="H873" s="46" t="s">
        <v>607</v>
      </c>
      <c r="I873" s="46" t="s">
        <v>7517</v>
      </c>
      <c r="J873" s="49" t="s">
        <v>899</v>
      </c>
      <c r="M873" s="64">
        <v>357000</v>
      </c>
      <c r="N873" s="64">
        <v>650000</v>
      </c>
      <c r="O873" s="47" t="s">
        <v>666</v>
      </c>
      <c r="P873" s="47" t="s">
        <v>8516</v>
      </c>
      <c r="Q873" s="62" t="s">
        <v>29</v>
      </c>
      <c r="R873" s="47" t="s">
        <v>8517</v>
      </c>
      <c r="T873" s="47">
        <v>21</v>
      </c>
      <c r="U873" s="46" t="s">
        <v>491</v>
      </c>
      <c r="V873" s="46"/>
    </row>
    <row r="874" spans="1:22" ht="60" x14ac:dyDescent="0.25">
      <c r="A874" s="61">
        <v>42990</v>
      </c>
      <c r="B874" s="62" t="s">
        <v>569</v>
      </c>
      <c r="C874" s="46" t="s">
        <v>899</v>
      </c>
      <c r="D874" s="46" t="s">
        <v>930</v>
      </c>
      <c r="E874" s="46" t="s">
        <v>1707</v>
      </c>
      <c r="F874" s="46" t="s">
        <v>8518</v>
      </c>
      <c r="G874" s="46" t="s">
        <v>8519</v>
      </c>
      <c r="H874" s="46" t="s">
        <v>607</v>
      </c>
      <c r="I874" s="46" t="s">
        <v>8520</v>
      </c>
      <c r="J874" s="49" t="s">
        <v>899</v>
      </c>
      <c r="O874" s="47" t="s">
        <v>695</v>
      </c>
      <c r="P874" s="47" t="s">
        <v>8521</v>
      </c>
      <c r="Q874" s="62" t="s">
        <v>592</v>
      </c>
      <c r="R874" s="47" t="s">
        <v>8522</v>
      </c>
      <c r="T874" s="149">
        <v>18</v>
      </c>
      <c r="U874" s="46" t="s">
        <v>491</v>
      </c>
      <c r="V874" s="46"/>
    </row>
    <row r="875" spans="1:22" ht="60" x14ac:dyDescent="0.25">
      <c r="A875" s="61">
        <v>42991</v>
      </c>
      <c r="B875" s="62" t="s">
        <v>328</v>
      </c>
      <c r="C875" s="46" t="s">
        <v>603</v>
      </c>
      <c r="D875" s="46" t="s">
        <v>649</v>
      </c>
      <c r="E875" s="46" t="s">
        <v>588</v>
      </c>
      <c r="F875" s="46" t="s">
        <v>8523</v>
      </c>
      <c r="G875" s="46" t="s">
        <v>8524</v>
      </c>
      <c r="H875" s="46" t="s">
        <v>607</v>
      </c>
      <c r="I875" s="46" t="s">
        <v>6360</v>
      </c>
      <c r="J875" s="49" t="s">
        <v>3733</v>
      </c>
      <c r="L875" s="63">
        <v>4</v>
      </c>
      <c r="M875" s="64">
        <v>191000</v>
      </c>
      <c r="N875" s="64">
        <v>360000</v>
      </c>
      <c r="O875" s="47" t="s">
        <v>1844</v>
      </c>
      <c r="P875" s="47" t="s">
        <v>8525</v>
      </c>
      <c r="Q875" s="62" t="s">
        <v>29</v>
      </c>
      <c r="R875" s="47" t="s">
        <v>8526</v>
      </c>
      <c r="T875" s="47">
        <v>22</v>
      </c>
      <c r="U875" s="46" t="s">
        <v>491</v>
      </c>
      <c r="V875" s="46"/>
    </row>
    <row r="876" spans="1:22" ht="105" x14ac:dyDescent="0.25">
      <c r="A876" s="61">
        <v>42991</v>
      </c>
      <c r="B876" s="62" t="s">
        <v>110</v>
      </c>
      <c r="C876" s="46" t="s">
        <v>761</v>
      </c>
      <c r="D876" s="46" t="s">
        <v>715</v>
      </c>
      <c r="E876" s="46" t="s">
        <v>8527</v>
      </c>
      <c r="F876" s="46" t="s">
        <v>8528</v>
      </c>
      <c r="G876" s="46" t="s">
        <v>8529</v>
      </c>
      <c r="H876" s="46" t="s">
        <v>607</v>
      </c>
      <c r="I876" s="46" t="s">
        <v>8530</v>
      </c>
      <c r="J876" s="49" t="s">
        <v>4785</v>
      </c>
      <c r="L876" s="63">
        <v>6</v>
      </c>
      <c r="M876" s="64">
        <v>480000</v>
      </c>
      <c r="N876" s="64">
        <v>816000</v>
      </c>
      <c r="O876" s="47" t="s">
        <v>1171</v>
      </c>
      <c r="P876" s="47" t="s">
        <v>8531</v>
      </c>
      <c r="Q876" s="62" t="s">
        <v>1939</v>
      </c>
      <c r="R876" s="47" t="s">
        <v>8532</v>
      </c>
      <c r="T876" s="47">
        <v>23</v>
      </c>
      <c r="U876" s="46" t="s">
        <v>491</v>
      </c>
      <c r="V876" s="46"/>
    </row>
    <row r="877" spans="1:22" ht="45" x14ac:dyDescent="0.25">
      <c r="A877" s="61">
        <v>42991</v>
      </c>
      <c r="B877" s="62" t="s">
        <v>328</v>
      </c>
      <c r="C877" s="46" t="s">
        <v>603</v>
      </c>
      <c r="D877" s="46" t="s">
        <v>672</v>
      </c>
      <c r="E877" s="46" t="s">
        <v>588</v>
      </c>
      <c r="F877" s="46" t="s">
        <v>8256</v>
      </c>
      <c r="G877" s="46" t="s">
        <v>8533</v>
      </c>
      <c r="H877" s="46" t="s">
        <v>607</v>
      </c>
      <c r="I877" s="46" t="s">
        <v>3388</v>
      </c>
      <c r="J877" s="49" t="s">
        <v>899</v>
      </c>
      <c r="M877" s="64">
        <v>1956830</v>
      </c>
      <c r="N877" s="64">
        <v>3618196</v>
      </c>
      <c r="O877" s="47" t="s">
        <v>695</v>
      </c>
      <c r="P877" s="47" t="s">
        <v>8832</v>
      </c>
      <c r="Q877" s="62" t="s">
        <v>29</v>
      </c>
      <c r="R877" s="47" t="s">
        <v>8540</v>
      </c>
      <c r="S877" s="47" t="s">
        <v>8539</v>
      </c>
      <c r="T877" s="47">
        <v>40</v>
      </c>
      <c r="U877" s="46" t="s">
        <v>491</v>
      </c>
      <c r="V877" s="46"/>
    </row>
    <row r="878" spans="1:22" ht="45" x14ac:dyDescent="0.25">
      <c r="A878" s="61">
        <v>42991</v>
      </c>
      <c r="B878" s="62" t="s">
        <v>328</v>
      </c>
      <c r="C878" s="46" t="s">
        <v>603</v>
      </c>
      <c r="D878" s="46" t="s">
        <v>672</v>
      </c>
      <c r="E878" s="46" t="s">
        <v>588</v>
      </c>
      <c r="F878" s="46" t="s">
        <v>8256</v>
      </c>
      <c r="G878" s="46" t="s">
        <v>8533</v>
      </c>
      <c r="H878" s="46" t="s">
        <v>607</v>
      </c>
      <c r="I878" s="46" t="s">
        <v>2054</v>
      </c>
      <c r="J878" s="49" t="s">
        <v>899</v>
      </c>
      <c r="M878" s="64">
        <v>1229823</v>
      </c>
      <c r="N878" s="64">
        <v>2347787</v>
      </c>
      <c r="O878" s="47" t="s">
        <v>695</v>
      </c>
      <c r="P878" s="47" t="s">
        <v>8833</v>
      </c>
      <c r="Q878" s="62" t="s">
        <v>29</v>
      </c>
      <c r="S878" s="47" t="s">
        <v>8539</v>
      </c>
      <c r="T878" s="47">
        <v>41</v>
      </c>
      <c r="U878" s="46" t="s">
        <v>491</v>
      </c>
      <c r="V878" s="46"/>
    </row>
    <row r="879" spans="1:22" ht="75" x14ac:dyDescent="0.25">
      <c r="A879" s="61">
        <v>42991</v>
      </c>
      <c r="B879" s="62" t="s">
        <v>328</v>
      </c>
      <c r="C879" s="46" t="s">
        <v>603</v>
      </c>
      <c r="D879" s="46" t="s">
        <v>1401</v>
      </c>
      <c r="E879" s="46" t="s">
        <v>588</v>
      </c>
      <c r="F879" s="46" t="s">
        <v>467</v>
      </c>
      <c r="G879" s="46" t="s">
        <v>8534</v>
      </c>
      <c r="H879" s="46" t="s">
        <v>6252</v>
      </c>
      <c r="I879" s="46" t="s">
        <v>8535</v>
      </c>
      <c r="J879" s="49" t="s">
        <v>3751</v>
      </c>
      <c r="M879" s="64">
        <v>155000</v>
      </c>
      <c r="N879" s="64">
        <v>159000</v>
      </c>
      <c r="O879" s="47" t="s">
        <v>8536</v>
      </c>
      <c r="P879" s="47" t="s">
        <v>8537</v>
      </c>
      <c r="Q879" s="62" t="s">
        <v>1939</v>
      </c>
      <c r="R879" s="47" t="s">
        <v>8538</v>
      </c>
      <c r="T879" s="149">
        <v>19</v>
      </c>
      <c r="U879" s="46" t="s">
        <v>491</v>
      </c>
      <c r="V879" s="46"/>
    </row>
    <row r="880" spans="1:22" ht="30" x14ac:dyDescent="0.25">
      <c r="A880" s="61">
        <v>42992</v>
      </c>
      <c r="B880" s="62" t="s">
        <v>110</v>
      </c>
      <c r="C880" s="46" t="s">
        <v>761</v>
      </c>
      <c r="D880" s="46" t="s">
        <v>715</v>
      </c>
      <c r="E880" s="46" t="s">
        <v>588</v>
      </c>
      <c r="F880" s="46" t="s">
        <v>8556</v>
      </c>
      <c r="G880" s="46" t="s">
        <v>8556</v>
      </c>
      <c r="H880" s="46" t="s">
        <v>8551</v>
      </c>
      <c r="I880" s="46" t="s">
        <v>8557</v>
      </c>
      <c r="J880" s="49" t="s">
        <v>4785</v>
      </c>
      <c r="L880" s="63">
        <v>9</v>
      </c>
      <c r="M880" s="64">
        <v>463000</v>
      </c>
      <c r="N880" s="64">
        <v>555000</v>
      </c>
      <c r="O880" s="47" t="s">
        <v>7124</v>
      </c>
      <c r="P880" s="47" t="s">
        <v>8558</v>
      </c>
      <c r="Q880" s="62" t="s">
        <v>592</v>
      </c>
      <c r="R880" s="47" t="s">
        <v>8559</v>
      </c>
      <c r="U880" s="46" t="s">
        <v>1327</v>
      </c>
      <c r="V880" s="46"/>
    </row>
    <row r="881" spans="1:23" ht="60" x14ac:dyDescent="0.25">
      <c r="A881" s="61">
        <v>42992</v>
      </c>
      <c r="B881" s="62" t="s">
        <v>643</v>
      </c>
      <c r="C881" s="46" t="s">
        <v>644</v>
      </c>
      <c r="D881" s="46" t="s">
        <v>3132</v>
      </c>
      <c r="E881" s="46" t="s">
        <v>588</v>
      </c>
      <c r="F881" s="46" t="s">
        <v>8560</v>
      </c>
      <c r="H881" s="46" t="s">
        <v>607</v>
      </c>
      <c r="I881" s="46" t="s">
        <v>3649</v>
      </c>
      <c r="J881" s="49" t="s">
        <v>899</v>
      </c>
      <c r="L881" s="63">
        <v>4</v>
      </c>
      <c r="M881" s="64">
        <v>200000</v>
      </c>
      <c r="N881" s="64">
        <v>3150000</v>
      </c>
      <c r="O881" s="47" t="s">
        <v>560</v>
      </c>
      <c r="P881" s="47" t="s">
        <v>8561</v>
      </c>
      <c r="Q881" s="62" t="s">
        <v>592</v>
      </c>
      <c r="T881" s="142">
        <v>21</v>
      </c>
      <c r="U881" s="46" t="s">
        <v>491</v>
      </c>
      <c r="V881" s="46"/>
    </row>
    <row r="882" spans="1:23" ht="45" x14ac:dyDescent="0.25">
      <c r="A882" s="61">
        <v>42992</v>
      </c>
      <c r="B882" s="62" t="s">
        <v>328</v>
      </c>
      <c r="C882" s="46" t="s">
        <v>603</v>
      </c>
      <c r="D882" s="46" t="s">
        <v>649</v>
      </c>
      <c r="E882" s="46" t="s">
        <v>588</v>
      </c>
      <c r="F882" s="46" t="s">
        <v>8626</v>
      </c>
      <c r="G882" s="46" t="s">
        <v>8627</v>
      </c>
      <c r="H882" s="46" t="s">
        <v>607</v>
      </c>
      <c r="O882" s="47" t="s">
        <v>8628</v>
      </c>
      <c r="P882" s="47" t="s">
        <v>8629</v>
      </c>
      <c r="Q882" s="62" t="s">
        <v>29</v>
      </c>
      <c r="R882" s="47" t="s">
        <v>8630</v>
      </c>
      <c r="S882" s="47" t="s">
        <v>8632</v>
      </c>
      <c r="T882" s="149">
        <v>58</v>
      </c>
      <c r="U882" s="46" t="s">
        <v>491</v>
      </c>
      <c r="V882" s="46"/>
    </row>
    <row r="883" spans="1:23" ht="45" x14ac:dyDescent="0.25">
      <c r="A883" s="61">
        <v>42993</v>
      </c>
      <c r="B883" s="62" t="s">
        <v>643</v>
      </c>
      <c r="C883" s="46" t="s">
        <v>644</v>
      </c>
      <c r="D883" s="46" t="s">
        <v>3132</v>
      </c>
      <c r="E883" s="46" t="s">
        <v>588</v>
      </c>
      <c r="F883" s="46" t="s">
        <v>8562</v>
      </c>
      <c r="H883" s="46" t="s">
        <v>8563</v>
      </c>
      <c r="I883" s="46" t="s">
        <v>4399</v>
      </c>
      <c r="J883" s="49" t="s">
        <v>644</v>
      </c>
      <c r="L883" s="63">
        <v>2</v>
      </c>
      <c r="M883" s="64">
        <v>1000000</v>
      </c>
      <c r="N883" s="64">
        <v>1250000</v>
      </c>
      <c r="O883" s="47" t="s">
        <v>560</v>
      </c>
      <c r="P883" s="47" t="s">
        <v>8564</v>
      </c>
      <c r="Q883" s="62" t="s">
        <v>1939</v>
      </c>
      <c r="R883" s="47" t="s">
        <v>8631</v>
      </c>
      <c r="T883" s="47">
        <v>18</v>
      </c>
      <c r="U883" s="46" t="s">
        <v>491</v>
      </c>
      <c r="V883" s="46"/>
    </row>
    <row r="884" spans="1:23" ht="105" x14ac:dyDescent="0.25">
      <c r="A884" s="61">
        <v>42993</v>
      </c>
      <c r="B884" s="62" t="s">
        <v>5176</v>
      </c>
      <c r="C884" s="46" t="s">
        <v>604</v>
      </c>
      <c r="D884" s="46" t="s">
        <v>595</v>
      </c>
      <c r="E884" s="46" t="s">
        <v>588</v>
      </c>
      <c r="F884" s="46" t="s">
        <v>384</v>
      </c>
      <c r="G884" s="46" t="s">
        <v>8565</v>
      </c>
      <c r="H884" s="46" t="s">
        <v>607</v>
      </c>
      <c r="I884" s="46" t="s">
        <v>8566</v>
      </c>
      <c r="J884" s="49" t="s">
        <v>604</v>
      </c>
      <c r="L884" s="63">
        <v>9</v>
      </c>
      <c r="M884" s="64">
        <v>650000</v>
      </c>
      <c r="N884" s="64">
        <v>655000</v>
      </c>
      <c r="O884" s="47" t="s">
        <v>1844</v>
      </c>
      <c r="P884" s="47" t="s">
        <v>8567</v>
      </c>
      <c r="Q884" s="62" t="s">
        <v>29</v>
      </c>
      <c r="R884" s="47" t="s">
        <v>8568</v>
      </c>
      <c r="S884" s="47" t="s">
        <v>8569</v>
      </c>
      <c r="T884" s="47">
        <v>26</v>
      </c>
      <c r="U884" s="46" t="s">
        <v>491</v>
      </c>
      <c r="V884" s="46"/>
    </row>
    <row r="885" spans="1:23" ht="30" x14ac:dyDescent="0.25">
      <c r="A885" s="61">
        <v>42993</v>
      </c>
      <c r="B885" s="62" t="s">
        <v>328</v>
      </c>
      <c r="C885" s="46" t="s">
        <v>603</v>
      </c>
      <c r="D885" s="46" t="s">
        <v>649</v>
      </c>
      <c r="E885" s="46" t="s">
        <v>588</v>
      </c>
      <c r="F885" s="46" t="s">
        <v>8570</v>
      </c>
      <c r="G885" s="46" t="s">
        <v>7814</v>
      </c>
      <c r="H885" s="46" t="s">
        <v>607</v>
      </c>
      <c r="I885" s="46" t="s">
        <v>3672</v>
      </c>
      <c r="J885" s="49" t="s">
        <v>899</v>
      </c>
      <c r="L885" s="63">
        <v>2</v>
      </c>
      <c r="M885" s="64">
        <v>3000000</v>
      </c>
      <c r="N885" s="64">
        <v>5000000</v>
      </c>
      <c r="O885" s="47" t="s">
        <v>560</v>
      </c>
      <c r="P885" s="47" t="s">
        <v>8571</v>
      </c>
      <c r="Q885" s="62" t="s">
        <v>1939</v>
      </c>
      <c r="R885" s="47" t="s">
        <v>8572</v>
      </c>
      <c r="T885" s="47">
        <v>19</v>
      </c>
      <c r="U885" s="46" t="s">
        <v>491</v>
      </c>
      <c r="V885" s="46"/>
    </row>
    <row r="886" spans="1:23" ht="60" x14ac:dyDescent="0.25">
      <c r="A886" s="61">
        <v>42993</v>
      </c>
      <c r="B886" s="62" t="s">
        <v>5360</v>
      </c>
      <c r="C886" s="46" t="s">
        <v>899</v>
      </c>
      <c r="D886" s="46" t="s">
        <v>1027</v>
      </c>
      <c r="E886" s="46" t="s">
        <v>821</v>
      </c>
      <c r="F886" s="46" t="s">
        <v>8573</v>
      </c>
      <c r="G886" s="46" t="s">
        <v>8574</v>
      </c>
      <c r="H886" s="46" t="s">
        <v>607</v>
      </c>
      <c r="I886" s="46" t="s">
        <v>4042</v>
      </c>
      <c r="J886" s="49" t="s">
        <v>899</v>
      </c>
      <c r="O886" s="47" t="s">
        <v>3107</v>
      </c>
      <c r="P886" s="47" t="s">
        <v>8575</v>
      </c>
      <c r="Q886" s="62" t="s">
        <v>1939</v>
      </c>
      <c r="R886" s="47" t="s">
        <v>8576</v>
      </c>
      <c r="T886" s="47">
        <v>14</v>
      </c>
      <c r="U886" s="46" t="s">
        <v>491</v>
      </c>
      <c r="V886" s="46"/>
    </row>
    <row r="887" spans="1:23" ht="45" x14ac:dyDescent="0.25">
      <c r="A887" s="61">
        <v>42993</v>
      </c>
      <c r="B887" s="62" t="s">
        <v>569</v>
      </c>
      <c r="C887" s="46" t="s">
        <v>899</v>
      </c>
      <c r="D887" s="46" t="s">
        <v>930</v>
      </c>
      <c r="E887" s="46" t="s">
        <v>821</v>
      </c>
      <c r="F887" s="46" t="s">
        <v>8577</v>
      </c>
      <c r="H887" s="46" t="s">
        <v>607</v>
      </c>
      <c r="M887" s="64">
        <v>380000</v>
      </c>
      <c r="O887" s="47" t="s">
        <v>5611</v>
      </c>
      <c r="P887" s="47" t="s">
        <v>8578</v>
      </c>
      <c r="Q887" s="62" t="s">
        <v>592</v>
      </c>
      <c r="R887" s="47" t="s">
        <v>8579</v>
      </c>
      <c r="T887" s="47">
        <v>13</v>
      </c>
      <c r="U887" s="46" t="s">
        <v>491</v>
      </c>
      <c r="V887" s="46"/>
    </row>
    <row r="888" spans="1:23" ht="45" x14ac:dyDescent="0.25">
      <c r="A888" s="61">
        <v>42993</v>
      </c>
      <c r="B888" s="62" t="s">
        <v>328</v>
      </c>
      <c r="C888" s="46" t="s">
        <v>603</v>
      </c>
      <c r="D888" s="46" t="s">
        <v>649</v>
      </c>
      <c r="E888" s="46" t="s">
        <v>588</v>
      </c>
      <c r="F888" s="46" t="s">
        <v>7990</v>
      </c>
      <c r="G888" s="46" t="s">
        <v>8580</v>
      </c>
      <c r="H888" s="46" t="s">
        <v>607</v>
      </c>
      <c r="I888" s="46" t="s">
        <v>8581</v>
      </c>
      <c r="J888" s="49" t="s">
        <v>3533</v>
      </c>
      <c r="L888" s="63">
        <v>2</v>
      </c>
      <c r="M888" s="64">
        <v>80000</v>
      </c>
      <c r="N888" s="64">
        <v>140000</v>
      </c>
      <c r="O888" s="47" t="s">
        <v>8582</v>
      </c>
      <c r="P888" s="47" t="s">
        <v>8583</v>
      </c>
      <c r="Q888" s="62" t="s">
        <v>29</v>
      </c>
      <c r="R888" s="47" t="s">
        <v>8584</v>
      </c>
      <c r="S888" s="47" t="s">
        <v>8585</v>
      </c>
      <c r="T888" s="47">
        <v>28</v>
      </c>
      <c r="U888" s="46" t="s">
        <v>491</v>
      </c>
      <c r="V888" s="46"/>
    </row>
    <row r="889" spans="1:23" ht="228" customHeight="1" x14ac:dyDescent="0.25">
      <c r="A889" s="61">
        <v>42993</v>
      </c>
      <c r="B889" s="62" t="s">
        <v>5176</v>
      </c>
      <c r="C889" s="46" t="s">
        <v>604</v>
      </c>
      <c r="D889" s="46" t="s">
        <v>595</v>
      </c>
      <c r="E889" s="46" t="s">
        <v>588</v>
      </c>
      <c r="F889" s="46" t="s">
        <v>240</v>
      </c>
      <c r="G889" s="46" t="s">
        <v>4818</v>
      </c>
      <c r="H889" s="46" t="s">
        <v>809</v>
      </c>
      <c r="I889" s="46" t="s">
        <v>8586</v>
      </c>
      <c r="J889" s="49" t="s">
        <v>959</v>
      </c>
      <c r="M889" s="64">
        <v>570000</v>
      </c>
      <c r="N889" s="64">
        <v>595000</v>
      </c>
      <c r="O889" s="47" t="s">
        <v>639</v>
      </c>
      <c r="P889" s="47" t="s">
        <v>8587</v>
      </c>
      <c r="Q889" s="62" t="s">
        <v>29</v>
      </c>
      <c r="R889" s="89" t="s">
        <v>8588</v>
      </c>
      <c r="T889" s="149">
        <v>31</v>
      </c>
      <c r="U889" s="46" t="s">
        <v>491</v>
      </c>
      <c r="V889" s="46"/>
    </row>
    <row r="890" spans="1:23" ht="60" x14ac:dyDescent="0.25">
      <c r="A890" s="61">
        <v>42996</v>
      </c>
      <c r="B890" s="62" t="s">
        <v>328</v>
      </c>
      <c r="C890" s="46" t="s">
        <v>603</v>
      </c>
      <c r="D890" s="46" t="s">
        <v>649</v>
      </c>
      <c r="E890" s="46" t="s">
        <v>588</v>
      </c>
      <c r="F890" s="46" t="s">
        <v>8589</v>
      </c>
      <c r="G890" s="46" t="s">
        <v>8590</v>
      </c>
      <c r="H890" s="46" t="s">
        <v>886</v>
      </c>
      <c r="I890" s="46" t="s">
        <v>8591</v>
      </c>
      <c r="J890" s="49" t="s">
        <v>3371</v>
      </c>
      <c r="L890" s="63">
        <v>3</v>
      </c>
      <c r="M890" s="64">
        <v>422500</v>
      </c>
      <c r="N890" s="64">
        <v>465000</v>
      </c>
      <c r="O890" s="47" t="s">
        <v>8592</v>
      </c>
      <c r="P890" s="47" t="s">
        <v>8593</v>
      </c>
      <c r="Q890" s="62" t="s">
        <v>29</v>
      </c>
      <c r="R890" s="47" t="s">
        <v>8595</v>
      </c>
      <c r="S890" s="47" t="s">
        <v>8594</v>
      </c>
      <c r="T890" s="47">
        <v>51</v>
      </c>
      <c r="U890" s="46" t="s">
        <v>491</v>
      </c>
      <c r="V890" s="46"/>
    </row>
    <row r="891" spans="1:23" ht="90" x14ac:dyDescent="0.25">
      <c r="A891" s="61">
        <v>42996</v>
      </c>
      <c r="B891" s="62" t="s">
        <v>569</v>
      </c>
      <c r="C891" s="46" t="s">
        <v>899</v>
      </c>
      <c r="D891" s="46" t="s">
        <v>625</v>
      </c>
      <c r="E891" s="46" t="s">
        <v>821</v>
      </c>
      <c r="F891" s="46" t="s">
        <v>8596</v>
      </c>
      <c r="H891" s="46" t="s">
        <v>905</v>
      </c>
      <c r="I891" s="46" t="s">
        <v>4237</v>
      </c>
      <c r="J891" s="49" t="s">
        <v>899</v>
      </c>
      <c r="O891" s="47" t="s">
        <v>5291</v>
      </c>
      <c r="P891" s="47" t="s">
        <v>8597</v>
      </c>
      <c r="Q891" s="62" t="s">
        <v>592</v>
      </c>
      <c r="R891" s="47" t="s">
        <v>8616</v>
      </c>
      <c r="T891" s="47">
        <v>35</v>
      </c>
      <c r="U891" s="46" t="s">
        <v>491</v>
      </c>
      <c r="V891" s="46"/>
    </row>
    <row r="892" spans="1:23" ht="90" x14ac:dyDescent="0.25">
      <c r="A892" s="61">
        <v>42996</v>
      </c>
      <c r="B892" s="62" t="s">
        <v>643</v>
      </c>
      <c r="C892" s="46" t="s">
        <v>644</v>
      </c>
      <c r="D892" s="46" t="s">
        <v>645</v>
      </c>
      <c r="E892" s="46" t="s">
        <v>588</v>
      </c>
      <c r="F892" s="46" t="s">
        <v>346</v>
      </c>
      <c r="G892" s="46" t="s">
        <v>8598</v>
      </c>
      <c r="H892" s="46" t="s">
        <v>607</v>
      </c>
      <c r="I892" s="46" t="s">
        <v>5212</v>
      </c>
      <c r="J892" s="49" t="s">
        <v>644</v>
      </c>
      <c r="L892" s="63">
        <v>2</v>
      </c>
      <c r="M892" s="64">
        <v>2273000</v>
      </c>
      <c r="N892" s="64">
        <v>4273000</v>
      </c>
      <c r="O892" s="47" t="s">
        <v>560</v>
      </c>
      <c r="P892" s="47" t="s">
        <v>8599</v>
      </c>
      <c r="Q892" s="62" t="s">
        <v>1939</v>
      </c>
      <c r="R892" s="47" t="s">
        <v>8604</v>
      </c>
      <c r="T892" s="47">
        <v>40</v>
      </c>
      <c r="U892" s="46" t="s">
        <v>491</v>
      </c>
      <c r="V892" s="46"/>
    </row>
    <row r="893" spans="1:23" ht="90" x14ac:dyDescent="0.25">
      <c r="A893" s="61">
        <v>42996</v>
      </c>
      <c r="B893" s="62" t="s">
        <v>569</v>
      </c>
      <c r="C893" s="46" t="s">
        <v>899</v>
      </c>
      <c r="D893" s="46" t="s">
        <v>930</v>
      </c>
      <c r="E893" s="46" t="s">
        <v>1707</v>
      </c>
      <c r="F893" s="46" t="s">
        <v>8600</v>
      </c>
      <c r="G893" s="46" t="s">
        <v>8601</v>
      </c>
      <c r="H893" s="46" t="s">
        <v>607</v>
      </c>
      <c r="I893" s="46" t="s">
        <v>8602</v>
      </c>
      <c r="J893" s="49" t="s">
        <v>899</v>
      </c>
      <c r="L893" s="63">
        <v>4</v>
      </c>
      <c r="M893" s="64">
        <v>2800000</v>
      </c>
      <c r="N893" s="64">
        <v>3080000</v>
      </c>
      <c r="O893" s="47" t="s">
        <v>8603</v>
      </c>
      <c r="P893" s="47" t="s">
        <v>8605</v>
      </c>
      <c r="Q893" s="62" t="s">
        <v>1939</v>
      </c>
      <c r="T893" s="149">
        <v>23</v>
      </c>
      <c r="U893" s="46" t="s">
        <v>491</v>
      </c>
      <c r="V893" s="139" t="s">
        <v>833</v>
      </c>
      <c r="W893" s="47" t="s">
        <v>833</v>
      </c>
    </row>
    <row r="894" spans="1:23" ht="153.75" x14ac:dyDescent="0.25">
      <c r="A894" s="61">
        <v>42997</v>
      </c>
      <c r="B894" s="62" t="s">
        <v>328</v>
      </c>
      <c r="C894" s="46" t="s">
        <v>603</v>
      </c>
      <c r="D894" s="46" t="s">
        <v>649</v>
      </c>
      <c r="E894" s="46" t="s">
        <v>588</v>
      </c>
      <c r="F894" s="46" t="s">
        <v>8606</v>
      </c>
      <c r="G894" s="46" t="s">
        <v>8607</v>
      </c>
      <c r="H894" s="46" t="s">
        <v>607</v>
      </c>
      <c r="I894" s="46" t="s">
        <v>3408</v>
      </c>
      <c r="J894" s="49" t="s">
        <v>3371</v>
      </c>
      <c r="L894" s="63">
        <v>6</v>
      </c>
      <c r="M894" s="64">
        <v>470000</v>
      </c>
      <c r="O894" s="47" t="s">
        <v>3107</v>
      </c>
      <c r="P894" s="47" t="s">
        <v>8608</v>
      </c>
      <c r="Q894" s="62" t="s">
        <v>620</v>
      </c>
      <c r="R894" s="88" t="s">
        <v>8834</v>
      </c>
      <c r="T894" s="47">
        <v>43</v>
      </c>
      <c r="U894" s="46" t="s">
        <v>491</v>
      </c>
      <c r="V894" s="46"/>
    </row>
    <row r="895" spans="1:23" ht="45" x14ac:dyDescent="0.25">
      <c r="A895" s="61">
        <v>42997</v>
      </c>
      <c r="B895" s="62" t="s">
        <v>569</v>
      </c>
      <c r="C895" s="46" t="s">
        <v>899</v>
      </c>
      <c r="D895" s="46" t="s">
        <v>930</v>
      </c>
      <c r="E895" s="46" t="s">
        <v>821</v>
      </c>
      <c r="F895" s="46" t="s">
        <v>8609</v>
      </c>
      <c r="J895" s="49" t="s">
        <v>899</v>
      </c>
      <c r="M895" s="64">
        <v>1200000</v>
      </c>
      <c r="O895" s="47" t="s">
        <v>7074</v>
      </c>
      <c r="P895" s="47" t="s">
        <v>8610</v>
      </c>
      <c r="Q895" s="62" t="s">
        <v>592</v>
      </c>
      <c r="R895" s="47" t="s">
        <v>8611</v>
      </c>
      <c r="T895" s="47">
        <v>5</v>
      </c>
      <c r="U895" s="46" t="s">
        <v>491</v>
      </c>
      <c r="V895" s="46"/>
    </row>
    <row r="896" spans="1:23" ht="30" x14ac:dyDescent="0.25">
      <c r="A896" s="61">
        <v>42997</v>
      </c>
      <c r="B896" s="62" t="s">
        <v>569</v>
      </c>
      <c r="C896" s="46" t="s">
        <v>899</v>
      </c>
      <c r="D896" s="46" t="s">
        <v>930</v>
      </c>
      <c r="E896" s="46" t="s">
        <v>1707</v>
      </c>
      <c r="F896" s="46" t="s">
        <v>8612</v>
      </c>
      <c r="G896" s="46" t="s">
        <v>8613</v>
      </c>
      <c r="H896" s="46" t="s">
        <v>607</v>
      </c>
      <c r="I896" s="46" t="s">
        <v>2054</v>
      </c>
      <c r="J896" s="49" t="s">
        <v>899</v>
      </c>
      <c r="L896" s="63">
        <v>4</v>
      </c>
      <c r="M896" s="64">
        <v>835000</v>
      </c>
      <c r="O896" s="47" t="s">
        <v>666</v>
      </c>
      <c r="P896" s="47" t="s">
        <v>8614</v>
      </c>
      <c r="Q896" s="62" t="s">
        <v>1939</v>
      </c>
      <c r="R896" s="47" t="s">
        <v>8615</v>
      </c>
      <c r="T896" s="47">
        <v>15</v>
      </c>
      <c r="U896" s="46" t="s">
        <v>491</v>
      </c>
      <c r="V896" s="46"/>
    </row>
    <row r="897" spans="1:22" ht="120" x14ac:dyDescent="0.25">
      <c r="A897" s="61">
        <v>42997</v>
      </c>
      <c r="B897" s="62" t="s">
        <v>569</v>
      </c>
      <c r="C897" s="46" t="s">
        <v>899</v>
      </c>
      <c r="D897" s="46" t="s">
        <v>930</v>
      </c>
      <c r="E897" s="46" t="s">
        <v>821</v>
      </c>
      <c r="F897" s="46" t="s">
        <v>6744</v>
      </c>
      <c r="H897" s="46" t="s">
        <v>607</v>
      </c>
      <c r="J897" s="49" t="s">
        <v>899</v>
      </c>
      <c r="M897" s="64">
        <v>340000</v>
      </c>
      <c r="O897" s="47" t="s">
        <v>1171</v>
      </c>
      <c r="P897" s="47" t="s">
        <v>8617</v>
      </c>
      <c r="Q897" s="62" t="s">
        <v>620</v>
      </c>
      <c r="R897" s="47" t="s">
        <v>8835</v>
      </c>
      <c r="T897" s="149">
        <v>12</v>
      </c>
      <c r="U897" s="46" t="s">
        <v>491</v>
      </c>
      <c r="V897" s="46"/>
    </row>
    <row r="898" spans="1:22" ht="60" x14ac:dyDescent="0.25">
      <c r="A898" s="61">
        <v>42998</v>
      </c>
      <c r="B898" s="62" t="s">
        <v>328</v>
      </c>
      <c r="C898" s="46" t="s">
        <v>899</v>
      </c>
      <c r="D898" s="46" t="s">
        <v>649</v>
      </c>
      <c r="E898" s="46" t="s">
        <v>588</v>
      </c>
      <c r="F898" s="46" t="s">
        <v>8618</v>
      </c>
      <c r="G898" s="46" t="s">
        <v>8619</v>
      </c>
      <c r="H898" s="46" t="s">
        <v>607</v>
      </c>
      <c r="I898" s="46" t="s">
        <v>5508</v>
      </c>
      <c r="J898" s="49" t="s">
        <v>5509</v>
      </c>
      <c r="L898" s="63">
        <v>2</v>
      </c>
      <c r="M898" s="64">
        <v>2518000</v>
      </c>
      <c r="N898" s="64">
        <v>4784200</v>
      </c>
      <c r="O898" s="47" t="s">
        <v>1171</v>
      </c>
      <c r="P898" s="47" t="s">
        <v>8620</v>
      </c>
      <c r="Q898" s="62" t="s">
        <v>592</v>
      </c>
      <c r="R898" s="47" t="s">
        <v>8621</v>
      </c>
      <c r="T898" s="47">
        <v>24</v>
      </c>
      <c r="U898" s="46" t="s">
        <v>491</v>
      </c>
      <c r="V898" s="46"/>
    </row>
    <row r="899" spans="1:22" ht="60" x14ac:dyDescent="0.25">
      <c r="A899" s="61">
        <v>42998</v>
      </c>
      <c r="B899" s="62" t="s">
        <v>569</v>
      </c>
      <c r="C899" s="46" t="s">
        <v>899</v>
      </c>
      <c r="D899" s="46" t="s">
        <v>625</v>
      </c>
      <c r="E899" s="46" t="s">
        <v>588</v>
      </c>
      <c r="F899" s="46" t="s">
        <v>8622</v>
      </c>
      <c r="G899" s="46" t="s">
        <v>8623</v>
      </c>
      <c r="H899" s="46" t="s">
        <v>886</v>
      </c>
      <c r="I899" s="46" t="s">
        <v>3388</v>
      </c>
      <c r="J899" s="49" t="s">
        <v>899</v>
      </c>
      <c r="L899" s="63">
        <v>1</v>
      </c>
      <c r="M899" s="64">
        <v>3000000</v>
      </c>
      <c r="N899" s="64">
        <v>3300000</v>
      </c>
      <c r="O899" s="47" t="s">
        <v>560</v>
      </c>
      <c r="P899" s="47" t="s">
        <v>8624</v>
      </c>
      <c r="Q899" s="62" t="s">
        <v>1939</v>
      </c>
      <c r="R899" s="47" t="s">
        <v>8625</v>
      </c>
      <c r="T899" s="47">
        <v>22</v>
      </c>
      <c r="U899" s="46" t="s">
        <v>491</v>
      </c>
      <c r="V899" s="46"/>
    </row>
    <row r="900" spans="1:22" ht="105" x14ac:dyDescent="0.25">
      <c r="A900" s="61">
        <v>42998</v>
      </c>
      <c r="B900" s="62" t="s">
        <v>643</v>
      </c>
      <c r="C900" s="46" t="s">
        <v>644</v>
      </c>
      <c r="D900" s="46" t="s">
        <v>645</v>
      </c>
      <c r="E900" s="46" t="s">
        <v>588</v>
      </c>
      <c r="F900" s="46" t="s">
        <v>8634</v>
      </c>
      <c r="G900" s="46" t="s">
        <v>8635</v>
      </c>
      <c r="H900" s="46" t="s">
        <v>5991</v>
      </c>
      <c r="I900" s="46" t="s">
        <v>8636</v>
      </c>
      <c r="J900" s="49" t="s">
        <v>644</v>
      </c>
      <c r="L900" s="63">
        <v>10</v>
      </c>
      <c r="M900" s="64">
        <v>3243600</v>
      </c>
      <c r="N900" s="64">
        <v>4742440</v>
      </c>
      <c r="O900" s="47" t="s">
        <v>560</v>
      </c>
      <c r="P900" s="47" t="s">
        <v>8633</v>
      </c>
      <c r="Q900" s="62" t="s">
        <v>1939</v>
      </c>
      <c r="R900" s="47" t="s">
        <v>8678</v>
      </c>
      <c r="S900" s="47" t="s">
        <v>8679</v>
      </c>
      <c r="T900" s="149">
        <v>44</v>
      </c>
      <c r="U900" s="46" t="s">
        <v>491</v>
      </c>
      <c r="V900" s="46"/>
    </row>
    <row r="901" spans="1:22" ht="75" x14ac:dyDescent="0.25">
      <c r="A901" s="165">
        <v>42999</v>
      </c>
      <c r="B901" s="62" t="s">
        <v>5473</v>
      </c>
      <c r="C901" s="46" t="s">
        <v>608</v>
      </c>
      <c r="D901" s="46" t="s">
        <v>2346</v>
      </c>
      <c r="E901" s="46" t="s">
        <v>588</v>
      </c>
      <c r="F901" s="46" t="s">
        <v>8637</v>
      </c>
      <c r="G901" s="46" t="s">
        <v>8638</v>
      </c>
      <c r="H901" s="46" t="s">
        <v>886</v>
      </c>
      <c r="I901" s="46" t="s">
        <v>3809</v>
      </c>
      <c r="J901" s="49" t="s">
        <v>602</v>
      </c>
      <c r="O901" s="47" t="s">
        <v>5739</v>
      </c>
      <c r="P901" s="47" t="s">
        <v>8639</v>
      </c>
      <c r="Q901" s="62" t="s">
        <v>1939</v>
      </c>
      <c r="R901" s="47" t="s">
        <v>8640</v>
      </c>
      <c r="T901" s="47">
        <v>32</v>
      </c>
      <c r="U901" s="46" t="s">
        <v>491</v>
      </c>
      <c r="V901" s="46"/>
    </row>
    <row r="902" spans="1:22" ht="75" x14ac:dyDescent="0.25">
      <c r="A902" s="165">
        <v>42999</v>
      </c>
      <c r="B902" s="62" t="s">
        <v>569</v>
      </c>
      <c r="C902" s="46" t="s">
        <v>899</v>
      </c>
      <c r="D902" s="46" t="s">
        <v>930</v>
      </c>
      <c r="E902" s="46" t="s">
        <v>821</v>
      </c>
      <c r="F902" s="46" t="s">
        <v>8641</v>
      </c>
      <c r="H902" s="46" t="s">
        <v>905</v>
      </c>
      <c r="I902" s="46" t="s">
        <v>2054</v>
      </c>
      <c r="J902" s="49" t="s">
        <v>899</v>
      </c>
      <c r="O902" s="47" t="s">
        <v>2527</v>
      </c>
      <c r="P902" s="47" t="s">
        <v>8642</v>
      </c>
      <c r="Q902" s="62" t="s">
        <v>1939</v>
      </c>
      <c r="R902" s="47" t="s">
        <v>8643</v>
      </c>
      <c r="T902" s="47">
        <v>14</v>
      </c>
      <c r="U902" s="46" t="s">
        <v>491</v>
      </c>
      <c r="V902" s="46"/>
    </row>
    <row r="903" spans="1:22" ht="45" x14ac:dyDescent="0.25">
      <c r="A903" s="165">
        <v>42999</v>
      </c>
      <c r="B903" s="62" t="s">
        <v>328</v>
      </c>
      <c r="C903" s="46" t="s">
        <v>603</v>
      </c>
      <c r="D903" s="46" t="s">
        <v>649</v>
      </c>
      <c r="E903" s="46" t="s">
        <v>588</v>
      </c>
      <c r="F903" s="46" t="s">
        <v>8644</v>
      </c>
      <c r="G903" s="46" t="s">
        <v>8645</v>
      </c>
      <c r="H903" s="46" t="s">
        <v>5514</v>
      </c>
      <c r="I903" s="46" t="s">
        <v>5212</v>
      </c>
      <c r="J903" s="49" t="s">
        <v>644</v>
      </c>
      <c r="M903" s="64">
        <v>156000</v>
      </c>
      <c r="N903" s="64">
        <v>320000</v>
      </c>
      <c r="O903" s="47" t="s">
        <v>1171</v>
      </c>
      <c r="P903" s="47" t="s">
        <v>8646</v>
      </c>
      <c r="Q903" s="62" t="s">
        <v>592</v>
      </c>
      <c r="T903" s="47">
        <v>18</v>
      </c>
      <c r="U903" s="46" t="s">
        <v>491</v>
      </c>
      <c r="V903" s="46"/>
    </row>
    <row r="904" spans="1:22" ht="75" x14ac:dyDescent="0.25">
      <c r="A904" s="165">
        <v>42999</v>
      </c>
      <c r="B904" s="62" t="s">
        <v>328</v>
      </c>
      <c r="C904" s="46" t="s">
        <v>603</v>
      </c>
      <c r="D904" s="46" t="s">
        <v>649</v>
      </c>
      <c r="E904" s="46" t="s">
        <v>588</v>
      </c>
      <c r="F904" s="46" t="s">
        <v>8647</v>
      </c>
      <c r="G904" s="46" t="s">
        <v>8648</v>
      </c>
      <c r="H904" s="46" t="s">
        <v>1391</v>
      </c>
      <c r="I904" s="46" t="s">
        <v>8649</v>
      </c>
      <c r="J904" s="49" t="s">
        <v>5509</v>
      </c>
      <c r="L904" s="63">
        <v>3</v>
      </c>
      <c r="M904" s="64">
        <v>1000000</v>
      </c>
      <c r="N904" s="64">
        <v>1200000</v>
      </c>
      <c r="O904" s="47" t="s">
        <v>8219</v>
      </c>
      <c r="P904" s="47" t="s">
        <v>8836</v>
      </c>
      <c r="Q904" s="62" t="s">
        <v>29</v>
      </c>
      <c r="R904" s="47" t="s">
        <v>8677</v>
      </c>
      <c r="T904" s="47">
        <v>22</v>
      </c>
      <c r="U904" s="46" t="s">
        <v>491</v>
      </c>
      <c r="V904" s="46"/>
    </row>
    <row r="905" spans="1:22" ht="105" x14ac:dyDescent="0.25">
      <c r="A905" s="165">
        <v>42999</v>
      </c>
      <c r="B905" s="62" t="s">
        <v>643</v>
      </c>
      <c r="C905" s="46" t="s">
        <v>644</v>
      </c>
      <c r="D905" s="46" t="s">
        <v>645</v>
      </c>
      <c r="E905" s="46" t="s">
        <v>821</v>
      </c>
      <c r="F905" s="46" t="s">
        <v>8650</v>
      </c>
      <c r="G905" s="46" t="s">
        <v>8651</v>
      </c>
      <c r="H905" s="46" t="s">
        <v>607</v>
      </c>
      <c r="I905" s="46" t="s">
        <v>5546</v>
      </c>
      <c r="J905" s="49" t="s">
        <v>644</v>
      </c>
      <c r="M905" s="64">
        <v>540000</v>
      </c>
      <c r="O905" s="47" t="s">
        <v>754</v>
      </c>
      <c r="P905" s="47" t="s">
        <v>8837</v>
      </c>
      <c r="Q905" s="62" t="s">
        <v>1939</v>
      </c>
      <c r="R905" s="47" t="s">
        <v>8652</v>
      </c>
      <c r="T905" s="47">
        <v>10</v>
      </c>
      <c r="U905" s="46" t="s">
        <v>491</v>
      </c>
      <c r="V905" s="46"/>
    </row>
    <row r="906" spans="1:22" ht="60" x14ac:dyDescent="0.25">
      <c r="A906" s="165">
        <v>42999</v>
      </c>
      <c r="B906" s="62" t="s">
        <v>328</v>
      </c>
      <c r="C906" s="46" t="s">
        <v>603</v>
      </c>
      <c r="D906" s="46" t="s">
        <v>649</v>
      </c>
      <c r="E906" s="46" t="s">
        <v>588</v>
      </c>
      <c r="F906" s="46" t="s">
        <v>8653</v>
      </c>
      <c r="H906" s="46" t="s">
        <v>4162</v>
      </c>
      <c r="I906" s="46" t="s">
        <v>8654</v>
      </c>
      <c r="J906" s="49" t="s">
        <v>3523</v>
      </c>
      <c r="M906" s="64">
        <v>211000</v>
      </c>
      <c r="N906" s="64">
        <v>265000</v>
      </c>
      <c r="O906" s="47" t="s">
        <v>5622</v>
      </c>
      <c r="P906" s="47" t="s">
        <v>8655</v>
      </c>
      <c r="Q906" s="62" t="s">
        <v>1939</v>
      </c>
      <c r="R906" s="47" t="s">
        <v>8656</v>
      </c>
      <c r="T906" s="149">
        <v>24</v>
      </c>
      <c r="U906" s="46" t="s">
        <v>491</v>
      </c>
      <c r="V906" s="46"/>
    </row>
    <row r="907" spans="1:22" ht="45" x14ac:dyDescent="0.25">
      <c r="A907" s="165">
        <v>43000</v>
      </c>
      <c r="B907" s="62" t="s">
        <v>328</v>
      </c>
      <c r="C907" s="46" t="s">
        <v>603</v>
      </c>
      <c r="D907" s="46" t="s">
        <v>649</v>
      </c>
      <c r="E907" s="46" t="s">
        <v>588</v>
      </c>
      <c r="F907" s="46" t="s">
        <v>8657</v>
      </c>
      <c r="G907" s="46" t="s">
        <v>8658</v>
      </c>
      <c r="H907" s="46" t="s">
        <v>607</v>
      </c>
      <c r="M907" s="64">
        <v>1300500</v>
      </c>
      <c r="N907" s="64">
        <v>3510500</v>
      </c>
      <c r="O907" s="47" t="s">
        <v>8659</v>
      </c>
      <c r="P907" s="47" t="s">
        <v>8660</v>
      </c>
      <c r="Q907" s="62" t="s">
        <v>592</v>
      </c>
      <c r="T907" s="47">
        <v>13</v>
      </c>
      <c r="U907" s="46" t="s">
        <v>491</v>
      </c>
      <c r="V907" s="46"/>
    </row>
    <row r="908" spans="1:22" ht="150" customHeight="1" x14ac:dyDescent="0.25">
      <c r="A908" s="165">
        <v>43000</v>
      </c>
      <c r="B908" s="62" t="s">
        <v>328</v>
      </c>
      <c r="C908" s="46" t="s">
        <v>603</v>
      </c>
      <c r="D908" s="46" t="s">
        <v>649</v>
      </c>
      <c r="E908" s="46" t="s">
        <v>588</v>
      </c>
      <c r="F908" s="46" t="s">
        <v>8661</v>
      </c>
      <c r="G908" s="46" t="s">
        <v>757</v>
      </c>
      <c r="H908" s="46" t="s">
        <v>905</v>
      </c>
      <c r="I908" s="46" t="s">
        <v>8662</v>
      </c>
      <c r="J908" s="49" t="s">
        <v>6015</v>
      </c>
      <c r="M908" s="64">
        <v>284000</v>
      </c>
      <c r="N908" s="64">
        <v>340800</v>
      </c>
      <c r="O908" s="47" t="s">
        <v>3107</v>
      </c>
      <c r="P908" s="47" t="s">
        <v>8663</v>
      </c>
      <c r="Q908" s="62" t="s">
        <v>620</v>
      </c>
      <c r="R908" s="88" t="s">
        <v>8664</v>
      </c>
      <c r="S908" s="47" t="s">
        <v>8665</v>
      </c>
      <c r="T908" s="47">
        <v>53</v>
      </c>
      <c r="U908" s="46" t="s">
        <v>491</v>
      </c>
      <c r="V908" s="46"/>
    </row>
    <row r="909" spans="1:22" ht="132.75" x14ac:dyDescent="0.25">
      <c r="A909" s="165">
        <v>43000</v>
      </c>
      <c r="B909" s="62" t="s">
        <v>328</v>
      </c>
      <c r="C909" s="46" t="s">
        <v>603</v>
      </c>
      <c r="D909" s="46" t="s">
        <v>649</v>
      </c>
      <c r="E909" s="46" t="s">
        <v>588</v>
      </c>
      <c r="F909" s="46" t="s">
        <v>8666</v>
      </c>
      <c r="G909" s="46" t="s">
        <v>8667</v>
      </c>
      <c r="H909" s="46" t="s">
        <v>607</v>
      </c>
      <c r="I909" s="46" t="s">
        <v>8668</v>
      </c>
      <c r="J909" s="49" t="s">
        <v>3398</v>
      </c>
      <c r="L909" s="63">
        <v>3</v>
      </c>
      <c r="M909" s="64">
        <v>150000</v>
      </c>
      <c r="N909" s="64">
        <v>300000</v>
      </c>
      <c r="O909" s="47" t="s">
        <v>3107</v>
      </c>
      <c r="P909" s="47" t="s">
        <v>8669</v>
      </c>
      <c r="Q909" s="62" t="s">
        <v>1612</v>
      </c>
      <c r="R909" s="86" t="s">
        <v>8698</v>
      </c>
      <c r="T909" s="47">
        <v>38</v>
      </c>
      <c r="U909" s="46" t="s">
        <v>491</v>
      </c>
      <c r="V909" s="46"/>
    </row>
    <row r="910" spans="1:22" ht="75" x14ac:dyDescent="0.25">
      <c r="A910" s="165">
        <v>43000</v>
      </c>
      <c r="B910" s="62" t="s">
        <v>5176</v>
      </c>
      <c r="C910" s="46" t="s">
        <v>604</v>
      </c>
      <c r="D910" s="46" t="s">
        <v>595</v>
      </c>
      <c r="E910" s="46" t="s">
        <v>821</v>
      </c>
      <c r="F910" s="46" t="s">
        <v>8673</v>
      </c>
      <c r="G910" s="46" t="s">
        <v>8674</v>
      </c>
      <c r="H910" s="46" t="s">
        <v>886</v>
      </c>
      <c r="I910" s="46" t="s">
        <v>8670</v>
      </c>
      <c r="J910" s="49" t="s">
        <v>604</v>
      </c>
      <c r="L910" s="63">
        <v>9</v>
      </c>
      <c r="M910" s="64">
        <v>292000</v>
      </c>
      <c r="N910" s="64">
        <v>321000</v>
      </c>
      <c r="O910" s="47" t="s">
        <v>8472</v>
      </c>
      <c r="P910" s="47" t="s">
        <v>8671</v>
      </c>
      <c r="Q910" s="62" t="s">
        <v>1939</v>
      </c>
      <c r="R910" s="47" t="s">
        <v>8672</v>
      </c>
      <c r="T910" s="47">
        <v>14</v>
      </c>
      <c r="U910" s="46" t="s">
        <v>491</v>
      </c>
      <c r="V910" s="46"/>
    </row>
    <row r="911" spans="1:22" ht="165" x14ac:dyDescent="0.25">
      <c r="A911" s="165">
        <v>43000</v>
      </c>
      <c r="B911" s="62" t="s">
        <v>5176</v>
      </c>
      <c r="C911" s="46" t="s">
        <v>604</v>
      </c>
      <c r="D911" s="46" t="s">
        <v>595</v>
      </c>
      <c r="E911" s="46" t="s">
        <v>1707</v>
      </c>
      <c r="F911" s="46" t="s">
        <v>8675</v>
      </c>
      <c r="G911" s="46" t="s">
        <v>8383</v>
      </c>
      <c r="H911" s="46" t="s">
        <v>607</v>
      </c>
      <c r="O911" s="47" t="s">
        <v>2744</v>
      </c>
      <c r="P911" s="47" t="s">
        <v>8676</v>
      </c>
      <c r="Q911" s="62" t="s">
        <v>1939</v>
      </c>
      <c r="R911" s="47" t="s">
        <v>8680</v>
      </c>
      <c r="T911" s="149">
        <v>32</v>
      </c>
      <c r="U911" s="46" t="s">
        <v>491</v>
      </c>
      <c r="V911" s="46"/>
    </row>
    <row r="912" spans="1:22" ht="45" x14ac:dyDescent="0.25">
      <c r="A912" s="165">
        <v>43003</v>
      </c>
      <c r="B912" s="62" t="s">
        <v>328</v>
      </c>
      <c r="C912" s="46" t="s">
        <v>603</v>
      </c>
      <c r="D912" s="46" t="s">
        <v>649</v>
      </c>
      <c r="E912" s="46" t="s">
        <v>588</v>
      </c>
      <c r="F912" s="46" t="s">
        <v>8681</v>
      </c>
      <c r="H912" s="46" t="s">
        <v>607</v>
      </c>
      <c r="I912" s="46" t="s">
        <v>8682</v>
      </c>
      <c r="J912" s="49" t="s">
        <v>5402</v>
      </c>
      <c r="L912" s="63">
        <v>4</v>
      </c>
      <c r="M912" s="64">
        <v>2022000</v>
      </c>
      <c r="N912" s="64">
        <v>3437400</v>
      </c>
      <c r="O912" s="47" t="s">
        <v>560</v>
      </c>
      <c r="P912" s="47" t="s">
        <v>8683</v>
      </c>
      <c r="Q912" s="62" t="s">
        <v>1939</v>
      </c>
      <c r="R912" s="47" t="s">
        <v>8684</v>
      </c>
      <c r="T912" s="47">
        <v>25</v>
      </c>
      <c r="U912" s="46" t="s">
        <v>491</v>
      </c>
      <c r="V912" s="46"/>
    </row>
    <row r="913" spans="1:23" ht="180" x14ac:dyDescent="0.25">
      <c r="A913" s="165">
        <v>43003</v>
      </c>
      <c r="B913" s="62" t="s">
        <v>328</v>
      </c>
      <c r="C913" s="46" t="s">
        <v>603</v>
      </c>
      <c r="D913" s="46" t="s">
        <v>649</v>
      </c>
      <c r="E913" s="46" t="s">
        <v>588</v>
      </c>
      <c r="F913" s="46" t="s">
        <v>8685</v>
      </c>
      <c r="G913" s="46" t="s">
        <v>8686</v>
      </c>
      <c r="H913" s="46" t="s">
        <v>886</v>
      </c>
      <c r="I913" s="46" t="s">
        <v>8687</v>
      </c>
      <c r="J913" s="49" t="s">
        <v>3373</v>
      </c>
      <c r="L913" s="63">
        <v>10</v>
      </c>
      <c r="M913" s="64">
        <v>1300000</v>
      </c>
      <c r="N913" s="64">
        <v>2595500</v>
      </c>
      <c r="O913" s="47" t="s">
        <v>8688</v>
      </c>
      <c r="P913" s="47" t="s">
        <v>8689</v>
      </c>
      <c r="Q913" s="62" t="s">
        <v>29</v>
      </c>
      <c r="R913" s="47" t="s">
        <v>8690</v>
      </c>
      <c r="S913" s="47" t="s">
        <v>8691</v>
      </c>
      <c r="T913" s="47">
        <v>65</v>
      </c>
      <c r="U913" s="46" t="s">
        <v>491</v>
      </c>
      <c r="V913" s="46"/>
    </row>
    <row r="914" spans="1:23" ht="60" x14ac:dyDescent="0.25">
      <c r="A914" s="165">
        <v>43003</v>
      </c>
      <c r="B914" s="62" t="s">
        <v>643</v>
      </c>
      <c r="C914" s="46" t="s">
        <v>644</v>
      </c>
      <c r="D914" s="46" t="s">
        <v>645</v>
      </c>
      <c r="E914" s="46" t="s">
        <v>588</v>
      </c>
      <c r="F914" s="46" t="s">
        <v>8692</v>
      </c>
      <c r="G914" s="46" t="s">
        <v>8693</v>
      </c>
      <c r="H914" s="46" t="s">
        <v>905</v>
      </c>
      <c r="O914" s="47" t="s">
        <v>7805</v>
      </c>
      <c r="P914" s="47" t="s">
        <v>8694</v>
      </c>
      <c r="Q914" s="62" t="s">
        <v>1939</v>
      </c>
      <c r="R914" s="47" t="s">
        <v>8695</v>
      </c>
      <c r="T914" s="47">
        <v>18</v>
      </c>
      <c r="U914" s="46" t="s">
        <v>491</v>
      </c>
      <c r="V914" s="46"/>
    </row>
    <row r="915" spans="1:23" ht="165" x14ac:dyDescent="0.25">
      <c r="A915" s="165">
        <v>43003</v>
      </c>
      <c r="B915" s="62" t="s">
        <v>5176</v>
      </c>
      <c r="C915" s="46" t="s">
        <v>604</v>
      </c>
      <c r="D915" s="46" t="s">
        <v>595</v>
      </c>
      <c r="E915" s="46" t="s">
        <v>821</v>
      </c>
      <c r="F915" s="46" t="s">
        <v>8724</v>
      </c>
      <c r="G915" s="46" t="s">
        <v>8725</v>
      </c>
      <c r="H915" s="46" t="s">
        <v>607</v>
      </c>
      <c r="I915" s="46" t="s">
        <v>5783</v>
      </c>
      <c r="J915" s="49" t="s">
        <v>604</v>
      </c>
      <c r="L915" s="63">
        <v>9</v>
      </c>
      <c r="M915" s="64">
        <v>291000</v>
      </c>
      <c r="N915" s="64">
        <v>391000</v>
      </c>
      <c r="O915" s="47" t="s">
        <v>8696</v>
      </c>
      <c r="P915" s="47" t="s">
        <v>8697</v>
      </c>
      <c r="Q915" s="62" t="s">
        <v>1612</v>
      </c>
      <c r="R915" s="47" t="s">
        <v>8726</v>
      </c>
      <c r="T915" s="149">
        <v>26</v>
      </c>
      <c r="U915" s="46" t="s">
        <v>491</v>
      </c>
      <c r="V915" s="109" t="s">
        <v>3985</v>
      </c>
      <c r="W915" s="47" t="s">
        <v>8727</v>
      </c>
    </row>
    <row r="916" spans="1:23" ht="90" x14ac:dyDescent="0.25">
      <c r="A916" s="165">
        <v>43003</v>
      </c>
      <c r="B916" s="62" t="s">
        <v>328</v>
      </c>
      <c r="C916" s="46" t="s">
        <v>603</v>
      </c>
      <c r="D916" s="46" t="s">
        <v>2500</v>
      </c>
      <c r="E916" s="46" t="s">
        <v>588</v>
      </c>
      <c r="F916" s="46" t="s">
        <v>8699</v>
      </c>
      <c r="H916" s="46" t="s">
        <v>3827</v>
      </c>
      <c r="I916" s="46" t="s">
        <v>5888</v>
      </c>
      <c r="J916" s="49" t="s">
        <v>3373</v>
      </c>
      <c r="M916" s="64">
        <v>250000</v>
      </c>
      <c r="N916" s="64">
        <v>359000</v>
      </c>
      <c r="O916" s="47" t="s">
        <v>639</v>
      </c>
      <c r="P916" s="47" t="s">
        <v>8700</v>
      </c>
      <c r="Q916" s="62" t="s">
        <v>1939</v>
      </c>
      <c r="R916" s="47" t="s">
        <v>8701</v>
      </c>
      <c r="S916" s="47" t="s">
        <v>8702</v>
      </c>
      <c r="T916" s="149">
        <v>22</v>
      </c>
      <c r="U916" s="46" t="s">
        <v>491</v>
      </c>
      <c r="V916" s="46"/>
    </row>
    <row r="917" spans="1:23" ht="90" x14ac:dyDescent="0.25">
      <c r="A917" s="165">
        <v>43004</v>
      </c>
      <c r="B917" s="62" t="s">
        <v>328</v>
      </c>
      <c r="C917" s="46" t="s">
        <v>603</v>
      </c>
      <c r="D917" s="46" t="s">
        <v>587</v>
      </c>
      <c r="E917" s="46" t="s">
        <v>3748</v>
      </c>
      <c r="F917" s="46" t="s">
        <v>8703</v>
      </c>
      <c r="G917" s="46" t="s">
        <v>8704</v>
      </c>
      <c r="H917" s="46" t="s">
        <v>607</v>
      </c>
      <c r="I917" s="46" t="s">
        <v>8705</v>
      </c>
      <c r="J917" s="49" t="s">
        <v>959</v>
      </c>
      <c r="L917" s="63">
        <v>3</v>
      </c>
      <c r="M917" s="64">
        <v>465000</v>
      </c>
      <c r="N917" s="64">
        <v>790500</v>
      </c>
      <c r="O917" s="47" t="s">
        <v>8219</v>
      </c>
      <c r="P917" s="47" t="s">
        <v>8706</v>
      </c>
      <c r="Q917" s="62" t="s">
        <v>29</v>
      </c>
      <c r="R917" s="47" t="s">
        <v>8808</v>
      </c>
      <c r="T917" s="47">
        <v>28</v>
      </c>
      <c r="U917" s="46" t="s">
        <v>491</v>
      </c>
      <c r="V917" s="46"/>
    </row>
    <row r="918" spans="1:23" ht="90" x14ac:dyDescent="0.25">
      <c r="A918" s="165">
        <v>43004</v>
      </c>
      <c r="B918" s="62" t="s">
        <v>328</v>
      </c>
      <c r="C918" s="46" t="s">
        <v>603</v>
      </c>
      <c r="D918" s="46" t="s">
        <v>587</v>
      </c>
      <c r="E918" s="46" t="s">
        <v>588</v>
      </c>
      <c r="F918" s="46" t="s">
        <v>8707</v>
      </c>
      <c r="G918" s="46" t="s">
        <v>8708</v>
      </c>
      <c r="H918" s="46" t="s">
        <v>1391</v>
      </c>
      <c r="I918" s="46" t="s">
        <v>8709</v>
      </c>
      <c r="J918" s="49" t="s">
        <v>8710</v>
      </c>
      <c r="L918" s="63">
        <v>10</v>
      </c>
      <c r="M918" s="64">
        <v>960000</v>
      </c>
      <c r="N918" s="64">
        <v>1104000</v>
      </c>
      <c r="O918" s="47" t="s">
        <v>2680</v>
      </c>
      <c r="P918" s="47" t="s">
        <v>8711</v>
      </c>
      <c r="Q918" s="62" t="s">
        <v>1612</v>
      </c>
      <c r="R918" s="47" t="s">
        <v>8769</v>
      </c>
      <c r="T918" s="47">
        <v>37</v>
      </c>
      <c r="U918" s="46" t="s">
        <v>491</v>
      </c>
      <c r="V918" s="46"/>
    </row>
    <row r="919" spans="1:23" ht="45" x14ac:dyDescent="0.25">
      <c r="A919" s="165">
        <v>43004</v>
      </c>
      <c r="B919" s="62" t="s">
        <v>569</v>
      </c>
      <c r="C919" s="46" t="s">
        <v>899</v>
      </c>
      <c r="D919" s="46" t="s">
        <v>624</v>
      </c>
      <c r="E919" s="46" t="s">
        <v>588</v>
      </c>
      <c r="F919" s="46" t="s">
        <v>8712</v>
      </c>
      <c r="H919" s="46" t="s">
        <v>905</v>
      </c>
      <c r="M919" s="64">
        <v>280000</v>
      </c>
      <c r="N919" s="64">
        <v>316000</v>
      </c>
      <c r="O919" s="47" t="s">
        <v>8713</v>
      </c>
      <c r="P919" s="47" t="s">
        <v>8714</v>
      </c>
      <c r="Q919" s="62" t="s">
        <v>1939</v>
      </c>
      <c r="R919" s="47" t="s">
        <v>8715</v>
      </c>
      <c r="T919" s="47">
        <v>16</v>
      </c>
      <c r="U919" s="46" t="s">
        <v>491</v>
      </c>
      <c r="V919" s="46"/>
    </row>
    <row r="920" spans="1:23" ht="90" x14ac:dyDescent="0.25">
      <c r="A920" s="165">
        <v>43004</v>
      </c>
      <c r="B920" s="62" t="s">
        <v>328</v>
      </c>
      <c r="C920" s="46" t="s">
        <v>603</v>
      </c>
      <c r="D920" s="46" t="s">
        <v>649</v>
      </c>
      <c r="E920" s="46" t="s">
        <v>588</v>
      </c>
      <c r="F920" s="46" t="s">
        <v>8716</v>
      </c>
      <c r="G920" s="46" t="s">
        <v>7855</v>
      </c>
      <c r="H920" s="46" t="s">
        <v>905</v>
      </c>
      <c r="I920" s="46" t="s">
        <v>8717</v>
      </c>
      <c r="J920" s="49" t="s">
        <v>3612</v>
      </c>
      <c r="L920" s="63">
        <v>3</v>
      </c>
      <c r="M920" s="64">
        <v>284000</v>
      </c>
      <c r="N920" s="64">
        <v>340800</v>
      </c>
      <c r="O920" s="47" t="s">
        <v>3107</v>
      </c>
      <c r="P920" s="47" t="s">
        <v>8718</v>
      </c>
      <c r="Q920" s="62" t="s">
        <v>1939</v>
      </c>
      <c r="R920" s="47" t="s">
        <v>9435</v>
      </c>
      <c r="S920" s="47" t="s">
        <v>8728</v>
      </c>
      <c r="T920" s="47">
        <v>22</v>
      </c>
      <c r="U920" s="46" t="s">
        <v>491</v>
      </c>
      <c r="V920" s="46"/>
    </row>
    <row r="921" spans="1:23" ht="30" x14ac:dyDescent="0.25">
      <c r="A921" s="165">
        <v>43004</v>
      </c>
      <c r="B921" s="62" t="s">
        <v>328</v>
      </c>
      <c r="C921" s="46" t="s">
        <v>603</v>
      </c>
      <c r="D921" s="46" t="s">
        <v>649</v>
      </c>
      <c r="E921" s="46" t="s">
        <v>588</v>
      </c>
      <c r="F921" s="46" t="s">
        <v>8719</v>
      </c>
      <c r="G921" s="46" t="s">
        <v>8720</v>
      </c>
      <c r="H921" s="46" t="s">
        <v>905</v>
      </c>
      <c r="I921" s="46" t="s">
        <v>8721</v>
      </c>
      <c r="J921" s="49" t="s">
        <v>4031</v>
      </c>
      <c r="L921" s="63">
        <v>3</v>
      </c>
      <c r="M921" s="64">
        <v>2997000</v>
      </c>
      <c r="N921" s="64">
        <v>3946250</v>
      </c>
      <c r="O921" s="47" t="s">
        <v>560</v>
      </c>
      <c r="P921" s="47" t="s">
        <v>8722</v>
      </c>
      <c r="Q921" s="62" t="s">
        <v>592</v>
      </c>
      <c r="S921" s="47" t="s">
        <v>833</v>
      </c>
      <c r="T921" s="149">
        <v>18</v>
      </c>
      <c r="U921" s="46" t="s">
        <v>491</v>
      </c>
      <c r="V921" s="46"/>
    </row>
    <row r="922" spans="1:23" ht="90" x14ac:dyDescent="0.25">
      <c r="A922" s="165">
        <v>43005</v>
      </c>
      <c r="B922" s="62" t="s">
        <v>328</v>
      </c>
      <c r="C922" s="46" t="s">
        <v>603</v>
      </c>
      <c r="D922" s="46" t="s">
        <v>5701</v>
      </c>
      <c r="E922" s="46" t="s">
        <v>588</v>
      </c>
      <c r="F922" s="46" t="s">
        <v>8729</v>
      </c>
      <c r="G922" s="46" t="s">
        <v>8730</v>
      </c>
      <c r="H922" s="46" t="s">
        <v>1391</v>
      </c>
      <c r="I922" s="46" t="s">
        <v>8731</v>
      </c>
      <c r="J922" s="49" t="s">
        <v>899</v>
      </c>
      <c r="L922" s="63">
        <v>9</v>
      </c>
      <c r="M922" s="64">
        <v>1071000</v>
      </c>
      <c r="N922" s="64">
        <v>2091200</v>
      </c>
      <c r="O922" s="47" t="s">
        <v>560</v>
      </c>
      <c r="P922" s="47" t="s">
        <v>8732</v>
      </c>
      <c r="Q922" s="62" t="s">
        <v>29</v>
      </c>
      <c r="R922" s="47" t="s">
        <v>8809</v>
      </c>
      <c r="S922" s="47" t="s">
        <v>8810</v>
      </c>
      <c r="T922" s="47">
        <v>49</v>
      </c>
      <c r="U922" s="46" t="s">
        <v>491</v>
      </c>
      <c r="V922" s="46"/>
    </row>
    <row r="923" spans="1:23" ht="75" x14ac:dyDescent="0.25">
      <c r="A923" s="165">
        <v>43005</v>
      </c>
      <c r="B923" s="62" t="s">
        <v>328</v>
      </c>
      <c r="C923" s="46" t="s">
        <v>603</v>
      </c>
      <c r="D923" s="46" t="s">
        <v>5701</v>
      </c>
      <c r="E923" s="46" t="s">
        <v>588</v>
      </c>
      <c r="F923" s="46" t="s">
        <v>84</v>
      </c>
      <c r="G923" s="46" t="s">
        <v>2204</v>
      </c>
      <c r="H923" s="46" t="s">
        <v>607</v>
      </c>
      <c r="I923" s="46" t="s">
        <v>8733</v>
      </c>
      <c r="J923" s="49" t="s">
        <v>602</v>
      </c>
      <c r="L923" s="63">
        <v>1</v>
      </c>
      <c r="M923" s="64">
        <v>550000</v>
      </c>
      <c r="N923" s="64">
        <v>990000</v>
      </c>
      <c r="O923" s="47" t="s">
        <v>7540</v>
      </c>
      <c r="P923" s="47" t="s">
        <v>8734</v>
      </c>
      <c r="Q923" s="62" t="s">
        <v>1612</v>
      </c>
      <c r="R923" s="47" t="s">
        <v>8748</v>
      </c>
      <c r="S923" s="47" t="s">
        <v>8749</v>
      </c>
      <c r="T923" s="47">
        <v>36</v>
      </c>
      <c r="U923" s="46" t="s">
        <v>491</v>
      </c>
      <c r="V923" s="46"/>
    </row>
    <row r="924" spans="1:23" ht="60" x14ac:dyDescent="0.25">
      <c r="A924" s="165">
        <v>43005</v>
      </c>
      <c r="B924" s="62" t="s">
        <v>328</v>
      </c>
      <c r="C924" s="46" t="s">
        <v>603</v>
      </c>
      <c r="D924" s="46" t="s">
        <v>2397</v>
      </c>
      <c r="E924" s="46" t="s">
        <v>588</v>
      </c>
      <c r="F924" s="46" t="s">
        <v>8735</v>
      </c>
      <c r="G924" s="46" t="s">
        <v>8736</v>
      </c>
      <c r="H924" s="46" t="s">
        <v>607</v>
      </c>
      <c r="I924" s="46" t="s">
        <v>3672</v>
      </c>
      <c r="J924" s="49" t="s">
        <v>899</v>
      </c>
      <c r="L924" s="63">
        <v>5</v>
      </c>
      <c r="M924" s="64">
        <v>1690000</v>
      </c>
      <c r="N924" s="64">
        <v>3211400</v>
      </c>
      <c r="O924" s="47" t="s">
        <v>8737</v>
      </c>
      <c r="P924" s="47" t="s">
        <v>8738</v>
      </c>
      <c r="Q924" s="62" t="s">
        <v>592</v>
      </c>
      <c r="T924" s="47">
        <v>25</v>
      </c>
      <c r="U924" s="46" t="s">
        <v>491</v>
      </c>
      <c r="V924" s="46"/>
    </row>
    <row r="925" spans="1:23" ht="75" x14ac:dyDescent="0.25">
      <c r="A925" s="165">
        <v>43005</v>
      </c>
      <c r="B925" s="62" t="s">
        <v>569</v>
      </c>
      <c r="C925" s="46" t="s">
        <v>899</v>
      </c>
      <c r="D925" s="46" t="s">
        <v>611</v>
      </c>
      <c r="E925" s="46" t="s">
        <v>588</v>
      </c>
      <c r="F925" s="46" t="s">
        <v>8739</v>
      </c>
      <c r="G925" s="47" t="s">
        <v>8740</v>
      </c>
      <c r="H925" s="46" t="s">
        <v>607</v>
      </c>
      <c r="O925" s="47" t="s">
        <v>8741</v>
      </c>
      <c r="P925" s="47" t="s">
        <v>8742</v>
      </c>
      <c r="Q925" s="62" t="s">
        <v>1939</v>
      </c>
      <c r="R925" s="47" t="s">
        <v>8743</v>
      </c>
      <c r="T925" s="47">
        <v>16</v>
      </c>
      <c r="U925" s="46" t="s">
        <v>491</v>
      </c>
      <c r="V925" s="46"/>
    </row>
    <row r="926" spans="1:23" ht="105" x14ac:dyDescent="0.25">
      <c r="A926" s="165">
        <v>43005</v>
      </c>
      <c r="B926" s="62" t="s">
        <v>5360</v>
      </c>
      <c r="C926" s="46" t="s">
        <v>899</v>
      </c>
      <c r="D926" s="46" t="s">
        <v>732</v>
      </c>
      <c r="E926" s="46" t="s">
        <v>588</v>
      </c>
      <c r="F926" s="46" t="s">
        <v>8744</v>
      </c>
      <c r="G926" s="46" t="s">
        <v>8745</v>
      </c>
      <c r="H926" s="46" t="s">
        <v>5991</v>
      </c>
      <c r="I926" s="46" t="s">
        <v>3925</v>
      </c>
      <c r="J926" s="49" t="s">
        <v>899</v>
      </c>
      <c r="L926" s="63">
        <v>10</v>
      </c>
      <c r="M926" s="64">
        <v>1500000</v>
      </c>
      <c r="N926" s="64">
        <v>2459000</v>
      </c>
      <c r="O926" s="47" t="s">
        <v>560</v>
      </c>
      <c r="P926" s="47" t="s">
        <v>8747</v>
      </c>
      <c r="Q926" s="62" t="s">
        <v>29</v>
      </c>
      <c r="R926" s="47" t="s">
        <v>8746</v>
      </c>
      <c r="T926" s="47">
        <v>47</v>
      </c>
      <c r="U926" s="46" t="s">
        <v>491</v>
      </c>
      <c r="V926" s="46"/>
    </row>
    <row r="927" spans="1:23" ht="60" x14ac:dyDescent="0.25">
      <c r="A927" s="165">
        <v>43005</v>
      </c>
      <c r="B927" s="62" t="s">
        <v>569</v>
      </c>
      <c r="C927" s="46" t="s">
        <v>899</v>
      </c>
      <c r="D927" s="46" t="s">
        <v>930</v>
      </c>
      <c r="E927" s="46" t="s">
        <v>821</v>
      </c>
      <c r="F927" s="46" t="s">
        <v>8750</v>
      </c>
      <c r="G927" s="46" t="s">
        <v>8751</v>
      </c>
      <c r="J927" s="49" t="s">
        <v>899</v>
      </c>
      <c r="N927" s="64">
        <v>5000000</v>
      </c>
      <c r="O927" s="47" t="s">
        <v>560</v>
      </c>
      <c r="P927" s="47" t="s">
        <v>8752</v>
      </c>
      <c r="Q927" s="62" t="s">
        <v>1939</v>
      </c>
      <c r="R927" s="47" t="s">
        <v>8753</v>
      </c>
      <c r="T927" s="47">
        <v>10</v>
      </c>
      <c r="U927" s="46" t="s">
        <v>491</v>
      </c>
      <c r="V927" s="46"/>
    </row>
    <row r="928" spans="1:23" ht="75" x14ac:dyDescent="0.25">
      <c r="A928" s="165">
        <v>43005</v>
      </c>
      <c r="B928" s="62" t="s">
        <v>328</v>
      </c>
      <c r="C928" s="46" t="s">
        <v>603</v>
      </c>
      <c r="D928" s="46" t="s">
        <v>1401</v>
      </c>
      <c r="E928" s="46" t="s">
        <v>588</v>
      </c>
      <c r="F928" s="46" t="s">
        <v>8754</v>
      </c>
      <c r="G928" s="46" t="s">
        <v>8755</v>
      </c>
      <c r="H928" s="46" t="s">
        <v>809</v>
      </c>
      <c r="I928" s="46" t="s">
        <v>8756</v>
      </c>
      <c r="J928" s="49" t="s">
        <v>3398</v>
      </c>
      <c r="L928" s="63">
        <v>3</v>
      </c>
      <c r="M928" s="64">
        <v>2028000</v>
      </c>
      <c r="N928" s="64">
        <v>2200000</v>
      </c>
      <c r="O928" s="47" t="s">
        <v>8757</v>
      </c>
      <c r="P928" s="47" t="s">
        <v>8758</v>
      </c>
      <c r="Q928" s="62" t="s">
        <v>1612</v>
      </c>
      <c r="R928" s="47" t="s">
        <v>8788</v>
      </c>
      <c r="T928" s="47">
        <v>23</v>
      </c>
      <c r="U928" s="46" t="s">
        <v>491</v>
      </c>
      <c r="V928" s="46"/>
    </row>
    <row r="929" spans="1:23" ht="30" x14ac:dyDescent="0.25">
      <c r="A929" s="165">
        <v>43005</v>
      </c>
      <c r="B929" s="62" t="s">
        <v>569</v>
      </c>
      <c r="C929" s="46" t="s">
        <v>899</v>
      </c>
      <c r="D929" s="46" t="s">
        <v>625</v>
      </c>
      <c r="E929" s="46" t="s">
        <v>588</v>
      </c>
      <c r="F929" s="46" t="s">
        <v>8759</v>
      </c>
      <c r="G929" s="46" t="s">
        <v>8760</v>
      </c>
      <c r="H929" s="46" t="s">
        <v>607</v>
      </c>
      <c r="I929" s="46" t="s">
        <v>8761</v>
      </c>
      <c r="J929" s="49" t="s">
        <v>899</v>
      </c>
      <c r="L929" s="63">
        <v>2</v>
      </c>
      <c r="M929" s="64">
        <v>823000</v>
      </c>
      <c r="N929" s="64">
        <v>1400000</v>
      </c>
      <c r="O929" s="47" t="s">
        <v>1844</v>
      </c>
      <c r="P929" s="47" t="s">
        <v>8762</v>
      </c>
      <c r="Q929" s="62" t="s">
        <v>1939</v>
      </c>
      <c r="R929" s="47" t="s">
        <v>8763</v>
      </c>
      <c r="T929" s="47">
        <v>17</v>
      </c>
      <c r="U929" s="46" t="s">
        <v>491</v>
      </c>
      <c r="V929" s="166" t="s">
        <v>3985</v>
      </c>
      <c r="W929" s="47" t="s">
        <v>8764</v>
      </c>
    </row>
    <row r="930" spans="1:23" ht="120" x14ac:dyDescent="0.25">
      <c r="A930" s="165">
        <v>43005</v>
      </c>
      <c r="B930" s="62" t="s">
        <v>643</v>
      </c>
      <c r="C930" s="46" t="s">
        <v>644</v>
      </c>
      <c r="D930" s="46" t="s">
        <v>645</v>
      </c>
      <c r="E930" s="46" t="s">
        <v>588</v>
      </c>
      <c r="F930" s="46" t="s">
        <v>8765</v>
      </c>
      <c r="G930" s="46" t="s">
        <v>8766</v>
      </c>
      <c r="H930" s="46" t="s">
        <v>5991</v>
      </c>
      <c r="I930" s="46" t="s">
        <v>8767</v>
      </c>
      <c r="J930" s="49" t="s">
        <v>644</v>
      </c>
      <c r="L930" s="63">
        <v>5</v>
      </c>
      <c r="M930" s="64">
        <v>3000000</v>
      </c>
      <c r="N930" s="64">
        <v>3625000</v>
      </c>
      <c r="O930" s="47" t="s">
        <v>560</v>
      </c>
      <c r="P930" s="47" t="s">
        <v>8768</v>
      </c>
      <c r="Q930" s="62" t="s">
        <v>592</v>
      </c>
      <c r="T930" s="149">
        <v>24</v>
      </c>
      <c r="U930" s="46" t="s">
        <v>491</v>
      </c>
      <c r="V930" s="46"/>
    </row>
    <row r="931" spans="1:23" ht="135" x14ac:dyDescent="0.25">
      <c r="A931" s="165">
        <v>43006</v>
      </c>
      <c r="B931" s="62" t="s">
        <v>328</v>
      </c>
      <c r="C931" s="46" t="s">
        <v>603</v>
      </c>
      <c r="D931" s="46" t="s">
        <v>1401</v>
      </c>
      <c r="E931" s="46" t="s">
        <v>588</v>
      </c>
      <c r="F931" s="46" t="s">
        <v>8770</v>
      </c>
      <c r="G931" s="46" t="s">
        <v>8771</v>
      </c>
      <c r="H931" s="46" t="s">
        <v>607</v>
      </c>
      <c r="I931" s="46" t="s">
        <v>8772</v>
      </c>
      <c r="J931" s="49" t="s">
        <v>603</v>
      </c>
      <c r="L931" s="63">
        <v>9</v>
      </c>
      <c r="M931" s="64">
        <v>548100</v>
      </c>
      <c r="N931" s="64">
        <v>970000</v>
      </c>
      <c r="O931" s="47" t="s">
        <v>3107</v>
      </c>
      <c r="P931" s="47" t="s">
        <v>8773</v>
      </c>
      <c r="Q931" s="62" t="s">
        <v>1939</v>
      </c>
      <c r="R931" s="88" t="s">
        <v>8774</v>
      </c>
      <c r="S931" s="47" t="s">
        <v>8775</v>
      </c>
      <c r="T931" s="47">
        <v>49</v>
      </c>
      <c r="U931" s="46" t="s">
        <v>491</v>
      </c>
      <c r="V931" s="46"/>
    </row>
    <row r="932" spans="1:23" ht="186.75" customHeight="1" x14ac:dyDescent="0.25">
      <c r="A932" s="165">
        <v>43006</v>
      </c>
      <c r="B932" s="62" t="s">
        <v>110</v>
      </c>
      <c r="C932" s="46" t="s">
        <v>761</v>
      </c>
      <c r="D932" s="46" t="s">
        <v>715</v>
      </c>
      <c r="E932" s="46" t="s">
        <v>588</v>
      </c>
      <c r="F932" s="46" t="s">
        <v>8776</v>
      </c>
      <c r="G932" s="46" t="s">
        <v>8777</v>
      </c>
      <c r="H932" s="46" t="s">
        <v>905</v>
      </c>
      <c r="I932" s="46" t="s">
        <v>7662</v>
      </c>
      <c r="J932" s="49" t="s">
        <v>761</v>
      </c>
      <c r="L932" s="63">
        <v>10</v>
      </c>
      <c r="M932" s="64">
        <v>300000</v>
      </c>
      <c r="N932" s="64">
        <v>390000</v>
      </c>
      <c r="O932" s="47" t="s">
        <v>764</v>
      </c>
      <c r="P932" s="47" t="s">
        <v>8778</v>
      </c>
      <c r="Q932" s="62" t="s">
        <v>620</v>
      </c>
      <c r="R932" s="86" t="s">
        <v>8779</v>
      </c>
      <c r="T932" s="47">
        <v>35</v>
      </c>
      <c r="U932" s="46" t="s">
        <v>491</v>
      </c>
      <c r="V932" s="46"/>
    </row>
    <row r="933" spans="1:23" ht="60" x14ac:dyDescent="0.25">
      <c r="A933" s="165">
        <v>43006</v>
      </c>
      <c r="B933" s="62" t="s">
        <v>328</v>
      </c>
      <c r="C933" s="46" t="s">
        <v>603</v>
      </c>
      <c r="D933" s="46" t="s">
        <v>649</v>
      </c>
      <c r="E933" s="46" t="s">
        <v>588</v>
      </c>
      <c r="F933" s="46" t="s">
        <v>8780</v>
      </c>
      <c r="G933" s="46" t="s">
        <v>7457</v>
      </c>
      <c r="H933" s="46" t="s">
        <v>1391</v>
      </c>
      <c r="I933" s="46" t="s">
        <v>8781</v>
      </c>
      <c r="J933" s="49" t="s">
        <v>899</v>
      </c>
      <c r="L933" s="63">
        <v>3</v>
      </c>
      <c r="M933" s="64">
        <v>2000000</v>
      </c>
      <c r="N933" s="64">
        <v>3350000</v>
      </c>
      <c r="O933" s="47" t="s">
        <v>560</v>
      </c>
      <c r="P933" s="47" t="s">
        <v>8782</v>
      </c>
      <c r="Q933" s="62" t="s">
        <v>1939</v>
      </c>
      <c r="R933" s="47" t="s">
        <v>8786</v>
      </c>
      <c r="T933" s="47">
        <v>28</v>
      </c>
      <c r="U933" s="46" t="s">
        <v>491</v>
      </c>
      <c r="V933" s="46"/>
    </row>
    <row r="934" spans="1:23" ht="105" x14ac:dyDescent="0.25">
      <c r="A934" s="165">
        <v>43006</v>
      </c>
      <c r="B934" s="62" t="s">
        <v>5176</v>
      </c>
      <c r="C934" s="46" t="s">
        <v>604</v>
      </c>
      <c r="D934" s="46" t="s">
        <v>595</v>
      </c>
      <c r="E934" s="46" t="s">
        <v>821</v>
      </c>
      <c r="F934" s="46" t="s">
        <v>8783</v>
      </c>
      <c r="H934" s="46" t="s">
        <v>1391</v>
      </c>
      <c r="I934" s="46" t="s">
        <v>8784</v>
      </c>
      <c r="J934" s="49" t="s">
        <v>959</v>
      </c>
      <c r="L934" s="63">
        <v>4</v>
      </c>
      <c r="M934" s="64">
        <v>6000000</v>
      </c>
      <c r="O934" s="47" t="s">
        <v>2295</v>
      </c>
      <c r="P934" s="47" t="s">
        <v>8785</v>
      </c>
      <c r="Q934" s="62" t="s">
        <v>592</v>
      </c>
      <c r="R934" s="47" t="s">
        <v>8787</v>
      </c>
      <c r="T934" s="47">
        <v>23</v>
      </c>
      <c r="U934" s="46" t="s">
        <v>491</v>
      </c>
      <c r="V934" s="46"/>
    </row>
    <row r="935" spans="1:23" ht="105" x14ac:dyDescent="0.25">
      <c r="A935" s="165">
        <v>43006</v>
      </c>
      <c r="B935" s="62" t="s">
        <v>643</v>
      </c>
      <c r="C935" s="46" t="s">
        <v>644</v>
      </c>
      <c r="D935" s="46" t="s">
        <v>645</v>
      </c>
      <c r="E935" s="46" t="s">
        <v>588</v>
      </c>
      <c r="F935" s="46" t="s">
        <v>8789</v>
      </c>
      <c r="G935" s="46" t="s">
        <v>7814</v>
      </c>
      <c r="H935" s="46" t="s">
        <v>1391</v>
      </c>
      <c r="I935" s="46" t="s">
        <v>4002</v>
      </c>
      <c r="J935" s="49" t="s">
        <v>644</v>
      </c>
      <c r="L935" s="63">
        <v>10</v>
      </c>
      <c r="M935" s="64">
        <v>200000</v>
      </c>
      <c r="N935" s="64">
        <v>4440000</v>
      </c>
      <c r="O935" s="47" t="s">
        <v>560</v>
      </c>
      <c r="P935" s="47" t="s">
        <v>8790</v>
      </c>
      <c r="Q935" s="62" t="s">
        <v>592</v>
      </c>
      <c r="R935" s="47" t="s">
        <v>8791</v>
      </c>
      <c r="T935" s="47">
        <v>50</v>
      </c>
      <c r="U935" s="46" t="s">
        <v>491</v>
      </c>
      <c r="V935" s="46"/>
    </row>
    <row r="936" spans="1:23" ht="45" x14ac:dyDescent="0.25">
      <c r="A936" s="165">
        <v>43006</v>
      </c>
      <c r="B936" s="62" t="s">
        <v>569</v>
      </c>
      <c r="C936" s="46" t="s">
        <v>899</v>
      </c>
      <c r="D936" s="46" t="s">
        <v>732</v>
      </c>
      <c r="E936" s="46" t="s">
        <v>588</v>
      </c>
      <c r="F936" s="46" t="s">
        <v>8792</v>
      </c>
      <c r="G936" s="46" t="s">
        <v>2500</v>
      </c>
      <c r="H936" s="46" t="s">
        <v>1391</v>
      </c>
      <c r="I936" s="46" t="s">
        <v>5412</v>
      </c>
      <c r="J936" s="49" t="s">
        <v>899</v>
      </c>
      <c r="L936" s="63">
        <v>3</v>
      </c>
      <c r="M936" s="64">
        <v>2900000</v>
      </c>
      <c r="N936" s="64">
        <v>4450000</v>
      </c>
      <c r="O936" s="47" t="s">
        <v>560</v>
      </c>
      <c r="P936" s="47" t="s">
        <v>8793</v>
      </c>
      <c r="Q936" s="62" t="s">
        <v>29</v>
      </c>
      <c r="R936" s="47" t="s">
        <v>8794</v>
      </c>
      <c r="T936" s="149">
        <v>46</v>
      </c>
      <c r="U936" s="46" t="s">
        <v>491</v>
      </c>
      <c r="V936" s="46"/>
    </row>
    <row r="937" spans="1:23" ht="60" x14ac:dyDescent="0.25">
      <c r="A937" s="165">
        <v>43007</v>
      </c>
      <c r="B937" s="62" t="s">
        <v>328</v>
      </c>
      <c r="C937" s="46" t="s">
        <v>603</v>
      </c>
      <c r="D937" s="46" t="s">
        <v>649</v>
      </c>
      <c r="E937" s="46" t="s">
        <v>588</v>
      </c>
      <c r="F937" s="46" t="s">
        <v>8795</v>
      </c>
      <c r="G937" s="46" t="s">
        <v>7978</v>
      </c>
      <c r="H937" s="46" t="s">
        <v>1391</v>
      </c>
      <c r="I937" s="46" t="s">
        <v>8796</v>
      </c>
      <c r="J937" s="49" t="s">
        <v>899</v>
      </c>
      <c r="L937" s="63">
        <v>10</v>
      </c>
      <c r="M937" s="64">
        <v>2200000</v>
      </c>
      <c r="N937" s="64">
        <v>4400000</v>
      </c>
      <c r="O937" s="47" t="s">
        <v>560</v>
      </c>
      <c r="P937" s="47" t="s">
        <v>8797</v>
      </c>
      <c r="Q937" s="62" t="s">
        <v>29</v>
      </c>
      <c r="R937" s="47" t="s">
        <v>8798</v>
      </c>
      <c r="T937" s="47">
        <v>23</v>
      </c>
      <c r="U937" s="46" t="s">
        <v>491</v>
      </c>
      <c r="V937" s="46"/>
    </row>
    <row r="938" spans="1:23" ht="60" x14ac:dyDescent="0.25">
      <c r="A938" s="165">
        <v>43007</v>
      </c>
      <c r="B938" s="62" t="s">
        <v>569</v>
      </c>
      <c r="C938" s="46" t="s">
        <v>899</v>
      </c>
      <c r="D938" s="46" t="s">
        <v>624</v>
      </c>
      <c r="E938" s="46" t="s">
        <v>588</v>
      </c>
      <c r="F938" s="46" t="s">
        <v>8799</v>
      </c>
      <c r="G938" s="46" t="s">
        <v>8800</v>
      </c>
      <c r="H938" s="46" t="s">
        <v>607</v>
      </c>
      <c r="I938" s="46" t="s">
        <v>4342</v>
      </c>
      <c r="J938" s="49" t="s">
        <v>899</v>
      </c>
      <c r="L938" s="63">
        <v>2</v>
      </c>
      <c r="M938" s="64">
        <v>526000</v>
      </c>
      <c r="N938" s="64">
        <v>980000</v>
      </c>
      <c r="O938" s="47" t="s">
        <v>1171</v>
      </c>
      <c r="P938" s="47" t="s">
        <v>8838</v>
      </c>
      <c r="Q938" s="62" t="s">
        <v>1939</v>
      </c>
      <c r="R938" s="47" t="s">
        <v>8801</v>
      </c>
      <c r="T938" s="47">
        <v>19</v>
      </c>
      <c r="U938" s="46" t="s">
        <v>491</v>
      </c>
      <c r="V938" s="46"/>
    </row>
    <row r="939" spans="1:23" ht="75" x14ac:dyDescent="0.25">
      <c r="A939" s="165">
        <v>43007</v>
      </c>
      <c r="B939" s="62" t="s">
        <v>569</v>
      </c>
      <c r="C939" s="46" t="s">
        <v>899</v>
      </c>
      <c r="D939" s="46" t="s">
        <v>625</v>
      </c>
      <c r="E939" s="46" t="s">
        <v>588</v>
      </c>
      <c r="F939" s="46" t="s">
        <v>4740</v>
      </c>
      <c r="G939" s="46" t="s">
        <v>208</v>
      </c>
      <c r="H939" s="46" t="s">
        <v>886</v>
      </c>
      <c r="I939" s="46" t="s">
        <v>3721</v>
      </c>
      <c r="J939" s="49" t="s">
        <v>899</v>
      </c>
      <c r="L939" s="63">
        <v>2</v>
      </c>
      <c r="M939" s="64">
        <v>4000000</v>
      </c>
      <c r="N939" s="64">
        <v>4000000</v>
      </c>
      <c r="O939" s="47" t="s">
        <v>560</v>
      </c>
      <c r="P939" s="47" t="s">
        <v>8802</v>
      </c>
      <c r="Q939" s="62" t="s">
        <v>592</v>
      </c>
      <c r="T939" s="47">
        <v>11</v>
      </c>
      <c r="U939" s="46" t="s">
        <v>491</v>
      </c>
      <c r="V939" s="46"/>
    </row>
    <row r="940" spans="1:23" ht="45" x14ac:dyDescent="0.25">
      <c r="A940" s="165">
        <v>43007</v>
      </c>
      <c r="B940" s="62" t="s">
        <v>328</v>
      </c>
      <c r="C940" s="46" t="s">
        <v>603</v>
      </c>
      <c r="D940" s="46" t="s">
        <v>649</v>
      </c>
      <c r="E940" s="46" t="s">
        <v>588</v>
      </c>
      <c r="F940" s="46" t="s">
        <v>7924</v>
      </c>
      <c r="G940" s="46" t="s">
        <v>7925</v>
      </c>
      <c r="H940" s="46" t="s">
        <v>607</v>
      </c>
      <c r="I940" s="46" t="s">
        <v>7926</v>
      </c>
      <c r="J940" s="49" t="s">
        <v>899</v>
      </c>
      <c r="L940" s="63">
        <v>4</v>
      </c>
      <c r="M940" s="64">
        <v>1800000</v>
      </c>
      <c r="N940" s="64">
        <v>3060000</v>
      </c>
      <c r="O940" s="47" t="s">
        <v>695</v>
      </c>
      <c r="P940" s="47" t="s">
        <v>8803</v>
      </c>
      <c r="Q940" s="62" t="s">
        <v>29</v>
      </c>
      <c r="R940" s="47" t="s">
        <v>8804</v>
      </c>
      <c r="T940" s="47">
        <v>36</v>
      </c>
      <c r="U940" s="46" t="s">
        <v>491</v>
      </c>
      <c r="V940" s="46"/>
    </row>
    <row r="941" spans="1:23" ht="60" x14ac:dyDescent="0.25">
      <c r="A941" s="165">
        <v>43007</v>
      </c>
      <c r="B941" s="62" t="s">
        <v>328</v>
      </c>
      <c r="C941" s="46" t="s">
        <v>603</v>
      </c>
      <c r="D941" s="46" t="s">
        <v>649</v>
      </c>
      <c r="E941" s="46" t="s">
        <v>588</v>
      </c>
      <c r="F941" s="46" t="s">
        <v>8805</v>
      </c>
      <c r="G941" s="46" t="s">
        <v>7855</v>
      </c>
      <c r="H941" s="46" t="s">
        <v>886</v>
      </c>
      <c r="I941" s="46" t="s">
        <v>8806</v>
      </c>
      <c r="J941" s="49" t="s">
        <v>3373</v>
      </c>
      <c r="L941" s="63">
        <v>4</v>
      </c>
      <c r="M941" s="64">
        <v>1500000</v>
      </c>
      <c r="N941" s="64">
        <v>1500000</v>
      </c>
      <c r="O941" s="47" t="s">
        <v>1171</v>
      </c>
      <c r="P941" s="47" t="s">
        <v>8807</v>
      </c>
      <c r="Q941" s="62" t="s">
        <v>29</v>
      </c>
      <c r="R941" s="47" t="s">
        <v>8818</v>
      </c>
      <c r="T941" s="149">
        <v>29</v>
      </c>
      <c r="U941" s="46" t="s">
        <v>491</v>
      </c>
      <c r="V941" s="46"/>
    </row>
    <row r="942" spans="1:23" s="146" customFormat="1" ht="60" x14ac:dyDescent="0.25">
      <c r="A942" s="167">
        <v>43010</v>
      </c>
      <c r="B942" s="145" t="s">
        <v>569</v>
      </c>
      <c r="C942" s="146" t="s">
        <v>899</v>
      </c>
      <c r="D942" s="146" t="s">
        <v>930</v>
      </c>
      <c r="E942" s="146" t="s">
        <v>588</v>
      </c>
      <c r="F942" s="146" t="s">
        <v>264</v>
      </c>
      <c r="G942" s="146" t="s">
        <v>8730</v>
      </c>
      <c r="H942" s="146" t="s">
        <v>607</v>
      </c>
      <c r="J942" s="109"/>
      <c r="K942" s="109"/>
      <c r="L942" s="147"/>
      <c r="M942" s="148"/>
      <c r="N942" s="148"/>
      <c r="O942" s="149" t="s">
        <v>3785</v>
      </c>
      <c r="P942" s="149" t="s">
        <v>8811</v>
      </c>
      <c r="Q942" s="145" t="s">
        <v>1939</v>
      </c>
      <c r="R942" s="149" t="s">
        <v>8812</v>
      </c>
      <c r="S942" s="149"/>
      <c r="T942" s="149">
        <v>8</v>
      </c>
      <c r="U942" s="146" t="s">
        <v>491</v>
      </c>
      <c r="W942" s="149"/>
    </row>
    <row r="943" spans="1:23" ht="30" x14ac:dyDescent="0.25">
      <c r="A943" s="165">
        <v>43010</v>
      </c>
      <c r="B943" s="62" t="s">
        <v>328</v>
      </c>
      <c r="C943" s="46" t="s">
        <v>603</v>
      </c>
      <c r="D943" s="46" t="s">
        <v>649</v>
      </c>
      <c r="E943" s="46" t="s">
        <v>588</v>
      </c>
      <c r="F943" s="46" t="s">
        <v>8813</v>
      </c>
      <c r="G943" s="46" t="s">
        <v>8814</v>
      </c>
      <c r="H943" s="46" t="s">
        <v>607</v>
      </c>
      <c r="I943" s="46" t="s">
        <v>8815</v>
      </c>
      <c r="J943" s="49" t="s">
        <v>3751</v>
      </c>
      <c r="L943" s="63">
        <v>10</v>
      </c>
      <c r="M943" s="64">
        <v>921903</v>
      </c>
      <c r="N943" s="64">
        <v>1521903</v>
      </c>
      <c r="O943" s="47" t="s">
        <v>2680</v>
      </c>
      <c r="P943" s="47" t="s">
        <v>8839</v>
      </c>
      <c r="Q943" s="62" t="s">
        <v>1939</v>
      </c>
      <c r="R943" s="47" t="s">
        <v>8816</v>
      </c>
      <c r="T943" s="47">
        <v>18</v>
      </c>
      <c r="U943" s="46" t="s">
        <v>491</v>
      </c>
      <c r="V943" s="46"/>
    </row>
    <row r="944" spans="1:23" ht="60" x14ac:dyDescent="0.25">
      <c r="A944" s="165">
        <v>43010</v>
      </c>
      <c r="B944" s="62" t="s">
        <v>569</v>
      </c>
      <c r="C944" s="46" t="s">
        <v>899</v>
      </c>
      <c r="D944" s="46" t="s">
        <v>625</v>
      </c>
      <c r="E944" s="46" t="s">
        <v>1707</v>
      </c>
      <c r="F944" s="46" t="s">
        <v>8817</v>
      </c>
      <c r="G944" s="46" t="s">
        <v>7830</v>
      </c>
      <c r="H944" s="46" t="s">
        <v>607</v>
      </c>
      <c r="I944" s="46" t="s">
        <v>4237</v>
      </c>
      <c r="J944" s="49" t="s">
        <v>899</v>
      </c>
      <c r="M944" s="64">
        <v>925000</v>
      </c>
      <c r="N944" s="64">
        <v>1700000</v>
      </c>
      <c r="O944" s="47" t="s">
        <v>1171</v>
      </c>
      <c r="P944" s="47" t="s">
        <v>8840</v>
      </c>
      <c r="Q944" s="62" t="s">
        <v>620</v>
      </c>
      <c r="R944" s="47" t="s">
        <v>8841</v>
      </c>
      <c r="T944" s="47">
        <v>32</v>
      </c>
      <c r="U944" s="46" t="s">
        <v>491</v>
      </c>
      <c r="V944" s="46"/>
    </row>
    <row r="945" spans="1:22" ht="90" x14ac:dyDescent="0.25">
      <c r="A945" s="165">
        <v>43010</v>
      </c>
      <c r="B945" s="62" t="s">
        <v>569</v>
      </c>
      <c r="C945" s="46" t="s">
        <v>899</v>
      </c>
      <c r="D945" s="46" t="s">
        <v>625</v>
      </c>
      <c r="E945" s="46" t="s">
        <v>821</v>
      </c>
      <c r="F945" s="46" t="s">
        <v>8819</v>
      </c>
      <c r="G945" s="46" t="s">
        <v>8820</v>
      </c>
      <c r="H945" s="46" t="s">
        <v>607</v>
      </c>
      <c r="J945" s="49" t="s">
        <v>899</v>
      </c>
      <c r="O945" s="47" t="s">
        <v>1171</v>
      </c>
      <c r="P945" s="47" t="s">
        <v>8821</v>
      </c>
      <c r="Q945" s="62" t="s">
        <v>1939</v>
      </c>
      <c r="R945" s="47" t="s">
        <v>8822</v>
      </c>
      <c r="T945" s="149">
        <v>19</v>
      </c>
      <c r="U945" s="46" t="s">
        <v>491</v>
      </c>
      <c r="V945" s="46"/>
    </row>
    <row r="946" spans="1:22" ht="180" x14ac:dyDescent="0.25">
      <c r="A946" s="165">
        <v>43011</v>
      </c>
      <c r="B946" s="62" t="s">
        <v>328</v>
      </c>
      <c r="C946" s="46" t="s">
        <v>603</v>
      </c>
      <c r="D946" s="46" t="s">
        <v>2397</v>
      </c>
      <c r="E946" s="46" t="s">
        <v>588</v>
      </c>
      <c r="F946" s="46" t="s">
        <v>8824</v>
      </c>
      <c r="G946" s="46" t="s">
        <v>256</v>
      </c>
      <c r="H946" s="46" t="s">
        <v>607</v>
      </c>
      <c r="I946" s="46" t="s">
        <v>8825</v>
      </c>
      <c r="J946" s="49" t="s">
        <v>3398</v>
      </c>
      <c r="M946" s="64">
        <v>3000000</v>
      </c>
      <c r="N946" s="64">
        <v>3500000</v>
      </c>
      <c r="O946" s="47" t="s">
        <v>5926</v>
      </c>
      <c r="P946" s="47" t="s">
        <v>8823</v>
      </c>
      <c r="Q946" s="62" t="s">
        <v>1612</v>
      </c>
      <c r="R946" s="47" t="s">
        <v>8906</v>
      </c>
      <c r="S946" s="47" t="s">
        <v>8907</v>
      </c>
      <c r="T946" s="47">
        <v>34</v>
      </c>
      <c r="U946" s="46" t="s">
        <v>491</v>
      </c>
      <c r="V946" s="46"/>
    </row>
    <row r="947" spans="1:22" ht="45" x14ac:dyDescent="0.25">
      <c r="A947" s="165">
        <v>43011</v>
      </c>
      <c r="B947" s="62" t="s">
        <v>328</v>
      </c>
      <c r="C947" s="46" t="s">
        <v>603</v>
      </c>
      <c r="D947" s="46" t="s">
        <v>649</v>
      </c>
      <c r="E947" s="46" t="s">
        <v>588</v>
      </c>
      <c r="F947" s="46" t="s">
        <v>8826</v>
      </c>
      <c r="G947" s="46" t="s">
        <v>8827</v>
      </c>
      <c r="H947" s="46" t="s">
        <v>1057</v>
      </c>
      <c r="I947" s="46" t="s">
        <v>3929</v>
      </c>
      <c r="J947" s="49" t="s">
        <v>899</v>
      </c>
      <c r="M947" s="64">
        <v>125000</v>
      </c>
      <c r="N947" s="64">
        <v>260600</v>
      </c>
      <c r="O947" s="47" t="s">
        <v>8828</v>
      </c>
      <c r="P947" s="47" t="s">
        <v>8829</v>
      </c>
      <c r="Q947" s="62" t="s">
        <v>1939</v>
      </c>
      <c r="R947" s="47" t="s">
        <v>8830</v>
      </c>
      <c r="T947" s="47">
        <v>22</v>
      </c>
      <c r="U947" s="46" t="s">
        <v>491</v>
      </c>
      <c r="V947" s="46"/>
    </row>
    <row r="948" spans="1:22" ht="75" x14ac:dyDescent="0.25">
      <c r="A948" s="165">
        <v>43011</v>
      </c>
      <c r="B948" s="62" t="s">
        <v>5176</v>
      </c>
      <c r="C948" s="46" t="s">
        <v>604</v>
      </c>
      <c r="D948" s="46" t="s">
        <v>6995</v>
      </c>
      <c r="E948" s="46" t="s">
        <v>588</v>
      </c>
      <c r="F948" s="46" t="s">
        <v>8842</v>
      </c>
      <c r="G948" s="46" t="s">
        <v>8843</v>
      </c>
      <c r="H948" s="46" t="s">
        <v>607</v>
      </c>
      <c r="O948" s="47" t="s">
        <v>8737</v>
      </c>
      <c r="P948" s="47" t="s">
        <v>9270</v>
      </c>
      <c r="Q948" s="62" t="s">
        <v>1939</v>
      </c>
      <c r="R948" s="47" t="s">
        <v>8844</v>
      </c>
      <c r="T948" s="47">
        <v>16</v>
      </c>
      <c r="U948" s="46" t="s">
        <v>491</v>
      </c>
      <c r="V948" s="46"/>
    </row>
    <row r="949" spans="1:22" ht="45" x14ac:dyDescent="0.25">
      <c r="A949" s="165">
        <v>43011</v>
      </c>
      <c r="B949" s="62" t="s">
        <v>328</v>
      </c>
      <c r="C949" s="46" t="s">
        <v>603</v>
      </c>
      <c r="D949" s="46" t="s">
        <v>649</v>
      </c>
      <c r="E949" s="46" t="s">
        <v>588</v>
      </c>
      <c r="F949" s="46" t="s">
        <v>8845</v>
      </c>
      <c r="G949" s="46" t="s">
        <v>8846</v>
      </c>
      <c r="H949" s="46" t="s">
        <v>905</v>
      </c>
      <c r="I949" s="46" t="s">
        <v>232</v>
      </c>
      <c r="J949" s="49" t="s">
        <v>899</v>
      </c>
      <c r="L949" s="63">
        <v>10</v>
      </c>
      <c r="M949" s="64">
        <v>410000</v>
      </c>
      <c r="N949" s="64">
        <v>476000</v>
      </c>
      <c r="O949" s="47" t="s">
        <v>2680</v>
      </c>
      <c r="P949" s="47" t="s">
        <v>8847</v>
      </c>
      <c r="Q949" s="62" t="s">
        <v>29</v>
      </c>
      <c r="R949" s="47" t="s">
        <v>8848</v>
      </c>
      <c r="T949" s="47">
        <v>25</v>
      </c>
      <c r="U949" s="46" t="s">
        <v>491</v>
      </c>
      <c r="V949" s="46"/>
    </row>
    <row r="950" spans="1:22" ht="75" x14ac:dyDescent="0.25">
      <c r="A950" s="165">
        <v>43011</v>
      </c>
      <c r="B950" s="62" t="s">
        <v>569</v>
      </c>
      <c r="C950" s="46" t="s">
        <v>899</v>
      </c>
      <c r="D950" s="46" t="s">
        <v>930</v>
      </c>
      <c r="E950" s="46" t="s">
        <v>821</v>
      </c>
      <c r="F950" s="46" t="s">
        <v>8849</v>
      </c>
      <c r="H950" s="46" t="s">
        <v>607</v>
      </c>
      <c r="O950" s="47" t="s">
        <v>3785</v>
      </c>
      <c r="P950" s="47" t="s">
        <v>8850</v>
      </c>
      <c r="Q950" s="62" t="s">
        <v>1939</v>
      </c>
      <c r="R950" s="47" t="s">
        <v>8851</v>
      </c>
      <c r="T950" s="47">
        <v>10</v>
      </c>
      <c r="U950" s="46" t="s">
        <v>491</v>
      </c>
      <c r="V950" s="46"/>
    </row>
    <row r="951" spans="1:22" ht="45" x14ac:dyDescent="0.25">
      <c r="A951" s="165">
        <v>43011</v>
      </c>
      <c r="B951" s="62" t="s">
        <v>643</v>
      </c>
      <c r="C951" s="46" t="s">
        <v>644</v>
      </c>
      <c r="D951" s="46" t="s">
        <v>645</v>
      </c>
      <c r="E951" s="46" t="s">
        <v>588</v>
      </c>
      <c r="F951" s="46" t="s">
        <v>8852</v>
      </c>
      <c r="G951" s="46" t="s">
        <v>8853</v>
      </c>
      <c r="H951" s="46" t="s">
        <v>809</v>
      </c>
      <c r="I951" s="46" t="s">
        <v>5212</v>
      </c>
      <c r="J951" s="49" t="s">
        <v>644</v>
      </c>
      <c r="L951" s="63">
        <v>2</v>
      </c>
      <c r="M951" s="64">
        <v>2000000</v>
      </c>
      <c r="N951" s="64">
        <v>2300000</v>
      </c>
      <c r="O951" s="47" t="s">
        <v>560</v>
      </c>
      <c r="P951" s="47" t="s">
        <v>8854</v>
      </c>
      <c r="Q951" s="62" t="s">
        <v>1939</v>
      </c>
      <c r="R951" s="47" t="s">
        <v>8855</v>
      </c>
      <c r="S951" s="47" t="s">
        <v>9514</v>
      </c>
      <c r="T951" s="47">
        <v>23</v>
      </c>
      <c r="U951" s="46" t="s">
        <v>491</v>
      </c>
      <c r="V951" s="46"/>
    </row>
    <row r="952" spans="1:22" ht="75" x14ac:dyDescent="0.25">
      <c r="A952" s="165">
        <v>43011</v>
      </c>
      <c r="B952" s="62" t="s">
        <v>5176</v>
      </c>
      <c r="C952" s="46" t="s">
        <v>604</v>
      </c>
      <c r="D952" s="46" t="s">
        <v>595</v>
      </c>
      <c r="E952" s="46" t="s">
        <v>1707</v>
      </c>
      <c r="F952" s="46" t="s">
        <v>8856</v>
      </c>
      <c r="H952" s="46" t="s">
        <v>1615</v>
      </c>
      <c r="I952" s="46" t="s">
        <v>8857</v>
      </c>
      <c r="J952" s="49" t="s">
        <v>959</v>
      </c>
      <c r="M952" s="64">
        <v>600000</v>
      </c>
      <c r="N952" s="64">
        <v>710000</v>
      </c>
      <c r="O952" s="47" t="s">
        <v>639</v>
      </c>
      <c r="P952" s="47" t="s">
        <v>8862</v>
      </c>
      <c r="Q952" s="62" t="s">
        <v>1939</v>
      </c>
      <c r="R952" s="47" t="s">
        <v>8861</v>
      </c>
      <c r="T952" s="149">
        <v>55</v>
      </c>
      <c r="U952" s="46" t="s">
        <v>491</v>
      </c>
      <c r="V952" s="46"/>
    </row>
    <row r="953" spans="1:22" ht="75" x14ac:dyDescent="0.25">
      <c r="A953" s="61">
        <v>43012</v>
      </c>
      <c r="B953" s="62" t="s">
        <v>328</v>
      </c>
      <c r="C953" s="46" t="s">
        <v>603</v>
      </c>
      <c r="D953" s="46" t="s">
        <v>2397</v>
      </c>
      <c r="E953" s="46" t="s">
        <v>588</v>
      </c>
      <c r="F953" s="46" t="s">
        <v>8858</v>
      </c>
      <c r="G953" s="46" t="s">
        <v>7830</v>
      </c>
      <c r="H953" s="46" t="s">
        <v>1391</v>
      </c>
      <c r="I953" s="46" t="s">
        <v>4861</v>
      </c>
      <c r="J953" s="49" t="s">
        <v>644</v>
      </c>
      <c r="L953" s="63">
        <v>10</v>
      </c>
      <c r="M953" s="64">
        <v>2500000</v>
      </c>
      <c r="N953" s="64">
        <v>3750000</v>
      </c>
      <c r="O953" s="47" t="s">
        <v>560</v>
      </c>
      <c r="P953" s="47" t="s">
        <v>8859</v>
      </c>
      <c r="Q953" s="62" t="s">
        <v>1939</v>
      </c>
      <c r="R953" s="47" t="s">
        <v>8860</v>
      </c>
      <c r="T953" s="47">
        <v>38</v>
      </c>
      <c r="U953" s="46" t="s">
        <v>491</v>
      </c>
      <c r="V953" s="46"/>
    </row>
    <row r="954" spans="1:22" ht="30" x14ac:dyDescent="0.25">
      <c r="A954" s="61">
        <v>43012</v>
      </c>
      <c r="B954" s="62" t="s">
        <v>328</v>
      </c>
      <c r="C954" s="46" t="s">
        <v>603</v>
      </c>
      <c r="D954" s="46" t="s">
        <v>672</v>
      </c>
      <c r="E954" s="46" t="s">
        <v>588</v>
      </c>
      <c r="F954" s="46" t="s">
        <v>8863</v>
      </c>
      <c r="G954" s="46" t="s">
        <v>8864</v>
      </c>
      <c r="H954" s="46" t="s">
        <v>607</v>
      </c>
      <c r="I954" s="46" t="s">
        <v>3452</v>
      </c>
      <c r="J954" s="49" t="s">
        <v>899</v>
      </c>
      <c r="L954" s="63">
        <v>9</v>
      </c>
      <c r="M954" s="64">
        <v>758000</v>
      </c>
      <c r="N954" s="64">
        <v>1609200</v>
      </c>
      <c r="O954" s="47" t="s">
        <v>560</v>
      </c>
      <c r="P954" s="47" t="s">
        <v>8865</v>
      </c>
      <c r="Q954" s="62" t="s">
        <v>1939</v>
      </c>
      <c r="R954" s="47" t="s">
        <v>8866</v>
      </c>
      <c r="T954" s="47">
        <v>26</v>
      </c>
      <c r="U954" s="46" t="s">
        <v>491</v>
      </c>
      <c r="V954" s="46"/>
    </row>
    <row r="955" spans="1:22" ht="156.75" x14ac:dyDescent="0.25">
      <c r="A955" s="61">
        <v>43012</v>
      </c>
      <c r="B955" s="62" t="s">
        <v>328</v>
      </c>
      <c r="C955" s="46" t="s">
        <v>603</v>
      </c>
      <c r="D955" s="46" t="s">
        <v>2397</v>
      </c>
      <c r="E955" s="46" t="s">
        <v>588</v>
      </c>
      <c r="F955" s="46" t="s">
        <v>8867</v>
      </c>
      <c r="G955" s="46" t="s">
        <v>757</v>
      </c>
      <c r="H955" s="46" t="s">
        <v>1391</v>
      </c>
      <c r="I955" s="46" t="s">
        <v>8868</v>
      </c>
      <c r="J955" s="49" t="s">
        <v>644</v>
      </c>
      <c r="L955" s="63">
        <v>10</v>
      </c>
      <c r="M955" s="64">
        <v>2900000</v>
      </c>
      <c r="N955" s="64">
        <v>3130000</v>
      </c>
      <c r="O955" s="47" t="s">
        <v>560</v>
      </c>
      <c r="P955" s="47" t="s">
        <v>8869</v>
      </c>
      <c r="Q955" s="62" t="s">
        <v>1612</v>
      </c>
      <c r="R955" s="86" t="s">
        <v>9271</v>
      </c>
      <c r="S955" s="47" t="s">
        <v>8905</v>
      </c>
      <c r="T955" s="47">
        <v>62</v>
      </c>
      <c r="U955" s="46" t="s">
        <v>491</v>
      </c>
      <c r="V955" s="46"/>
    </row>
    <row r="956" spans="1:22" ht="168.75" x14ac:dyDescent="0.25">
      <c r="A956" s="61">
        <v>43012</v>
      </c>
      <c r="B956" s="62" t="s">
        <v>328</v>
      </c>
      <c r="C956" s="46" t="s">
        <v>603</v>
      </c>
      <c r="D956" s="46" t="s">
        <v>1401</v>
      </c>
      <c r="E956" s="46" t="s">
        <v>588</v>
      </c>
      <c r="F956" s="46" t="s">
        <v>8870</v>
      </c>
      <c r="G956" s="46" t="s">
        <v>8871</v>
      </c>
      <c r="H956" s="46" t="s">
        <v>607</v>
      </c>
      <c r="I956" s="46" t="s">
        <v>5366</v>
      </c>
      <c r="J956" s="49" t="s">
        <v>899</v>
      </c>
      <c r="L956" s="63">
        <v>10</v>
      </c>
      <c r="M956" s="64">
        <v>710000</v>
      </c>
      <c r="N956" s="64">
        <v>1426500</v>
      </c>
      <c r="O956" s="47" t="s">
        <v>8872</v>
      </c>
      <c r="P956" s="47" t="s">
        <v>8873</v>
      </c>
      <c r="Q956" s="62" t="s">
        <v>29</v>
      </c>
      <c r="R956" s="47" t="s">
        <v>8874</v>
      </c>
      <c r="S956" s="86" t="s">
        <v>8875</v>
      </c>
      <c r="T956" s="47">
        <v>51</v>
      </c>
      <c r="U956" s="46" t="s">
        <v>491</v>
      </c>
      <c r="V956" s="46"/>
    </row>
    <row r="957" spans="1:22" ht="180.75" x14ac:dyDescent="0.25">
      <c r="A957" s="61">
        <v>43012</v>
      </c>
      <c r="B957" s="62" t="s">
        <v>328</v>
      </c>
      <c r="C957" s="46" t="s">
        <v>603</v>
      </c>
      <c r="D957" s="46" t="s">
        <v>2397</v>
      </c>
      <c r="E957" s="46" t="s">
        <v>588</v>
      </c>
      <c r="F957" s="46" t="s">
        <v>7850</v>
      </c>
      <c r="G957" s="46" t="s">
        <v>8041</v>
      </c>
      <c r="H957" s="46" t="s">
        <v>1391</v>
      </c>
      <c r="I957" s="46" t="s">
        <v>3649</v>
      </c>
      <c r="J957" s="49" t="s">
        <v>899</v>
      </c>
      <c r="M957" s="64">
        <v>2500000</v>
      </c>
      <c r="N957" s="64">
        <v>3150000</v>
      </c>
      <c r="O957" s="47" t="s">
        <v>695</v>
      </c>
      <c r="P957" s="47" t="s">
        <v>8876</v>
      </c>
      <c r="Q957" s="62" t="s">
        <v>1939</v>
      </c>
      <c r="R957" s="86" t="s">
        <v>8877</v>
      </c>
      <c r="S957" s="47" t="s">
        <v>8878</v>
      </c>
      <c r="T957" s="47">
        <v>47</v>
      </c>
      <c r="U957" s="46" t="s">
        <v>491</v>
      </c>
      <c r="V957" s="46"/>
    </row>
    <row r="958" spans="1:22" ht="105" x14ac:dyDescent="0.25">
      <c r="A958" s="61">
        <v>43012</v>
      </c>
      <c r="B958" s="62" t="s">
        <v>569</v>
      </c>
      <c r="C958" s="46" t="s">
        <v>899</v>
      </c>
      <c r="D958" s="46" t="s">
        <v>930</v>
      </c>
      <c r="E958" s="46" t="s">
        <v>1707</v>
      </c>
      <c r="F958" s="46" t="s">
        <v>8879</v>
      </c>
      <c r="G958" s="46" t="s">
        <v>8880</v>
      </c>
      <c r="H958" s="46" t="s">
        <v>607</v>
      </c>
      <c r="I958" s="46" t="s">
        <v>8881</v>
      </c>
      <c r="J958" s="49" t="s">
        <v>899</v>
      </c>
      <c r="L958" s="63">
        <v>4</v>
      </c>
      <c r="M958" s="64">
        <v>712000</v>
      </c>
      <c r="N958" s="64">
        <v>1139000</v>
      </c>
      <c r="O958" s="47" t="s">
        <v>1171</v>
      </c>
      <c r="P958" s="47" t="s">
        <v>8882</v>
      </c>
      <c r="Q958" s="62" t="s">
        <v>1939</v>
      </c>
      <c r="R958" s="47" t="s">
        <v>8883</v>
      </c>
      <c r="T958" s="47">
        <v>28</v>
      </c>
      <c r="U958" s="46" t="s">
        <v>491</v>
      </c>
      <c r="V958" s="46"/>
    </row>
    <row r="959" spans="1:22" ht="179.25" x14ac:dyDescent="0.25">
      <c r="A959" s="61">
        <v>43012</v>
      </c>
      <c r="B959" s="62" t="s">
        <v>569</v>
      </c>
      <c r="C959" s="46" t="s">
        <v>899</v>
      </c>
      <c r="D959" s="46" t="s">
        <v>625</v>
      </c>
      <c r="E959" s="46" t="s">
        <v>821</v>
      </c>
      <c r="F959" s="46" t="s">
        <v>8884</v>
      </c>
      <c r="G959" s="46" t="s">
        <v>8885</v>
      </c>
      <c r="H959" s="46" t="s">
        <v>607</v>
      </c>
      <c r="I959" s="46" t="s">
        <v>8058</v>
      </c>
      <c r="J959" s="49" t="s">
        <v>899</v>
      </c>
      <c r="L959" s="63">
        <v>2</v>
      </c>
      <c r="M959" s="64">
        <v>474000</v>
      </c>
      <c r="N959" s="64">
        <v>750000</v>
      </c>
      <c r="O959" s="47" t="s">
        <v>1171</v>
      </c>
      <c r="P959" s="88" t="s">
        <v>8886</v>
      </c>
      <c r="Q959" s="62" t="s">
        <v>29</v>
      </c>
      <c r="R959" s="47" t="s">
        <v>8899</v>
      </c>
      <c r="T959" s="149">
        <v>29</v>
      </c>
      <c r="U959" s="46" t="s">
        <v>491</v>
      </c>
      <c r="V959" s="46"/>
    </row>
    <row r="960" spans="1:22" ht="45" x14ac:dyDescent="0.25">
      <c r="A960" s="61">
        <v>43013</v>
      </c>
      <c r="B960" s="62" t="s">
        <v>328</v>
      </c>
      <c r="C960" s="46" t="s">
        <v>899</v>
      </c>
      <c r="D960" s="46" t="s">
        <v>587</v>
      </c>
      <c r="E960" s="46" t="s">
        <v>588</v>
      </c>
      <c r="F960" s="46" t="s">
        <v>8887</v>
      </c>
      <c r="G960" s="46" t="s">
        <v>8888</v>
      </c>
      <c r="H960" s="46" t="s">
        <v>607</v>
      </c>
      <c r="I960" s="46" t="s">
        <v>4674</v>
      </c>
      <c r="J960" s="49" t="s">
        <v>899</v>
      </c>
      <c r="L960" s="63">
        <v>9</v>
      </c>
      <c r="M960" s="64">
        <v>440000</v>
      </c>
      <c r="O960" s="47" t="s">
        <v>695</v>
      </c>
      <c r="P960" s="47" t="s">
        <v>8889</v>
      </c>
      <c r="Q960" s="62" t="s">
        <v>1939</v>
      </c>
      <c r="R960" s="47" t="s">
        <v>8890</v>
      </c>
      <c r="T960" s="47">
        <v>22</v>
      </c>
      <c r="U960" s="46" t="s">
        <v>491</v>
      </c>
      <c r="V960" s="46"/>
    </row>
    <row r="961" spans="1:22" ht="75" x14ac:dyDescent="0.25">
      <c r="A961" s="61">
        <v>43013</v>
      </c>
      <c r="B961" s="62" t="s">
        <v>328</v>
      </c>
      <c r="C961" s="46" t="s">
        <v>899</v>
      </c>
      <c r="D961" s="46" t="s">
        <v>7595</v>
      </c>
      <c r="E961" s="46" t="s">
        <v>588</v>
      </c>
      <c r="F961" s="46" t="s">
        <v>8891</v>
      </c>
      <c r="G961" s="46" t="s">
        <v>8892</v>
      </c>
      <c r="H961" s="46" t="s">
        <v>1391</v>
      </c>
      <c r="I961" s="46" t="s">
        <v>8893</v>
      </c>
      <c r="J961" s="49" t="s">
        <v>959</v>
      </c>
      <c r="L961" s="63">
        <v>3</v>
      </c>
      <c r="M961" s="64">
        <v>250000</v>
      </c>
      <c r="N961" s="64">
        <v>425000</v>
      </c>
      <c r="O961" s="47" t="s">
        <v>695</v>
      </c>
      <c r="P961" s="47" t="s">
        <v>8894</v>
      </c>
      <c r="Q961" s="62" t="s">
        <v>1939</v>
      </c>
      <c r="R961" s="47" t="s">
        <v>8896</v>
      </c>
      <c r="S961" s="47" t="s">
        <v>8895</v>
      </c>
      <c r="T961" s="47">
        <v>30</v>
      </c>
      <c r="U961" s="46" t="s">
        <v>491</v>
      </c>
      <c r="V961" s="46"/>
    </row>
    <row r="962" spans="1:22" ht="45" x14ac:dyDescent="0.25">
      <c r="A962" s="61">
        <v>43013</v>
      </c>
      <c r="B962" s="62" t="s">
        <v>328</v>
      </c>
      <c r="C962" s="46" t="s">
        <v>899</v>
      </c>
      <c r="D962" s="46" t="s">
        <v>649</v>
      </c>
      <c r="E962" s="46" t="s">
        <v>588</v>
      </c>
      <c r="F962" s="46" t="s">
        <v>8897</v>
      </c>
      <c r="G962" s="46" t="s">
        <v>256</v>
      </c>
      <c r="H962" s="46" t="s">
        <v>607</v>
      </c>
      <c r="I962" s="46" t="s">
        <v>8445</v>
      </c>
      <c r="J962" s="49" t="s">
        <v>899</v>
      </c>
      <c r="L962" s="63">
        <v>3</v>
      </c>
      <c r="M962" s="64">
        <v>1700000</v>
      </c>
      <c r="N962" s="64">
        <v>3060000</v>
      </c>
      <c r="O962" s="47" t="s">
        <v>560</v>
      </c>
      <c r="P962" s="47" t="s">
        <v>8898</v>
      </c>
      <c r="Q962" s="62" t="s">
        <v>592</v>
      </c>
      <c r="T962" s="47">
        <v>21</v>
      </c>
      <c r="U962" s="46" t="s">
        <v>491</v>
      </c>
      <c r="V962" s="46"/>
    </row>
    <row r="963" spans="1:22" ht="45" x14ac:dyDescent="0.25">
      <c r="A963" s="61">
        <v>43013</v>
      </c>
      <c r="B963" s="62" t="s">
        <v>328</v>
      </c>
      <c r="C963" s="46" t="s">
        <v>899</v>
      </c>
      <c r="D963" s="46" t="s">
        <v>649</v>
      </c>
      <c r="E963" s="46" t="s">
        <v>588</v>
      </c>
      <c r="F963" s="46" t="s">
        <v>8900</v>
      </c>
      <c r="H963" s="46" t="s">
        <v>8901</v>
      </c>
      <c r="I963" s="46" t="s">
        <v>8902</v>
      </c>
      <c r="J963" s="49" t="s">
        <v>4785</v>
      </c>
      <c r="L963" s="63">
        <v>6</v>
      </c>
      <c r="M963" s="64">
        <v>200000</v>
      </c>
      <c r="N963" s="64">
        <v>225000</v>
      </c>
      <c r="O963" s="47" t="s">
        <v>754</v>
      </c>
      <c r="P963" s="47" t="s">
        <v>8904</v>
      </c>
      <c r="Q963" s="62" t="s">
        <v>592</v>
      </c>
      <c r="R963" s="47" t="s">
        <v>833</v>
      </c>
      <c r="S963" s="47" t="s">
        <v>8903</v>
      </c>
      <c r="T963" s="47">
        <v>24</v>
      </c>
      <c r="U963" s="46" t="s">
        <v>491</v>
      </c>
      <c r="V963" s="46"/>
    </row>
    <row r="964" spans="1:22" ht="60" x14ac:dyDescent="0.25">
      <c r="A964" s="61">
        <v>43013</v>
      </c>
      <c r="B964" s="62" t="s">
        <v>5992</v>
      </c>
      <c r="C964" s="46" t="s">
        <v>608</v>
      </c>
      <c r="D964" s="46" t="s">
        <v>5270</v>
      </c>
      <c r="E964" s="46" t="s">
        <v>588</v>
      </c>
      <c r="F964" s="46" t="s">
        <v>8908</v>
      </c>
      <c r="G964" s="46" t="s">
        <v>7865</v>
      </c>
      <c r="H964" s="46" t="s">
        <v>607</v>
      </c>
      <c r="I964" s="46" t="s">
        <v>8909</v>
      </c>
      <c r="J964" s="49" t="s">
        <v>608</v>
      </c>
      <c r="L964" s="63">
        <v>4</v>
      </c>
      <c r="M964" s="64">
        <v>398000</v>
      </c>
      <c r="N964" s="64">
        <v>600000</v>
      </c>
      <c r="O964" s="47" t="s">
        <v>5311</v>
      </c>
      <c r="P964" s="47" t="s">
        <v>8910</v>
      </c>
      <c r="Q964" s="62" t="s">
        <v>592</v>
      </c>
      <c r="S964" s="47" t="s">
        <v>6739</v>
      </c>
      <c r="T964" s="47">
        <v>25</v>
      </c>
      <c r="U964" s="46" t="s">
        <v>491</v>
      </c>
      <c r="V964" s="46"/>
    </row>
    <row r="965" spans="1:22" ht="60" x14ac:dyDescent="0.25">
      <c r="A965" s="61">
        <v>43013</v>
      </c>
      <c r="B965" s="62" t="s">
        <v>5992</v>
      </c>
      <c r="C965" s="46" t="s">
        <v>608</v>
      </c>
      <c r="D965" s="46" t="s">
        <v>7858</v>
      </c>
      <c r="E965" s="46" t="s">
        <v>588</v>
      </c>
      <c r="F965" s="46" t="s">
        <v>8911</v>
      </c>
      <c r="G965" s="46" t="s">
        <v>8912</v>
      </c>
      <c r="H965" s="46" t="s">
        <v>4132</v>
      </c>
      <c r="I965" s="46" t="s">
        <v>8909</v>
      </c>
      <c r="J965" s="49" t="s">
        <v>608</v>
      </c>
      <c r="L965" s="63">
        <v>4</v>
      </c>
      <c r="M965" s="64">
        <v>333200</v>
      </c>
      <c r="N965" s="64">
        <v>500000</v>
      </c>
      <c r="O965" s="47" t="s">
        <v>666</v>
      </c>
      <c r="P965" s="47" t="s">
        <v>8913</v>
      </c>
      <c r="Q965" s="62" t="s">
        <v>29</v>
      </c>
      <c r="R965" s="47" t="s">
        <v>8914</v>
      </c>
      <c r="S965" s="47" t="s">
        <v>8915</v>
      </c>
      <c r="T965" s="47">
        <v>28</v>
      </c>
      <c r="U965" s="46" t="s">
        <v>491</v>
      </c>
      <c r="V965" s="46"/>
    </row>
    <row r="966" spans="1:22" ht="102.75" x14ac:dyDescent="0.25">
      <c r="A966" s="61">
        <v>43013</v>
      </c>
      <c r="B966" s="62" t="s">
        <v>328</v>
      </c>
      <c r="C966" s="46" t="s">
        <v>603</v>
      </c>
      <c r="D966" s="46" t="s">
        <v>649</v>
      </c>
      <c r="E966" s="46" t="s">
        <v>588</v>
      </c>
      <c r="F966" s="46" t="s">
        <v>8916</v>
      </c>
      <c r="H966" s="46" t="s">
        <v>905</v>
      </c>
      <c r="I966" s="46" t="s">
        <v>8919</v>
      </c>
      <c r="J966" s="49" t="s">
        <v>5509</v>
      </c>
      <c r="L966" s="63">
        <v>2</v>
      </c>
      <c r="M966" s="64">
        <v>3000000</v>
      </c>
      <c r="N966" s="64">
        <v>4100000</v>
      </c>
      <c r="O966" s="47" t="s">
        <v>560</v>
      </c>
      <c r="P966" s="47" t="s">
        <v>8920</v>
      </c>
      <c r="Q966" s="62" t="s">
        <v>592</v>
      </c>
      <c r="R966" s="47" t="s">
        <v>8918</v>
      </c>
      <c r="S966" s="88" t="s">
        <v>8917</v>
      </c>
      <c r="T966" s="47">
        <v>34</v>
      </c>
      <c r="U966" s="46" t="s">
        <v>491</v>
      </c>
      <c r="V966" s="46"/>
    </row>
    <row r="967" spans="1:22" ht="60" x14ac:dyDescent="0.25">
      <c r="A967" s="61">
        <v>43013</v>
      </c>
      <c r="B967" s="62" t="s">
        <v>569</v>
      </c>
      <c r="C967" s="46" t="s">
        <v>899</v>
      </c>
      <c r="D967" s="46" t="s">
        <v>930</v>
      </c>
      <c r="E967" s="46" t="s">
        <v>821</v>
      </c>
      <c r="F967" s="46" t="s">
        <v>8921</v>
      </c>
      <c r="H967" s="46" t="s">
        <v>1391</v>
      </c>
      <c r="O967" s="47" t="s">
        <v>639</v>
      </c>
      <c r="P967" s="47" t="s">
        <v>8922</v>
      </c>
      <c r="Q967" s="62" t="s">
        <v>1939</v>
      </c>
      <c r="R967" s="47" t="s">
        <v>8923</v>
      </c>
      <c r="T967" s="47">
        <v>10</v>
      </c>
      <c r="U967" s="46" t="s">
        <v>491</v>
      </c>
      <c r="V967" s="46"/>
    </row>
    <row r="968" spans="1:22" ht="135" x14ac:dyDescent="0.25">
      <c r="A968" s="61">
        <v>43013</v>
      </c>
      <c r="B968" s="62" t="s">
        <v>5176</v>
      </c>
      <c r="C968" s="46" t="s">
        <v>604</v>
      </c>
      <c r="D968" s="46" t="s">
        <v>595</v>
      </c>
      <c r="E968" s="46" t="s">
        <v>821</v>
      </c>
      <c r="F968" s="46" t="s">
        <v>8924</v>
      </c>
      <c r="H968" s="46" t="s">
        <v>8925</v>
      </c>
      <c r="I968" s="46" t="s">
        <v>8926</v>
      </c>
      <c r="J968" s="49" t="s">
        <v>959</v>
      </c>
      <c r="M968" s="64">
        <v>500000</v>
      </c>
      <c r="O968" s="47" t="s">
        <v>35</v>
      </c>
      <c r="P968" s="47" t="s">
        <v>8928</v>
      </c>
      <c r="Q968" s="62" t="s">
        <v>1939</v>
      </c>
      <c r="R968" s="47" t="s">
        <v>8927</v>
      </c>
      <c r="T968" s="149">
        <v>25</v>
      </c>
      <c r="U968" s="46" t="s">
        <v>491</v>
      </c>
      <c r="V968" s="46"/>
    </row>
    <row r="969" spans="1:22" ht="60" x14ac:dyDescent="0.25">
      <c r="A969" s="61">
        <v>43014</v>
      </c>
      <c r="B969" s="62" t="s">
        <v>569</v>
      </c>
      <c r="C969" s="46" t="s">
        <v>899</v>
      </c>
      <c r="D969" s="46" t="s">
        <v>625</v>
      </c>
      <c r="E969" s="46" t="s">
        <v>588</v>
      </c>
      <c r="F969" s="46" t="s">
        <v>370</v>
      </c>
      <c r="G969" s="46" t="s">
        <v>8929</v>
      </c>
      <c r="H969" s="46" t="s">
        <v>886</v>
      </c>
      <c r="I969" s="46" t="s">
        <v>3840</v>
      </c>
      <c r="J969" s="49" t="s">
        <v>899</v>
      </c>
      <c r="M969" s="64">
        <v>2800000</v>
      </c>
      <c r="N969" s="64">
        <v>3080000</v>
      </c>
      <c r="O969" s="47" t="s">
        <v>560</v>
      </c>
      <c r="P969" s="47" t="s">
        <v>8930</v>
      </c>
      <c r="Q969" s="62" t="s">
        <v>592</v>
      </c>
      <c r="T969" s="47">
        <v>17</v>
      </c>
      <c r="U969" s="46" t="s">
        <v>491</v>
      </c>
      <c r="V969" s="46"/>
    </row>
    <row r="970" spans="1:22" ht="45" x14ac:dyDescent="0.25">
      <c r="A970" s="61">
        <v>43014</v>
      </c>
      <c r="B970" s="62" t="s">
        <v>328</v>
      </c>
      <c r="C970" s="46" t="s">
        <v>603</v>
      </c>
      <c r="D970" s="46" t="s">
        <v>649</v>
      </c>
      <c r="E970" s="46" t="s">
        <v>588</v>
      </c>
      <c r="F970" s="46" t="s">
        <v>8933</v>
      </c>
      <c r="G970" s="46" t="s">
        <v>8931</v>
      </c>
      <c r="H970" s="46" t="s">
        <v>5991</v>
      </c>
      <c r="I970" s="46" t="s">
        <v>8932</v>
      </c>
      <c r="J970" s="49" t="s">
        <v>899</v>
      </c>
      <c r="L970" s="63">
        <v>10</v>
      </c>
      <c r="M970" s="64">
        <v>253000</v>
      </c>
      <c r="N970" s="64">
        <v>450000</v>
      </c>
      <c r="O970" s="47" t="s">
        <v>2680</v>
      </c>
      <c r="P970" s="47" t="s">
        <v>8934</v>
      </c>
      <c r="Q970" s="62" t="s">
        <v>29</v>
      </c>
      <c r="R970" s="47" t="s">
        <v>8935</v>
      </c>
      <c r="T970" s="47">
        <v>23</v>
      </c>
      <c r="U970" s="46" t="s">
        <v>491</v>
      </c>
      <c r="V970" s="46"/>
    </row>
    <row r="971" spans="1:22" ht="105" x14ac:dyDescent="0.25">
      <c r="A971" s="61">
        <v>43014</v>
      </c>
      <c r="B971" s="62" t="s">
        <v>328</v>
      </c>
      <c r="C971" s="46" t="s">
        <v>603</v>
      </c>
      <c r="D971" s="46" t="s">
        <v>649</v>
      </c>
      <c r="E971" s="46" t="s">
        <v>588</v>
      </c>
      <c r="F971" s="46" t="s">
        <v>8936</v>
      </c>
      <c r="G971" s="46" t="s">
        <v>7855</v>
      </c>
      <c r="H971" s="46" t="s">
        <v>607</v>
      </c>
      <c r="I971" s="46" t="s">
        <v>8937</v>
      </c>
      <c r="J971" s="49" t="s">
        <v>4031</v>
      </c>
      <c r="L971" s="63">
        <v>10</v>
      </c>
      <c r="M971" s="64">
        <v>2021000</v>
      </c>
      <c r="N971" s="64">
        <v>4073850</v>
      </c>
      <c r="O971" s="47" t="s">
        <v>560</v>
      </c>
      <c r="P971" s="47" t="s">
        <v>8938</v>
      </c>
      <c r="Q971" s="62" t="s">
        <v>1612</v>
      </c>
      <c r="R971" s="47" t="s">
        <v>9272</v>
      </c>
      <c r="S971" s="47" t="s">
        <v>8939</v>
      </c>
      <c r="T971" s="47">
        <v>45</v>
      </c>
      <c r="U971" s="46" t="s">
        <v>491</v>
      </c>
      <c r="V971" s="46"/>
    </row>
    <row r="972" spans="1:22" ht="60" x14ac:dyDescent="0.25">
      <c r="A972" s="61">
        <v>43014</v>
      </c>
      <c r="B972" s="62" t="s">
        <v>328</v>
      </c>
      <c r="C972" s="46" t="s">
        <v>603</v>
      </c>
      <c r="D972" s="46" t="s">
        <v>649</v>
      </c>
      <c r="E972" s="46" t="s">
        <v>588</v>
      </c>
      <c r="F972" s="46" t="s">
        <v>8940</v>
      </c>
      <c r="G972" s="46" t="s">
        <v>8941</v>
      </c>
      <c r="H972" s="46" t="s">
        <v>607</v>
      </c>
      <c r="I972" s="46" t="s">
        <v>8942</v>
      </c>
      <c r="J972" s="49" t="s">
        <v>3371</v>
      </c>
      <c r="L972" s="63">
        <v>8</v>
      </c>
      <c r="M972" s="64">
        <v>270500</v>
      </c>
      <c r="N972" s="64">
        <v>486900</v>
      </c>
      <c r="O972" s="47" t="s">
        <v>7617</v>
      </c>
      <c r="P972" s="47" t="s">
        <v>8943</v>
      </c>
      <c r="Q972" s="62" t="s">
        <v>1939</v>
      </c>
      <c r="R972" s="47" t="s">
        <v>8948</v>
      </c>
      <c r="U972" s="46" t="s">
        <v>1327</v>
      </c>
      <c r="V972" s="46"/>
    </row>
    <row r="973" spans="1:22" ht="60" x14ac:dyDescent="0.25">
      <c r="A973" s="61">
        <v>43014</v>
      </c>
      <c r="B973" s="62" t="s">
        <v>643</v>
      </c>
      <c r="C973" s="46" t="s">
        <v>644</v>
      </c>
      <c r="D973" s="46" t="s">
        <v>625</v>
      </c>
      <c r="E973" s="46" t="s">
        <v>588</v>
      </c>
      <c r="F973" s="46" t="s">
        <v>6443</v>
      </c>
      <c r="G973" s="46" t="s">
        <v>6443</v>
      </c>
      <c r="H973" s="46" t="s">
        <v>8944</v>
      </c>
      <c r="I973" s="46" t="s">
        <v>7022</v>
      </c>
      <c r="J973" s="49" t="s">
        <v>644</v>
      </c>
      <c r="L973" s="63">
        <v>4</v>
      </c>
      <c r="M973" s="64">
        <v>175000</v>
      </c>
      <c r="N973" s="64">
        <v>350000</v>
      </c>
      <c r="O973" s="47" t="s">
        <v>8945</v>
      </c>
      <c r="P973" s="47" t="s">
        <v>8947</v>
      </c>
      <c r="Q973" s="62" t="s">
        <v>29</v>
      </c>
      <c r="R973" s="47" t="s">
        <v>8946</v>
      </c>
      <c r="U973" s="46" t="s">
        <v>1327</v>
      </c>
      <c r="V973" s="46"/>
    </row>
    <row r="974" spans="1:22" ht="75" x14ac:dyDescent="0.25">
      <c r="A974" s="61">
        <v>43017</v>
      </c>
      <c r="B974" s="62" t="s">
        <v>328</v>
      </c>
      <c r="C974" s="46" t="s">
        <v>603</v>
      </c>
      <c r="D974" s="46" t="s">
        <v>672</v>
      </c>
      <c r="E974" s="46" t="s">
        <v>588</v>
      </c>
      <c r="F974" s="46" t="s">
        <v>8157</v>
      </c>
      <c r="G974" s="46" t="s">
        <v>7855</v>
      </c>
      <c r="H974" s="46" t="s">
        <v>1391</v>
      </c>
      <c r="I974" s="46" t="s">
        <v>3600</v>
      </c>
      <c r="J974" s="49" t="s">
        <v>899</v>
      </c>
      <c r="L974" s="63">
        <v>9</v>
      </c>
      <c r="M974" s="64">
        <v>1308000</v>
      </c>
      <c r="N974" s="64">
        <v>2423820</v>
      </c>
      <c r="O974" s="47" t="s">
        <v>560</v>
      </c>
      <c r="P974" s="47" t="s">
        <v>8949</v>
      </c>
      <c r="Q974" s="62" t="s">
        <v>592</v>
      </c>
      <c r="U974" s="46" t="s">
        <v>491</v>
      </c>
      <c r="V974" s="46"/>
    </row>
    <row r="975" spans="1:22" ht="90" x14ac:dyDescent="0.25">
      <c r="A975" s="61">
        <v>43017</v>
      </c>
      <c r="B975" s="62" t="s">
        <v>569</v>
      </c>
      <c r="C975" s="46" t="s">
        <v>899</v>
      </c>
      <c r="D975" s="46" t="s">
        <v>930</v>
      </c>
      <c r="E975" s="46" t="s">
        <v>588</v>
      </c>
      <c r="F975" s="46" t="s">
        <v>8921</v>
      </c>
      <c r="H975" s="46" t="s">
        <v>1391</v>
      </c>
      <c r="I975" s="46" t="s">
        <v>6061</v>
      </c>
      <c r="J975" s="49" t="s">
        <v>899</v>
      </c>
      <c r="M975" s="64">
        <v>1500000</v>
      </c>
      <c r="N975" s="64">
        <v>2000000</v>
      </c>
      <c r="O975" s="47" t="s">
        <v>560</v>
      </c>
      <c r="P975" s="47" t="s">
        <v>8950</v>
      </c>
      <c r="Q975" s="62" t="s">
        <v>592</v>
      </c>
      <c r="U975" s="46" t="s">
        <v>491</v>
      </c>
      <c r="V975" s="46"/>
    </row>
    <row r="976" spans="1:22" ht="105" x14ac:dyDescent="0.25">
      <c r="A976" s="61">
        <v>43018</v>
      </c>
      <c r="B976" s="62" t="s">
        <v>569</v>
      </c>
      <c r="C976" s="46" t="s">
        <v>899</v>
      </c>
      <c r="D976" s="46" t="s">
        <v>625</v>
      </c>
      <c r="E976" s="46" t="s">
        <v>588</v>
      </c>
      <c r="F976" s="46" t="s">
        <v>8951</v>
      </c>
      <c r="G976" s="46" t="s">
        <v>7814</v>
      </c>
      <c r="H976" s="46" t="s">
        <v>607</v>
      </c>
      <c r="I976" s="46" t="s">
        <v>8952</v>
      </c>
      <c r="J976" s="49" t="s">
        <v>899</v>
      </c>
      <c r="L976" s="63">
        <v>4</v>
      </c>
      <c r="M976" s="64">
        <v>936000</v>
      </c>
      <c r="N976" s="64">
        <v>1684800</v>
      </c>
      <c r="O976" s="47" t="s">
        <v>639</v>
      </c>
      <c r="P976" s="47" t="s">
        <v>8953</v>
      </c>
      <c r="Q976" s="62" t="s">
        <v>1939</v>
      </c>
      <c r="R976" s="47" t="s">
        <v>8954</v>
      </c>
      <c r="U976" s="46" t="s">
        <v>491</v>
      </c>
      <c r="V976" s="46"/>
    </row>
    <row r="977" spans="1:22" ht="45" x14ac:dyDescent="0.25">
      <c r="A977" s="61">
        <v>43018</v>
      </c>
      <c r="B977" s="62" t="s">
        <v>328</v>
      </c>
      <c r="C977" s="46" t="s">
        <v>603</v>
      </c>
      <c r="D977" s="46" t="s">
        <v>649</v>
      </c>
      <c r="E977" s="46" t="s">
        <v>588</v>
      </c>
      <c r="F977" s="46" t="s">
        <v>8955</v>
      </c>
      <c r="G977" s="46" t="s">
        <v>8044</v>
      </c>
      <c r="H977" s="46" t="s">
        <v>607</v>
      </c>
      <c r="J977" s="49" t="s">
        <v>5562</v>
      </c>
      <c r="M977" s="64">
        <v>223400</v>
      </c>
      <c r="N977" s="64">
        <v>446800</v>
      </c>
      <c r="O977" s="47" t="s">
        <v>4533</v>
      </c>
      <c r="P977" s="47" t="s">
        <v>9273</v>
      </c>
      <c r="Q977" s="62" t="s">
        <v>29</v>
      </c>
      <c r="R977" s="47" t="s">
        <v>8956</v>
      </c>
      <c r="U977" s="46" t="s">
        <v>491</v>
      </c>
      <c r="V977" s="46"/>
    </row>
    <row r="978" spans="1:22" ht="90" x14ac:dyDescent="0.25">
      <c r="A978" s="61">
        <v>43018</v>
      </c>
      <c r="B978" s="62" t="s">
        <v>328</v>
      </c>
      <c r="C978" s="46" t="s">
        <v>603</v>
      </c>
      <c r="D978" s="46" t="s">
        <v>649</v>
      </c>
      <c r="E978" s="46" t="s">
        <v>588</v>
      </c>
      <c r="F978" s="46" t="s">
        <v>8957</v>
      </c>
      <c r="G978" s="46" t="s">
        <v>8958</v>
      </c>
      <c r="H978" s="46" t="s">
        <v>607</v>
      </c>
      <c r="I978" s="46" t="s">
        <v>4759</v>
      </c>
      <c r="J978" s="49" t="s">
        <v>899</v>
      </c>
      <c r="L978" s="63">
        <v>2</v>
      </c>
      <c r="M978" s="64">
        <v>280000</v>
      </c>
      <c r="N978" s="64">
        <v>476000</v>
      </c>
      <c r="O978" s="47" t="s">
        <v>4533</v>
      </c>
      <c r="P978" s="47" t="s">
        <v>8959</v>
      </c>
      <c r="Q978" s="62" t="s">
        <v>1939</v>
      </c>
      <c r="R978" s="47" t="s">
        <v>8960</v>
      </c>
      <c r="U978" s="46" t="s">
        <v>491</v>
      </c>
      <c r="V978" s="46"/>
    </row>
    <row r="979" spans="1:22" ht="30" x14ac:dyDescent="0.25">
      <c r="A979" s="61">
        <v>43019</v>
      </c>
      <c r="B979" s="62" t="s">
        <v>328</v>
      </c>
      <c r="C979" s="46" t="s">
        <v>603</v>
      </c>
      <c r="D979" s="46" t="s">
        <v>2397</v>
      </c>
      <c r="E979" s="46" t="s">
        <v>588</v>
      </c>
      <c r="F979" s="46" t="s">
        <v>8962</v>
      </c>
      <c r="H979" s="46" t="s">
        <v>607</v>
      </c>
      <c r="I979" s="46" t="s">
        <v>5967</v>
      </c>
      <c r="J979" s="49" t="s">
        <v>602</v>
      </c>
      <c r="L979" s="63">
        <v>3</v>
      </c>
      <c r="M979" s="64">
        <v>750000</v>
      </c>
      <c r="N979" s="64">
        <v>1020000</v>
      </c>
      <c r="O979" s="47" t="s">
        <v>8963</v>
      </c>
      <c r="P979" s="47" t="s">
        <v>8964</v>
      </c>
      <c r="Q979" s="62" t="s">
        <v>592</v>
      </c>
      <c r="R979" s="47" t="s">
        <v>8965</v>
      </c>
      <c r="U979" s="46" t="s">
        <v>491</v>
      </c>
      <c r="V979" s="46"/>
    </row>
    <row r="980" spans="1:22" ht="30" x14ac:dyDescent="0.25">
      <c r="A980" s="61">
        <v>43019</v>
      </c>
      <c r="B980" s="62" t="s">
        <v>5992</v>
      </c>
      <c r="C980" s="46" t="s">
        <v>608</v>
      </c>
      <c r="D980" s="46" t="s">
        <v>5270</v>
      </c>
      <c r="E980" s="46" t="s">
        <v>588</v>
      </c>
      <c r="F980" s="46" t="s">
        <v>8966</v>
      </c>
      <c r="H980" s="46" t="s">
        <v>607</v>
      </c>
      <c r="O980" s="47" t="s">
        <v>639</v>
      </c>
      <c r="P980" s="47" t="s">
        <v>8967</v>
      </c>
      <c r="Q980" s="62" t="s">
        <v>29</v>
      </c>
      <c r="R980" s="47" t="s">
        <v>8968</v>
      </c>
      <c r="U980" s="46" t="s">
        <v>491</v>
      </c>
      <c r="V980" s="46"/>
    </row>
    <row r="981" spans="1:22" ht="30" x14ac:dyDescent="0.25">
      <c r="A981" s="61">
        <v>43019</v>
      </c>
      <c r="B981" s="62" t="s">
        <v>5360</v>
      </c>
      <c r="C981" s="46" t="s">
        <v>899</v>
      </c>
      <c r="D981" s="46" t="s">
        <v>732</v>
      </c>
      <c r="E981" s="46" t="s">
        <v>588</v>
      </c>
      <c r="F981" s="46" t="s">
        <v>8969</v>
      </c>
      <c r="G981" s="46" t="s">
        <v>8853</v>
      </c>
      <c r="H981" s="46" t="s">
        <v>886</v>
      </c>
      <c r="I981" s="46" t="s">
        <v>8970</v>
      </c>
      <c r="J981" s="49" t="s">
        <v>899</v>
      </c>
      <c r="L981" s="63">
        <v>3</v>
      </c>
      <c r="M981" s="64">
        <v>4300000</v>
      </c>
      <c r="N981" s="64">
        <v>4300000</v>
      </c>
      <c r="O981" s="47" t="s">
        <v>560</v>
      </c>
      <c r="P981" s="47" t="s">
        <v>8971</v>
      </c>
      <c r="Q981" s="62" t="s">
        <v>1939</v>
      </c>
      <c r="R981" s="47" t="s">
        <v>8972</v>
      </c>
      <c r="U981" s="46" t="s">
        <v>491</v>
      </c>
      <c r="V981" s="46"/>
    </row>
    <row r="982" spans="1:22" ht="75" x14ac:dyDescent="0.25">
      <c r="A982" s="61">
        <v>43019</v>
      </c>
      <c r="B982" s="62" t="s">
        <v>5176</v>
      </c>
      <c r="C982" s="46" t="s">
        <v>604</v>
      </c>
      <c r="D982" s="46" t="s">
        <v>595</v>
      </c>
      <c r="E982" s="46" t="s">
        <v>588</v>
      </c>
      <c r="F982" s="46" t="s">
        <v>8973</v>
      </c>
      <c r="G982" s="46" t="s">
        <v>8974</v>
      </c>
      <c r="H982" s="46" t="s">
        <v>886</v>
      </c>
      <c r="I982" s="46" t="s">
        <v>1487</v>
      </c>
      <c r="J982" s="49" t="s">
        <v>604</v>
      </c>
      <c r="L982" s="63">
        <v>1</v>
      </c>
      <c r="M982" s="64">
        <v>1366000</v>
      </c>
      <c r="N982" s="64">
        <v>1466000</v>
      </c>
      <c r="O982" s="47" t="s">
        <v>2908</v>
      </c>
      <c r="P982" s="47" t="s">
        <v>8975</v>
      </c>
      <c r="Q982" s="62" t="s">
        <v>1939</v>
      </c>
      <c r="R982" s="47" t="s">
        <v>8976</v>
      </c>
      <c r="U982" s="46" t="s">
        <v>1327</v>
      </c>
      <c r="V982" s="46"/>
    </row>
    <row r="983" spans="1:22" ht="45" x14ac:dyDescent="0.25">
      <c r="A983" s="61">
        <v>43019</v>
      </c>
      <c r="B983" s="62" t="s">
        <v>328</v>
      </c>
      <c r="C983" s="46" t="s">
        <v>603</v>
      </c>
      <c r="D983" s="46" t="s">
        <v>5701</v>
      </c>
      <c r="E983" s="46" t="s">
        <v>588</v>
      </c>
      <c r="F983" s="46" t="s">
        <v>8977</v>
      </c>
      <c r="G983" s="46" t="s">
        <v>8978</v>
      </c>
      <c r="H983" s="46" t="s">
        <v>607</v>
      </c>
      <c r="I983" s="46" t="s">
        <v>8982</v>
      </c>
      <c r="J983" s="49" t="s">
        <v>644</v>
      </c>
      <c r="L983" s="63">
        <v>10</v>
      </c>
      <c r="M983" s="64">
        <v>372400</v>
      </c>
      <c r="N983" s="64">
        <v>659400</v>
      </c>
      <c r="O983" s="47" t="s">
        <v>7124</v>
      </c>
      <c r="P983" s="150" t="s">
        <v>8979</v>
      </c>
      <c r="Q983" s="62" t="s">
        <v>620</v>
      </c>
      <c r="R983" s="47" t="s">
        <v>8980</v>
      </c>
      <c r="S983" s="47" t="s">
        <v>8981</v>
      </c>
      <c r="U983" s="46" t="s">
        <v>1327</v>
      </c>
      <c r="V983" s="46"/>
    </row>
    <row r="984" spans="1:22" ht="28.5" x14ac:dyDescent="0.25">
      <c r="A984" s="61">
        <v>43019</v>
      </c>
      <c r="B984" s="62" t="s">
        <v>328</v>
      </c>
      <c r="C984" s="46" t="s">
        <v>603</v>
      </c>
      <c r="D984" s="46" t="s">
        <v>7595</v>
      </c>
      <c r="E984" s="46" t="s">
        <v>588</v>
      </c>
      <c r="F984" s="46" t="s">
        <v>8983</v>
      </c>
      <c r="G984" s="46" t="s">
        <v>7855</v>
      </c>
      <c r="H984" s="46" t="s">
        <v>1391</v>
      </c>
      <c r="I984" s="46" t="s">
        <v>8985</v>
      </c>
      <c r="J984" s="49" t="s">
        <v>4458</v>
      </c>
      <c r="L984" s="63">
        <v>9</v>
      </c>
      <c r="M984" s="64">
        <v>983000</v>
      </c>
      <c r="N984" s="64">
        <v>1934700</v>
      </c>
      <c r="O984" s="47" t="s">
        <v>7124</v>
      </c>
      <c r="P984" s="124" t="s">
        <v>8984</v>
      </c>
      <c r="Q984" s="62" t="s">
        <v>592</v>
      </c>
      <c r="R984" s="47" t="s">
        <v>8987</v>
      </c>
      <c r="U984" s="46" t="s">
        <v>1327</v>
      </c>
      <c r="V984" s="46"/>
    </row>
    <row r="985" spans="1:22" ht="45" x14ac:dyDescent="0.25">
      <c r="A985" s="61">
        <v>43020</v>
      </c>
      <c r="B985" s="62" t="s">
        <v>328</v>
      </c>
      <c r="C985" s="46" t="s">
        <v>603</v>
      </c>
      <c r="D985" s="46" t="s">
        <v>649</v>
      </c>
      <c r="E985" s="46" t="s">
        <v>588</v>
      </c>
      <c r="F985" s="46" t="s">
        <v>8991</v>
      </c>
      <c r="G985" s="46" t="s">
        <v>8990</v>
      </c>
      <c r="H985" s="46" t="s">
        <v>1391</v>
      </c>
      <c r="I985" s="46" t="s">
        <v>8989</v>
      </c>
      <c r="J985" s="49" t="s">
        <v>5610</v>
      </c>
      <c r="L985" s="63">
        <v>10</v>
      </c>
      <c r="M985" s="64">
        <v>775000</v>
      </c>
      <c r="N985" s="64">
        <v>1278750</v>
      </c>
      <c r="O985" s="47" t="s">
        <v>7124</v>
      </c>
      <c r="P985" s="47" t="s">
        <v>8986</v>
      </c>
      <c r="Q985" s="62" t="s">
        <v>29</v>
      </c>
      <c r="R985" s="47" t="s">
        <v>8988</v>
      </c>
      <c r="U985" s="46" t="s">
        <v>1327</v>
      </c>
      <c r="V985" s="46"/>
    </row>
    <row r="986" spans="1:22" ht="156.75" x14ac:dyDescent="0.25">
      <c r="A986" s="61">
        <v>43020</v>
      </c>
      <c r="B986" s="62" t="s">
        <v>328</v>
      </c>
      <c r="C986" s="46" t="s">
        <v>603</v>
      </c>
      <c r="D986" s="46" t="s">
        <v>649</v>
      </c>
      <c r="E986" s="46" t="s">
        <v>588</v>
      </c>
      <c r="F986" s="46" t="s">
        <v>8996</v>
      </c>
      <c r="G986" s="46" t="s">
        <v>8997</v>
      </c>
      <c r="H986" s="46" t="s">
        <v>607</v>
      </c>
      <c r="J986" s="49" t="s">
        <v>3533</v>
      </c>
      <c r="L986" s="63">
        <v>6</v>
      </c>
      <c r="M986" s="64">
        <v>235489</v>
      </c>
      <c r="N986" s="64">
        <v>400329</v>
      </c>
      <c r="O986" s="47" t="s">
        <v>8992</v>
      </c>
      <c r="P986" s="150" t="s">
        <v>8994</v>
      </c>
      <c r="Q986" s="62" t="s">
        <v>29</v>
      </c>
      <c r="R986" s="47" t="s">
        <v>8993</v>
      </c>
      <c r="S986" s="47" t="s">
        <v>8995</v>
      </c>
      <c r="U986" s="46" t="s">
        <v>1327</v>
      </c>
      <c r="V986" s="46"/>
    </row>
    <row r="987" spans="1:22" ht="45" x14ac:dyDescent="0.25">
      <c r="A987" s="61">
        <v>43020</v>
      </c>
      <c r="B987" s="62" t="s">
        <v>328</v>
      </c>
      <c r="C987" s="46" t="s">
        <v>603</v>
      </c>
      <c r="D987" s="46" t="s">
        <v>2397</v>
      </c>
      <c r="E987" s="46" t="s">
        <v>588</v>
      </c>
      <c r="F987" s="46" t="s">
        <v>9001</v>
      </c>
      <c r="G987" s="46" t="s">
        <v>9000</v>
      </c>
      <c r="H987" s="46" t="s">
        <v>809</v>
      </c>
      <c r="I987" s="46" t="s">
        <v>6360</v>
      </c>
      <c r="J987" s="49" t="s">
        <v>3733</v>
      </c>
      <c r="L987" s="63">
        <v>2</v>
      </c>
      <c r="M987" s="132">
        <v>2700000</v>
      </c>
      <c r="N987" s="64">
        <v>3020000</v>
      </c>
      <c r="O987" s="47" t="s">
        <v>560</v>
      </c>
      <c r="P987" s="47" t="s">
        <v>8998</v>
      </c>
      <c r="Q987" s="62" t="s">
        <v>592</v>
      </c>
      <c r="R987" s="47" t="s">
        <v>8999</v>
      </c>
      <c r="U987" s="46" t="s">
        <v>1327</v>
      </c>
      <c r="V987" s="46"/>
    </row>
    <row r="988" spans="1:22" ht="85.5" x14ac:dyDescent="0.25">
      <c r="A988" s="61">
        <v>43020</v>
      </c>
      <c r="B988" s="62" t="s">
        <v>328</v>
      </c>
      <c r="C988" s="46" t="s">
        <v>603</v>
      </c>
      <c r="D988" s="46" t="s">
        <v>649</v>
      </c>
      <c r="E988" s="46" t="s">
        <v>588</v>
      </c>
      <c r="F988" s="46" t="s">
        <v>9002</v>
      </c>
      <c r="G988" s="46" t="s">
        <v>256</v>
      </c>
      <c r="H988" s="46" t="s">
        <v>4050</v>
      </c>
      <c r="I988" s="46" t="s">
        <v>9005</v>
      </c>
      <c r="J988" s="49" t="s">
        <v>4785</v>
      </c>
      <c r="L988" s="63">
        <v>5</v>
      </c>
      <c r="M988" s="64">
        <v>277500</v>
      </c>
      <c r="N988" s="64">
        <v>499500</v>
      </c>
      <c r="O988" s="47" t="s">
        <v>9003</v>
      </c>
      <c r="P988" s="150" t="s">
        <v>9274</v>
      </c>
      <c r="Q988" s="62" t="s">
        <v>592</v>
      </c>
      <c r="R988" s="47" t="s">
        <v>9004</v>
      </c>
      <c r="U988" s="46" t="s">
        <v>1327</v>
      </c>
      <c r="V988" s="46"/>
    </row>
    <row r="989" spans="1:22" ht="75" x14ac:dyDescent="0.25">
      <c r="A989" s="61">
        <v>43021</v>
      </c>
      <c r="B989" s="62" t="s">
        <v>643</v>
      </c>
      <c r="C989" s="46" t="s">
        <v>644</v>
      </c>
      <c r="D989" s="46" t="s">
        <v>645</v>
      </c>
      <c r="E989" s="46" t="s">
        <v>588</v>
      </c>
      <c r="F989" s="46" t="s">
        <v>9006</v>
      </c>
      <c r="G989" s="46" t="s">
        <v>9007</v>
      </c>
      <c r="H989" s="46" t="s">
        <v>9008</v>
      </c>
      <c r="I989" s="46" t="s">
        <v>9009</v>
      </c>
      <c r="J989" s="49" t="s">
        <v>899</v>
      </c>
      <c r="L989" s="63">
        <v>4</v>
      </c>
      <c r="M989" s="64">
        <v>1950000</v>
      </c>
      <c r="N989" s="64">
        <v>3430000</v>
      </c>
      <c r="O989" s="47" t="s">
        <v>560</v>
      </c>
      <c r="P989" s="47" t="s">
        <v>9010</v>
      </c>
      <c r="Q989" s="62" t="s">
        <v>592</v>
      </c>
      <c r="R989" s="47" t="s">
        <v>9011</v>
      </c>
      <c r="U989" s="46" t="s">
        <v>1327</v>
      </c>
      <c r="V989" s="46"/>
    </row>
    <row r="990" spans="1:22" ht="90" x14ac:dyDescent="0.25">
      <c r="A990" s="61">
        <v>43021</v>
      </c>
      <c r="B990" s="62" t="s">
        <v>328</v>
      </c>
      <c r="C990" s="46" t="s">
        <v>603</v>
      </c>
      <c r="D990" s="46" t="s">
        <v>649</v>
      </c>
      <c r="E990" s="46" t="s">
        <v>588</v>
      </c>
      <c r="F990" s="46" t="s">
        <v>9012</v>
      </c>
      <c r="G990" s="46" t="s">
        <v>9013</v>
      </c>
      <c r="H990" s="46" t="s">
        <v>9008</v>
      </c>
      <c r="I990" s="46" t="s">
        <v>8780</v>
      </c>
      <c r="J990" s="49" t="s">
        <v>3751</v>
      </c>
      <c r="L990" s="63">
        <v>5</v>
      </c>
      <c r="M990" s="64">
        <v>235000</v>
      </c>
      <c r="N990" s="64">
        <v>578000</v>
      </c>
      <c r="O990" s="47" t="s">
        <v>4533</v>
      </c>
      <c r="P990" s="135" t="s">
        <v>9014</v>
      </c>
      <c r="Q990" s="62" t="s">
        <v>1939</v>
      </c>
      <c r="R990" s="47" t="s">
        <v>9015</v>
      </c>
      <c r="U990" s="46" t="s">
        <v>1327</v>
      </c>
      <c r="V990" s="46"/>
    </row>
    <row r="991" spans="1:22" ht="120" x14ac:dyDescent="0.25">
      <c r="A991" s="61">
        <v>43021</v>
      </c>
      <c r="B991" s="62" t="s">
        <v>328</v>
      </c>
      <c r="C991" s="46" t="s">
        <v>603</v>
      </c>
      <c r="D991" s="46" t="s">
        <v>649</v>
      </c>
      <c r="E991" s="46" t="s">
        <v>588</v>
      </c>
      <c r="F991" s="46" t="s">
        <v>9019</v>
      </c>
      <c r="G991" s="46" t="s">
        <v>4118</v>
      </c>
      <c r="H991" s="46" t="s">
        <v>6002</v>
      </c>
      <c r="I991" s="46" t="s">
        <v>9018</v>
      </c>
      <c r="J991" s="49" t="s">
        <v>3373</v>
      </c>
      <c r="L991" s="63">
        <v>2</v>
      </c>
      <c r="M991" s="64">
        <v>975000</v>
      </c>
      <c r="N991" s="64">
        <v>1750000</v>
      </c>
      <c r="O991" s="47" t="s">
        <v>9023</v>
      </c>
      <c r="P991" s="47" t="s">
        <v>9016</v>
      </c>
      <c r="Q991" s="62" t="s">
        <v>1939</v>
      </c>
      <c r="R991" s="47" t="s">
        <v>9017</v>
      </c>
      <c r="U991" s="46" t="s">
        <v>1327</v>
      </c>
      <c r="V991" s="46"/>
    </row>
    <row r="992" spans="1:22" ht="30" x14ac:dyDescent="0.25">
      <c r="A992" s="61">
        <v>43024</v>
      </c>
      <c r="B992" s="62" t="s">
        <v>569</v>
      </c>
      <c r="C992" s="46" t="s">
        <v>899</v>
      </c>
      <c r="D992" s="46" t="s">
        <v>625</v>
      </c>
      <c r="E992" s="46" t="s">
        <v>588</v>
      </c>
      <c r="F992" s="46" t="s">
        <v>9020</v>
      </c>
      <c r="G992" s="46" t="s">
        <v>9021</v>
      </c>
      <c r="H992" s="46" t="s">
        <v>607</v>
      </c>
      <c r="I992" s="46" t="s">
        <v>9022</v>
      </c>
      <c r="J992" s="49" t="s">
        <v>899</v>
      </c>
      <c r="O992" s="47" t="s">
        <v>9026</v>
      </c>
      <c r="P992" s="47" t="s">
        <v>9024</v>
      </c>
      <c r="Q992" s="62" t="s">
        <v>29</v>
      </c>
      <c r="R992" s="47" t="s">
        <v>9025</v>
      </c>
      <c r="U992" s="46" t="s">
        <v>491</v>
      </c>
      <c r="V992" s="46"/>
    </row>
    <row r="993" spans="1:22" ht="60" x14ac:dyDescent="0.25">
      <c r="A993" s="61">
        <v>43024</v>
      </c>
      <c r="B993" s="62" t="s">
        <v>569</v>
      </c>
      <c r="C993" s="46" t="s">
        <v>899</v>
      </c>
      <c r="D993" s="46" t="s">
        <v>625</v>
      </c>
      <c r="E993" s="46" t="s">
        <v>588</v>
      </c>
      <c r="F993" s="46" t="s">
        <v>9027</v>
      </c>
      <c r="G993" s="46" t="s">
        <v>7880</v>
      </c>
      <c r="H993" s="46" t="s">
        <v>607</v>
      </c>
      <c r="I993" s="46" t="s">
        <v>2054</v>
      </c>
      <c r="J993" s="49" t="s">
        <v>899</v>
      </c>
      <c r="M993" s="64">
        <v>550000</v>
      </c>
      <c r="N993" s="64">
        <v>900000</v>
      </c>
      <c r="O993" s="47" t="s">
        <v>695</v>
      </c>
      <c r="P993" s="47" t="s">
        <v>9028</v>
      </c>
      <c r="Q993" s="62" t="s">
        <v>592</v>
      </c>
      <c r="R993" s="47" t="s">
        <v>3386</v>
      </c>
      <c r="U993" s="46" t="s">
        <v>491</v>
      </c>
      <c r="V993" s="46"/>
    </row>
    <row r="994" spans="1:22" ht="75" x14ac:dyDescent="0.25">
      <c r="A994" s="61">
        <v>43024</v>
      </c>
      <c r="B994" s="62" t="s">
        <v>328</v>
      </c>
      <c r="C994" s="46" t="s">
        <v>603</v>
      </c>
      <c r="D994" s="46" t="s">
        <v>672</v>
      </c>
      <c r="E994" s="46" t="s">
        <v>588</v>
      </c>
      <c r="F994" s="46" t="s">
        <v>9029</v>
      </c>
      <c r="G994" s="46" t="s">
        <v>9030</v>
      </c>
      <c r="H994" s="46" t="s">
        <v>607</v>
      </c>
      <c r="O994" s="47" t="s">
        <v>9031</v>
      </c>
      <c r="P994" s="47" t="s">
        <v>9032</v>
      </c>
      <c r="Q994" s="62" t="s">
        <v>1939</v>
      </c>
      <c r="R994" s="47" t="s">
        <v>9047</v>
      </c>
      <c r="S994" s="47" t="s">
        <v>9048</v>
      </c>
      <c r="U994" s="46" t="s">
        <v>491</v>
      </c>
      <c r="V994" s="46"/>
    </row>
    <row r="995" spans="1:22" ht="90" x14ac:dyDescent="0.25">
      <c r="A995" s="61">
        <v>43024</v>
      </c>
      <c r="B995" s="62" t="s">
        <v>328</v>
      </c>
      <c r="C995" s="46" t="s">
        <v>603</v>
      </c>
      <c r="D995" s="46" t="s">
        <v>649</v>
      </c>
      <c r="E995" s="46" t="s">
        <v>588</v>
      </c>
      <c r="F995" s="46" t="s">
        <v>9033</v>
      </c>
      <c r="G995" s="46" t="s">
        <v>9034</v>
      </c>
      <c r="H995" s="46" t="s">
        <v>809</v>
      </c>
      <c r="I995" s="46" t="s">
        <v>9035</v>
      </c>
      <c r="J995" s="49" t="s">
        <v>3533</v>
      </c>
      <c r="L995" s="63">
        <v>9</v>
      </c>
      <c r="M995" s="64">
        <v>700000</v>
      </c>
      <c r="N995" s="64">
        <v>875000</v>
      </c>
      <c r="O995" s="47" t="s">
        <v>2680</v>
      </c>
      <c r="P995" s="47" t="s">
        <v>9036</v>
      </c>
      <c r="Q995" s="62" t="s">
        <v>1939</v>
      </c>
      <c r="R995" s="47" t="s">
        <v>9138</v>
      </c>
      <c r="S995" s="47" t="s">
        <v>9049</v>
      </c>
      <c r="U995" s="46" t="s">
        <v>491</v>
      </c>
      <c r="V995" s="46"/>
    </row>
    <row r="996" spans="1:22" ht="60" x14ac:dyDescent="0.25">
      <c r="A996" s="61">
        <v>43024</v>
      </c>
      <c r="B996" s="62" t="s">
        <v>5176</v>
      </c>
      <c r="C996" s="46" t="s">
        <v>604</v>
      </c>
      <c r="D996" s="46" t="s">
        <v>6995</v>
      </c>
      <c r="E996" s="46" t="s">
        <v>588</v>
      </c>
      <c r="F996" s="46" t="s">
        <v>9037</v>
      </c>
      <c r="G996" s="46" t="s">
        <v>9038</v>
      </c>
      <c r="H996" s="46" t="s">
        <v>1391</v>
      </c>
      <c r="L996" s="63">
        <v>5</v>
      </c>
      <c r="M996" s="64">
        <v>1438910</v>
      </c>
      <c r="N996" s="64">
        <v>1748910</v>
      </c>
      <c r="O996" s="47" t="s">
        <v>7846</v>
      </c>
      <c r="P996" s="47" t="s">
        <v>9039</v>
      </c>
      <c r="Q996" s="62" t="s">
        <v>1939</v>
      </c>
      <c r="R996" s="47" t="s">
        <v>9040</v>
      </c>
      <c r="U996" s="46" t="s">
        <v>491</v>
      </c>
      <c r="V996" s="46"/>
    </row>
    <row r="997" spans="1:22" ht="45" x14ac:dyDescent="0.25">
      <c r="A997" s="61">
        <v>43024</v>
      </c>
      <c r="B997" s="62" t="s">
        <v>569</v>
      </c>
      <c r="C997" s="46" t="s">
        <v>899</v>
      </c>
      <c r="D997" s="46" t="s">
        <v>625</v>
      </c>
      <c r="E997" s="46" t="s">
        <v>588</v>
      </c>
      <c r="F997" s="46" t="s">
        <v>9041</v>
      </c>
      <c r="H997" s="46" t="s">
        <v>905</v>
      </c>
      <c r="I997" s="46" t="s">
        <v>2054</v>
      </c>
      <c r="J997" s="49" t="s">
        <v>899</v>
      </c>
      <c r="O997" s="47" t="s">
        <v>639</v>
      </c>
      <c r="P997" s="47" t="s">
        <v>9042</v>
      </c>
      <c r="Q997" s="62" t="s">
        <v>29</v>
      </c>
      <c r="R997" s="47" t="s">
        <v>9043</v>
      </c>
      <c r="U997" s="46" t="s">
        <v>491</v>
      </c>
      <c r="V997" s="46"/>
    </row>
    <row r="998" spans="1:22" ht="90" x14ac:dyDescent="0.25">
      <c r="A998" s="61">
        <v>43024</v>
      </c>
      <c r="B998" s="62" t="s">
        <v>643</v>
      </c>
      <c r="C998" s="46" t="s">
        <v>644</v>
      </c>
      <c r="D998" s="46" t="s">
        <v>645</v>
      </c>
      <c r="E998" s="46" t="s">
        <v>588</v>
      </c>
      <c r="F998" s="46" t="s">
        <v>9044</v>
      </c>
      <c r="G998" s="46" t="s">
        <v>9045</v>
      </c>
      <c r="H998" s="46" t="s">
        <v>6536</v>
      </c>
      <c r="I998" s="46" t="s">
        <v>6620</v>
      </c>
      <c r="J998" s="49" t="s">
        <v>3501</v>
      </c>
      <c r="M998" s="64">
        <v>26000</v>
      </c>
      <c r="N998" s="64">
        <v>62000</v>
      </c>
      <c r="O998" s="47" t="s">
        <v>639</v>
      </c>
      <c r="P998" s="47" t="s">
        <v>9046</v>
      </c>
      <c r="Q998" s="62" t="s">
        <v>29</v>
      </c>
      <c r="R998" s="47" t="s">
        <v>9050</v>
      </c>
      <c r="U998" s="46" t="s">
        <v>491</v>
      </c>
      <c r="V998" s="46"/>
    </row>
    <row r="999" spans="1:22" ht="135" x14ac:dyDescent="0.25">
      <c r="A999" s="61">
        <v>43025</v>
      </c>
      <c r="B999" s="62" t="s">
        <v>328</v>
      </c>
      <c r="C999" s="46" t="s">
        <v>644</v>
      </c>
      <c r="D999" s="46" t="s">
        <v>672</v>
      </c>
      <c r="E999" s="46" t="s">
        <v>588</v>
      </c>
      <c r="F999" s="46" t="s">
        <v>9051</v>
      </c>
      <c r="G999" s="46" t="s">
        <v>9052</v>
      </c>
      <c r="H999" s="46" t="s">
        <v>3095</v>
      </c>
      <c r="I999" s="46" t="s">
        <v>2054</v>
      </c>
      <c r="J999" s="49" t="s">
        <v>899</v>
      </c>
      <c r="L999" s="63">
        <v>1</v>
      </c>
      <c r="M999" s="64">
        <v>132000</v>
      </c>
      <c r="N999" s="64">
        <v>264000</v>
      </c>
      <c r="O999" s="47" t="s">
        <v>9053</v>
      </c>
      <c r="P999" s="47" t="s">
        <v>9054</v>
      </c>
      <c r="Q999" s="62" t="s">
        <v>1612</v>
      </c>
      <c r="R999" s="47" t="s">
        <v>9070</v>
      </c>
      <c r="U999" s="46" t="s">
        <v>491</v>
      </c>
      <c r="V999" s="46"/>
    </row>
    <row r="1000" spans="1:22" ht="75" x14ac:dyDescent="0.25">
      <c r="A1000" s="61">
        <v>43025</v>
      </c>
      <c r="B1000" s="62" t="s">
        <v>328</v>
      </c>
      <c r="C1000" s="46" t="s">
        <v>603</v>
      </c>
      <c r="D1000" s="46" t="s">
        <v>672</v>
      </c>
      <c r="E1000" s="46" t="s">
        <v>588</v>
      </c>
      <c r="F1000" s="46" t="s">
        <v>9055</v>
      </c>
      <c r="G1000" s="46" t="s">
        <v>7880</v>
      </c>
      <c r="H1000" s="46" t="s">
        <v>809</v>
      </c>
      <c r="I1000" s="46" t="s">
        <v>9056</v>
      </c>
      <c r="J1000" s="49" t="s">
        <v>5610</v>
      </c>
      <c r="L1000" s="63">
        <v>10</v>
      </c>
      <c r="M1000" s="64">
        <v>3500000</v>
      </c>
      <c r="N1000" s="64">
        <v>3850000</v>
      </c>
      <c r="O1000" s="47" t="s">
        <v>560</v>
      </c>
      <c r="P1000" s="47" t="s">
        <v>9057</v>
      </c>
      <c r="Q1000" s="62" t="s">
        <v>592</v>
      </c>
      <c r="R1000" s="47" t="s">
        <v>9058</v>
      </c>
      <c r="U1000" s="46" t="s">
        <v>491</v>
      </c>
      <c r="V1000" s="46"/>
    </row>
    <row r="1001" spans="1:22" ht="75" x14ac:dyDescent="0.25">
      <c r="A1001" s="61">
        <v>43025</v>
      </c>
      <c r="B1001" s="62" t="s">
        <v>328</v>
      </c>
      <c r="C1001" s="46" t="s">
        <v>603</v>
      </c>
      <c r="D1001" s="46" t="s">
        <v>649</v>
      </c>
      <c r="E1001" s="46" t="s">
        <v>588</v>
      </c>
      <c r="F1001" s="46" t="s">
        <v>9059</v>
      </c>
      <c r="G1001" s="46" t="s">
        <v>9060</v>
      </c>
      <c r="H1001" s="46" t="s">
        <v>4380</v>
      </c>
      <c r="I1001" s="46" t="s">
        <v>9061</v>
      </c>
      <c r="J1001" s="49" t="s">
        <v>3371</v>
      </c>
      <c r="L1001" s="63">
        <v>10</v>
      </c>
      <c r="M1001" s="64">
        <v>100000</v>
      </c>
      <c r="N1001" s="64">
        <v>180000</v>
      </c>
      <c r="O1001" s="47" t="s">
        <v>9062</v>
      </c>
      <c r="P1001" s="47" t="s">
        <v>9063</v>
      </c>
      <c r="Q1001" s="62" t="s">
        <v>1612</v>
      </c>
      <c r="R1001" s="47" t="s">
        <v>9099</v>
      </c>
      <c r="S1001" s="47" t="s">
        <v>9098</v>
      </c>
      <c r="U1001" s="46" t="s">
        <v>491</v>
      </c>
      <c r="V1001" s="46"/>
    </row>
    <row r="1002" spans="1:22" ht="45" x14ac:dyDescent="0.25">
      <c r="A1002" s="61">
        <v>43025</v>
      </c>
      <c r="B1002" s="62" t="s">
        <v>5176</v>
      </c>
      <c r="C1002" s="46" t="s">
        <v>604</v>
      </c>
      <c r="D1002" s="46" t="s">
        <v>595</v>
      </c>
      <c r="E1002" s="46" t="s">
        <v>1707</v>
      </c>
      <c r="F1002" s="46" t="s">
        <v>8966</v>
      </c>
      <c r="H1002" s="46" t="s">
        <v>607</v>
      </c>
      <c r="O1002" s="47" t="s">
        <v>3107</v>
      </c>
      <c r="P1002" s="47" t="s">
        <v>9064</v>
      </c>
      <c r="Q1002" s="62" t="s">
        <v>620</v>
      </c>
      <c r="R1002" s="47" t="s">
        <v>9065</v>
      </c>
      <c r="U1002" s="46" t="s">
        <v>491</v>
      </c>
      <c r="V1002" s="46"/>
    </row>
    <row r="1003" spans="1:22" ht="30" x14ac:dyDescent="0.25">
      <c r="A1003" s="61">
        <v>43025</v>
      </c>
      <c r="B1003" s="62" t="s">
        <v>328</v>
      </c>
      <c r="C1003" s="46" t="s">
        <v>603</v>
      </c>
      <c r="D1003" s="46" t="s">
        <v>649</v>
      </c>
      <c r="E1003" s="46" t="s">
        <v>588</v>
      </c>
      <c r="F1003" s="46" t="s">
        <v>9066</v>
      </c>
      <c r="G1003" s="46" t="s">
        <v>8515</v>
      </c>
      <c r="H1003" s="46" t="s">
        <v>1391</v>
      </c>
      <c r="I1003" s="46" t="s">
        <v>9067</v>
      </c>
      <c r="J1003" s="49" t="s">
        <v>5509</v>
      </c>
      <c r="L1003" s="63">
        <v>10</v>
      </c>
      <c r="M1003" s="64">
        <v>220000</v>
      </c>
      <c r="N1003" s="64">
        <v>364000</v>
      </c>
      <c r="O1003" s="47" t="s">
        <v>2680</v>
      </c>
      <c r="P1003" s="47" t="s">
        <v>9068</v>
      </c>
      <c r="Q1003" s="62" t="s">
        <v>1939</v>
      </c>
      <c r="R1003" s="47" t="s">
        <v>9069</v>
      </c>
      <c r="U1003" s="46" t="s">
        <v>491</v>
      </c>
      <c r="V1003" s="46"/>
    </row>
    <row r="1004" spans="1:22" ht="30" x14ac:dyDescent="0.25">
      <c r="A1004" s="61">
        <v>43026</v>
      </c>
      <c r="B1004" s="62" t="s">
        <v>5360</v>
      </c>
      <c r="C1004" s="46" t="s">
        <v>899</v>
      </c>
      <c r="D1004" s="46" t="s">
        <v>732</v>
      </c>
      <c r="E1004" s="46" t="s">
        <v>588</v>
      </c>
      <c r="F1004" s="46" t="s">
        <v>9071</v>
      </c>
      <c r="G1004" s="46" t="s">
        <v>9072</v>
      </c>
      <c r="H1004" s="46" t="s">
        <v>607</v>
      </c>
      <c r="I1004" s="46" t="s">
        <v>7073</v>
      </c>
      <c r="J1004" s="49" t="s">
        <v>899</v>
      </c>
      <c r="L1004" s="63">
        <v>9</v>
      </c>
      <c r="M1004" s="64">
        <v>1217000</v>
      </c>
      <c r="N1004" s="64">
        <v>1673900</v>
      </c>
      <c r="O1004" s="47" t="s">
        <v>560</v>
      </c>
      <c r="P1004" s="47" t="s">
        <v>9073</v>
      </c>
      <c r="Q1004" s="62" t="s">
        <v>592</v>
      </c>
      <c r="U1004" s="46" t="s">
        <v>491</v>
      </c>
      <c r="V1004" s="46"/>
    </row>
    <row r="1005" spans="1:22" ht="30" x14ac:dyDescent="0.25">
      <c r="A1005" s="61">
        <v>43026</v>
      </c>
      <c r="B1005" s="62" t="s">
        <v>328</v>
      </c>
      <c r="C1005" s="46" t="s">
        <v>603</v>
      </c>
      <c r="D1005" s="46" t="s">
        <v>672</v>
      </c>
      <c r="E1005" s="46" t="s">
        <v>588</v>
      </c>
      <c r="F1005" s="46" t="s">
        <v>9075</v>
      </c>
      <c r="G1005" s="46" t="s">
        <v>9076</v>
      </c>
      <c r="H1005" s="46" t="s">
        <v>1391</v>
      </c>
      <c r="I1005" s="46" t="s">
        <v>4754</v>
      </c>
      <c r="J1005" s="49" t="s">
        <v>899</v>
      </c>
      <c r="L1005" s="63">
        <v>4</v>
      </c>
      <c r="M1005" s="64">
        <v>3300000</v>
      </c>
      <c r="N1005" s="64">
        <v>4880000</v>
      </c>
      <c r="O1005" s="47" t="s">
        <v>560</v>
      </c>
      <c r="P1005" s="47" t="s">
        <v>9077</v>
      </c>
      <c r="Q1005" s="62" t="s">
        <v>592</v>
      </c>
      <c r="S1005" s="47" t="s">
        <v>9074</v>
      </c>
      <c r="U1005" s="46" t="s">
        <v>491</v>
      </c>
      <c r="V1005" s="46"/>
    </row>
    <row r="1006" spans="1:22" ht="60" x14ac:dyDescent="0.25">
      <c r="A1006" s="61">
        <v>43026</v>
      </c>
      <c r="B1006" s="62" t="s">
        <v>328</v>
      </c>
      <c r="C1006" s="46" t="s">
        <v>603</v>
      </c>
      <c r="D1006" s="46" t="s">
        <v>5701</v>
      </c>
      <c r="E1006" s="46" t="s">
        <v>588</v>
      </c>
      <c r="F1006" s="46" t="s">
        <v>9079</v>
      </c>
      <c r="G1006" s="46" t="s">
        <v>9078</v>
      </c>
      <c r="H1006" s="46" t="s">
        <v>607</v>
      </c>
      <c r="I1006" s="46" t="s">
        <v>5910</v>
      </c>
      <c r="J1006" s="49" t="s">
        <v>899</v>
      </c>
      <c r="L1006" s="63">
        <v>1</v>
      </c>
      <c r="M1006" s="64">
        <v>2372691</v>
      </c>
      <c r="N1006" s="64">
        <v>3205091</v>
      </c>
      <c r="O1006" s="47" t="s">
        <v>560</v>
      </c>
      <c r="P1006" s="47" t="s">
        <v>9080</v>
      </c>
      <c r="Q1006" s="62" t="s">
        <v>1939</v>
      </c>
      <c r="R1006" s="47" t="s">
        <v>9081</v>
      </c>
      <c r="U1006" s="46" t="s">
        <v>491</v>
      </c>
      <c r="V1006" s="46"/>
    </row>
    <row r="1007" spans="1:22" ht="60" x14ac:dyDescent="0.25">
      <c r="A1007" s="61">
        <v>43026</v>
      </c>
      <c r="B1007" s="62" t="s">
        <v>569</v>
      </c>
      <c r="C1007" s="46" t="s">
        <v>899</v>
      </c>
      <c r="D1007" s="46" t="s">
        <v>930</v>
      </c>
      <c r="E1007" s="46" t="s">
        <v>821</v>
      </c>
      <c r="F1007" s="46" t="s">
        <v>9084</v>
      </c>
      <c r="G1007" s="46" t="s">
        <v>833</v>
      </c>
      <c r="H1007" s="46" t="s">
        <v>9085</v>
      </c>
      <c r="M1007" s="64">
        <v>1300000</v>
      </c>
      <c r="O1007" s="47" t="s">
        <v>2908</v>
      </c>
      <c r="P1007" s="47" t="s">
        <v>9086</v>
      </c>
      <c r="Q1007" s="62" t="s">
        <v>592</v>
      </c>
      <c r="U1007" s="46" t="s">
        <v>491</v>
      </c>
      <c r="V1007" s="46"/>
    </row>
    <row r="1008" spans="1:22" ht="75" x14ac:dyDescent="0.25">
      <c r="A1008" s="61">
        <v>43026</v>
      </c>
      <c r="B1008" s="62" t="s">
        <v>643</v>
      </c>
      <c r="C1008" s="46" t="s">
        <v>644</v>
      </c>
      <c r="D1008" s="46" t="s">
        <v>645</v>
      </c>
      <c r="E1008" s="46" t="s">
        <v>588</v>
      </c>
      <c r="F1008" s="46" t="s">
        <v>9082</v>
      </c>
      <c r="G1008" s="46" t="s">
        <v>9083</v>
      </c>
      <c r="H1008" s="46" t="s">
        <v>607</v>
      </c>
      <c r="I1008" s="46" t="s">
        <v>9087</v>
      </c>
      <c r="J1008" s="49" t="s">
        <v>644</v>
      </c>
      <c r="M1008" s="64">
        <v>1804000</v>
      </c>
      <c r="N1008" s="64">
        <v>2202800</v>
      </c>
      <c r="O1008" s="47" t="s">
        <v>9088</v>
      </c>
      <c r="P1008" s="47" t="s">
        <v>9089</v>
      </c>
      <c r="Q1008" s="62" t="s">
        <v>1939</v>
      </c>
      <c r="R1008" s="47" t="s">
        <v>9090</v>
      </c>
      <c r="U1008" s="46" t="s">
        <v>491</v>
      </c>
      <c r="V1008" s="46"/>
    </row>
    <row r="1009" spans="1:22" ht="75" x14ac:dyDescent="0.25">
      <c r="A1009" s="61">
        <v>43027</v>
      </c>
      <c r="B1009" s="62" t="s">
        <v>328</v>
      </c>
      <c r="C1009" s="46" t="s">
        <v>603</v>
      </c>
      <c r="D1009" s="46" t="s">
        <v>672</v>
      </c>
      <c r="E1009" s="46" t="s">
        <v>588</v>
      </c>
      <c r="F1009" s="46" t="s">
        <v>9094</v>
      </c>
      <c r="G1009" s="46" t="s">
        <v>9091</v>
      </c>
      <c r="H1009" s="46" t="s">
        <v>1391</v>
      </c>
      <c r="I1009" s="46" t="s">
        <v>9092</v>
      </c>
      <c r="J1009" s="49" t="s">
        <v>3733</v>
      </c>
      <c r="L1009" s="63">
        <v>10</v>
      </c>
      <c r="M1009" s="64">
        <v>226728</v>
      </c>
      <c r="N1009" s="64">
        <v>527970</v>
      </c>
      <c r="O1009" s="47" t="s">
        <v>2680</v>
      </c>
      <c r="P1009" s="47" t="s">
        <v>9275</v>
      </c>
      <c r="Q1009" s="62" t="s">
        <v>1939</v>
      </c>
      <c r="R1009" s="47" t="s">
        <v>9413</v>
      </c>
      <c r="S1009" s="47" t="s">
        <v>9093</v>
      </c>
      <c r="U1009" s="46" t="s">
        <v>491</v>
      </c>
      <c r="V1009" s="46"/>
    </row>
    <row r="1010" spans="1:22" ht="75" x14ac:dyDescent="0.25">
      <c r="A1010" s="61">
        <v>43027</v>
      </c>
      <c r="B1010" s="62" t="s">
        <v>328</v>
      </c>
      <c r="C1010" s="46" t="s">
        <v>603</v>
      </c>
      <c r="D1010" s="46" t="s">
        <v>2500</v>
      </c>
      <c r="E1010" s="46" t="s">
        <v>588</v>
      </c>
      <c r="F1010" s="46" t="s">
        <v>9095</v>
      </c>
      <c r="G1010" s="46" t="s">
        <v>9096</v>
      </c>
      <c r="H1010" s="46" t="s">
        <v>607</v>
      </c>
      <c r="I1010" s="46" t="s">
        <v>3563</v>
      </c>
      <c r="J1010" s="49" t="s">
        <v>899</v>
      </c>
      <c r="L1010" s="63">
        <v>10</v>
      </c>
      <c r="M1010" s="64">
        <v>581000</v>
      </c>
      <c r="N1010" s="64">
        <v>1045800</v>
      </c>
      <c r="O1010" s="47" t="s">
        <v>2680</v>
      </c>
      <c r="P1010" s="47" t="s">
        <v>9276</v>
      </c>
      <c r="Q1010" s="62" t="s">
        <v>1939</v>
      </c>
      <c r="R1010" s="47" t="s">
        <v>9097</v>
      </c>
      <c r="U1010" s="46" t="s">
        <v>491</v>
      </c>
      <c r="V1010" s="46"/>
    </row>
    <row r="1011" spans="1:22" ht="30" x14ac:dyDescent="0.25">
      <c r="A1011" s="61">
        <v>43027</v>
      </c>
      <c r="B1011" s="62" t="s">
        <v>5176</v>
      </c>
      <c r="C1011" s="46" t="s">
        <v>959</v>
      </c>
      <c r="D1011" s="46" t="s">
        <v>732</v>
      </c>
      <c r="E1011" s="46" t="s">
        <v>588</v>
      </c>
      <c r="F1011" s="46" t="s">
        <v>9100</v>
      </c>
      <c r="H1011" s="46" t="s">
        <v>9101</v>
      </c>
      <c r="M1011" s="64">
        <v>1200000</v>
      </c>
      <c r="O1011" s="47" t="s">
        <v>639</v>
      </c>
      <c r="P1011" s="47" t="s">
        <v>9102</v>
      </c>
      <c r="Q1011" s="62" t="s">
        <v>29</v>
      </c>
      <c r="R1011" s="47" t="s">
        <v>9103</v>
      </c>
      <c r="U1011" s="46" t="s">
        <v>491</v>
      </c>
      <c r="V1011" s="46"/>
    </row>
    <row r="1012" spans="1:22" ht="60" x14ac:dyDescent="0.25">
      <c r="A1012" s="61">
        <v>43027</v>
      </c>
      <c r="B1012" s="62" t="s">
        <v>328</v>
      </c>
      <c r="C1012" s="46" t="s">
        <v>603</v>
      </c>
      <c r="D1012" s="46" t="s">
        <v>649</v>
      </c>
      <c r="E1012" s="46" t="s">
        <v>588</v>
      </c>
      <c r="F1012" s="46" t="s">
        <v>9104</v>
      </c>
      <c r="G1012" s="46" t="s">
        <v>9105</v>
      </c>
      <c r="H1012" s="46" t="s">
        <v>905</v>
      </c>
      <c r="I1012" s="46" t="s">
        <v>3388</v>
      </c>
      <c r="J1012" s="49" t="s">
        <v>899</v>
      </c>
      <c r="L1012" s="63">
        <v>1</v>
      </c>
      <c r="M1012" s="64">
        <v>3750000</v>
      </c>
      <c r="N1012" s="64">
        <v>4600000</v>
      </c>
      <c r="O1012" s="47" t="s">
        <v>560</v>
      </c>
      <c r="P1012" s="47" t="s">
        <v>9106</v>
      </c>
      <c r="Q1012" s="62" t="s">
        <v>1939</v>
      </c>
      <c r="R1012" s="47" t="s">
        <v>9277</v>
      </c>
      <c r="U1012" s="46" t="s">
        <v>491</v>
      </c>
      <c r="V1012" s="46"/>
    </row>
    <row r="1013" spans="1:22" ht="60" x14ac:dyDescent="0.25">
      <c r="A1013" s="61">
        <v>43027</v>
      </c>
      <c r="B1013" s="62" t="s">
        <v>5360</v>
      </c>
      <c r="C1013" s="46" t="s">
        <v>899</v>
      </c>
      <c r="D1013" s="46" t="s">
        <v>1027</v>
      </c>
      <c r="E1013" s="46" t="s">
        <v>588</v>
      </c>
      <c r="F1013" s="46" t="s">
        <v>9107</v>
      </c>
      <c r="G1013" s="46" t="s">
        <v>9108</v>
      </c>
      <c r="H1013" s="46" t="s">
        <v>607</v>
      </c>
      <c r="I1013" s="46" t="s">
        <v>6587</v>
      </c>
      <c r="J1013" s="49" t="s">
        <v>899</v>
      </c>
      <c r="L1013" s="63">
        <v>9</v>
      </c>
      <c r="M1013" s="64">
        <v>1500000</v>
      </c>
      <c r="N1013" s="64">
        <v>2200000</v>
      </c>
      <c r="O1013" s="47" t="s">
        <v>560</v>
      </c>
      <c r="P1013" s="47" t="s">
        <v>9109</v>
      </c>
      <c r="Q1013" s="62" t="s">
        <v>1939</v>
      </c>
      <c r="R1013" s="47" t="s">
        <v>9110</v>
      </c>
      <c r="U1013" s="46" t="s">
        <v>491</v>
      </c>
      <c r="V1013" s="46"/>
    </row>
    <row r="1014" spans="1:22" ht="75" x14ac:dyDescent="0.25">
      <c r="A1014" s="61">
        <v>43027</v>
      </c>
      <c r="B1014" s="62" t="s">
        <v>569</v>
      </c>
      <c r="C1014" s="46" t="s">
        <v>899</v>
      </c>
      <c r="D1014" s="46" t="s">
        <v>625</v>
      </c>
      <c r="E1014" s="46" t="s">
        <v>821</v>
      </c>
      <c r="F1014" s="46" t="s">
        <v>8966</v>
      </c>
      <c r="H1014" s="46" t="s">
        <v>607</v>
      </c>
      <c r="M1014" s="64">
        <v>770000</v>
      </c>
      <c r="O1014" s="47" t="s">
        <v>9111</v>
      </c>
      <c r="P1014" s="47" t="s">
        <v>9112</v>
      </c>
      <c r="Q1014" s="62" t="s">
        <v>1939</v>
      </c>
      <c r="R1014" s="47" t="s">
        <v>9113</v>
      </c>
      <c r="U1014" s="46" t="s">
        <v>491</v>
      </c>
      <c r="V1014" s="46"/>
    </row>
    <row r="1015" spans="1:22" ht="60" x14ac:dyDescent="0.25">
      <c r="A1015" s="61">
        <v>43027</v>
      </c>
      <c r="B1015" s="62" t="s">
        <v>569</v>
      </c>
      <c r="C1015" s="46" t="s">
        <v>899</v>
      </c>
      <c r="D1015" s="46" t="s">
        <v>625</v>
      </c>
      <c r="E1015" s="46" t="s">
        <v>821</v>
      </c>
      <c r="F1015" s="46" t="s">
        <v>8966</v>
      </c>
      <c r="H1015" s="46" t="s">
        <v>809</v>
      </c>
      <c r="O1015" s="47" t="s">
        <v>9114</v>
      </c>
      <c r="P1015" s="47" t="s">
        <v>9115</v>
      </c>
      <c r="Q1015" s="62" t="s">
        <v>1939</v>
      </c>
      <c r="U1015" s="46" t="s">
        <v>491</v>
      </c>
      <c r="V1015" s="46"/>
    </row>
    <row r="1016" spans="1:22" ht="105" x14ac:dyDescent="0.25">
      <c r="A1016" s="61">
        <v>43027</v>
      </c>
      <c r="B1016" s="62" t="s">
        <v>569</v>
      </c>
      <c r="C1016" s="46" t="s">
        <v>899</v>
      </c>
      <c r="D1016" s="46" t="s">
        <v>930</v>
      </c>
      <c r="E1016" s="46" t="s">
        <v>1707</v>
      </c>
      <c r="F1016" s="46" t="s">
        <v>9123</v>
      </c>
      <c r="G1016" s="46" t="s">
        <v>9124</v>
      </c>
      <c r="H1016" s="46" t="s">
        <v>607</v>
      </c>
      <c r="I1016" s="46" t="s">
        <v>3649</v>
      </c>
      <c r="J1016" s="49" t="s">
        <v>899</v>
      </c>
      <c r="L1016" s="63">
        <v>4</v>
      </c>
      <c r="M1016" s="64">
        <v>2200000</v>
      </c>
      <c r="N1016" s="64">
        <v>3420000</v>
      </c>
      <c r="O1016" s="47" t="s">
        <v>9116</v>
      </c>
      <c r="P1016" s="47" t="s">
        <v>9125</v>
      </c>
      <c r="Q1016" s="62" t="s">
        <v>1939</v>
      </c>
      <c r="R1016" s="47" t="s">
        <v>9126</v>
      </c>
      <c r="U1016" s="46" t="s">
        <v>491</v>
      </c>
      <c r="V1016" s="46"/>
    </row>
    <row r="1017" spans="1:22" ht="45" x14ac:dyDescent="0.25">
      <c r="A1017" s="61">
        <v>43027</v>
      </c>
      <c r="B1017" s="62" t="s">
        <v>328</v>
      </c>
      <c r="C1017" s="46" t="s">
        <v>603</v>
      </c>
      <c r="D1017" s="46" t="s">
        <v>649</v>
      </c>
      <c r="E1017" s="46" t="s">
        <v>588</v>
      </c>
      <c r="F1017" s="46" t="s">
        <v>9117</v>
      </c>
      <c r="G1017" s="46" t="s">
        <v>9118</v>
      </c>
      <c r="H1017" s="46" t="s">
        <v>1391</v>
      </c>
      <c r="I1017" s="46" t="s">
        <v>9119</v>
      </c>
      <c r="J1017" s="49" t="s">
        <v>899</v>
      </c>
      <c r="L1017" s="63">
        <v>4</v>
      </c>
      <c r="M1017" s="64">
        <v>3500000</v>
      </c>
      <c r="N1017" s="64">
        <v>5000000</v>
      </c>
      <c r="O1017" s="47" t="s">
        <v>560</v>
      </c>
      <c r="P1017" s="135" t="s">
        <v>9120</v>
      </c>
      <c r="Q1017" s="62" t="s">
        <v>592</v>
      </c>
      <c r="R1017" s="47" t="s">
        <v>9121</v>
      </c>
      <c r="S1017" s="47" t="s">
        <v>9122</v>
      </c>
      <c r="U1017" s="46" t="s">
        <v>1327</v>
      </c>
      <c r="V1017" s="46"/>
    </row>
    <row r="1018" spans="1:22" ht="30" x14ac:dyDescent="0.25">
      <c r="A1018" s="61">
        <v>43028</v>
      </c>
      <c r="B1018" s="62" t="s">
        <v>328</v>
      </c>
      <c r="C1018" s="46" t="s">
        <v>603</v>
      </c>
      <c r="D1018" s="46" t="s">
        <v>2397</v>
      </c>
      <c r="E1018" s="46" t="s">
        <v>588</v>
      </c>
      <c r="F1018" s="46" t="s">
        <v>9127</v>
      </c>
      <c r="G1018" s="46" t="s">
        <v>9128</v>
      </c>
      <c r="H1018" s="46" t="s">
        <v>1391</v>
      </c>
      <c r="I1018" s="46" t="s">
        <v>5412</v>
      </c>
      <c r="J1018" s="49" t="s">
        <v>899</v>
      </c>
      <c r="L1018" s="63">
        <v>3</v>
      </c>
      <c r="M1018" s="64">
        <v>2000000</v>
      </c>
      <c r="N1018" s="64">
        <v>3000000</v>
      </c>
      <c r="O1018" s="47" t="s">
        <v>560</v>
      </c>
      <c r="P1018" s="47" t="s">
        <v>9129</v>
      </c>
      <c r="Q1018" s="62" t="s">
        <v>592</v>
      </c>
      <c r="U1018" s="46" t="s">
        <v>491</v>
      </c>
      <c r="V1018" s="46"/>
    </row>
    <row r="1019" spans="1:22" ht="60" x14ac:dyDescent="0.25">
      <c r="A1019" s="61">
        <v>43028</v>
      </c>
      <c r="B1019" s="62" t="s">
        <v>328</v>
      </c>
      <c r="C1019" s="46" t="s">
        <v>603</v>
      </c>
      <c r="D1019" s="46" t="s">
        <v>649</v>
      </c>
      <c r="E1019" s="46" t="s">
        <v>588</v>
      </c>
      <c r="F1019" s="46" t="s">
        <v>9130</v>
      </c>
      <c r="G1019" s="46" t="s">
        <v>9131</v>
      </c>
      <c r="H1019" s="46" t="s">
        <v>607</v>
      </c>
      <c r="I1019" s="46" t="s">
        <v>3649</v>
      </c>
      <c r="J1019" s="49" t="s">
        <v>899</v>
      </c>
      <c r="L1019" s="63">
        <v>4</v>
      </c>
      <c r="M1019" s="64">
        <v>1150000</v>
      </c>
      <c r="N1019" s="64">
        <v>2250000</v>
      </c>
      <c r="O1019" s="47" t="s">
        <v>695</v>
      </c>
      <c r="P1019" s="47" t="s">
        <v>9132</v>
      </c>
      <c r="Q1019" s="62" t="s">
        <v>592</v>
      </c>
      <c r="S1019" s="47" t="s">
        <v>9133</v>
      </c>
      <c r="U1019" s="46" t="s">
        <v>491</v>
      </c>
      <c r="V1019" s="46"/>
    </row>
    <row r="1020" spans="1:22" ht="45" x14ac:dyDescent="0.25">
      <c r="A1020" s="61">
        <v>43028</v>
      </c>
      <c r="B1020" s="62" t="s">
        <v>328</v>
      </c>
      <c r="C1020" s="46" t="s">
        <v>603</v>
      </c>
      <c r="D1020" s="46" t="s">
        <v>649</v>
      </c>
      <c r="E1020" s="46" t="s">
        <v>588</v>
      </c>
      <c r="F1020" s="46" t="s">
        <v>9134</v>
      </c>
      <c r="G1020" s="46" t="s">
        <v>8827</v>
      </c>
      <c r="H1020" s="46" t="s">
        <v>607</v>
      </c>
      <c r="I1020" s="46" t="s">
        <v>9135</v>
      </c>
      <c r="J1020" s="49" t="s">
        <v>3398</v>
      </c>
      <c r="L1020" s="63">
        <v>9</v>
      </c>
      <c r="M1020" s="64">
        <v>1085000</v>
      </c>
      <c r="N1020" s="64">
        <v>2176000</v>
      </c>
      <c r="O1020" s="47" t="s">
        <v>560</v>
      </c>
      <c r="P1020" s="47" t="s">
        <v>9136</v>
      </c>
      <c r="Q1020" s="62" t="s">
        <v>592</v>
      </c>
      <c r="R1020" s="47" t="s">
        <v>9137</v>
      </c>
      <c r="U1020" s="46" t="s">
        <v>491</v>
      </c>
      <c r="V1020" s="46"/>
    </row>
    <row r="1021" spans="1:22" ht="105" x14ac:dyDescent="0.25">
      <c r="A1021" s="61">
        <v>43031</v>
      </c>
      <c r="B1021" s="62" t="s">
        <v>5176</v>
      </c>
      <c r="C1021" s="46" t="s">
        <v>604</v>
      </c>
      <c r="D1021" s="46" t="s">
        <v>595</v>
      </c>
      <c r="E1021" s="46" t="s">
        <v>821</v>
      </c>
      <c r="F1021" s="46" t="s">
        <v>9139</v>
      </c>
      <c r="H1021" s="46" t="s">
        <v>905</v>
      </c>
      <c r="I1021" s="46" t="s">
        <v>9140</v>
      </c>
      <c r="J1021" s="49" t="s">
        <v>604</v>
      </c>
      <c r="M1021" s="64">
        <v>360000</v>
      </c>
      <c r="N1021" s="64">
        <v>420000</v>
      </c>
      <c r="O1021" s="47" t="s">
        <v>8628</v>
      </c>
      <c r="P1021" s="47" t="s">
        <v>9141</v>
      </c>
      <c r="Q1021" s="62" t="s">
        <v>1939</v>
      </c>
      <c r="R1021" s="47" t="s">
        <v>9142</v>
      </c>
      <c r="U1021" s="46" t="s">
        <v>491</v>
      </c>
      <c r="V1021" s="46"/>
    </row>
    <row r="1022" spans="1:22" ht="210" x14ac:dyDescent="0.25">
      <c r="A1022" s="61">
        <v>43031</v>
      </c>
      <c r="B1022" s="62" t="s">
        <v>643</v>
      </c>
      <c r="C1022" s="46" t="s">
        <v>644</v>
      </c>
      <c r="D1022" s="46" t="s">
        <v>645</v>
      </c>
      <c r="E1022" s="46" t="s">
        <v>588</v>
      </c>
      <c r="F1022" s="46" t="s">
        <v>9154</v>
      </c>
      <c r="G1022" s="46" t="s">
        <v>9155</v>
      </c>
      <c r="H1022" s="46" t="s">
        <v>1391</v>
      </c>
      <c r="I1022" s="46" t="s">
        <v>4042</v>
      </c>
      <c r="J1022" s="49" t="s">
        <v>644</v>
      </c>
      <c r="L1022" s="63">
        <v>10</v>
      </c>
      <c r="M1022" s="64">
        <v>695000</v>
      </c>
      <c r="N1022" s="132">
        <v>903500</v>
      </c>
      <c r="O1022" s="47" t="s">
        <v>3871</v>
      </c>
      <c r="P1022" s="47" t="s">
        <v>9158</v>
      </c>
      <c r="Q1022" s="62" t="s">
        <v>29</v>
      </c>
      <c r="R1022" s="47" t="s">
        <v>9156</v>
      </c>
      <c r="U1022" s="46" t="s">
        <v>1327</v>
      </c>
      <c r="V1022" s="46"/>
    </row>
    <row r="1023" spans="1:22" ht="60" x14ac:dyDescent="0.25">
      <c r="A1023" s="61">
        <v>43031</v>
      </c>
      <c r="B1023" s="62" t="s">
        <v>569</v>
      </c>
      <c r="C1023" s="46" t="s">
        <v>899</v>
      </c>
      <c r="D1023" s="46" t="s">
        <v>625</v>
      </c>
      <c r="E1023" s="46" t="s">
        <v>588</v>
      </c>
      <c r="F1023" s="47" t="s">
        <v>9157</v>
      </c>
      <c r="G1023" s="47" t="s">
        <v>9157</v>
      </c>
      <c r="H1023" s="46" t="s">
        <v>1391</v>
      </c>
      <c r="I1023" s="46" t="s">
        <v>4064</v>
      </c>
      <c r="J1023" s="49" t="s">
        <v>899</v>
      </c>
      <c r="O1023" s="47" t="s">
        <v>9159</v>
      </c>
      <c r="P1023" s="47" t="s">
        <v>9278</v>
      </c>
      <c r="Q1023" s="62" t="s">
        <v>1939</v>
      </c>
      <c r="R1023" s="47" t="s">
        <v>9160</v>
      </c>
      <c r="U1023" s="46" t="s">
        <v>1327</v>
      </c>
      <c r="V1023" s="46"/>
    </row>
    <row r="1024" spans="1:22" ht="180" x14ac:dyDescent="0.25">
      <c r="A1024" s="61">
        <v>43032</v>
      </c>
      <c r="B1024" s="62" t="s">
        <v>569</v>
      </c>
      <c r="C1024" s="46" t="s">
        <v>899</v>
      </c>
      <c r="D1024" s="46" t="s">
        <v>930</v>
      </c>
      <c r="E1024" s="46" t="s">
        <v>821</v>
      </c>
      <c r="F1024" s="46" t="s">
        <v>9147</v>
      </c>
      <c r="H1024" s="46" t="s">
        <v>886</v>
      </c>
      <c r="M1024" s="64">
        <v>890000</v>
      </c>
      <c r="O1024" s="47" t="s">
        <v>35</v>
      </c>
      <c r="P1024" s="47" t="s">
        <v>9143</v>
      </c>
      <c r="Q1024" s="62" t="s">
        <v>1612</v>
      </c>
      <c r="R1024" s="47" t="s">
        <v>9164</v>
      </c>
      <c r="U1024" s="46" t="s">
        <v>491</v>
      </c>
      <c r="V1024" s="46"/>
    </row>
    <row r="1025" spans="1:22" ht="120" x14ac:dyDescent="0.25">
      <c r="A1025" s="61">
        <v>43032</v>
      </c>
      <c r="B1025" s="62" t="s">
        <v>569</v>
      </c>
      <c r="C1025" s="46" t="s">
        <v>899</v>
      </c>
      <c r="D1025" s="46" t="s">
        <v>930</v>
      </c>
      <c r="E1025" s="46" t="s">
        <v>821</v>
      </c>
      <c r="F1025" s="46" t="s">
        <v>9144</v>
      </c>
      <c r="H1025" s="46" t="s">
        <v>886</v>
      </c>
      <c r="J1025" s="49" t="s">
        <v>899</v>
      </c>
      <c r="O1025" s="47" t="s">
        <v>9145</v>
      </c>
      <c r="P1025" s="47" t="s">
        <v>9146</v>
      </c>
      <c r="Q1025" s="62" t="s">
        <v>1939</v>
      </c>
      <c r="R1025" s="47" t="s">
        <v>9148</v>
      </c>
      <c r="U1025" s="46" t="s">
        <v>491</v>
      </c>
      <c r="V1025" s="46"/>
    </row>
    <row r="1026" spans="1:22" ht="135" x14ac:dyDescent="0.25">
      <c r="A1026" s="61">
        <v>43033</v>
      </c>
      <c r="B1026" s="62" t="s">
        <v>569</v>
      </c>
      <c r="C1026" s="46" t="s">
        <v>899</v>
      </c>
      <c r="D1026" s="46" t="s">
        <v>930</v>
      </c>
      <c r="E1026" s="46" t="s">
        <v>821</v>
      </c>
      <c r="F1026" s="46" t="s">
        <v>9165</v>
      </c>
      <c r="G1026" s="46" t="s">
        <v>9166</v>
      </c>
      <c r="H1026" s="46" t="s">
        <v>607</v>
      </c>
      <c r="J1026" s="49" t="s">
        <v>899</v>
      </c>
      <c r="O1026" s="47" t="s">
        <v>9149</v>
      </c>
      <c r="P1026" s="47" t="s">
        <v>9150</v>
      </c>
      <c r="Q1026" s="62" t="s">
        <v>1612</v>
      </c>
      <c r="R1026" s="47" t="s">
        <v>9167</v>
      </c>
      <c r="U1026" s="46" t="s">
        <v>491</v>
      </c>
      <c r="V1026" s="46"/>
    </row>
    <row r="1027" spans="1:22" ht="30" x14ac:dyDescent="0.25">
      <c r="A1027" s="61">
        <v>43033</v>
      </c>
      <c r="B1027" s="62" t="s">
        <v>569</v>
      </c>
      <c r="C1027" s="46" t="s">
        <v>899</v>
      </c>
      <c r="D1027" s="46" t="s">
        <v>625</v>
      </c>
      <c r="E1027" s="46" t="s">
        <v>821</v>
      </c>
      <c r="F1027" s="46" t="s">
        <v>8966</v>
      </c>
      <c r="H1027" s="46" t="s">
        <v>905</v>
      </c>
      <c r="J1027" s="49" t="s">
        <v>899</v>
      </c>
      <c r="M1027" s="64">
        <v>345000</v>
      </c>
      <c r="O1027" s="47" t="s">
        <v>666</v>
      </c>
      <c r="P1027" s="47" t="s">
        <v>9151</v>
      </c>
      <c r="Q1027" s="62" t="s">
        <v>620</v>
      </c>
      <c r="R1027" s="47" t="s">
        <v>9152</v>
      </c>
      <c r="S1027" s="47" t="s">
        <v>9153</v>
      </c>
      <c r="U1027" s="46" t="s">
        <v>491</v>
      </c>
      <c r="V1027" s="46"/>
    </row>
    <row r="1028" spans="1:22" ht="90" x14ac:dyDescent="0.25">
      <c r="A1028" s="61">
        <v>43034</v>
      </c>
      <c r="B1028" s="62" t="s">
        <v>5176</v>
      </c>
      <c r="C1028" s="46" t="s">
        <v>959</v>
      </c>
      <c r="D1028" s="46" t="s">
        <v>732</v>
      </c>
      <c r="E1028" s="46" t="s">
        <v>588</v>
      </c>
      <c r="F1028" s="46" t="s">
        <v>9161</v>
      </c>
      <c r="G1028" s="46" t="s">
        <v>9162</v>
      </c>
      <c r="H1028" s="46" t="s">
        <v>886</v>
      </c>
      <c r="I1028" s="46" t="s">
        <v>9163</v>
      </c>
      <c r="J1028" s="49" t="s">
        <v>959</v>
      </c>
      <c r="O1028" s="47" t="s">
        <v>2455</v>
      </c>
      <c r="P1028" s="47" t="s">
        <v>9283</v>
      </c>
      <c r="Q1028" s="62" t="s">
        <v>592</v>
      </c>
      <c r="R1028" s="47" t="s">
        <v>9284</v>
      </c>
      <c r="U1028" s="46" t="s">
        <v>491</v>
      </c>
      <c r="V1028" s="46"/>
    </row>
    <row r="1029" spans="1:22" ht="60" x14ac:dyDescent="0.25">
      <c r="A1029" s="61">
        <v>43034</v>
      </c>
      <c r="B1029" s="62" t="s">
        <v>569</v>
      </c>
      <c r="C1029" s="46" t="s">
        <v>899</v>
      </c>
      <c r="D1029" s="46" t="s">
        <v>625</v>
      </c>
      <c r="E1029" s="46" t="s">
        <v>588</v>
      </c>
      <c r="F1029" s="46" t="s">
        <v>8966</v>
      </c>
      <c r="H1029" s="46" t="s">
        <v>607</v>
      </c>
      <c r="I1029" s="46" t="s">
        <v>3388</v>
      </c>
      <c r="J1029" s="49" t="s">
        <v>899</v>
      </c>
      <c r="M1029" s="64">
        <v>1500000</v>
      </c>
      <c r="O1029" s="47" t="s">
        <v>9088</v>
      </c>
      <c r="P1029" s="47" t="s">
        <v>9168</v>
      </c>
      <c r="Q1029" s="62" t="s">
        <v>1939</v>
      </c>
      <c r="R1029" s="47" t="s">
        <v>9169</v>
      </c>
      <c r="U1029" s="46" t="s">
        <v>491</v>
      </c>
      <c r="V1029" s="46"/>
    </row>
    <row r="1030" spans="1:22" ht="90" x14ac:dyDescent="0.25">
      <c r="A1030" s="61">
        <v>43034</v>
      </c>
      <c r="B1030" s="62" t="s">
        <v>6076</v>
      </c>
      <c r="C1030" s="46" t="s">
        <v>3370</v>
      </c>
      <c r="D1030" s="46" t="s">
        <v>2836</v>
      </c>
      <c r="E1030" s="46" t="s">
        <v>588</v>
      </c>
      <c r="F1030" s="46" t="s">
        <v>9182</v>
      </c>
      <c r="G1030" s="46" t="s">
        <v>9183</v>
      </c>
      <c r="H1030" s="46" t="s">
        <v>905</v>
      </c>
      <c r="I1030" s="46" t="s">
        <v>9184</v>
      </c>
      <c r="J1030" s="49" t="s">
        <v>3370</v>
      </c>
      <c r="O1030" s="47" t="s">
        <v>4732</v>
      </c>
      <c r="P1030" t="s">
        <v>9185</v>
      </c>
      <c r="Q1030" s="62" t="s">
        <v>620</v>
      </c>
      <c r="R1030" s="47" t="s">
        <v>9186</v>
      </c>
      <c r="U1030" s="46" t="s">
        <v>1327</v>
      </c>
      <c r="V1030" s="46"/>
    </row>
    <row r="1031" spans="1:22" ht="28.5" x14ac:dyDescent="0.25">
      <c r="A1031" s="61">
        <v>43034</v>
      </c>
      <c r="B1031" s="62" t="s">
        <v>328</v>
      </c>
      <c r="C1031" s="46" t="s">
        <v>899</v>
      </c>
      <c r="D1031" s="46" t="s">
        <v>649</v>
      </c>
      <c r="E1031" s="46" t="s">
        <v>588</v>
      </c>
      <c r="F1031" s="46" t="s">
        <v>9192</v>
      </c>
      <c r="G1031" s="46" t="s">
        <v>9187</v>
      </c>
      <c r="H1031" s="46" t="s">
        <v>1391</v>
      </c>
      <c r="I1031" s="46" t="s">
        <v>9188</v>
      </c>
      <c r="J1031" s="49" t="s">
        <v>3398</v>
      </c>
      <c r="L1031" s="63">
        <v>10</v>
      </c>
      <c r="M1031" s="64">
        <v>1200000</v>
      </c>
      <c r="N1031" s="134">
        <v>1820000</v>
      </c>
      <c r="O1031" s="47" t="s">
        <v>9189</v>
      </c>
      <c r="P1031" s="150" t="s">
        <v>9190</v>
      </c>
      <c r="Q1031" s="62" t="s">
        <v>592</v>
      </c>
      <c r="R1031" s="47" t="s">
        <v>9191</v>
      </c>
      <c r="U1031" s="46" t="s">
        <v>1327</v>
      </c>
      <c r="V1031" s="46"/>
    </row>
    <row r="1032" spans="1:22" ht="128.25" x14ac:dyDescent="0.25">
      <c r="A1032" s="61">
        <v>43034</v>
      </c>
      <c r="B1032" s="62" t="s">
        <v>328</v>
      </c>
      <c r="C1032" s="46" t="s">
        <v>899</v>
      </c>
      <c r="D1032" s="46" t="s">
        <v>2204</v>
      </c>
      <c r="E1032" s="46" t="s">
        <v>588</v>
      </c>
      <c r="F1032" s="46" t="s">
        <v>9193</v>
      </c>
      <c r="G1032" s="46" t="s">
        <v>9194</v>
      </c>
      <c r="H1032" s="46" t="s">
        <v>607</v>
      </c>
      <c r="I1032" s="46" t="s">
        <v>6317</v>
      </c>
      <c r="J1032" s="49" t="s">
        <v>899</v>
      </c>
      <c r="L1032" s="63">
        <v>10</v>
      </c>
      <c r="M1032" s="64">
        <v>955000</v>
      </c>
      <c r="N1032" s="64">
        <v>1910000</v>
      </c>
      <c r="O1032" s="47" t="s">
        <v>7124</v>
      </c>
      <c r="P1032" s="150" t="s">
        <v>9195</v>
      </c>
      <c r="Q1032" s="62" t="s">
        <v>592</v>
      </c>
      <c r="R1032" s="47" t="s">
        <v>9196</v>
      </c>
      <c r="U1032" s="46" t="s">
        <v>1327</v>
      </c>
      <c r="V1032" s="46"/>
    </row>
    <row r="1033" spans="1:22" ht="180" x14ac:dyDescent="0.25">
      <c r="A1033" s="61">
        <v>43034</v>
      </c>
      <c r="B1033" s="62" t="s">
        <v>5360</v>
      </c>
      <c r="C1033" s="46" t="s">
        <v>899</v>
      </c>
      <c r="D1033" s="46" t="s">
        <v>1027</v>
      </c>
      <c r="E1033" s="46" t="s">
        <v>588</v>
      </c>
      <c r="F1033" s="46" t="s">
        <v>9140</v>
      </c>
      <c r="G1033" s="46" t="s">
        <v>6161</v>
      </c>
      <c r="H1033" s="46" t="s">
        <v>607</v>
      </c>
      <c r="I1033" s="46" t="s">
        <v>9197</v>
      </c>
      <c r="J1033" s="49" t="s">
        <v>899</v>
      </c>
      <c r="O1033" s="47" t="s">
        <v>9198</v>
      </c>
      <c r="P1033" s="47" t="s">
        <v>9199</v>
      </c>
      <c r="Q1033" s="62" t="s">
        <v>592</v>
      </c>
      <c r="R1033" s="47" t="s">
        <v>9200</v>
      </c>
      <c r="U1033" s="46" t="s">
        <v>1327</v>
      </c>
      <c r="V1033" s="46"/>
    </row>
    <row r="1034" spans="1:22" ht="45" x14ac:dyDescent="0.25">
      <c r="A1034" s="61">
        <v>43034</v>
      </c>
      <c r="B1034" s="62" t="s">
        <v>328</v>
      </c>
      <c r="C1034" s="46" t="s">
        <v>899</v>
      </c>
      <c r="D1034" s="46" t="s">
        <v>649</v>
      </c>
      <c r="E1034" s="46" t="s">
        <v>588</v>
      </c>
      <c r="F1034" s="46" t="s">
        <v>9201</v>
      </c>
      <c r="G1034" s="46" t="s">
        <v>9202</v>
      </c>
      <c r="H1034" s="46" t="s">
        <v>1391</v>
      </c>
      <c r="I1034" s="46" t="s">
        <v>9203</v>
      </c>
      <c r="J1034" s="49" t="s">
        <v>608</v>
      </c>
      <c r="L1034" s="63">
        <v>9</v>
      </c>
      <c r="M1034" s="64">
        <v>900000</v>
      </c>
      <c r="N1034" s="64">
        <v>1800000</v>
      </c>
      <c r="O1034" s="47" t="s">
        <v>7124</v>
      </c>
      <c r="P1034" s="150" t="s">
        <v>9279</v>
      </c>
      <c r="Q1034" s="62" t="s">
        <v>1939</v>
      </c>
      <c r="R1034" s="47" t="s">
        <v>9204</v>
      </c>
      <c r="U1034" s="46" t="s">
        <v>1327</v>
      </c>
      <c r="V1034" s="46"/>
    </row>
    <row r="1035" spans="1:22" ht="30" x14ac:dyDescent="0.25">
      <c r="A1035" s="61">
        <v>43035</v>
      </c>
      <c r="B1035" s="62" t="s">
        <v>328</v>
      </c>
      <c r="C1035" s="46" t="s">
        <v>899</v>
      </c>
      <c r="D1035" s="46" t="s">
        <v>1401</v>
      </c>
      <c r="E1035" s="46" t="s">
        <v>588</v>
      </c>
      <c r="F1035" s="46" t="s">
        <v>8312</v>
      </c>
      <c r="G1035" s="46" t="s">
        <v>9170</v>
      </c>
      <c r="H1035" s="46" t="s">
        <v>1050</v>
      </c>
      <c r="I1035" s="46" t="s">
        <v>3536</v>
      </c>
      <c r="J1035" s="49" t="s">
        <v>899</v>
      </c>
      <c r="L1035" s="63">
        <v>1</v>
      </c>
      <c r="M1035" s="64">
        <v>4000000</v>
      </c>
      <c r="N1035" s="64">
        <v>4000000</v>
      </c>
      <c r="O1035" s="47" t="s">
        <v>560</v>
      </c>
      <c r="P1035" s="47" t="s">
        <v>9171</v>
      </c>
      <c r="Q1035" s="62" t="s">
        <v>592</v>
      </c>
      <c r="R1035" s="47" t="s">
        <v>9174</v>
      </c>
      <c r="U1035" s="46" t="s">
        <v>491</v>
      </c>
      <c r="V1035" s="46"/>
    </row>
    <row r="1036" spans="1:22" ht="165" x14ac:dyDescent="0.25">
      <c r="A1036" s="61">
        <v>43035</v>
      </c>
      <c r="B1036" s="62" t="s">
        <v>569</v>
      </c>
      <c r="C1036" s="46" t="s">
        <v>899</v>
      </c>
      <c r="D1036" s="46" t="s">
        <v>625</v>
      </c>
      <c r="E1036" s="46" t="s">
        <v>1707</v>
      </c>
      <c r="F1036" s="46" t="s">
        <v>9172</v>
      </c>
      <c r="G1036" s="46" t="s">
        <v>9173</v>
      </c>
      <c r="H1036" s="46" t="s">
        <v>607</v>
      </c>
      <c r="I1036" s="46" t="s">
        <v>7190</v>
      </c>
      <c r="J1036" s="49" t="s">
        <v>899</v>
      </c>
      <c r="L1036" s="63">
        <v>3</v>
      </c>
      <c r="M1036" s="64">
        <v>842000</v>
      </c>
      <c r="N1036" s="64">
        <v>1500000</v>
      </c>
      <c r="O1036" s="47" t="s">
        <v>35</v>
      </c>
      <c r="P1036" s="47" t="s">
        <v>9280</v>
      </c>
      <c r="Q1036" s="62" t="s">
        <v>1612</v>
      </c>
      <c r="R1036" s="47" t="s">
        <v>9385</v>
      </c>
      <c r="U1036" s="46" t="s">
        <v>491</v>
      </c>
      <c r="V1036" s="46"/>
    </row>
    <row r="1037" spans="1:22" ht="75" x14ac:dyDescent="0.25">
      <c r="A1037" s="61">
        <v>43035</v>
      </c>
      <c r="B1037" s="62" t="s">
        <v>328</v>
      </c>
      <c r="C1037" s="46" t="s">
        <v>603</v>
      </c>
      <c r="D1037" s="46" t="s">
        <v>2397</v>
      </c>
      <c r="E1037" s="46" t="s">
        <v>588</v>
      </c>
      <c r="F1037" s="46" t="s">
        <v>9175</v>
      </c>
      <c r="G1037" s="46" t="s">
        <v>9176</v>
      </c>
      <c r="H1037" s="46" t="s">
        <v>607</v>
      </c>
      <c r="I1037" s="46" t="s">
        <v>9177</v>
      </c>
      <c r="J1037" s="49" t="s">
        <v>899</v>
      </c>
      <c r="L1037" s="63">
        <v>10</v>
      </c>
      <c r="M1037" s="64">
        <v>691000</v>
      </c>
      <c r="N1037" s="64">
        <v>1525600</v>
      </c>
      <c r="O1037" s="47" t="s">
        <v>2680</v>
      </c>
      <c r="P1037" s="47" t="s">
        <v>9178</v>
      </c>
      <c r="Q1037" s="62" t="s">
        <v>1939</v>
      </c>
      <c r="R1037" s="47" t="s">
        <v>9179</v>
      </c>
      <c r="U1037" s="46" t="s">
        <v>491</v>
      </c>
      <c r="V1037" s="46"/>
    </row>
    <row r="1038" spans="1:22" ht="60" x14ac:dyDescent="0.25">
      <c r="A1038" s="61">
        <v>43035</v>
      </c>
      <c r="B1038" s="62" t="s">
        <v>569</v>
      </c>
      <c r="C1038" s="46" t="s">
        <v>899</v>
      </c>
      <c r="D1038" s="46" t="s">
        <v>625</v>
      </c>
      <c r="E1038" s="46" t="s">
        <v>821</v>
      </c>
      <c r="F1038" s="46" t="s">
        <v>8966</v>
      </c>
      <c r="H1038" s="46" t="s">
        <v>905</v>
      </c>
      <c r="J1038" s="49" t="s">
        <v>899</v>
      </c>
      <c r="O1038" s="47" t="s">
        <v>639</v>
      </c>
      <c r="P1038" s="47" t="s">
        <v>9180</v>
      </c>
      <c r="Q1038" s="62" t="s">
        <v>592</v>
      </c>
      <c r="R1038" s="47" t="s">
        <v>9181</v>
      </c>
      <c r="U1038" s="46" t="s">
        <v>491</v>
      </c>
      <c r="V1038" s="46"/>
    </row>
    <row r="1039" spans="1:22" ht="28.5" x14ac:dyDescent="0.25">
      <c r="A1039" s="61">
        <v>43035</v>
      </c>
      <c r="B1039" s="62" t="s">
        <v>328</v>
      </c>
      <c r="C1039" s="46" t="s">
        <v>899</v>
      </c>
      <c r="D1039" s="46" t="s">
        <v>649</v>
      </c>
      <c r="E1039" s="46" t="s">
        <v>588</v>
      </c>
      <c r="F1039" s="46" t="s">
        <v>9207</v>
      </c>
      <c r="G1039" s="46" t="s">
        <v>9206</v>
      </c>
      <c r="H1039" s="46" t="s">
        <v>607</v>
      </c>
      <c r="I1039" s="46" t="s">
        <v>2054</v>
      </c>
      <c r="J1039" s="49" t="s">
        <v>899</v>
      </c>
      <c r="L1039" s="63">
        <v>1</v>
      </c>
      <c r="M1039" s="64">
        <v>2000000</v>
      </c>
      <c r="N1039" s="155">
        <v>3400000</v>
      </c>
      <c r="O1039" s="47" t="s">
        <v>560</v>
      </c>
      <c r="P1039" s="124" t="s">
        <v>9205</v>
      </c>
      <c r="Q1039" s="62" t="s">
        <v>1939</v>
      </c>
      <c r="R1039" s="47" t="s">
        <v>9208</v>
      </c>
      <c r="U1039" s="46" t="s">
        <v>1327</v>
      </c>
      <c r="V1039" s="46"/>
    </row>
    <row r="1040" spans="1:22" ht="60" x14ac:dyDescent="0.25">
      <c r="A1040" s="61">
        <v>43035</v>
      </c>
      <c r="B1040" s="62" t="s">
        <v>328</v>
      </c>
      <c r="C1040" s="46" t="s">
        <v>899</v>
      </c>
      <c r="D1040" s="46" t="s">
        <v>649</v>
      </c>
      <c r="E1040" s="46" t="s">
        <v>588</v>
      </c>
      <c r="F1040" s="46" t="s">
        <v>9211</v>
      </c>
      <c r="G1040" s="46" t="s">
        <v>9211</v>
      </c>
      <c r="H1040" s="46" t="s">
        <v>1391</v>
      </c>
      <c r="I1040" s="46" t="s">
        <v>3557</v>
      </c>
      <c r="J1040" s="49" t="s">
        <v>899</v>
      </c>
      <c r="L1040" s="63">
        <v>2</v>
      </c>
      <c r="M1040" s="64">
        <v>2000000</v>
      </c>
      <c r="N1040" s="132">
        <v>3600000</v>
      </c>
      <c r="O1040" s="47" t="s">
        <v>9210</v>
      </c>
      <c r="P1040" s="47" t="s">
        <v>9281</v>
      </c>
      <c r="Q1040" s="62" t="s">
        <v>592</v>
      </c>
      <c r="R1040" s="47" t="s">
        <v>9209</v>
      </c>
      <c r="U1040" s="46" t="s">
        <v>1327</v>
      </c>
      <c r="V1040" s="46"/>
    </row>
    <row r="1041" spans="1:23" ht="45" x14ac:dyDescent="0.25">
      <c r="A1041" s="61">
        <v>43035</v>
      </c>
      <c r="B1041" s="62" t="s">
        <v>328</v>
      </c>
      <c r="C1041" s="46" t="s">
        <v>899</v>
      </c>
      <c r="D1041" s="46" t="s">
        <v>649</v>
      </c>
      <c r="E1041" s="46" t="s">
        <v>588</v>
      </c>
      <c r="F1041" s="46" t="s">
        <v>9216</v>
      </c>
      <c r="G1041" s="46" t="s">
        <v>9217</v>
      </c>
      <c r="H1041" s="46" t="s">
        <v>1391</v>
      </c>
      <c r="L1041" s="63">
        <v>9</v>
      </c>
      <c r="M1041" s="64">
        <v>234000</v>
      </c>
      <c r="N1041" s="64">
        <v>330800</v>
      </c>
      <c r="O1041" s="47" t="s">
        <v>9218</v>
      </c>
      <c r="P1041" s="47" t="s">
        <v>9219</v>
      </c>
      <c r="Q1041" s="62" t="s">
        <v>29</v>
      </c>
      <c r="R1041" s="47" t="s">
        <v>9220</v>
      </c>
      <c r="U1041" s="46" t="s">
        <v>491</v>
      </c>
      <c r="V1041" s="46"/>
    </row>
    <row r="1042" spans="1:23" ht="85.5" x14ac:dyDescent="0.25">
      <c r="A1042" s="61">
        <v>43035</v>
      </c>
      <c r="B1042" s="62" t="s">
        <v>328</v>
      </c>
      <c r="C1042" s="46" t="s">
        <v>899</v>
      </c>
      <c r="D1042" s="46" t="s">
        <v>649</v>
      </c>
      <c r="E1042" s="46" t="s">
        <v>588</v>
      </c>
      <c r="F1042" s="46" t="s">
        <v>7610</v>
      </c>
      <c r="G1042" s="46" t="s">
        <v>9222</v>
      </c>
      <c r="H1042" s="46" t="s">
        <v>607</v>
      </c>
      <c r="I1042" s="46" t="s">
        <v>9221</v>
      </c>
      <c r="J1042" s="49" t="s">
        <v>3751</v>
      </c>
      <c r="L1042" s="63">
        <v>5</v>
      </c>
      <c r="M1042" s="64">
        <v>275000</v>
      </c>
      <c r="N1042" s="64">
        <v>550000</v>
      </c>
      <c r="O1042" s="47" t="s">
        <v>3107</v>
      </c>
      <c r="P1042" s="150" t="s">
        <v>9223</v>
      </c>
      <c r="Q1042" s="62" t="s">
        <v>592</v>
      </c>
      <c r="R1042" s="47" t="s">
        <v>9224</v>
      </c>
      <c r="U1042" s="46" t="s">
        <v>1327</v>
      </c>
      <c r="V1042" s="46"/>
    </row>
    <row r="1043" spans="1:23" ht="45" x14ac:dyDescent="0.25">
      <c r="A1043" s="61">
        <v>43038</v>
      </c>
      <c r="B1043" s="62" t="s">
        <v>643</v>
      </c>
      <c r="C1043" s="46" t="s">
        <v>644</v>
      </c>
      <c r="D1043" s="46" t="s">
        <v>645</v>
      </c>
      <c r="E1043" s="46" t="s">
        <v>588</v>
      </c>
      <c r="F1043" s="46" t="s">
        <v>9213</v>
      </c>
      <c r="G1043" s="46" t="s">
        <v>9212</v>
      </c>
      <c r="H1043" s="46" t="s">
        <v>1391</v>
      </c>
      <c r="O1043" s="47" t="s">
        <v>9214</v>
      </c>
      <c r="P1043" s="47" t="s">
        <v>9215</v>
      </c>
      <c r="Q1043" s="62" t="s">
        <v>1939</v>
      </c>
      <c r="R1043" s="47" t="s">
        <v>9282</v>
      </c>
      <c r="U1043" s="46" t="s">
        <v>491</v>
      </c>
      <c r="V1043" s="46"/>
    </row>
    <row r="1044" spans="1:23" ht="120" x14ac:dyDescent="0.25">
      <c r="A1044" s="61">
        <v>43038</v>
      </c>
      <c r="B1044" s="62" t="s">
        <v>569</v>
      </c>
      <c r="C1044" s="46" t="s">
        <v>899</v>
      </c>
      <c r="D1044" s="46" t="s">
        <v>625</v>
      </c>
      <c r="E1044" s="46" t="s">
        <v>1707</v>
      </c>
      <c r="F1044" s="46" t="s">
        <v>9233</v>
      </c>
      <c r="G1044" s="46" t="s">
        <v>9480</v>
      </c>
      <c r="H1044" s="46" t="s">
        <v>809</v>
      </c>
      <c r="I1044" s="46" t="s">
        <v>3536</v>
      </c>
      <c r="J1044" s="49" t="s">
        <v>899</v>
      </c>
      <c r="O1044" s="47" t="s">
        <v>9225</v>
      </c>
      <c r="P1044" s="47" t="s">
        <v>9226</v>
      </c>
      <c r="Q1044" s="62" t="s">
        <v>29</v>
      </c>
      <c r="R1044" s="47" t="s">
        <v>9481</v>
      </c>
      <c r="U1044" s="46" t="s">
        <v>491</v>
      </c>
      <c r="V1044" s="46"/>
    </row>
    <row r="1045" spans="1:23" ht="165" x14ac:dyDescent="0.25">
      <c r="A1045" s="61">
        <v>43039</v>
      </c>
      <c r="B1045" s="62" t="s">
        <v>569</v>
      </c>
      <c r="C1045" s="46" t="s">
        <v>899</v>
      </c>
      <c r="D1045" s="46" t="s">
        <v>625</v>
      </c>
      <c r="E1045" s="46" t="s">
        <v>821</v>
      </c>
      <c r="F1045" s="46" t="s">
        <v>9227</v>
      </c>
      <c r="H1045" s="46" t="s">
        <v>1050</v>
      </c>
      <c r="I1045" s="46" t="s">
        <v>3649</v>
      </c>
      <c r="J1045" s="49" t="s">
        <v>899</v>
      </c>
      <c r="O1045" s="47" t="s">
        <v>9229</v>
      </c>
      <c r="P1045" s="47" t="s">
        <v>9230</v>
      </c>
      <c r="Q1045" s="62" t="s">
        <v>1612</v>
      </c>
      <c r="R1045" s="47" t="s">
        <v>9356</v>
      </c>
      <c r="U1045" s="46" t="s">
        <v>491</v>
      </c>
      <c r="V1045" s="46"/>
    </row>
    <row r="1046" spans="1:23" ht="75" x14ac:dyDescent="0.25">
      <c r="A1046" s="61">
        <v>43039</v>
      </c>
      <c r="B1046" s="62" t="s">
        <v>569</v>
      </c>
      <c r="C1046" s="46" t="s">
        <v>899</v>
      </c>
      <c r="D1046" s="46" t="s">
        <v>625</v>
      </c>
      <c r="E1046" s="46" t="s">
        <v>821</v>
      </c>
      <c r="F1046" s="46" t="s">
        <v>9228</v>
      </c>
      <c r="H1046" s="46" t="s">
        <v>1050</v>
      </c>
      <c r="O1046" s="47" t="s">
        <v>3848</v>
      </c>
      <c r="P1046" s="47" t="s">
        <v>9231</v>
      </c>
      <c r="Q1046" s="62" t="s">
        <v>1939</v>
      </c>
      <c r="R1046" s="47" t="s">
        <v>9232</v>
      </c>
      <c r="U1046" s="46" t="s">
        <v>491</v>
      </c>
      <c r="V1046" s="46"/>
    </row>
    <row r="1047" spans="1:23" ht="45" x14ac:dyDescent="0.25">
      <c r="A1047" s="61">
        <v>43039</v>
      </c>
      <c r="B1047" s="62" t="s">
        <v>5956</v>
      </c>
      <c r="C1047" s="46" t="s">
        <v>3369</v>
      </c>
      <c r="D1047" s="46" t="s">
        <v>9234</v>
      </c>
      <c r="E1047" s="46" t="s">
        <v>588</v>
      </c>
      <c r="F1047" s="46" t="s">
        <v>9235</v>
      </c>
      <c r="G1047" s="46" t="s">
        <v>9236</v>
      </c>
      <c r="H1047" s="46" t="s">
        <v>905</v>
      </c>
      <c r="O1047" s="47" t="s">
        <v>9237</v>
      </c>
      <c r="P1047" s="47" t="s">
        <v>9238</v>
      </c>
      <c r="Q1047" s="62" t="s">
        <v>1939</v>
      </c>
      <c r="R1047" s="47" t="s">
        <v>9239</v>
      </c>
      <c r="U1047" s="46" t="s">
        <v>491</v>
      </c>
      <c r="V1047" s="46"/>
    </row>
    <row r="1048" spans="1:23" ht="63" customHeight="1" x14ac:dyDescent="0.25">
      <c r="A1048" s="61">
        <v>43039</v>
      </c>
      <c r="B1048" s="62" t="s">
        <v>9240</v>
      </c>
      <c r="C1048" s="46" t="s">
        <v>603</v>
      </c>
      <c r="D1048" s="46" t="s">
        <v>9241</v>
      </c>
      <c r="E1048" s="46" t="s">
        <v>588</v>
      </c>
      <c r="F1048" s="46" t="s">
        <v>9242</v>
      </c>
      <c r="G1048" s="46" t="s">
        <v>7953</v>
      </c>
      <c r="H1048" s="46" t="s">
        <v>607</v>
      </c>
      <c r="I1048" s="46" t="s">
        <v>9243</v>
      </c>
      <c r="J1048" s="49" t="s">
        <v>603</v>
      </c>
      <c r="M1048" s="64">
        <v>240000</v>
      </c>
      <c r="N1048" s="64">
        <v>480000</v>
      </c>
      <c r="O1048" s="47" t="s">
        <v>9244</v>
      </c>
      <c r="P1048" s="47" t="s">
        <v>9245</v>
      </c>
      <c r="Q1048" s="62" t="s">
        <v>1939</v>
      </c>
      <c r="R1048" s="47" t="s">
        <v>9246</v>
      </c>
      <c r="U1048" s="46" t="s">
        <v>491</v>
      </c>
      <c r="V1048" s="46"/>
    </row>
    <row r="1049" spans="1:23" ht="45" x14ac:dyDescent="0.25">
      <c r="A1049" s="61">
        <v>43039</v>
      </c>
      <c r="B1049" s="62" t="s">
        <v>569</v>
      </c>
      <c r="C1049" s="46" t="s">
        <v>899</v>
      </c>
      <c r="D1049" s="46" t="s">
        <v>625</v>
      </c>
      <c r="E1049" s="46" t="s">
        <v>821</v>
      </c>
      <c r="F1049" s="46" t="s">
        <v>9247</v>
      </c>
      <c r="H1049" s="46" t="s">
        <v>886</v>
      </c>
      <c r="I1049" s="46" t="s">
        <v>3649</v>
      </c>
      <c r="J1049" s="49" t="s">
        <v>899</v>
      </c>
      <c r="M1049" s="64">
        <v>1700000</v>
      </c>
      <c r="O1049" s="47" t="s">
        <v>9248</v>
      </c>
      <c r="P1049" s="47" t="s">
        <v>9249</v>
      </c>
      <c r="Q1049" s="62" t="s">
        <v>1939</v>
      </c>
      <c r="R1049" s="47" t="s">
        <v>9250</v>
      </c>
      <c r="U1049" s="46" t="s">
        <v>491</v>
      </c>
      <c r="V1049" s="46"/>
    </row>
    <row r="1050" spans="1:23" ht="45" x14ac:dyDescent="0.25">
      <c r="A1050" s="61">
        <v>43039</v>
      </c>
      <c r="B1050" s="62" t="s">
        <v>569</v>
      </c>
      <c r="C1050" s="46" t="s">
        <v>899</v>
      </c>
      <c r="D1050" s="46" t="s">
        <v>625</v>
      </c>
      <c r="E1050" s="46" t="s">
        <v>821</v>
      </c>
      <c r="F1050" s="46" t="s">
        <v>9251</v>
      </c>
      <c r="G1050" s="46" t="s">
        <v>9252</v>
      </c>
      <c r="H1050" s="46" t="s">
        <v>1391</v>
      </c>
      <c r="I1050" s="46" t="s">
        <v>3649</v>
      </c>
      <c r="J1050" s="49" t="s">
        <v>899</v>
      </c>
      <c r="O1050" s="47" t="s">
        <v>1171</v>
      </c>
      <c r="P1050" s="47" t="s">
        <v>9253</v>
      </c>
      <c r="Q1050" s="62" t="s">
        <v>592</v>
      </c>
      <c r="R1050" s="47" t="s">
        <v>9254</v>
      </c>
      <c r="U1050" s="46" t="s">
        <v>491</v>
      </c>
      <c r="V1050" s="46"/>
    </row>
    <row r="1051" spans="1:23" ht="45" x14ac:dyDescent="0.25">
      <c r="A1051" s="61">
        <v>43039</v>
      </c>
      <c r="B1051" s="62" t="s">
        <v>569</v>
      </c>
      <c r="C1051" s="46" t="s">
        <v>899</v>
      </c>
      <c r="D1051" s="46" t="s">
        <v>930</v>
      </c>
      <c r="E1051" s="46" t="s">
        <v>821</v>
      </c>
      <c r="F1051" s="46" t="s">
        <v>9255</v>
      </c>
      <c r="G1051" s="46" t="s">
        <v>9072</v>
      </c>
      <c r="H1051" s="46" t="s">
        <v>1050</v>
      </c>
      <c r="I1051" s="46" t="s">
        <v>9256</v>
      </c>
      <c r="J1051" s="49" t="s">
        <v>899</v>
      </c>
      <c r="M1051" s="64">
        <v>250000</v>
      </c>
      <c r="N1051" s="64">
        <v>280000</v>
      </c>
      <c r="O1051" s="47" t="s">
        <v>9257</v>
      </c>
      <c r="P1051" s="47" t="s">
        <v>9258</v>
      </c>
      <c r="Q1051" s="62" t="s">
        <v>1939</v>
      </c>
      <c r="R1051" s="47" t="s">
        <v>9265</v>
      </c>
      <c r="U1051" s="46" t="s">
        <v>491</v>
      </c>
      <c r="V1051" s="46"/>
    </row>
    <row r="1052" spans="1:23" ht="104.25" customHeight="1" x14ac:dyDescent="0.25">
      <c r="A1052" s="61">
        <v>43039</v>
      </c>
      <c r="B1052" s="62" t="s">
        <v>569</v>
      </c>
      <c r="C1052" s="46" t="s">
        <v>899</v>
      </c>
      <c r="D1052" s="46" t="s">
        <v>930</v>
      </c>
      <c r="E1052" s="46" t="s">
        <v>821</v>
      </c>
      <c r="F1052" s="46" t="s">
        <v>9291</v>
      </c>
      <c r="G1052" s="46" t="s">
        <v>757</v>
      </c>
      <c r="H1052" s="46" t="s">
        <v>1050</v>
      </c>
      <c r="I1052" s="46" t="s">
        <v>6099</v>
      </c>
      <c r="J1052" s="49" t="s">
        <v>899</v>
      </c>
      <c r="L1052" s="63">
        <v>2</v>
      </c>
      <c r="M1052" s="64">
        <v>4750000</v>
      </c>
      <c r="O1052" s="47" t="s">
        <v>639</v>
      </c>
      <c r="P1052" s="47" t="s">
        <v>9259</v>
      </c>
      <c r="Q1052" s="62" t="s">
        <v>1939</v>
      </c>
      <c r="R1052" s="47" t="s">
        <v>9298</v>
      </c>
      <c r="U1052" s="46" t="s">
        <v>491</v>
      </c>
      <c r="V1052" s="46"/>
    </row>
    <row r="1053" spans="1:23" ht="30" x14ac:dyDescent="0.25">
      <c r="A1053" s="61">
        <v>43039</v>
      </c>
      <c r="B1053" s="62" t="s">
        <v>5176</v>
      </c>
      <c r="C1053" s="46" t="s">
        <v>604</v>
      </c>
      <c r="D1053" s="46" t="s">
        <v>595</v>
      </c>
      <c r="E1053" s="46" t="s">
        <v>588</v>
      </c>
      <c r="F1053" s="46" t="s">
        <v>9260</v>
      </c>
      <c r="G1053" s="46" t="s">
        <v>9261</v>
      </c>
      <c r="H1053" s="46" t="s">
        <v>9262</v>
      </c>
      <c r="I1053" s="46" t="s">
        <v>228</v>
      </c>
      <c r="J1053" s="49" t="s">
        <v>4785</v>
      </c>
      <c r="L1053" s="63">
        <v>3</v>
      </c>
      <c r="M1053" s="64">
        <v>221000</v>
      </c>
      <c r="N1053" s="64">
        <v>226000</v>
      </c>
      <c r="O1053" s="47" t="s">
        <v>639</v>
      </c>
      <c r="P1053" s="47" t="s">
        <v>9263</v>
      </c>
      <c r="Q1053" s="62" t="s">
        <v>29</v>
      </c>
      <c r="R1053" s="47" t="s">
        <v>9264</v>
      </c>
      <c r="U1053" s="46" t="s">
        <v>491</v>
      </c>
      <c r="V1053" s="46"/>
    </row>
    <row r="1054" spans="1:23" ht="45" x14ac:dyDescent="0.25">
      <c r="A1054" s="61">
        <v>43039</v>
      </c>
      <c r="B1054" s="62" t="s">
        <v>5176</v>
      </c>
      <c r="C1054" s="46" t="s">
        <v>604</v>
      </c>
      <c r="D1054" s="46" t="s">
        <v>6995</v>
      </c>
      <c r="E1054" s="46" t="s">
        <v>588</v>
      </c>
      <c r="F1054" s="46" t="s">
        <v>9285</v>
      </c>
      <c r="G1054" s="46" t="s">
        <v>9286</v>
      </c>
      <c r="H1054" s="46" t="s">
        <v>607</v>
      </c>
      <c r="I1054" s="46" t="s">
        <v>9287</v>
      </c>
      <c r="J1054" s="49" t="s">
        <v>959</v>
      </c>
      <c r="M1054" s="141">
        <v>1107000</v>
      </c>
      <c r="N1054" s="141">
        <v>1684600</v>
      </c>
      <c r="O1054" s="47" t="s">
        <v>9288</v>
      </c>
      <c r="P1054" s="47" t="s">
        <v>9289</v>
      </c>
      <c r="Q1054" s="62" t="s">
        <v>1939</v>
      </c>
      <c r="R1054" s="47" t="s">
        <v>9290</v>
      </c>
      <c r="U1054" s="46" t="s">
        <v>1327</v>
      </c>
      <c r="V1054" s="46"/>
    </row>
    <row r="1055" spans="1:23" s="146" customFormat="1" x14ac:dyDescent="0.25">
      <c r="A1055" s="144">
        <v>43040</v>
      </c>
      <c r="B1055" s="145" t="s">
        <v>328</v>
      </c>
      <c r="C1055" s="146" t="s">
        <v>603</v>
      </c>
      <c r="D1055" s="146" t="s">
        <v>649</v>
      </c>
      <c r="E1055" s="146" t="s">
        <v>588</v>
      </c>
      <c r="F1055" s="146" t="s">
        <v>9266</v>
      </c>
      <c r="G1055" s="146" t="s">
        <v>9267</v>
      </c>
      <c r="I1055" s="146" t="s">
        <v>3620</v>
      </c>
      <c r="J1055" s="109" t="s">
        <v>899</v>
      </c>
      <c r="K1055" s="109"/>
      <c r="L1055" s="147"/>
      <c r="O1055" s="149" t="s">
        <v>9026</v>
      </c>
      <c r="P1055" s="149" t="s">
        <v>9268</v>
      </c>
      <c r="Q1055" s="145" t="s">
        <v>592</v>
      </c>
      <c r="R1055" s="149"/>
      <c r="S1055" s="149" t="s">
        <v>9269</v>
      </c>
      <c r="T1055" s="149"/>
      <c r="U1055" s="146" t="s">
        <v>491</v>
      </c>
      <c r="W1055" s="149"/>
    </row>
    <row r="1056" spans="1:23" ht="30" x14ac:dyDescent="0.25">
      <c r="A1056" s="61">
        <v>43041</v>
      </c>
      <c r="B1056" s="62" t="s">
        <v>5176</v>
      </c>
      <c r="C1056" s="46" t="s">
        <v>604</v>
      </c>
      <c r="D1056" s="46" t="s">
        <v>595</v>
      </c>
      <c r="E1056" s="46" t="s">
        <v>588</v>
      </c>
      <c r="F1056" s="46" t="s">
        <v>9292</v>
      </c>
      <c r="G1056" s="46" t="s">
        <v>9293</v>
      </c>
      <c r="H1056" s="46" t="s">
        <v>9294</v>
      </c>
      <c r="J1056" s="49" t="s">
        <v>959</v>
      </c>
      <c r="M1056" s="64">
        <v>10000</v>
      </c>
      <c r="O1056" s="47" t="s">
        <v>9295</v>
      </c>
      <c r="P1056" s="47" t="s">
        <v>9296</v>
      </c>
      <c r="Q1056" s="62" t="s">
        <v>1939</v>
      </c>
      <c r="R1056" s="47" t="s">
        <v>9297</v>
      </c>
      <c r="U1056" s="46" t="s">
        <v>491</v>
      </c>
      <c r="V1056" s="46"/>
    </row>
    <row r="1057" spans="1:22" ht="28.5" x14ac:dyDescent="0.25">
      <c r="A1057" s="61">
        <v>43040</v>
      </c>
      <c r="B1057" s="62" t="s">
        <v>328</v>
      </c>
      <c r="C1057" s="46" t="s">
        <v>603</v>
      </c>
      <c r="D1057" s="46" t="s">
        <v>649</v>
      </c>
      <c r="E1057" s="46" t="s">
        <v>588</v>
      </c>
      <c r="F1057" s="46" t="s">
        <v>9299</v>
      </c>
      <c r="G1057" s="46" t="s">
        <v>9300</v>
      </c>
      <c r="H1057" s="46" t="s">
        <v>1391</v>
      </c>
      <c r="J1057" s="49" t="s">
        <v>899</v>
      </c>
      <c r="L1057" s="63">
        <v>10</v>
      </c>
      <c r="M1057" s="132">
        <v>1100000</v>
      </c>
      <c r="N1057" s="64">
        <v>2200000</v>
      </c>
      <c r="O1057" s="47" t="s">
        <v>2886</v>
      </c>
      <c r="P1057" s="150" t="s">
        <v>9301</v>
      </c>
      <c r="Q1057" s="62" t="s">
        <v>592</v>
      </c>
      <c r="R1057" s="47" t="s">
        <v>9302</v>
      </c>
      <c r="U1057" s="46" t="s">
        <v>1327</v>
      </c>
      <c r="V1057" s="46"/>
    </row>
    <row r="1058" spans="1:22" ht="71.25" x14ac:dyDescent="0.25">
      <c r="A1058" s="61">
        <v>43040</v>
      </c>
      <c r="B1058" s="62" t="s">
        <v>328</v>
      </c>
      <c r="C1058" s="46" t="s">
        <v>603</v>
      </c>
      <c r="D1058" s="46" t="s">
        <v>2397</v>
      </c>
      <c r="E1058" s="46" t="s">
        <v>588</v>
      </c>
      <c r="F1058" s="46" t="s">
        <v>9304</v>
      </c>
      <c r="G1058" s="46" t="s">
        <v>9305</v>
      </c>
      <c r="H1058" s="46" t="s">
        <v>1391</v>
      </c>
      <c r="J1058" s="49" t="s">
        <v>5402</v>
      </c>
      <c r="L1058" s="63">
        <v>10</v>
      </c>
      <c r="M1058" s="64">
        <v>76000</v>
      </c>
      <c r="N1058" s="64">
        <v>114000</v>
      </c>
      <c r="O1058" s="47" t="s">
        <v>2886</v>
      </c>
      <c r="P1058" s="150" t="s">
        <v>9306</v>
      </c>
      <c r="Q1058" s="62" t="s">
        <v>592</v>
      </c>
      <c r="R1058" s="47" t="s">
        <v>9307</v>
      </c>
      <c r="U1058" s="46" t="s">
        <v>1327</v>
      </c>
      <c r="V1058" s="46"/>
    </row>
    <row r="1059" spans="1:22" ht="75" x14ac:dyDescent="0.25">
      <c r="A1059" s="61">
        <v>43040</v>
      </c>
      <c r="B1059" s="62" t="s">
        <v>328</v>
      </c>
      <c r="C1059" s="46" t="s">
        <v>603</v>
      </c>
      <c r="D1059" s="46" t="s">
        <v>672</v>
      </c>
      <c r="E1059" s="46" t="s">
        <v>588</v>
      </c>
      <c r="F1059" s="46" t="s">
        <v>9308</v>
      </c>
      <c r="G1059" s="46" t="s">
        <v>8941</v>
      </c>
      <c r="H1059" s="46" t="s">
        <v>607</v>
      </c>
      <c r="J1059" s="49" t="s">
        <v>899</v>
      </c>
      <c r="L1059" s="63">
        <v>3</v>
      </c>
      <c r="M1059" s="64">
        <v>2349301</v>
      </c>
      <c r="N1059" s="64">
        <v>3440161</v>
      </c>
      <c r="O1059" s="47" t="s">
        <v>560</v>
      </c>
      <c r="P1059" s="47" t="s">
        <v>9607</v>
      </c>
      <c r="Q1059" s="62" t="s">
        <v>1939</v>
      </c>
      <c r="R1059" s="47" t="s">
        <v>9309</v>
      </c>
      <c r="U1059" s="46" t="s">
        <v>1327</v>
      </c>
      <c r="V1059" s="46"/>
    </row>
    <row r="1060" spans="1:22" ht="75" x14ac:dyDescent="0.25">
      <c r="A1060" s="61">
        <v>43040</v>
      </c>
      <c r="B1060" s="62" t="s">
        <v>643</v>
      </c>
      <c r="C1060" s="46" t="s">
        <v>644</v>
      </c>
      <c r="D1060" s="46" t="s">
        <v>645</v>
      </c>
      <c r="E1060" s="46" t="s">
        <v>588</v>
      </c>
      <c r="F1060" s="46" t="s">
        <v>9310</v>
      </c>
      <c r="G1060" s="46" t="s">
        <v>8486</v>
      </c>
      <c r="H1060" s="46" t="s">
        <v>607</v>
      </c>
      <c r="I1060" s="46" t="s">
        <v>5212</v>
      </c>
      <c r="J1060" s="49" t="s">
        <v>644</v>
      </c>
      <c r="L1060" s="63">
        <v>2</v>
      </c>
      <c r="O1060" s="47" t="s">
        <v>3510</v>
      </c>
      <c r="P1060" s="135" t="s">
        <v>9311</v>
      </c>
      <c r="Q1060" s="62" t="s">
        <v>592</v>
      </c>
      <c r="R1060" s="47" t="s">
        <v>9312</v>
      </c>
      <c r="U1060" s="46" t="s">
        <v>1327</v>
      </c>
      <c r="V1060" s="46"/>
    </row>
    <row r="1061" spans="1:22" ht="99.75" x14ac:dyDescent="0.25">
      <c r="A1061" s="61">
        <v>43040</v>
      </c>
      <c r="B1061" s="62" t="s">
        <v>328</v>
      </c>
      <c r="C1061" s="46" t="s">
        <v>899</v>
      </c>
      <c r="D1061" s="46" t="s">
        <v>1401</v>
      </c>
      <c r="E1061" s="46" t="s">
        <v>588</v>
      </c>
      <c r="F1061" s="46" t="s">
        <v>9313</v>
      </c>
      <c r="G1061" s="46" t="s">
        <v>9314</v>
      </c>
      <c r="H1061" s="46" t="s">
        <v>1391</v>
      </c>
      <c r="J1061" s="49" t="s">
        <v>899</v>
      </c>
      <c r="L1061" s="63">
        <v>10</v>
      </c>
      <c r="M1061" s="64">
        <v>3250000</v>
      </c>
      <c r="N1061" s="64">
        <v>4975000</v>
      </c>
      <c r="O1061" s="47" t="s">
        <v>560</v>
      </c>
      <c r="P1061" s="124" t="s">
        <v>9608</v>
      </c>
      <c r="Q1061" s="62" t="s">
        <v>592</v>
      </c>
      <c r="R1061" s="47" t="s">
        <v>9315</v>
      </c>
      <c r="U1061" s="46" t="s">
        <v>1327</v>
      </c>
      <c r="V1061" s="46"/>
    </row>
    <row r="1062" spans="1:22" ht="90" x14ac:dyDescent="0.25">
      <c r="A1062" s="61">
        <v>43041</v>
      </c>
      <c r="B1062" s="62" t="s">
        <v>328</v>
      </c>
      <c r="C1062" s="46" t="s">
        <v>603</v>
      </c>
      <c r="D1062" s="46" t="s">
        <v>2500</v>
      </c>
      <c r="E1062" s="46" t="s">
        <v>588</v>
      </c>
      <c r="F1062" s="46" t="s">
        <v>8254</v>
      </c>
      <c r="G1062" s="46" t="s">
        <v>9316</v>
      </c>
      <c r="H1062" s="46" t="s">
        <v>9317</v>
      </c>
      <c r="I1062" s="46" t="s">
        <v>9318</v>
      </c>
      <c r="J1062" s="49" t="s">
        <v>3751</v>
      </c>
      <c r="L1062" s="63">
        <v>3</v>
      </c>
      <c r="M1062" s="64">
        <v>429867</v>
      </c>
      <c r="N1062" s="64">
        <v>816741</v>
      </c>
      <c r="O1062" s="47" t="s">
        <v>9214</v>
      </c>
      <c r="P1062" s="47" t="s">
        <v>9319</v>
      </c>
      <c r="Q1062" s="62" t="s">
        <v>1939</v>
      </c>
      <c r="R1062" s="47" t="s">
        <v>9320</v>
      </c>
      <c r="U1062" s="46" t="s">
        <v>1327</v>
      </c>
      <c r="V1062" s="46"/>
    </row>
    <row r="1063" spans="1:22" ht="165" x14ac:dyDescent="0.25">
      <c r="A1063" s="61">
        <v>43041</v>
      </c>
      <c r="B1063" s="62" t="s">
        <v>569</v>
      </c>
      <c r="C1063" s="46" t="s">
        <v>899</v>
      </c>
      <c r="D1063" s="46" t="s">
        <v>625</v>
      </c>
      <c r="E1063" s="46" t="s">
        <v>588</v>
      </c>
      <c r="F1063" s="46" t="s">
        <v>9321</v>
      </c>
      <c r="G1063" s="46" t="s">
        <v>9322</v>
      </c>
      <c r="H1063" s="46" t="s">
        <v>9317</v>
      </c>
      <c r="I1063" s="46" t="s">
        <v>5998</v>
      </c>
      <c r="J1063" s="49" t="s">
        <v>899</v>
      </c>
      <c r="M1063" s="64">
        <v>760000</v>
      </c>
      <c r="N1063" s="64">
        <v>1444000</v>
      </c>
      <c r="O1063" s="47" t="s">
        <v>5999</v>
      </c>
      <c r="P1063" s="135" t="s">
        <v>9323</v>
      </c>
      <c r="Q1063" s="62" t="s">
        <v>1939</v>
      </c>
      <c r="R1063" s="47" t="s">
        <v>9324</v>
      </c>
      <c r="U1063" s="46" t="s">
        <v>1327</v>
      </c>
      <c r="V1063" s="46"/>
    </row>
    <row r="1064" spans="1:22" ht="117" customHeight="1" x14ac:dyDescent="0.25">
      <c r="A1064" s="61">
        <v>43041</v>
      </c>
      <c r="B1064" s="62" t="s">
        <v>569</v>
      </c>
      <c r="C1064" s="46" t="s">
        <v>899</v>
      </c>
      <c r="D1064" s="46" t="s">
        <v>930</v>
      </c>
      <c r="E1064" s="46" t="s">
        <v>588</v>
      </c>
      <c r="F1064" s="46" t="s">
        <v>9325</v>
      </c>
      <c r="G1064" s="46" t="s">
        <v>9326</v>
      </c>
      <c r="H1064" s="46" t="s">
        <v>607</v>
      </c>
      <c r="I1064" s="46" t="s">
        <v>3462</v>
      </c>
      <c r="J1064" s="49" t="s">
        <v>899</v>
      </c>
      <c r="M1064" s="64">
        <v>2455000</v>
      </c>
      <c r="N1064" s="64">
        <v>4910000</v>
      </c>
      <c r="O1064" s="47" t="s">
        <v>9327</v>
      </c>
      <c r="P1064" s="53" t="s">
        <v>9328</v>
      </c>
      <c r="Q1064" s="62" t="s">
        <v>1939</v>
      </c>
      <c r="R1064" s="47" t="s">
        <v>9329</v>
      </c>
      <c r="U1064" s="46" t="s">
        <v>1327</v>
      </c>
      <c r="V1064" s="46"/>
    </row>
    <row r="1065" spans="1:22" ht="103.5" customHeight="1" x14ac:dyDescent="0.25">
      <c r="A1065" s="61">
        <v>43041</v>
      </c>
      <c r="B1065" s="62" t="s">
        <v>328</v>
      </c>
      <c r="C1065" s="46" t="s">
        <v>603</v>
      </c>
      <c r="D1065" s="46" t="s">
        <v>7595</v>
      </c>
      <c r="E1065" s="46" t="s">
        <v>588</v>
      </c>
      <c r="F1065" s="46" t="s">
        <v>9331</v>
      </c>
      <c r="G1065" s="46" t="s">
        <v>9332</v>
      </c>
      <c r="H1065" s="46" t="s">
        <v>1391</v>
      </c>
      <c r="J1065" s="49" t="s">
        <v>603</v>
      </c>
      <c r="L1065" s="63">
        <v>9</v>
      </c>
      <c r="M1065" s="64">
        <v>400000</v>
      </c>
      <c r="N1065" s="64">
        <v>960000</v>
      </c>
      <c r="O1065" s="47" t="s">
        <v>4533</v>
      </c>
      <c r="P1065" s="47" t="s">
        <v>9333</v>
      </c>
      <c r="Q1065" s="62" t="s">
        <v>1939</v>
      </c>
      <c r="R1065" s="47" t="s">
        <v>9330</v>
      </c>
      <c r="U1065" s="46" t="s">
        <v>1327</v>
      </c>
      <c r="V1065" s="46"/>
    </row>
    <row r="1066" spans="1:22" ht="60" x14ac:dyDescent="0.25">
      <c r="A1066" s="61">
        <v>43042</v>
      </c>
      <c r="B1066" s="62" t="s">
        <v>328</v>
      </c>
      <c r="C1066" s="46" t="s">
        <v>603</v>
      </c>
      <c r="D1066" s="46" t="s">
        <v>649</v>
      </c>
      <c r="E1066" s="46" t="s">
        <v>588</v>
      </c>
      <c r="F1066" s="46" t="s">
        <v>9334</v>
      </c>
      <c r="G1066" s="46" t="s">
        <v>8449</v>
      </c>
      <c r="H1066" s="46" t="s">
        <v>607</v>
      </c>
      <c r="I1066" s="46" t="s">
        <v>5366</v>
      </c>
      <c r="J1066" s="49" t="s">
        <v>899</v>
      </c>
      <c r="L1066" s="63">
        <v>4</v>
      </c>
      <c r="M1066" s="132">
        <v>1643893</v>
      </c>
      <c r="N1066" s="132">
        <v>3793406</v>
      </c>
      <c r="O1066" s="47" t="s">
        <v>9335</v>
      </c>
      <c r="P1066" s="135" t="s">
        <v>9336</v>
      </c>
      <c r="Q1066" s="62" t="s">
        <v>1939</v>
      </c>
      <c r="R1066" s="47" t="s">
        <v>9337</v>
      </c>
      <c r="U1066" s="46" t="s">
        <v>1327</v>
      </c>
      <c r="V1066" s="46"/>
    </row>
    <row r="1067" spans="1:22" ht="45" x14ac:dyDescent="0.25">
      <c r="A1067" s="61">
        <v>43042</v>
      </c>
      <c r="B1067" s="62" t="s">
        <v>5956</v>
      </c>
      <c r="C1067" s="46" t="s">
        <v>3369</v>
      </c>
      <c r="D1067" s="46" t="s">
        <v>9234</v>
      </c>
      <c r="E1067" s="46" t="s">
        <v>588</v>
      </c>
      <c r="F1067" s="46" t="s">
        <v>8966</v>
      </c>
      <c r="H1067" s="46" t="s">
        <v>905</v>
      </c>
      <c r="O1067" s="47" t="s">
        <v>9338</v>
      </c>
      <c r="P1067" s="47" t="s">
        <v>9339</v>
      </c>
      <c r="Q1067" s="62" t="s">
        <v>1939</v>
      </c>
      <c r="R1067" s="47" t="s">
        <v>9340</v>
      </c>
      <c r="U1067" s="46" t="s">
        <v>491</v>
      </c>
      <c r="V1067" s="46"/>
    </row>
    <row r="1068" spans="1:22" ht="45" x14ac:dyDescent="0.25">
      <c r="A1068" s="61">
        <v>43042</v>
      </c>
      <c r="B1068" s="62" t="s">
        <v>5360</v>
      </c>
      <c r="C1068" s="46" t="s">
        <v>899</v>
      </c>
      <c r="D1068" s="46" t="s">
        <v>732</v>
      </c>
      <c r="E1068" s="46" t="s">
        <v>588</v>
      </c>
      <c r="F1068" s="46" t="s">
        <v>9341</v>
      </c>
      <c r="G1068" s="46" t="s">
        <v>1229</v>
      </c>
      <c r="O1068" s="47" t="s">
        <v>3785</v>
      </c>
      <c r="P1068" s="47" t="s">
        <v>9342</v>
      </c>
      <c r="Q1068" s="62" t="s">
        <v>592</v>
      </c>
      <c r="R1068" s="47" t="s">
        <v>9343</v>
      </c>
      <c r="U1068" s="46" t="s">
        <v>491</v>
      </c>
      <c r="V1068" s="46"/>
    </row>
    <row r="1069" spans="1:22" ht="75" x14ac:dyDescent="0.25">
      <c r="A1069" s="61">
        <v>43042</v>
      </c>
      <c r="B1069" s="62" t="s">
        <v>569</v>
      </c>
      <c r="C1069" s="46" t="s">
        <v>899</v>
      </c>
      <c r="D1069" s="46" t="s">
        <v>624</v>
      </c>
      <c r="E1069" s="46" t="s">
        <v>821</v>
      </c>
      <c r="F1069" s="46" t="s">
        <v>8966</v>
      </c>
      <c r="H1069" s="46" t="s">
        <v>9085</v>
      </c>
      <c r="I1069" s="46" t="s">
        <v>3649</v>
      </c>
      <c r="J1069" s="49" t="s">
        <v>899</v>
      </c>
      <c r="M1069" s="64">
        <v>600000</v>
      </c>
      <c r="O1069" s="47" t="s">
        <v>7015</v>
      </c>
      <c r="P1069" s="47" t="s">
        <v>9344</v>
      </c>
      <c r="Q1069" s="62" t="s">
        <v>1939</v>
      </c>
      <c r="R1069" s="47" t="s">
        <v>9345</v>
      </c>
      <c r="U1069" s="46" t="s">
        <v>491</v>
      </c>
      <c r="V1069" s="46"/>
    </row>
    <row r="1070" spans="1:22" ht="135" x14ac:dyDescent="0.25">
      <c r="A1070" s="61">
        <v>43042</v>
      </c>
      <c r="B1070" s="62" t="s">
        <v>328</v>
      </c>
      <c r="C1070" s="46" t="s">
        <v>603</v>
      </c>
      <c r="D1070" s="46" t="s">
        <v>649</v>
      </c>
      <c r="E1070" s="46" t="s">
        <v>588</v>
      </c>
      <c r="F1070" s="46" t="s">
        <v>9346</v>
      </c>
      <c r="H1070" s="46" t="s">
        <v>905</v>
      </c>
      <c r="I1070" s="46" t="s">
        <v>9347</v>
      </c>
      <c r="J1070" s="49" t="s">
        <v>3612</v>
      </c>
      <c r="O1070" s="47" t="s">
        <v>3107</v>
      </c>
      <c r="P1070" s="47" t="s">
        <v>9348</v>
      </c>
      <c r="Q1070" s="62" t="s">
        <v>1612</v>
      </c>
      <c r="R1070" s="47" t="s">
        <v>9357</v>
      </c>
      <c r="U1070" s="46" t="s">
        <v>491</v>
      </c>
      <c r="V1070" s="46"/>
    </row>
    <row r="1071" spans="1:22" ht="45" x14ac:dyDescent="0.25">
      <c r="A1071" s="61">
        <v>43045</v>
      </c>
      <c r="B1071" s="62" t="s">
        <v>328</v>
      </c>
      <c r="C1071" s="46" t="s">
        <v>603</v>
      </c>
      <c r="D1071" s="46" t="s">
        <v>672</v>
      </c>
      <c r="E1071" s="46" t="s">
        <v>588</v>
      </c>
      <c r="F1071" s="46" t="s">
        <v>9349</v>
      </c>
      <c r="G1071" s="46" t="s">
        <v>9350</v>
      </c>
      <c r="H1071" s="46" t="s">
        <v>1391</v>
      </c>
      <c r="I1071" s="46" t="s">
        <v>9351</v>
      </c>
      <c r="J1071" s="49" t="s">
        <v>899</v>
      </c>
      <c r="L1071" s="63">
        <v>9</v>
      </c>
      <c r="M1071" s="64">
        <v>800000</v>
      </c>
      <c r="N1071" s="64">
        <v>1680000</v>
      </c>
      <c r="O1071" s="47" t="s">
        <v>560</v>
      </c>
      <c r="P1071" s="47" t="s">
        <v>9609</v>
      </c>
      <c r="Q1071" s="62" t="s">
        <v>592</v>
      </c>
      <c r="R1071" s="47" t="s">
        <v>9358</v>
      </c>
      <c r="U1071" s="46" t="s">
        <v>491</v>
      </c>
      <c r="V1071" s="46"/>
    </row>
    <row r="1072" spans="1:22" ht="216" customHeight="1" x14ac:dyDescent="0.25">
      <c r="A1072" s="61">
        <v>43045</v>
      </c>
      <c r="B1072" s="62" t="s">
        <v>569</v>
      </c>
      <c r="C1072" s="46" t="s">
        <v>899</v>
      </c>
      <c r="D1072" s="46" t="s">
        <v>625</v>
      </c>
      <c r="E1072" s="46" t="s">
        <v>588</v>
      </c>
      <c r="F1072" s="46" t="s">
        <v>9352</v>
      </c>
      <c r="H1072" s="46" t="s">
        <v>1391</v>
      </c>
      <c r="I1072" s="46" t="s">
        <v>9353</v>
      </c>
      <c r="J1072" s="49" t="s">
        <v>899</v>
      </c>
      <c r="L1072" s="63">
        <v>10</v>
      </c>
      <c r="M1072" s="64">
        <v>379000</v>
      </c>
      <c r="N1072" s="64">
        <v>700000</v>
      </c>
      <c r="O1072" s="47" t="s">
        <v>35</v>
      </c>
      <c r="P1072" s="47" t="s">
        <v>9354</v>
      </c>
      <c r="Q1072" s="62" t="s">
        <v>620</v>
      </c>
      <c r="R1072" s="88" t="s">
        <v>9355</v>
      </c>
      <c r="U1072" s="46" t="s">
        <v>491</v>
      </c>
      <c r="V1072" s="46"/>
    </row>
    <row r="1073" spans="1:23" ht="60" x14ac:dyDescent="0.25">
      <c r="A1073" s="61">
        <v>43046</v>
      </c>
      <c r="B1073" s="62" t="s">
        <v>328</v>
      </c>
      <c r="C1073" s="46" t="s">
        <v>603</v>
      </c>
      <c r="D1073" s="46" t="s">
        <v>649</v>
      </c>
      <c r="E1073" s="46" t="s">
        <v>588</v>
      </c>
      <c r="F1073" s="46" t="s">
        <v>9359</v>
      </c>
      <c r="G1073" s="46" t="s">
        <v>9360</v>
      </c>
      <c r="H1073" s="46" t="s">
        <v>607</v>
      </c>
      <c r="I1073" s="46" t="s">
        <v>9361</v>
      </c>
      <c r="J1073" s="49" t="s">
        <v>3751</v>
      </c>
      <c r="M1073" s="64">
        <v>2485000</v>
      </c>
      <c r="N1073" s="64">
        <v>3731000</v>
      </c>
      <c r="O1073" s="47" t="s">
        <v>560</v>
      </c>
      <c r="P1073" s="47" t="s">
        <v>9362</v>
      </c>
      <c r="Q1073" s="62" t="s">
        <v>1939</v>
      </c>
      <c r="R1073" s="88" t="s">
        <v>9363</v>
      </c>
      <c r="U1073" s="46" t="s">
        <v>491</v>
      </c>
      <c r="V1073" s="46"/>
    </row>
    <row r="1074" spans="1:23" ht="75" x14ac:dyDescent="0.25">
      <c r="A1074" s="61">
        <v>43046</v>
      </c>
      <c r="B1074" s="62" t="s">
        <v>5176</v>
      </c>
      <c r="C1074" s="46" t="s">
        <v>604</v>
      </c>
      <c r="D1074" s="46" t="s">
        <v>6995</v>
      </c>
      <c r="E1074" s="46" t="s">
        <v>588</v>
      </c>
      <c r="F1074" s="46" t="s">
        <v>9364</v>
      </c>
      <c r="G1074" s="46" t="s">
        <v>9365</v>
      </c>
      <c r="H1074" s="46" t="s">
        <v>607</v>
      </c>
      <c r="I1074" s="46" t="s">
        <v>7990</v>
      </c>
      <c r="J1074" s="49" t="s">
        <v>3751</v>
      </c>
      <c r="L1074" s="63">
        <v>5</v>
      </c>
      <c r="M1074" s="64">
        <v>280000</v>
      </c>
      <c r="N1074" s="64">
        <v>280000</v>
      </c>
      <c r="O1074" s="47" t="s">
        <v>666</v>
      </c>
      <c r="P1074" s="47" t="s">
        <v>9366</v>
      </c>
      <c r="Q1074" s="62" t="s">
        <v>592</v>
      </c>
      <c r="R1074" s="88" t="s">
        <v>9367</v>
      </c>
      <c r="U1074" s="46" t="s">
        <v>491</v>
      </c>
      <c r="V1074" s="46"/>
    </row>
    <row r="1075" spans="1:23" ht="45" x14ac:dyDescent="0.25">
      <c r="A1075" s="61">
        <v>43045</v>
      </c>
      <c r="B1075" s="62" t="s">
        <v>328</v>
      </c>
      <c r="C1075" s="46" t="s">
        <v>9368</v>
      </c>
      <c r="D1075" s="46" t="s">
        <v>2500</v>
      </c>
      <c r="E1075" s="46" t="s">
        <v>588</v>
      </c>
      <c r="F1075" s="46" t="s">
        <v>9303</v>
      </c>
      <c r="G1075" s="46" t="s">
        <v>7855</v>
      </c>
      <c r="H1075" s="46" t="s">
        <v>607</v>
      </c>
      <c r="J1075" s="49" t="s">
        <v>3371</v>
      </c>
      <c r="M1075" s="64">
        <v>254826</v>
      </c>
      <c r="N1075" s="64">
        <v>433203</v>
      </c>
      <c r="O1075" s="47" t="s">
        <v>7617</v>
      </c>
      <c r="P1075" s="47" t="s">
        <v>9610</v>
      </c>
      <c r="Q1075" s="62" t="s">
        <v>592</v>
      </c>
      <c r="R1075" s="47" t="s">
        <v>9369</v>
      </c>
      <c r="U1075" s="46" t="s">
        <v>1327</v>
      </c>
      <c r="V1075" s="46"/>
    </row>
    <row r="1076" spans="1:23" ht="75" x14ac:dyDescent="0.25">
      <c r="A1076" s="61">
        <v>43046</v>
      </c>
      <c r="B1076" s="62" t="s">
        <v>328</v>
      </c>
      <c r="C1076" s="46" t="s">
        <v>603</v>
      </c>
      <c r="D1076" s="46" t="s">
        <v>649</v>
      </c>
      <c r="E1076" s="46" t="s">
        <v>588</v>
      </c>
      <c r="F1076" s="46" t="s">
        <v>9370</v>
      </c>
      <c r="G1076" s="46" t="s">
        <v>2836</v>
      </c>
      <c r="H1076" s="46" t="s">
        <v>607</v>
      </c>
      <c r="I1076" s="46" t="s">
        <v>9371</v>
      </c>
      <c r="J1076" s="49" t="s">
        <v>899</v>
      </c>
      <c r="M1076" s="64">
        <v>800000</v>
      </c>
      <c r="N1076" s="64">
        <v>800000</v>
      </c>
      <c r="O1076" s="47" t="s">
        <v>3107</v>
      </c>
      <c r="P1076" s="47" t="s">
        <v>9372</v>
      </c>
      <c r="Q1076" s="62" t="s">
        <v>592</v>
      </c>
      <c r="R1076" s="47" t="s">
        <v>9373</v>
      </c>
      <c r="U1076" s="46" t="s">
        <v>1327</v>
      </c>
      <c r="V1076" s="46"/>
    </row>
    <row r="1077" spans="1:23" ht="30" x14ac:dyDescent="0.25">
      <c r="A1077" s="61">
        <v>43046</v>
      </c>
      <c r="B1077" s="62" t="s">
        <v>328</v>
      </c>
      <c r="C1077" s="46" t="s">
        <v>603</v>
      </c>
      <c r="D1077" s="46" t="s">
        <v>649</v>
      </c>
      <c r="E1077" s="46" t="s">
        <v>588</v>
      </c>
      <c r="F1077" s="46" t="s">
        <v>9382</v>
      </c>
      <c r="G1077" s="46" t="s">
        <v>2204</v>
      </c>
      <c r="H1077" s="46" t="s">
        <v>7336</v>
      </c>
      <c r="M1077" s="64">
        <v>11000</v>
      </c>
      <c r="N1077" s="64">
        <v>31000</v>
      </c>
      <c r="O1077" s="47" t="s">
        <v>9383</v>
      </c>
      <c r="P1077" s="47" t="s">
        <v>9384</v>
      </c>
      <c r="Q1077" s="62" t="s">
        <v>592</v>
      </c>
      <c r="U1077" s="46" t="s">
        <v>491</v>
      </c>
      <c r="V1077" s="46"/>
    </row>
    <row r="1078" spans="1:23" ht="45" x14ac:dyDescent="0.25">
      <c r="A1078" s="61">
        <v>43047</v>
      </c>
      <c r="B1078" s="62" t="s">
        <v>328</v>
      </c>
      <c r="C1078" s="46" t="s">
        <v>603</v>
      </c>
      <c r="D1078" s="46" t="s">
        <v>2397</v>
      </c>
      <c r="E1078" s="46" t="s">
        <v>588</v>
      </c>
      <c r="F1078" s="46" t="s">
        <v>9374</v>
      </c>
      <c r="G1078" s="46" t="s">
        <v>9375</v>
      </c>
      <c r="H1078" s="46" t="s">
        <v>607</v>
      </c>
      <c r="I1078" s="46" t="s">
        <v>9376</v>
      </c>
      <c r="J1078" s="49" t="s">
        <v>899</v>
      </c>
      <c r="L1078" s="63">
        <v>10</v>
      </c>
      <c r="M1078" s="64">
        <v>1390000</v>
      </c>
      <c r="N1078" s="64">
        <v>2780000</v>
      </c>
      <c r="O1078" s="47" t="s">
        <v>560</v>
      </c>
      <c r="P1078" s="47" t="s">
        <v>9377</v>
      </c>
      <c r="Q1078" s="62" t="s">
        <v>592</v>
      </c>
      <c r="U1078" s="46" t="s">
        <v>491</v>
      </c>
      <c r="V1078" s="46"/>
    </row>
    <row r="1079" spans="1:23" ht="30" x14ac:dyDescent="0.25">
      <c r="A1079" s="61">
        <v>43047</v>
      </c>
      <c r="B1079" s="62" t="s">
        <v>569</v>
      </c>
      <c r="C1079" s="46" t="s">
        <v>899</v>
      </c>
      <c r="D1079" s="46" t="s">
        <v>611</v>
      </c>
      <c r="E1079" s="46" t="s">
        <v>588</v>
      </c>
      <c r="F1079" s="46" t="s">
        <v>9378</v>
      </c>
      <c r="G1079" s="46" t="s">
        <v>7814</v>
      </c>
      <c r="H1079" s="46" t="s">
        <v>607</v>
      </c>
      <c r="J1079" s="49" t="s">
        <v>899</v>
      </c>
      <c r="O1079" s="47" t="s">
        <v>9379</v>
      </c>
      <c r="P1079" s="47" t="s">
        <v>9380</v>
      </c>
      <c r="Q1079" s="62" t="s">
        <v>1939</v>
      </c>
      <c r="R1079" s="47" t="s">
        <v>9381</v>
      </c>
      <c r="U1079" s="46" t="s">
        <v>491</v>
      </c>
      <c r="V1079" s="46"/>
    </row>
    <row r="1080" spans="1:23" ht="30" x14ac:dyDescent="0.25">
      <c r="A1080" s="61">
        <v>43048</v>
      </c>
      <c r="B1080" s="62" t="s">
        <v>328</v>
      </c>
      <c r="C1080" s="46" t="s">
        <v>603</v>
      </c>
      <c r="D1080" s="46" t="s">
        <v>2500</v>
      </c>
      <c r="E1080" s="46" t="s">
        <v>588</v>
      </c>
      <c r="F1080" s="46" t="s">
        <v>9386</v>
      </c>
      <c r="G1080" s="46" t="s">
        <v>9387</v>
      </c>
      <c r="H1080" s="46" t="s">
        <v>607</v>
      </c>
      <c r="I1080" s="46" t="s">
        <v>2054</v>
      </c>
      <c r="J1080" s="49" t="s">
        <v>899</v>
      </c>
      <c r="L1080" s="63">
        <v>1</v>
      </c>
      <c r="M1080" s="64">
        <v>2100000</v>
      </c>
      <c r="N1080" s="64">
        <v>3270000</v>
      </c>
      <c r="O1080" s="47" t="s">
        <v>560</v>
      </c>
      <c r="P1080" s="47" t="s">
        <v>9388</v>
      </c>
      <c r="Q1080" s="62" t="s">
        <v>592</v>
      </c>
      <c r="U1080" s="46" t="s">
        <v>491</v>
      </c>
      <c r="V1080" s="46"/>
    </row>
    <row r="1081" spans="1:23" ht="45" x14ac:dyDescent="0.25">
      <c r="A1081" s="61">
        <v>43048</v>
      </c>
      <c r="B1081" s="62" t="s">
        <v>328</v>
      </c>
      <c r="C1081" s="46" t="s">
        <v>603</v>
      </c>
      <c r="D1081" s="46" t="s">
        <v>587</v>
      </c>
      <c r="E1081" s="46" t="s">
        <v>588</v>
      </c>
      <c r="F1081" s="46" t="s">
        <v>9389</v>
      </c>
      <c r="G1081" s="46" t="s">
        <v>8941</v>
      </c>
      <c r="H1081" s="46" t="s">
        <v>607</v>
      </c>
      <c r="I1081" s="46" t="s">
        <v>3793</v>
      </c>
      <c r="J1081" s="49" t="s">
        <v>899</v>
      </c>
      <c r="L1081" s="63">
        <v>10</v>
      </c>
      <c r="M1081" s="64">
        <v>1580000</v>
      </c>
      <c r="N1081" s="64">
        <v>2700000</v>
      </c>
      <c r="O1081" s="47" t="s">
        <v>764</v>
      </c>
      <c r="P1081" s="47" t="s">
        <v>6090</v>
      </c>
      <c r="Q1081" s="62" t="s">
        <v>592</v>
      </c>
      <c r="R1081" s="47" t="s">
        <v>9390</v>
      </c>
      <c r="U1081" s="46" t="s">
        <v>491</v>
      </c>
      <c r="V1081" s="46"/>
    </row>
    <row r="1082" spans="1:23" ht="42.75" x14ac:dyDescent="0.25">
      <c r="A1082" s="61">
        <v>43048</v>
      </c>
      <c r="B1082" s="62" t="s">
        <v>328</v>
      </c>
      <c r="C1082" s="46" t="s">
        <v>603</v>
      </c>
      <c r="D1082" s="46" t="s">
        <v>649</v>
      </c>
      <c r="E1082" s="46" t="s">
        <v>588</v>
      </c>
      <c r="F1082" s="46" t="s">
        <v>9391</v>
      </c>
      <c r="G1082" s="46" t="s">
        <v>757</v>
      </c>
      <c r="H1082" s="46" t="s">
        <v>1391</v>
      </c>
      <c r="J1082" s="49" t="s">
        <v>3501</v>
      </c>
      <c r="L1082" s="63">
        <v>10</v>
      </c>
      <c r="M1082" s="134">
        <v>578000</v>
      </c>
      <c r="N1082" s="64">
        <v>793600</v>
      </c>
      <c r="O1082" s="47" t="s">
        <v>2680</v>
      </c>
      <c r="P1082" s="150" t="s">
        <v>9611</v>
      </c>
      <c r="Q1082" s="62" t="s">
        <v>29</v>
      </c>
      <c r="R1082" s="47" t="s">
        <v>9612</v>
      </c>
      <c r="U1082" s="46" t="s">
        <v>1327</v>
      </c>
      <c r="V1082" s="46"/>
    </row>
    <row r="1083" spans="1:23" ht="60" x14ac:dyDescent="0.25">
      <c r="A1083" s="61">
        <v>43048</v>
      </c>
      <c r="B1083" s="62" t="s">
        <v>5176</v>
      </c>
      <c r="C1083" s="46" t="s">
        <v>604</v>
      </c>
      <c r="D1083" s="46" t="s">
        <v>595</v>
      </c>
      <c r="E1083" s="46" t="s">
        <v>588</v>
      </c>
      <c r="F1083" s="46" t="s">
        <v>9395</v>
      </c>
      <c r="G1083" s="46" t="s">
        <v>9394</v>
      </c>
      <c r="H1083" s="46" t="s">
        <v>607</v>
      </c>
      <c r="J1083" s="49" t="s">
        <v>959</v>
      </c>
      <c r="M1083" s="64">
        <v>204000</v>
      </c>
      <c r="N1083" s="64">
        <v>269800</v>
      </c>
      <c r="O1083" s="47" t="s">
        <v>1844</v>
      </c>
      <c r="P1083" s="47" t="s">
        <v>9393</v>
      </c>
      <c r="Q1083" s="62" t="s">
        <v>592</v>
      </c>
      <c r="R1083" s="47" t="s">
        <v>9392</v>
      </c>
      <c r="U1083" s="46" t="s">
        <v>1327</v>
      </c>
      <c r="V1083" s="46"/>
    </row>
    <row r="1084" spans="1:23" ht="60" x14ac:dyDescent="0.25">
      <c r="A1084" s="61">
        <v>43048</v>
      </c>
      <c r="B1084" s="62" t="s">
        <v>5176</v>
      </c>
      <c r="C1084" s="46" t="s">
        <v>604</v>
      </c>
      <c r="D1084" s="46" t="s">
        <v>595</v>
      </c>
      <c r="E1084" s="46" t="s">
        <v>588</v>
      </c>
      <c r="H1084" s="46" t="s">
        <v>809</v>
      </c>
      <c r="I1084" s="46" t="s">
        <v>9396</v>
      </c>
      <c r="J1084" s="49" t="s">
        <v>959</v>
      </c>
      <c r="O1084" s="47" t="s">
        <v>9397</v>
      </c>
      <c r="P1084" s="47" t="s">
        <v>9398</v>
      </c>
      <c r="Q1084" s="62" t="s">
        <v>29</v>
      </c>
      <c r="R1084" s="47" t="s">
        <v>9399</v>
      </c>
      <c r="U1084" s="46" t="s">
        <v>1327</v>
      </c>
      <c r="V1084" s="46"/>
    </row>
    <row r="1085" spans="1:23" ht="30" x14ac:dyDescent="0.25">
      <c r="A1085" s="61">
        <v>43049</v>
      </c>
      <c r="B1085" s="62" t="s">
        <v>5473</v>
      </c>
      <c r="C1085" s="46" t="s">
        <v>608</v>
      </c>
      <c r="D1085" s="46" t="s">
        <v>4655</v>
      </c>
      <c r="E1085" s="46" t="s">
        <v>588</v>
      </c>
      <c r="F1085" s="46" t="s">
        <v>9400</v>
      </c>
      <c r="G1085" s="46" t="s">
        <v>9401</v>
      </c>
      <c r="H1085" s="46" t="s">
        <v>1391</v>
      </c>
      <c r="I1085" s="46" t="s">
        <v>9402</v>
      </c>
      <c r="J1085" s="49" t="s">
        <v>608</v>
      </c>
      <c r="L1085" s="63">
        <v>3</v>
      </c>
      <c r="M1085" s="64">
        <v>1500000</v>
      </c>
      <c r="N1085" s="64">
        <v>2110000</v>
      </c>
      <c r="O1085" s="47" t="s">
        <v>8628</v>
      </c>
      <c r="P1085" s="47" t="s">
        <v>9403</v>
      </c>
      <c r="Q1085" s="62" t="s">
        <v>1612</v>
      </c>
      <c r="R1085" s="47" t="s">
        <v>9424</v>
      </c>
      <c r="U1085" s="46" t="s">
        <v>491</v>
      </c>
      <c r="V1085" s="46"/>
    </row>
    <row r="1086" spans="1:23" ht="60" x14ac:dyDescent="0.25">
      <c r="A1086" s="45">
        <v>43049</v>
      </c>
      <c r="B1086" s="46" t="s">
        <v>328</v>
      </c>
      <c r="C1086" s="45" t="s">
        <v>603</v>
      </c>
      <c r="D1086" s="46" t="s">
        <v>649</v>
      </c>
      <c r="E1086" s="46" t="s">
        <v>588</v>
      </c>
      <c r="F1086" s="47" t="s">
        <v>9404</v>
      </c>
      <c r="G1086" s="46" t="s">
        <v>8515</v>
      </c>
      <c r="H1086" s="47" t="s">
        <v>1050</v>
      </c>
      <c r="I1086" s="46" t="s">
        <v>4060</v>
      </c>
      <c r="J1086" s="49" t="s">
        <v>899</v>
      </c>
      <c r="L1086" s="49">
        <v>2</v>
      </c>
      <c r="M1086" s="50">
        <v>3700000</v>
      </c>
      <c r="N1086" s="51">
        <v>3710000</v>
      </c>
      <c r="O1086" s="50" t="s">
        <v>560</v>
      </c>
      <c r="P1086" s="65" t="s">
        <v>9405</v>
      </c>
      <c r="Q1086" s="46" t="s">
        <v>592</v>
      </c>
      <c r="R1086" s="47" t="s">
        <v>9406</v>
      </c>
      <c r="S1086" s="46" t="s">
        <v>833</v>
      </c>
      <c r="T1086" s="46"/>
      <c r="U1086" s="47" t="s">
        <v>491</v>
      </c>
      <c r="V1086" s="46"/>
      <c r="W1086" s="46"/>
    </row>
    <row r="1087" spans="1:23" ht="45" x14ac:dyDescent="0.25">
      <c r="A1087" s="61">
        <v>43049</v>
      </c>
      <c r="B1087" s="62" t="s">
        <v>569</v>
      </c>
      <c r="C1087" s="46" t="s">
        <v>899</v>
      </c>
      <c r="D1087" s="46" t="s">
        <v>930</v>
      </c>
      <c r="E1087" s="46" t="s">
        <v>821</v>
      </c>
      <c r="F1087" s="46" t="s">
        <v>9407</v>
      </c>
      <c r="G1087" s="46" t="s">
        <v>9408</v>
      </c>
      <c r="H1087" s="46" t="s">
        <v>886</v>
      </c>
      <c r="I1087" s="46" t="s">
        <v>3536</v>
      </c>
      <c r="J1087" s="49" t="s">
        <v>899</v>
      </c>
      <c r="O1087" s="47" t="s">
        <v>695</v>
      </c>
      <c r="P1087" s="47" t="s">
        <v>9409</v>
      </c>
      <c r="Q1087" s="62" t="s">
        <v>592</v>
      </c>
      <c r="R1087" s="47" t="s">
        <v>9410</v>
      </c>
      <c r="U1087" s="46" t="s">
        <v>491</v>
      </c>
      <c r="V1087" s="46"/>
    </row>
    <row r="1088" spans="1:23" ht="60" x14ac:dyDescent="0.25">
      <c r="A1088" s="45">
        <v>43049</v>
      </c>
      <c r="B1088" s="46" t="s">
        <v>328</v>
      </c>
      <c r="C1088" s="45" t="s">
        <v>603</v>
      </c>
      <c r="D1088" s="46" t="s">
        <v>649</v>
      </c>
      <c r="E1088" s="46" t="s">
        <v>588</v>
      </c>
      <c r="F1088" s="47" t="s">
        <v>9411</v>
      </c>
      <c r="G1088" s="46" t="s">
        <v>9000</v>
      </c>
      <c r="H1088" s="47" t="s">
        <v>607</v>
      </c>
      <c r="I1088" s="46" t="s">
        <v>4880</v>
      </c>
      <c r="J1088" s="49" t="s">
        <v>899</v>
      </c>
      <c r="L1088" s="49">
        <v>10</v>
      </c>
      <c r="M1088" s="50">
        <v>850000</v>
      </c>
      <c r="N1088" s="51">
        <v>1670000</v>
      </c>
      <c r="O1088" s="50" t="s">
        <v>764</v>
      </c>
      <c r="P1088" s="65" t="s">
        <v>4881</v>
      </c>
      <c r="Q1088" s="46" t="s">
        <v>1939</v>
      </c>
      <c r="R1088" s="47" t="s">
        <v>9412</v>
      </c>
      <c r="S1088" s="46" t="s">
        <v>833</v>
      </c>
      <c r="T1088" s="46"/>
      <c r="U1088" s="47" t="s">
        <v>491</v>
      </c>
      <c r="V1088" s="46"/>
      <c r="W1088" s="46"/>
    </row>
    <row r="1089" spans="1:22" ht="60" x14ac:dyDescent="0.25">
      <c r="A1089" s="61">
        <v>43052</v>
      </c>
      <c r="B1089" s="62" t="s">
        <v>643</v>
      </c>
      <c r="C1089" s="46" t="s">
        <v>644</v>
      </c>
      <c r="D1089" s="46" t="s">
        <v>645</v>
      </c>
      <c r="E1089" s="46" t="s">
        <v>588</v>
      </c>
      <c r="F1089" s="46" t="s">
        <v>9414</v>
      </c>
      <c r="G1089" s="46" t="s">
        <v>9415</v>
      </c>
      <c r="H1089" s="46" t="s">
        <v>607</v>
      </c>
      <c r="I1089" s="46" t="s">
        <v>5212</v>
      </c>
      <c r="J1089" s="49" t="s">
        <v>644</v>
      </c>
      <c r="L1089" s="63">
        <v>2</v>
      </c>
      <c r="M1089" s="64">
        <v>600000</v>
      </c>
      <c r="N1089" s="64">
        <v>910000</v>
      </c>
      <c r="O1089" s="47" t="s">
        <v>4330</v>
      </c>
      <c r="P1089" s="47" t="s">
        <v>9416</v>
      </c>
      <c r="Q1089" s="62" t="s">
        <v>1939</v>
      </c>
      <c r="R1089" s="47" t="s">
        <v>9417</v>
      </c>
      <c r="U1089" s="46" t="s">
        <v>491</v>
      </c>
      <c r="V1089" s="46"/>
    </row>
    <row r="1090" spans="1:22" ht="60" x14ac:dyDescent="0.25">
      <c r="A1090" s="61">
        <v>43052</v>
      </c>
      <c r="B1090" s="62" t="s">
        <v>5992</v>
      </c>
      <c r="C1090" s="46" t="s">
        <v>608</v>
      </c>
      <c r="D1090" s="46" t="s">
        <v>5270</v>
      </c>
      <c r="E1090" s="46" t="s">
        <v>588</v>
      </c>
      <c r="F1090" s="46" t="s">
        <v>9418</v>
      </c>
      <c r="G1090" s="46" t="s">
        <v>9419</v>
      </c>
      <c r="H1090" s="46" t="s">
        <v>607</v>
      </c>
      <c r="I1090" s="46" t="s">
        <v>9420</v>
      </c>
      <c r="J1090" s="49" t="s">
        <v>608</v>
      </c>
      <c r="L1090" s="63">
        <v>5</v>
      </c>
      <c r="M1090" s="64">
        <v>250000</v>
      </c>
      <c r="O1090" s="47" t="s">
        <v>9421</v>
      </c>
      <c r="P1090" s="47" t="s">
        <v>9422</v>
      </c>
      <c r="Q1090" s="62" t="s">
        <v>1939</v>
      </c>
      <c r="R1090" s="47" t="s">
        <v>9423</v>
      </c>
      <c r="U1090" s="46" t="s">
        <v>491</v>
      </c>
      <c r="V1090" s="46"/>
    </row>
    <row r="1091" spans="1:22" ht="45" x14ac:dyDescent="0.25">
      <c r="A1091" s="61">
        <v>43053</v>
      </c>
      <c r="B1091" s="62" t="s">
        <v>328</v>
      </c>
      <c r="C1091" s="46" t="s">
        <v>603</v>
      </c>
      <c r="D1091" s="46" t="s">
        <v>649</v>
      </c>
      <c r="E1091" s="46" t="s">
        <v>588</v>
      </c>
      <c r="F1091" s="46" t="s">
        <v>9425</v>
      </c>
      <c r="G1091" s="46" t="s">
        <v>9426</v>
      </c>
      <c r="H1091" s="46" t="s">
        <v>607</v>
      </c>
      <c r="I1091" s="46" t="s">
        <v>6353</v>
      </c>
      <c r="J1091" s="49" t="s">
        <v>899</v>
      </c>
      <c r="L1091" s="63">
        <v>10</v>
      </c>
      <c r="M1091" s="64">
        <v>1651000</v>
      </c>
      <c r="N1091" s="64">
        <v>3467100</v>
      </c>
      <c r="O1091" s="47" t="s">
        <v>560</v>
      </c>
      <c r="P1091" s="47" t="s">
        <v>9427</v>
      </c>
      <c r="Q1091" s="62" t="s">
        <v>1939</v>
      </c>
      <c r="R1091" s="47" t="s">
        <v>9428</v>
      </c>
      <c r="U1091" s="46" t="s">
        <v>491</v>
      </c>
      <c r="V1091" s="46"/>
    </row>
    <row r="1092" spans="1:22" ht="45" x14ac:dyDescent="0.25">
      <c r="A1092" s="61">
        <v>43053</v>
      </c>
      <c r="B1092" s="62" t="s">
        <v>569</v>
      </c>
      <c r="C1092" s="46" t="s">
        <v>899</v>
      </c>
      <c r="D1092" s="46" t="s">
        <v>930</v>
      </c>
      <c r="E1092" s="46" t="s">
        <v>821</v>
      </c>
      <c r="F1092" s="46" t="s">
        <v>9429</v>
      </c>
      <c r="G1092" s="46" t="s">
        <v>9430</v>
      </c>
      <c r="H1092" s="46" t="s">
        <v>607</v>
      </c>
      <c r="I1092" s="46" t="s">
        <v>2054</v>
      </c>
      <c r="J1092" s="49" t="s">
        <v>899</v>
      </c>
      <c r="M1092" s="64">
        <v>1000000</v>
      </c>
      <c r="O1092" s="47" t="s">
        <v>695</v>
      </c>
      <c r="P1092" s="47" t="s">
        <v>9431</v>
      </c>
      <c r="Q1092" s="62" t="s">
        <v>1939</v>
      </c>
      <c r="R1092" s="47" t="s">
        <v>9432</v>
      </c>
      <c r="U1092" s="46" t="s">
        <v>491</v>
      </c>
      <c r="V1092" s="46"/>
    </row>
    <row r="1093" spans="1:22" ht="60" x14ac:dyDescent="0.25">
      <c r="A1093" s="61">
        <v>43053</v>
      </c>
      <c r="B1093" s="62" t="s">
        <v>569</v>
      </c>
      <c r="C1093" s="46" t="s">
        <v>899</v>
      </c>
      <c r="D1093" s="46" t="s">
        <v>624</v>
      </c>
      <c r="E1093" s="46" t="s">
        <v>588</v>
      </c>
      <c r="F1093" s="46" t="s">
        <v>9433</v>
      </c>
      <c r="G1093" s="46" t="s">
        <v>1789</v>
      </c>
      <c r="H1093" s="46" t="s">
        <v>607</v>
      </c>
      <c r="I1093" s="46" t="s">
        <v>4342</v>
      </c>
      <c r="J1093" s="49" t="s">
        <v>899</v>
      </c>
      <c r="M1093" s="64">
        <v>1184691</v>
      </c>
      <c r="N1093" s="64">
        <v>1750000</v>
      </c>
      <c r="O1093" s="47" t="s">
        <v>1033</v>
      </c>
      <c r="P1093" s="47" t="s">
        <v>9613</v>
      </c>
      <c r="Q1093" s="62" t="s">
        <v>29</v>
      </c>
      <c r="R1093" s="47" t="s">
        <v>9434</v>
      </c>
      <c r="U1093" s="46" t="s">
        <v>491</v>
      </c>
      <c r="V1093" s="46"/>
    </row>
    <row r="1094" spans="1:22" ht="171" x14ac:dyDescent="0.25">
      <c r="A1094" s="61">
        <v>43052</v>
      </c>
      <c r="B1094" s="62" t="s">
        <v>328</v>
      </c>
      <c r="C1094" s="46" t="s">
        <v>603</v>
      </c>
      <c r="D1094" s="46" t="s">
        <v>672</v>
      </c>
      <c r="E1094" s="46" t="s">
        <v>588</v>
      </c>
      <c r="F1094" s="46" t="s">
        <v>9437</v>
      </c>
      <c r="G1094" s="46" t="s">
        <v>9438</v>
      </c>
      <c r="H1094" s="46" t="s">
        <v>607</v>
      </c>
      <c r="J1094" s="49" t="s">
        <v>899</v>
      </c>
      <c r="L1094" s="63">
        <v>9</v>
      </c>
      <c r="M1094" s="64">
        <v>3500000</v>
      </c>
      <c r="N1094" s="64">
        <v>630000</v>
      </c>
      <c r="O1094" s="47" t="s">
        <v>7124</v>
      </c>
      <c r="P1094" s="124" t="s">
        <v>9439</v>
      </c>
      <c r="Q1094" s="62" t="s">
        <v>1939</v>
      </c>
      <c r="R1094" s="47" t="s">
        <v>9440</v>
      </c>
      <c r="U1094" s="46" t="s">
        <v>1327</v>
      </c>
      <c r="V1094" s="46"/>
    </row>
    <row r="1095" spans="1:22" ht="150" x14ac:dyDescent="0.25">
      <c r="A1095" s="61">
        <v>43052</v>
      </c>
      <c r="B1095" s="62" t="s">
        <v>328</v>
      </c>
      <c r="C1095" s="46" t="s">
        <v>603</v>
      </c>
      <c r="D1095" s="46" t="s">
        <v>672</v>
      </c>
      <c r="E1095" s="46" t="s">
        <v>588</v>
      </c>
      <c r="F1095" s="46" t="s">
        <v>9442</v>
      </c>
      <c r="G1095" s="46" t="s">
        <v>9443</v>
      </c>
      <c r="H1095" s="46" t="s">
        <v>607</v>
      </c>
      <c r="J1095" s="49" t="s">
        <v>3533</v>
      </c>
      <c r="L1095" s="63">
        <v>1</v>
      </c>
      <c r="M1095" s="132">
        <v>464000</v>
      </c>
      <c r="N1095" s="132">
        <v>951200</v>
      </c>
      <c r="O1095" s="47" t="s">
        <v>4533</v>
      </c>
      <c r="P1095" s="135" t="s">
        <v>9441</v>
      </c>
      <c r="Q1095" s="62" t="s">
        <v>29</v>
      </c>
      <c r="R1095" s="47" t="s">
        <v>9614</v>
      </c>
      <c r="U1095" s="46" t="s">
        <v>1327</v>
      </c>
      <c r="V1095" s="46"/>
    </row>
    <row r="1096" spans="1:22" x14ac:dyDescent="0.25">
      <c r="A1096" s="61">
        <v>43052</v>
      </c>
      <c r="B1096" s="62" t="s">
        <v>5176</v>
      </c>
      <c r="C1096" s="46" t="s">
        <v>899</v>
      </c>
      <c r="D1096" s="46" t="s">
        <v>732</v>
      </c>
      <c r="E1096" s="46" t="s">
        <v>588</v>
      </c>
      <c r="F1096" s="46" t="s">
        <v>9445</v>
      </c>
      <c r="G1096" s="46" t="s">
        <v>9444</v>
      </c>
      <c r="H1096" s="46" t="s">
        <v>607</v>
      </c>
      <c r="I1096" s="46" t="s">
        <v>4689</v>
      </c>
      <c r="J1096" s="49" t="s">
        <v>899</v>
      </c>
      <c r="L1096" s="63">
        <v>5</v>
      </c>
      <c r="M1096" s="64">
        <v>2154040</v>
      </c>
      <c r="N1096" s="64">
        <v>4300000</v>
      </c>
      <c r="O1096" s="47" t="s">
        <v>9448</v>
      </c>
      <c r="P1096" s="47" t="s">
        <v>9446</v>
      </c>
      <c r="Q1096" s="62" t="s">
        <v>592</v>
      </c>
      <c r="R1096" s="47" t="s">
        <v>9447</v>
      </c>
      <c r="U1096" s="46" t="s">
        <v>1327</v>
      </c>
      <c r="V1096" s="46"/>
    </row>
    <row r="1097" spans="1:22" ht="105" x14ac:dyDescent="0.25">
      <c r="A1097" s="61">
        <v>43052</v>
      </c>
      <c r="B1097" s="62" t="s">
        <v>328</v>
      </c>
      <c r="C1097" s="46" t="s">
        <v>603</v>
      </c>
      <c r="D1097" s="46" t="s">
        <v>5701</v>
      </c>
      <c r="E1097" s="46" t="s">
        <v>588</v>
      </c>
      <c r="F1097" s="46" t="s">
        <v>9451</v>
      </c>
      <c r="G1097" s="46" t="s">
        <v>9450</v>
      </c>
      <c r="H1097" s="46" t="s">
        <v>1391</v>
      </c>
      <c r="J1097" s="49" t="s">
        <v>6657</v>
      </c>
      <c r="L1097" s="63">
        <v>5</v>
      </c>
      <c r="M1097" s="64">
        <v>325000</v>
      </c>
      <c r="N1097" s="118">
        <v>585000</v>
      </c>
      <c r="O1097" s="47" t="s">
        <v>9218</v>
      </c>
      <c r="P1097" s="135" t="s">
        <v>9449</v>
      </c>
      <c r="Q1097" s="62" t="s">
        <v>29</v>
      </c>
      <c r="R1097" s="46"/>
      <c r="S1097" s="47" t="s">
        <v>9615</v>
      </c>
      <c r="U1097" s="46" t="s">
        <v>1327</v>
      </c>
      <c r="V1097" s="46"/>
    </row>
    <row r="1098" spans="1:22" ht="30" x14ac:dyDescent="0.25">
      <c r="A1098" s="61">
        <v>43053</v>
      </c>
      <c r="B1098" s="62" t="s">
        <v>328</v>
      </c>
      <c r="C1098" s="46" t="s">
        <v>603</v>
      </c>
      <c r="D1098" s="46" t="s">
        <v>649</v>
      </c>
      <c r="E1098" s="46" t="s">
        <v>588</v>
      </c>
      <c r="F1098" s="46" t="s">
        <v>9454</v>
      </c>
      <c r="G1098" s="46" t="s">
        <v>9453</v>
      </c>
      <c r="H1098" s="46" t="s">
        <v>607</v>
      </c>
      <c r="J1098" s="49" t="s">
        <v>899</v>
      </c>
      <c r="L1098" s="63">
        <v>10</v>
      </c>
      <c r="M1098" s="64">
        <v>1500000</v>
      </c>
      <c r="N1098" s="132">
        <v>2169230</v>
      </c>
      <c r="O1098" s="47" t="s">
        <v>6860</v>
      </c>
      <c r="P1098" s="47" t="s">
        <v>9452</v>
      </c>
      <c r="Q1098" s="62" t="s">
        <v>592</v>
      </c>
      <c r="R1098" s="47" t="s">
        <v>9455</v>
      </c>
      <c r="U1098" s="46" t="s">
        <v>1327</v>
      </c>
      <c r="V1098" s="46"/>
    </row>
    <row r="1099" spans="1:22" ht="90" x14ac:dyDescent="0.25">
      <c r="A1099" s="61">
        <v>43054</v>
      </c>
      <c r="B1099" s="62" t="s">
        <v>569</v>
      </c>
      <c r="C1099" s="46" t="s">
        <v>899</v>
      </c>
      <c r="D1099" s="46" t="s">
        <v>930</v>
      </c>
      <c r="E1099" s="46" t="s">
        <v>821</v>
      </c>
      <c r="F1099" s="46" t="s">
        <v>9457</v>
      </c>
      <c r="G1099" s="46" t="s">
        <v>9458</v>
      </c>
      <c r="H1099" s="46" t="s">
        <v>809</v>
      </c>
      <c r="I1099" s="46" t="s">
        <v>6230</v>
      </c>
      <c r="J1099" s="49" t="s">
        <v>899</v>
      </c>
      <c r="M1099" s="64">
        <v>390600</v>
      </c>
      <c r="O1099" s="47" t="s">
        <v>7805</v>
      </c>
      <c r="P1099" s="47" t="s">
        <v>9616</v>
      </c>
      <c r="Q1099" s="62" t="s">
        <v>1939</v>
      </c>
      <c r="R1099" s="47" t="s">
        <v>9459</v>
      </c>
      <c r="U1099" s="46" t="s">
        <v>491</v>
      </c>
      <c r="V1099" s="46"/>
    </row>
    <row r="1100" spans="1:22" ht="45" x14ac:dyDescent="0.25">
      <c r="A1100" s="61">
        <v>43054</v>
      </c>
      <c r="B1100" s="62" t="s">
        <v>569</v>
      </c>
      <c r="C1100" s="46" t="s">
        <v>899</v>
      </c>
      <c r="D1100" s="46" t="s">
        <v>930</v>
      </c>
      <c r="E1100" s="46" t="s">
        <v>821</v>
      </c>
      <c r="F1100" s="46" t="s">
        <v>9460</v>
      </c>
      <c r="G1100" s="46" t="s">
        <v>9461</v>
      </c>
      <c r="H1100" s="46" t="s">
        <v>905</v>
      </c>
      <c r="J1100" s="49" t="s">
        <v>899</v>
      </c>
      <c r="O1100" s="47" t="s">
        <v>9053</v>
      </c>
      <c r="P1100" s="47" t="s">
        <v>9462</v>
      </c>
      <c r="Q1100" s="62" t="s">
        <v>1939</v>
      </c>
      <c r="R1100" s="47" t="s">
        <v>9463</v>
      </c>
      <c r="U1100" s="46" t="s">
        <v>491</v>
      </c>
      <c r="V1100" s="46"/>
    </row>
    <row r="1101" spans="1:22" ht="90" x14ac:dyDescent="0.25">
      <c r="A1101" s="61">
        <v>43054</v>
      </c>
      <c r="B1101" s="62" t="s">
        <v>569</v>
      </c>
      <c r="C1101" s="46" t="s">
        <v>899</v>
      </c>
      <c r="D1101" s="46" t="s">
        <v>930</v>
      </c>
      <c r="E1101" s="46" t="s">
        <v>821</v>
      </c>
      <c r="F1101" s="46" t="s">
        <v>9464</v>
      </c>
      <c r="G1101" s="46" t="s">
        <v>9465</v>
      </c>
      <c r="H1101" s="46" t="s">
        <v>905</v>
      </c>
      <c r="J1101" s="49" t="s">
        <v>899</v>
      </c>
      <c r="O1101" s="47" t="s">
        <v>7805</v>
      </c>
      <c r="P1101" s="47" t="s">
        <v>9466</v>
      </c>
      <c r="Q1101" s="62" t="s">
        <v>592</v>
      </c>
      <c r="U1101" s="46" t="s">
        <v>491</v>
      </c>
      <c r="V1101" s="46"/>
    </row>
    <row r="1102" spans="1:22" ht="75" x14ac:dyDescent="0.25">
      <c r="A1102" s="61">
        <v>43054</v>
      </c>
      <c r="B1102" s="62" t="s">
        <v>5176</v>
      </c>
      <c r="C1102" s="46" t="s">
        <v>604</v>
      </c>
      <c r="D1102" s="46" t="s">
        <v>595</v>
      </c>
      <c r="E1102" s="46" t="s">
        <v>821</v>
      </c>
      <c r="F1102" s="46" t="s">
        <v>8966</v>
      </c>
      <c r="H1102" s="46" t="s">
        <v>607</v>
      </c>
      <c r="J1102" s="49" t="s">
        <v>604</v>
      </c>
      <c r="O1102" s="47" t="s">
        <v>9467</v>
      </c>
      <c r="P1102" s="47" t="s">
        <v>9468</v>
      </c>
      <c r="Q1102" s="62" t="s">
        <v>1939</v>
      </c>
      <c r="R1102" s="47" t="s">
        <v>9469</v>
      </c>
      <c r="U1102" s="46" t="s">
        <v>491</v>
      </c>
      <c r="V1102" s="46"/>
    </row>
    <row r="1103" spans="1:22" ht="150" x14ac:dyDescent="0.25">
      <c r="A1103" s="61">
        <v>43054</v>
      </c>
      <c r="B1103" s="62" t="s">
        <v>5176</v>
      </c>
      <c r="C1103" s="46" t="s">
        <v>604</v>
      </c>
      <c r="D1103" s="46" t="s">
        <v>595</v>
      </c>
      <c r="E1103" s="46" t="s">
        <v>821</v>
      </c>
      <c r="F1103" s="46" t="s">
        <v>8966</v>
      </c>
      <c r="H1103" s="46" t="s">
        <v>905</v>
      </c>
      <c r="I1103" s="46" t="s">
        <v>9470</v>
      </c>
      <c r="J1103" s="49" t="s">
        <v>604</v>
      </c>
      <c r="M1103" s="64">
        <v>235000</v>
      </c>
      <c r="O1103" s="47" t="s">
        <v>639</v>
      </c>
      <c r="P1103" s="47" t="s">
        <v>9471</v>
      </c>
      <c r="Q1103" s="62" t="s">
        <v>1939</v>
      </c>
      <c r="R1103" s="47" t="s">
        <v>9472</v>
      </c>
      <c r="U1103" s="46" t="s">
        <v>491</v>
      </c>
      <c r="V1103" s="46"/>
    </row>
    <row r="1104" spans="1:22" ht="30" x14ac:dyDescent="0.25">
      <c r="A1104" s="61">
        <v>43055</v>
      </c>
      <c r="B1104" s="62" t="s">
        <v>569</v>
      </c>
      <c r="C1104" s="46" t="s">
        <v>899</v>
      </c>
      <c r="D1104" s="46" t="s">
        <v>625</v>
      </c>
      <c r="E1104" s="46" t="s">
        <v>821</v>
      </c>
      <c r="F1104" s="46" t="s">
        <v>9473</v>
      </c>
      <c r="G1104" s="46" t="s">
        <v>7172</v>
      </c>
      <c r="H1104" s="46" t="s">
        <v>607</v>
      </c>
      <c r="O1104" s="47" t="s">
        <v>695</v>
      </c>
      <c r="P1104" s="47" t="s">
        <v>9474</v>
      </c>
      <c r="Q1104" s="62" t="s">
        <v>592</v>
      </c>
      <c r="R1104" s="47" t="s">
        <v>9475</v>
      </c>
      <c r="U1104" s="46" t="s">
        <v>491</v>
      </c>
      <c r="V1104" s="46"/>
    </row>
    <row r="1105" spans="1:22" ht="90" x14ac:dyDescent="0.25">
      <c r="A1105" s="61">
        <v>43055</v>
      </c>
      <c r="B1105" s="62" t="s">
        <v>328</v>
      </c>
      <c r="C1105" s="46" t="s">
        <v>603</v>
      </c>
      <c r="D1105" s="46" t="s">
        <v>649</v>
      </c>
      <c r="E1105" s="46" t="s">
        <v>588</v>
      </c>
      <c r="F1105" s="46" t="s">
        <v>9476</v>
      </c>
      <c r="G1105" s="46" t="s">
        <v>9477</v>
      </c>
      <c r="H1105" s="46" t="s">
        <v>722</v>
      </c>
      <c r="I1105" s="46" t="s">
        <v>4114</v>
      </c>
      <c r="J1105" s="49" t="s">
        <v>899</v>
      </c>
      <c r="L1105" s="63">
        <v>10</v>
      </c>
      <c r="M1105" s="64">
        <v>271446</v>
      </c>
      <c r="O1105" s="47" t="s">
        <v>2680</v>
      </c>
      <c r="P1105" s="47" t="s">
        <v>9478</v>
      </c>
      <c r="Q1105" s="62" t="s">
        <v>29</v>
      </c>
      <c r="R1105" s="47" t="s">
        <v>9479</v>
      </c>
      <c r="S1105" s="47" t="s">
        <v>9537</v>
      </c>
      <c r="U1105" s="46" t="s">
        <v>491</v>
      </c>
      <c r="V1105" s="46"/>
    </row>
    <row r="1106" spans="1:22" ht="60" x14ac:dyDescent="0.25">
      <c r="A1106" s="61">
        <v>43056</v>
      </c>
      <c r="B1106" s="62" t="s">
        <v>328</v>
      </c>
      <c r="C1106" s="46" t="s">
        <v>603</v>
      </c>
      <c r="D1106" s="46" t="s">
        <v>649</v>
      </c>
      <c r="E1106" s="46" t="s">
        <v>588</v>
      </c>
      <c r="F1106" s="46" t="s">
        <v>9486</v>
      </c>
      <c r="G1106" s="46" t="s">
        <v>9487</v>
      </c>
      <c r="H1106" s="46" t="s">
        <v>607</v>
      </c>
      <c r="I1106" s="46" t="s">
        <v>3649</v>
      </c>
      <c r="J1106" s="49" t="s">
        <v>899</v>
      </c>
      <c r="L1106" s="63">
        <v>10</v>
      </c>
      <c r="M1106" s="64">
        <v>600000</v>
      </c>
      <c r="N1106" s="64">
        <v>1290000</v>
      </c>
      <c r="O1106" s="47" t="s">
        <v>2680</v>
      </c>
      <c r="P1106" s="47" t="s">
        <v>9617</v>
      </c>
      <c r="Q1106" s="62" t="s">
        <v>29</v>
      </c>
      <c r="R1106" s="47" t="s">
        <v>9488</v>
      </c>
      <c r="U1106" s="46" t="s">
        <v>491</v>
      </c>
      <c r="V1106" s="46"/>
    </row>
    <row r="1107" spans="1:22" ht="171" x14ac:dyDescent="0.25">
      <c r="A1107" s="61">
        <v>43054</v>
      </c>
      <c r="B1107" s="62" t="s">
        <v>328</v>
      </c>
      <c r="C1107" s="46" t="s">
        <v>603</v>
      </c>
      <c r="D1107" s="46" t="s">
        <v>2500</v>
      </c>
      <c r="E1107" s="46" t="s">
        <v>588</v>
      </c>
      <c r="F1107" s="46" t="s">
        <v>4655</v>
      </c>
      <c r="G1107" s="46" t="s">
        <v>9489</v>
      </c>
      <c r="H1107" s="46" t="s">
        <v>607</v>
      </c>
      <c r="I1107" s="46" t="s">
        <v>8721</v>
      </c>
      <c r="J1107" s="49" t="s">
        <v>4031</v>
      </c>
      <c r="L1107" s="63">
        <v>4</v>
      </c>
      <c r="M1107" s="64">
        <v>3286000</v>
      </c>
      <c r="N1107" s="64">
        <v>3749450</v>
      </c>
      <c r="O1107" s="47" t="s">
        <v>9490</v>
      </c>
      <c r="P1107" s="150" t="s">
        <v>9491</v>
      </c>
      <c r="Q1107" s="62" t="s">
        <v>1939</v>
      </c>
      <c r="R1107" s="47" t="s">
        <v>9492</v>
      </c>
      <c r="U1107" s="46" t="s">
        <v>1327</v>
      </c>
      <c r="V1107" s="46"/>
    </row>
    <row r="1108" spans="1:22" ht="30" x14ac:dyDescent="0.25">
      <c r="A1108" s="61">
        <v>43056</v>
      </c>
      <c r="B1108" s="62" t="s">
        <v>328</v>
      </c>
      <c r="C1108" s="46" t="s">
        <v>603</v>
      </c>
      <c r="D1108" s="46" t="s">
        <v>649</v>
      </c>
      <c r="E1108" s="46" t="s">
        <v>588</v>
      </c>
      <c r="F1108" s="46" t="s">
        <v>9495</v>
      </c>
      <c r="G1108" s="46" t="s">
        <v>9494</v>
      </c>
      <c r="H1108" s="46" t="s">
        <v>5167</v>
      </c>
      <c r="J1108" s="49" t="s">
        <v>959</v>
      </c>
      <c r="L1108" s="63">
        <v>4</v>
      </c>
      <c r="M1108" s="64">
        <v>220000</v>
      </c>
      <c r="N1108" s="64">
        <v>220000</v>
      </c>
      <c r="O1108" s="47" t="s">
        <v>2455</v>
      </c>
      <c r="P1108" s="47" t="s">
        <v>9496</v>
      </c>
      <c r="Q1108" s="62" t="s">
        <v>29</v>
      </c>
      <c r="R1108" s="47" t="s">
        <v>9493</v>
      </c>
      <c r="U1108" s="46" t="s">
        <v>1327</v>
      </c>
      <c r="V1108" s="46"/>
    </row>
    <row r="1109" spans="1:22" ht="75" x14ac:dyDescent="0.25">
      <c r="A1109" s="61">
        <v>43056</v>
      </c>
      <c r="B1109" s="62" t="s">
        <v>5176</v>
      </c>
      <c r="C1109" s="46" t="s">
        <v>604</v>
      </c>
      <c r="D1109" s="46" t="s">
        <v>727</v>
      </c>
      <c r="E1109" s="46" t="s">
        <v>588</v>
      </c>
      <c r="F1109" s="46" t="s">
        <v>9497</v>
      </c>
      <c r="G1109" s="46" t="s">
        <v>9498</v>
      </c>
      <c r="H1109" s="46" t="s">
        <v>1391</v>
      </c>
      <c r="I1109" s="46" t="s">
        <v>9499</v>
      </c>
      <c r="J1109" s="49" t="s">
        <v>959</v>
      </c>
      <c r="L1109" s="63">
        <v>4</v>
      </c>
      <c r="M1109" s="64">
        <v>662194</v>
      </c>
      <c r="N1109" s="64">
        <v>1161394</v>
      </c>
      <c r="O1109" s="47" t="s">
        <v>35</v>
      </c>
      <c r="P1109" s="47" t="s">
        <v>9500</v>
      </c>
      <c r="Q1109" s="62" t="s">
        <v>1939</v>
      </c>
      <c r="R1109" s="47" t="s">
        <v>9501</v>
      </c>
      <c r="U1109" s="46" t="s">
        <v>491</v>
      </c>
      <c r="V1109" s="46"/>
    </row>
    <row r="1110" spans="1:22" ht="60" x14ac:dyDescent="0.25">
      <c r="A1110" s="61">
        <v>43056</v>
      </c>
      <c r="B1110" s="62" t="s">
        <v>5176</v>
      </c>
      <c r="C1110" s="46" t="s">
        <v>604</v>
      </c>
      <c r="D1110" s="46" t="s">
        <v>595</v>
      </c>
      <c r="E1110" s="46" t="s">
        <v>1707</v>
      </c>
      <c r="F1110" s="46" t="s">
        <v>8966</v>
      </c>
      <c r="H1110" s="46" t="s">
        <v>809</v>
      </c>
      <c r="I1110" s="46" t="s">
        <v>1487</v>
      </c>
      <c r="J1110" s="49" t="s">
        <v>604</v>
      </c>
      <c r="M1110" s="64">
        <v>1000000</v>
      </c>
      <c r="O1110" s="47" t="s">
        <v>9502</v>
      </c>
      <c r="P1110" s="47" t="s">
        <v>9503</v>
      </c>
      <c r="Q1110" s="62" t="s">
        <v>592</v>
      </c>
      <c r="U1110" s="46" t="s">
        <v>491</v>
      </c>
      <c r="V1110" s="46"/>
    </row>
    <row r="1111" spans="1:22" ht="60" x14ac:dyDescent="0.25">
      <c r="A1111" s="61">
        <v>43056</v>
      </c>
      <c r="B1111" s="62" t="s">
        <v>643</v>
      </c>
      <c r="C1111" s="46" t="s">
        <v>644</v>
      </c>
      <c r="D1111" s="46" t="s">
        <v>645</v>
      </c>
      <c r="E1111" s="46" t="s">
        <v>692</v>
      </c>
      <c r="F1111" s="46" t="s">
        <v>9504</v>
      </c>
      <c r="G1111" s="46" t="s">
        <v>9505</v>
      </c>
      <c r="H1111" s="46" t="s">
        <v>1391</v>
      </c>
      <c r="I1111" s="46" t="s">
        <v>9506</v>
      </c>
      <c r="J1111" s="49" t="s">
        <v>3501</v>
      </c>
      <c r="L1111" s="63">
        <v>10</v>
      </c>
      <c r="M1111" s="64">
        <v>416000</v>
      </c>
      <c r="N1111" s="64">
        <v>707200</v>
      </c>
      <c r="O1111" s="47" t="s">
        <v>3871</v>
      </c>
      <c r="P1111" s="47" t="s">
        <v>9618</v>
      </c>
      <c r="Q1111" s="62" t="s">
        <v>29</v>
      </c>
      <c r="R1111" s="47" t="s">
        <v>9507</v>
      </c>
      <c r="S1111" s="47" t="s">
        <v>9539</v>
      </c>
      <c r="U1111" s="46" t="s">
        <v>491</v>
      </c>
      <c r="V1111" s="46"/>
    </row>
    <row r="1112" spans="1:22" ht="110.25" customHeight="1" x14ac:dyDescent="0.25">
      <c r="A1112" s="61">
        <v>43056</v>
      </c>
      <c r="B1112" s="62" t="s">
        <v>643</v>
      </c>
      <c r="C1112" s="46" t="s">
        <v>644</v>
      </c>
      <c r="D1112" s="46" t="s">
        <v>645</v>
      </c>
      <c r="E1112" s="46" t="s">
        <v>588</v>
      </c>
      <c r="F1112" s="46" t="s">
        <v>9508</v>
      </c>
      <c r="G1112" s="46" t="s">
        <v>9509</v>
      </c>
      <c r="H1112" s="46" t="s">
        <v>9512</v>
      </c>
      <c r="I1112" s="46" t="s">
        <v>9510</v>
      </c>
      <c r="J1112" s="49" t="s">
        <v>644</v>
      </c>
      <c r="L1112" s="63">
        <v>6</v>
      </c>
      <c r="M1112" s="64">
        <v>375000</v>
      </c>
      <c r="N1112" s="64">
        <v>415000</v>
      </c>
      <c r="O1112" s="47" t="s">
        <v>33</v>
      </c>
      <c r="P1112" s="47" t="s">
        <v>9513</v>
      </c>
      <c r="Q1112" s="62" t="s">
        <v>1939</v>
      </c>
      <c r="R1112" s="47" t="s">
        <v>9511</v>
      </c>
      <c r="U1112" s="46" t="s">
        <v>1327</v>
      </c>
      <c r="V1112" s="46"/>
    </row>
    <row r="1113" spans="1:22" ht="71.25" x14ac:dyDescent="0.25">
      <c r="A1113" s="61">
        <v>43059</v>
      </c>
      <c r="B1113" s="62" t="s">
        <v>328</v>
      </c>
      <c r="C1113" s="46" t="s">
        <v>603</v>
      </c>
      <c r="D1113" s="46" t="s">
        <v>672</v>
      </c>
      <c r="E1113" s="46" t="s">
        <v>588</v>
      </c>
      <c r="F1113" s="46" t="s">
        <v>5096</v>
      </c>
      <c r="G1113" s="46" t="s">
        <v>8289</v>
      </c>
      <c r="H1113" s="46" t="s">
        <v>607</v>
      </c>
      <c r="I1113" s="46" t="s">
        <v>9515</v>
      </c>
      <c r="J1113" s="49" t="s">
        <v>899</v>
      </c>
      <c r="L1113" s="63">
        <v>9</v>
      </c>
      <c r="M1113" s="134">
        <v>1364560</v>
      </c>
      <c r="N1113" s="134">
        <v>2729129</v>
      </c>
      <c r="O1113" s="47" t="s">
        <v>560</v>
      </c>
      <c r="P1113" s="150" t="s">
        <v>9619</v>
      </c>
      <c r="Q1113" s="62" t="s">
        <v>592</v>
      </c>
      <c r="R1113" s="47" t="s">
        <v>9516</v>
      </c>
      <c r="U1113" s="46" t="s">
        <v>1327</v>
      </c>
      <c r="V1113" s="46"/>
    </row>
    <row r="1114" spans="1:22" ht="45" x14ac:dyDescent="0.25">
      <c r="A1114" s="61">
        <v>43059</v>
      </c>
      <c r="B1114" s="62" t="s">
        <v>328</v>
      </c>
      <c r="C1114" s="46" t="s">
        <v>603</v>
      </c>
      <c r="D1114" s="46" t="s">
        <v>5701</v>
      </c>
      <c r="E1114" s="46" t="s">
        <v>588</v>
      </c>
      <c r="F1114" s="46" t="s">
        <v>9517</v>
      </c>
      <c r="G1114" s="46" t="s">
        <v>5096</v>
      </c>
      <c r="H1114" s="46" t="s">
        <v>905</v>
      </c>
      <c r="I1114" s="46" t="s">
        <v>9518</v>
      </c>
      <c r="J1114" s="49" t="s">
        <v>3751</v>
      </c>
      <c r="L1114" s="63">
        <v>6</v>
      </c>
      <c r="M1114" s="64">
        <v>200000</v>
      </c>
      <c r="N1114" s="64">
        <v>220000</v>
      </c>
      <c r="O1114" s="47" t="s">
        <v>33</v>
      </c>
      <c r="P1114" s="47" t="s">
        <v>9519</v>
      </c>
      <c r="Q1114" s="62" t="s">
        <v>1939</v>
      </c>
      <c r="R1114" s="47" t="s">
        <v>9520</v>
      </c>
      <c r="U1114" s="46" t="s">
        <v>1327</v>
      </c>
      <c r="V1114" s="46"/>
    </row>
    <row r="1115" spans="1:22" ht="30" x14ac:dyDescent="0.25">
      <c r="A1115" s="61">
        <v>43060</v>
      </c>
      <c r="B1115" s="62" t="s">
        <v>569</v>
      </c>
      <c r="C1115" s="46" t="s">
        <v>899</v>
      </c>
      <c r="D1115" s="46" t="s">
        <v>625</v>
      </c>
      <c r="E1115" s="46" t="s">
        <v>588</v>
      </c>
      <c r="F1115" s="46" t="s">
        <v>9521</v>
      </c>
      <c r="G1115" s="46" t="s">
        <v>9522</v>
      </c>
      <c r="H1115" s="46" t="s">
        <v>809</v>
      </c>
      <c r="I1115" s="46" t="s">
        <v>5412</v>
      </c>
      <c r="J1115" s="49" t="s">
        <v>899</v>
      </c>
      <c r="N1115" s="64">
        <v>3300000</v>
      </c>
      <c r="O1115" s="47" t="s">
        <v>560</v>
      </c>
      <c r="P1115" s="47" t="s">
        <v>9523</v>
      </c>
      <c r="Q1115" s="62" t="s">
        <v>592</v>
      </c>
      <c r="R1115" s="47" t="s">
        <v>9524</v>
      </c>
      <c r="U1115" s="46" t="s">
        <v>1327</v>
      </c>
      <c r="V1115" s="46"/>
    </row>
    <row r="1116" spans="1:22" ht="45" x14ac:dyDescent="0.25">
      <c r="A1116" s="61">
        <v>43060</v>
      </c>
      <c r="B1116" s="62" t="s">
        <v>328</v>
      </c>
      <c r="C1116" s="46" t="s">
        <v>899</v>
      </c>
      <c r="D1116" s="46" t="s">
        <v>649</v>
      </c>
      <c r="E1116" s="46" t="s">
        <v>588</v>
      </c>
      <c r="F1116" s="46" t="s">
        <v>453</v>
      </c>
      <c r="G1116" s="46" t="s">
        <v>9525</v>
      </c>
      <c r="H1116" s="46" t="s">
        <v>607</v>
      </c>
      <c r="I1116" s="46" t="s">
        <v>9526</v>
      </c>
      <c r="J1116" s="49" t="s">
        <v>3751</v>
      </c>
      <c r="L1116" s="63">
        <v>4</v>
      </c>
      <c r="M1116" s="64">
        <v>242000</v>
      </c>
      <c r="N1116" s="64">
        <v>411200</v>
      </c>
      <c r="O1116" s="47" t="s">
        <v>4533</v>
      </c>
      <c r="P1116" s="47" t="s">
        <v>9620</v>
      </c>
      <c r="Q1116" s="62" t="s">
        <v>592</v>
      </c>
      <c r="R1116" s="47" t="s">
        <v>9527</v>
      </c>
      <c r="U1116" s="46" t="s">
        <v>1327</v>
      </c>
      <c r="V1116" s="46"/>
    </row>
    <row r="1117" spans="1:22" ht="45" x14ac:dyDescent="0.25">
      <c r="A1117" s="61">
        <v>43060</v>
      </c>
      <c r="B1117" s="62" t="s">
        <v>569</v>
      </c>
      <c r="C1117" s="46" t="s">
        <v>899</v>
      </c>
      <c r="D1117" s="46" t="s">
        <v>624</v>
      </c>
      <c r="E1117" s="46" t="s">
        <v>588</v>
      </c>
      <c r="F1117" s="46" t="s">
        <v>9528</v>
      </c>
      <c r="G1117" s="46" t="s">
        <v>9529</v>
      </c>
      <c r="H1117" s="46" t="s">
        <v>607</v>
      </c>
      <c r="I1117" s="46" t="s">
        <v>9530</v>
      </c>
      <c r="J1117" s="49" t="s">
        <v>899</v>
      </c>
      <c r="L1117" s="63">
        <v>3</v>
      </c>
      <c r="O1117" s="47" t="s">
        <v>2928</v>
      </c>
      <c r="P1117" s="47" t="s">
        <v>9531</v>
      </c>
      <c r="Q1117" s="62" t="s">
        <v>1939</v>
      </c>
      <c r="R1117" s="47" t="s">
        <v>9532</v>
      </c>
      <c r="U1117" s="46" t="s">
        <v>1327</v>
      </c>
      <c r="V1117" s="46"/>
    </row>
    <row r="1118" spans="1:22" ht="30" x14ac:dyDescent="0.25">
      <c r="A1118" s="61">
        <v>43060</v>
      </c>
      <c r="B1118" s="62" t="s">
        <v>5992</v>
      </c>
      <c r="C1118" s="46" t="s">
        <v>608</v>
      </c>
      <c r="D1118" s="46" t="s">
        <v>7858</v>
      </c>
      <c r="E1118" s="46" t="s">
        <v>588</v>
      </c>
      <c r="F1118" s="46" t="s">
        <v>9533</v>
      </c>
      <c r="G1118" s="46" t="s">
        <v>9533</v>
      </c>
      <c r="H1118" s="46" t="s">
        <v>607</v>
      </c>
      <c r="I1118" s="46" t="s">
        <v>6202</v>
      </c>
      <c r="J1118" s="49" t="s">
        <v>608</v>
      </c>
      <c r="M1118" s="64">
        <v>244300</v>
      </c>
      <c r="N1118" s="64">
        <v>439740</v>
      </c>
      <c r="O1118" s="47" t="s">
        <v>9534</v>
      </c>
      <c r="P1118" s="47" t="s">
        <v>9536</v>
      </c>
      <c r="Q1118" s="62" t="s">
        <v>592</v>
      </c>
      <c r="R1118" s="47" t="s">
        <v>9535</v>
      </c>
      <c r="U1118" s="46" t="s">
        <v>1327</v>
      </c>
      <c r="V1118" s="46"/>
    </row>
    <row r="1119" spans="1:22" ht="45" x14ac:dyDescent="0.25">
      <c r="A1119" s="61">
        <v>43060</v>
      </c>
      <c r="B1119" s="62" t="s">
        <v>643</v>
      </c>
      <c r="C1119" s="46" t="s">
        <v>644</v>
      </c>
      <c r="D1119" s="46" t="s">
        <v>645</v>
      </c>
      <c r="E1119" s="46" t="s">
        <v>588</v>
      </c>
      <c r="F1119" s="46" t="s">
        <v>9538</v>
      </c>
      <c r="G1119" s="46" t="s">
        <v>9538</v>
      </c>
      <c r="H1119" s="46" t="s">
        <v>4132</v>
      </c>
      <c r="I1119" s="46" t="s">
        <v>8122</v>
      </c>
      <c r="J1119" s="49" t="s">
        <v>644</v>
      </c>
      <c r="L1119" s="63">
        <v>4</v>
      </c>
      <c r="M1119" s="64">
        <v>180450</v>
      </c>
      <c r="N1119" s="64">
        <v>322630</v>
      </c>
      <c r="O1119" s="47" t="s">
        <v>666</v>
      </c>
      <c r="P1119" s="47" t="s">
        <v>9621</v>
      </c>
      <c r="Q1119" s="62" t="s">
        <v>1939</v>
      </c>
      <c r="R1119" s="47" t="s">
        <v>9622</v>
      </c>
      <c r="U1119" s="46" t="s">
        <v>1327</v>
      </c>
      <c r="V1119" s="46"/>
    </row>
    <row r="1120" spans="1:22" x14ac:dyDescent="0.25">
      <c r="A1120" s="61">
        <v>43061</v>
      </c>
      <c r="B1120" s="62" t="s">
        <v>569</v>
      </c>
      <c r="C1120" s="46" t="s">
        <v>899</v>
      </c>
      <c r="D1120" s="46" t="s">
        <v>624</v>
      </c>
      <c r="E1120" s="46" t="s">
        <v>588</v>
      </c>
      <c r="F1120" s="46" t="s">
        <v>9540</v>
      </c>
      <c r="G1120" s="46" t="s">
        <v>9541</v>
      </c>
      <c r="H1120" s="46" t="s">
        <v>607</v>
      </c>
      <c r="I1120" s="46" t="s">
        <v>9530</v>
      </c>
      <c r="J1120" s="49" t="s">
        <v>899</v>
      </c>
      <c r="L1120" s="63">
        <v>3</v>
      </c>
      <c r="M1120" s="64">
        <v>1728000</v>
      </c>
      <c r="N1120" s="64">
        <v>3108800</v>
      </c>
      <c r="O1120" s="47" t="s">
        <v>560</v>
      </c>
      <c r="P1120" s="47" t="s">
        <v>9542</v>
      </c>
      <c r="Q1120" s="62" t="s">
        <v>1939</v>
      </c>
      <c r="R1120" s="47" t="s">
        <v>9543</v>
      </c>
      <c r="U1120" s="46" t="s">
        <v>1327</v>
      </c>
      <c r="V1120" s="46"/>
    </row>
    <row r="1121" spans="1:23" ht="30" x14ac:dyDescent="0.25">
      <c r="A1121" s="61">
        <v>43061</v>
      </c>
      <c r="B1121" s="62" t="s">
        <v>1788</v>
      </c>
      <c r="C1121" s="46" t="s">
        <v>3369</v>
      </c>
      <c r="D1121" s="46" t="s">
        <v>8216</v>
      </c>
      <c r="E1121" s="46" t="s">
        <v>588</v>
      </c>
      <c r="F1121" s="46" t="s">
        <v>9544</v>
      </c>
      <c r="G1121" s="46" t="s">
        <v>9545</v>
      </c>
      <c r="H1121" s="46" t="s">
        <v>607</v>
      </c>
      <c r="I1121" s="46" t="s">
        <v>9546</v>
      </c>
      <c r="J1121" s="49" t="s">
        <v>3369</v>
      </c>
      <c r="M1121" s="64">
        <v>632000</v>
      </c>
      <c r="N1121" s="64">
        <v>1074400</v>
      </c>
      <c r="O1121" s="47" t="s">
        <v>1013</v>
      </c>
      <c r="P1121" s="47" t="s">
        <v>9547</v>
      </c>
      <c r="Q1121" s="62" t="s">
        <v>29</v>
      </c>
      <c r="R1121" s="47" t="s">
        <v>9548</v>
      </c>
      <c r="U1121" s="46" t="s">
        <v>1327</v>
      </c>
      <c r="V1121" s="46"/>
    </row>
    <row r="1122" spans="1:23" ht="60" x14ac:dyDescent="0.25">
      <c r="A1122" s="61">
        <v>43067</v>
      </c>
      <c r="B1122" s="62" t="s">
        <v>328</v>
      </c>
      <c r="C1122" s="46" t="s">
        <v>603</v>
      </c>
      <c r="D1122" s="46" t="s">
        <v>2204</v>
      </c>
      <c r="E1122" s="46" t="s">
        <v>588</v>
      </c>
      <c r="F1122" s="46" t="s">
        <v>9549</v>
      </c>
      <c r="G1122" s="46" t="s">
        <v>9551</v>
      </c>
      <c r="H1122" s="46" t="s">
        <v>809</v>
      </c>
      <c r="I1122" s="46" t="s">
        <v>9550</v>
      </c>
      <c r="J1122" s="49" t="s">
        <v>3733</v>
      </c>
      <c r="L1122" s="63">
        <v>1</v>
      </c>
      <c r="M1122" s="64">
        <v>3000000</v>
      </c>
      <c r="N1122" s="64">
        <v>3260000</v>
      </c>
      <c r="O1122" s="47" t="s">
        <v>560</v>
      </c>
      <c r="P1122" s="47" t="s">
        <v>9552</v>
      </c>
      <c r="Q1122" s="62" t="s">
        <v>592</v>
      </c>
      <c r="R1122" s="47" t="s">
        <v>9553</v>
      </c>
      <c r="U1122" s="46" t="s">
        <v>9554</v>
      </c>
      <c r="V1122" s="46"/>
    </row>
    <row r="1123" spans="1:23" ht="165" x14ac:dyDescent="0.25">
      <c r="A1123" s="61">
        <v>43067</v>
      </c>
      <c r="B1123" s="62" t="s">
        <v>328</v>
      </c>
      <c r="C1123" s="46" t="s">
        <v>603</v>
      </c>
      <c r="D1123" s="46" t="s">
        <v>649</v>
      </c>
      <c r="E1123" s="46" t="s">
        <v>588</v>
      </c>
      <c r="F1123" s="46" t="s">
        <v>5096</v>
      </c>
      <c r="G1123" s="46" t="s">
        <v>757</v>
      </c>
      <c r="H1123" s="46" t="s">
        <v>1391</v>
      </c>
      <c r="I1123" s="46" t="s">
        <v>9555</v>
      </c>
      <c r="J1123" s="49" t="s">
        <v>3367</v>
      </c>
      <c r="L1123" s="63">
        <v>10</v>
      </c>
      <c r="M1123" s="64">
        <v>236664</v>
      </c>
      <c r="N1123" s="64">
        <v>256664</v>
      </c>
      <c r="O1123" s="47" t="s">
        <v>9556</v>
      </c>
      <c r="P1123" s="47" t="s">
        <v>9557</v>
      </c>
      <c r="Q1123" s="62" t="s">
        <v>1939</v>
      </c>
      <c r="R1123" s="47" t="s">
        <v>9558</v>
      </c>
      <c r="S1123" s="47" t="s">
        <v>9650</v>
      </c>
      <c r="U1123" s="46" t="s">
        <v>491</v>
      </c>
      <c r="V1123" s="46"/>
    </row>
    <row r="1124" spans="1:23" ht="45" x14ac:dyDescent="0.25">
      <c r="A1124" s="61">
        <v>43067</v>
      </c>
      <c r="B1124" s="62" t="s">
        <v>569</v>
      </c>
      <c r="C1124" s="46" t="s">
        <v>899</v>
      </c>
      <c r="D1124" s="46" t="s">
        <v>930</v>
      </c>
      <c r="E1124" s="46" t="s">
        <v>821</v>
      </c>
      <c r="F1124" s="46" t="s">
        <v>4740</v>
      </c>
      <c r="G1124" s="46" t="s">
        <v>8289</v>
      </c>
      <c r="H1124" s="46" t="s">
        <v>607</v>
      </c>
      <c r="J1124" s="49" t="s">
        <v>899</v>
      </c>
      <c r="O1124" s="47" t="s">
        <v>7074</v>
      </c>
      <c r="P1124" s="47" t="s">
        <v>9559</v>
      </c>
      <c r="Q1124" s="62" t="s">
        <v>592</v>
      </c>
      <c r="U1124" s="46" t="s">
        <v>491</v>
      </c>
      <c r="V1124" s="46"/>
    </row>
    <row r="1125" spans="1:23" ht="45" x14ac:dyDescent="0.25">
      <c r="A1125" s="61">
        <v>43068</v>
      </c>
      <c r="B1125" s="62" t="s">
        <v>5360</v>
      </c>
      <c r="C1125" s="46" t="s">
        <v>899</v>
      </c>
      <c r="D1125" s="46" t="s">
        <v>732</v>
      </c>
      <c r="E1125" s="46" t="s">
        <v>588</v>
      </c>
      <c r="F1125" s="46" t="s">
        <v>9561</v>
      </c>
      <c r="G1125" s="46" t="s">
        <v>8533</v>
      </c>
      <c r="H1125" s="46" t="s">
        <v>9562</v>
      </c>
      <c r="I1125" s="46" t="s">
        <v>9563</v>
      </c>
      <c r="J1125" s="49" t="s">
        <v>899</v>
      </c>
      <c r="M1125" s="64">
        <v>500000</v>
      </c>
      <c r="N1125" s="64">
        <v>538000</v>
      </c>
      <c r="O1125" s="47" t="s">
        <v>5659</v>
      </c>
      <c r="P1125" s="47" t="s">
        <v>9564</v>
      </c>
      <c r="Q1125" s="62" t="s">
        <v>1939</v>
      </c>
      <c r="R1125" s="47" t="s">
        <v>9565</v>
      </c>
      <c r="U1125" s="46" t="s">
        <v>1327</v>
      </c>
      <c r="V1125" s="46"/>
    </row>
    <row r="1126" spans="1:23" ht="60" x14ac:dyDescent="0.25">
      <c r="A1126" s="61">
        <v>43068</v>
      </c>
      <c r="B1126" s="62" t="s">
        <v>643</v>
      </c>
      <c r="C1126" s="46" t="s">
        <v>644</v>
      </c>
      <c r="D1126" s="46" t="s">
        <v>645</v>
      </c>
      <c r="E1126" s="46" t="s">
        <v>588</v>
      </c>
      <c r="F1126" s="46" t="s">
        <v>8201</v>
      </c>
      <c r="G1126" s="46" t="s">
        <v>9000</v>
      </c>
      <c r="H1126" s="46" t="s">
        <v>9567</v>
      </c>
      <c r="I1126" s="46" t="s">
        <v>9566</v>
      </c>
      <c r="J1126" s="49" t="s">
        <v>3501</v>
      </c>
      <c r="L1126" s="63">
        <v>10</v>
      </c>
      <c r="M1126" s="64">
        <v>1400000</v>
      </c>
      <c r="N1126" s="64">
        <v>1900100</v>
      </c>
      <c r="O1126" s="47" t="s">
        <v>7269</v>
      </c>
      <c r="P1126" s="47" t="s">
        <v>9568</v>
      </c>
      <c r="Q1126" s="62" t="s">
        <v>1939</v>
      </c>
      <c r="R1126" s="47" t="s">
        <v>9569</v>
      </c>
      <c r="U1126" s="46" t="s">
        <v>491</v>
      </c>
      <c r="V1126" s="46"/>
    </row>
    <row r="1127" spans="1:23" ht="60" x14ac:dyDescent="0.25">
      <c r="A1127" s="61">
        <v>43068</v>
      </c>
      <c r="B1127" s="62" t="s">
        <v>569</v>
      </c>
      <c r="C1127" s="46" t="s">
        <v>899</v>
      </c>
      <c r="D1127" s="46" t="s">
        <v>625</v>
      </c>
      <c r="E1127" s="46" t="s">
        <v>588</v>
      </c>
      <c r="F1127" s="46" t="s">
        <v>9570</v>
      </c>
      <c r="G1127" s="46" t="s">
        <v>9571</v>
      </c>
      <c r="H1127" s="46" t="s">
        <v>607</v>
      </c>
      <c r="I1127" s="46" t="s">
        <v>3956</v>
      </c>
      <c r="J1127" s="49" t="s">
        <v>899</v>
      </c>
      <c r="L1127" s="63">
        <v>5</v>
      </c>
      <c r="M1127" s="64">
        <v>500000</v>
      </c>
      <c r="N1127" s="64">
        <v>1000000</v>
      </c>
      <c r="O1127" s="47" t="s">
        <v>1844</v>
      </c>
      <c r="P1127" s="47" t="s">
        <v>9572</v>
      </c>
      <c r="Q1127" s="62" t="s">
        <v>1939</v>
      </c>
      <c r="R1127" s="47" t="s">
        <v>9573</v>
      </c>
      <c r="U1127" s="46" t="s">
        <v>491</v>
      </c>
      <c r="V1127" s="46"/>
    </row>
    <row r="1128" spans="1:23" ht="45" x14ac:dyDescent="0.25">
      <c r="A1128" s="61">
        <v>43069</v>
      </c>
      <c r="B1128" s="62" t="s">
        <v>5176</v>
      </c>
      <c r="C1128" s="46" t="s">
        <v>899</v>
      </c>
      <c r="D1128" s="46" t="s">
        <v>732</v>
      </c>
      <c r="E1128" s="46" t="s">
        <v>588</v>
      </c>
      <c r="F1128" s="168" t="s">
        <v>9574</v>
      </c>
      <c r="G1128" s="169" t="s">
        <v>9574</v>
      </c>
      <c r="H1128" s="46" t="s">
        <v>1050</v>
      </c>
      <c r="I1128" s="46" t="s">
        <v>6864</v>
      </c>
      <c r="J1128" s="49" t="s">
        <v>959</v>
      </c>
      <c r="N1128" s="64">
        <v>350000</v>
      </c>
      <c r="O1128" s="47" t="s">
        <v>9575</v>
      </c>
      <c r="P1128" s="47" t="s">
        <v>9577</v>
      </c>
      <c r="Q1128" s="62" t="s">
        <v>1939</v>
      </c>
      <c r="R1128" s="47" t="s">
        <v>9576</v>
      </c>
      <c r="U1128" s="46" t="s">
        <v>1327</v>
      </c>
      <c r="V1128" s="46"/>
    </row>
    <row r="1129" spans="1:23" ht="75" x14ac:dyDescent="0.25">
      <c r="A1129" s="61">
        <v>43069</v>
      </c>
      <c r="B1129" s="62" t="s">
        <v>328</v>
      </c>
      <c r="C1129" s="46" t="s">
        <v>603</v>
      </c>
      <c r="D1129" s="46" t="s">
        <v>649</v>
      </c>
      <c r="E1129" s="46" t="s">
        <v>588</v>
      </c>
      <c r="F1129" s="46" t="s">
        <v>384</v>
      </c>
      <c r="G1129" s="46" t="s">
        <v>9578</v>
      </c>
      <c r="H1129" s="46" t="s">
        <v>886</v>
      </c>
      <c r="I1129" s="46" t="s">
        <v>9579</v>
      </c>
      <c r="J1129" s="49" t="s">
        <v>899</v>
      </c>
      <c r="L1129" s="63">
        <v>2</v>
      </c>
      <c r="M1129" s="134">
        <v>3570000</v>
      </c>
      <c r="N1129" s="64">
        <v>5000000</v>
      </c>
      <c r="O1129" s="47" t="s">
        <v>560</v>
      </c>
      <c r="P1129" s="47" t="s">
        <v>9580</v>
      </c>
      <c r="Q1129" s="62" t="s">
        <v>592</v>
      </c>
      <c r="R1129" s="135" t="s">
        <v>9581</v>
      </c>
      <c r="S1129" s="47" t="s">
        <v>9766</v>
      </c>
      <c r="U1129" s="46" t="s">
        <v>1327</v>
      </c>
      <c r="V1129" s="46"/>
    </row>
    <row r="1130" spans="1:23" s="146" customFormat="1" ht="45" x14ac:dyDescent="0.25">
      <c r="A1130" s="144">
        <v>43070</v>
      </c>
      <c r="B1130" s="145" t="s">
        <v>5176</v>
      </c>
      <c r="C1130" s="146" t="s">
        <v>604</v>
      </c>
      <c r="D1130" s="146" t="s">
        <v>595</v>
      </c>
      <c r="E1130" s="146" t="s">
        <v>1707</v>
      </c>
      <c r="F1130" s="146" t="s">
        <v>9582</v>
      </c>
      <c r="G1130" s="146" t="s">
        <v>9583</v>
      </c>
      <c r="H1130" s="146" t="s">
        <v>8335</v>
      </c>
      <c r="I1130" s="146" t="s">
        <v>1487</v>
      </c>
      <c r="J1130" s="109" t="s">
        <v>604</v>
      </c>
      <c r="K1130" s="109"/>
      <c r="L1130" s="147" t="s">
        <v>833</v>
      </c>
      <c r="M1130" s="148"/>
      <c r="N1130" s="148"/>
      <c r="O1130" s="149" t="s">
        <v>6745</v>
      </c>
      <c r="P1130" s="149" t="s">
        <v>9584</v>
      </c>
      <c r="Q1130" s="145" t="s">
        <v>1939</v>
      </c>
      <c r="R1130" s="149" t="s">
        <v>9585</v>
      </c>
      <c r="S1130" s="149"/>
      <c r="T1130" s="149"/>
      <c r="U1130" s="146" t="s">
        <v>491</v>
      </c>
      <c r="W1130" s="149"/>
    </row>
    <row r="1131" spans="1:23" ht="75" x14ac:dyDescent="0.25">
      <c r="A1131" s="61">
        <v>43070</v>
      </c>
      <c r="B1131" s="62" t="s">
        <v>643</v>
      </c>
      <c r="C1131" s="46" t="s">
        <v>644</v>
      </c>
      <c r="D1131" s="46" t="s">
        <v>645</v>
      </c>
      <c r="E1131" s="46" t="s">
        <v>588</v>
      </c>
      <c r="F1131" s="46" t="s">
        <v>9586</v>
      </c>
      <c r="G1131" s="46" t="s">
        <v>9587</v>
      </c>
      <c r="H1131" s="46" t="s">
        <v>1050</v>
      </c>
      <c r="I1131" s="46" t="s">
        <v>9588</v>
      </c>
      <c r="J1131" s="49" t="s">
        <v>644</v>
      </c>
      <c r="M1131" s="64">
        <v>281300</v>
      </c>
      <c r="N1131" s="64">
        <v>309430</v>
      </c>
      <c r="O1131" s="47" t="s">
        <v>35</v>
      </c>
      <c r="P1131" s="47" t="s">
        <v>9589</v>
      </c>
      <c r="Q1131" s="62" t="s">
        <v>29</v>
      </c>
      <c r="R1131" s="47" t="s">
        <v>9594</v>
      </c>
      <c r="U1131" s="46" t="s">
        <v>491</v>
      </c>
      <c r="V1131" s="46"/>
    </row>
    <row r="1132" spans="1:23" ht="30" x14ac:dyDescent="0.25">
      <c r="A1132" s="61">
        <v>43070</v>
      </c>
      <c r="B1132" s="62" t="s">
        <v>328</v>
      </c>
      <c r="C1132" s="46" t="s">
        <v>603</v>
      </c>
      <c r="D1132" s="46" t="s">
        <v>649</v>
      </c>
      <c r="E1132" s="46" t="s">
        <v>588</v>
      </c>
      <c r="F1132" s="46" t="s">
        <v>9590</v>
      </c>
      <c r="G1132" s="46" t="s">
        <v>8044</v>
      </c>
      <c r="H1132" s="46" t="s">
        <v>607</v>
      </c>
      <c r="I1132" s="46" t="s">
        <v>9591</v>
      </c>
      <c r="J1132" s="49" t="s">
        <v>899</v>
      </c>
      <c r="L1132" s="63">
        <v>9</v>
      </c>
      <c r="M1132" s="64">
        <v>1014000</v>
      </c>
      <c r="N1132" s="64">
        <v>1825200</v>
      </c>
      <c r="O1132" s="47" t="s">
        <v>560</v>
      </c>
      <c r="P1132" s="47" t="s">
        <v>9592</v>
      </c>
      <c r="Q1132" s="62" t="s">
        <v>592</v>
      </c>
      <c r="R1132" s="47" t="s">
        <v>9593</v>
      </c>
      <c r="U1132" s="46" t="s">
        <v>491</v>
      </c>
      <c r="V1132" s="46"/>
    </row>
    <row r="1133" spans="1:23" ht="60" x14ac:dyDescent="0.25">
      <c r="A1133" s="61">
        <v>43070</v>
      </c>
      <c r="B1133" s="62" t="s">
        <v>328</v>
      </c>
      <c r="C1133" s="46" t="s">
        <v>603</v>
      </c>
      <c r="D1133" s="46" t="s">
        <v>649</v>
      </c>
      <c r="E1133" s="46" t="s">
        <v>588</v>
      </c>
      <c r="F1133" s="46" t="s">
        <v>9595</v>
      </c>
      <c r="G1133" s="46" t="s">
        <v>9596</v>
      </c>
      <c r="H1133" s="46" t="s">
        <v>607</v>
      </c>
      <c r="J1133" s="49" t="s">
        <v>3528</v>
      </c>
      <c r="L1133" s="63">
        <v>6</v>
      </c>
      <c r="M1133" s="64">
        <v>200000</v>
      </c>
      <c r="N1133" s="64">
        <v>340000</v>
      </c>
      <c r="O1133" s="47" t="s">
        <v>1844</v>
      </c>
      <c r="P1133" s="47" t="s">
        <v>9597</v>
      </c>
      <c r="Q1133" s="62" t="s">
        <v>1939</v>
      </c>
      <c r="R1133" s="47" t="s">
        <v>9598</v>
      </c>
      <c r="U1133" s="46" t="s">
        <v>1327</v>
      </c>
      <c r="V1133" s="46"/>
    </row>
    <row r="1134" spans="1:23" ht="30" x14ac:dyDescent="0.25">
      <c r="A1134" s="61">
        <v>43070</v>
      </c>
      <c r="B1134" s="62" t="s">
        <v>328</v>
      </c>
      <c r="C1134" s="46" t="s">
        <v>603</v>
      </c>
      <c r="D1134" s="46" t="s">
        <v>649</v>
      </c>
      <c r="E1134" s="46" t="s">
        <v>588</v>
      </c>
      <c r="F1134" s="46" t="s">
        <v>9599</v>
      </c>
      <c r="G1134" s="46" t="s">
        <v>1877</v>
      </c>
      <c r="H1134" s="46" t="s">
        <v>607</v>
      </c>
      <c r="I1134" s="46" t="s">
        <v>9600</v>
      </c>
      <c r="J1134" s="49" t="s">
        <v>899</v>
      </c>
      <c r="L1134" s="63">
        <v>4</v>
      </c>
      <c r="M1134" s="64">
        <v>1600000</v>
      </c>
      <c r="N1134" s="64">
        <v>3010000</v>
      </c>
      <c r="O1134" s="47" t="s">
        <v>560</v>
      </c>
      <c r="P1134" s="47" t="s">
        <v>9601</v>
      </c>
      <c r="Q1134" s="62" t="s">
        <v>592</v>
      </c>
      <c r="R1134" s="47" t="s">
        <v>9602</v>
      </c>
      <c r="U1134" s="46" t="s">
        <v>1327</v>
      </c>
      <c r="V1134" s="46"/>
    </row>
    <row r="1135" spans="1:23" ht="135" x14ac:dyDescent="0.25">
      <c r="A1135" s="61">
        <v>43070</v>
      </c>
      <c r="B1135" s="62" t="s">
        <v>643</v>
      </c>
      <c r="C1135" s="46" t="s">
        <v>644</v>
      </c>
      <c r="D1135" s="46" t="s">
        <v>645</v>
      </c>
      <c r="E1135" s="46" t="s">
        <v>588</v>
      </c>
      <c r="F1135" s="46" t="s">
        <v>9603</v>
      </c>
      <c r="G1135" s="46" t="s">
        <v>9603</v>
      </c>
      <c r="H1135" s="46" t="s">
        <v>1391</v>
      </c>
      <c r="I1135" s="46" t="s">
        <v>9510</v>
      </c>
      <c r="J1135" s="49" t="s">
        <v>644</v>
      </c>
      <c r="L1135" s="63">
        <v>10</v>
      </c>
      <c r="N1135" s="64">
        <v>110000</v>
      </c>
      <c r="O1135" s="47" t="s">
        <v>9604</v>
      </c>
      <c r="P1135" s="47" t="s">
        <v>9605</v>
      </c>
      <c r="Q1135" s="62" t="s">
        <v>29</v>
      </c>
      <c r="R1135" s="47" t="s">
        <v>9606</v>
      </c>
      <c r="U1135" s="46" t="s">
        <v>1327</v>
      </c>
      <c r="V1135" s="46"/>
    </row>
    <row r="1136" spans="1:23" ht="30" x14ac:dyDescent="0.25">
      <c r="A1136" s="61">
        <v>43073</v>
      </c>
      <c r="B1136" s="62" t="s">
        <v>328</v>
      </c>
      <c r="C1136" s="46" t="s">
        <v>603</v>
      </c>
      <c r="D1136" s="46" t="s">
        <v>7595</v>
      </c>
      <c r="E1136" s="46" t="s">
        <v>588</v>
      </c>
      <c r="F1136" s="46" t="s">
        <v>9623</v>
      </c>
      <c r="H1136" s="46" t="s">
        <v>905</v>
      </c>
      <c r="I1136" s="46" t="s">
        <v>6142</v>
      </c>
      <c r="J1136" s="49" t="s">
        <v>3374</v>
      </c>
      <c r="M1136" s="64">
        <v>250000</v>
      </c>
      <c r="N1136" s="64">
        <v>475000</v>
      </c>
      <c r="O1136" s="47" t="s">
        <v>639</v>
      </c>
      <c r="P1136" s="47" t="s">
        <v>9624</v>
      </c>
      <c r="Q1136" s="62" t="s">
        <v>29</v>
      </c>
      <c r="R1136" s="47" t="s">
        <v>9625</v>
      </c>
      <c r="U1136" s="46" t="s">
        <v>491</v>
      </c>
      <c r="V1136" s="46"/>
    </row>
    <row r="1137" spans="1:22" ht="30" x14ac:dyDescent="0.25">
      <c r="A1137" s="61">
        <v>43073</v>
      </c>
      <c r="B1137" s="62" t="s">
        <v>5473</v>
      </c>
      <c r="C1137" s="46" t="s">
        <v>608</v>
      </c>
      <c r="D1137" s="46" t="s">
        <v>605</v>
      </c>
      <c r="E1137" s="46" t="s">
        <v>588</v>
      </c>
      <c r="F1137" s="46" t="s">
        <v>134</v>
      </c>
      <c r="G1137" s="46" t="s">
        <v>9626</v>
      </c>
      <c r="H1137" s="46" t="s">
        <v>5991</v>
      </c>
      <c r="I1137" s="46" t="s">
        <v>9627</v>
      </c>
      <c r="J1137" s="49" t="s">
        <v>602</v>
      </c>
      <c r="L1137" s="63">
        <v>4</v>
      </c>
      <c r="M1137" s="64">
        <v>450000</v>
      </c>
      <c r="N1137" s="64">
        <v>600000</v>
      </c>
      <c r="O1137" s="47" t="s">
        <v>8628</v>
      </c>
      <c r="P1137" s="47" t="s">
        <v>9628</v>
      </c>
      <c r="Q1137" s="62" t="s">
        <v>1939</v>
      </c>
      <c r="R1137" s="47" t="s">
        <v>9629</v>
      </c>
      <c r="S1137" s="47" t="s">
        <v>9630</v>
      </c>
      <c r="U1137" s="46" t="s">
        <v>491</v>
      </c>
      <c r="V1137" s="46"/>
    </row>
    <row r="1138" spans="1:22" ht="45" x14ac:dyDescent="0.25">
      <c r="A1138" s="61">
        <v>43074</v>
      </c>
      <c r="B1138" s="62" t="s">
        <v>5176</v>
      </c>
      <c r="C1138" s="46" t="s">
        <v>959</v>
      </c>
      <c r="D1138" s="46" t="s">
        <v>732</v>
      </c>
      <c r="E1138" s="46" t="s">
        <v>588</v>
      </c>
      <c r="F1138" s="46" t="s">
        <v>9631</v>
      </c>
      <c r="H1138" s="46" t="s">
        <v>905</v>
      </c>
      <c r="I1138" s="46" t="s">
        <v>9632</v>
      </c>
      <c r="J1138" s="49" t="s">
        <v>959</v>
      </c>
      <c r="M1138" s="64">
        <v>485000</v>
      </c>
      <c r="N1138" s="64">
        <v>598500</v>
      </c>
      <c r="O1138" s="47" t="s">
        <v>9633</v>
      </c>
      <c r="P1138" s="47" t="s">
        <v>9634</v>
      </c>
      <c r="Q1138" s="62" t="s">
        <v>592</v>
      </c>
      <c r="U1138" s="46" t="s">
        <v>491</v>
      </c>
      <c r="V1138" s="46"/>
    </row>
    <row r="1139" spans="1:22" ht="75" x14ac:dyDescent="0.25">
      <c r="A1139" s="61">
        <v>43074</v>
      </c>
      <c r="B1139" s="62" t="s">
        <v>9240</v>
      </c>
      <c r="C1139" s="46" t="s">
        <v>603</v>
      </c>
      <c r="D1139" s="46" t="s">
        <v>9241</v>
      </c>
      <c r="E1139" s="46" t="s">
        <v>588</v>
      </c>
      <c r="F1139" s="46" t="s">
        <v>9476</v>
      </c>
      <c r="G1139" s="46" t="s">
        <v>9635</v>
      </c>
      <c r="H1139" s="46" t="s">
        <v>607</v>
      </c>
      <c r="I1139" s="46" t="s">
        <v>6992</v>
      </c>
      <c r="J1139" s="49" t="s">
        <v>603</v>
      </c>
      <c r="L1139" s="63">
        <v>2</v>
      </c>
      <c r="M1139" s="64">
        <v>5362000</v>
      </c>
      <c r="N1139" s="64">
        <v>9000000</v>
      </c>
      <c r="O1139" s="47" t="s">
        <v>6745</v>
      </c>
      <c r="P1139" s="47" t="s">
        <v>9636</v>
      </c>
      <c r="Q1139" s="62" t="s">
        <v>29</v>
      </c>
      <c r="R1139" s="47" t="s">
        <v>9637</v>
      </c>
      <c r="U1139" s="46" t="s">
        <v>491</v>
      </c>
      <c r="V1139" s="46"/>
    </row>
    <row r="1140" spans="1:22" ht="60" x14ac:dyDescent="0.25">
      <c r="A1140" s="61">
        <v>43074</v>
      </c>
      <c r="B1140" s="62" t="s">
        <v>5176</v>
      </c>
      <c r="C1140" s="46" t="s">
        <v>959</v>
      </c>
      <c r="D1140" s="46" t="s">
        <v>732</v>
      </c>
      <c r="E1140" s="46" t="s">
        <v>588</v>
      </c>
      <c r="F1140" s="46" t="s">
        <v>8806</v>
      </c>
      <c r="G1140" s="46" t="s">
        <v>9638</v>
      </c>
      <c r="H1140" s="46" t="s">
        <v>607</v>
      </c>
      <c r="I1140" s="46" t="s">
        <v>6598</v>
      </c>
      <c r="J1140" s="49" t="s">
        <v>959</v>
      </c>
      <c r="L1140" s="63">
        <v>5</v>
      </c>
      <c r="M1140" s="64">
        <v>531000</v>
      </c>
      <c r="N1140" s="64">
        <v>950000</v>
      </c>
      <c r="O1140" s="47" t="s">
        <v>35</v>
      </c>
      <c r="P1140" s="47" t="s">
        <v>9639</v>
      </c>
      <c r="Q1140" s="62" t="s">
        <v>592</v>
      </c>
      <c r="R1140" s="47" t="s">
        <v>9640</v>
      </c>
      <c r="U1140" s="46" t="s">
        <v>491</v>
      </c>
      <c r="V1140" s="46"/>
    </row>
    <row r="1141" spans="1:22" ht="60" x14ac:dyDescent="0.25">
      <c r="A1141" s="61">
        <v>43074</v>
      </c>
      <c r="B1141" s="62" t="s">
        <v>328</v>
      </c>
      <c r="C1141" s="46" t="s">
        <v>603</v>
      </c>
      <c r="D1141" s="46" t="s">
        <v>649</v>
      </c>
      <c r="E1141" s="46" t="s">
        <v>588</v>
      </c>
      <c r="F1141" s="46" t="s">
        <v>9641</v>
      </c>
      <c r="G1141" s="46" t="s">
        <v>256</v>
      </c>
      <c r="H1141" s="46" t="s">
        <v>607</v>
      </c>
      <c r="I1141" s="46" t="s">
        <v>9642</v>
      </c>
      <c r="J1141" s="49" t="s">
        <v>3523</v>
      </c>
      <c r="M1141" s="64">
        <v>700000</v>
      </c>
      <c r="N1141" s="64">
        <v>1400000</v>
      </c>
      <c r="O1141" s="47" t="s">
        <v>9643</v>
      </c>
      <c r="P1141" s="47" t="s">
        <v>9644</v>
      </c>
      <c r="Q1141" s="62" t="s">
        <v>1939</v>
      </c>
      <c r="R1141" s="47" t="s">
        <v>9645</v>
      </c>
      <c r="U1141" s="46" t="s">
        <v>491</v>
      </c>
      <c r="V1141" s="46"/>
    </row>
    <row r="1142" spans="1:22" ht="60" x14ac:dyDescent="0.25">
      <c r="A1142" s="61">
        <v>43074</v>
      </c>
      <c r="B1142" s="62" t="s">
        <v>569</v>
      </c>
      <c r="C1142" s="46" t="s">
        <v>899</v>
      </c>
      <c r="D1142" s="46" t="s">
        <v>625</v>
      </c>
      <c r="E1142" s="46" t="s">
        <v>588</v>
      </c>
      <c r="F1142" s="46" t="s">
        <v>7850</v>
      </c>
      <c r="G1142" s="46" t="s">
        <v>9646</v>
      </c>
      <c r="H1142" s="46" t="s">
        <v>1391</v>
      </c>
      <c r="I1142" s="46" t="s">
        <v>7088</v>
      </c>
      <c r="J1142" s="49" t="s">
        <v>899</v>
      </c>
      <c r="M1142" s="64">
        <v>1100000</v>
      </c>
      <c r="O1142" s="47" t="s">
        <v>9647</v>
      </c>
      <c r="P1142" s="47" t="s">
        <v>9648</v>
      </c>
      <c r="Q1142" s="62" t="s">
        <v>592</v>
      </c>
      <c r="S1142" s="47" t="s">
        <v>9649</v>
      </c>
      <c r="U1142" s="46" t="s">
        <v>491</v>
      </c>
      <c r="V1142" s="46"/>
    </row>
    <row r="1143" spans="1:22" ht="30" x14ac:dyDescent="0.25">
      <c r="A1143" s="61">
        <v>43073</v>
      </c>
      <c r="B1143" s="62" t="s">
        <v>643</v>
      </c>
      <c r="C1143" s="46" t="s">
        <v>644</v>
      </c>
      <c r="D1143" s="46" t="s">
        <v>645</v>
      </c>
      <c r="E1143" s="46" t="s">
        <v>588</v>
      </c>
      <c r="F1143" s="46" t="s">
        <v>9651</v>
      </c>
      <c r="G1143" s="46" t="s">
        <v>9652</v>
      </c>
      <c r="H1143" s="46" t="s">
        <v>809</v>
      </c>
      <c r="I1143" s="46" t="s">
        <v>9653</v>
      </c>
      <c r="J1143" s="49" t="s">
        <v>644</v>
      </c>
      <c r="L1143" s="63">
        <v>2</v>
      </c>
      <c r="M1143" s="64">
        <v>4133000</v>
      </c>
      <c r="N1143" s="64">
        <v>4566300</v>
      </c>
      <c r="O1143" s="47" t="s">
        <v>560</v>
      </c>
      <c r="P1143" s="47" t="s">
        <v>9654</v>
      </c>
      <c r="Q1143" s="62" t="s">
        <v>1939</v>
      </c>
      <c r="R1143" s="47" t="s">
        <v>9655</v>
      </c>
      <c r="U1143" s="46" t="s">
        <v>1327</v>
      </c>
      <c r="V1143" s="46"/>
    </row>
    <row r="1144" spans="1:22" ht="60" x14ac:dyDescent="0.25">
      <c r="A1144" s="61">
        <v>43073</v>
      </c>
      <c r="B1144" s="62" t="s">
        <v>5176</v>
      </c>
      <c r="C1144" s="46" t="s">
        <v>604</v>
      </c>
      <c r="D1144" s="46" t="s">
        <v>595</v>
      </c>
      <c r="E1144" s="46" t="s">
        <v>588</v>
      </c>
      <c r="H1144" s="46" t="s">
        <v>1391</v>
      </c>
      <c r="I1144" s="46" t="s">
        <v>9656</v>
      </c>
      <c r="J1144" s="49" t="s">
        <v>604</v>
      </c>
      <c r="L1144" s="63">
        <v>10</v>
      </c>
      <c r="O1144" s="47" t="s">
        <v>7124</v>
      </c>
      <c r="P1144" s="47" t="s">
        <v>9658</v>
      </c>
      <c r="Q1144" s="62" t="s">
        <v>620</v>
      </c>
      <c r="R1144" s="47" t="s">
        <v>9657</v>
      </c>
      <c r="U1144" s="46" t="s">
        <v>1327</v>
      </c>
      <c r="V1144" s="46"/>
    </row>
    <row r="1145" spans="1:22" ht="120" x14ac:dyDescent="0.25">
      <c r="A1145" s="61">
        <v>43074</v>
      </c>
      <c r="B1145" s="62" t="s">
        <v>328</v>
      </c>
      <c r="C1145" s="46" t="s">
        <v>603</v>
      </c>
      <c r="D1145" s="46" t="s">
        <v>9659</v>
      </c>
      <c r="E1145" s="46" t="s">
        <v>588</v>
      </c>
      <c r="F1145" s="46" t="s">
        <v>9660</v>
      </c>
      <c r="G1145" s="46" t="s">
        <v>9660</v>
      </c>
      <c r="H1145" s="46" t="s">
        <v>809</v>
      </c>
      <c r="I1145" s="46" t="s">
        <v>4016</v>
      </c>
      <c r="J1145" s="49" t="s">
        <v>3370</v>
      </c>
      <c r="L1145" s="63">
        <v>2</v>
      </c>
      <c r="M1145" s="64">
        <v>2707800</v>
      </c>
      <c r="N1145" s="64">
        <v>3519800</v>
      </c>
      <c r="O1145" s="47" t="s">
        <v>9661</v>
      </c>
      <c r="P1145" s="47" t="s">
        <v>9662</v>
      </c>
      <c r="Q1145" s="62" t="s">
        <v>1939</v>
      </c>
      <c r="R1145" s="47" t="s">
        <v>9695</v>
      </c>
      <c r="U1145" s="46" t="s">
        <v>1327</v>
      </c>
      <c r="V1145" s="46"/>
    </row>
    <row r="1146" spans="1:22" ht="105" x14ac:dyDescent="0.25">
      <c r="A1146" s="61">
        <v>43074</v>
      </c>
      <c r="B1146" s="62" t="s">
        <v>328</v>
      </c>
      <c r="C1146" s="46" t="s">
        <v>603</v>
      </c>
      <c r="D1146" s="46" t="s">
        <v>649</v>
      </c>
      <c r="E1146" s="46" t="s">
        <v>588</v>
      </c>
      <c r="F1146" s="46" t="s">
        <v>9664</v>
      </c>
      <c r="G1146" s="46" t="s">
        <v>9663</v>
      </c>
      <c r="H1146" s="46" t="s">
        <v>607</v>
      </c>
      <c r="I1146" s="46" t="s">
        <v>3809</v>
      </c>
      <c r="J1146" s="49" t="s">
        <v>3751</v>
      </c>
      <c r="L1146" s="63">
        <v>6</v>
      </c>
      <c r="M1146" s="64">
        <v>350000</v>
      </c>
      <c r="N1146" s="64">
        <v>595000</v>
      </c>
      <c r="O1146" s="47" t="s">
        <v>754</v>
      </c>
      <c r="P1146" s="47" t="s">
        <v>9665</v>
      </c>
      <c r="Q1146" s="62" t="s">
        <v>29</v>
      </c>
      <c r="R1146" s="47" t="s">
        <v>9666</v>
      </c>
      <c r="U1146" s="46" t="s">
        <v>1327</v>
      </c>
      <c r="V1146" s="46"/>
    </row>
    <row r="1147" spans="1:22" ht="30" x14ac:dyDescent="0.25">
      <c r="A1147" s="61">
        <v>43075</v>
      </c>
      <c r="B1147" s="62" t="s">
        <v>328</v>
      </c>
      <c r="C1147" s="46" t="s">
        <v>603</v>
      </c>
      <c r="D1147" s="46" t="s">
        <v>649</v>
      </c>
      <c r="E1147" s="46" t="s">
        <v>588</v>
      </c>
      <c r="F1147" s="46" t="s">
        <v>9667</v>
      </c>
      <c r="G1147" s="46" t="s">
        <v>9667</v>
      </c>
      <c r="H1147" s="46" t="s">
        <v>905</v>
      </c>
      <c r="I1147" s="46" t="s">
        <v>9668</v>
      </c>
      <c r="J1147" s="49" t="s">
        <v>3533</v>
      </c>
      <c r="L1147" s="63">
        <v>6</v>
      </c>
      <c r="M1147" s="64">
        <v>481000</v>
      </c>
      <c r="N1147" s="64">
        <v>501000</v>
      </c>
      <c r="O1147" s="47" t="s">
        <v>9633</v>
      </c>
      <c r="P1147" s="47" t="s">
        <v>9669</v>
      </c>
      <c r="Q1147" s="62" t="s">
        <v>1939</v>
      </c>
      <c r="R1147" s="47" t="s">
        <v>9670</v>
      </c>
      <c r="U1147" s="46" t="s">
        <v>1327</v>
      </c>
      <c r="V1147" s="46"/>
    </row>
    <row r="1148" spans="1:22" ht="60" x14ac:dyDescent="0.25">
      <c r="A1148" s="61">
        <v>43075</v>
      </c>
      <c r="B1148" s="62" t="s">
        <v>328</v>
      </c>
      <c r="C1148" s="46" t="s">
        <v>603</v>
      </c>
      <c r="D1148" s="46" t="s">
        <v>672</v>
      </c>
      <c r="E1148" s="46" t="s">
        <v>588</v>
      </c>
      <c r="F1148" s="46" t="s">
        <v>9671</v>
      </c>
      <c r="G1148" s="46" t="s">
        <v>8044</v>
      </c>
      <c r="H1148" s="46" t="s">
        <v>607</v>
      </c>
      <c r="I1148" s="46" t="s">
        <v>9672</v>
      </c>
      <c r="J1148" s="49" t="s">
        <v>3373</v>
      </c>
      <c r="L1148" s="63">
        <v>9</v>
      </c>
      <c r="M1148" s="64">
        <v>1880400</v>
      </c>
      <c r="N1148" s="64">
        <v>3383720</v>
      </c>
      <c r="O1148" s="47" t="s">
        <v>560</v>
      </c>
      <c r="P1148" s="47" t="s">
        <v>9673</v>
      </c>
      <c r="Q1148" s="62" t="s">
        <v>1939</v>
      </c>
      <c r="R1148" s="47" t="s">
        <v>9674</v>
      </c>
      <c r="U1148" s="46" t="s">
        <v>1327</v>
      </c>
      <c r="V1148" s="46"/>
    </row>
    <row r="1149" spans="1:22" ht="30" x14ac:dyDescent="0.25">
      <c r="A1149" s="61">
        <v>43075</v>
      </c>
      <c r="B1149" s="62" t="s">
        <v>5992</v>
      </c>
      <c r="C1149" s="46" t="s">
        <v>608</v>
      </c>
      <c r="D1149" s="46" t="s">
        <v>7858</v>
      </c>
      <c r="E1149" s="46" t="s">
        <v>588</v>
      </c>
      <c r="F1149" s="46" t="s">
        <v>9675</v>
      </c>
      <c r="G1149" s="46" t="s">
        <v>9676</v>
      </c>
      <c r="H1149" s="46" t="s">
        <v>607</v>
      </c>
      <c r="I1149" s="46" t="s">
        <v>6220</v>
      </c>
      <c r="J1149" s="49" t="s">
        <v>608</v>
      </c>
      <c r="M1149" s="64">
        <v>421000</v>
      </c>
      <c r="N1149" s="64">
        <v>757800</v>
      </c>
      <c r="O1149" s="47" t="s">
        <v>9534</v>
      </c>
      <c r="P1149" s="47" t="s">
        <v>9677</v>
      </c>
      <c r="Q1149" s="62" t="s">
        <v>1939</v>
      </c>
      <c r="R1149" s="47" t="s">
        <v>9248</v>
      </c>
      <c r="U1149" s="46" t="s">
        <v>1327</v>
      </c>
      <c r="V1149" s="46"/>
    </row>
    <row r="1150" spans="1:22" ht="60" x14ac:dyDescent="0.25">
      <c r="A1150" s="61">
        <v>43075</v>
      </c>
      <c r="B1150" s="62" t="s">
        <v>328</v>
      </c>
      <c r="C1150" s="46" t="s">
        <v>603</v>
      </c>
      <c r="D1150" s="46" t="s">
        <v>7595</v>
      </c>
      <c r="E1150" s="46" t="s">
        <v>588</v>
      </c>
      <c r="F1150" s="46" t="s">
        <v>9683</v>
      </c>
      <c r="G1150" s="46" t="s">
        <v>9682</v>
      </c>
      <c r="H1150" s="46" t="s">
        <v>1391</v>
      </c>
      <c r="I1150" s="46" t="s">
        <v>9681</v>
      </c>
      <c r="J1150" s="49" t="s">
        <v>899</v>
      </c>
      <c r="L1150" s="63">
        <v>10</v>
      </c>
      <c r="M1150" s="64">
        <v>3000000</v>
      </c>
      <c r="N1150" s="134">
        <v>4850000</v>
      </c>
      <c r="O1150" s="47" t="s">
        <v>9189</v>
      </c>
      <c r="P1150" s="47" t="s">
        <v>9680</v>
      </c>
      <c r="Q1150" s="62" t="s">
        <v>1939</v>
      </c>
      <c r="R1150" s="47" t="s">
        <v>9679</v>
      </c>
      <c r="U1150" s="46" t="s">
        <v>1327</v>
      </c>
      <c r="V1150" s="46"/>
    </row>
    <row r="1151" spans="1:22" ht="90" x14ac:dyDescent="0.25">
      <c r="A1151" s="61">
        <v>43075</v>
      </c>
      <c r="B1151" s="62" t="s">
        <v>328</v>
      </c>
      <c r="C1151" s="46" t="s">
        <v>603</v>
      </c>
      <c r="D1151" s="46" t="s">
        <v>7595</v>
      </c>
      <c r="E1151" s="46" t="s">
        <v>588</v>
      </c>
      <c r="F1151" s="46" t="s">
        <v>9687</v>
      </c>
      <c r="G1151" s="46" t="s">
        <v>9687</v>
      </c>
      <c r="H1151" s="46" t="s">
        <v>4132</v>
      </c>
      <c r="I1151" s="46" t="s">
        <v>4042</v>
      </c>
      <c r="J1151" s="49" t="s">
        <v>899</v>
      </c>
      <c r="L1151" s="63">
        <v>10</v>
      </c>
      <c r="M1151" s="64">
        <v>160000</v>
      </c>
      <c r="N1151" s="118">
        <v>272000</v>
      </c>
      <c r="O1151" s="47" t="s">
        <v>9685</v>
      </c>
      <c r="P1151" s="47" t="s">
        <v>9686</v>
      </c>
      <c r="Q1151" s="62" t="s">
        <v>1939</v>
      </c>
      <c r="R1151" s="47" t="s">
        <v>9684</v>
      </c>
      <c r="U1151" s="46" t="s">
        <v>1327</v>
      </c>
      <c r="V1151" s="46"/>
    </row>
    <row r="1152" spans="1:22" ht="45" x14ac:dyDescent="0.25">
      <c r="A1152" s="61">
        <v>43076</v>
      </c>
      <c r="B1152" s="62" t="s">
        <v>328</v>
      </c>
      <c r="C1152" s="46" t="s">
        <v>603</v>
      </c>
      <c r="D1152" s="46" t="s">
        <v>672</v>
      </c>
      <c r="E1152" s="46" t="s">
        <v>588</v>
      </c>
      <c r="F1152" s="46" t="s">
        <v>9688</v>
      </c>
      <c r="G1152" s="46" t="s">
        <v>9689</v>
      </c>
      <c r="H1152" s="46" t="s">
        <v>607</v>
      </c>
      <c r="I1152" s="46" t="s">
        <v>9690</v>
      </c>
      <c r="J1152" s="49" t="s">
        <v>899</v>
      </c>
      <c r="L1152" s="63">
        <v>4</v>
      </c>
      <c r="M1152" s="64">
        <v>3105000</v>
      </c>
      <c r="N1152" s="174">
        <v>5000000</v>
      </c>
      <c r="O1152" s="47" t="s">
        <v>560</v>
      </c>
      <c r="P1152" s="47" t="s">
        <v>9691</v>
      </c>
      <c r="Q1152" s="62" t="s">
        <v>592</v>
      </c>
      <c r="R1152" s="47" t="s">
        <v>9692</v>
      </c>
      <c r="U1152" s="46" t="s">
        <v>1327</v>
      </c>
      <c r="V1152" s="46"/>
    </row>
    <row r="1153" spans="1:23" x14ac:dyDescent="0.25">
      <c r="A1153" s="61">
        <v>43076</v>
      </c>
      <c r="B1153" s="62" t="s">
        <v>569</v>
      </c>
      <c r="C1153" s="46" t="s">
        <v>899</v>
      </c>
      <c r="D1153" s="46" t="s">
        <v>625</v>
      </c>
      <c r="E1153" s="46" t="s">
        <v>588</v>
      </c>
      <c r="F1153" s="46" t="s">
        <v>9696</v>
      </c>
      <c r="G1153" s="46" t="s">
        <v>9350</v>
      </c>
      <c r="H1153" s="46" t="s">
        <v>607</v>
      </c>
      <c r="I1153" s="46" t="s">
        <v>3837</v>
      </c>
      <c r="J1153" s="49" t="s">
        <v>899</v>
      </c>
      <c r="L1153" s="63">
        <v>4</v>
      </c>
      <c r="M1153" s="64">
        <v>1406000</v>
      </c>
      <c r="N1153" s="64">
        <v>4200000</v>
      </c>
      <c r="O1153" s="47" t="s">
        <v>560</v>
      </c>
      <c r="P1153" s="47" t="s">
        <v>9697</v>
      </c>
      <c r="Q1153" s="62" t="s">
        <v>592</v>
      </c>
      <c r="R1153" s="47" t="s">
        <v>9698</v>
      </c>
      <c r="U1153" s="46" t="s">
        <v>1327</v>
      </c>
      <c r="V1153" s="46"/>
    </row>
    <row r="1154" spans="1:23" ht="45" x14ac:dyDescent="0.25">
      <c r="A1154" s="61">
        <v>43077</v>
      </c>
      <c r="B1154" s="62" t="s">
        <v>569</v>
      </c>
      <c r="C1154" s="46" t="s">
        <v>899</v>
      </c>
      <c r="D1154" s="46" t="s">
        <v>625</v>
      </c>
      <c r="E1154" s="46" t="s">
        <v>588</v>
      </c>
      <c r="F1154" s="46" t="s">
        <v>9699</v>
      </c>
      <c r="G1154" s="46" t="s">
        <v>9700</v>
      </c>
      <c r="H1154" s="46" t="s">
        <v>607</v>
      </c>
      <c r="I1154" s="46" t="s">
        <v>3649</v>
      </c>
      <c r="J1154" s="49" t="s">
        <v>899</v>
      </c>
      <c r="M1154" s="64">
        <v>2647200</v>
      </c>
      <c r="N1154" s="64">
        <v>3726640</v>
      </c>
      <c r="O1154" s="47" t="s">
        <v>560</v>
      </c>
      <c r="P1154" s="47" t="s">
        <v>9701</v>
      </c>
      <c r="Q1154" s="62" t="s">
        <v>29</v>
      </c>
      <c r="R1154" s="47" t="s">
        <v>9702</v>
      </c>
      <c r="U1154" s="46" t="s">
        <v>1327</v>
      </c>
      <c r="V1154" s="46"/>
    </row>
    <row r="1155" spans="1:23" ht="30" x14ac:dyDescent="0.25">
      <c r="A1155" s="61">
        <v>43077</v>
      </c>
      <c r="B1155" s="62" t="s">
        <v>328</v>
      </c>
      <c r="C1155" s="46" t="s">
        <v>603</v>
      </c>
      <c r="D1155" s="46" t="s">
        <v>649</v>
      </c>
      <c r="E1155" s="46" t="s">
        <v>588</v>
      </c>
      <c r="F1155" s="46" t="s">
        <v>9002</v>
      </c>
      <c r="G1155" s="46" t="s">
        <v>9703</v>
      </c>
      <c r="H1155" s="46" t="s">
        <v>607</v>
      </c>
      <c r="J1155" s="49" t="s">
        <v>899</v>
      </c>
      <c r="L1155" s="63">
        <v>2</v>
      </c>
      <c r="M1155" s="134">
        <v>2710000</v>
      </c>
      <c r="N1155" s="174">
        <v>4910000</v>
      </c>
      <c r="O1155" s="47" t="s">
        <v>560</v>
      </c>
      <c r="P1155" s="47" t="s">
        <v>9704</v>
      </c>
      <c r="Q1155" s="62" t="s">
        <v>592</v>
      </c>
      <c r="R1155" s="47" t="s">
        <v>9705</v>
      </c>
      <c r="U1155" s="46" t="s">
        <v>1327</v>
      </c>
      <c r="V1155" s="46"/>
    </row>
    <row r="1156" spans="1:23" ht="30" x14ac:dyDescent="0.25">
      <c r="A1156" s="61">
        <v>43077</v>
      </c>
      <c r="B1156" s="62" t="s">
        <v>5992</v>
      </c>
      <c r="C1156" s="46" t="s">
        <v>608</v>
      </c>
      <c r="D1156" s="46" t="s">
        <v>7858</v>
      </c>
      <c r="E1156" s="46" t="s">
        <v>588</v>
      </c>
      <c r="F1156" s="46" t="s">
        <v>8776</v>
      </c>
      <c r="G1156" s="46" t="s">
        <v>9706</v>
      </c>
      <c r="H1156" s="46" t="s">
        <v>607</v>
      </c>
      <c r="J1156" s="49" t="s">
        <v>608</v>
      </c>
      <c r="O1156" s="47" t="s">
        <v>9707</v>
      </c>
      <c r="P1156" s="47" t="s">
        <v>9708</v>
      </c>
      <c r="Q1156" s="62" t="s">
        <v>592</v>
      </c>
      <c r="R1156" s="47" t="s">
        <v>9709</v>
      </c>
      <c r="U1156" s="46" t="s">
        <v>1327</v>
      </c>
      <c r="V1156" s="46"/>
    </row>
    <row r="1157" spans="1:23" ht="30" x14ac:dyDescent="0.25">
      <c r="A1157" s="61">
        <v>43077</v>
      </c>
      <c r="B1157" s="62" t="s">
        <v>328</v>
      </c>
      <c r="C1157" s="46" t="s">
        <v>603</v>
      </c>
      <c r="D1157" s="46" t="s">
        <v>649</v>
      </c>
      <c r="E1157" s="46" t="s">
        <v>588</v>
      </c>
      <c r="F1157" s="46" t="s">
        <v>9711</v>
      </c>
      <c r="G1157" s="46" t="s">
        <v>9711</v>
      </c>
      <c r="H1157" s="46" t="s">
        <v>1391</v>
      </c>
      <c r="I1157" s="46" t="s">
        <v>9713</v>
      </c>
      <c r="J1157" s="49" t="s">
        <v>644</v>
      </c>
      <c r="L1157" s="63">
        <v>2</v>
      </c>
      <c r="M1157" s="64">
        <v>2400000</v>
      </c>
      <c r="N1157" s="132">
        <v>4560000</v>
      </c>
      <c r="O1157" s="47" t="s">
        <v>560</v>
      </c>
      <c r="P1157" s="47" t="s">
        <v>9710</v>
      </c>
      <c r="Q1157" s="62" t="s">
        <v>592</v>
      </c>
      <c r="R1157" s="47" t="s">
        <v>9712</v>
      </c>
      <c r="U1157" s="46" t="s">
        <v>1327</v>
      </c>
      <c r="V1157" s="46"/>
    </row>
    <row r="1158" spans="1:23" ht="90" x14ac:dyDescent="0.25">
      <c r="A1158" s="61">
        <v>43077</v>
      </c>
      <c r="B1158" s="62" t="s">
        <v>569</v>
      </c>
      <c r="C1158" s="46" t="s">
        <v>899</v>
      </c>
      <c r="D1158" s="46" t="s">
        <v>930</v>
      </c>
      <c r="E1158" s="46" t="s">
        <v>1707</v>
      </c>
      <c r="F1158" s="46" t="s">
        <v>9714</v>
      </c>
      <c r="H1158" s="46" t="s">
        <v>2295</v>
      </c>
      <c r="N1158" s="64">
        <v>1700000</v>
      </c>
      <c r="O1158" s="47" t="s">
        <v>5926</v>
      </c>
      <c r="P1158" s="47" t="s">
        <v>9919</v>
      </c>
      <c r="Q1158" s="62" t="s">
        <v>1939</v>
      </c>
      <c r="R1158" s="47" t="s">
        <v>9715</v>
      </c>
      <c r="U1158" s="46" t="s">
        <v>1327</v>
      </c>
      <c r="V1158" s="46"/>
    </row>
    <row r="1159" spans="1:23" ht="75" x14ac:dyDescent="0.25">
      <c r="A1159" s="61">
        <v>43077</v>
      </c>
      <c r="B1159" s="62" t="s">
        <v>328</v>
      </c>
      <c r="C1159" s="46" t="s">
        <v>603</v>
      </c>
      <c r="D1159" s="46" t="s">
        <v>649</v>
      </c>
      <c r="E1159" s="46" t="s">
        <v>588</v>
      </c>
      <c r="F1159" s="46" t="s">
        <v>9718</v>
      </c>
      <c r="G1159" s="46" t="s">
        <v>9717</v>
      </c>
      <c r="H1159" s="46" t="s">
        <v>905</v>
      </c>
      <c r="I1159" s="46" t="s">
        <v>8144</v>
      </c>
      <c r="J1159" s="49" t="s">
        <v>899</v>
      </c>
      <c r="L1159" s="63">
        <v>2</v>
      </c>
      <c r="M1159" s="64">
        <v>351000</v>
      </c>
      <c r="N1159" s="64">
        <v>421200</v>
      </c>
      <c r="O1159" s="47" t="s">
        <v>9716</v>
      </c>
      <c r="P1159" s="47" t="s">
        <v>9920</v>
      </c>
      <c r="Q1159" s="62" t="s">
        <v>1939</v>
      </c>
      <c r="R1159" s="47" t="s">
        <v>9921</v>
      </c>
      <c r="U1159" s="46" t="s">
        <v>1327</v>
      </c>
      <c r="V1159" s="46"/>
    </row>
    <row r="1160" spans="1:23" ht="60" x14ac:dyDescent="0.25">
      <c r="A1160" s="61">
        <v>43077</v>
      </c>
      <c r="B1160" s="62" t="s">
        <v>569</v>
      </c>
      <c r="C1160" s="46" t="s">
        <v>899</v>
      </c>
      <c r="D1160" s="46" t="s">
        <v>625</v>
      </c>
      <c r="E1160" s="46" t="s">
        <v>588</v>
      </c>
      <c r="F1160" s="46" t="s">
        <v>9719</v>
      </c>
      <c r="G1160" s="46" t="s">
        <v>9720</v>
      </c>
      <c r="H1160" s="46" t="s">
        <v>1050</v>
      </c>
      <c r="I1160" s="46" t="s">
        <v>4237</v>
      </c>
      <c r="J1160" s="49" t="s">
        <v>899</v>
      </c>
      <c r="L1160" s="63">
        <v>2</v>
      </c>
      <c r="M1160" s="64">
        <v>1700000</v>
      </c>
      <c r="N1160" s="64">
        <v>1870000</v>
      </c>
      <c r="O1160" s="47" t="s">
        <v>5926</v>
      </c>
      <c r="P1160" s="47" t="s">
        <v>9721</v>
      </c>
      <c r="Q1160" s="62" t="s">
        <v>1939</v>
      </c>
      <c r="R1160" s="47" t="s">
        <v>9722</v>
      </c>
      <c r="U1160" s="46" t="s">
        <v>1327</v>
      </c>
      <c r="V1160" s="46"/>
    </row>
    <row r="1161" spans="1:23" ht="30" x14ac:dyDescent="0.25">
      <c r="A1161" s="61">
        <v>43077</v>
      </c>
      <c r="B1161" s="62" t="s">
        <v>569</v>
      </c>
      <c r="C1161" s="46" t="s">
        <v>899</v>
      </c>
      <c r="D1161" s="46" t="s">
        <v>625</v>
      </c>
      <c r="E1161" s="46" t="s">
        <v>588</v>
      </c>
      <c r="F1161" s="46" t="s">
        <v>9723</v>
      </c>
      <c r="G1161" s="46" t="s">
        <v>9724</v>
      </c>
      <c r="H1161" s="46" t="s">
        <v>607</v>
      </c>
      <c r="I1161" s="46" t="s">
        <v>9725</v>
      </c>
      <c r="J1161" s="49" t="s">
        <v>899</v>
      </c>
      <c r="M1161" s="64">
        <v>655000</v>
      </c>
      <c r="N1161" s="64">
        <v>1113500</v>
      </c>
      <c r="O1161" s="47" t="s">
        <v>3107</v>
      </c>
      <c r="P1161" s="47" t="s">
        <v>9726</v>
      </c>
      <c r="Q1161" s="62" t="s">
        <v>1939</v>
      </c>
      <c r="R1161" s="47" t="s">
        <v>9727</v>
      </c>
      <c r="U1161" s="46" t="s">
        <v>1327</v>
      </c>
      <c r="V1161" s="46"/>
    </row>
    <row r="1162" spans="1:23" ht="60" x14ac:dyDescent="0.25">
      <c r="A1162" s="61">
        <v>43077</v>
      </c>
      <c r="B1162" s="62" t="s">
        <v>328</v>
      </c>
      <c r="C1162" s="46" t="s">
        <v>603</v>
      </c>
      <c r="D1162" s="46" t="s">
        <v>2397</v>
      </c>
      <c r="E1162" s="46" t="s">
        <v>588</v>
      </c>
      <c r="F1162" s="46" t="s">
        <v>9728</v>
      </c>
      <c r="G1162" s="46" t="s">
        <v>9729</v>
      </c>
      <c r="H1162" s="46" t="s">
        <v>607</v>
      </c>
      <c r="I1162" s="46" t="s">
        <v>9730</v>
      </c>
      <c r="J1162" s="49" t="s">
        <v>899</v>
      </c>
      <c r="L1162" s="63">
        <v>10</v>
      </c>
      <c r="M1162" s="64">
        <v>781000</v>
      </c>
      <c r="N1162" s="64">
        <v>1327700</v>
      </c>
      <c r="O1162" s="47" t="s">
        <v>7124</v>
      </c>
      <c r="P1162" s="115" t="s">
        <v>9731</v>
      </c>
      <c r="Q1162" s="62" t="s">
        <v>1939</v>
      </c>
      <c r="R1162" s="47" t="s">
        <v>9732</v>
      </c>
      <c r="U1162" s="46" t="s">
        <v>1327</v>
      </c>
      <c r="V1162" s="46"/>
    </row>
    <row r="1163" spans="1:23" x14ac:dyDescent="0.25">
      <c r="A1163" s="61">
        <v>43080</v>
      </c>
      <c r="B1163" s="62" t="s">
        <v>110</v>
      </c>
      <c r="C1163" s="46" t="s">
        <v>761</v>
      </c>
      <c r="D1163" s="46" t="s">
        <v>715</v>
      </c>
      <c r="E1163" s="46" t="s">
        <v>588</v>
      </c>
      <c r="F1163" s="46" t="s">
        <v>4861</v>
      </c>
      <c r="G1163" s="46" t="s">
        <v>9733</v>
      </c>
      <c r="H1163" s="46" t="s">
        <v>607</v>
      </c>
      <c r="I1163" s="46" t="s">
        <v>9734</v>
      </c>
      <c r="J1163" s="49" t="s">
        <v>4785</v>
      </c>
      <c r="L1163" s="63">
        <v>10</v>
      </c>
      <c r="M1163" s="64">
        <v>384000</v>
      </c>
      <c r="N1163" s="64">
        <v>652800</v>
      </c>
      <c r="O1163" s="47" t="s">
        <v>7124</v>
      </c>
      <c r="P1163" s="47" t="s">
        <v>2886</v>
      </c>
      <c r="Q1163" s="62" t="s">
        <v>620</v>
      </c>
      <c r="R1163" s="47" t="s">
        <v>9735</v>
      </c>
      <c r="U1163" s="46" t="s">
        <v>1327</v>
      </c>
      <c r="V1163" s="46"/>
    </row>
    <row r="1164" spans="1:23" ht="105" x14ac:dyDescent="0.25">
      <c r="A1164" s="61">
        <v>43080</v>
      </c>
      <c r="B1164" s="62" t="s">
        <v>328</v>
      </c>
      <c r="C1164" s="46" t="s">
        <v>603</v>
      </c>
      <c r="D1164" s="46" t="s">
        <v>672</v>
      </c>
      <c r="E1164" s="46" t="s">
        <v>588</v>
      </c>
      <c r="F1164" s="46" t="s">
        <v>134</v>
      </c>
      <c r="G1164" s="46" t="s">
        <v>9736</v>
      </c>
      <c r="H1164" s="46" t="s">
        <v>607</v>
      </c>
      <c r="I1164" s="46" t="s">
        <v>5366</v>
      </c>
      <c r="J1164" s="49" t="s">
        <v>899</v>
      </c>
      <c r="L1164" s="63">
        <v>3</v>
      </c>
      <c r="M1164" s="64">
        <v>450000</v>
      </c>
      <c r="N1164" s="132">
        <v>900000</v>
      </c>
      <c r="O1164" s="47" t="s">
        <v>4533</v>
      </c>
      <c r="P1164" s="47" t="s">
        <v>9737</v>
      </c>
      <c r="Q1164" s="62" t="s">
        <v>1939</v>
      </c>
      <c r="R1164" s="47" t="s">
        <v>9738</v>
      </c>
      <c r="U1164" s="46" t="s">
        <v>1327</v>
      </c>
      <c r="V1164" s="46"/>
    </row>
    <row r="1165" spans="1:23" ht="30" x14ac:dyDescent="0.25">
      <c r="A1165" s="45">
        <v>43080</v>
      </c>
      <c r="B1165" s="62" t="s">
        <v>569</v>
      </c>
      <c r="C1165" s="45" t="s">
        <v>899</v>
      </c>
      <c r="D1165" s="46" t="s">
        <v>625</v>
      </c>
      <c r="E1165" s="46" t="s">
        <v>588</v>
      </c>
      <c r="F1165" s="47" t="s">
        <v>9739</v>
      </c>
      <c r="G1165" s="48" t="s">
        <v>9740</v>
      </c>
      <c r="H1165" s="46" t="s">
        <v>905</v>
      </c>
      <c r="I1165" s="170" t="s">
        <v>3388</v>
      </c>
      <c r="J1165" s="46" t="s">
        <v>899</v>
      </c>
      <c r="K1165" s="46"/>
      <c r="L1165" s="49">
        <v>3</v>
      </c>
      <c r="M1165" s="171">
        <v>2038200</v>
      </c>
      <c r="N1165" s="51" t="s">
        <v>833</v>
      </c>
      <c r="O1165" s="50" t="s">
        <v>2117</v>
      </c>
      <c r="P1165" s="65" t="s">
        <v>9741</v>
      </c>
      <c r="Q1165" s="46" t="s">
        <v>592</v>
      </c>
      <c r="S1165" s="46" t="s">
        <v>833</v>
      </c>
      <c r="T1165" s="46"/>
      <c r="U1165" s="47" t="s">
        <v>491</v>
      </c>
      <c r="V1165" s="46"/>
      <c r="W1165" s="46"/>
    </row>
    <row r="1166" spans="1:23" ht="75" x14ac:dyDescent="0.25">
      <c r="A1166" s="61">
        <v>43082</v>
      </c>
      <c r="B1166" s="62" t="s">
        <v>569</v>
      </c>
      <c r="C1166" s="46" t="s">
        <v>899</v>
      </c>
      <c r="D1166" s="46" t="s">
        <v>625</v>
      </c>
      <c r="E1166" s="46" t="s">
        <v>692</v>
      </c>
      <c r="F1166" s="46" t="s">
        <v>9746</v>
      </c>
      <c r="G1166" s="46" t="s">
        <v>7662</v>
      </c>
      <c r="H1166" s="46" t="s">
        <v>607</v>
      </c>
      <c r="I1166" s="46" t="s">
        <v>3649</v>
      </c>
      <c r="J1166" s="49" t="s">
        <v>899</v>
      </c>
      <c r="L1166" s="63">
        <v>4</v>
      </c>
      <c r="M1166" s="64">
        <v>850000</v>
      </c>
      <c r="N1166" s="64">
        <v>1660000</v>
      </c>
      <c r="O1166" s="47" t="s">
        <v>9747</v>
      </c>
      <c r="P1166" s="47" t="s">
        <v>9748</v>
      </c>
      <c r="Q1166" s="62" t="s">
        <v>29</v>
      </c>
      <c r="R1166" s="47" t="s">
        <v>9749</v>
      </c>
      <c r="S1166" s="47" t="s">
        <v>833</v>
      </c>
      <c r="U1166" s="46" t="s">
        <v>491</v>
      </c>
      <c r="V1166" s="46"/>
    </row>
    <row r="1167" spans="1:23" ht="105" x14ac:dyDescent="0.25">
      <c r="A1167" s="61">
        <v>43083</v>
      </c>
      <c r="B1167" s="62" t="s">
        <v>569</v>
      </c>
      <c r="C1167" s="46" t="s">
        <v>899</v>
      </c>
      <c r="D1167" s="46" t="s">
        <v>3505</v>
      </c>
      <c r="E1167" s="46" t="s">
        <v>588</v>
      </c>
      <c r="F1167" s="46" t="s">
        <v>9750</v>
      </c>
      <c r="G1167" s="46" t="s">
        <v>8289</v>
      </c>
      <c r="H1167" s="46" t="s">
        <v>1819</v>
      </c>
      <c r="I1167" s="46" t="s">
        <v>3649</v>
      </c>
      <c r="J1167" s="49" t="s">
        <v>899</v>
      </c>
      <c r="M1167" s="64">
        <v>520470</v>
      </c>
      <c r="N1167" s="64">
        <v>700000</v>
      </c>
      <c r="O1167" s="47" t="s">
        <v>695</v>
      </c>
      <c r="P1167" s="47" t="s">
        <v>9751</v>
      </c>
      <c r="Q1167" s="62" t="s">
        <v>592</v>
      </c>
      <c r="R1167" s="47" t="s">
        <v>9752</v>
      </c>
      <c r="U1167" s="46" t="s">
        <v>491</v>
      </c>
      <c r="V1167" s="46"/>
    </row>
    <row r="1168" spans="1:23" ht="75" x14ac:dyDescent="0.25">
      <c r="A1168" s="61">
        <v>43081</v>
      </c>
      <c r="B1168" s="62" t="s">
        <v>328</v>
      </c>
      <c r="C1168" s="46" t="s">
        <v>603</v>
      </c>
      <c r="D1168" s="46" t="s">
        <v>649</v>
      </c>
      <c r="E1168" s="46" t="s">
        <v>588</v>
      </c>
      <c r="F1168" s="58" t="s">
        <v>9754</v>
      </c>
      <c r="G1168" t="s">
        <v>9753</v>
      </c>
      <c r="H1168" s="46" t="s">
        <v>905</v>
      </c>
      <c r="I1168" s="46" t="s">
        <v>8581</v>
      </c>
      <c r="J1168" s="49" t="s">
        <v>3533</v>
      </c>
      <c r="L1168" s="63">
        <v>2</v>
      </c>
      <c r="M1168" s="64">
        <v>403000</v>
      </c>
      <c r="N1168" s="64">
        <v>423000</v>
      </c>
      <c r="O1168" s="47" t="s">
        <v>1844</v>
      </c>
      <c r="P1168" s="47" t="s">
        <v>9755</v>
      </c>
      <c r="Q1168" s="62" t="s">
        <v>29</v>
      </c>
      <c r="R1168" s="47" t="s">
        <v>9756</v>
      </c>
      <c r="U1168" s="46" t="s">
        <v>1327</v>
      </c>
      <c r="V1168" s="46"/>
    </row>
    <row r="1169" spans="1:22" ht="45" x14ac:dyDescent="0.25">
      <c r="A1169" s="61">
        <v>43081</v>
      </c>
      <c r="B1169" s="62" t="s">
        <v>328</v>
      </c>
      <c r="C1169" s="46" t="s">
        <v>603</v>
      </c>
      <c r="D1169" s="46" t="s">
        <v>649</v>
      </c>
      <c r="E1169" s="46" t="s">
        <v>588</v>
      </c>
      <c r="F1169" s="46" t="s">
        <v>9019</v>
      </c>
      <c r="G1169" s="46" t="s">
        <v>2186</v>
      </c>
      <c r="H1169" s="46" t="s">
        <v>607</v>
      </c>
      <c r="I1169" s="46" t="s">
        <v>9757</v>
      </c>
      <c r="J1169" s="49" t="s">
        <v>3523</v>
      </c>
      <c r="L1169" s="63">
        <v>10</v>
      </c>
      <c r="M1169" s="64">
        <v>414000</v>
      </c>
      <c r="N1169" s="64">
        <v>745200</v>
      </c>
      <c r="O1169" s="47" t="s">
        <v>3871</v>
      </c>
      <c r="P1169" s="47" t="s">
        <v>9758</v>
      </c>
      <c r="Q1169" s="62" t="s">
        <v>592</v>
      </c>
      <c r="R1169" s="47" t="s">
        <v>9759</v>
      </c>
      <c r="U1169" s="46" t="s">
        <v>1327</v>
      </c>
      <c r="V1169" s="46"/>
    </row>
    <row r="1170" spans="1:22" ht="45" x14ac:dyDescent="0.25">
      <c r="A1170" s="61">
        <v>43081</v>
      </c>
      <c r="B1170" s="62" t="s">
        <v>328</v>
      </c>
      <c r="C1170" s="46" t="s">
        <v>603</v>
      </c>
      <c r="D1170" s="46" t="s">
        <v>649</v>
      </c>
      <c r="E1170" s="46" t="s">
        <v>588</v>
      </c>
      <c r="F1170" s="46" t="s">
        <v>9760</v>
      </c>
      <c r="G1170" s="46" t="s">
        <v>9761</v>
      </c>
      <c r="H1170" s="46" t="s">
        <v>607</v>
      </c>
      <c r="I1170" s="46" t="s">
        <v>9762</v>
      </c>
      <c r="J1170" s="49" t="s">
        <v>899</v>
      </c>
      <c r="L1170" s="63">
        <v>7</v>
      </c>
      <c r="M1170" s="64">
        <v>550000</v>
      </c>
      <c r="N1170" s="64">
        <v>1100000</v>
      </c>
      <c r="O1170" s="47" t="s">
        <v>9763</v>
      </c>
      <c r="P1170" s="47" t="s">
        <v>9764</v>
      </c>
      <c r="Q1170" s="62" t="s">
        <v>1939</v>
      </c>
      <c r="R1170" s="47" t="s">
        <v>9765</v>
      </c>
      <c r="U1170" s="46" t="s">
        <v>1327</v>
      </c>
      <c r="V1170" s="46"/>
    </row>
    <row r="1171" spans="1:22" ht="45" x14ac:dyDescent="0.25">
      <c r="A1171" s="61">
        <v>43082</v>
      </c>
      <c r="B1171" s="62" t="s">
        <v>328</v>
      </c>
      <c r="C1171" s="46" t="s">
        <v>603</v>
      </c>
      <c r="D1171" s="46" t="s">
        <v>672</v>
      </c>
      <c r="E1171" s="46" t="s">
        <v>588</v>
      </c>
      <c r="F1171" s="46" t="s">
        <v>9767</v>
      </c>
      <c r="G1171" s="46" t="s">
        <v>9768</v>
      </c>
      <c r="H1171" s="46" t="s">
        <v>1391</v>
      </c>
      <c r="I1171" s="46" t="s">
        <v>9769</v>
      </c>
      <c r="J1171" s="49" t="s">
        <v>899</v>
      </c>
      <c r="L1171" s="63">
        <v>9</v>
      </c>
      <c r="M1171" s="64">
        <v>1917300</v>
      </c>
      <c r="N1171" s="64">
        <v>2992490</v>
      </c>
      <c r="O1171" s="47" t="s">
        <v>9189</v>
      </c>
      <c r="P1171" s="135" t="s">
        <v>9770</v>
      </c>
      <c r="Q1171" s="62" t="s">
        <v>592</v>
      </c>
      <c r="R1171" s="47" t="s">
        <v>9516</v>
      </c>
      <c r="U1171" s="46" t="s">
        <v>1327</v>
      </c>
      <c r="V1171" s="46"/>
    </row>
    <row r="1172" spans="1:22" ht="105" x14ac:dyDescent="0.25">
      <c r="A1172" s="61">
        <v>43082</v>
      </c>
      <c r="B1172" s="62" t="s">
        <v>569</v>
      </c>
      <c r="C1172" s="46" t="s">
        <v>899</v>
      </c>
      <c r="D1172" s="46" t="s">
        <v>625</v>
      </c>
      <c r="E1172" s="46" t="s">
        <v>588</v>
      </c>
      <c r="F1172" s="46" t="s">
        <v>9923</v>
      </c>
      <c r="G1172" s="46" t="s">
        <v>833</v>
      </c>
      <c r="H1172" s="46" t="s">
        <v>905</v>
      </c>
      <c r="I1172" s="46" t="s">
        <v>491</v>
      </c>
      <c r="J1172" s="49" t="s">
        <v>899</v>
      </c>
      <c r="O1172" s="47" t="s">
        <v>1013</v>
      </c>
      <c r="P1172" s="47" t="s">
        <v>9924</v>
      </c>
      <c r="Q1172" s="62" t="s">
        <v>620</v>
      </c>
      <c r="R1172" s="47" t="s">
        <v>9771</v>
      </c>
      <c r="U1172" s="46" t="s">
        <v>1327</v>
      </c>
      <c r="V1172" s="46"/>
    </row>
    <row r="1173" spans="1:22" ht="75" x14ac:dyDescent="0.25">
      <c r="A1173" s="61">
        <v>43082</v>
      </c>
      <c r="B1173" s="62" t="s">
        <v>328</v>
      </c>
      <c r="C1173" s="46" t="s">
        <v>899</v>
      </c>
      <c r="D1173" s="46" t="s">
        <v>7595</v>
      </c>
      <c r="E1173" s="46" t="s">
        <v>588</v>
      </c>
      <c r="F1173" s="46" t="s">
        <v>9775</v>
      </c>
      <c r="G1173" s="46" t="s">
        <v>833</v>
      </c>
      <c r="H1173" s="46" t="s">
        <v>1391</v>
      </c>
      <c r="J1173" s="49" t="s">
        <v>3501</v>
      </c>
      <c r="L1173" s="63">
        <v>4</v>
      </c>
      <c r="M1173" s="64">
        <v>50000</v>
      </c>
      <c r="N1173" s="64">
        <v>435000</v>
      </c>
      <c r="O1173" s="47" t="s">
        <v>9774</v>
      </c>
      <c r="P1173" s="47" t="s">
        <v>9773</v>
      </c>
      <c r="Q1173" s="62" t="s">
        <v>1939</v>
      </c>
      <c r="R1173" s="47" t="s">
        <v>9772</v>
      </c>
      <c r="U1173" s="46" t="s">
        <v>1327</v>
      </c>
      <c r="V1173" s="46"/>
    </row>
    <row r="1174" spans="1:22" ht="75" x14ac:dyDescent="0.25">
      <c r="A1174" s="61">
        <v>43083</v>
      </c>
      <c r="B1174" s="62" t="s">
        <v>569</v>
      </c>
      <c r="C1174" s="46" t="s">
        <v>899</v>
      </c>
      <c r="D1174" s="46" t="s">
        <v>625</v>
      </c>
      <c r="E1174" s="46" t="s">
        <v>588</v>
      </c>
      <c r="F1174" s="46" t="s">
        <v>9776</v>
      </c>
      <c r="G1174" s="46" t="s">
        <v>9777</v>
      </c>
      <c r="H1174" s="46" t="s">
        <v>607</v>
      </c>
      <c r="I1174" s="46" t="s">
        <v>5914</v>
      </c>
      <c r="J1174" s="49" t="s">
        <v>899</v>
      </c>
      <c r="M1174" s="64">
        <v>1700000</v>
      </c>
      <c r="N1174" s="64">
        <v>3955000</v>
      </c>
      <c r="O1174" s="47" t="s">
        <v>666</v>
      </c>
      <c r="P1174" s="47" t="s">
        <v>9778</v>
      </c>
      <c r="Q1174" s="62" t="s">
        <v>620</v>
      </c>
      <c r="R1174" s="47" t="s">
        <v>9779</v>
      </c>
      <c r="S1174" s="47" t="s">
        <v>9781</v>
      </c>
      <c r="U1174" s="46" t="s">
        <v>1327</v>
      </c>
      <c r="V1174" s="46"/>
    </row>
    <row r="1175" spans="1:22" ht="45" x14ac:dyDescent="0.25">
      <c r="A1175" s="61">
        <v>43084</v>
      </c>
      <c r="B1175" s="62" t="s">
        <v>569</v>
      </c>
      <c r="C1175" s="46" t="s">
        <v>899</v>
      </c>
      <c r="D1175" s="46" t="s">
        <v>625</v>
      </c>
      <c r="E1175" s="46" t="s">
        <v>588</v>
      </c>
      <c r="F1175" s="46" t="s">
        <v>9476</v>
      </c>
      <c r="G1175" s="46" t="s">
        <v>9782</v>
      </c>
      <c r="H1175" s="46" t="s">
        <v>1391</v>
      </c>
      <c r="I1175" s="46" t="s">
        <v>4674</v>
      </c>
      <c r="J1175" s="49" t="s">
        <v>899</v>
      </c>
      <c r="L1175" s="63">
        <v>4</v>
      </c>
      <c r="M1175" s="64">
        <v>579825</v>
      </c>
      <c r="N1175" s="64">
        <v>927808</v>
      </c>
      <c r="O1175" s="47" t="s">
        <v>9783</v>
      </c>
      <c r="P1175" s="47" t="s">
        <v>9784</v>
      </c>
      <c r="Q1175" s="62" t="s">
        <v>1939</v>
      </c>
      <c r="R1175" s="47" t="s">
        <v>9785</v>
      </c>
      <c r="U1175" s="46" t="s">
        <v>1327</v>
      </c>
      <c r="V1175" s="46"/>
    </row>
    <row r="1176" spans="1:22" ht="45" x14ac:dyDescent="0.25">
      <c r="A1176" s="61">
        <v>43084</v>
      </c>
      <c r="B1176" s="62" t="s">
        <v>328</v>
      </c>
      <c r="C1176" s="46" t="s">
        <v>603</v>
      </c>
      <c r="D1176" s="46" t="s">
        <v>672</v>
      </c>
      <c r="E1176" s="46" t="s">
        <v>588</v>
      </c>
      <c r="F1176" s="46" t="s">
        <v>9786</v>
      </c>
      <c r="G1176" s="46" t="s">
        <v>9787</v>
      </c>
      <c r="H1176" s="46" t="s">
        <v>607</v>
      </c>
      <c r="I1176" s="46" t="s">
        <v>9788</v>
      </c>
      <c r="J1176" s="49" t="s">
        <v>602</v>
      </c>
      <c r="L1176" s="63">
        <v>10</v>
      </c>
      <c r="M1176" s="64">
        <v>1500000</v>
      </c>
      <c r="N1176" s="64">
        <v>1950000</v>
      </c>
      <c r="O1176" s="47" t="s">
        <v>2886</v>
      </c>
      <c r="P1176" s="47" t="s">
        <v>9789</v>
      </c>
      <c r="Q1176" s="62" t="s">
        <v>592</v>
      </c>
      <c r="R1176" s="47" t="s">
        <v>9516</v>
      </c>
      <c r="U1176" s="46" t="s">
        <v>1327</v>
      </c>
      <c r="V1176" s="46"/>
    </row>
    <row r="1177" spans="1:22" ht="60" x14ac:dyDescent="0.25">
      <c r="A1177" s="61">
        <v>43084</v>
      </c>
      <c r="B1177" s="62" t="s">
        <v>328</v>
      </c>
      <c r="C1177" s="46" t="s">
        <v>603</v>
      </c>
      <c r="D1177" s="46" t="s">
        <v>1401</v>
      </c>
      <c r="E1177" s="46" t="s">
        <v>588</v>
      </c>
      <c r="F1177" s="46" t="s">
        <v>9790</v>
      </c>
      <c r="G1177" s="46" t="s">
        <v>7855</v>
      </c>
      <c r="H1177" s="46" t="s">
        <v>607</v>
      </c>
      <c r="I1177" s="46" t="s">
        <v>9791</v>
      </c>
      <c r="J1177" s="49" t="s">
        <v>4031</v>
      </c>
      <c r="M1177" s="64">
        <v>305000</v>
      </c>
      <c r="N1177" s="64">
        <v>685250</v>
      </c>
      <c r="O1177" s="47" t="s">
        <v>3107</v>
      </c>
      <c r="P1177" s="47" t="s">
        <v>9792</v>
      </c>
      <c r="Q1177" s="62" t="s">
        <v>1939</v>
      </c>
      <c r="R1177" s="47" t="s">
        <v>9793</v>
      </c>
      <c r="U1177" s="46" t="s">
        <v>1327</v>
      </c>
      <c r="V1177" s="46"/>
    </row>
    <row r="1178" spans="1:22" ht="60" x14ac:dyDescent="0.25">
      <c r="A1178" s="61">
        <v>43089</v>
      </c>
      <c r="B1178" s="62" t="s">
        <v>328</v>
      </c>
      <c r="C1178" s="46" t="s">
        <v>603</v>
      </c>
      <c r="D1178" s="46" t="s">
        <v>672</v>
      </c>
      <c r="E1178" s="46" t="s">
        <v>588</v>
      </c>
      <c r="F1178" s="46" t="s">
        <v>9794</v>
      </c>
      <c r="G1178" s="46" t="s">
        <v>9652</v>
      </c>
      <c r="H1178" s="46" t="s">
        <v>809</v>
      </c>
      <c r="I1178" s="46" t="s">
        <v>9653</v>
      </c>
      <c r="J1178" s="49" t="s">
        <v>644</v>
      </c>
      <c r="L1178" s="63">
        <v>2</v>
      </c>
      <c r="M1178" s="64">
        <v>4133000</v>
      </c>
      <c r="N1178" s="64">
        <v>4566300</v>
      </c>
      <c r="O1178" s="47" t="s">
        <v>560</v>
      </c>
      <c r="P1178" s="47" t="s">
        <v>9795</v>
      </c>
      <c r="Q1178" s="62" t="s">
        <v>1939</v>
      </c>
      <c r="R1178" s="47" t="s">
        <v>9796</v>
      </c>
      <c r="U1178" s="46" t="s">
        <v>491</v>
      </c>
      <c r="V1178" s="46"/>
    </row>
    <row r="1179" spans="1:22" ht="45" x14ac:dyDescent="0.25">
      <c r="A1179" s="61">
        <v>43089</v>
      </c>
      <c r="B1179" s="62" t="s">
        <v>569</v>
      </c>
      <c r="C1179" s="46" t="s">
        <v>899</v>
      </c>
      <c r="D1179" s="46" t="s">
        <v>625</v>
      </c>
      <c r="E1179" s="46" t="s">
        <v>588</v>
      </c>
      <c r="F1179" s="46" t="s">
        <v>9525</v>
      </c>
      <c r="G1179" s="46" t="s">
        <v>9797</v>
      </c>
      <c r="H1179" s="46" t="s">
        <v>905</v>
      </c>
      <c r="O1179" s="47" t="s">
        <v>639</v>
      </c>
      <c r="P1179" s="47" t="s">
        <v>9798</v>
      </c>
      <c r="Q1179" s="62" t="s">
        <v>592</v>
      </c>
      <c r="R1179" s="47" t="s">
        <v>9799</v>
      </c>
      <c r="U1179" s="46" t="s">
        <v>491</v>
      </c>
      <c r="V1179" s="46"/>
    </row>
    <row r="1180" spans="1:22" ht="45" x14ac:dyDescent="0.25">
      <c r="A1180" s="61">
        <v>43089</v>
      </c>
      <c r="B1180" s="62" t="s">
        <v>569</v>
      </c>
      <c r="C1180" s="46" t="s">
        <v>899</v>
      </c>
      <c r="D1180" s="46" t="s">
        <v>625</v>
      </c>
      <c r="E1180" s="46" t="s">
        <v>692</v>
      </c>
      <c r="F1180" s="46" t="s">
        <v>9800</v>
      </c>
      <c r="G1180" s="46" t="s">
        <v>9801</v>
      </c>
      <c r="H1180" s="46" t="s">
        <v>9802</v>
      </c>
      <c r="I1180" s="46" t="s">
        <v>3649</v>
      </c>
      <c r="J1180" s="49" t="s">
        <v>899</v>
      </c>
      <c r="L1180" s="63">
        <v>4</v>
      </c>
      <c r="M1180" s="64">
        <v>2000000</v>
      </c>
      <c r="N1180" s="64">
        <v>2200000</v>
      </c>
      <c r="O1180" s="47" t="s">
        <v>560</v>
      </c>
      <c r="P1180" s="47" t="s">
        <v>9803</v>
      </c>
      <c r="Q1180" s="62" t="s">
        <v>1939</v>
      </c>
      <c r="R1180" s="47" t="s">
        <v>9804</v>
      </c>
      <c r="U1180" s="46" t="s">
        <v>491</v>
      </c>
      <c r="V1180" s="46"/>
    </row>
    <row r="1181" spans="1:22" ht="45" x14ac:dyDescent="0.25">
      <c r="A1181" s="61">
        <v>43089</v>
      </c>
      <c r="B1181" s="62" t="s">
        <v>5176</v>
      </c>
      <c r="C1181" s="46" t="s">
        <v>959</v>
      </c>
      <c r="D1181" s="46" t="s">
        <v>732</v>
      </c>
      <c r="E1181" s="46" t="s">
        <v>588</v>
      </c>
      <c r="F1181" s="46" t="s">
        <v>9805</v>
      </c>
      <c r="G1181" s="46" t="s">
        <v>9806</v>
      </c>
      <c r="H1181" s="46" t="s">
        <v>1050</v>
      </c>
      <c r="O1181" s="47" t="s">
        <v>9807</v>
      </c>
      <c r="P1181" s="47" t="s">
        <v>9808</v>
      </c>
      <c r="Q1181" s="62" t="s">
        <v>1939</v>
      </c>
      <c r="R1181" s="47" t="s">
        <v>9809</v>
      </c>
      <c r="U1181" s="46" t="s">
        <v>491</v>
      </c>
      <c r="V1181" s="46"/>
    </row>
    <row r="1182" spans="1:22" ht="75" x14ac:dyDescent="0.25">
      <c r="A1182" s="61">
        <v>43090</v>
      </c>
      <c r="B1182" s="62" t="s">
        <v>9240</v>
      </c>
      <c r="C1182" s="46" t="s">
        <v>603</v>
      </c>
      <c r="D1182" s="46" t="s">
        <v>7814</v>
      </c>
      <c r="E1182" s="46" t="s">
        <v>588</v>
      </c>
      <c r="F1182" s="46" t="s">
        <v>9810</v>
      </c>
      <c r="G1182" s="46" t="s">
        <v>9811</v>
      </c>
      <c r="H1182" s="46" t="s">
        <v>607</v>
      </c>
      <c r="I1182" s="46" t="s">
        <v>9791</v>
      </c>
      <c r="J1182" s="49" t="s">
        <v>5402</v>
      </c>
      <c r="M1182" s="64">
        <v>147000</v>
      </c>
      <c r="N1182" s="64">
        <v>250000</v>
      </c>
      <c r="O1182" s="47" t="s">
        <v>1171</v>
      </c>
      <c r="P1182" s="47" t="s">
        <v>9812</v>
      </c>
      <c r="Q1182" s="62" t="s">
        <v>29</v>
      </c>
      <c r="R1182" s="47" t="s">
        <v>9813</v>
      </c>
      <c r="S1182" s="47" t="s">
        <v>9814</v>
      </c>
      <c r="U1182" s="46" t="s">
        <v>491</v>
      </c>
      <c r="V1182" s="46"/>
    </row>
    <row r="1183" spans="1:22" ht="60" x14ac:dyDescent="0.25">
      <c r="A1183" s="61">
        <v>43090</v>
      </c>
      <c r="B1183" s="62" t="s">
        <v>5176</v>
      </c>
      <c r="C1183" s="46" t="s">
        <v>604</v>
      </c>
      <c r="D1183" s="46" t="s">
        <v>727</v>
      </c>
      <c r="E1183" s="46" t="s">
        <v>588</v>
      </c>
      <c r="F1183" s="46" t="s">
        <v>9815</v>
      </c>
      <c r="H1183" s="46" t="s">
        <v>809</v>
      </c>
      <c r="I1183" s="46" t="s">
        <v>9816</v>
      </c>
      <c r="J1183" s="49" t="s">
        <v>4785</v>
      </c>
      <c r="O1183" s="47" t="s">
        <v>9817</v>
      </c>
      <c r="P1183" s="47" t="s">
        <v>9818</v>
      </c>
      <c r="Q1183" s="62" t="s">
        <v>620</v>
      </c>
      <c r="U1183" s="46" t="s">
        <v>491</v>
      </c>
      <c r="V1183" s="46"/>
    </row>
    <row r="1184" spans="1:22" ht="60" x14ac:dyDescent="0.25">
      <c r="A1184" s="61">
        <v>43090</v>
      </c>
      <c r="B1184" s="62" t="s">
        <v>569</v>
      </c>
      <c r="C1184" s="46" t="s">
        <v>899</v>
      </c>
      <c r="D1184" s="46" t="s">
        <v>611</v>
      </c>
      <c r="E1184" s="46" t="s">
        <v>588</v>
      </c>
      <c r="F1184" s="46" t="s">
        <v>9819</v>
      </c>
      <c r="G1184" s="46" t="s">
        <v>8486</v>
      </c>
      <c r="H1184" s="46" t="s">
        <v>607</v>
      </c>
      <c r="I1184" s="46" t="s">
        <v>9820</v>
      </c>
      <c r="J1184" s="49" t="s">
        <v>899</v>
      </c>
      <c r="M1184" s="64">
        <v>2467000</v>
      </c>
      <c r="N1184" s="64">
        <v>3300000</v>
      </c>
      <c r="O1184" s="47" t="s">
        <v>560</v>
      </c>
      <c r="P1184" s="47" t="s">
        <v>9823</v>
      </c>
      <c r="Q1184" s="62" t="s">
        <v>592</v>
      </c>
      <c r="R1184" s="47" t="s">
        <v>9824</v>
      </c>
      <c r="U1184" s="46" t="s">
        <v>491</v>
      </c>
      <c r="V1184" s="46"/>
    </row>
    <row r="1185" spans="1:22" ht="180" x14ac:dyDescent="0.25">
      <c r="A1185" s="61">
        <v>43090</v>
      </c>
      <c r="B1185" s="62" t="s">
        <v>328</v>
      </c>
      <c r="C1185" s="46" t="s">
        <v>603</v>
      </c>
      <c r="D1185" s="46" t="s">
        <v>649</v>
      </c>
      <c r="E1185" s="46" t="s">
        <v>588</v>
      </c>
      <c r="F1185" s="46" t="s">
        <v>9821</v>
      </c>
      <c r="G1185" s="46" t="s">
        <v>8941</v>
      </c>
      <c r="H1185" s="46" t="s">
        <v>607</v>
      </c>
      <c r="I1185" s="46" t="s">
        <v>7073</v>
      </c>
      <c r="J1185" s="49" t="s">
        <v>899</v>
      </c>
      <c r="L1185" s="63">
        <v>4</v>
      </c>
      <c r="M1185" s="64">
        <v>505000</v>
      </c>
      <c r="N1185" s="64">
        <v>1220000</v>
      </c>
      <c r="O1185" s="47" t="s">
        <v>9822</v>
      </c>
      <c r="P1185" s="47" t="s">
        <v>9872</v>
      </c>
      <c r="Q1185" s="62" t="s">
        <v>1612</v>
      </c>
      <c r="R1185" s="47" t="s">
        <v>9873</v>
      </c>
      <c r="U1185" s="46" t="s">
        <v>491</v>
      </c>
      <c r="V1185" s="46"/>
    </row>
    <row r="1186" spans="1:22" ht="75" x14ac:dyDescent="0.25">
      <c r="A1186" s="61">
        <v>43091</v>
      </c>
      <c r="B1186" s="62" t="s">
        <v>569</v>
      </c>
      <c r="C1186" s="46" t="s">
        <v>899</v>
      </c>
      <c r="D1186" s="46" t="s">
        <v>930</v>
      </c>
      <c r="E1186" s="46" t="s">
        <v>1707</v>
      </c>
      <c r="F1186" s="46" t="s">
        <v>9825</v>
      </c>
      <c r="H1186" s="46" t="s">
        <v>607</v>
      </c>
      <c r="I1186" s="46" t="s">
        <v>9826</v>
      </c>
      <c r="J1186" s="49" t="s">
        <v>899</v>
      </c>
      <c r="M1186" s="64">
        <v>425000</v>
      </c>
      <c r="N1186" s="64">
        <v>750000</v>
      </c>
      <c r="O1186" s="47" t="s">
        <v>4533</v>
      </c>
      <c r="P1186" s="47" t="s">
        <v>9827</v>
      </c>
      <c r="Q1186" s="62" t="s">
        <v>29</v>
      </c>
      <c r="R1186" s="47" t="s">
        <v>9828</v>
      </c>
      <c r="U1186" s="46" t="s">
        <v>491</v>
      </c>
      <c r="V1186" s="46"/>
    </row>
    <row r="1187" spans="1:22" ht="30" x14ac:dyDescent="0.25">
      <c r="A1187" s="61">
        <v>43088</v>
      </c>
      <c r="B1187" s="62" t="s">
        <v>328</v>
      </c>
      <c r="C1187" s="46" t="s">
        <v>603</v>
      </c>
      <c r="D1187" s="46" t="s">
        <v>649</v>
      </c>
      <c r="E1187" s="46" t="s">
        <v>588</v>
      </c>
      <c r="F1187" s="46" t="s">
        <v>9829</v>
      </c>
      <c r="G1187" s="46" t="s">
        <v>8126</v>
      </c>
      <c r="H1187" s="46" t="s">
        <v>607</v>
      </c>
      <c r="I1187" s="46" t="s">
        <v>9831</v>
      </c>
      <c r="J1187" s="49" t="s">
        <v>899</v>
      </c>
      <c r="L1187" s="63">
        <v>3</v>
      </c>
      <c r="M1187" s="64">
        <v>3000000</v>
      </c>
      <c r="N1187" s="64">
        <v>5000000</v>
      </c>
      <c r="O1187" s="47" t="s">
        <v>560</v>
      </c>
      <c r="P1187" s="47" t="s">
        <v>9830</v>
      </c>
      <c r="Q1187" s="62" t="s">
        <v>592</v>
      </c>
      <c r="R1187" s="47" t="s">
        <v>9922</v>
      </c>
      <c r="U1187" s="46" t="s">
        <v>1327</v>
      </c>
      <c r="V1187" s="46"/>
    </row>
    <row r="1188" spans="1:22" ht="75" x14ac:dyDescent="0.25">
      <c r="A1188" s="61">
        <v>43090</v>
      </c>
      <c r="B1188" s="62" t="s">
        <v>569</v>
      </c>
      <c r="C1188" s="46" t="s">
        <v>899</v>
      </c>
      <c r="D1188" s="46" t="s">
        <v>624</v>
      </c>
      <c r="E1188" s="46" t="s">
        <v>588</v>
      </c>
      <c r="F1188" s="46" t="s">
        <v>9840</v>
      </c>
      <c r="G1188" s="46" t="s">
        <v>9841</v>
      </c>
      <c r="H1188" s="46" t="s">
        <v>886</v>
      </c>
      <c r="I1188" s="46" t="s">
        <v>2054</v>
      </c>
      <c r="J1188" s="49" t="s">
        <v>899</v>
      </c>
      <c r="M1188" s="64">
        <v>3091000</v>
      </c>
      <c r="N1188" s="64">
        <v>4155000</v>
      </c>
      <c r="O1188" s="47" t="s">
        <v>9834</v>
      </c>
      <c r="P1188" s="47" t="s">
        <v>9833</v>
      </c>
      <c r="Q1188" s="62" t="s">
        <v>1939</v>
      </c>
      <c r="R1188" s="47" t="s">
        <v>9832</v>
      </c>
      <c r="U1188" s="46" t="s">
        <v>1327</v>
      </c>
      <c r="V1188" s="46"/>
    </row>
    <row r="1189" spans="1:22" ht="90" x14ac:dyDescent="0.25">
      <c r="A1189" s="61">
        <v>43090</v>
      </c>
      <c r="B1189" s="62" t="s">
        <v>569</v>
      </c>
      <c r="C1189" s="46" t="s">
        <v>899</v>
      </c>
      <c r="D1189" s="46" t="s">
        <v>624</v>
      </c>
      <c r="E1189" s="46" t="s">
        <v>588</v>
      </c>
      <c r="F1189" s="46" t="s">
        <v>9835</v>
      </c>
      <c r="G1189" s="46" t="s">
        <v>9836</v>
      </c>
      <c r="H1189" s="46" t="s">
        <v>886</v>
      </c>
      <c r="I1189" s="46" t="s">
        <v>5621</v>
      </c>
      <c r="J1189" s="49" t="s">
        <v>899</v>
      </c>
      <c r="M1189" s="64">
        <v>250000</v>
      </c>
      <c r="N1189" s="64">
        <v>350000</v>
      </c>
      <c r="O1189" s="47" t="s">
        <v>9837</v>
      </c>
      <c r="P1189" s="47" t="s">
        <v>9838</v>
      </c>
      <c r="Q1189" s="62" t="s">
        <v>1939</v>
      </c>
      <c r="R1189" s="47" t="s">
        <v>9839</v>
      </c>
      <c r="U1189" s="46" t="s">
        <v>1327</v>
      </c>
      <c r="V1189" s="46"/>
    </row>
    <row r="1190" spans="1:22" ht="45" x14ac:dyDescent="0.25">
      <c r="A1190" s="61">
        <v>43090</v>
      </c>
      <c r="B1190" s="62" t="s">
        <v>328</v>
      </c>
      <c r="C1190" s="46" t="s">
        <v>603</v>
      </c>
      <c r="D1190" s="46" t="s">
        <v>649</v>
      </c>
      <c r="E1190" s="46" t="s">
        <v>588</v>
      </c>
      <c r="F1190" s="46" t="s">
        <v>9842</v>
      </c>
      <c r="G1190" s="46" t="s">
        <v>9843</v>
      </c>
      <c r="H1190" s="46" t="s">
        <v>607</v>
      </c>
      <c r="J1190" s="49" t="s">
        <v>6329</v>
      </c>
      <c r="L1190" s="63">
        <v>3</v>
      </c>
      <c r="M1190" s="64">
        <v>2000000</v>
      </c>
      <c r="N1190" s="64">
        <v>3600000</v>
      </c>
      <c r="O1190" s="47" t="s">
        <v>560</v>
      </c>
      <c r="P1190" s="47" t="s">
        <v>9845</v>
      </c>
      <c r="Q1190" s="62" t="s">
        <v>1939</v>
      </c>
      <c r="R1190" s="47" t="s">
        <v>9844</v>
      </c>
      <c r="U1190" s="46" t="s">
        <v>1327</v>
      </c>
      <c r="V1190" s="46"/>
    </row>
    <row r="1191" spans="1:22" ht="75" x14ac:dyDescent="0.25">
      <c r="A1191" s="172">
        <v>43096</v>
      </c>
      <c r="B1191" s="62" t="s">
        <v>328</v>
      </c>
      <c r="C1191" s="46" t="s">
        <v>603</v>
      </c>
      <c r="D1191" s="46" t="s">
        <v>649</v>
      </c>
      <c r="E1191" s="46" t="s">
        <v>588</v>
      </c>
      <c r="F1191" s="46" t="s">
        <v>9846</v>
      </c>
      <c r="G1191" s="46" t="s">
        <v>7714</v>
      </c>
      <c r="H1191" s="46" t="s">
        <v>607</v>
      </c>
      <c r="I1191" s="46" t="s">
        <v>9847</v>
      </c>
      <c r="J1191" s="49" t="s">
        <v>899</v>
      </c>
      <c r="L1191" s="63">
        <v>2</v>
      </c>
      <c r="M1191" s="64">
        <v>2682000</v>
      </c>
      <c r="N1191" s="64">
        <v>4559400</v>
      </c>
      <c r="O1191" s="47" t="s">
        <v>3866</v>
      </c>
      <c r="P1191" s="47" t="s">
        <v>9848</v>
      </c>
      <c r="Q1191" s="62" t="s">
        <v>1612</v>
      </c>
      <c r="R1191" s="47" t="s">
        <v>9902</v>
      </c>
      <c r="U1191" s="46" t="s">
        <v>491</v>
      </c>
      <c r="V1191" s="46"/>
    </row>
    <row r="1192" spans="1:22" ht="75" x14ac:dyDescent="0.25">
      <c r="A1192" s="172">
        <v>43096</v>
      </c>
      <c r="B1192" s="62" t="s">
        <v>9240</v>
      </c>
      <c r="C1192" s="46" t="s">
        <v>603</v>
      </c>
      <c r="D1192" s="46" t="s">
        <v>9849</v>
      </c>
      <c r="E1192" s="46" t="s">
        <v>588</v>
      </c>
      <c r="F1192" s="46" t="s">
        <v>9850</v>
      </c>
      <c r="G1192" s="46" t="s">
        <v>9851</v>
      </c>
      <c r="H1192" s="46" t="s">
        <v>607</v>
      </c>
      <c r="I1192" s="46" t="s">
        <v>1363</v>
      </c>
      <c r="J1192" s="49" t="s">
        <v>608</v>
      </c>
      <c r="L1192" s="63">
        <v>1</v>
      </c>
      <c r="M1192" s="64">
        <v>150000</v>
      </c>
      <c r="N1192" s="64">
        <v>270000</v>
      </c>
      <c r="O1192" s="47" t="s">
        <v>666</v>
      </c>
      <c r="P1192" s="47" t="s">
        <v>9855</v>
      </c>
      <c r="Q1192" s="62" t="s">
        <v>1939</v>
      </c>
      <c r="R1192" s="47" t="s">
        <v>9857</v>
      </c>
      <c r="U1192" s="46" t="s">
        <v>491</v>
      </c>
      <c r="V1192" s="46"/>
    </row>
    <row r="1193" spans="1:22" ht="45" x14ac:dyDescent="0.25">
      <c r="A1193" s="172">
        <v>43096</v>
      </c>
      <c r="B1193" s="62" t="s">
        <v>9240</v>
      </c>
      <c r="C1193" s="46" t="s">
        <v>603</v>
      </c>
      <c r="D1193" s="46" t="s">
        <v>9849</v>
      </c>
      <c r="E1193" s="46" t="s">
        <v>588</v>
      </c>
      <c r="F1193" s="46" t="s">
        <v>9852</v>
      </c>
      <c r="G1193" s="46" t="s">
        <v>9853</v>
      </c>
      <c r="H1193" s="46" t="s">
        <v>2912</v>
      </c>
      <c r="I1193" s="46" t="s">
        <v>9854</v>
      </c>
      <c r="J1193" s="49" t="s">
        <v>5402</v>
      </c>
      <c r="L1193" s="63">
        <v>2</v>
      </c>
      <c r="M1193" s="64">
        <v>422000</v>
      </c>
      <c r="N1193" s="64">
        <v>850000</v>
      </c>
      <c r="O1193" s="47" t="s">
        <v>666</v>
      </c>
      <c r="P1193" s="47" t="s">
        <v>9856</v>
      </c>
      <c r="Q1193" s="62" t="s">
        <v>1939</v>
      </c>
      <c r="R1193" s="47" t="s">
        <v>9858</v>
      </c>
      <c r="U1193" s="46" t="s">
        <v>491</v>
      </c>
      <c r="V1193" s="46"/>
    </row>
    <row r="1194" spans="1:22" ht="60" x14ac:dyDescent="0.25">
      <c r="A1194" s="172">
        <v>43096</v>
      </c>
      <c r="B1194" s="62" t="s">
        <v>9240</v>
      </c>
      <c r="C1194" s="46" t="s">
        <v>603</v>
      </c>
      <c r="D1194" s="46" t="s">
        <v>9849</v>
      </c>
      <c r="E1194" s="46" t="s">
        <v>588</v>
      </c>
      <c r="F1194" s="46" t="s">
        <v>9859</v>
      </c>
      <c r="G1194" s="46" t="s">
        <v>9860</v>
      </c>
      <c r="H1194" s="46" t="s">
        <v>607</v>
      </c>
      <c r="I1194" s="46" t="s">
        <v>9861</v>
      </c>
      <c r="J1194" s="49" t="s">
        <v>5402</v>
      </c>
      <c r="L1194" s="63">
        <v>3</v>
      </c>
      <c r="M1194" s="64">
        <v>486090</v>
      </c>
      <c r="N1194" s="64">
        <v>1000000</v>
      </c>
      <c r="O1194" s="47" t="s">
        <v>666</v>
      </c>
      <c r="P1194" s="47" t="s">
        <v>9862</v>
      </c>
      <c r="Q1194" s="62" t="s">
        <v>1939</v>
      </c>
      <c r="R1194" s="47" t="s">
        <v>9863</v>
      </c>
      <c r="U1194" s="46" t="s">
        <v>491</v>
      </c>
      <c r="V1194" s="46"/>
    </row>
    <row r="1195" spans="1:22" ht="60" x14ac:dyDescent="0.25">
      <c r="A1195" s="172">
        <v>43096</v>
      </c>
      <c r="B1195" s="62" t="s">
        <v>569</v>
      </c>
      <c r="C1195" s="46" t="s">
        <v>899</v>
      </c>
      <c r="D1195" s="46" t="s">
        <v>625</v>
      </c>
      <c r="E1195" s="46" t="s">
        <v>588</v>
      </c>
      <c r="F1195" s="46" t="s">
        <v>9864</v>
      </c>
      <c r="H1195" s="46" t="s">
        <v>809</v>
      </c>
      <c r="I1195" s="46" t="s">
        <v>2054</v>
      </c>
      <c r="J1195" s="49" t="s">
        <v>899</v>
      </c>
      <c r="L1195" s="63">
        <v>2</v>
      </c>
      <c r="M1195" s="64">
        <v>975000</v>
      </c>
      <c r="N1195" s="64">
        <v>1071500</v>
      </c>
      <c r="O1195" s="47" t="s">
        <v>9865</v>
      </c>
      <c r="P1195" s="47" t="s">
        <v>9866</v>
      </c>
      <c r="Q1195" s="62" t="s">
        <v>592</v>
      </c>
      <c r="R1195" s="47" t="s">
        <v>9867</v>
      </c>
      <c r="U1195" s="46" t="s">
        <v>491</v>
      </c>
      <c r="V1195" s="46"/>
    </row>
    <row r="1196" spans="1:22" ht="60" x14ac:dyDescent="0.25">
      <c r="A1196" s="172">
        <v>43096</v>
      </c>
      <c r="B1196" s="62" t="s">
        <v>5360</v>
      </c>
      <c r="C1196" s="46" t="s">
        <v>899</v>
      </c>
      <c r="D1196" s="46" t="s">
        <v>732</v>
      </c>
      <c r="E1196" s="46" t="s">
        <v>588</v>
      </c>
      <c r="F1196" s="46" t="s">
        <v>9868</v>
      </c>
      <c r="G1196" s="46" t="s">
        <v>9869</v>
      </c>
      <c r="H1196" s="46" t="s">
        <v>905</v>
      </c>
      <c r="I1196" s="46" t="s">
        <v>3620</v>
      </c>
      <c r="J1196" s="49" t="s">
        <v>899</v>
      </c>
      <c r="L1196" s="63">
        <v>4</v>
      </c>
      <c r="M1196" s="64">
        <v>1455000</v>
      </c>
      <c r="N1196" s="64">
        <v>1996000</v>
      </c>
      <c r="O1196" s="47" t="s">
        <v>6357</v>
      </c>
      <c r="P1196" s="47" t="s">
        <v>9870</v>
      </c>
      <c r="Q1196" s="62" t="s">
        <v>1939</v>
      </c>
      <c r="R1196" s="47" t="s">
        <v>9871</v>
      </c>
      <c r="U1196" s="46" t="s">
        <v>491</v>
      </c>
      <c r="V1196" s="46"/>
    </row>
    <row r="1197" spans="1:22" ht="45" x14ac:dyDescent="0.25">
      <c r="A1197" s="172">
        <v>43096</v>
      </c>
      <c r="B1197" s="62" t="s">
        <v>643</v>
      </c>
      <c r="C1197" s="46" t="s">
        <v>644</v>
      </c>
      <c r="D1197" s="46" t="s">
        <v>645</v>
      </c>
      <c r="E1197" s="46" t="s">
        <v>588</v>
      </c>
      <c r="F1197" s="46" t="s">
        <v>9874</v>
      </c>
      <c r="G1197" s="46" t="s">
        <v>9733</v>
      </c>
      <c r="H1197" s="46" t="s">
        <v>1391</v>
      </c>
      <c r="I1197" s="46" t="s">
        <v>9376</v>
      </c>
      <c r="J1197" s="49" t="s">
        <v>899</v>
      </c>
      <c r="L1197" s="63">
        <v>2</v>
      </c>
      <c r="M1197" s="64">
        <v>1400000</v>
      </c>
      <c r="N1197" s="64">
        <v>2125000</v>
      </c>
      <c r="O1197" s="47" t="s">
        <v>2928</v>
      </c>
      <c r="P1197" s="47" t="s">
        <v>9875</v>
      </c>
      <c r="Q1197" s="62" t="s">
        <v>29</v>
      </c>
      <c r="R1197" s="47" t="s">
        <v>9876</v>
      </c>
      <c r="U1197" s="46" t="s">
        <v>491</v>
      </c>
      <c r="V1197" s="46"/>
    </row>
    <row r="1198" spans="1:22" ht="45" x14ac:dyDescent="0.25">
      <c r="A1198" s="172">
        <v>43096</v>
      </c>
      <c r="B1198" s="62" t="s">
        <v>569</v>
      </c>
      <c r="C1198" s="46" t="s">
        <v>899</v>
      </c>
      <c r="D1198" s="46" t="s">
        <v>624</v>
      </c>
      <c r="E1198" s="46" t="s">
        <v>588</v>
      </c>
      <c r="F1198" s="46" t="s">
        <v>9877</v>
      </c>
      <c r="G1198" s="46" t="s">
        <v>9878</v>
      </c>
      <c r="H1198" s="46" t="s">
        <v>607</v>
      </c>
      <c r="I1198" s="46" t="s">
        <v>2054</v>
      </c>
      <c r="J1198" s="49" t="s">
        <v>899</v>
      </c>
      <c r="O1198" s="47" t="s">
        <v>9865</v>
      </c>
      <c r="P1198" s="47" t="s">
        <v>9879</v>
      </c>
      <c r="Q1198" s="62" t="s">
        <v>1939</v>
      </c>
      <c r="R1198" s="47" t="s">
        <v>9880</v>
      </c>
      <c r="U1198" s="46" t="s">
        <v>491</v>
      </c>
      <c r="V1198" s="46"/>
    </row>
    <row r="1199" spans="1:22" ht="30" x14ac:dyDescent="0.25">
      <c r="A1199" s="172">
        <v>43097</v>
      </c>
      <c r="B1199" s="62" t="s">
        <v>5360</v>
      </c>
      <c r="C1199" s="46" t="s">
        <v>899</v>
      </c>
      <c r="D1199" s="46" t="s">
        <v>732</v>
      </c>
      <c r="E1199" s="46" t="s">
        <v>588</v>
      </c>
      <c r="F1199" s="46" t="s">
        <v>9881</v>
      </c>
      <c r="G1199" s="46" t="s">
        <v>9882</v>
      </c>
      <c r="H1199" s="46" t="s">
        <v>607</v>
      </c>
      <c r="I1199" s="46" t="s">
        <v>4967</v>
      </c>
      <c r="J1199" s="49" t="s">
        <v>899</v>
      </c>
      <c r="L1199" s="63">
        <v>9</v>
      </c>
      <c r="M1199" s="64">
        <v>1250800</v>
      </c>
      <c r="N1199" s="64">
        <v>2501600</v>
      </c>
      <c r="O1199" s="47" t="s">
        <v>560</v>
      </c>
      <c r="P1199" s="47" t="s">
        <v>9883</v>
      </c>
      <c r="Q1199" s="62" t="s">
        <v>1939</v>
      </c>
      <c r="R1199" s="47" t="s">
        <v>9884</v>
      </c>
      <c r="U1199" s="46" t="s">
        <v>491</v>
      </c>
      <c r="V1199" s="46"/>
    </row>
    <row r="1200" spans="1:22" ht="45" x14ac:dyDescent="0.25">
      <c r="A1200" s="172">
        <v>43097</v>
      </c>
      <c r="B1200" s="62" t="s">
        <v>569</v>
      </c>
      <c r="C1200" s="46" t="s">
        <v>899</v>
      </c>
      <c r="D1200" s="46" t="s">
        <v>625</v>
      </c>
      <c r="E1200" s="46" t="s">
        <v>588</v>
      </c>
      <c r="F1200" s="46" t="s">
        <v>9885</v>
      </c>
      <c r="G1200" s="46" t="s">
        <v>9843</v>
      </c>
      <c r="H1200" s="46" t="s">
        <v>2912</v>
      </c>
      <c r="I1200" s="46" t="s">
        <v>3388</v>
      </c>
      <c r="J1200" s="49" t="s">
        <v>899</v>
      </c>
      <c r="L1200" s="63">
        <v>2</v>
      </c>
      <c r="M1200" s="64">
        <v>3000000</v>
      </c>
      <c r="N1200" s="64">
        <v>3100000</v>
      </c>
      <c r="O1200" s="47" t="s">
        <v>560</v>
      </c>
      <c r="P1200" s="47" t="s">
        <v>9886</v>
      </c>
      <c r="Q1200" s="62" t="s">
        <v>29</v>
      </c>
      <c r="R1200" s="47" t="s">
        <v>9887</v>
      </c>
      <c r="S1200" s="47" t="s">
        <v>9888</v>
      </c>
      <c r="U1200" s="46" t="s">
        <v>491</v>
      </c>
      <c r="V1200" s="46"/>
    </row>
    <row r="1201" spans="1:23" ht="90" x14ac:dyDescent="0.25">
      <c r="A1201" s="172">
        <v>43097</v>
      </c>
      <c r="B1201" s="62" t="s">
        <v>328</v>
      </c>
      <c r="C1201" s="46" t="s">
        <v>603</v>
      </c>
      <c r="D1201" s="46" t="s">
        <v>587</v>
      </c>
      <c r="E1201" s="46" t="s">
        <v>588</v>
      </c>
      <c r="F1201" s="46" t="s">
        <v>9889</v>
      </c>
      <c r="G1201" s="46" t="s">
        <v>9890</v>
      </c>
      <c r="H1201" s="46" t="s">
        <v>607</v>
      </c>
      <c r="I1201" s="46" t="s">
        <v>9891</v>
      </c>
      <c r="J1201" s="49" t="s">
        <v>959</v>
      </c>
      <c r="L1201" s="63">
        <v>3</v>
      </c>
      <c r="M1201" s="64">
        <v>350000</v>
      </c>
      <c r="N1201" s="64">
        <v>700000</v>
      </c>
      <c r="O1201" s="47" t="s">
        <v>6768</v>
      </c>
      <c r="P1201" s="47" t="s">
        <v>9892</v>
      </c>
      <c r="Q1201" s="62" t="s">
        <v>592</v>
      </c>
      <c r="R1201" s="173" t="s">
        <v>9893</v>
      </c>
      <c r="U1201" s="46" t="s">
        <v>491</v>
      </c>
      <c r="V1201" s="46"/>
    </row>
    <row r="1202" spans="1:23" ht="105" x14ac:dyDescent="0.25">
      <c r="A1202" s="172">
        <v>43098</v>
      </c>
      <c r="B1202" s="62" t="s">
        <v>328</v>
      </c>
      <c r="C1202" s="46" t="s">
        <v>603</v>
      </c>
      <c r="D1202" s="46" t="s">
        <v>649</v>
      </c>
      <c r="E1202" s="46" t="s">
        <v>588</v>
      </c>
      <c r="F1202" s="46" t="s">
        <v>9894</v>
      </c>
      <c r="G1202" s="46" t="s">
        <v>465</v>
      </c>
      <c r="H1202" s="46" t="s">
        <v>1391</v>
      </c>
      <c r="I1202" s="46" t="s">
        <v>3649</v>
      </c>
      <c r="J1202" s="49" t="s">
        <v>899</v>
      </c>
      <c r="L1202" s="63">
        <v>4</v>
      </c>
      <c r="M1202" s="64">
        <v>1891000</v>
      </c>
      <c r="N1202" s="64">
        <v>3592900</v>
      </c>
      <c r="O1202" s="47" t="s">
        <v>35</v>
      </c>
      <c r="P1202" s="47" t="s">
        <v>9895</v>
      </c>
      <c r="Q1202" s="62" t="s">
        <v>29</v>
      </c>
      <c r="R1202" s="47" t="s">
        <v>9926</v>
      </c>
      <c r="U1202" s="46" t="s">
        <v>491</v>
      </c>
      <c r="V1202" s="46"/>
    </row>
    <row r="1203" spans="1:23" ht="75" x14ac:dyDescent="0.25">
      <c r="A1203" s="172">
        <v>43098</v>
      </c>
      <c r="B1203" s="62" t="s">
        <v>328</v>
      </c>
      <c r="C1203" s="46" t="s">
        <v>603</v>
      </c>
      <c r="D1203" s="46" t="s">
        <v>649</v>
      </c>
      <c r="E1203" s="46" t="s">
        <v>588</v>
      </c>
      <c r="F1203" s="46" t="s">
        <v>8017</v>
      </c>
      <c r="G1203" s="46" t="s">
        <v>9896</v>
      </c>
      <c r="H1203" s="46" t="s">
        <v>9897</v>
      </c>
      <c r="I1203" s="46" t="s">
        <v>3793</v>
      </c>
      <c r="J1203" s="49" t="s">
        <v>899</v>
      </c>
      <c r="L1203" s="63">
        <v>10</v>
      </c>
      <c r="M1203" s="64">
        <v>1549159</v>
      </c>
      <c r="N1203" s="64">
        <v>1920159</v>
      </c>
      <c r="O1203" s="47" t="s">
        <v>560</v>
      </c>
      <c r="P1203" s="47" t="s">
        <v>9898</v>
      </c>
      <c r="Q1203" s="62" t="s">
        <v>1939</v>
      </c>
      <c r="R1203" s="47" t="s">
        <v>9899</v>
      </c>
      <c r="U1203" s="46" t="s">
        <v>491</v>
      </c>
      <c r="V1203" s="46"/>
    </row>
    <row r="1204" spans="1:23" ht="60" x14ac:dyDescent="0.25">
      <c r="A1204" s="172">
        <v>43098</v>
      </c>
      <c r="B1204" s="62" t="s">
        <v>328</v>
      </c>
      <c r="C1204" s="46" t="s">
        <v>603</v>
      </c>
      <c r="D1204" s="46" t="s">
        <v>2397</v>
      </c>
      <c r="E1204" s="46" t="s">
        <v>588</v>
      </c>
      <c r="F1204" s="46" t="s">
        <v>9066</v>
      </c>
      <c r="G1204" s="46" t="s">
        <v>8515</v>
      </c>
      <c r="H1204" s="46" t="s">
        <v>905</v>
      </c>
      <c r="I1204" s="46" t="s">
        <v>9067</v>
      </c>
      <c r="J1204" s="49" t="s">
        <v>5509</v>
      </c>
      <c r="L1204" s="63">
        <v>10</v>
      </c>
      <c r="M1204" s="64">
        <v>220000</v>
      </c>
      <c r="N1204" s="64">
        <v>364000</v>
      </c>
      <c r="O1204" s="47" t="s">
        <v>2680</v>
      </c>
      <c r="P1204" s="47" t="s">
        <v>9900</v>
      </c>
      <c r="Q1204" s="62" t="s">
        <v>1939</v>
      </c>
      <c r="R1204" s="47" t="s">
        <v>9901</v>
      </c>
      <c r="U1204" s="46" t="s">
        <v>491</v>
      </c>
      <c r="V1204" s="46"/>
    </row>
    <row r="1205" spans="1:23" ht="45" x14ac:dyDescent="0.25">
      <c r="A1205" s="172">
        <v>43098</v>
      </c>
      <c r="B1205" s="62" t="s">
        <v>328</v>
      </c>
      <c r="C1205" s="46" t="s">
        <v>603</v>
      </c>
      <c r="D1205" s="46" t="s">
        <v>2500</v>
      </c>
      <c r="E1205" s="46" t="s">
        <v>588</v>
      </c>
      <c r="F1205" s="46" t="s">
        <v>9903</v>
      </c>
      <c r="G1205" s="46" t="s">
        <v>7855</v>
      </c>
      <c r="H1205" s="46" t="s">
        <v>809</v>
      </c>
      <c r="I1205" s="46" t="s">
        <v>9904</v>
      </c>
      <c r="J1205" s="49" t="s">
        <v>644</v>
      </c>
      <c r="L1205" s="63">
        <v>4</v>
      </c>
      <c r="M1205" s="64">
        <v>203100</v>
      </c>
      <c r="N1205" s="64">
        <v>203100</v>
      </c>
      <c r="O1205" s="47" t="s">
        <v>754</v>
      </c>
      <c r="P1205" s="47" t="s">
        <v>9905</v>
      </c>
      <c r="Q1205" s="62" t="s">
        <v>1939</v>
      </c>
      <c r="R1205" s="47" t="s">
        <v>9906</v>
      </c>
      <c r="U1205" s="46" t="s">
        <v>491</v>
      </c>
      <c r="V1205" s="46"/>
    </row>
    <row r="1206" spans="1:23" ht="75" x14ac:dyDescent="0.25">
      <c r="A1206" s="172">
        <v>43098</v>
      </c>
      <c r="B1206" s="62" t="s">
        <v>569</v>
      </c>
      <c r="C1206" s="46" t="s">
        <v>899</v>
      </c>
      <c r="D1206" s="46" t="s">
        <v>930</v>
      </c>
      <c r="E1206" s="46" t="s">
        <v>588</v>
      </c>
      <c r="F1206" s="46" t="s">
        <v>9907</v>
      </c>
      <c r="G1206" s="46" t="s">
        <v>9305</v>
      </c>
      <c r="H1206" s="46" t="s">
        <v>809</v>
      </c>
      <c r="I1206" s="46" t="s">
        <v>3929</v>
      </c>
      <c r="J1206" s="49" t="s">
        <v>899</v>
      </c>
      <c r="L1206" s="63">
        <v>2</v>
      </c>
      <c r="M1206" s="64">
        <v>3600000</v>
      </c>
      <c r="N1206" s="64">
        <v>3600000</v>
      </c>
      <c r="O1206" s="47" t="s">
        <v>560</v>
      </c>
      <c r="P1206" s="47" t="s">
        <v>9908</v>
      </c>
      <c r="Q1206" s="62" t="s">
        <v>1939</v>
      </c>
      <c r="R1206" s="47" t="s">
        <v>9909</v>
      </c>
      <c r="U1206" s="46" t="s">
        <v>491</v>
      </c>
      <c r="V1206" s="46"/>
    </row>
    <row r="1207" spans="1:23" ht="45" x14ac:dyDescent="0.25">
      <c r="A1207" s="172">
        <v>43098</v>
      </c>
      <c r="B1207" s="62" t="s">
        <v>328</v>
      </c>
      <c r="C1207" s="46" t="s">
        <v>603</v>
      </c>
      <c r="D1207" s="46" t="s">
        <v>649</v>
      </c>
      <c r="E1207" s="46" t="s">
        <v>588</v>
      </c>
      <c r="F1207" s="46" t="s">
        <v>9910</v>
      </c>
      <c r="G1207" s="46" t="s">
        <v>9911</v>
      </c>
      <c r="H1207" s="46" t="s">
        <v>607</v>
      </c>
      <c r="I1207" s="46" t="s">
        <v>5366</v>
      </c>
      <c r="J1207" s="49" t="s">
        <v>899</v>
      </c>
      <c r="L1207" s="63">
        <v>10</v>
      </c>
      <c r="M1207" s="64">
        <v>1015000</v>
      </c>
      <c r="N1207" s="64">
        <v>1877750</v>
      </c>
      <c r="O1207" s="47" t="s">
        <v>560</v>
      </c>
      <c r="P1207" s="47" t="s">
        <v>9912</v>
      </c>
      <c r="Q1207" s="62" t="s">
        <v>592</v>
      </c>
      <c r="R1207" s="47" t="s">
        <v>9913</v>
      </c>
      <c r="U1207" s="46" t="s">
        <v>491</v>
      </c>
      <c r="V1207" s="46"/>
    </row>
    <row r="1208" spans="1:23" ht="60" x14ac:dyDescent="0.25">
      <c r="A1208" s="172">
        <v>43098</v>
      </c>
      <c r="B1208" s="62" t="s">
        <v>328</v>
      </c>
      <c r="C1208" s="46" t="s">
        <v>603</v>
      </c>
      <c r="D1208" s="46" t="s">
        <v>649</v>
      </c>
      <c r="E1208" s="46" t="s">
        <v>588</v>
      </c>
      <c r="F1208" s="46" t="s">
        <v>9914</v>
      </c>
      <c r="G1208" s="46" t="s">
        <v>9915</v>
      </c>
      <c r="H1208" s="46" t="s">
        <v>607</v>
      </c>
      <c r="I1208" s="46" t="s">
        <v>9916</v>
      </c>
      <c r="J1208" s="49" t="s">
        <v>959</v>
      </c>
      <c r="L1208" s="63">
        <v>2</v>
      </c>
      <c r="M1208" s="64">
        <v>501000</v>
      </c>
      <c r="N1208" s="64">
        <v>1100000</v>
      </c>
      <c r="O1208" s="47" t="s">
        <v>3952</v>
      </c>
      <c r="P1208" s="47" t="s">
        <v>9917</v>
      </c>
      <c r="Q1208" s="62" t="s">
        <v>1939</v>
      </c>
      <c r="R1208" s="47" t="s">
        <v>9918</v>
      </c>
      <c r="U1208" s="46" t="s">
        <v>491</v>
      </c>
      <c r="V1208" s="46"/>
    </row>
    <row r="1209" spans="1:23" s="146" customFormat="1" x14ac:dyDescent="0.25">
      <c r="A1209" s="144"/>
      <c r="B1209" s="145"/>
      <c r="J1209" s="109"/>
      <c r="K1209" s="109"/>
      <c r="L1209" s="147"/>
      <c r="M1209" s="148"/>
      <c r="N1209" s="148"/>
      <c r="O1209" s="149"/>
      <c r="P1209" s="149"/>
      <c r="Q1209" s="145"/>
      <c r="R1209" s="149"/>
      <c r="S1209" s="149"/>
      <c r="T1209" s="149"/>
      <c r="W1209" s="149"/>
    </row>
    <row r="1210" spans="1:23" x14ac:dyDescent="0.25">
      <c r="A1210" s="61"/>
      <c r="B1210" s="62"/>
      <c r="Q1210" s="62"/>
      <c r="V1210" s="46"/>
    </row>
    <row r="1211" spans="1:23" x14ac:dyDescent="0.25">
      <c r="A1211" s="61"/>
      <c r="B1211" s="62"/>
      <c r="Q1211" s="62"/>
      <c r="V1211" s="46"/>
    </row>
    <row r="1212" spans="1:23" x14ac:dyDescent="0.25">
      <c r="A1212" s="61"/>
      <c r="B1212" s="62"/>
      <c r="Q1212" s="62"/>
      <c r="V1212" s="46"/>
    </row>
    <row r="1213" spans="1:23" x14ac:dyDescent="0.25">
      <c r="A1213" s="61"/>
      <c r="B1213" s="62"/>
      <c r="Q1213" s="62"/>
      <c r="V1213" s="46"/>
    </row>
    <row r="1214" spans="1:23" x14ac:dyDescent="0.25">
      <c r="A1214" s="61"/>
      <c r="B1214" s="62"/>
      <c r="Q1214" s="62"/>
      <c r="V1214" s="46"/>
    </row>
    <row r="1215" spans="1:23" x14ac:dyDescent="0.25">
      <c r="A1215" s="61"/>
      <c r="B1215" s="62"/>
      <c r="Q1215" s="62"/>
      <c r="V1215" s="46"/>
    </row>
    <row r="1216" spans="1:23" x14ac:dyDescent="0.25">
      <c r="A1216" s="61"/>
      <c r="B1216" s="62"/>
      <c r="Q1216" s="62"/>
      <c r="V1216" s="46"/>
    </row>
    <row r="1217" spans="1:22" x14ac:dyDescent="0.25">
      <c r="A1217" s="61"/>
      <c r="B1217" s="62"/>
      <c r="Q1217" s="62"/>
      <c r="V1217" s="46"/>
    </row>
    <row r="1218" spans="1:22" x14ac:dyDescent="0.25">
      <c r="A1218" s="61"/>
      <c r="B1218" s="62"/>
      <c r="Q1218" s="62"/>
      <c r="V1218" s="46"/>
    </row>
    <row r="1219" spans="1:22" x14ac:dyDescent="0.25">
      <c r="A1219" s="61"/>
      <c r="B1219" s="62"/>
      <c r="Q1219" s="62"/>
      <c r="V1219" s="46"/>
    </row>
    <row r="1220" spans="1:22" x14ac:dyDescent="0.25">
      <c r="A1220" s="61"/>
      <c r="B1220" s="62"/>
      <c r="Q1220" s="62"/>
      <c r="V1220" s="46"/>
    </row>
    <row r="1221" spans="1:22" x14ac:dyDescent="0.25">
      <c r="A1221" s="61"/>
      <c r="B1221" s="62"/>
      <c r="Q1221" s="62"/>
      <c r="V1221" s="46"/>
    </row>
    <row r="1222" spans="1:22" x14ac:dyDescent="0.25">
      <c r="A1222" s="61"/>
      <c r="B1222" s="62"/>
      <c r="Q1222" s="62"/>
      <c r="V1222" s="46"/>
    </row>
    <row r="1223" spans="1:22" x14ac:dyDescent="0.25">
      <c r="A1223" s="61"/>
      <c r="B1223" s="62"/>
      <c r="Q1223" s="62"/>
      <c r="V1223" s="46"/>
    </row>
    <row r="1224" spans="1:22" x14ac:dyDescent="0.25">
      <c r="A1224" s="61"/>
      <c r="B1224" s="62"/>
      <c r="Q1224" s="62"/>
      <c r="V1224" s="46"/>
    </row>
    <row r="1225" spans="1:22" x14ac:dyDescent="0.25">
      <c r="A1225" s="61"/>
      <c r="B1225" s="62"/>
      <c r="Q1225" s="62"/>
      <c r="V1225" s="46"/>
    </row>
    <row r="1226" spans="1:22" x14ac:dyDescent="0.25">
      <c r="A1226" s="61"/>
      <c r="B1226" s="62"/>
      <c r="Q1226" s="62"/>
      <c r="V1226" s="46"/>
    </row>
    <row r="1227" spans="1:22" x14ac:dyDescent="0.25">
      <c r="A1227" s="61"/>
      <c r="B1227" s="62"/>
      <c r="Q1227" s="62"/>
      <c r="V1227" s="46"/>
    </row>
    <row r="1228" spans="1:22" x14ac:dyDescent="0.25">
      <c r="A1228" s="61"/>
      <c r="B1228" s="62"/>
      <c r="Q1228" s="62"/>
      <c r="V1228" s="46"/>
    </row>
    <row r="1229" spans="1:22" x14ac:dyDescent="0.25">
      <c r="A1229" s="61"/>
      <c r="B1229" s="62"/>
      <c r="Q1229" s="62"/>
      <c r="V1229" s="46"/>
    </row>
    <row r="1230" spans="1:22" x14ac:dyDescent="0.25">
      <c r="A1230" s="61"/>
      <c r="B1230" s="62"/>
      <c r="Q1230" s="62"/>
      <c r="V1230" s="46"/>
    </row>
    <row r="1231" spans="1:22" x14ac:dyDescent="0.25">
      <c r="A1231" s="61"/>
      <c r="B1231" s="62"/>
      <c r="Q1231" s="62"/>
      <c r="V1231" s="46"/>
    </row>
    <row r="1232" spans="1:22" x14ac:dyDescent="0.25">
      <c r="A1232" s="61"/>
      <c r="B1232" s="62"/>
      <c r="Q1232" s="62"/>
      <c r="V1232" s="46"/>
    </row>
    <row r="1233" spans="1:22" x14ac:dyDescent="0.25">
      <c r="A1233" s="61"/>
      <c r="B1233" s="62"/>
      <c r="Q1233" s="62"/>
      <c r="V1233" s="46"/>
    </row>
    <row r="1234" spans="1:22" x14ac:dyDescent="0.25">
      <c r="A1234" s="61"/>
      <c r="B1234" s="62"/>
      <c r="Q1234" s="62"/>
      <c r="V1234" s="46"/>
    </row>
    <row r="1235" spans="1:22" x14ac:dyDescent="0.25">
      <c r="A1235" s="61"/>
      <c r="B1235" s="62"/>
      <c r="Q1235" s="62"/>
      <c r="V1235" s="46"/>
    </row>
    <row r="1236" spans="1:22" x14ac:dyDescent="0.25">
      <c r="A1236" s="61"/>
      <c r="B1236" s="62"/>
      <c r="Q1236" s="62"/>
      <c r="V1236" s="46"/>
    </row>
    <row r="1237" spans="1:22" x14ac:dyDescent="0.25">
      <c r="A1237" s="61"/>
      <c r="B1237" s="62"/>
      <c r="Q1237" s="62"/>
      <c r="V1237" s="46"/>
    </row>
    <row r="1238" spans="1:22" x14ac:dyDescent="0.25">
      <c r="A1238" s="61"/>
      <c r="B1238" s="62"/>
      <c r="Q1238" s="62"/>
      <c r="V1238" s="46"/>
    </row>
    <row r="1239" spans="1:22" x14ac:dyDescent="0.25">
      <c r="A1239" s="61"/>
      <c r="B1239" s="62"/>
      <c r="Q1239" s="62"/>
      <c r="V1239" s="46"/>
    </row>
    <row r="1240" spans="1:22" x14ac:dyDescent="0.25">
      <c r="A1240" s="61"/>
      <c r="B1240" s="62"/>
      <c r="Q1240" s="62"/>
      <c r="V1240" s="46"/>
    </row>
    <row r="1241" spans="1:22" x14ac:dyDescent="0.25">
      <c r="A1241" s="61"/>
      <c r="B1241" s="62"/>
      <c r="Q1241" s="62"/>
      <c r="V1241" s="46"/>
    </row>
    <row r="1242" spans="1:22" x14ac:dyDescent="0.25">
      <c r="A1242" s="61"/>
      <c r="B1242" s="62"/>
      <c r="Q1242" s="62"/>
      <c r="V1242" s="46"/>
    </row>
    <row r="1243" spans="1:22" x14ac:dyDescent="0.25">
      <c r="A1243" s="61"/>
      <c r="B1243" s="62"/>
      <c r="Q1243" s="62"/>
      <c r="V1243" s="46"/>
    </row>
    <row r="1244" spans="1:22" x14ac:dyDescent="0.25">
      <c r="A1244" s="61"/>
      <c r="B1244" s="62"/>
      <c r="Q1244" s="62"/>
      <c r="V1244" s="46"/>
    </row>
    <row r="1245" spans="1:22" x14ac:dyDescent="0.25">
      <c r="A1245" s="61"/>
      <c r="B1245" s="62"/>
      <c r="Q1245" s="62"/>
      <c r="V1245" s="46"/>
    </row>
    <row r="1246" spans="1:22" x14ac:dyDescent="0.25">
      <c r="A1246" s="61"/>
      <c r="B1246" s="62"/>
      <c r="Q1246" s="62"/>
      <c r="V1246" s="46"/>
    </row>
    <row r="1247" spans="1:22" x14ac:dyDescent="0.25">
      <c r="A1247" s="61"/>
      <c r="B1247" s="62"/>
      <c r="Q1247" s="62"/>
      <c r="V1247" s="46"/>
    </row>
    <row r="1248" spans="1:22" x14ac:dyDescent="0.25">
      <c r="A1248" s="61"/>
      <c r="B1248" s="62"/>
      <c r="Q1248" s="62"/>
      <c r="V1248" s="46"/>
    </row>
    <row r="1249" spans="1:22" x14ac:dyDescent="0.25">
      <c r="A1249" s="61"/>
      <c r="B1249" s="62"/>
      <c r="Q1249" s="62"/>
      <c r="V1249" s="46"/>
    </row>
    <row r="1250" spans="1:22" x14ac:dyDescent="0.25">
      <c r="A1250" s="61"/>
      <c r="B1250" s="62"/>
      <c r="Q1250" s="62"/>
      <c r="V1250" s="46"/>
    </row>
    <row r="1251" spans="1:22" x14ac:dyDescent="0.25">
      <c r="A1251" s="61"/>
      <c r="B1251" s="62"/>
      <c r="Q1251" s="62"/>
      <c r="V1251" s="46"/>
    </row>
    <row r="1252" spans="1:22" x14ac:dyDescent="0.25">
      <c r="A1252" s="61"/>
      <c r="B1252" s="62"/>
      <c r="Q1252" s="62"/>
      <c r="V1252" s="46"/>
    </row>
    <row r="1253" spans="1:22" x14ac:dyDescent="0.25">
      <c r="A1253" s="61"/>
      <c r="B1253" s="62"/>
      <c r="Q1253" s="62"/>
      <c r="V1253" s="46"/>
    </row>
    <row r="1254" spans="1:22" x14ac:dyDescent="0.25">
      <c r="A1254" s="61"/>
      <c r="B1254" s="62"/>
      <c r="Q1254" s="62"/>
      <c r="V1254" s="46"/>
    </row>
    <row r="1255" spans="1:22" x14ac:dyDescent="0.25">
      <c r="A1255" s="61"/>
      <c r="B1255" s="62"/>
      <c r="Q1255" s="62"/>
      <c r="V1255" s="46"/>
    </row>
    <row r="1256" spans="1:22" x14ac:dyDescent="0.25">
      <c r="A1256" s="61"/>
      <c r="B1256" s="62"/>
      <c r="Q1256" s="62"/>
      <c r="V1256" s="46"/>
    </row>
    <row r="1257" spans="1:22" x14ac:dyDescent="0.25">
      <c r="A1257" s="61"/>
      <c r="B1257" s="62"/>
      <c r="Q1257" s="62"/>
      <c r="V1257" s="46"/>
    </row>
    <row r="1258" spans="1:22" x14ac:dyDescent="0.25">
      <c r="A1258" s="61"/>
      <c r="B1258" s="62"/>
      <c r="Q1258" s="62"/>
      <c r="V1258" s="46"/>
    </row>
    <row r="1259" spans="1:22" x14ac:dyDescent="0.25">
      <c r="A1259" s="61"/>
      <c r="B1259" s="62"/>
      <c r="Q1259" s="62"/>
      <c r="V1259" s="46"/>
    </row>
    <row r="1260" spans="1:22" x14ac:dyDescent="0.25">
      <c r="A1260" s="61"/>
      <c r="B1260" s="62"/>
      <c r="Q1260" s="62"/>
      <c r="V1260" s="46"/>
    </row>
    <row r="1261" spans="1:22" x14ac:dyDescent="0.25">
      <c r="A1261" s="61"/>
      <c r="B1261" s="62"/>
      <c r="Q1261" s="62"/>
      <c r="V1261" s="46"/>
    </row>
    <row r="1262" spans="1:22" x14ac:dyDescent="0.25">
      <c r="A1262" s="61"/>
      <c r="B1262" s="62"/>
      <c r="Q1262" s="62"/>
      <c r="V1262" s="46"/>
    </row>
    <row r="1263" spans="1:22" x14ac:dyDescent="0.25">
      <c r="A1263" s="61"/>
      <c r="B1263" s="62"/>
      <c r="Q1263" s="62"/>
      <c r="V1263" s="46"/>
    </row>
    <row r="1264" spans="1:22" x14ac:dyDescent="0.25">
      <c r="A1264" s="61"/>
      <c r="B1264" s="62"/>
      <c r="Q1264" s="62"/>
      <c r="V1264" s="46"/>
    </row>
    <row r="1265" spans="1:22" x14ac:dyDescent="0.25">
      <c r="A1265" s="61"/>
      <c r="B1265" s="62"/>
      <c r="Q1265" s="62"/>
      <c r="V1265" s="46"/>
    </row>
    <row r="1266" spans="1:22" x14ac:dyDescent="0.25">
      <c r="A1266" s="61"/>
      <c r="B1266" s="62"/>
      <c r="Q1266" s="62"/>
      <c r="V1266" s="46"/>
    </row>
    <row r="1267" spans="1:22" x14ac:dyDescent="0.25">
      <c r="A1267" s="61"/>
      <c r="B1267" s="62"/>
      <c r="Q1267" s="62"/>
      <c r="V1267" s="46"/>
    </row>
    <row r="1268" spans="1:22" x14ac:dyDescent="0.25">
      <c r="A1268" s="61"/>
      <c r="B1268" s="62"/>
      <c r="Q1268" s="62"/>
      <c r="V1268" s="46"/>
    </row>
    <row r="1269" spans="1:22" x14ac:dyDescent="0.25">
      <c r="A1269" s="61"/>
      <c r="B1269" s="62"/>
      <c r="Q1269" s="62"/>
      <c r="V1269" s="46"/>
    </row>
    <row r="1270" spans="1:22" x14ac:dyDescent="0.25">
      <c r="A1270" s="61"/>
      <c r="B1270" s="62"/>
      <c r="Q1270" s="62"/>
      <c r="V1270" s="46"/>
    </row>
    <row r="1271" spans="1:22" x14ac:dyDescent="0.25">
      <c r="A1271" s="61"/>
      <c r="B1271" s="62"/>
      <c r="Q1271" s="62"/>
      <c r="V1271" s="46"/>
    </row>
    <row r="1272" spans="1:22" x14ac:dyDescent="0.25">
      <c r="A1272" s="61"/>
      <c r="B1272" s="62"/>
      <c r="Q1272" s="62"/>
      <c r="V1272" s="46"/>
    </row>
    <row r="1273" spans="1:22" x14ac:dyDescent="0.25">
      <c r="A1273" s="61"/>
      <c r="B1273" s="62"/>
      <c r="Q1273" s="62"/>
      <c r="V1273" s="46"/>
    </row>
    <row r="1274" spans="1:22" x14ac:dyDescent="0.25">
      <c r="A1274" s="61"/>
      <c r="B1274" s="62"/>
      <c r="Q1274" s="62"/>
      <c r="V1274" s="46"/>
    </row>
    <row r="1275" spans="1:22" x14ac:dyDescent="0.25">
      <c r="A1275" s="61"/>
      <c r="B1275" s="62"/>
      <c r="Q1275" s="62"/>
      <c r="V1275" s="46"/>
    </row>
    <row r="1276" spans="1:22" x14ac:dyDescent="0.25">
      <c r="A1276" s="61"/>
      <c r="B1276" s="62"/>
      <c r="Q1276" s="62"/>
      <c r="V1276" s="46"/>
    </row>
    <row r="1277" spans="1:22" x14ac:dyDescent="0.25">
      <c r="A1277" s="61"/>
      <c r="B1277" s="62"/>
      <c r="Q1277" s="62"/>
      <c r="V1277" s="46"/>
    </row>
    <row r="1278" spans="1:22" x14ac:dyDescent="0.25">
      <c r="A1278" s="61"/>
      <c r="B1278" s="62"/>
      <c r="Q1278" s="62"/>
      <c r="V1278" s="46"/>
    </row>
    <row r="1279" spans="1:22" x14ac:dyDescent="0.25">
      <c r="A1279" s="61"/>
      <c r="B1279" s="62"/>
      <c r="Q1279" s="62"/>
      <c r="V1279" s="46"/>
    </row>
    <row r="1280" spans="1:22" x14ac:dyDescent="0.25">
      <c r="A1280" s="61"/>
      <c r="B1280" s="62"/>
      <c r="Q1280" s="62"/>
      <c r="V1280" s="46"/>
    </row>
    <row r="1281" spans="1:22" x14ac:dyDescent="0.25">
      <c r="A1281" s="61"/>
      <c r="B1281" s="62"/>
      <c r="Q1281" s="62"/>
      <c r="V1281" s="46"/>
    </row>
    <row r="1282" spans="1:22" x14ac:dyDescent="0.25">
      <c r="A1282" s="61"/>
      <c r="B1282" s="62"/>
      <c r="Q1282" s="62"/>
      <c r="V1282" s="46"/>
    </row>
    <row r="1283" spans="1:22" x14ac:dyDescent="0.25">
      <c r="A1283" s="61"/>
      <c r="B1283" s="62"/>
      <c r="Q1283" s="62"/>
      <c r="V1283" s="46"/>
    </row>
    <row r="1284" spans="1:22" x14ac:dyDescent="0.25">
      <c r="A1284" s="61"/>
      <c r="B1284" s="62"/>
      <c r="Q1284" s="62"/>
      <c r="V1284" s="46"/>
    </row>
    <row r="1285" spans="1:22" x14ac:dyDescent="0.25">
      <c r="A1285" s="61"/>
      <c r="B1285" s="62"/>
      <c r="Q1285" s="62"/>
      <c r="V1285" s="46"/>
    </row>
    <row r="1286" spans="1:22" x14ac:dyDescent="0.25">
      <c r="A1286" s="61"/>
      <c r="B1286" s="62"/>
      <c r="Q1286" s="62"/>
      <c r="V1286" s="46"/>
    </row>
    <row r="1287" spans="1:22" x14ac:dyDescent="0.25">
      <c r="A1287" s="61"/>
      <c r="B1287" s="62"/>
      <c r="Q1287" s="62"/>
      <c r="V1287" s="46"/>
    </row>
    <row r="1288" spans="1:22" x14ac:dyDescent="0.25">
      <c r="A1288" s="61"/>
      <c r="B1288" s="62"/>
      <c r="Q1288" s="62"/>
      <c r="V1288" s="46"/>
    </row>
    <row r="1289" spans="1:22" x14ac:dyDescent="0.25">
      <c r="A1289" s="61"/>
      <c r="B1289" s="62"/>
      <c r="Q1289" s="62"/>
      <c r="V1289" s="46"/>
    </row>
    <row r="1290" spans="1:22" x14ac:dyDescent="0.25">
      <c r="A1290" s="61"/>
      <c r="B1290" s="62"/>
      <c r="Q1290" s="62"/>
      <c r="V1290" s="46"/>
    </row>
    <row r="1291" spans="1:22" x14ac:dyDescent="0.25">
      <c r="A1291" s="61"/>
      <c r="B1291" s="62"/>
      <c r="Q1291" s="62"/>
      <c r="V1291" s="46"/>
    </row>
    <row r="1292" spans="1:22" x14ac:dyDescent="0.25">
      <c r="A1292" s="61"/>
      <c r="B1292" s="62"/>
      <c r="Q1292" s="62"/>
      <c r="V1292" s="46"/>
    </row>
    <row r="1293" spans="1:22" x14ac:dyDescent="0.25">
      <c r="A1293" s="61"/>
      <c r="B1293" s="62"/>
      <c r="Q1293" s="62"/>
      <c r="V1293" s="46"/>
    </row>
    <row r="1294" spans="1:22" x14ac:dyDescent="0.25">
      <c r="A1294" s="61"/>
      <c r="B1294" s="62"/>
      <c r="Q1294" s="62"/>
      <c r="V1294" s="46"/>
    </row>
    <row r="1295" spans="1:22" x14ac:dyDescent="0.25">
      <c r="A1295" s="61"/>
      <c r="B1295" s="62"/>
      <c r="Q1295" s="62"/>
      <c r="V1295" s="46"/>
    </row>
    <row r="1296" spans="1:22" x14ac:dyDescent="0.25">
      <c r="A1296" s="61"/>
      <c r="B1296" s="62"/>
      <c r="Q1296" s="62"/>
      <c r="V1296" s="46"/>
    </row>
    <row r="1297" spans="1:22" x14ac:dyDescent="0.25">
      <c r="A1297" s="61"/>
      <c r="B1297" s="62"/>
      <c r="Q1297" s="62"/>
      <c r="V1297" s="46"/>
    </row>
    <row r="1298" spans="1:22" x14ac:dyDescent="0.25">
      <c r="A1298" s="61"/>
      <c r="B1298" s="62"/>
      <c r="Q1298" s="62"/>
      <c r="V1298" s="46"/>
    </row>
    <row r="1299" spans="1:22" x14ac:dyDescent="0.25">
      <c r="A1299" s="61"/>
      <c r="B1299" s="62"/>
      <c r="Q1299" s="62"/>
      <c r="V1299" s="46"/>
    </row>
    <row r="1300" spans="1:22" x14ac:dyDescent="0.25">
      <c r="A1300" s="61"/>
      <c r="B1300" s="62"/>
      <c r="Q1300" s="62"/>
      <c r="V1300" s="46"/>
    </row>
    <row r="1301" spans="1:22" x14ac:dyDescent="0.25">
      <c r="A1301" s="61"/>
      <c r="B1301" s="62"/>
      <c r="Q1301" s="62"/>
      <c r="V1301" s="46"/>
    </row>
    <row r="1302" spans="1:22" x14ac:dyDescent="0.25">
      <c r="A1302" s="61"/>
      <c r="B1302" s="62"/>
      <c r="Q1302" s="62"/>
      <c r="V1302" s="46"/>
    </row>
    <row r="1303" spans="1:22" x14ac:dyDescent="0.25">
      <c r="A1303" s="61"/>
      <c r="B1303" s="62"/>
      <c r="Q1303" s="62"/>
      <c r="V1303" s="46"/>
    </row>
    <row r="1304" spans="1:22" x14ac:dyDescent="0.25">
      <c r="A1304" s="61"/>
      <c r="B1304" s="62"/>
      <c r="Q1304" s="62"/>
      <c r="V1304" s="46"/>
    </row>
    <row r="1305" spans="1:22" x14ac:dyDescent="0.25">
      <c r="A1305" s="61"/>
      <c r="B1305" s="62"/>
      <c r="Q1305" s="62"/>
      <c r="V1305" s="46"/>
    </row>
    <row r="1306" spans="1:22" x14ac:dyDescent="0.25">
      <c r="A1306" s="61"/>
      <c r="B1306" s="62"/>
      <c r="Q1306" s="62"/>
      <c r="V1306" s="46"/>
    </row>
    <row r="1307" spans="1:22" x14ac:dyDescent="0.25">
      <c r="A1307" s="61"/>
      <c r="B1307" s="62"/>
      <c r="Q1307" s="62"/>
      <c r="V1307" s="46"/>
    </row>
    <row r="1308" spans="1:22" x14ac:dyDescent="0.25">
      <c r="A1308" s="61"/>
      <c r="B1308" s="62"/>
      <c r="Q1308" s="62"/>
      <c r="V1308" s="46"/>
    </row>
    <row r="1309" spans="1:22" x14ac:dyDescent="0.25">
      <c r="A1309" s="61"/>
      <c r="B1309" s="62"/>
      <c r="Q1309" s="62"/>
      <c r="V1309" s="46"/>
    </row>
    <row r="1310" spans="1:22" x14ac:dyDescent="0.25">
      <c r="A1310" s="61"/>
      <c r="B1310" s="62"/>
      <c r="Q1310" s="62"/>
      <c r="V1310" s="46"/>
    </row>
    <row r="1311" spans="1:22" x14ac:dyDescent="0.25">
      <c r="A1311" s="61"/>
      <c r="B1311" s="62"/>
      <c r="Q1311" s="62"/>
      <c r="V1311" s="46"/>
    </row>
    <row r="1312" spans="1:22" x14ac:dyDescent="0.25">
      <c r="A1312" s="61"/>
      <c r="B1312" s="62"/>
      <c r="Q1312" s="62"/>
      <c r="V1312" s="46"/>
    </row>
    <row r="1313" spans="1:22" x14ac:dyDescent="0.25">
      <c r="A1313" s="61"/>
      <c r="B1313" s="62"/>
      <c r="Q1313" s="62"/>
      <c r="V1313" s="46"/>
    </row>
    <row r="1314" spans="1:22" x14ac:dyDescent="0.25">
      <c r="A1314" s="61"/>
      <c r="B1314" s="62"/>
      <c r="Q1314" s="62"/>
      <c r="V1314" s="46"/>
    </row>
    <row r="1315" spans="1:22" x14ac:dyDescent="0.25">
      <c r="A1315" s="61"/>
      <c r="B1315" s="62"/>
      <c r="Q1315" s="62"/>
      <c r="V1315" s="46"/>
    </row>
    <row r="1316" spans="1:22" x14ac:dyDescent="0.25">
      <c r="A1316" s="61"/>
      <c r="B1316" s="62"/>
      <c r="Q1316" s="62"/>
      <c r="V1316" s="46"/>
    </row>
    <row r="1317" spans="1:22" x14ac:dyDescent="0.25">
      <c r="A1317" s="61"/>
      <c r="B1317" s="62"/>
      <c r="Q1317" s="62"/>
      <c r="V1317" s="46"/>
    </row>
    <row r="1318" spans="1:22" x14ac:dyDescent="0.25">
      <c r="A1318" s="61"/>
      <c r="B1318" s="62"/>
      <c r="Q1318" s="62"/>
      <c r="V1318" s="46"/>
    </row>
    <row r="1319" spans="1:22" x14ac:dyDescent="0.25">
      <c r="A1319" s="61"/>
      <c r="B1319" s="62"/>
      <c r="Q1319" s="62"/>
      <c r="V1319" s="46"/>
    </row>
    <row r="1320" spans="1:22" x14ac:dyDescent="0.25">
      <c r="A1320" s="61"/>
      <c r="B1320" s="62"/>
      <c r="Q1320" s="62"/>
      <c r="V1320" s="46"/>
    </row>
    <row r="1321" spans="1:22" x14ac:dyDescent="0.25">
      <c r="A1321" s="61"/>
      <c r="B1321" s="62"/>
      <c r="Q1321" s="62"/>
      <c r="V1321" s="46"/>
    </row>
    <row r="1322" spans="1:22" x14ac:dyDescent="0.25">
      <c r="A1322" s="61"/>
      <c r="B1322" s="62"/>
      <c r="Q1322" s="62"/>
      <c r="V1322" s="46"/>
    </row>
    <row r="1323" spans="1:22" x14ac:dyDescent="0.25">
      <c r="A1323" s="61"/>
      <c r="B1323" s="62"/>
      <c r="Q1323" s="62"/>
      <c r="V1323" s="46"/>
    </row>
    <row r="1324" spans="1:22" x14ac:dyDescent="0.25">
      <c r="A1324" s="61"/>
      <c r="B1324" s="62"/>
      <c r="Q1324" s="62"/>
      <c r="V1324" s="46"/>
    </row>
    <row r="1325" spans="1:22" x14ac:dyDescent="0.25">
      <c r="A1325" s="61"/>
      <c r="B1325" s="62"/>
      <c r="Q1325" s="62"/>
      <c r="V1325" s="46"/>
    </row>
    <row r="1326" spans="1:22" x14ac:dyDescent="0.25">
      <c r="A1326" s="61"/>
      <c r="B1326" s="62"/>
      <c r="Q1326" s="62"/>
      <c r="V1326" s="46"/>
    </row>
    <row r="1327" spans="1:22" x14ac:dyDescent="0.25">
      <c r="A1327" s="61"/>
      <c r="B1327" s="62"/>
      <c r="Q1327" s="62"/>
      <c r="V1327" s="46"/>
    </row>
    <row r="1328" spans="1:22" x14ac:dyDescent="0.25">
      <c r="A1328" s="61"/>
      <c r="B1328" s="62"/>
      <c r="Q1328" s="62"/>
      <c r="V1328" s="46"/>
    </row>
    <row r="1329" spans="1:22" x14ac:dyDescent="0.25">
      <c r="A1329" s="61"/>
      <c r="B1329" s="62"/>
      <c r="Q1329" s="62"/>
      <c r="V1329" s="46"/>
    </row>
    <row r="1330" spans="1:22" x14ac:dyDescent="0.25">
      <c r="A1330" s="61"/>
      <c r="B1330" s="62"/>
      <c r="Q1330" s="62"/>
      <c r="V1330" s="46"/>
    </row>
    <row r="1331" spans="1:22" x14ac:dyDescent="0.25">
      <c r="A1331" s="61"/>
      <c r="B1331" s="62"/>
      <c r="Q1331" s="62"/>
      <c r="V1331" s="46"/>
    </row>
    <row r="1332" spans="1:22" x14ac:dyDescent="0.25">
      <c r="A1332" s="61"/>
      <c r="B1332" s="62"/>
      <c r="Q1332" s="62"/>
      <c r="V1332" s="46"/>
    </row>
    <row r="1333" spans="1:22" x14ac:dyDescent="0.25">
      <c r="A1333" s="61"/>
      <c r="B1333" s="62"/>
      <c r="Q1333" s="62"/>
      <c r="V1333" s="46"/>
    </row>
    <row r="1334" spans="1:22" x14ac:dyDescent="0.25">
      <c r="A1334" s="61"/>
      <c r="B1334" s="62"/>
      <c r="Q1334" s="62"/>
      <c r="V1334" s="46"/>
    </row>
    <row r="1335" spans="1:22" x14ac:dyDescent="0.25">
      <c r="A1335" s="61"/>
      <c r="B1335" s="62"/>
      <c r="Q1335" s="62"/>
      <c r="V1335" s="46"/>
    </row>
    <row r="1336" spans="1:22" x14ac:dyDescent="0.25">
      <c r="A1336" s="61"/>
      <c r="B1336" s="62"/>
      <c r="Q1336" s="62"/>
      <c r="V1336" s="46"/>
    </row>
    <row r="1337" spans="1:22" x14ac:dyDescent="0.25">
      <c r="A1337" s="61"/>
      <c r="B1337" s="62"/>
      <c r="Q1337" s="62"/>
      <c r="V1337" s="46"/>
    </row>
    <row r="1338" spans="1:22" x14ac:dyDescent="0.25">
      <c r="A1338" s="61"/>
      <c r="B1338" s="62"/>
      <c r="Q1338" s="62"/>
      <c r="V1338" s="46"/>
    </row>
    <row r="1339" spans="1:22" x14ac:dyDescent="0.25">
      <c r="A1339" s="61"/>
      <c r="B1339" s="62"/>
      <c r="Q1339" s="62"/>
      <c r="V1339" s="46"/>
    </row>
    <row r="1340" spans="1:22" x14ac:dyDescent="0.25">
      <c r="A1340" s="61"/>
      <c r="B1340" s="62"/>
      <c r="Q1340" s="62"/>
      <c r="V1340" s="46"/>
    </row>
    <row r="1341" spans="1:22" x14ac:dyDescent="0.25">
      <c r="A1341" s="61"/>
      <c r="B1341" s="62"/>
      <c r="Q1341" s="62"/>
      <c r="V1341" s="46"/>
    </row>
    <row r="1342" spans="1:22" x14ac:dyDescent="0.25">
      <c r="A1342" s="61"/>
      <c r="B1342" s="62"/>
      <c r="Q1342" s="62"/>
      <c r="V1342" s="46"/>
    </row>
    <row r="1343" spans="1:22" x14ac:dyDescent="0.25">
      <c r="A1343" s="61"/>
      <c r="B1343" s="62"/>
      <c r="Q1343" s="62"/>
      <c r="V1343" s="46"/>
    </row>
    <row r="1344" spans="1:22" x14ac:dyDescent="0.25">
      <c r="A1344" s="61"/>
      <c r="B1344" s="62"/>
      <c r="Q1344" s="62"/>
      <c r="V1344" s="46"/>
    </row>
    <row r="1345" spans="1:22" x14ac:dyDescent="0.25">
      <c r="A1345" s="61"/>
      <c r="B1345" s="62"/>
      <c r="Q1345" s="62"/>
      <c r="V1345" s="46"/>
    </row>
    <row r="1346" spans="1:22" x14ac:dyDescent="0.25">
      <c r="A1346" s="61"/>
      <c r="B1346" s="62"/>
      <c r="Q1346" s="62"/>
      <c r="V1346" s="46"/>
    </row>
    <row r="1347" spans="1:22" x14ac:dyDescent="0.25">
      <c r="A1347" s="61"/>
      <c r="B1347" s="62"/>
      <c r="Q1347" s="62"/>
      <c r="V1347" s="46"/>
    </row>
    <row r="1348" spans="1:22" x14ac:dyDescent="0.25">
      <c r="A1348" s="61"/>
      <c r="B1348" s="62"/>
      <c r="Q1348" s="62"/>
      <c r="V1348" s="46"/>
    </row>
    <row r="1349" spans="1:22" x14ac:dyDescent="0.25">
      <c r="A1349" s="61"/>
      <c r="B1349" s="62"/>
      <c r="Q1349" s="62"/>
      <c r="V1349" s="46"/>
    </row>
    <row r="1350" spans="1:22" x14ac:dyDescent="0.25">
      <c r="A1350" s="61"/>
      <c r="B1350" s="62"/>
      <c r="Q1350" s="62"/>
      <c r="V1350" s="46"/>
    </row>
    <row r="1351" spans="1:22" x14ac:dyDescent="0.25">
      <c r="A1351" s="61"/>
      <c r="B1351" s="62"/>
      <c r="Q1351" s="62"/>
      <c r="V1351" s="46"/>
    </row>
    <row r="1352" spans="1:22" x14ac:dyDescent="0.25">
      <c r="A1352" s="61"/>
      <c r="B1352" s="62"/>
      <c r="Q1352" s="62"/>
      <c r="V1352" s="46"/>
    </row>
    <row r="1353" spans="1:22" x14ac:dyDescent="0.25">
      <c r="A1353" s="61"/>
      <c r="B1353" s="62"/>
      <c r="Q1353" s="62"/>
      <c r="V1353" s="46"/>
    </row>
    <row r="1354" spans="1:22" x14ac:dyDescent="0.25">
      <c r="A1354" s="61"/>
      <c r="B1354" s="62"/>
      <c r="Q1354" s="62"/>
      <c r="V1354" s="46"/>
    </row>
    <row r="1355" spans="1:22" x14ac:dyDescent="0.25">
      <c r="A1355" s="61"/>
      <c r="B1355" s="62"/>
      <c r="Q1355" s="62"/>
      <c r="V1355" s="46"/>
    </row>
    <row r="1356" spans="1:22" x14ac:dyDescent="0.25">
      <c r="A1356" s="61"/>
      <c r="B1356" s="62"/>
      <c r="Q1356" s="62"/>
      <c r="V1356" s="46"/>
    </row>
    <row r="1357" spans="1:22" x14ac:dyDescent="0.25">
      <c r="A1357" s="61"/>
      <c r="B1357" s="62"/>
      <c r="Q1357" s="62"/>
      <c r="V1357" s="46"/>
    </row>
    <row r="1358" spans="1:22" x14ac:dyDescent="0.25">
      <c r="A1358" s="61"/>
      <c r="B1358" s="62"/>
      <c r="Q1358" s="62"/>
      <c r="V1358" s="46"/>
    </row>
    <row r="1359" spans="1:22" x14ac:dyDescent="0.25">
      <c r="A1359" s="61"/>
      <c r="B1359" s="62"/>
      <c r="Q1359" s="62"/>
      <c r="V1359" s="46"/>
    </row>
    <row r="1360" spans="1:22" x14ac:dyDescent="0.25">
      <c r="A1360" s="61"/>
      <c r="B1360" s="62"/>
      <c r="Q1360" s="62"/>
      <c r="V1360" s="46"/>
    </row>
    <row r="1361" spans="1:22" x14ac:dyDescent="0.25">
      <c r="A1361" s="61"/>
      <c r="B1361" s="62"/>
      <c r="Q1361" s="62"/>
      <c r="V1361" s="46"/>
    </row>
    <row r="1362" spans="1:22" x14ac:dyDescent="0.25">
      <c r="A1362" s="61"/>
      <c r="B1362" s="62"/>
      <c r="Q1362" s="62"/>
      <c r="V1362" s="46"/>
    </row>
    <row r="1363" spans="1:22" x14ac:dyDescent="0.25">
      <c r="A1363" s="61"/>
      <c r="B1363" s="62"/>
      <c r="Q1363" s="62"/>
      <c r="V1363" s="46"/>
    </row>
    <row r="1364" spans="1:22" x14ac:dyDescent="0.25">
      <c r="A1364" s="61"/>
      <c r="B1364" s="62"/>
      <c r="Q1364" s="62"/>
      <c r="V1364" s="46"/>
    </row>
    <row r="1365" spans="1:22" x14ac:dyDescent="0.25">
      <c r="A1365" s="61"/>
      <c r="B1365" s="62"/>
      <c r="Q1365" s="62"/>
      <c r="V1365" s="46"/>
    </row>
    <row r="1366" spans="1:22" x14ac:dyDescent="0.25">
      <c r="A1366" s="61"/>
      <c r="B1366" s="62"/>
      <c r="Q1366" s="62"/>
      <c r="V1366" s="46"/>
    </row>
    <row r="1367" spans="1:22" x14ac:dyDescent="0.25">
      <c r="A1367" s="61"/>
      <c r="B1367" s="62"/>
      <c r="Q1367" s="62"/>
      <c r="V1367" s="46"/>
    </row>
    <row r="1368" spans="1:22" x14ac:dyDescent="0.25">
      <c r="A1368" s="61"/>
      <c r="B1368" s="62"/>
      <c r="Q1368" s="62"/>
      <c r="V1368" s="46"/>
    </row>
    <row r="1369" spans="1:22" x14ac:dyDescent="0.25">
      <c r="A1369" s="61"/>
      <c r="B1369" s="62"/>
      <c r="Q1369" s="62"/>
      <c r="V1369" s="46"/>
    </row>
    <row r="1370" spans="1:22" x14ac:dyDescent="0.25">
      <c r="A1370" s="61"/>
      <c r="B1370" s="62"/>
      <c r="Q1370" s="62"/>
      <c r="V1370" s="46"/>
    </row>
    <row r="1371" spans="1:22" x14ac:dyDescent="0.25">
      <c r="A1371" s="61"/>
      <c r="B1371" s="62"/>
      <c r="Q1371" s="62"/>
      <c r="V1371" s="46"/>
    </row>
    <row r="1372" spans="1:22" x14ac:dyDescent="0.25">
      <c r="A1372" s="61"/>
      <c r="B1372" s="62"/>
      <c r="Q1372" s="62"/>
      <c r="V1372" s="46"/>
    </row>
    <row r="1373" spans="1:22" x14ac:dyDescent="0.25">
      <c r="A1373" s="61"/>
      <c r="B1373" s="62"/>
      <c r="Q1373" s="62"/>
      <c r="V1373" s="46"/>
    </row>
    <row r="1374" spans="1:22" x14ac:dyDescent="0.25">
      <c r="A1374" s="61"/>
      <c r="B1374" s="62"/>
      <c r="Q1374" s="62"/>
      <c r="V1374" s="46"/>
    </row>
    <row r="1375" spans="1:22" x14ac:dyDescent="0.25">
      <c r="A1375" s="61"/>
      <c r="B1375" s="62"/>
      <c r="Q1375" s="62"/>
      <c r="V1375" s="46"/>
    </row>
    <row r="1376" spans="1:22" x14ac:dyDescent="0.25">
      <c r="A1376" s="61"/>
      <c r="B1376" s="62"/>
      <c r="Q1376" s="62"/>
      <c r="V1376" s="46"/>
    </row>
    <row r="1377" spans="1:22" x14ac:dyDescent="0.25">
      <c r="A1377" s="61"/>
      <c r="B1377" s="62"/>
      <c r="Q1377" s="62"/>
      <c r="V1377" s="46"/>
    </row>
    <row r="1378" spans="1:22" x14ac:dyDescent="0.25">
      <c r="A1378" s="61"/>
      <c r="B1378" s="62"/>
      <c r="Q1378" s="62"/>
      <c r="V1378" s="46"/>
    </row>
    <row r="1379" spans="1:22" x14ac:dyDescent="0.25">
      <c r="A1379" s="61"/>
      <c r="B1379" s="62"/>
      <c r="Q1379" s="62"/>
      <c r="V1379" s="46"/>
    </row>
    <row r="1380" spans="1:22" x14ac:dyDescent="0.25">
      <c r="A1380" s="61"/>
      <c r="B1380" s="62"/>
      <c r="Q1380" s="62"/>
      <c r="V1380" s="46"/>
    </row>
    <row r="1381" spans="1:22" x14ac:dyDescent="0.25">
      <c r="A1381" s="61"/>
      <c r="B1381" s="62"/>
      <c r="Q1381" s="62"/>
      <c r="V1381" s="46"/>
    </row>
    <row r="1382" spans="1:22" x14ac:dyDescent="0.25">
      <c r="A1382" s="61"/>
      <c r="B1382" s="62"/>
      <c r="Q1382" s="62"/>
      <c r="V1382" s="46"/>
    </row>
    <row r="1383" spans="1:22" x14ac:dyDescent="0.25">
      <c r="A1383" s="61"/>
      <c r="B1383" s="62"/>
      <c r="Q1383" s="62"/>
      <c r="V1383" s="46"/>
    </row>
    <row r="1384" spans="1:22" x14ac:dyDescent="0.25">
      <c r="A1384" s="61"/>
      <c r="B1384" s="62"/>
      <c r="Q1384" s="62"/>
      <c r="V1384" s="46"/>
    </row>
    <row r="1385" spans="1:22" x14ac:dyDescent="0.25">
      <c r="A1385" s="61"/>
      <c r="B1385" s="62"/>
      <c r="Q1385" s="62"/>
      <c r="V1385" s="46"/>
    </row>
    <row r="1386" spans="1:22" x14ac:dyDescent="0.25">
      <c r="A1386" s="61"/>
      <c r="B1386" s="62"/>
      <c r="Q1386" s="62"/>
      <c r="V1386" s="46"/>
    </row>
    <row r="1387" spans="1:22" x14ac:dyDescent="0.25">
      <c r="A1387" s="61"/>
      <c r="B1387" s="62"/>
      <c r="Q1387" s="62"/>
      <c r="V1387" s="46"/>
    </row>
    <row r="1388" spans="1:22" x14ac:dyDescent="0.25">
      <c r="A1388" s="61"/>
      <c r="B1388" s="62"/>
      <c r="Q1388" s="62"/>
      <c r="V1388" s="46"/>
    </row>
    <row r="1389" spans="1:22" x14ac:dyDescent="0.25">
      <c r="A1389" s="61"/>
      <c r="B1389" s="62"/>
      <c r="Q1389" s="62"/>
      <c r="V1389" s="46"/>
    </row>
    <row r="1390" spans="1:22" x14ac:dyDescent="0.25">
      <c r="A1390" s="61"/>
      <c r="B1390" s="62"/>
      <c r="Q1390" s="62"/>
      <c r="V1390" s="46"/>
    </row>
    <row r="1391" spans="1:22" x14ac:dyDescent="0.25">
      <c r="A1391" s="61"/>
      <c r="B1391" s="62"/>
      <c r="Q1391" s="62"/>
      <c r="V1391" s="46"/>
    </row>
    <row r="1392" spans="1:22" x14ac:dyDescent="0.25">
      <c r="A1392" s="61"/>
      <c r="B1392" s="62"/>
      <c r="Q1392" s="62"/>
      <c r="V1392" s="46"/>
    </row>
    <row r="1393" spans="1:22" x14ac:dyDescent="0.25">
      <c r="A1393" s="61"/>
      <c r="B1393" s="62"/>
      <c r="Q1393" s="62"/>
      <c r="V1393" s="46"/>
    </row>
    <row r="1394" spans="1:22" x14ac:dyDescent="0.25">
      <c r="A1394" s="61"/>
      <c r="B1394" s="62"/>
      <c r="Q1394" s="62"/>
      <c r="V1394" s="46"/>
    </row>
    <row r="1395" spans="1:22" x14ac:dyDescent="0.25">
      <c r="A1395" s="61"/>
      <c r="B1395" s="62"/>
      <c r="Q1395" s="62"/>
      <c r="V1395" s="46"/>
    </row>
    <row r="1396" spans="1:22" x14ac:dyDescent="0.25">
      <c r="A1396" s="61"/>
      <c r="B1396" s="62"/>
      <c r="Q1396" s="62"/>
      <c r="V1396" s="46"/>
    </row>
    <row r="1397" spans="1:22" x14ac:dyDescent="0.25">
      <c r="A1397" s="61"/>
      <c r="B1397" s="62"/>
      <c r="Q1397" s="62"/>
      <c r="V1397" s="46"/>
    </row>
    <row r="1398" spans="1:22" x14ac:dyDescent="0.25">
      <c r="A1398" s="61"/>
      <c r="B1398" s="62"/>
      <c r="Q1398" s="62"/>
      <c r="V1398" s="46"/>
    </row>
    <row r="1399" spans="1:22" x14ac:dyDescent="0.25">
      <c r="A1399" s="61"/>
      <c r="B1399" s="62"/>
      <c r="Q1399" s="62"/>
      <c r="V1399" s="46"/>
    </row>
    <row r="1400" spans="1:22" x14ac:dyDescent="0.25">
      <c r="A1400" s="61"/>
      <c r="B1400" s="62"/>
      <c r="Q1400" s="62"/>
      <c r="V1400" s="46"/>
    </row>
    <row r="1401" spans="1:22" x14ac:dyDescent="0.25">
      <c r="A1401" s="61"/>
      <c r="B1401" s="62"/>
      <c r="Q1401" s="62"/>
      <c r="V1401" s="46"/>
    </row>
    <row r="1402" spans="1:22" x14ac:dyDescent="0.25">
      <c r="A1402" s="61"/>
      <c r="B1402" s="62"/>
      <c r="Q1402" s="62"/>
      <c r="V1402" s="46"/>
    </row>
    <row r="1403" spans="1:22" x14ac:dyDescent="0.25">
      <c r="A1403" s="61"/>
      <c r="B1403" s="62"/>
      <c r="Q1403" s="62"/>
      <c r="V1403" s="46"/>
    </row>
    <row r="1404" spans="1:22" x14ac:dyDescent="0.25">
      <c r="A1404" s="61"/>
      <c r="B1404" s="62"/>
      <c r="Q1404" s="62"/>
      <c r="V1404" s="46"/>
    </row>
    <row r="1405" spans="1:22" x14ac:dyDescent="0.25">
      <c r="A1405" s="61"/>
      <c r="B1405" s="62"/>
      <c r="Q1405" s="62"/>
      <c r="V1405" s="46"/>
    </row>
    <row r="1406" spans="1:22" x14ac:dyDescent="0.25">
      <c r="A1406" s="61"/>
      <c r="B1406" s="62"/>
      <c r="Q1406" s="62"/>
      <c r="V1406" s="46"/>
    </row>
    <row r="1407" spans="1:22" x14ac:dyDescent="0.25">
      <c r="A1407" s="61"/>
      <c r="B1407" s="62"/>
      <c r="Q1407" s="62"/>
      <c r="V1407" s="46"/>
    </row>
    <row r="1408" spans="1:22" x14ac:dyDescent="0.25">
      <c r="A1408" s="61"/>
      <c r="B1408" s="62"/>
      <c r="Q1408" s="62"/>
      <c r="V1408" s="46"/>
    </row>
    <row r="1409" spans="1:22" x14ac:dyDescent="0.25">
      <c r="A1409" s="61"/>
      <c r="B1409" s="62"/>
      <c r="Q1409" s="62"/>
      <c r="V1409" s="46"/>
    </row>
    <row r="1410" spans="1:22" x14ac:dyDescent="0.25">
      <c r="A1410" s="61"/>
      <c r="B1410" s="62"/>
      <c r="Q1410" s="62"/>
      <c r="V1410" s="46"/>
    </row>
    <row r="1411" spans="1:22" x14ac:dyDescent="0.25">
      <c r="A1411" s="61"/>
      <c r="B1411" s="62"/>
      <c r="Q1411" s="62"/>
      <c r="V1411" s="46"/>
    </row>
    <row r="1412" spans="1:22" x14ac:dyDescent="0.25">
      <c r="A1412" s="61"/>
      <c r="B1412" s="62"/>
      <c r="Q1412" s="62"/>
      <c r="V1412" s="46"/>
    </row>
    <row r="1413" spans="1:22" x14ac:dyDescent="0.25">
      <c r="A1413" s="61"/>
      <c r="B1413" s="62"/>
      <c r="Q1413" s="62"/>
      <c r="V1413" s="46"/>
    </row>
    <row r="1414" spans="1:22" x14ac:dyDescent="0.25">
      <c r="A1414" s="61"/>
      <c r="B1414" s="62"/>
      <c r="Q1414" s="62"/>
      <c r="V1414" s="46"/>
    </row>
    <row r="1415" spans="1:22" x14ac:dyDescent="0.25">
      <c r="A1415" s="61"/>
      <c r="B1415" s="62"/>
      <c r="Q1415" s="62"/>
      <c r="V1415" s="46"/>
    </row>
    <row r="1416" spans="1:22" x14ac:dyDescent="0.25">
      <c r="A1416" s="61"/>
      <c r="B1416" s="62"/>
      <c r="Q1416" s="62"/>
      <c r="V1416" s="46"/>
    </row>
    <row r="1417" spans="1:22" x14ac:dyDescent="0.25">
      <c r="A1417" s="61"/>
      <c r="B1417" s="62"/>
      <c r="Q1417" s="62"/>
      <c r="V1417" s="46"/>
    </row>
    <row r="1418" spans="1:22" x14ac:dyDescent="0.25">
      <c r="A1418" s="61"/>
      <c r="B1418" s="62"/>
      <c r="Q1418" s="62"/>
      <c r="V1418" s="46"/>
    </row>
    <row r="1419" spans="1:22" x14ac:dyDescent="0.25">
      <c r="A1419" s="61"/>
      <c r="B1419" s="62"/>
      <c r="Q1419" s="62"/>
      <c r="V1419" s="46"/>
    </row>
    <row r="1420" spans="1:22" x14ac:dyDescent="0.25">
      <c r="A1420" s="61"/>
      <c r="B1420" s="62"/>
      <c r="Q1420" s="62"/>
      <c r="V1420" s="46"/>
    </row>
    <row r="1421" spans="1:22" x14ac:dyDescent="0.25">
      <c r="A1421" s="61"/>
      <c r="B1421" s="62"/>
      <c r="Q1421" s="62"/>
      <c r="V1421" s="46"/>
    </row>
    <row r="1422" spans="1:22" x14ac:dyDescent="0.25">
      <c r="A1422" s="61"/>
      <c r="B1422" s="62"/>
      <c r="Q1422" s="62"/>
      <c r="V1422" s="46"/>
    </row>
    <row r="1423" spans="1:22" x14ac:dyDescent="0.25">
      <c r="A1423" s="61"/>
      <c r="B1423" s="62"/>
      <c r="Q1423" s="62"/>
      <c r="V1423" s="46"/>
    </row>
    <row r="1424" spans="1:22" x14ac:dyDescent="0.25">
      <c r="A1424" s="61"/>
      <c r="B1424" s="62"/>
      <c r="Q1424" s="62"/>
      <c r="V1424" s="46"/>
    </row>
    <row r="1425" spans="1:22" x14ac:dyDescent="0.25">
      <c r="A1425" s="61"/>
      <c r="B1425" s="62"/>
      <c r="Q1425" s="62"/>
      <c r="V1425" s="46"/>
    </row>
    <row r="1426" spans="1:22" x14ac:dyDescent="0.25">
      <c r="A1426" s="61"/>
      <c r="B1426" s="62"/>
      <c r="Q1426" s="62"/>
      <c r="V1426" s="46"/>
    </row>
    <row r="1427" spans="1:22" x14ac:dyDescent="0.25">
      <c r="A1427" s="61"/>
      <c r="B1427" s="62"/>
      <c r="Q1427" s="62"/>
      <c r="V1427" s="46"/>
    </row>
    <row r="1428" spans="1:22" x14ac:dyDescent="0.25">
      <c r="A1428" s="61"/>
      <c r="B1428" s="62"/>
      <c r="Q1428" s="62"/>
      <c r="V1428" s="46"/>
    </row>
    <row r="1429" spans="1:22" x14ac:dyDescent="0.25">
      <c r="A1429" s="61"/>
      <c r="B1429" s="62"/>
      <c r="Q1429" s="62"/>
      <c r="V1429" s="46"/>
    </row>
    <row r="1430" spans="1:22" x14ac:dyDescent="0.25">
      <c r="A1430" s="61"/>
      <c r="B1430" s="62"/>
      <c r="Q1430" s="62"/>
      <c r="V1430" s="46"/>
    </row>
    <row r="1431" spans="1:22" x14ac:dyDescent="0.25">
      <c r="A1431" s="61"/>
      <c r="B1431" s="62"/>
      <c r="Q1431" s="62"/>
      <c r="V1431" s="46"/>
    </row>
    <row r="1432" spans="1:22" x14ac:dyDescent="0.25">
      <c r="A1432" s="61"/>
      <c r="B1432" s="62"/>
      <c r="Q1432" s="62"/>
      <c r="V1432" s="46"/>
    </row>
    <row r="1433" spans="1:22" x14ac:dyDescent="0.25">
      <c r="A1433" s="61"/>
      <c r="B1433" s="62"/>
      <c r="Q1433" s="62"/>
      <c r="V1433" s="46"/>
    </row>
    <row r="1434" spans="1:22" x14ac:dyDescent="0.25">
      <c r="A1434" s="61"/>
      <c r="B1434" s="62"/>
      <c r="Q1434" s="62"/>
      <c r="V1434" s="46"/>
    </row>
    <row r="1435" spans="1:22" x14ac:dyDescent="0.25">
      <c r="A1435" s="61"/>
      <c r="B1435" s="62"/>
      <c r="Q1435" s="62"/>
      <c r="V1435" s="46"/>
    </row>
    <row r="1436" spans="1:22" x14ac:dyDescent="0.25">
      <c r="A1436" s="61"/>
      <c r="B1436" s="62"/>
      <c r="Q1436" s="62"/>
      <c r="V1436" s="46"/>
    </row>
    <row r="1437" spans="1:22" x14ac:dyDescent="0.25">
      <c r="A1437" s="61"/>
      <c r="B1437" s="62"/>
      <c r="Q1437" s="62"/>
      <c r="V1437" s="46"/>
    </row>
    <row r="1438" spans="1:22" x14ac:dyDescent="0.25">
      <c r="A1438" s="61"/>
      <c r="B1438" s="62"/>
      <c r="Q1438" s="62"/>
      <c r="V1438" s="46"/>
    </row>
    <row r="1439" spans="1:22" x14ac:dyDescent="0.25">
      <c r="A1439" s="61"/>
      <c r="B1439" s="62"/>
      <c r="Q1439" s="62"/>
      <c r="V1439" s="46"/>
    </row>
    <row r="1440" spans="1:22" x14ac:dyDescent="0.25">
      <c r="A1440" s="61"/>
      <c r="B1440" s="62"/>
      <c r="Q1440" s="62"/>
      <c r="V1440" s="46"/>
    </row>
    <row r="1441" spans="1:22" x14ac:dyDescent="0.25">
      <c r="A1441" s="61"/>
      <c r="B1441" s="62"/>
      <c r="Q1441" s="62"/>
      <c r="V1441" s="46"/>
    </row>
    <row r="1442" spans="1:22" x14ac:dyDescent="0.25">
      <c r="A1442" s="61"/>
      <c r="B1442" s="62"/>
      <c r="Q1442" s="62"/>
      <c r="V1442" s="46"/>
    </row>
    <row r="1443" spans="1:22" x14ac:dyDescent="0.25">
      <c r="A1443" s="61"/>
      <c r="B1443" s="62"/>
      <c r="Q1443" s="62"/>
      <c r="V1443" s="46"/>
    </row>
    <row r="1444" spans="1:22" x14ac:dyDescent="0.25">
      <c r="A1444" s="61"/>
      <c r="B1444" s="62"/>
      <c r="Q1444" s="62"/>
      <c r="V1444" s="46"/>
    </row>
    <row r="1445" spans="1:22" x14ac:dyDescent="0.25">
      <c r="A1445" s="61"/>
      <c r="B1445" s="62"/>
      <c r="Q1445" s="62"/>
      <c r="V1445" s="46"/>
    </row>
    <row r="1446" spans="1:22" x14ac:dyDescent="0.25">
      <c r="A1446" s="61"/>
      <c r="B1446" s="62"/>
      <c r="Q1446" s="62"/>
      <c r="V1446" s="46"/>
    </row>
    <row r="1447" spans="1:22" x14ac:dyDescent="0.25">
      <c r="A1447" s="61"/>
      <c r="B1447" s="62"/>
      <c r="Q1447" s="62"/>
      <c r="V1447" s="46"/>
    </row>
    <row r="1448" spans="1:22" x14ac:dyDescent="0.25">
      <c r="A1448" s="61"/>
      <c r="B1448" s="62"/>
      <c r="Q1448" s="62"/>
      <c r="V1448" s="46"/>
    </row>
    <row r="1449" spans="1:22" x14ac:dyDescent="0.25">
      <c r="A1449" s="61"/>
      <c r="B1449" s="62"/>
      <c r="Q1449" s="62"/>
      <c r="V1449" s="46"/>
    </row>
    <row r="1450" spans="1:22" x14ac:dyDescent="0.25">
      <c r="A1450" s="61"/>
      <c r="B1450" s="62"/>
      <c r="Q1450" s="62"/>
      <c r="V1450" s="46"/>
    </row>
    <row r="1451" spans="1:22" x14ac:dyDescent="0.25">
      <c r="A1451" s="61"/>
      <c r="B1451" s="62"/>
      <c r="Q1451" s="62"/>
      <c r="V1451" s="46"/>
    </row>
    <row r="1452" spans="1:22" x14ac:dyDescent="0.25">
      <c r="A1452" s="61"/>
      <c r="B1452" s="62"/>
      <c r="Q1452" s="62"/>
      <c r="V1452" s="46"/>
    </row>
    <row r="1453" spans="1:22" x14ac:dyDescent="0.25">
      <c r="A1453" s="61"/>
      <c r="B1453" s="62"/>
      <c r="Q1453" s="62"/>
      <c r="V1453" s="46"/>
    </row>
    <row r="1454" spans="1:22" x14ac:dyDescent="0.25">
      <c r="A1454" s="61"/>
      <c r="B1454" s="62"/>
      <c r="Q1454" s="62"/>
      <c r="V1454" s="46"/>
    </row>
    <row r="1455" spans="1:22" x14ac:dyDescent="0.25">
      <c r="A1455" s="61"/>
      <c r="B1455" s="62"/>
      <c r="Q1455" s="62"/>
      <c r="V1455" s="46"/>
    </row>
    <row r="1456" spans="1:22" x14ac:dyDescent="0.25">
      <c r="A1456" s="61"/>
      <c r="B1456" s="62"/>
      <c r="Q1456" s="62"/>
      <c r="V1456" s="46"/>
    </row>
    <row r="1457" spans="1:22" x14ac:dyDescent="0.25">
      <c r="A1457" s="61"/>
      <c r="B1457" s="62"/>
      <c r="Q1457" s="62"/>
      <c r="V1457" s="46"/>
    </row>
    <row r="1458" spans="1:22" x14ac:dyDescent="0.25">
      <c r="A1458" s="61"/>
      <c r="B1458" s="62"/>
      <c r="Q1458" s="62"/>
      <c r="V1458" s="46"/>
    </row>
    <row r="1459" spans="1:22" x14ac:dyDescent="0.25">
      <c r="A1459" s="61"/>
      <c r="B1459" s="62"/>
      <c r="Q1459" s="62"/>
      <c r="V1459" s="46"/>
    </row>
    <row r="1460" spans="1:22" x14ac:dyDescent="0.25">
      <c r="A1460" s="61"/>
      <c r="B1460" s="62"/>
      <c r="Q1460" s="62"/>
      <c r="V1460" s="46"/>
    </row>
    <row r="1461" spans="1:22" x14ac:dyDescent="0.25">
      <c r="A1461" s="61"/>
      <c r="B1461" s="62"/>
      <c r="Q1461" s="62"/>
      <c r="V1461" s="46"/>
    </row>
    <row r="1462" spans="1:22" x14ac:dyDescent="0.25">
      <c r="A1462" s="61"/>
      <c r="B1462" s="62"/>
      <c r="Q1462" s="62"/>
      <c r="V1462" s="46"/>
    </row>
    <row r="1463" spans="1:22" x14ac:dyDescent="0.25">
      <c r="A1463" s="61"/>
      <c r="B1463" s="62"/>
      <c r="Q1463" s="62"/>
      <c r="V1463" s="46"/>
    </row>
    <row r="1464" spans="1:22" x14ac:dyDescent="0.25">
      <c r="A1464" s="61"/>
      <c r="B1464" s="62"/>
      <c r="Q1464" s="62"/>
      <c r="V1464" s="46"/>
    </row>
    <row r="1465" spans="1:22" x14ac:dyDescent="0.25">
      <c r="A1465" s="61"/>
      <c r="B1465" s="62"/>
      <c r="Q1465" s="62"/>
      <c r="V1465" s="46"/>
    </row>
    <row r="1466" spans="1:22" x14ac:dyDescent="0.25">
      <c r="A1466" s="61"/>
      <c r="B1466" s="62"/>
      <c r="Q1466" s="62"/>
      <c r="V1466" s="46"/>
    </row>
    <row r="1467" spans="1:22" x14ac:dyDescent="0.25">
      <c r="A1467" s="61"/>
      <c r="B1467" s="62"/>
      <c r="Q1467" s="62"/>
      <c r="V1467" s="46"/>
    </row>
    <row r="1468" spans="1:22" x14ac:dyDescent="0.25">
      <c r="A1468" s="61"/>
      <c r="B1468" s="62"/>
      <c r="Q1468" s="62"/>
      <c r="V1468" s="46"/>
    </row>
    <row r="1469" spans="1:22" x14ac:dyDescent="0.25">
      <c r="A1469" s="61"/>
      <c r="B1469" s="62"/>
      <c r="Q1469" s="62"/>
      <c r="V1469" s="46"/>
    </row>
    <row r="1470" spans="1:22" x14ac:dyDescent="0.25">
      <c r="A1470" s="61"/>
      <c r="B1470" s="62"/>
      <c r="Q1470" s="62"/>
      <c r="V1470" s="46"/>
    </row>
    <row r="1471" spans="1:22" x14ac:dyDescent="0.25">
      <c r="A1471" s="61"/>
      <c r="B1471" s="62"/>
      <c r="Q1471" s="62"/>
      <c r="V1471" s="46"/>
    </row>
    <row r="1472" spans="1:22" x14ac:dyDescent="0.25">
      <c r="A1472" s="61"/>
      <c r="B1472" s="62"/>
      <c r="Q1472" s="62"/>
      <c r="V1472" s="46"/>
    </row>
    <row r="1473" spans="1:22" x14ac:dyDescent="0.25">
      <c r="A1473" s="61"/>
      <c r="B1473" s="62"/>
      <c r="Q1473" s="62"/>
      <c r="V1473" s="46"/>
    </row>
    <row r="1474" spans="1:22" x14ac:dyDescent="0.25">
      <c r="A1474" s="61"/>
      <c r="B1474" s="62"/>
      <c r="Q1474" s="62"/>
      <c r="V1474" s="46"/>
    </row>
    <row r="1475" spans="1:22" x14ac:dyDescent="0.25">
      <c r="A1475" s="61"/>
      <c r="B1475" s="62"/>
      <c r="Q1475" s="62"/>
      <c r="V1475" s="46"/>
    </row>
    <row r="1476" spans="1:22" x14ac:dyDescent="0.25">
      <c r="A1476" s="61"/>
      <c r="B1476" s="62"/>
      <c r="Q1476" s="62"/>
      <c r="V1476" s="46"/>
    </row>
    <row r="1477" spans="1:22" x14ac:dyDescent="0.25">
      <c r="A1477" s="61"/>
      <c r="B1477" s="62"/>
      <c r="Q1477" s="62"/>
      <c r="V1477" s="46"/>
    </row>
    <row r="1478" spans="1:22" x14ac:dyDescent="0.25">
      <c r="A1478" s="61"/>
      <c r="B1478" s="62"/>
      <c r="Q1478" s="62"/>
      <c r="V1478" s="46"/>
    </row>
    <row r="1479" spans="1:22" x14ac:dyDescent="0.25">
      <c r="A1479" s="61"/>
      <c r="B1479" s="62"/>
      <c r="Q1479" s="62"/>
      <c r="V1479" s="46"/>
    </row>
    <row r="1480" spans="1:22" x14ac:dyDescent="0.25">
      <c r="A1480" s="61"/>
      <c r="B1480" s="62"/>
      <c r="Q1480" s="62"/>
      <c r="V1480" s="46"/>
    </row>
    <row r="1481" spans="1:22" x14ac:dyDescent="0.25">
      <c r="A1481" s="61"/>
      <c r="B1481" s="62"/>
      <c r="Q1481" s="62"/>
      <c r="V1481" s="46"/>
    </row>
    <row r="1482" spans="1:22" x14ac:dyDescent="0.25">
      <c r="A1482" s="61"/>
      <c r="B1482" s="62"/>
      <c r="Q1482" s="62"/>
      <c r="V1482" s="46"/>
    </row>
    <row r="1483" spans="1:22" x14ac:dyDescent="0.25">
      <c r="A1483" s="61"/>
      <c r="B1483" s="62"/>
      <c r="Q1483" s="62"/>
      <c r="V1483" s="46"/>
    </row>
    <row r="1484" spans="1:22" x14ac:dyDescent="0.25">
      <c r="A1484" s="61"/>
      <c r="B1484" s="62"/>
      <c r="Q1484" s="62"/>
      <c r="V1484" s="46"/>
    </row>
    <row r="1485" spans="1:22" x14ac:dyDescent="0.25">
      <c r="A1485" s="61"/>
      <c r="B1485" s="62"/>
      <c r="Q1485" s="62"/>
      <c r="V1485" s="46"/>
    </row>
    <row r="1486" spans="1:22" x14ac:dyDescent="0.25">
      <c r="A1486" s="61"/>
      <c r="B1486" s="62"/>
      <c r="Q1486" s="62"/>
      <c r="V1486" s="46"/>
    </row>
    <row r="1487" spans="1:22" x14ac:dyDescent="0.25">
      <c r="A1487" s="61"/>
      <c r="B1487" s="62"/>
      <c r="Q1487" s="62"/>
      <c r="V1487" s="46"/>
    </row>
    <row r="1488" spans="1:22" x14ac:dyDescent="0.25">
      <c r="A1488" s="61"/>
      <c r="B1488" s="62"/>
      <c r="Q1488" s="62"/>
      <c r="V1488" s="46"/>
    </row>
    <row r="1489" spans="1:22" x14ac:dyDescent="0.25">
      <c r="A1489" s="61"/>
      <c r="B1489" s="62"/>
      <c r="Q1489" s="62"/>
      <c r="V1489" s="46"/>
    </row>
    <row r="1490" spans="1:22" x14ac:dyDescent="0.25">
      <c r="A1490" s="61"/>
      <c r="B1490" s="62"/>
      <c r="Q1490" s="62"/>
      <c r="V1490" s="46"/>
    </row>
    <row r="1491" spans="1:22" x14ac:dyDescent="0.25">
      <c r="A1491" s="61"/>
      <c r="B1491" s="62"/>
      <c r="Q1491" s="62"/>
      <c r="V1491" s="46"/>
    </row>
    <row r="1492" spans="1:22" x14ac:dyDescent="0.25">
      <c r="A1492" s="61"/>
      <c r="B1492" s="62"/>
      <c r="Q1492" s="62"/>
      <c r="V1492" s="46"/>
    </row>
    <row r="1493" spans="1:22" x14ac:dyDescent="0.25">
      <c r="A1493" s="61"/>
      <c r="B1493" s="62"/>
      <c r="Q1493" s="62"/>
      <c r="V1493" s="46"/>
    </row>
    <row r="1494" spans="1:22" x14ac:dyDescent="0.25">
      <c r="A1494" s="61"/>
      <c r="B1494" s="62"/>
      <c r="Q1494" s="62"/>
      <c r="V1494" s="46"/>
    </row>
    <row r="1495" spans="1:22" x14ac:dyDescent="0.25">
      <c r="A1495" s="61"/>
      <c r="B1495" s="62"/>
      <c r="Q1495" s="62"/>
      <c r="V1495" s="46"/>
    </row>
    <row r="1496" spans="1:22" x14ac:dyDescent="0.25">
      <c r="A1496" s="61"/>
      <c r="B1496" s="62"/>
      <c r="Q1496" s="62"/>
      <c r="V1496" s="46"/>
    </row>
    <row r="1497" spans="1:22" x14ac:dyDescent="0.25">
      <c r="A1497" s="61"/>
      <c r="B1497" s="62"/>
      <c r="Q1497" s="62"/>
      <c r="V1497" s="46"/>
    </row>
    <row r="1498" spans="1:22" x14ac:dyDescent="0.25">
      <c r="A1498" s="61"/>
      <c r="B1498" s="62"/>
      <c r="Q1498" s="62"/>
      <c r="V1498" s="46"/>
    </row>
    <row r="1499" spans="1:22" x14ac:dyDescent="0.25">
      <c r="A1499" s="61"/>
      <c r="B1499" s="62"/>
      <c r="Q1499" s="62"/>
      <c r="V1499" s="46"/>
    </row>
    <row r="1500" spans="1:22" x14ac:dyDescent="0.25">
      <c r="A1500" s="61"/>
      <c r="B1500" s="62"/>
      <c r="Q1500" s="62"/>
      <c r="V1500" s="46"/>
    </row>
    <row r="1501" spans="1:22" x14ac:dyDescent="0.25">
      <c r="A1501" s="61"/>
      <c r="B1501" s="62"/>
      <c r="Q1501" s="62"/>
      <c r="V1501" s="46"/>
    </row>
    <row r="1502" spans="1:22" x14ac:dyDescent="0.25">
      <c r="A1502" s="61"/>
      <c r="B1502" s="62"/>
      <c r="Q1502" s="62"/>
      <c r="V1502" s="46"/>
    </row>
    <row r="1503" spans="1:22" x14ac:dyDescent="0.25">
      <c r="A1503" s="61"/>
      <c r="B1503" s="62"/>
      <c r="Q1503" s="62"/>
      <c r="V1503" s="46"/>
    </row>
    <row r="1504" spans="1:22" x14ac:dyDescent="0.25">
      <c r="A1504" s="61"/>
      <c r="B1504" s="62"/>
      <c r="Q1504" s="62"/>
      <c r="V1504" s="46"/>
    </row>
    <row r="1505" spans="1:22" x14ac:dyDescent="0.25">
      <c r="A1505" s="61"/>
      <c r="B1505" s="62"/>
      <c r="Q1505" s="62"/>
      <c r="V1505" s="46"/>
    </row>
    <row r="1506" spans="1:22" x14ac:dyDescent="0.25">
      <c r="A1506" s="61"/>
      <c r="B1506" s="62"/>
      <c r="Q1506" s="62"/>
      <c r="V1506" s="46"/>
    </row>
    <row r="1507" spans="1:22" x14ac:dyDescent="0.25">
      <c r="A1507" s="61"/>
      <c r="B1507" s="62"/>
      <c r="Q1507" s="62"/>
      <c r="V1507" s="46"/>
    </row>
    <row r="1508" spans="1:22" x14ac:dyDescent="0.25">
      <c r="A1508" s="61"/>
      <c r="B1508" s="62"/>
      <c r="Q1508" s="62"/>
      <c r="V1508" s="46"/>
    </row>
    <row r="1509" spans="1:22" x14ac:dyDescent="0.25">
      <c r="A1509" s="61"/>
      <c r="B1509" s="62"/>
      <c r="Q1509" s="62"/>
      <c r="V1509" s="46"/>
    </row>
    <row r="1510" spans="1:22" x14ac:dyDescent="0.25">
      <c r="A1510" s="61"/>
      <c r="B1510" s="62"/>
      <c r="Q1510" s="62"/>
      <c r="V1510" s="46"/>
    </row>
    <row r="1511" spans="1:22" x14ac:dyDescent="0.25">
      <c r="A1511" s="61"/>
      <c r="B1511" s="62"/>
      <c r="Q1511" s="62"/>
      <c r="V1511" s="46"/>
    </row>
    <row r="1512" spans="1:22" x14ac:dyDescent="0.25">
      <c r="A1512" s="61"/>
      <c r="B1512" s="62"/>
      <c r="Q1512" s="62"/>
      <c r="V1512" s="46"/>
    </row>
    <row r="1513" spans="1:22" x14ac:dyDescent="0.25">
      <c r="A1513" s="61"/>
      <c r="B1513" s="62"/>
      <c r="Q1513" s="62"/>
      <c r="V1513" s="46"/>
    </row>
    <row r="1514" spans="1:22" x14ac:dyDescent="0.25">
      <c r="A1514" s="61"/>
      <c r="B1514" s="62"/>
      <c r="Q1514" s="62"/>
      <c r="V1514" s="46"/>
    </row>
    <row r="1515" spans="1:22" x14ac:dyDescent="0.25">
      <c r="A1515" s="61"/>
      <c r="B1515" s="62"/>
      <c r="Q1515" s="62"/>
      <c r="V1515" s="46"/>
    </row>
    <row r="1516" spans="1:22" x14ac:dyDescent="0.25">
      <c r="A1516" s="61"/>
      <c r="B1516" s="62"/>
      <c r="Q1516" s="62"/>
      <c r="V1516" s="46"/>
    </row>
    <row r="1517" spans="1:22" x14ac:dyDescent="0.25">
      <c r="A1517" s="61"/>
      <c r="B1517" s="62"/>
      <c r="Q1517" s="62"/>
      <c r="V1517" s="46"/>
    </row>
    <row r="1518" spans="1:22" x14ac:dyDescent="0.25">
      <c r="A1518" s="61"/>
      <c r="B1518" s="62"/>
      <c r="Q1518" s="62"/>
      <c r="V1518" s="46"/>
    </row>
    <row r="1519" spans="1:22" x14ac:dyDescent="0.25">
      <c r="A1519" s="61"/>
      <c r="B1519" s="62"/>
      <c r="Q1519" s="62"/>
      <c r="V1519" s="46"/>
    </row>
    <row r="1520" spans="1:22" x14ac:dyDescent="0.25">
      <c r="A1520" s="61"/>
      <c r="B1520" s="62"/>
      <c r="Q1520" s="62"/>
      <c r="V1520" s="46"/>
    </row>
    <row r="1521" spans="1:22" x14ac:dyDescent="0.25">
      <c r="A1521" s="61"/>
      <c r="B1521" s="62"/>
      <c r="Q1521" s="62"/>
      <c r="V1521" s="46"/>
    </row>
    <row r="1522" spans="1:22" x14ac:dyDescent="0.25">
      <c r="A1522" s="61"/>
      <c r="B1522" s="62"/>
      <c r="Q1522" s="62"/>
      <c r="V1522" s="46"/>
    </row>
    <row r="1523" spans="1:22" x14ac:dyDescent="0.25">
      <c r="A1523" s="61"/>
      <c r="B1523" s="62"/>
      <c r="Q1523" s="62"/>
      <c r="V1523" s="46"/>
    </row>
    <row r="1524" spans="1:22" x14ac:dyDescent="0.25">
      <c r="A1524" s="61"/>
      <c r="B1524" s="62"/>
      <c r="Q1524" s="62"/>
      <c r="V1524" s="46"/>
    </row>
    <row r="1525" spans="1:22" x14ac:dyDescent="0.25">
      <c r="A1525" s="61"/>
      <c r="B1525" s="62"/>
      <c r="Q1525" s="62"/>
      <c r="V1525" s="46"/>
    </row>
    <row r="1526" spans="1:22" x14ac:dyDescent="0.25">
      <c r="A1526" s="61"/>
      <c r="B1526" s="62"/>
      <c r="Q1526" s="62"/>
      <c r="V1526" s="46"/>
    </row>
    <row r="1527" spans="1:22" x14ac:dyDescent="0.25">
      <c r="A1527" s="61"/>
      <c r="B1527" s="62"/>
      <c r="Q1527" s="62"/>
      <c r="V1527" s="46"/>
    </row>
    <row r="1528" spans="1:22" x14ac:dyDescent="0.25">
      <c r="A1528" s="61"/>
      <c r="B1528" s="62"/>
      <c r="Q1528" s="62"/>
      <c r="V1528" s="46"/>
    </row>
    <row r="1529" spans="1:22" x14ac:dyDescent="0.25">
      <c r="A1529" s="61"/>
      <c r="B1529" s="62"/>
      <c r="Q1529" s="62"/>
      <c r="V1529" s="46"/>
    </row>
    <row r="1530" spans="1:22" x14ac:dyDescent="0.25">
      <c r="A1530" s="61"/>
      <c r="B1530" s="62"/>
      <c r="Q1530" s="62"/>
      <c r="V1530" s="46"/>
    </row>
    <row r="1531" spans="1:22" x14ac:dyDescent="0.25">
      <c r="A1531" s="61"/>
      <c r="B1531" s="62"/>
      <c r="Q1531" s="62"/>
      <c r="V1531" s="46"/>
    </row>
    <row r="1532" spans="1:22" x14ac:dyDescent="0.25">
      <c r="A1532" s="61"/>
      <c r="B1532" s="62"/>
      <c r="Q1532" s="62"/>
      <c r="V1532" s="46"/>
    </row>
    <row r="1533" spans="1:22" x14ac:dyDescent="0.25">
      <c r="A1533" s="61"/>
      <c r="B1533" s="62"/>
      <c r="Q1533" s="62"/>
      <c r="V1533" s="46"/>
    </row>
    <row r="1534" spans="1:22" x14ac:dyDescent="0.25">
      <c r="A1534" s="61"/>
      <c r="B1534" s="62"/>
      <c r="Q1534" s="62"/>
      <c r="V1534" s="46"/>
    </row>
    <row r="1535" spans="1:22" x14ac:dyDescent="0.25">
      <c r="A1535" s="61"/>
      <c r="B1535" s="62"/>
      <c r="Q1535" s="62"/>
      <c r="V1535" s="46"/>
    </row>
    <row r="1536" spans="1:22" x14ac:dyDescent="0.25">
      <c r="A1536" s="61"/>
      <c r="B1536" s="62"/>
      <c r="Q1536" s="62"/>
      <c r="V1536" s="46"/>
    </row>
    <row r="1537" spans="1:22" x14ac:dyDescent="0.25">
      <c r="A1537" s="61"/>
      <c r="B1537" s="62"/>
      <c r="Q1537" s="62"/>
      <c r="V1537" s="46"/>
    </row>
    <row r="1538" spans="1:22" x14ac:dyDescent="0.25">
      <c r="A1538" s="61"/>
      <c r="B1538" s="62"/>
      <c r="Q1538" s="62"/>
      <c r="V1538" s="46"/>
    </row>
    <row r="1539" spans="1:22" x14ac:dyDescent="0.25">
      <c r="A1539" s="61"/>
      <c r="B1539" s="62"/>
      <c r="Q1539" s="62"/>
      <c r="V1539" s="46"/>
    </row>
    <row r="1540" spans="1:22" x14ac:dyDescent="0.25">
      <c r="A1540" s="61"/>
      <c r="B1540" s="62"/>
      <c r="Q1540" s="62"/>
      <c r="V1540" s="46"/>
    </row>
    <row r="1541" spans="1:22" x14ac:dyDescent="0.25">
      <c r="A1541" s="61"/>
      <c r="B1541" s="62"/>
      <c r="Q1541" s="62"/>
      <c r="V1541" s="46"/>
    </row>
    <row r="1542" spans="1:22" x14ac:dyDescent="0.25">
      <c r="A1542" s="61"/>
      <c r="B1542" s="62"/>
      <c r="Q1542" s="62"/>
      <c r="V1542" s="46"/>
    </row>
    <row r="1543" spans="1:22" x14ac:dyDescent="0.25">
      <c r="A1543" s="61"/>
      <c r="B1543" s="62"/>
      <c r="Q1543" s="62"/>
      <c r="V1543" s="46"/>
    </row>
    <row r="1544" spans="1:22" x14ac:dyDescent="0.25">
      <c r="A1544" s="61"/>
      <c r="B1544" s="62"/>
      <c r="Q1544" s="62"/>
      <c r="V1544" s="46"/>
    </row>
    <row r="1545" spans="1:22" x14ac:dyDescent="0.25">
      <c r="A1545" s="61"/>
      <c r="B1545" s="62"/>
      <c r="Q1545" s="62"/>
      <c r="V1545" s="46"/>
    </row>
    <row r="1546" spans="1:22" x14ac:dyDescent="0.25">
      <c r="A1546" s="61"/>
      <c r="B1546" s="62"/>
      <c r="Q1546" s="62"/>
      <c r="V1546" s="46"/>
    </row>
    <row r="1547" spans="1:22" x14ac:dyDescent="0.25">
      <c r="A1547" s="61"/>
      <c r="B1547" s="62"/>
      <c r="Q1547" s="62"/>
      <c r="V1547" s="46"/>
    </row>
    <row r="1548" spans="1:22" x14ac:dyDescent="0.25">
      <c r="A1548" s="61"/>
      <c r="B1548" s="62"/>
      <c r="Q1548" s="62"/>
      <c r="V1548" s="46"/>
    </row>
    <row r="1549" spans="1:22" x14ac:dyDescent="0.25">
      <c r="A1549" s="61"/>
      <c r="B1549" s="62"/>
      <c r="Q1549" s="62"/>
      <c r="V1549" s="46"/>
    </row>
    <row r="1550" spans="1:22" x14ac:dyDescent="0.25">
      <c r="A1550" s="61"/>
      <c r="B1550" s="62"/>
      <c r="Q1550" s="62"/>
      <c r="V1550" s="46"/>
    </row>
    <row r="1551" spans="1:22" x14ac:dyDescent="0.25">
      <c r="A1551" s="61"/>
      <c r="B1551" s="62"/>
      <c r="Q1551" s="62"/>
      <c r="V1551" s="46"/>
    </row>
    <row r="1552" spans="1:22" x14ac:dyDescent="0.25">
      <c r="A1552" s="61"/>
      <c r="B1552" s="62"/>
      <c r="Q1552" s="62"/>
      <c r="V1552" s="46"/>
    </row>
    <row r="1553" spans="1:22" x14ac:dyDescent="0.25">
      <c r="A1553" s="61"/>
      <c r="B1553" s="62"/>
      <c r="Q1553" s="62"/>
      <c r="V1553" s="46"/>
    </row>
    <row r="1554" spans="1:22" x14ac:dyDescent="0.25">
      <c r="A1554" s="61"/>
      <c r="B1554" s="62"/>
      <c r="Q1554" s="62"/>
      <c r="V1554" s="46"/>
    </row>
    <row r="1555" spans="1:22" x14ac:dyDescent="0.25">
      <c r="A1555" s="61"/>
      <c r="B1555" s="62"/>
      <c r="Q1555" s="62"/>
      <c r="V1555" s="46"/>
    </row>
    <row r="1556" spans="1:22" x14ac:dyDescent="0.25">
      <c r="A1556" s="61"/>
      <c r="B1556" s="62"/>
      <c r="Q1556" s="62"/>
      <c r="V1556" s="46"/>
    </row>
    <row r="1557" spans="1:22" x14ac:dyDescent="0.25">
      <c r="A1557" s="61"/>
      <c r="B1557" s="62"/>
      <c r="Q1557" s="62"/>
      <c r="V1557" s="46"/>
    </row>
    <row r="1558" spans="1:22" x14ac:dyDescent="0.25">
      <c r="A1558" s="61"/>
      <c r="B1558" s="62"/>
      <c r="Q1558" s="62"/>
      <c r="V1558" s="46"/>
    </row>
    <row r="1559" spans="1:22" x14ac:dyDescent="0.25">
      <c r="A1559" s="61"/>
      <c r="B1559" s="62"/>
      <c r="Q1559" s="62"/>
      <c r="V1559" s="46"/>
    </row>
    <row r="1560" spans="1:22" x14ac:dyDescent="0.25">
      <c r="A1560" s="61"/>
      <c r="B1560" s="62"/>
      <c r="Q1560" s="62"/>
      <c r="V1560" s="46"/>
    </row>
    <row r="1561" spans="1:22" x14ac:dyDescent="0.25">
      <c r="A1561" s="61"/>
      <c r="B1561" s="62"/>
      <c r="Q1561" s="62"/>
      <c r="V1561" s="46"/>
    </row>
    <row r="1562" spans="1:22" x14ac:dyDescent="0.25">
      <c r="A1562" s="61"/>
      <c r="B1562" s="62"/>
      <c r="Q1562" s="62"/>
      <c r="V1562" s="46"/>
    </row>
    <row r="1563" spans="1:22" x14ac:dyDescent="0.25">
      <c r="A1563" s="61"/>
      <c r="B1563" s="62"/>
      <c r="Q1563" s="62"/>
      <c r="V1563" s="46"/>
    </row>
    <row r="1564" spans="1:22" x14ac:dyDescent="0.25">
      <c r="A1564" s="61"/>
      <c r="B1564" s="62"/>
      <c r="Q1564" s="62"/>
      <c r="V1564" s="46"/>
    </row>
    <row r="1565" spans="1:22" x14ac:dyDescent="0.25">
      <c r="A1565" s="61"/>
      <c r="B1565" s="62"/>
      <c r="Q1565" s="62"/>
      <c r="V1565" s="46"/>
    </row>
    <row r="1566" spans="1:22" x14ac:dyDescent="0.25">
      <c r="A1566" s="61"/>
      <c r="B1566" s="62"/>
      <c r="Q1566" s="62"/>
      <c r="V1566" s="46"/>
    </row>
    <row r="1567" spans="1:22" x14ac:dyDescent="0.25">
      <c r="A1567" s="61"/>
      <c r="B1567" s="62"/>
      <c r="Q1567" s="62"/>
      <c r="V1567" s="46"/>
    </row>
    <row r="1568" spans="1:22" x14ac:dyDescent="0.25">
      <c r="A1568" s="61"/>
      <c r="B1568" s="62"/>
      <c r="Q1568" s="62"/>
      <c r="V1568" s="46"/>
    </row>
    <row r="1569" spans="1:22" x14ac:dyDescent="0.25">
      <c r="A1569" s="61"/>
      <c r="B1569" s="62"/>
      <c r="Q1569" s="62"/>
      <c r="V1569" s="46"/>
    </row>
    <row r="1570" spans="1:22" x14ac:dyDescent="0.25">
      <c r="A1570" s="61"/>
      <c r="B1570" s="62"/>
      <c r="Q1570" s="62"/>
      <c r="V1570" s="46"/>
    </row>
    <row r="1571" spans="1:22" x14ac:dyDescent="0.25">
      <c r="A1571" s="61"/>
      <c r="B1571" s="62"/>
      <c r="Q1571" s="62"/>
      <c r="V1571" s="46"/>
    </row>
    <row r="1572" spans="1:22" x14ac:dyDescent="0.25">
      <c r="A1572" s="61"/>
      <c r="B1572" s="62"/>
      <c r="Q1572" s="62"/>
      <c r="V1572" s="46"/>
    </row>
    <row r="1573" spans="1:22" x14ac:dyDescent="0.25">
      <c r="A1573" s="61"/>
      <c r="B1573" s="62"/>
      <c r="Q1573" s="62"/>
      <c r="V1573" s="46"/>
    </row>
    <row r="1574" spans="1:22" x14ac:dyDescent="0.25">
      <c r="A1574" s="61"/>
      <c r="B1574" s="62"/>
      <c r="Q1574" s="62"/>
      <c r="V1574" s="46"/>
    </row>
    <row r="1575" spans="1:22" x14ac:dyDescent="0.25">
      <c r="A1575" s="61"/>
      <c r="B1575" s="62"/>
      <c r="Q1575" s="62"/>
      <c r="V1575" s="46"/>
    </row>
    <row r="1576" spans="1:22" x14ac:dyDescent="0.25">
      <c r="A1576" s="61"/>
      <c r="B1576" s="62"/>
      <c r="Q1576" s="62"/>
      <c r="V1576" s="46"/>
    </row>
    <row r="1577" spans="1:22" x14ac:dyDescent="0.25">
      <c r="A1577" s="61"/>
      <c r="B1577" s="62"/>
      <c r="Q1577" s="62"/>
      <c r="V1577" s="46"/>
    </row>
    <row r="1578" spans="1:22" x14ac:dyDescent="0.25">
      <c r="A1578" s="61"/>
      <c r="B1578" s="62"/>
      <c r="Q1578" s="62"/>
      <c r="V1578" s="46"/>
    </row>
    <row r="1579" spans="1:22" x14ac:dyDescent="0.25">
      <c r="A1579" s="61"/>
      <c r="B1579" s="62"/>
      <c r="Q1579" s="62"/>
      <c r="V1579" s="46"/>
    </row>
    <row r="1580" spans="1:22" x14ac:dyDescent="0.25">
      <c r="A1580" s="61"/>
      <c r="B1580" s="62"/>
      <c r="Q1580" s="62"/>
      <c r="V1580" s="46"/>
    </row>
    <row r="1581" spans="1:22" x14ac:dyDescent="0.25">
      <c r="A1581" s="61"/>
      <c r="B1581" s="62"/>
      <c r="Q1581" s="62"/>
      <c r="V1581" s="46"/>
    </row>
    <row r="1582" spans="1:22" x14ac:dyDescent="0.25">
      <c r="A1582" s="61"/>
      <c r="B1582" s="62"/>
      <c r="Q1582" s="62"/>
      <c r="V1582" s="46"/>
    </row>
    <row r="1583" spans="1:22" x14ac:dyDescent="0.25">
      <c r="A1583" s="61"/>
      <c r="B1583" s="62"/>
      <c r="Q1583" s="62"/>
      <c r="V1583" s="46"/>
    </row>
    <row r="1584" spans="1:22" x14ac:dyDescent="0.25">
      <c r="A1584" s="61"/>
      <c r="B1584" s="62"/>
      <c r="Q1584" s="62"/>
      <c r="V1584" s="46"/>
    </row>
    <row r="1585" spans="1:22" x14ac:dyDescent="0.25">
      <c r="A1585" s="61"/>
      <c r="B1585" s="62"/>
      <c r="Q1585" s="62"/>
      <c r="V1585" s="46"/>
    </row>
    <row r="1586" spans="1:22" x14ac:dyDescent="0.25">
      <c r="B1586" s="62"/>
      <c r="Q1586" s="62"/>
      <c r="V1586" s="46"/>
    </row>
    <row r="1587" spans="1:22" x14ac:dyDescent="0.25">
      <c r="B1587" s="62"/>
      <c r="Q1587" s="62"/>
      <c r="V1587" s="46"/>
    </row>
    <row r="1588" spans="1:22" x14ac:dyDescent="0.25">
      <c r="B1588" s="62"/>
      <c r="Q1588" s="62"/>
      <c r="V1588" s="46"/>
    </row>
    <row r="1589" spans="1:22" x14ac:dyDescent="0.25">
      <c r="B1589" s="62"/>
      <c r="Q1589" s="62"/>
      <c r="V1589" s="46"/>
    </row>
    <row r="1590" spans="1:22" x14ac:dyDescent="0.25">
      <c r="B1590" s="62"/>
      <c r="Q1590" s="62"/>
      <c r="V1590" s="46"/>
    </row>
    <row r="1591" spans="1:22" x14ac:dyDescent="0.25">
      <c r="B1591" s="62"/>
      <c r="Q1591" s="62"/>
      <c r="V1591" s="46"/>
    </row>
    <row r="1592" spans="1:22" x14ac:dyDescent="0.25">
      <c r="B1592" s="62"/>
      <c r="Q1592" s="62"/>
      <c r="V1592" s="46"/>
    </row>
    <row r="1593" spans="1:22" x14ac:dyDescent="0.25">
      <c r="B1593" s="62"/>
      <c r="Q1593" s="62"/>
      <c r="V1593" s="46"/>
    </row>
    <row r="1594" spans="1:22" x14ac:dyDescent="0.25">
      <c r="B1594" s="62"/>
      <c r="Q1594" s="62"/>
      <c r="V1594" s="46"/>
    </row>
    <row r="1595" spans="1:22" x14ac:dyDescent="0.25">
      <c r="B1595" s="62"/>
      <c r="J1595" s="46"/>
      <c r="K1595" s="46"/>
      <c r="L1595" s="46"/>
      <c r="M1595" s="46"/>
      <c r="N1595" s="46"/>
      <c r="O1595" s="46"/>
      <c r="Q1595" s="62"/>
      <c r="V1595" s="46"/>
    </row>
    <row r="1596" spans="1:22" x14ac:dyDescent="0.25">
      <c r="B1596" s="62"/>
      <c r="J1596" s="46"/>
      <c r="K1596" s="46"/>
      <c r="L1596" s="46"/>
      <c r="M1596" s="46"/>
      <c r="N1596" s="46"/>
      <c r="O1596" s="46"/>
      <c r="Q1596" s="62"/>
      <c r="V1596" s="46"/>
    </row>
    <row r="1597" spans="1:22" x14ac:dyDescent="0.25">
      <c r="B1597" s="62"/>
      <c r="J1597" s="46"/>
      <c r="K1597" s="46"/>
      <c r="L1597" s="46"/>
      <c r="M1597" s="46"/>
      <c r="N1597" s="46"/>
      <c r="O1597" s="46"/>
      <c r="Q1597" s="62"/>
      <c r="V1597" s="46"/>
    </row>
    <row r="1598" spans="1:22" x14ac:dyDescent="0.25">
      <c r="B1598" s="62"/>
      <c r="J1598" s="46"/>
      <c r="K1598" s="46"/>
      <c r="L1598" s="46"/>
      <c r="M1598" s="46"/>
      <c r="N1598" s="46"/>
      <c r="O1598" s="46"/>
      <c r="Q1598" s="62"/>
      <c r="V1598" s="46"/>
    </row>
    <row r="1599" spans="1:22" x14ac:dyDescent="0.25">
      <c r="B1599" s="62"/>
      <c r="J1599" s="46"/>
      <c r="K1599" s="46"/>
      <c r="L1599" s="46"/>
      <c r="M1599" s="46"/>
      <c r="N1599" s="46"/>
      <c r="O1599" s="46"/>
      <c r="Q1599" s="62"/>
      <c r="V1599" s="46"/>
    </row>
    <row r="1600" spans="1:22" x14ac:dyDescent="0.25">
      <c r="B1600" s="62"/>
      <c r="J1600" s="46"/>
      <c r="K1600" s="46"/>
      <c r="L1600" s="46"/>
      <c r="M1600" s="46"/>
      <c r="N1600" s="46"/>
      <c r="O1600" s="46"/>
      <c r="Q1600" s="62"/>
      <c r="V1600" s="46"/>
    </row>
    <row r="1601" spans="2:22" x14ac:dyDescent="0.25">
      <c r="B1601" s="62"/>
      <c r="J1601" s="46"/>
      <c r="K1601" s="46"/>
      <c r="L1601" s="46"/>
      <c r="M1601" s="46"/>
      <c r="N1601" s="46"/>
      <c r="O1601" s="46"/>
      <c r="Q1601" s="62"/>
      <c r="V1601" s="46"/>
    </row>
    <row r="1602" spans="2:22" x14ac:dyDescent="0.25">
      <c r="B1602" s="62"/>
      <c r="J1602" s="46"/>
      <c r="K1602" s="46"/>
      <c r="L1602" s="46"/>
      <c r="M1602" s="46"/>
      <c r="N1602" s="46"/>
      <c r="O1602" s="46"/>
      <c r="Q1602" s="62"/>
      <c r="V1602" s="46"/>
    </row>
    <row r="1603" spans="2:22" x14ac:dyDescent="0.25">
      <c r="B1603" s="62"/>
      <c r="J1603" s="46"/>
      <c r="K1603" s="46"/>
      <c r="L1603" s="46"/>
      <c r="M1603" s="46"/>
      <c r="N1603" s="46"/>
      <c r="O1603" s="46"/>
      <c r="Q1603" s="62"/>
      <c r="V1603" s="46"/>
    </row>
    <row r="1604" spans="2:22" x14ac:dyDescent="0.25">
      <c r="B1604" s="62"/>
      <c r="J1604" s="46"/>
      <c r="K1604" s="46"/>
      <c r="L1604" s="46"/>
      <c r="M1604" s="46"/>
      <c r="N1604" s="46"/>
      <c r="O1604" s="46"/>
      <c r="Q1604" s="62"/>
      <c r="V1604" s="46"/>
    </row>
    <row r="1605" spans="2:22" x14ac:dyDescent="0.25">
      <c r="B1605" s="62"/>
      <c r="J1605" s="46"/>
      <c r="K1605" s="46"/>
      <c r="L1605" s="46"/>
      <c r="M1605" s="46"/>
      <c r="N1605" s="46"/>
      <c r="O1605" s="46"/>
      <c r="Q1605" s="62"/>
      <c r="V1605" s="46"/>
    </row>
    <row r="1606" spans="2:22" x14ac:dyDescent="0.25">
      <c r="B1606" s="62"/>
      <c r="J1606" s="46"/>
      <c r="K1606" s="46"/>
      <c r="L1606" s="46"/>
      <c r="M1606" s="46"/>
      <c r="N1606" s="46"/>
      <c r="O1606" s="46"/>
      <c r="Q1606" s="62"/>
      <c r="V1606" s="46"/>
    </row>
    <row r="1607" spans="2:22" x14ac:dyDescent="0.25">
      <c r="B1607" s="62"/>
      <c r="J1607" s="46"/>
      <c r="K1607" s="46"/>
      <c r="L1607" s="46"/>
      <c r="M1607" s="46"/>
      <c r="N1607" s="46"/>
      <c r="O1607" s="46"/>
      <c r="Q1607" s="62"/>
      <c r="V1607" s="46"/>
    </row>
    <row r="1608" spans="2:22" x14ac:dyDescent="0.25">
      <c r="B1608" s="62"/>
      <c r="J1608" s="46"/>
      <c r="K1608" s="46"/>
      <c r="L1608" s="46"/>
      <c r="M1608" s="46"/>
      <c r="N1608" s="46"/>
      <c r="O1608" s="46"/>
      <c r="Q1608" s="62"/>
      <c r="V1608" s="46"/>
    </row>
    <row r="1609" spans="2:22" x14ac:dyDescent="0.25">
      <c r="B1609" s="62"/>
      <c r="J1609" s="46"/>
      <c r="K1609" s="46"/>
      <c r="L1609" s="46"/>
      <c r="M1609" s="46"/>
      <c r="N1609" s="46"/>
      <c r="O1609" s="46"/>
      <c r="Q1609" s="62"/>
      <c r="V1609" s="46"/>
    </row>
    <row r="1610" spans="2:22" x14ac:dyDescent="0.25">
      <c r="B1610" s="62"/>
      <c r="J1610" s="46"/>
      <c r="K1610" s="46"/>
      <c r="L1610" s="46"/>
      <c r="M1610" s="46"/>
      <c r="N1610" s="46"/>
      <c r="O1610" s="46"/>
      <c r="Q1610" s="62"/>
      <c r="V1610" s="46"/>
    </row>
    <row r="1611" spans="2:22" x14ac:dyDescent="0.25">
      <c r="B1611" s="62"/>
      <c r="J1611" s="46"/>
      <c r="K1611" s="46"/>
      <c r="L1611" s="46"/>
      <c r="M1611" s="46"/>
      <c r="N1611" s="46"/>
      <c r="O1611" s="46"/>
      <c r="Q1611" s="62"/>
      <c r="V1611" s="46"/>
    </row>
    <row r="1612" spans="2:22" x14ac:dyDescent="0.25">
      <c r="B1612" s="62"/>
      <c r="J1612" s="46"/>
      <c r="K1612" s="46"/>
      <c r="L1612" s="46"/>
      <c r="M1612" s="46"/>
      <c r="N1612" s="46"/>
      <c r="O1612" s="46"/>
      <c r="Q1612" s="62"/>
      <c r="V1612" s="46"/>
    </row>
    <row r="1613" spans="2:22" x14ac:dyDescent="0.25">
      <c r="B1613" s="62"/>
      <c r="J1613" s="46"/>
      <c r="K1613" s="46"/>
      <c r="L1613" s="46"/>
      <c r="M1613" s="46"/>
      <c r="N1613" s="46"/>
      <c r="O1613" s="46"/>
      <c r="Q1613" s="62"/>
      <c r="V1613" s="46"/>
    </row>
    <row r="1614" spans="2:22" x14ac:dyDescent="0.25">
      <c r="B1614" s="62"/>
      <c r="J1614" s="46"/>
      <c r="K1614" s="46"/>
      <c r="L1614" s="46"/>
      <c r="M1614" s="46"/>
      <c r="N1614" s="46"/>
      <c r="O1614" s="46"/>
      <c r="Q1614" s="62"/>
      <c r="V1614" s="46"/>
    </row>
    <row r="1615" spans="2:22" x14ac:dyDescent="0.25">
      <c r="B1615" s="62"/>
      <c r="J1615" s="46"/>
      <c r="K1615" s="46"/>
      <c r="L1615" s="46"/>
      <c r="M1615" s="46"/>
      <c r="N1615" s="46"/>
      <c r="O1615" s="46"/>
      <c r="Q1615" s="62"/>
      <c r="V1615" s="46"/>
    </row>
    <row r="1616" spans="2:22" x14ac:dyDescent="0.25">
      <c r="B1616" s="62"/>
      <c r="J1616" s="46"/>
      <c r="K1616" s="46"/>
      <c r="L1616" s="46"/>
      <c r="M1616" s="46"/>
      <c r="N1616" s="46"/>
      <c r="O1616" s="46"/>
      <c r="Q1616" s="62"/>
      <c r="V1616" s="46"/>
    </row>
    <row r="1617" spans="2:22" x14ac:dyDescent="0.25">
      <c r="B1617" s="62"/>
      <c r="J1617" s="46"/>
      <c r="K1617" s="46"/>
      <c r="L1617" s="46"/>
      <c r="M1617" s="46"/>
      <c r="N1617" s="46"/>
      <c r="O1617" s="46"/>
      <c r="Q1617" s="62"/>
      <c r="V1617" s="46"/>
    </row>
    <row r="1618" spans="2:22" x14ac:dyDescent="0.25">
      <c r="B1618" s="62"/>
      <c r="J1618" s="46"/>
      <c r="K1618" s="46"/>
      <c r="L1618" s="46"/>
      <c r="M1618" s="46"/>
      <c r="N1618" s="46"/>
      <c r="O1618" s="46"/>
      <c r="Q1618" s="62"/>
      <c r="V1618" s="46"/>
    </row>
    <row r="1619" spans="2:22" x14ac:dyDescent="0.25">
      <c r="B1619" s="62"/>
      <c r="J1619" s="46"/>
      <c r="K1619" s="46"/>
      <c r="L1619" s="46"/>
      <c r="M1619" s="46"/>
      <c r="N1619" s="46"/>
      <c r="O1619" s="46"/>
      <c r="Q1619" s="62"/>
      <c r="V1619" s="46"/>
    </row>
    <row r="1620" spans="2:22" x14ac:dyDescent="0.25">
      <c r="B1620" s="62"/>
      <c r="J1620" s="46"/>
      <c r="K1620" s="46"/>
      <c r="L1620" s="46"/>
      <c r="M1620" s="46"/>
      <c r="N1620" s="46"/>
      <c r="O1620" s="46"/>
      <c r="Q1620" s="62"/>
      <c r="V1620" s="46"/>
    </row>
    <row r="1621" spans="2:22" x14ac:dyDescent="0.25">
      <c r="B1621" s="62"/>
      <c r="J1621" s="46"/>
      <c r="K1621" s="46"/>
      <c r="L1621" s="46"/>
      <c r="M1621" s="46"/>
      <c r="N1621" s="46"/>
      <c r="O1621" s="46"/>
      <c r="Q1621" s="62"/>
      <c r="V1621" s="46"/>
    </row>
    <row r="1622" spans="2:22" x14ac:dyDescent="0.25">
      <c r="B1622" s="62"/>
      <c r="J1622" s="46"/>
      <c r="K1622" s="46"/>
      <c r="L1622" s="46"/>
      <c r="M1622" s="46"/>
      <c r="N1622" s="46"/>
      <c r="O1622" s="46"/>
      <c r="Q1622" s="62"/>
      <c r="V1622" s="46"/>
    </row>
    <row r="1623" spans="2:22" x14ac:dyDescent="0.25">
      <c r="B1623" s="62"/>
      <c r="J1623" s="46"/>
      <c r="K1623" s="46"/>
      <c r="L1623" s="46"/>
      <c r="M1623" s="46"/>
      <c r="N1623" s="46"/>
      <c r="O1623" s="46"/>
      <c r="Q1623" s="62"/>
      <c r="V1623" s="46"/>
    </row>
    <row r="1624" spans="2:22" x14ac:dyDescent="0.25">
      <c r="B1624" s="62"/>
      <c r="J1624" s="46"/>
      <c r="K1624" s="46"/>
      <c r="L1624" s="46"/>
      <c r="M1624" s="46"/>
      <c r="N1624" s="46"/>
      <c r="O1624" s="46"/>
      <c r="Q1624" s="62"/>
      <c r="V1624" s="46"/>
    </row>
    <row r="1625" spans="2:22" x14ac:dyDescent="0.25">
      <c r="B1625" s="62"/>
      <c r="J1625" s="46"/>
      <c r="K1625" s="46"/>
      <c r="L1625" s="46"/>
      <c r="M1625" s="46"/>
      <c r="N1625" s="46"/>
      <c r="O1625" s="46"/>
      <c r="Q1625" s="62"/>
      <c r="V1625" s="46"/>
    </row>
    <row r="1626" spans="2:22" x14ac:dyDescent="0.25">
      <c r="B1626" s="62"/>
      <c r="J1626" s="46"/>
      <c r="K1626" s="46"/>
      <c r="L1626" s="46"/>
      <c r="M1626" s="46"/>
      <c r="N1626" s="46"/>
      <c r="O1626" s="46"/>
      <c r="Q1626" s="62"/>
      <c r="V1626" s="46"/>
    </row>
    <row r="1627" spans="2:22" x14ac:dyDescent="0.25">
      <c r="B1627" s="62"/>
      <c r="J1627" s="46"/>
      <c r="K1627" s="46"/>
      <c r="L1627" s="46"/>
      <c r="M1627" s="46"/>
      <c r="N1627" s="46"/>
      <c r="O1627" s="46"/>
      <c r="Q1627" s="62"/>
      <c r="V1627" s="46"/>
    </row>
    <row r="1628" spans="2:22" x14ac:dyDescent="0.25">
      <c r="B1628" s="62"/>
      <c r="J1628" s="46"/>
      <c r="K1628" s="46"/>
      <c r="L1628" s="46"/>
      <c r="M1628" s="46"/>
      <c r="N1628" s="46"/>
      <c r="O1628" s="46"/>
      <c r="Q1628" s="62"/>
      <c r="V1628" s="46"/>
    </row>
    <row r="1629" spans="2:22" x14ac:dyDescent="0.25">
      <c r="B1629" s="62"/>
      <c r="J1629" s="46"/>
      <c r="K1629" s="46"/>
      <c r="L1629" s="46"/>
      <c r="M1629" s="46"/>
      <c r="N1629" s="46"/>
      <c r="O1629" s="46"/>
      <c r="Q1629" s="62"/>
      <c r="V1629" s="46"/>
    </row>
    <row r="1630" spans="2:22" x14ac:dyDescent="0.25">
      <c r="B1630" s="62"/>
      <c r="J1630" s="46"/>
      <c r="K1630" s="46"/>
      <c r="L1630" s="46"/>
      <c r="M1630" s="46"/>
      <c r="N1630" s="46"/>
      <c r="O1630" s="46"/>
      <c r="Q1630" s="62"/>
      <c r="V1630" s="46"/>
    </row>
    <row r="1631" spans="2:22" x14ac:dyDescent="0.25">
      <c r="B1631" s="62"/>
      <c r="J1631" s="46"/>
      <c r="K1631" s="46"/>
      <c r="L1631" s="46"/>
      <c r="M1631" s="46"/>
      <c r="N1631" s="46"/>
      <c r="O1631" s="46"/>
      <c r="Q1631" s="62"/>
      <c r="V1631" s="46"/>
    </row>
    <row r="1632" spans="2:22" x14ac:dyDescent="0.25">
      <c r="B1632" s="62"/>
      <c r="J1632" s="46"/>
      <c r="K1632" s="46"/>
      <c r="L1632" s="46"/>
      <c r="M1632" s="46"/>
      <c r="N1632" s="46"/>
      <c r="O1632" s="46"/>
      <c r="Q1632" s="62"/>
      <c r="V1632" s="46"/>
    </row>
    <row r="1633" spans="2:22" x14ac:dyDescent="0.25">
      <c r="B1633" s="62"/>
      <c r="J1633" s="46"/>
      <c r="K1633" s="46"/>
      <c r="L1633" s="46"/>
      <c r="M1633" s="46"/>
      <c r="N1633" s="46"/>
      <c r="O1633" s="46"/>
      <c r="Q1633" s="62"/>
      <c r="V1633" s="46"/>
    </row>
    <row r="1634" spans="2:22" x14ac:dyDescent="0.25">
      <c r="B1634" s="62"/>
      <c r="J1634" s="46"/>
      <c r="K1634" s="46"/>
      <c r="L1634" s="46"/>
      <c r="M1634" s="46"/>
      <c r="N1634" s="46"/>
      <c r="O1634" s="46"/>
      <c r="Q1634" s="62"/>
      <c r="V1634" s="46"/>
    </row>
    <row r="1635" spans="2:22" x14ac:dyDescent="0.25">
      <c r="B1635" s="62"/>
      <c r="J1635" s="46"/>
      <c r="K1635" s="46"/>
      <c r="L1635" s="46"/>
      <c r="M1635" s="46"/>
      <c r="N1635" s="46"/>
      <c r="O1635" s="46"/>
      <c r="Q1635" s="62"/>
      <c r="V1635" s="46"/>
    </row>
    <row r="1636" spans="2:22" x14ac:dyDescent="0.25">
      <c r="B1636" s="62"/>
      <c r="J1636" s="46"/>
      <c r="K1636" s="46"/>
      <c r="L1636" s="46"/>
      <c r="M1636" s="46"/>
      <c r="N1636" s="46"/>
      <c r="O1636" s="46"/>
      <c r="Q1636" s="62"/>
      <c r="V1636" s="46"/>
    </row>
    <row r="1637" spans="2:22" x14ac:dyDescent="0.25">
      <c r="B1637" s="62"/>
      <c r="J1637" s="46"/>
      <c r="K1637" s="46"/>
      <c r="L1637" s="46"/>
      <c r="M1637" s="46"/>
      <c r="N1637" s="46"/>
      <c r="O1637" s="46"/>
      <c r="Q1637" s="62"/>
      <c r="V1637" s="46"/>
    </row>
    <row r="1638" spans="2:22" x14ac:dyDescent="0.25">
      <c r="B1638" s="62"/>
      <c r="J1638" s="46"/>
      <c r="K1638" s="46"/>
      <c r="L1638" s="46"/>
      <c r="M1638" s="46"/>
      <c r="N1638" s="46"/>
      <c r="O1638" s="46"/>
      <c r="Q1638" s="62"/>
      <c r="V1638" s="46"/>
    </row>
    <row r="1639" spans="2:22" x14ac:dyDescent="0.25">
      <c r="B1639" s="62"/>
      <c r="J1639" s="46"/>
      <c r="K1639" s="46"/>
      <c r="L1639" s="46"/>
      <c r="M1639" s="46"/>
      <c r="N1639" s="46"/>
      <c r="O1639" s="46"/>
      <c r="Q1639" s="62"/>
      <c r="V1639" s="46"/>
    </row>
    <row r="1640" spans="2:22" x14ac:dyDescent="0.25">
      <c r="B1640" s="62"/>
      <c r="J1640" s="46"/>
      <c r="K1640" s="46"/>
      <c r="L1640" s="46"/>
      <c r="M1640" s="46"/>
      <c r="N1640" s="46"/>
      <c r="O1640" s="46"/>
      <c r="Q1640" s="62"/>
      <c r="V1640" s="46"/>
    </row>
    <row r="1641" spans="2:22" x14ac:dyDescent="0.25">
      <c r="B1641" s="62"/>
      <c r="J1641" s="46"/>
      <c r="K1641" s="46"/>
      <c r="L1641" s="46"/>
      <c r="M1641" s="46"/>
      <c r="N1641" s="46"/>
      <c r="O1641" s="46"/>
      <c r="Q1641" s="62"/>
      <c r="V1641" s="46"/>
    </row>
    <row r="1642" spans="2:22" x14ac:dyDescent="0.25">
      <c r="B1642" s="62"/>
      <c r="J1642" s="46"/>
      <c r="K1642" s="46"/>
      <c r="L1642" s="46"/>
      <c r="M1642" s="46"/>
      <c r="N1642" s="46"/>
      <c r="O1642" s="46"/>
      <c r="Q1642" s="62"/>
      <c r="V1642" s="46"/>
    </row>
    <row r="1643" spans="2:22" x14ac:dyDescent="0.25">
      <c r="B1643" s="62"/>
      <c r="J1643" s="46"/>
      <c r="K1643" s="46"/>
      <c r="L1643" s="46"/>
      <c r="M1643" s="46"/>
      <c r="N1643" s="46"/>
      <c r="O1643" s="46"/>
      <c r="Q1643" s="62"/>
      <c r="V1643" s="46"/>
    </row>
    <row r="1644" spans="2:22" x14ac:dyDescent="0.25">
      <c r="B1644" s="62"/>
      <c r="J1644" s="46"/>
      <c r="K1644" s="46"/>
      <c r="L1644" s="46"/>
      <c r="M1644" s="46"/>
      <c r="N1644" s="46"/>
      <c r="O1644" s="46"/>
      <c r="Q1644" s="62"/>
      <c r="V1644" s="46"/>
    </row>
    <row r="1645" spans="2:22" x14ac:dyDescent="0.25">
      <c r="B1645" s="62"/>
      <c r="J1645" s="46"/>
      <c r="K1645" s="46"/>
      <c r="L1645" s="46"/>
      <c r="M1645" s="46"/>
      <c r="N1645" s="46"/>
      <c r="O1645" s="46"/>
      <c r="Q1645" s="62"/>
      <c r="V1645" s="46"/>
    </row>
    <row r="1646" spans="2:22" x14ac:dyDescent="0.25">
      <c r="B1646" s="62"/>
      <c r="J1646" s="46"/>
      <c r="K1646" s="46"/>
      <c r="L1646" s="46"/>
      <c r="M1646" s="46"/>
      <c r="N1646" s="46"/>
      <c r="O1646" s="46"/>
      <c r="Q1646" s="62"/>
      <c r="V1646" s="46"/>
    </row>
    <row r="1647" spans="2:22" x14ac:dyDescent="0.25">
      <c r="B1647" s="62"/>
      <c r="J1647" s="46"/>
      <c r="K1647" s="46"/>
      <c r="L1647" s="46"/>
      <c r="M1647" s="46"/>
      <c r="N1647" s="46"/>
      <c r="O1647" s="46"/>
      <c r="Q1647" s="62"/>
      <c r="V1647" s="46"/>
    </row>
    <row r="1648" spans="2:22" x14ac:dyDescent="0.25">
      <c r="B1648" s="62"/>
      <c r="J1648" s="46"/>
      <c r="K1648" s="46"/>
      <c r="L1648" s="46"/>
      <c r="M1648" s="46"/>
      <c r="N1648" s="46"/>
      <c r="O1648" s="46"/>
      <c r="Q1648" s="62"/>
      <c r="V1648" s="46"/>
    </row>
    <row r="1649" spans="2:22" x14ac:dyDescent="0.25">
      <c r="B1649" s="62"/>
      <c r="J1649" s="46"/>
      <c r="K1649" s="46"/>
      <c r="L1649" s="46"/>
      <c r="M1649" s="46"/>
      <c r="N1649" s="46"/>
      <c r="O1649" s="46"/>
      <c r="Q1649" s="62"/>
      <c r="V1649" s="46"/>
    </row>
    <row r="1650" spans="2:22" x14ac:dyDescent="0.25">
      <c r="B1650" s="62"/>
      <c r="J1650" s="46"/>
      <c r="K1650" s="46"/>
      <c r="L1650" s="46"/>
      <c r="M1650" s="46"/>
      <c r="N1650" s="46"/>
      <c r="O1650" s="46"/>
      <c r="Q1650" s="62"/>
      <c r="V1650" s="46"/>
    </row>
    <row r="1651" spans="2:22" x14ac:dyDescent="0.25">
      <c r="B1651" s="62"/>
      <c r="J1651" s="46"/>
      <c r="K1651" s="46"/>
      <c r="L1651" s="46"/>
      <c r="M1651" s="46"/>
      <c r="N1651" s="46"/>
      <c r="O1651" s="46"/>
      <c r="Q1651" s="62"/>
      <c r="V1651" s="46"/>
    </row>
    <row r="1652" spans="2:22" x14ac:dyDescent="0.25">
      <c r="B1652" s="62"/>
      <c r="J1652" s="46"/>
      <c r="K1652" s="46"/>
      <c r="L1652" s="46"/>
      <c r="M1652" s="46"/>
      <c r="N1652" s="46"/>
      <c r="O1652" s="46"/>
      <c r="Q1652" s="62"/>
      <c r="V1652" s="46"/>
    </row>
    <row r="1653" spans="2:22" x14ac:dyDescent="0.25">
      <c r="B1653" s="62"/>
      <c r="J1653" s="46"/>
      <c r="K1653" s="46"/>
      <c r="L1653" s="46"/>
      <c r="M1653" s="46"/>
      <c r="N1653" s="46"/>
      <c r="O1653" s="46"/>
      <c r="Q1653" s="62"/>
      <c r="V1653" s="46"/>
    </row>
    <row r="1654" spans="2:22" x14ac:dyDescent="0.25">
      <c r="B1654" s="62"/>
      <c r="J1654" s="46"/>
      <c r="K1654" s="46"/>
      <c r="L1654" s="46"/>
      <c r="M1654" s="46"/>
      <c r="N1654" s="46"/>
      <c r="O1654" s="46"/>
      <c r="Q1654" s="62"/>
      <c r="V1654" s="46"/>
    </row>
    <row r="1655" spans="2:22" x14ac:dyDescent="0.25">
      <c r="B1655" s="62"/>
      <c r="J1655" s="46"/>
      <c r="K1655" s="46"/>
      <c r="L1655" s="46"/>
      <c r="M1655" s="46"/>
      <c r="N1655" s="46"/>
      <c r="O1655" s="46"/>
      <c r="Q1655" s="62"/>
      <c r="V1655" s="46"/>
    </row>
    <row r="1656" spans="2:22" x14ac:dyDescent="0.25">
      <c r="B1656" s="62"/>
      <c r="J1656" s="46"/>
      <c r="K1656" s="46"/>
      <c r="L1656" s="46"/>
      <c r="M1656" s="46"/>
      <c r="N1656" s="46"/>
      <c r="O1656" s="46"/>
      <c r="Q1656" s="62"/>
      <c r="V1656" s="46"/>
    </row>
    <row r="1657" spans="2:22" x14ac:dyDescent="0.25">
      <c r="B1657" s="62"/>
      <c r="J1657" s="46"/>
      <c r="K1657" s="46"/>
      <c r="L1657" s="46"/>
      <c r="M1657" s="46"/>
      <c r="N1657" s="46"/>
      <c r="O1657" s="46"/>
      <c r="Q1657" s="62"/>
      <c r="V1657" s="46"/>
    </row>
    <row r="1658" spans="2:22" x14ac:dyDescent="0.25">
      <c r="B1658" s="62"/>
      <c r="J1658" s="46"/>
      <c r="K1658" s="46"/>
      <c r="L1658" s="46"/>
      <c r="M1658" s="46"/>
      <c r="N1658" s="46"/>
      <c r="O1658" s="46"/>
      <c r="Q1658" s="62"/>
      <c r="V1658" s="46"/>
    </row>
    <row r="1659" spans="2:22" x14ac:dyDescent="0.25">
      <c r="B1659" s="62"/>
      <c r="J1659" s="46"/>
      <c r="K1659" s="46"/>
      <c r="L1659" s="46"/>
      <c r="M1659" s="46"/>
      <c r="N1659" s="46"/>
      <c r="O1659" s="46"/>
      <c r="Q1659" s="62"/>
      <c r="V1659" s="46"/>
    </row>
    <row r="1660" spans="2:22" x14ac:dyDescent="0.25">
      <c r="B1660" s="62"/>
      <c r="J1660" s="46"/>
      <c r="K1660" s="46"/>
      <c r="L1660" s="46"/>
      <c r="M1660" s="46"/>
      <c r="N1660" s="46"/>
      <c r="O1660" s="46"/>
      <c r="Q1660" s="62"/>
      <c r="V1660" s="46"/>
    </row>
    <row r="1661" spans="2:22" x14ac:dyDescent="0.25">
      <c r="B1661" s="62"/>
      <c r="J1661" s="46"/>
      <c r="K1661" s="46"/>
      <c r="L1661" s="46"/>
      <c r="M1661" s="46"/>
      <c r="N1661" s="46"/>
      <c r="O1661" s="46"/>
      <c r="Q1661" s="62"/>
      <c r="V1661" s="46"/>
    </row>
    <row r="1662" spans="2:22" x14ac:dyDescent="0.25">
      <c r="B1662" s="62"/>
      <c r="J1662" s="46"/>
      <c r="K1662" s="46"/>
      <c r="L1662" s="46"/>
      <c r="M1662" s="46"/>
      <c r="N1662" s="46"/>
      <c r="O1662" s="46"/>
      <c r="Q1662" s="62"/>
      <c r="V1662" s="46"/>
    </row>
    <row r="1663" spans="2:22" x14ac:dyDescent="0.25">
      <c r="B1663" s="62"/>
      <c r="J1663" s="46"/>
      <c r="K1663" s="46"/>
      <c r="L1663" s="46"/>
      <c r="M1663" s="46"/>
      <c r="N1663" s="46"/>
      <c r="O1663" s="46"/>
      <c r="Q1663" s="62"/>
      <c r="V1663" s="46"/>
    </row>
    <row r="1664" spans="2:22" x14ac:dyDescent="0.25">
      <c r="B1664" s="62"/>
      <c r="J1664" s="46"/>
      <c r="K1664" s="46"/>
      <c r="L1664" s="46"/>
      <c r="M1664" s="46"/>
      <c r="N1664" s="46"/>
      <c r="O1664" s="46"/>
      <c r="Q1664" s="62"/>
      <c r="V1664" s="46"/>
    </row>
    <row r="1665" spans="2:22" x14ac:dyDescent="0.25">
      <c r="B1665" s="62"/>
      <c r="J1665" s="46"/>
      <c r="K1665" s="46"/>
      <c r="L1665" s="46"/>
      <c r="M1665" s="46"/>
      <c r="N1665" s="46"/>
      <c r="O1665" s="46"/>
      <c r="Q1665" s="62"/>
      <c r="V1665" s="46"/>
    </row>
    <row r="1666" spans="2:22" x14ac:dyDescent="0.25">
      <c r="B1666" s="62"/>
      <c r="J1666" s="46"/>
      <c r="K1666" s="46"/>
      <c r="L1666" s="46"/>
      <c r="M1666" s="46"/>
      <c r="N1666" s="46"/>
      <c r="O1666" s="46"/>
      <c r="Q1666" s="62"/>
      <c r="V1666" s="46"/>
    </row>
    <row r="1667" spans="2:22" x14ac:dyDescent="0.25">
      <c r="B1667" s="62"/>
      <c r="J1667" s="46"/>
      <c r="K1667" s="46"/>
      <c r="L1667" s="46"/>
      <c r="M1667" s="46"/>
      <c r="N1667" s="46"/>
      <c r="O1667" s="46"/>
      <c r="Q1667" s="62"/>
      <c r="V1667" s="46"/>
    </row>
    <row r="1668" spans="2:22" x14ac:dyDescent="0.25">
      <c r="B1668" s="62"/>
      <c r="J1668" s="46"/>
      <c r="K1668" s="46"/>
      <c r="L1668" s="46"/>
      <c r="M1668" s="46"/>
      <c r="N1668" s="46"/>
      <c r="O1668" s="46"/>
      <c r="Q1668" s="62"/>
      <c r="V1668" s="46"/>
    </row>
    <row r="1669" spans="2:22" x14ac:dyDescent="0.25">
      <c r="B1669" s="62"/>
      <c r="J1669" s="46"/>
      <c r="K1669" s="46"/>
      <c r="L1669" s="46"/>
      <c r="M1669" s="46"/>
      <c r="N1669" s="46"/>
      <c r="O1669" s="46"/>
      <c r="Q1669" s="62"/>
      <c r="V1669" s="46"/>
    </row>
    <row r="1670" spans="2:22" x14ac:dyDescent="0.25">
      <c r="B1670" s="62"/>
      <c r="J1670" s="46"/>
      <c r="K1670" s="46"/>
      <c r="L1670" s="46"/>
      <c r="M1670" s="46"/>
      <c r="N1670" s="46"/>
      <c r="O1670" s="46"/>
      <c r="Q1670" s="62"/>
      <c r="V1670" s="46"/>
    </row>
    <row r="1671" spans="2:22" x14ac:dyDescent="0.25">
      <c r="B1671" s="62"/>
      <c r="J1671" s="46"/>
      <c r="K1671" s="46"/>
      <c r="L1671" s="46"/>
      <c r="M1671" s="46"/>
      <c r="N1671" s="46"/>
      <c r="O1671" s="46"/>
      <c r="Q1671" s="62"/>
      <c r="V1671" s="46"/>
    </row>
    <row r="1672" spans="2:22" x14ac:dyDescent="0.25">
      <c r="B1672" s="62"/>
      <c r="J1672" s="46"/>
      <c r="K1672" s="46"/>
      <c r="L1672" s="46"/>
      <c r="M1672" s="46"/>
      <c r="N1672" s="46"/>
      <c r="O1672" s="46"/>
      <c r="Q1672" s="62"/>
      <c r="V1672" s="46"/>
    </row>
    <row r="1673" spans="2:22" x14ac:dyDescent="0.25">
      <c r="B1673" s="62"/>
      <c r="J1673" s="46"/>
      <c r="K1673" s="46"/>
      <c r="L1673" s="46"/>
      <c r="M1673" s="46"/>
      <c r="N1673" s="46"/>
      <c r="O1673" s="46"/>
      <c r="Q1673" s="62"/>
      <c r="V1673" s="46"/>
    </row>
    <row r="1674" spans="2:22" x14ac:dyDescent="0.25">
      <c r="B1674" s="62"/>
      <c r="J1674" s="46"/>
      <c r="K1674" s="46"/>
      <c r="L1674" s="46"/>
      <c r="M1674" s="46"/>
      <c r="N1674" s="46"/>
      <c r="O1674" s="46"/>
      <c r="Q1674" s="62"/>
      <c r="V1674" s="46"/>
    </row>
    <row r="1675" spans="2:22" x14ac:dyDescent="0.25">
      <c r="B1675" s="62"/>
      <c r="J1675" s="46"/>
      <c r="K1675" s="46"/>
      <c r="L1675" s="46"/>
      <c r="M1675" s="46"/>
      <c r="N1675" s="46"/>
      <c r="O1675" s="46"/>
      <c r="Q1675" s="62"/>
      <c r="V1675" s="46"/>
    </row>
    <row r="1676" spans="2:22" x14ac:dyDescent="0.25">
      <c r="B1676" s="62"/>
      <c r="J1676" s="46"/>
      <c r="K1676" s="46"/>
      <c r="L1676" s="46"/>
      <c r="M1676" s="46"/>
      <c r="N1676" s="46"/>
      <c r="O1676" s="46"/>
      <c r="Q1676" s="62"/>
      <c r="V1676" s="46"/>
    </row>
    <row r="1677" spans="2:22" x14ac:dyDescent="0.25">
      <c r="B1677" s="62"/>
      <c r="J1677" s="46"/>
      <c r="K1677" s="46"/>
      <c r="L1677" s="46"/>
      <c r="M1677" s="46"/>
      <c r="N1677" s="46"/>
      <c r="O1677" s="46"/>
      <c r="Q1677" s="62"/>
      <c r="V1677" s="46"/>
    </row>
    <row r="1678" spans="2:22" x14ac:dyDescent="0.25">
      <c r="B1678" s="62"/>
      <c r="J1678" s="46"/>
      <c r="K1678" s="46"/>
      <c r="L1678" s="46"/>
      <c r="M1678" s="46"/>
      <c r="N1678" s="46"/>
      <c r="O1678" s="46"/>
      <c r="Q1678" s="62"/>
      <c r="V1678" s="46"/>
    </row>
    <row r="1679" spans="2:22" x14ac:dyDescent="0.25">
      <c r="B1679" s="62"/>
      <c r="J1679" s="46"/>
      <c r="K1679" s="46"/>
      <c r="L1679" s="46"/>
      <c r="M1679" s="46"/>
      <c r="N1679" s="46"/>
      <c r="O1679" s="46"/>
      <c r="Q1679" s="62"/>
      <c r="V1679" s="46"/>
    </row>
    <row r="1680" spans="2:22" x14ac:dyDescent="0.25">
      <c r="B1680" s="62"/>
      <c r="J1680" s="46"/>
      <c r="K1680" s="46"/>
      <c r="L1680" s="46"/>
      <c r="M1680" s="46"/>
      <c r="N1680" s="46"/>
      <c r="O1680" s="46"/>
      <c r="Q1680" s="62"/>
      <c r="V1680" s="46"/>
    </row>
    <row r="1681" spans="2:22" x14ac:dyDescent="0.25">
      <c r="B1681" s="62"/>
      <c r="J1681" s="46"/>
      <c r="K1681" s="46"/>
      <c r="L1681" s="46"/>
      <c r="M1681" s="46"/>
      <c r="N1681" s="46"/>
      <c r="O1681" s="46"/>
      <c r="Q1681" s="62"/>
      <c r="V1681" s="46"/>
    </row>
    <row r="1682" spans="2:22" x14ac:dyDescent="0.25">
      <c r="B1682" s="62"/>
      <c r="J1682" s="46"/>
      <c r="K1682" s="46"/>
      <c r="L1682" s="46"/>
      <c r="M1682" s="46"/>
      <c r="N1682" s="46"/>
      <c r="O1682" s="46"/>
      <c r="Q1682" s="62"/>
      <c r="V1682" s="46"/>
    </row>
    <row r="1683" spans="2:22" x14ac:dyDescent="0.25">
      <c r="B1683" s="62"/>
      <c r="J1683" s="46"/>
      <c r="K1683" s="46"/>
      <c r="L1683" s="46"/>
      <c r="M1683" s="46"/>
      <c r="N1683" s="46"/>
      <c r="O1683" s="46"/>
      <c r="Q1683" s="62"/>
      <c r="V1683" s="46"/>
    </row>
    <row r="1684" spans="2:22" x14ac:dyDescent="0.25">
      <c r="B1684" s="62"/>
      <c r="J1684" s="46"/>
      <c r="K1684" s="46"/>
      <c r="L1684" s="46"/>
      <c r="M1684" s="46"/>
      <c r="N1684" s="46"/>
      <c r="O1684" s="46"/>
      <c r="Q1684" s="62"/>
      <c r="V1684" s="46"/>
    </row>
    <row r="1685" spans="2:22" x14ac:dyDescent="0.25">
      <c r="B1685" s="62"/>
      <c r="J1685" s="46"/>
      <c r="K1685" s="46"/>
      <c r="L1685" s="46"/>
      <c r="M1685" s="46"/>
      <c r="N1685" s="46"/>
      <c r="O1685" s="46"/>
      <c r="Q1685" s="62"/>
      <c r="V1685" s="46"/>
    </row>
    <row r="1686" spans="2:22" x14ac:dyDescent="0.25">
      <c r="B1686" s="62"/>
      <c r="J1686" s="46"/>
      <c r="K1686" s="46"/>
      <c r="L1686" s="46"/>
      <c r="M1686" s="46"/>
      <c r="N1686" s="46"/>
      <c r="O1686" s="46"/>
      <c r="Q1686" s="62"/>
      <c r="V1686" s="46"/>
    </row>
    <row r="1687" spans="2:22" x14ac:dyDescent="0.25">
      <c r="B1687" s="62"/>
      <c r="J1687" s="46"/>
      <c r="K1687" s="46"/>
      <c r="L1687" s="46"/>
      <c r="M1687" s="46"/>
      <c r="N1687" s="46"/>
      <c r="O1687" s="46"/>
      <c r="Q1687" s="62"/>
      <c r="V1687" s="46"/>
    </row>
    <row r="1688" spans="2:22" x14ac:dyDescent="0.25">
      <c r="B1688" s="62"/>
      <c r="J1688" s="46"/>
      <c r="K1688" s="46"/>
      <c r="L1688" s="46"/>
      <c r="M1688" s="46"/>
      <c r="N1688" s="46"/>
      <c r="O1688" s="46"/>
      <c r="Q1688" s="62"/>
      <c r="V1688" s="46"/>
    </row>
    <row r="1689" spans="2:22" x14ac:dyDescent="0.25">
      <c r="B1689" s="62"/>
      <c r="J1689" s="46"/>
      <c r="K1689" s="46"/>
      <c r="L1689" s="46"/>
      <c r="M1689" s="46"/>
      <c r="N1689" s="46"/>
      <c r="O1689" s="46"/>
      <c r="Q1689" s="62"/>
      <c r="V1689" s="46"/>
    </row>
    <row r="1690" spans="2:22" x14ac:dyDescent="0.25">
      <c r="B1690" s="62"/>
      <c r="J1690" s="46"/>
      <c r="K1690" s="46"/>
      <c r="L1690" s="46"/>
      <c r="M1690" s="46"/>
      <c r="N1690" s="46"/>
      <c r="O1690" s="46"/>
      <c r="Q1690" s="62"/>
      <c r="V1690" s="46"/>
    </row>
    <row r="1691" spans="2:22" x14ac:dyDescent="0.25">
      <c r="B1691" s="62"/>
      <c r="J1691" s="46"/>
      <c r="K1691" s="46"/>
      <c r="L1691" s="46"/>
      <c r="M1691" s="46"/>
      <c r="N1691" s="46"/>
      <c r="O1691" s="46"/>
      <c r="Q1691" s="62"/>
      <c r="V1691" s="46"/>
    </row>
    <row r="1692" spans="2:22" x14ac:dyDescent="0.25">
      <c r="B1692" s="62"/>
      <c r="J1692" s="46"/>
      <c r="K1692" s="46"/>
      <c r="L1692" s="46"/>
      <c r="M1692" s="46"/>
      <c r="N1692" s="46"/>
      <c r="O1692" s="46"/>
      <c r="Q1692" s="62"/>
      <c r="V1692" s="46"/>
    </row>
    <row r="1693" spans="2:22" x14ac:dyDescent="0.25">
      <c r="B1693" s="62"/>
      <c r="J1693" s="46"/>
      <c r="K1693" s="46"/>
      <c r="L1693" s="46"/>
      <c r="M1693" s="46"/>
      <c r="N1693" s="46"/>
      <c r="O1693" s="46"/>
      <c r="Q1693" s="62"/>
      <c r="V1693" s="46"/>
    </row>
    <row r="1694" spans="2:22" x14ac:dyDescent="0.25">
      <c r="B1694" s="62"/>
      <c r="J1694" s="46"/>
      <c r="K1694" s="46"/>
      <c r="L1694" s="46"/>
      <c r="M1694" s="46"/>
      <c r="N1694" s="46"/>
      <c r="O1694" s="46"/>
      <c r="Q1694" s="62"/>
      <c r="V1694" s="46"/>
    </row>
    <row r="1695" spans="2:22" x14ac:dyDescent="0.25">
      <c r="B1695" s="62"/>
      <c r="J1695" s="46"/>
      <c r="K1695" s="46"/>
      <c r="L1695" s="46"/>
      <c r="M1695" s="46"/>
      <c r="N1695" s="46"/>
      <c r="O1695" s="46"/>
      <c r="Q1695" s="62"/>
      <c r="V1695" s="46"/>
    </row>
    <row r="1696" spans="2:22" x14ac:dyDescent="0.25">
      <c r="B1696" s="62"/>
      <c r="J1696" s="46"/>
      <c r="K1696" s="46"/>
      <c r="L1696" s="46"/>
      <c r="M1696" s="46"/>
      <c r="N1696" s="46"/>
      <c r="O1696" s="46"/>
      <c r="Q1696" s="62"/>
      <c r="V1696" s="46"/>
    </row>
    <row r="1697" spans="2:22" x14ac:dyDescent="0.25">
      <c r="B1697" s="62"/>
      <c r="J1697" s="46"/>
      <c r="K1697" s="46"/>
      <c r="L1697" s="46"/>
      <c r="M1697" s="46"/>
      <c r="N1697" s="46"/>
      <c r="O1697" s="46"/>
      <c r="Q1697" s="62"/>
      <c r="V1697" s="46"/>
    </row>
    <row r="1698" spans="2:22" x14ac:dyDescent="0.25">
      <c r="B1698" s="62"/>
      <c r="J1698" s="46"/>
      <c r="K1698" s="46"/>
      <c r="L1698" s="46"/>
      <c r="M1698" s="46"/>
      <c r="N1698" s="46"/>
      <c r="O1698" s="46"/>
      <c r="Q1698" s="62"/>
      <c r="V1698" s="46"/>
    </row>
    <row r="1699" spans="2:22" x14ac:dyDescent="0.25">
      <c r="B1699" s="62"/>
      <c r="J1699" s="46"/>
      <c r="K1699" s="46"/>
      <c r="L1699" s="46"/>
      <c r="M1699" s="46"/>
      <c r="N1699" s="46"/>
      <c r="O1699" s="46"/>
      <c r="Q1699" s="62"/>
      <c r="V1699" s="46"/>
    </row>
    <row r="1700" spans="2:22" x14ac:dyDescent="0.25">
      <c r="B1700" s="62"/>
      <c r="J1700" s="46"/>
      <c r="K1700" s="46"/>
      <c r="L1700" s="46"/>
      <c r="M1700" s="46"/>
      <c r="N1700" s="46"/>
      <c r="O1700" s="46"/>
      <c r="Q1700" s="62"/>
      <c r="V1700" s="46"/>
    </row>
    <row r="1701" spans="2:22" x14ac:dyDescent="0.25">
      <c r="B1701" s="62"/>
      <c r="J1701" s="46"/>
      <c r="K1701" s="46"/>
      <c r="L1701" s="46"/>
      <c r="M1701" s="46"/>
      <c r="N1701" s="46"/>
      <c r="O1701" s="46"/>
      <c r="Q1701" s="62"/>
      <c r="V1701" s="46"/>
    </row>
    <row r="1702" spans="2:22" x14ac:dyDescent="0.25">
      <c r="B1702" s="62"/>
      <c r="J1702" s="46"/>
      <c r="K1702" s="46"/>
      <c r="L1702" s="46"/>
      <c r="M1702" s="46"/>
      <c r="N1702" s="46"/>
      <c r="O1702" s="46"/>
      <c r="Q1702" s="62"/>
      <c r="V1702" s="46"/>
    </row>
    <row r="1703" spans="2:22" x14ac:dyDescent="0.25">
      <c r="B1703" s="62"/>
      <c r="J1703" s="46"/>
      <c r="K1703" s="46"/>
      <c r="L1703" s="46"/>
      <c r="M1703" s="46"/>
      <c r="N1703" s="46"/>
      <c r="O1703" s="46"/>
      <c r="Q1703" s="62"/>
      <c r="V1703" s="46"/>
    </row>
    <row r="1704" spans="2:22" x14ac:dyDescent="0.25">
      <c r="B1704" s="62"/>
      <c r="J1704" s="46"/>
      <c r="K1704" s="46"/>
      <c r="L1704" s="46"/>
      <c r="M1704" s="46"/>
      <c r="N1704" s="46"/>
      <c r="O1704" s="46"/>
      <c r="Q1704" s="62"/>
      <c r="V1704" s="46"/>
    </row>
    <row r="1705" spans="2:22" x14ac:dyDescent="0.25">
      <c r="B1705" s="62"/>
      <c r="J1705" s="46"/>
      <c r="K1705" s="46"/>
      <c r="L1705" s="46"/>
      <c r="M1705" s="46"/>
      <c r="N1705" s="46"/>
      <c r="O1705" s="46"/>
      <c r="Q1705" s="62"/>
      <c r="V1705" s="46"/>
    </row>
    <row r="1706" spans="2:22" x14ac:dyDescent="0.25">
      <c r="B1706" s="62"/>
      <c r="J1706" s="46"/>
      <c r="K1706" s="46"/>
      <c r="L1706" s="46"/>
      <c r="M1706" s="46"/>
      <c r="N1706" s="46"/>
      <c r="O1706" s="46"/>
      <c r="Q1706" s="62"/>
      <c r="V1706" s="46"/>
    </row>
    <row r="1707" spans="2:22" x14ac:dyDescent="0.25">
      <c r="B1707" s="62"/>
      <c r="J1707" s="46"/>
      <c r="K1707" s="46"/>
      <c r="L1707" s="46"/>
      <c r="M1707" s="46"/>
      <c r="N1707" s="46"/>
      <c r="O1707" s="46"/>
      <c r="Q1707" s="62"/>
      <c r="V1707" s="46"/>
    </row>
    <row r="1708" spans="2:22" x14ac:dyDescent="0.25">
      <c r="B1708" s="62"/>
      <c r="J1708" s="46"/>
      <c r="K1708" s="46"/>
      <c r="L1708" s="46"/>
      <c r="M1708" s="46"/>
      <c r="N1708" s="46"/>
      <c r="O1708" s="46"/>
      <c r="Q1708" s="62"/>
      <c r="V1708" s="46"/>
    </row>
    <row r="1709" spans="2:22" x14ac:dyDescent="0.25">
      <c r="B1709" s="62"/>
      <c r="J1709" s="46"/>
      <c r="K1709" s="46"/>
      <c r="L1709" s="46"/>
      <c r="M1709" s="46"/>
      <c r="N1709" s="46"/>
      <c r="O1709" s="46"/>
      <c r="Q1709" s="62"/>
      <c r="V1709" s="46"/>
    </row>
    <row r="1710" spans="2:22" x14ac:dyDescent="0.25">
      <c r="B1710" s="62"/>
      <c r="J1710" s="46"/>
      <c r="K1710" s="46"/>
      <c r="L1710" s="46"/>
      <c r="M1710" s="46"/>
      <c r="N1710" s="46"/>
      <c r="O1710" s="46"/>
      <c r="Q1710" s="62"/>
      <c r="V1710" s="46"/>
    </row>
    <row r="1711" spans="2:22" x14ac:dyDescent="0.25">
      <c r="B1711" s="62"/>
      <c r="J1711" s="46"/>
      <c r="K1711" s="46"/>
      <c r="L1711" s="46"/>
      <c r="M1711" s="46"/>
      <c r="N1711" s="46"/>
      <c r="O1711" s="46"/>
      <c r="Q1711" s="62"/>
      <c r="V1711" s="46"/>
    </row>
    <row r="1712" spans="2:22" x14ac:dyDescent="0.25">
      <c r="B1712" s="62"/>
      <c r="J1712" s="46"/>
      <c r="K1712" s="46"/>
      <c r="L1712" s="46"/>
      <c r="M1712" s="46"/>
      <c r="N1712" s="46"/>
      <c r="O1712" s="46"/>
      <c r="Q1712" s="62"/>
      <c r="V1712" s="46"/>
    </row>
    <row r="1713" spans="2:22" x14ac:dyDescent="0.25">
      <c r="B1713" s="62"/>
      <c r="J1713" s="46"/>
      <c r="K1713" s="46"/>
      <c r="L1713" s="46"/>
      <c r="M1713" s="46"/>
      <c r="N1713" s="46"/>
      <c r="O1713" s="46"/>
      <c r="Q1713" s="62"/>
      <c r="V1713" s="46"/>
    </row>
    <row r="1714" spans="2:22" x14ac:dyDescent="0.25">
      <c r="B1714" s="62"/>
      <c r="J1714" s="46"/>
      <c r="K1714" s="46"/>
      <c r="L1714" s="46"/>
      <c r="M1714" s="46"/>
      <c r="N1714" s="46"/>
      <c r="O1714" s="46"/>
      <c r="Q1714" s="62"/>
      <c r="V1714" s="46"/>
    </row>
    <row r="1715" spans="2:22" x14ac:dyDescent="0.25">
      <c r="B1715" s="62"/>
      <c r="J1715" s="46"/>
      <c r="K1715" s="46"/>
      <c r="L1715" s="46"/>
      <c r="M1715" s="46"/>
      <c r="N1715" s="46"/>
      <c r="O1715" s="46"/>
      <c r="Q1715" s="62"/>
      <c r="V1715" s="46"/>
    </row>
    <row r="1716" spans="2:22" x14ac:dyDescent="0.25">
      <c r="B1716" s="62"/>
      <c r="J1716" s="46"/>
      <c r="K1716" s="46"/>
      <c r="L1716" s="46"/>
      <c r="M1716" s="46"/>
      <c r="N1716" s="46"/>
      <c r="O1716" s="46"/>
      <c r="Q1716" s="62"/>
      <c r="V1716" s="46"/>
    </row>
    <row r="1717" spans="2:22" x14ac:dyDescent="0.25">
      <c r="B1717" s="62"/>
      <c r="J1717" s="46"/>
      <c r="K1717" s="46"/>
      <c r="L1717" s="46"/>
      <c r="M1717" s="46"/>
      <c r="N1717" s="46"/>
      <c r="O1717" s="46"/>
      <c r="Q1717" s="62"/>
      <c r="V1717" s="46"/>
    </row>
    <row r="1718" spans="2:22" x14ac:dyDescent="0.25">
      <c r="B1718" s="62"/>
      <c r="J1718" s="46"/>
      <c r="K1718" s="46"/>
      <c r="L1718" s="46"/>
      <c r="M1718" s="46"/>
      <c r="N1718" s="46"/>
      <c r="O1718" s="46"/>
      <c r="Q1718" s="62"/>
      <c r="V1718" s="46"/>
    </row>
    <row r="1719" spans="2:22" x14ac:dyDescent="0.25">
      <c r="B1719" s="62"/>
      <c r="J1719" s="46"/>
      <c r="K1719" s="46"/>
      <c r="L1719" s="46"/>
      <c r="M1719" s="46"/>
      <c r="N1719" s="46"/>
      <c r="O1719" s="46"/>
      <c r="Q1719" s="62"/>
      <c r="V1719" s="46"/>
    </row>
    <row r="1720" spans="2:22" x14ac:dyDescent="0.25">
      <c r="B1720" s="62"/>
      <c r="J1720" s="46"/>
      <c r="K1720" s="46"/>
      <c r="L1720" s="46"/>
      <c r="M1720" s="46"/>
      <c r="N1720" s="46"/>
      <c r="O1720" s="46"/>
      <c r="Q1720" s="62"/>
      <c r="V1720" s="46"/>
    </row>
    <row r="1721" spans="2:22" x14ac:dyDescent="0.25">
      <c r="B1721" s="62"/>
      <c r="J1721" s="46"/>
      <c r="K1721" s="46"/>
      <c r="L1721" s="46"/>
      <c r="M1721" s="46"/>
      <c r="N1721" s="46"/>
      <c r="O1721" s="46"/>
      <c r="Q1721" s="62"/>
      <c r="V1721" s="46"/>
    </row>
    <row r="1722" spans="2:22" x14ac:dyDescent="0.25">
      <c r="B1722" s="62"/>
      <c r="J1722" s="46"/>
      <c r="K1722" s="46"/>
      <c r="L1722" s="46"/>
      <c r="M1722" s="46"/>
      <c r="N1722" s="46"/>
      <c r="O1722" s="46"/>
      <c r="Q1722" s="62"/>
      <c r="V1722" s="46"/>
    </row>
    <row r="1723" spans="2:22" x14ac:dyDescent="0.25">
      <c r="B1723" s="62"/>
      <c r="J1723" s="46"/>
      <c r="K1723" s="46"/>
      <c r="L1723" s="46"/>
      <c r="M1723" s="46"/>
      <c r="N1723" s="46"/>
      <c r="O1723" s="46"/>
      <c r="Q1723" s="62"/>
      <c r="V1723" s="46"/>
    </row>
    <row r="1724" spans="2:22" x14ac:dyDescent="0.25">
      <c r="B1724" s="62"/>
      <c r="J1724" s="46"/>
      <c r="K1724" s="46"/>
      <c r="L1724" s="46"/>
      <c r="M1724" s="46"/>
      <c r="N1724" s="46"/>
      <c r="O1724" s="46"/>
      <c r="Q1724" s="62"/>
      <c r="V1724" s="46"/>
    </row>
    <row r="1725" spans="2:22" x14ac:dyDescent="0.25">
      <c r="B1725" s="62"/>
      <c r="J1725" s="46"/>
      <c r="K1725" s="46"/>
      <c r="L1725" s="46"/>
      <c r="M1725" s="46"/>
      <c r="N1725" s="46"/>
      <c r="O1725" s="46"/>
      <c r="Q1725" s="62"/>
      <c r="V1725" s="46"/>
    </row>
    <row r="1726" spans="2:22" x14ac:dyDescent="0.25">
      <c r="B1726" s="62"/>
      <c r="J1726" s="46"/>
      <c r="K1726" s="46"/>
      <c r="L1726" s="46"/>
      <c r="M1726" s="46"/>
      <c r="N1726" s="46"/>
      <c r="O1726" s="46"/>
      <c r="Q1726" s="62"/>
      <c r="V1726" s="46"/>
    </row>
    <row r="1727" spans="2:22" x14ac:dyDescent="0.25">
      <c r="B1727" s="62"/>
      <c r="J1727" s="46"/>
      <c r="K1727" s="46"/>
      <c r="L1727" s="46"/>
      <c r="M1727" s="46"/>
      <c r="N1727" s="46"/>
      <c r="O1727" s="46"/>
      <c r="Q1727" s="62"/>
      <c r="V1727" s="46"/>
    </row>
    <row r="1728" spans="2:22" x14ac:dyDescent="0.25">
      <c r="B1728" s="62"/>
      <c r="J1728" s="46"/>
      <c r="K1728" s="46"/>
      <c r="L1728" s="46"/>
      <c r="M1728" s="46"/>
      <c r="N1728" s="46"/>
      <c r="O1728" s="46"/>
      <c r="Q1728" s="62"/>
      <c r="V1728" s="46"/>
    </row>
    <row r="1729" spans="2:22" x14ac:dyDescent="0.25">
      <c r="B1729" s="62"/>
      <c r="J1729" s="46"/>
      <c r="K1729" s="46"/>
      <c r="L1729" s="46"/>
      <c r="M1729" s="46"/>
      <c r="N1729" s="46"/>
      <c r="O1729" s="46"/>
      <c r="Q1729" s="62"/>
      <c r="V1729" s="46"/>
    </row>
    <row r="1730" spans="2:22" x14ac:dyDescent="0.25">
      <c r="B1730" s="62"/>
      <c r="J1730" s="46"/>
      <c r="K1730" s="46"/>
      <c r="L1730" s="46"/>
      <c r="M1730" s="46"/>
      <c r="N1730" s="46"/>
      <c r="O1730" s="46"/>
      <c r="Q1730" s="62"/>
      <c r="V1730" s="46"/>
    </row>
    <row r="1731" spans="2:22" x14ac:dyDescent="0.25">
      <c r="B1731" s="62"/>
      <c r="J1731" s="46"/>
      <c r="K1731" s="46"/>
      <c r="L1731" s="46"/>
      <c r="M1731" s="46"/>
      <c r="N1731" s="46"/>
      <c r="O1731" s="46"/>
      <c r="Q1731" s="62"/>
      <c r="V1731" s="46"/>
    </row>
    <row r="1732" spans="2:22" x14ac:dyDescent="0.25">
      <c r="B1732" s="62"/>
      <c r="J1732" s="46"/>
      <c r="K1732" s="46"/>
      <c r="L1732" s="46"/>
      <c r="M1732" s="46"/>
      <c r="N1732" s="46"/>
      <c r="O1732" s="46"/>
      <c r="Q1732" s="62"/>
      <c r="V1732" s="46"/>
    </row>
    <row r="1733" spans="2:22" x14ac:dyDescent="0.25">
      <c r="B1733" s="62"/>
      <c r="J1733" s="46"/>
      <c r="K1733" s="46"/>
      <c r="L1733" s="46"/>
      <c r="M1733" s="46"/>
      <c r="N1733" s="46"/>
      <c r="O1733" s="46"/>
      <c r="Q1733" s="62"/>
      <c r="V1733" s="46"/>
    </row>
    <row r="1734" spans="2:22" x14ac:dyDescent="0.25">
      <c r="B1734" s="62"/>
      <c r="J1734" s="46"/>
      <c r="K1734" s="46"/>
      <c r="L1734" s="46"/>
      <c r="M1734" s="46"/>
      <c r="N1734" s="46"/>
      <c r="O1734" s="46"/>
      <c r="Q1734" s="62"/>
      <c r="V1734" s="46"/>
    </row>
    <row r="1735" spans="2:22" x14ac:dyDescent="0.25">
      <c r="B1735" s="62"/>
      <c r="J1735" s="46"/>
      <c r="K1735" s="46"/>
      <c r="L1735" s="46"/>
      <c r="M1735" s="46"/>
      <c r="N1735" s="46"/>
      <c r="O1735" s="46"/>
      <c r="Q1735" s="62"/>
      <c r="V1735" s="46"/>
    </row>
    <row r="1736" spans="2:22" x14ac:dyDescent="0.25">
      <c r="B1736" s="62"/>
      <c r="J1736" s="46"/>
      <c r="K1736" s="46"/>
      <c r="L1736" s="46"/>
      <c r="M1736" s="46"/>
      <c r="N1736" s="46"/>
      <c r="O1736" s="46"/>
      <c r="Q1736" s="62"/>
      <c r="V1736" s="46"/>
    </row>
    <row r="1737" spans="2:22" x14ac:dyDescent="0.25">
      <c r="B1737" s="62"/>
      <c r="J1737" s="46"/>
      <c r="K1737" s="46"/>
      <c r="L1737" s="46"/>
      <c r="M1737" s="46"/>
      <c r="N1737" s="46"/>
      <c r="O1737" s="46"/>
      <c r="Q1737" s="62"/>
      <c r="V1737" s="46"/>
    </row>
    <row r="1738" spans="2:22" x14ac:dyDescent="0.25">
      <c r="B1738" s="62"/>
      <c r="J1738" s="46"/>
      <c r="K1738" s="46"/>
      <c r="L1738" s="46"/>
      <c r="M1738" s="46"/>
      <c r="N1738" s="46"/>
      <c r="O1738" s="46"/>
      <c r="Q1738" s="62"/>
      <c r="V1738" s="46"/>
    </row>
    <row r="1739" spans="2:22" x14ac:dyDescent="0.25">
      <c r="B1739" s="62"/>
      <c r="J1739" s="46"/>
      <c r="K1739" s="46"/>
      <c r="L1739" s="46"/>
      <c r="M1739" s="46"/>
      <c r="N1739" s="46"/>
      <c r="O1739" s="46"/>
      <c r="Q1739" s="62"/>
      <c r="V1739" s="46"/>
    </row>
    <row r="1740" spans="2:22" x14ac:dyDescent="0.25">
      <c r="B1740" s="62"/>
      <c r="J1740" s="46"/>
      <c r="K1740" s="46"/>
      <c r="L1740" s="46"/>
      <c r="M1740" s="46"/>
      <c r="N1740" s="46"/>
      <c r="O1740" s="46"/>
      <c r="Q1740" s="62"/>
      <c r="V1740" s="46"/>
    </row>
    <row r="1741" spans="2:22" x14ac:dyDescent="0.25">
      <c r="B1741" s="62"/>
      <c r="J1741" s="46"/>
      <c r="K1741" s="46"/>
      <c r="L1741" s="46"/>
      <c r="M1741" s="46"/>
      <c r="N1741" s="46"/>
      <c r="O1741" s="46"/>
      <c r="Q1741" s="62"/>
      <c r="V1741" s="46"/>
    </row>
    <row r="1742" spans="2:22" x14ac:dyDescent="0.25">
      <c r="B1742" s="62"/>
      <c r="J1742" s="46"/>
      <c r="K1742" s="46"/>
      <c r="L1742" s="46"/>
      <c r="M1742" s="46"/>
      <c r="N1742" s="46"/>
      <c r="O1742" s="46"/>
      <c r="Q1742" s="62"/>
      <c r="V1742" s="46"/>
    </row>
    <row r="1743" spans="2:22" x14ac:dyDescent="0.25">
      <c r="B1743" s="62"/>
      <c r="J1743" s="46"/>
      <c r="K1743" s="46"/>
      <c r="L1743" s="46"/>
      <c r="M1743" s="46"/>
      <c r="N1743" s="46"/>
      <c r="O1743" s="46"/>
      <c r="Q1743" s="62"/>
      <c r="V1743" s="46"/>
    </row>
    <row r="1744" spans="2:22" x14ac:dyDescent="0.25">
      <c r="B1744" s="62"/>
      <c r="J1744" s="46"/>
      <c r="K1744" s="46"/>
      <c r="L1744" s="46"/>
      <c r="M1744" s="46"/>
      <c r="N1744" s="46"/>
      <c r="O1744" s="46"/>
      <c r="Q1744" s="62"/>
      <c r="V1744" s="46"/>
    </row>
    <row r="1745" spans="2:22" x14ac:dyDescent="0.25">
      <c r="B1745" s="62"/>
      <c r="J1745" s="46"/>
      <c r="K1745" s="46"/>
      <c r="L1745" s="46"/>
      <c r="M1745" s="46"/>
      <c r="N1745" s="46"/>
      <c r="O1745" s="46"/>
      <c r="Q1745" s="62"/>
      <c r="V1745" s="46"/>
    </row>
    <row r="1746" spans="2:22" x14ac:dyDescent="0.25">
      <c r="B1746" s="62"/>
      <c r="J1746" s="46"/>
      <c r="K1746" s="46"/>
      <c r="L1746" s="46"/>
      <c r="M1746" s="46"/>
      <c r="N1746" s="46"/>
      <c r="O1746" s="46"/>
      <c r="Q1746" s="62"/>
      <c r="V1746" s="46"/>
    </row>
    <row r="1747" spans="2:22" x14ac:dyDescent="0.25">
      <c r="B1747" s="62"/>
      <c r="J1747" s="46"/>
      <c r="K1747" s="46"/>
      <c r="L1747" s="46"/>
      <c r="M1747" s="46"/>
      <c r="N1747" s="46"/>
      <c r="O1747" s="46"/>
      <c r="Q1747" s="62"/>
      <c r="V1747" s="46"/>
    </row>
    <row r="1748" spans="2:22" x14ac:dyDescent="0.25">
      <c r="B1748" s="62"/>
      <c r="J1748" s="46"/>
      <c r="K1748" s="46"/>
      <c r="L1748" s="46"/>
      <c r="M1748" s="46"/>
      <c r="N1748" s="46"/>
      <c r="O1748" s="46"/>
      <c r="Q1748" s="62"/>
      <c r="V1748" s="46"/>
    </row>
    <row r="1749" spans="2:22" x14ac:dyDescent="0.25">
      <c r="B1749" s="62"/>
      <c r="J1749" s="46"/>
      <c r="K1749" s="46"/>
      <c r="L1749" s="46"/>
      <c r="M1749" s="46"/>
      <c r="N1749" s="46"/>
      <c r="O1749" s="46"/>
      <c r="Q1749" s="62"/>
      <c r="V1749" s="46"/>
    </row>
    <row r="1750" spans="2:22" x14ac:dyDescent="0.25">
      <c r="B1750" s="62"/>
      <c r="J1750" s="46"/>
      <c r="K1750" s="46"/>
      <c r="L1750" s="46"/>
      <c r="M1750" s="46"/>
      <c r="N1750" s="46"/>
      <c r="O1750" s="46"/>
      <c r="Q1750" s="62"/>
      <c r="V1750" s="46"/>
    </row>
    <row r="1751" spans="2:22" x14ac:dyDescent="0.25">
      <c r="B1751" s="62"/>
      <c r="J1751" s="46"/>
      <c r="K1751" s="46"/>
      <c r="L1751" s="46"/>
      <c r="M1751" s="46"/>
      <c r="N1751" s="46"/>
      <c r="O1751" s="46"/>
      <c r="Q1751" s="62"/>
      <c r="V1751" s="46"/>
    </row>
    <row r="1752" spans="2:22" x14ac:dyDescent="0.25">
      <c r="B1752" s="62"/>
      <c r="J1752" s="46"/>
      <c r="K1752" s="46"/>
      <c r="L1752" s="46"/>
      <c r="M1752" s="46"/>
      <c r="N1752" s="46"/>
      <c r="O1752" s="46"/>
      <c r="Q1752" s="62"/>
      <c r="V1752" s="46"/>
    </row>
    <row r="1753" spans="2:22" x14ac:dyDescent="0.25">
      <c r="B1753" s="62"/>
      <c r="J1753" s="46"/>
      <c r="K1753" s="46"/>
      <c r="L1753" s="46"/>
      <c r="M1753" s="46"/>
      <c r="N1753" s="46"/>
      <c r="O1753" s="46"/>
      <c r="Q1753" s="62"/>
      <c r="V1753" s="46"/>
    </row>
    <row r="1754" spans="2:22" x14ac:dyDescent="0.25">
      <c r="B1754" s="62"/>
      <c r="J1754" s="46"/>
      <c r="K1754" s="46"/>
      <c r="L1754" s="46"/>
      <c r="M1754" s="46"/>
      <c r="N1754" s="46"/>
      <c r="O1754" s="46"/>
      <c r="Q1754" s="62"/>
      <c r="V1754" s="46"/>
    </row>
    <row r="1755" spans="2:22" x14ac:dyDescent="0.25">
      <c r="B1755" s="62"/>
      <c r="J1755" s="46"/>
      <c r="K1755" s="46"/>
      <c r="L1755" s="46"/>
      <c r="M1755" s="46"/>
      <c r="N1755" s="46"/>
      <c r="O1755" s="46"/>
      <c r="Q1755" s="62"/>
      <c r="V1755" s="46"/>
    </row>
    <row r="1756" spans="2:22" x14ac:dyDescent="0.25">
      <c r="B1756" s="62"/>
      <c r="J1756" s="46"/>
      <c r="K1756" s="46"/>
      <c r="L1756" s="46"/>
      <c r="M1756" s="46"/>
      <c r="N1756" s="46"/>
      <c r="O1756" s="46"/>
      <c r="Q1756" s="62"/>
      <c r="V1756" s="46"/>
    </row>
    <row r="1757" spans="2:22" x14ac:dyDescent="0.25">
      <c r="B1757" s="62"/>
      <c r="J1757" s="46"/>
      <c r="K1757" s="46"/>
      <c r="L1757" s="46"/>
      <c r="M1757" s="46"/>
      <c r="N1757" s="46"/>
      <c r="O1757" s="46"/>
      <c r="Q1757" s="62"/>
      <c r="V1757" s="46"/>
    </row>
    <row r="1758" spans="2:22" x14ac:dyDescent="0.25">
      <c r="B1758" s="62"/>
      <c r="J1758" s="46"/>
      <c r="K1758" s="46"/>
      <c r="L1758" s="46"/>
      <c r="M1758" s="46"/>
      <c r="N1758" s="46"/>
      <c r="O1758" s="46"/>
      <c r="Q1758" s="62"/>
      <c r="V1758" s="46"/>
    </row>
    <row r="1759" spans="2:22" x14ac:dyDescent="0.25">
      <c r="B1759" s="62"/>
      <c r="J1759" s="46"/>
      <c r="K1759" s="46"/>
      <c r="L1759" s="46"/>
      <c r="M1759" s="46"/>
      <c r="N1759" s="46"/>
      <c r="O1759" s="46"/>
      <c r="Q1759" s="62"/>
      <c r="V1759" s="46"/>
    </row>
    <row r="1760" spans="2:22" x14ac:dyDescent="0.25">
      <c r="B1760" s="62"/>
      <c r="J1760" s="46"/>
      <c r="K1760" s="46"/>
      <c r="L1760" s="46"/>
      <c r="M1760" s="46"/>
      <c r="N1760" s="46"/>
      <c r="O1760" s="46"/>
      <c r="Q1760" s="62"/>
      <c r="V1760" s="46"/>
    </row>
    <row r="1761" spans="2:22" x14ac:dyDescent="0.25">
      <c r="B1761" s="62"/>
      <c r="J1761" s="46"/>
      <c r="K1761" s="46"/>
      <c r="L1761" s="46"/>
      <c r="M1761" s="46"/>
      <c r="N1761" s="46"/>
      <c r="O1761" s="46"/>
      <c r="Q1761" s="62"/>
      <c r="V1761" s="46"/>
    </row>
    <row r="1762" spans="2:22" x14ac:dyDescent="0.25">
      <c r="B1762" s="62"/>
      <c r="J1762" s="46"/>
      <c r="K1762" s="46"/>
      <c r="L1762" s="46"/>
      <c r="M1762" s="46"/>
      <c r="N1762" s="46"/>
      <c r="O1762" s="46"/>
      <c r="Q1762" s="62"/>
      <c r="V1762" s="46"/>
    </row>
    <row r="1763" spans="2:22" x14ac:dyDescent="0.25">
      <c r="B1763" s="62"/>
      <c r="J1763" s="46"/>
      <c r="K1763" s="46"/>
      <c r="L1763" s="46"/>
      <c r="M1763" s="46"/>
      <c r="N1763" s="46"/>
      <c r="O1763" s="46"/>
      <c r="Q1763" s="62"/>
      <c r="V1763" s="46"/>
    </row>
    <row r="1764" spans="2:22" x14ac:dyDescent="0.25">
      <c r="B1764" s="62"/>
      <c r="J1764" s="46"/>
      <c r="K1764" s="46"/>
      <c r="L1764" s="46"/>
      <c r="M1764" s="46"/>
      <c r="N1764" s="46"/>
      <c r="O1764" s="46"/>
      <c r="Q1764" s="62"/>
      <c r="V1764" s="46"/>
    </row>
    <row r="1765" spans="2:22" x14ac:dyDescent="0.25">
      <c r="B1765" s="62"/>
      <c r="J1765" s="46"/>
      <c r="K1765" s="46"/>
      <c r="L1765" s="46"/>
      <c r="M1765" s="46"/>
      <c r="N1765" s="46"/>
      <c r="O1765" s="46"/>
      <c r="Q1765" s="62"/>
      <c r="V1765" s="46"/>
    </row>
    <row r="1766" spans="2:22" x14ac:dyDescent="0.25">
      <c r="B1766" s="62"/>
      <c r="J1766" s="46"/>
      <c r="K1766" s="46"/>
      <c r="L1766" s="46"/>
      <c r="M1766" s="46"/>
      <c r="N1766" s="46"/>
      <c r="O1766" s="46"/>
      <c r="Q1766" s="62"/>
      <c r="V1766" s="46"/>
    </row>
    <row r="1767" spans="2:22" x14ac:dyDescent="0.25">
      <c r="B1767" s="62"/>
      <c r="J1767" s="46"/>
      <c r="K1767" s="46"/>
      <c r="L1767" s="46"/>
      <c r="M1767" s="46"/>
      <c r="N1767" s="46"/>
      <c r="O1767" s="46"/>
      <c r="Q1767" s="62"/>
      <c r="V1767" s="46"/>
    </row>
    <row r="1768" spans="2:22" x14ac:dyDescent="0.25">
      <c r="B1768" s="62"/>
      <c r="J1768" s="46"/>
      <c r="K1768" s="46"/>
      <c r="L1768" s="46"/>
      <c r="M1768" s="46"/>
      <c r="N1768" s="46"/>
      <c r="O1768" s="46"/>
      <c r="Q1768" s="62"/>
      <c r="V1768" s="46"/>
    </row>
    <row r="1769" spans="2:22" x14ac:dyDescent="0.25">
      <c r="B1769" s="62"/>
      <c r="J1769" s="46"/>
      <c r="K1769" s="46"/>
      <c r="L1769" s="46"/>
      <c r="M1769" s="46"/>
      <c r="N1769" s="46"/>
      <c r="O1769" s="46"/>
      <c r="Q1769" s="62"/>
      <c r="V1769" s="46"/>
    </row>
    <row r="1770" spans="2:22" x14ac:dyDescent="0.25">
      <c r="B1770" s="62"/>
      <c r="J1770" s="46"/>
      <c r="K1770" s="46"/>
      <c r="L1770" s="46"/>
      <c r="M1770" s="46"/>
      <c r="N1770" s="46"/>
      <c r="O1770" s="46"/>
      <c r="Q1770" s="62"/>
      <c r="V1770" s="46"/>
    </row>
    <row r="1771" spans="2:22" x14ac:dyDescent="0.25">
      <c r="B1771" s="62"/>
      <c r="J1771" s="46"/>
      <c r="K1771" s="46"/>
      <c r="L1771" s="46"/>
      <c r="M1771" s="46"/>
      <c r="N1771" s="46"/>
      <c r="O1771" s="46"/>
      <c r="Q1771" s="62"/>
      <c r="V1771" s="46"/>
    </row>
    <row r="1772" spans="2:22" x14ac:dyDescent="0.25">
      <c r="B1772" s="62"/>
      <c r="J1772" s="46"/>
      <c r="K1772" s="46"/>
      <c r="L1772" s="46"/>
      <c r="M1772" s="46"/>
      <c r="N1772" s="46"/>
      <c r="O1772" s="46"/>
      <c r="Q1772" s="62"/>
      <c r="V1772" s="46"/>
    </row>
    <row r="1773" spans="2:22" x14ac:dyDescent="0.25">
      <c r="B1773" s="62"/>
      <c r="J1773" s="46"/>
      <c r="K1773" s="46"/>
      <c r="L1773" s="46"/>
      <c r="M1773" s="46"/>
      <c r="N1773" s="46"/>
      <c r="O1773" s="46"/>
      <c r="Q1773" s="62"/>
      <c r="V1773" s="46"/>
    </row>
    <row r="1774" spans="2:22" x14ac:dyDescent="0.25">
      <c r="B1774" s="62"/>
      <c r="J1774" s="46"/>
      <c r="K1774" s="46"/>
      <c r="L1774" s="46"/>
      <c r="M1774" s="46"/>
      <c r="N1774" s="46"/>
      <c r="O1774" s="46"/>
      <c r="Q1774" s="62"/>
      <c r="V1774" s="46"/>
    </row>
    <row r="1775" spans="2:22" x14ac:dyDescent="0.25">
      <c r="B1775" s="62"/>
      <c r="J1775" s="46"/>
      <c r="K1775" s="46"/>
      <c r="L1775" s="46"/>
      <c r="M1775" s="46"/>
      <c r="N1775" s="46"/>
      <c r="O1775" s="46"/>
      <c r="Q1775" s="62"/>
      <c r="V1775" s="46"/>
    </row>
    <row r="1776" spans="2:22" x14ac:dyDescent="0.25">
      <c r="B1776" s="62"/>
      <c r="J1776" s="46"/>
      <c r="K1776" s="46"/>
      <c r="L1776" s="46"/>
      <c r="M1776" s="46"/>
      <c r="N1776" s="46"/>
      <c r="O1776" s="46"/>
      <c r="Q1776" s="62"/>
      <c r="V1776" s="46"/>
    </row>
    <row r="1777" spans="2:22" x14ac:dyDescent="0.25">
      <c r="B1777" s="62"/>
      <c r="J1777" s="46"/>
      <c r="K1777" s="46"/>
      <c r="L1777" s="46"/>
      <c r="M1777" s="46"/>
      <c r="N1777" s="46"/>
      <c r="O1777" s="46"/>
      <c r="Q1777" s="62"/>
      <c r="V1777" s="46"/>
    </row>
    <row r="1778" spans="2:22" x14ac:dyDescent="0.25">
      <c r="B1778" s="62"/>
      <c r="J1778" s="46"/>
      <c r="K1778" s="46"/>
      <c r="L1778" s="46"/>
      <c r="M1778" s="46"/>
      <c r="N1778" s="46"/>
      <c r="O1778" s="46"/>
      <c r="Q1778" s="62"/>
      <c r="V1778" s="46"/>
    </row>
    <row r="1779" spans="2:22" x14ac:dyDescent="0.25">
      <c r="B1779" s="62"/>
      <c r="J1779" s="46"/>
      <c r="K1779" s="46"/>
      <c r="L1779" s="46"/>
      <c r="M1779" s="46"/>
      <c r="N1779" s="46"/>
      <c r="O1779" s="46"/>
      <c r="Q1779" s="62"/>
      <c r="V1779" s="46"/>
    </row>
    <row r="1780" spans="2:22" x14ac:dyDescent="0.25">
      <c r="B1780" s="62"/>
      <c r="J1780" s="46"/>
      <c r="K1780" s="46"/>
      <c r="L1780" s="46"/>
      <c r="M1780" s="46"/>
      <c r="N1780" s="46"/>
      <c r="O1780" s="46"/>
      <c r="Q1780" s="62"/>
      <c r="V1780" s="46"/>
    </row>
    <row r="1781" spans="2:22" x14ac:dyDescent="0.25">
      <c r="B1781" s="62"/>
      <c r="J1781" s="46"/>
      <c r="K1781" s="46"/>
      <c r="L1781" s="46"/>
      <c r="M1781" s="46"/>
      <c r="N1781" s="46"/>
      <c r="O1781" s="46"/>
      <c r="Q1781" s="62"/>
      <c r="V1781" s="46"/>
    </row>
    <row r="1782" spans="2:22" x14ac:dyDescent="0.25">
      <c r="B1782" s="62"/>
      <c r="J1782" s="46"/>
      <c r="K1782" s="46"/>
      <c r="L1782" s="46"/>
      <c r="M1782" s="46"/>
      <c r="N1782" s="46"/>
      <c r="O1782" s="46"/>
      <c r="Q1782" s="62"/>
      <c r="V1782" s="46"/>
    </row>
    <row r="1783" spans="2:22" x14ac:dyDescent="0.25">
      <c r="B1783" s="62"/>
      <c r="J1783" s="46"/>
      <c r="K1783" s="46"/>
      <c r="L1783" s="46"/>
      <c r="M1783" s="46"/>
      <c r="N1783" s="46"/>
      <c r="O1783" s="46"/>
      <c r="Q1783" s="62"/>
      <c r="V1783" s="46"/>
    </row>
    <row r="1784" spans="2:22" x14ac:dyDescent="0.25">
      <c r="B1784" s="62"/>
      <c r="J1784" s="46"/>
      <c r="K1784" s="46"/>
      <c r="L1784" s="46"/>
      <c r="M1784" s="46"/>
      <c r="N1784" s="46"/>
      <c r="O1784" s="46"/>
      <c r="Q1784" s="62"/>
      <c r="V1784" s="46"/>
    </row>
    <row r="1785" spans="2:22" x14ac:dyDescent="0.25">
      <c r="B1785" s="62"/>
      <c r="J1785" s="46"/>
      <c r="K1785" s="46"/>
      <c r="L1785" s="46"/>
      <c r="M1785" s="46"/>
      <c r="N1785" s="46"/>
      <c r="O1785" s="46"/>
      <c r="Q1785" s="62"/>
      <c r="V1785" s="46"/>
    </row>
    <row r="1786" spans="2:22" x14ac:dyDescent="0.25">
      <c r="B1786" s="62"/>
      <c r="J1786" s="46"/>
      <c r="K1786" s="46"/>
      <c r="L1786" s="46"/>
      <c r="M1786" s="46"/>
      <c r="N1786" s="46"/>
      <c r="O1786" s="46"/>
      <c r="Q1786" s="62"/>
      <c r="V1786" s="46"/>
    </row>
    <row r="1787" spans="2:22" x14ac:dyDescent="0.25">
      <c r="B1787" s="62"/>
      <c r="J1787" s="46"/>
      <c r="K1787" s="46"/>
      <c r="L1787" s="46"/>
      <c r="M1787" s="46"/>
      <c r="N1787" s="46"/>
      <c r="O1787" s="46"/>
      <c r="Q1787" s="62"/>
      <c r="V1787" s="46"/>
    </row>
    <row r="1788" spans="2:22" x14ac:dyDescent="0.25">
      <c r="B1788" s="62"/>
      <c r="J1788" s="46"/>
      <c r="K1788" s="46"/>
      <c r="L1788" s="46"/>
      <c r="M1788" s="46"/>
      <c r="N1788" s="46"/>
      <c r="O1788" s="46"/>
      <c r="Q1788" s="62"/>
      <c r="V1788" s="46"/>
    </row>
    <row r="1789" spans="2:22" x14ac:dyDescent="0.25">
      <c r="B1789" s="62"/>
      <c r="J1789" s="46"/>
      <c r="K1789" s="46"/>
      <c r="L1789" s="46"/>
      <c r="M1789" s="46"/>
      <c r="N1789" s="46"/>
      <c r="O1789" s="46"/>
      <c r="Q1789" s="62"/>
      <c r="V1789" s="46"/>
    </row>
    <row r="1790" spans="2:22" x14ac:dyDescent="0.25">
      <c r="B1790" s="62"/>
      <c r="J1790" s="46"/>
      <c r="K1790" s="46"/>
      <c r="L1790" s="46"/>
      <c r="M1790" s="46"/>
      <c r="N1790" s="46"/>
      <c r="O1790" s="46"/>
      <c r="Q1790" s="62"/>
      <c r="V1790" s="46"/>
    </row>
    <row r="1791" spans="2:22" x14ac:dyDescent="0.25">
      <c r="B1791" s="62"/>
      <c r="J1791" s="46"/>
      <c r="K1791" s="46"/>
      <c r="L1791" s="46"/>
      <c r="M1791" s="46"/>
      <c r="N1791" s="46"/>
      <c r="O1791" s="46"/>
      <c r="Q1791" s="62"/>
      <c r="V1791" s="46"/>
    </row>
    <row r="1792" spans="2:22" x14ac:dyDescent="0.25">
      <c r="B1792" s="62"/>
      <c r="J1792" s="46"/>
      <c r="K1792" s="46"/>
      <c r="L1792" s="46"/>
      <c r="M1792" s="46"/>
      <c r="N1792" s="46"/>
      <c r="O1792" s="46"/>
      <c r="Q1792" s="62"/>
      <c r="V1792" s="46"/>
    </row>
    <row r="1793" spans="2:22" x14ac:dyDescent="0.25">
      <c r="B1793" s="62"/>
      <c r="J1793" s="46"/>
      <c r="K1793" s="46"/>
      <c r="L1793" s="46"/>
      <c r="M1793" s="46"/>
      <c r="N1793" s="46"/>
      <c r="O1793" s="46"/>
      <c r="Q1793" s="62"/>
      <c r="V1793" s="46"/>
    </row>
    <row r="1794" spans="2:22" x14ac:dyDescent="0.25">
      <c r="B1794" s="62"/>
      <c r="J1794" s="46"/>
      <c r="K1794" s="46"/>
      <c r="L1794" s="46"/>
      <c r="M1794" s="46"/>
      <c r="N1794" s="46"/>
      <c r="O1794" s="46"/>
      <c r="Q1794" s="62"/>
      <c r="V1794" s="46"/>
    </row>
    <row r="1795" spans="2:22" x14ac:dyDescent="0.25">
      <c r="B1795" s="62"/>
      <c r="J1795" s="46"/>
      <c r="K1795" s="46"/>
      <c r="L1795" s="46"/>
      <c r="M1795" s="46"/>
      <c r="N1795" s="46"/>
      <c r="O1795" s="46"/>
      <c r="Q1795" s="62"/>
      <c r="V1795" s="46"/>
    </row>
    <row r="1796" spans="2:22" x14ac:dyDescent="0.25">
      <c r="B1796" s="62"/>
      <c r="J1796" s="46"/>
      <c r="K1796" s="46"/>
      <c r="L1796" s="46"/>
      <c r="M1796" s="46"/>
      <c r="N1796" s="46"/>
      <c r="O1796" s="46"/>
      <c r="Q1796" s="62"/>
      <c r="V1796" s="46"/>
    </row>
    <row r="1797" spans="2:22" x14ac:dyDescent="0.25">
      <c r="B1797" s="62"/>
      <c r="J1797" s="46"/>
      <c r="K1797" s="46"/>
      <c r="L1797" s="46"/>
      <c r="M1797" s="46"/>
      <c r="N1797" s="46"/>
      <c r="O1797" s="46"/>
      <c r="Q1797" s="62"/>
      <c r="V1797" s="46"/>
    </row>
    <row r="1798" spans="2:22" x14ac:dyDescent="0.25">
      <c r="B1798" s="62"/>
      <c r="J1798" s="46"/>
      <c r="K1798" s="46"/>
      <c r="L1798" s="46"/>
      <c r="M1798" s="46"/>
      <c r="N1798" s="46"/>
      <c r="O1798" s="46"/>
      <c r="Q1798" s="62"/>
      <c r="V1798" s="46"/>
    </row>
    <row r="1799" spans="2:22" x14ac:dyDescent="0.25">
      <c r="B1799" s="62"/>
      <c r="J1799" s="46"/>
      <c r="K1799" s="46"/>
      <c r="L1799" s="46"/>
      <c r="M1799" s="46"/>
      <c r="N1799" s="46"/>
      <c r="O1799" s="46"/>
      <c r="Q1799" s="62"/>
      <c r="V1799" s="46"/>
    </row>
    <row r="1800" spans="2:22" x14ac:dyDescent="0.25">
      <c r="B1800" s="62"/>
      <c r="J1800" s="46"/>
      <c r="K1800" s="46"/>
      <c r="L1800" s="46"/>
      <c r="M1800" s="46"/>
      <c r="N1800" s="46"/>
      <c r="O1800" s="46"/>
      <c r="Q1800" s="62"/>
      <c r="V1800" s="46"/>
    </row>
    <row r="1801" spans="2:22" x14ac:dyDescent="0.25">
      <c r="B1801" s="62"/>
      <c r="J1801" s="46"/>
      <c r="K1801" s="46"/>
      <c r="L1801" s="46"/>
      <c r="M1801" s="46"/>
      <c r="N1801" s="46"/>
      <c r="O1801" s="46"/>
      <c r="Q1801" s="62"/>
      <c r="V1801" s="46"/>
    </row>
    <row r="1802" spans="2:22" x14ac:dyDescent="0.25">
      <c r="B1802" s="62"/>
      <c r="J1802" s="46"/>
      <c r="K1802" s="46"/>
      <c r="L1802" s="46"/>
      <c r="M1802" s="46"/>
      <c r="N1802" s="46"/>
      <c r="O1802" s="46"/>
      <c r="Q1802" s="62"/>
      <c r="V1802" s="46"/>
    </row>
    <row r="1803" spans="2:22" x14ac:dyDescent="0.25">
      <c r="B1803" s="62"/>
      <c r="J1803" s="46"/>
      <c r="K1803" s="46"/>
      <c r="L1803" s="46"/>
      <c r="M1803" s="46"/>
      <c r="N1803" s="46"/>
      <c r="O1803" s="46"/>
      <c r="Q1803" s="62"/>
      <c r="V1803" s="46"/>
    </row>
    <row r="1804" spans="2:22" x14ac:dyDescent="0.25">
      <c r="B1804" s="62"/>
      <c r="J1804" s="46"/>
      <c r="K1804" s="46"/>
      <c r="L1804" s="46"/>
      <c r="M1804" s="46"/>
      <c r="N1804" s="46"/>
      <c r="O1804" s="46"/>
      <c r="Q1804" s="62"/>
      <c r="V1804" s="46"/>
    </row>
    <row r="1805" spans="2:22" x14ac:dyDescent="0.25">
      <c r="B1805" s="62"/>
      <c r="J1805" s="46"/>
      <c r="K1805" s="46"/>
      <c r="L1805" s="46"/>
      <c r="M1805" s="46"/>
      <c r="N1805" s="46"/>
      <c r="O1805" s="46"/>
      <c r="Q1805" s="62"/>
      <c r="V1805" s="46"/>
    </row>
    <row r="1806" spans="2:22" x14ac:dyDescent="0.25">
      <c r="B1806" s="62"/>
      <c r="J1806" s="46"/>
      <c r="K1806" s="46"/>
      <c r="L1806" s="46"/>
      <c r="M1806" s="46"/>
      <c r="N1806" s="46"/>
      <c r="O1806" s="46"/>
      <c r="Q1806" s="62"/>
      <c r="V1806" s="46"/>
    </row>
    <row r="1807" spans="2:22" x14ac:dyDescent="0.25">
      <c r="B1807" s="62"/>
      <c r="J1807" s="46"/>
      <c r="K1807" s="46"/>
      <c r="L1807" s="46"/>
      <c r="M1807" s="46"/>
      <c r="N1807" s="46"/>
      <c r="O1807" s="46"/>
      <c r="Q1807" s="62"/>
      <c r="V1807" s="46"/>
    </row>
    <row r="1808" spans="2:22" x14ac:dyDescent="0.25">
      <c r="B1808" s="62"/>
      <c r="J1808" s="46"/>
      <c r="K1808" s="46"/>
      <c r="L1808" s="46"/>
      <c r="M1808" s="46"/>
      <c r="N1808" s="46"/>
      <c r="O1808" s="46"/>
      <c r="Q1808" s="62"/>
      <c r="V1808" s="46"/>
    </row>
    <row r="1809" spans="2:22" x14ac:dyDescent="0.25">
      <c r="B1809" s="62"/>
      <c r="J1809" s="46"/>
      <c r="K1809" s="46"/>
      <c r="L1809" s="46"/>
      <c r="M1809" s="46"/>
      <c r="N1809" s="46"/>
      <c r="O1809" s="46"/>
      <c r="Q1809" s="62"/>
      <c r="V1809" s="46"/>
    </row>
    <row r="1810" spans="2:22" x14ac:dyDescent="0.25">
      <c r="B1810" s="62"/>
      <c r="J1810" s="46"/>
      <c r="K1810" s="46"/>
      <c r="L1810" s="46"/>
      <c r="M1810" s="46"/>
      <c r="N1810" s="46"/>
      <c r="O1810" s="46"/>
      <c r="Q1810" s="62"/>
      <c r="V1810" s="46"/>
    </row>
    <row r="1811" spans="2:22" x14ac:dyDescent="0.25">
      <c r="B1811" s="62"/>
      <c r="J1811" s="46"/>
      <c r="K1811" s="46"/>
      <c r="L1811" s="46"/>
      <c r="M1811" s="46"/>
      <c r="N1811" s="46"/>
      <c r="O1811" s="46"/>
      <c r="Q1811" s="62"/>
      <c r="V1811" s="46"/>
    </row>
    <row r="1812" spans="2:22" x14ac:dyDescent="0.25">
      <c r="B1812" s="62"/>
      <c r="J1812" s="46"/>
      <c r="K1812" s="46"/>
      <c r="L1812" s="46"/>
      <c r="M1812" s="46"/>
      <c r="N1812" s="46"/>
      <c r="O1812" s="46"/>
      <c r="Q1812" s="62"/>
      <c r="V1812" s="46"/>
    </row>
    <row r="1813" spans="2:22" x14ac:dyDescent="0.25">
      <c r="B1813" s="62"/>
      <c r="J1813" s="46"/>
      <c r="K1813" s="46"/>
      <c r="L1813" s="46"/>
      <c r="M1813" s="46"/>
      <c r="N1813" s="46"/>
      <c r="O1813" s="46"/>
      <c r="Q1813" s="62"/>
      <c r="V1813" s="46"/>
    </row>
    <row r="1814" spans="2:22" x14ac:dyDescent="0.25">
      <c r="B1814" s="62"/>
      <c r="J1814" s="46"/>
      <c r="K1814" s="46"/>
      <c r="L1814" s="46"/>
      <c r="M1814" s="46"/>
      <c r="N1814" s="46"/>
      <c r="O1814" s="46"/>
      <c r="Q1814" s="62"/>
      <c r="V1814" s="46"/>
    </row>
    <row r="1815" spans="2:22" x14ac:dyDescent="0.25">
      <c r="B1815" s="62"/>
      <c r="J1815" s="46"/>
      <c r="K1815" s="46"/>
      <c r="L1815" s="46"/>
      <c r="M1815" s="46"/>
      <c r="N1815" s="46"/>
      <c r="O1815" s="46"/>
      <c r="Q1815" s="62"/>
      <c r="V1815" s="46"/>
    </row>
    <row r="1816" spans="2:22" x14ac:dyDescent="0.25">
      <c r="B1816" s="62"/>
      <c r="J1816" s="46"/>
      <c r="K1816" s="46"/>
      <c r="L1816" s="46"/>
      <c r="M1816" s="46"/>
      <c r="N1816" s="46"/>
      <c r="O1816" s="46"/>
      <c r="Q1816" s="62"/>
      <c r="V1816" s="46"/>
    </row>
    <row r="1817" spans="2:22" x14ac:dyDescent="0.25">
      <c r="B1817" s="62"/>
      <c r="J1817" s="46"/>
      <c r="K1817" s="46"/>
      <c r="L1817" s="46"/>
      <c r="M1817" s="46"/>
      <c r="N1817" s="46"/>
      <c r="O1817" s="46"/>
      <c r="Q1817" s="62"/>
      <c r="V1817" s="46"/>
    </row>
    <row r="1818" spans="2:22" x14ac:dyDescent="0.25">
      <c r="B1818" s="62"/>
      <c r="J1818" s="46"/>
      <c r="K1818" s="46"/>
      <c r="L1818" s="46"/>
      <c r="M1818" s="46"/>
      <c r="N1818" s="46"/>
      <c r="O1818" s="46"/>
      <c r="Q1818" s="62"/>
      <c r="V1818" s="46"/>
    </row>
    <row r="1819" spans="2:22" x14ac:dyDescent="0.25">
      <c r="B1819" s="62"/>
      <c r="J1819" s="46"/>
      <c r="K1819" s="46"/>
      <c r="L1819" s="46"/>
      <c r="M1819" s="46"/>
      <c r="N1819" s="46"/>
      <c r="O1819" s="46"/>
      <c r="Q1819" s="62"/>
      <c r="V1819" s="46"/>
    </row>
    <row r="1820" spans="2:22" x14ac:dyDescent="0.25">
      <c r="B1820" s="62"/>
      <c r="J1820" s="46"/>
      <c r="K1820" s="46"/>
      <c r="L1820" s="46"/>
      <c r="M1820" s="46"/>
      <c r="N1820" s="46"/>
      <c r="O1820" s="46"/>
      <c r="Q1820" s="62"/>
      <c r="V1820" s="46"/>
    </row>
    <row r="1821" spans="2:22" x14ac:dyDescent="0.25">
      <c r="B1821" s="62"/>
      <c r="J1821" s="46"/>
      <c r="K1821" s="46"/>
      <c r="L1821" s="46"/>
      <c r="M1821" s="46"/>
      <c r="N1821" s="46"/>
      <c r="O1821" s="46"/>
      <c r="Q1821" s="62"/>
      <c r="V1821" s="46"/>
    </row>
    <row r="1822" spans="2:22" x14ac:dyDescent="0.25">
      <c r="B1822" s="62"/>
      <c r="J1822" s="46"/>
      <c r="K1822" s="46"/>
      <c r="L1822" s="46"/>
      <c r="M1822" s="46"/>
      <c r="N1822" s="46"/>
      <c r="O1822" s="46"/>
      <c r="Q1822" s="62"/>
      <c r="V1822" s="46"/>
    </row>
    <row r="1823" spans="2:22" x14ac:dyDescent="0.25">
      <c r="B1823" s="62"/>
      <c r="J1823" s="46"/>
      <c r="K1823" s="46"/>
      <c r="L1823" s="46"/>
      <c r="M1823" s="46"/>
      <c r="N1823" s="46"/>
      <c r="O1823" s="46"/>
      <c r="Q1823" s="62"/>
      <c r="V1823" s="46"/>
    </row>
    <row r="1824" spans="2:22" x14ac:dyDescent="0.25">
      <c r="B1824" s="62"/>
      <c r="J1824" s="46"/>
      <c r="K1824" s="46"/>
      <c r="L1824" s="46"/>
      <c r="M1824" s="46"/>
      <c r="N1824" s="46"/>
      <c r="O1824" s="46"/>
      <c r="Q1824" s="62"/>
      <c r="V1824" s="46"/>
    </row>
    <row r="1825" spans="2:22" x14ac:dyDescent="0.25">
      <c r="B1825" s="62"/>
      <c r="J1825" s="46"/>
      <c r="K1825" s="46"/>
      <c r="L1825" s="46"/>
      <c r="M1825" s="46"/>
      <c r="N1825" s="46"/>
      <c r="O1825" s="46"/>
      <c r="Q1825" s="62"/>
      <c r="V1825" s="46"/>
    </row>
    <row r="1826" spans="2:22" x14ac:dyDescent="0.25">
      <c r="B1826" s="62"/>
      <c r="J1826" s="46"/>
      <c r="K1826" s="46"/>
      <c r="L1826" s="46"/>
      <c r="M1826" s="46"/>
      <c r="N1826" s="46"/>
      <c r="O1826" s="46"/>
      <c r="Q1826" s="62"/>
      <c r="V1826" s="46"/>
    </row>
    <row r="1827" spans="2:22" x14ac:dyDescent="0.25">
      <c r="B1827" s="62"/>
      <c r="J1827" s="46"/>
      <c r="K1827" s="46"/>
      <c r="L1827" s="46"/>
      <c r="M1827" s="46"/>
      <c r="N1827" s="46"/>
      <c r="O1827" s="46"/>
      <c r="Q1827" s="62"/>
      <c r="V1827" s="46"/>
    </row>
    <row r="1828" spans="2:22" x14ac:dyDescent="0.25">
      <c r="B1828" s="62"/>
      <c r="J1828" s="46"/>
      <c r="K1828" s="46"/>
      <c r="L1828" s="46"/>
      <c r="M1828" s="46"/>
      <c r="N1828" s="46"/>
      <c r="O1828" s="46"/>
      <c r="Q1828" s="62"/>
      <c r="V1828" s="46"/>
    </row>
    <row r="1829" spans="2:22" x14ac:dyDescent="0.25">
      <c r="B1829" s="62"/>
      <c r="J1829" s="46"/>
      <c r="K1829" s="46"/>
      <c r="L1829" s="46"/>
      <c r="M1829" s="46"/>
      <c r="N1829" s="46"/>
      <c r="O1829" s="46"/>
      <c r="Q1829" s="62"/>
      <c r="V1829" s="46"/>
    </row>
    <row r="1830" spans="2:22" x14ac:dyDescent="0.25">
      <c r="B1830" s="62"/>
      <c r="J1830" s="46"/>
      <c r="K1830" s="46"/>
      <c r="L1830" s="46"/>
      <c r="M1830" s="46"/>
      <c r="N1830" s="46"/>
      <c r="O1830" s="46"/>
      <c r="Q1830" s="62"/>
      <c r="V1830" s="46"/>
    </row>
    <row r="1831" spans="2:22" x14ac:dyDescent="0.25">
      <c r="B1831" s="62"/>
      <c r="J1831" s="46"/>
      <c r="K1831" s="46"/>
      <c r="L1831" s="46"/>
      <c r="M1831" s="46"/>
      <c r="N1831" s="46"/>
      <c r="O1831" s="46"/>
      <c r="Q1831" s="62"/>
      <c r="V1831" s="46"/>
    </row>
    <row r="1832" spans="2:22" x14ac:dyDescent="0.25">
      <c r="B1832" s="62"/>
      <c r="J1832" s="46"/>
      <c r="K1832" s="46"/>
      <c r="L1832" s="46"/>
      <c r="M1832" s="46"/>
      <c r="N1832" s="46"/>
      <c r="O1832" s="46"/>
      <c r="Q1832" s="62"/>
      <c r="V1832" s="46"/>
    </row>
    <row r="1833" spans="2:22" x14ac:dyDescent="0.25">
      <c r="B1833" s="62"/>
      <c r="J1833" s="46"/>
      <c r="K1833" s="46"/>
      <c r="L1833" s="46"/>
      <c r="M1833" s="46"/>
      <c r="N1833" s="46"/>
      <c r="O1833" s="46"/>
      <c r="Q1833" s="62"/>
      <c r="V1833" s="46"/>
    </row>
    <row r="1834" spans="2:22" x14ac:dyDescent="0.25">
      <c r="B1834" s="62"/>
      <c r="J1834" s="46"/>
      <c r="K1834" s="46"/>
      <c r="L1834" s="46"/>
      <c r="M1834" s="46"/>
      <c r="N1834" s="46"/>
      <c r="O1834" s="46"/>
      <c r="Q1834" s="62"/>
      <c r="V1834" s="46"/>
    </row>
    <row r="1835" spans="2:22" x14ac:dyDescent="0.25">
      <c r="B1835" s="62"/>
      <c r="J1835" s="46"/>
      <c r="K1835" s="46"/>
      <c r="L1835" s="46"/>
      <c r="M1835" s="46"/>
      <c r="N1835" s="46"/>
      <c r="O1835" s="46"/>
      <c r="Q1835" s="62"/>
      <c r="V1835" s="46"/>
    </row>
    <row r="1836" spans="2:22" x14ac:dyDescent="0.25">
      <c r="B1836" s="62"/>
      <c r="J1836" s="46"/>
      <c r="K1836" s="46"/>
      <c r="L1836" s="46"/>
      <c r="M1836" s="46"/>
      <c r="N1836" s="46"/>
      <c r="O1836" s="46"/>
      <c r="Q1836" s="62"/>
      <c r="V1836" s="46"/>
    </row>
    <row r="1837" spans="2:22" x14ac:dyDescent="0.25">
      <c r="B1837" s="62"/>
      <c r="J1837" s="46"/>
      <c r="K1837" s="46"/>
      <c r="L1837" s="46"/>
      <c r="M1837" s="46"/>
      <c r="N1837" s="46"/>
      <c r="O1837" s="46"/>
      <c r="Q1837" s="62"/>
      <c r="V1837" s="46"/>
    </row>
    <row r="1838" spans="2:22" x14ac:dyDescent="0.25">
      <c r="B1838" s="62"/>
      <c r="J1838" s="46"/>
      <c r="K1838" s="46"/>
      <c r="L1838" s="46"/>
      <c r="M1838" s="46"/>
      <c r="N1838" s="46"/>
      <c r="O1838" s="46"/>
      <c r="Q1838" s="62"/>
      <c r="V1838" s="46"/>
    </row>
    <row r="1839" spans="2:22" x14ac:dyDescent="0.25">
      <c r="B1839" s="62"/>
      <c r="J1839" s="46"/>
      <c r="K1839" s="46"/>
      <c r="L1839" s="46"/>
      <c r="M1839" s="46"/>
      <c r="N1839" s="46"/>
      <c r="O1839" s="46"/>
      <c r="Q1839" s="62"/>
      <c r="V1839" s="46"/>
    </row>
    <row r="1840" spans="2:22" x14ac:dyDescent="0.25">
      <c r="B1840" s="62"/>
      <c r="J1840" s="46"/>
      <c r="K1840" s="46"/>
      <c r="L1840" s="46"/>
      <c r="M1840" s="46"/>
      <c r="N1840" s="46"/>
      <c r="O1840" s="46"/>
      <c r="Q1840" s="62"/>
      <c r="V1840" s="46"/>
    </row>
    <row r="1841" spans="2:22" x14ac:dyDescent="0.25">
      <c r="B1841" s="62"/>
      <c r="J1841" s="46"/>
      <c r="K1841" s="46"/>
      <c r="L1841" s="46"/>
      <c r="M1841" s="46"/>
      <c r="N1841" s="46"/>
      <c r="O1841" s="46"/>
      <c r="Q1841" s="62"/>
      <c r="V1841" s="46"/>
    </row>
    <row r="1842" spans="2:22" x14ac:dyDescent="0.25">
      <c r="B1842" s="62"/>
      <c r="J1842" s="46"/>
      <c r="K1842" s="46"/>
      <c r="L1842" s="46"/>
      <c r="M1842" s="46"/>
      <c r="N1842" s="46"/>
      <c r="O1842" s="46"/>
      <c r="Q1842" s="62"/>
      <c r="V1842" s="46"/>
    </row>
    <row r="1843" spans="2:22" x14ac:dyDescent="0.25">
      <c r="B1843" s="62"/>
      <c r="J1843" s="46"/>
      <c r="K1843" s="46"/>
      <c r="L1843" s="46"/>
      <c r="M1843" s="46"/>
      <c r="N1843" s="46"/>
      <c r="O1843" s="46"/>
      <c r="Q1843" s="62"/>
      <c r="V1843" s="46"/>
    </row>
    <row r="1844" spans="2:22" x14ac:dyDescent="0.25">
      <c r="B1844" s="62"/>
      <c r="J1844" s="46"/>
      <c r="K1844" s="46"/>
      <c r="L1844" s="46"/>
      <c r="M1844" s="46"/>
      <c r="N1844" s="46"/>
      <c r="O1844" s="46"/>
      <c r="Q1844" s="62"/>
      <c r="V1844" s="46"/>
    </row>
    <row r="1845" spans="2:22" x14ac:dyDescent="0.25">
      <c r="B1845" s="62"/>
      <c r="J1845" s="46"/>
      <c r="K1845" s="46"/>
      <c r="L1845" s="46"/>
      <c r="M1845" s="46"/>
      <c r="N1845" s="46"/>
      <c r="O1845" s="46"/>
      <c r="Q1845" s="62"/>
      <c r="V1845" s="46"/>
    </row>
    <row r="1846" spans="2:22" x14ac:dyDescent="0.25">
      <c r="B1846" s="62"/>
      <c r="J1846" s="46"/>
      <c r="K1846" s="46"/>
      <c r="L1846" s="46"/>
      <c r="M1846" s="46"/>
      <c r="N1846" s="46"/>
      <c r="O1846" s="46"/>
      <c r="Q1846" s="62"/>
      <c r="V1846" s="46"/>
    </row>
    <row r="1847" spans="2:22" x14ac:dyDescent="0.25">
      <c r="B1847" s="62"/>
      <c r="J1847" s="46"/>
      <c r="K1847" s="46"/>
      <c r="L1847" s="46"/>
      <c r="M1847" s="46"/>
      <c r="N1847" s="46"/>
      <c r="O1847" s="46"/>
      <c r="Q1847" s="62"/>
      <c r="V1847" s="46"/>
    </row>
    <row r="1848" spans="2:22" x14ac:dyDescent="0.25">
      <c r="B1848" s="62"/>
      <c r="J1848" s="46"/>
      <c r="K1848" s="46"/>
      <c r="L1848" s="46"/>
      <c r="M1848" s="46"/>
      <c r="N1848" s="46"/>
      <c r="O1848" s="46"/>
      <c r="Q1848" s="62"/>
      <c r="V1848" s="46"/>
    </row>
    <row r="1849" spans="2:22" x14ac:dyDescent="0.25">
      <c r="B1849" s="62"/>
      <c r="J1849" s="46"/>
      <c r="K1849" s="46"/>
      <c r="L1849" s="46"/>
      <c r="M1849" s="46"/>
      <c r="N1849" s="46"/>
      <c r="O1849" s="46"/>
      <c r="Q1849" s="62"/>
      <c r="V1849" s="46"/>
    </row>
    <row r="1850" spans="2:22" x14ac:dyDescent="0.25">
      <c r="B1850" s="62"/>
      <c r="J1850" s="46"/>
      <c r="K1850" s="46"/>
      <c r="L1850" s="46"/>
      <c r="M1850" s="46"/>
      <c r="N1850" s="46"/>
      <c r="O1850" s="46"/>
      <c r="Q1850" s="62"/>
      <c r="V1850" s="46"/>
    </row>
    <row r="1851" spans="2:22" x14ac:dyDescent="0.25">
      <c r="B1851" s="62"/>
      <c r="J1851" s="46"/>
      <c r="K1851" s="46"/>
      <c r="L1851" s="46"/>
      <c r="M1851" s="46"/>
      <c r="N1851" s="46"/>
      <c r="O1851" s="46"/>
      <c r="Q1851" s="62"/>
      <c r="V1851" s="46"/>
    </row>
    <row r="1852" spans="2:22" x14ac:dyDescent="0.25">
      <c r="B1852" s="62"/>
      <c r="J1852" s="46"/>
      <c r="K1852" s="46"/>
      <c r="L1852" s="46"/>
      <c r="M1852" s="46"/>
      <c r="N1852" s="46"/>
      <c r="O1852" s="46"/>
      <c r="Q1852" s="62"/>
      <c r="V1852" s="46"/>
    </row>
    <row r="1853" spans="2:22" x14ac:dyDescent="0.25">
      <c r="B1853" s="62"/>
      <c r="J1853" s="46"/>
      <c r="K1853" s="46"/>
      <c r="L1853" s="46"/>
      <c r="M1853" s="46"/>
      <c r="N1853" s="46"/>
      <c r="O1853" s="46"/>
      <c r="Q1853" s="62"/>
      <c r="V1853" s="46"/>
    </row>
    <row r="1854" spans="2:22" x14ac:dyDescent="0.25">
      <c r="B1854" s="62"/>
      <c r="J1854" s="46"/>
      <c r="K1854" s="46"/>
      <c r="L1854" s="46"/>
      <c r="M1854" s="46"/>
      <c r="N1854" s="46"/>
      <c r="O1854" s="46"/>
      <c r="Q1854" s="62"/>
      <c r="V1854" s="46"/>
    </row>
    <row r="1855" spans="2:22" x14ac:dyDescent="0.25">
      <c r="B1855" s="62"/>
      <c r="J1855" s="46"/>
      <c r="K1855" s="46"/>
      <c r="L1855" s="46"/>
      <c r="M1855" s="46"/>
      <c r="N1855" s="46"/>
      <c r="O1855" s="46"/>
      <c r="Q1855" s="62"/>
      <c r="V1855" s="46"/>
    </row>
    <row r="1856" spans="2:22" x14ac:dyDescent="0.25">
      <c r="B1856" s="62"/>
      <c r="J1856" s="46"/>
      <c r="K1856" s="46"/>
      <c r="L1856" s="46"/>
      <c r="M1856" s="46"/>
      <c r="N1856" s="46"/>
      <c r="O1856" s="46"/>
      <c r="Q1856" s="62"/>
      <c r="V1856" s="46"/>
    </row>
    <row r="1857" spans="2:22" x14ac:dyDescent="0.25">
      <c r="B1857" s="62"/>
      <c r="J1857" s="46"/>
      <c r="K1857" s="46"/>
      <c r="L1857" s="46"/>
      <c r="M1857" s="46"/>
      <c r="N1857" s="46"/>
      <c r="O1857" s="46"/>
      <c r="Q1857" s="62"/>
      <c r="V1857" s="46"/>
    </row>
    <row r="1858" spans="2:22" x14ac:dyDescent="0.25">
      <c r="B1858" s="62"/>
      <c r="J1858" s="46"/>
      <c r="K1858" s="46"/>
      <c r="L1858" s="46"/>
      <c r="M1858" s="46"/>
      <c r="N1858" s="46"/>
      <c r="O1858" s="46"/>
      <c r="Q1858" s="62"/>
      <c r="V1858" s="46"/>
    </row>
    <row r="1859" spans="2:22" x14ac:dyDescent="0.25">
      <c r="B1859" s="62"/>
      <c r="J1859" s="46"/>
      <c r="K1859" s="46"/>
      <c r="L1859" s="46"/>
      <c r="M1859" s="46"/>
      <c r="N1859" s="46"/>
      <c r="O1859" s="46"/>
      <c r="Q1859" s="62"/>
      <c r="V1859" s="46"/>
    </row>
    <row r="1860" spans="2:22" x14ac:dyDescent="0.25">
      <c r="B1860" s="62"/>
      <c r="J1860" s="46"/>
      <c r="K1860" s="46"/>
      <c r="L1860" s="46"/>
      <c r="M1860" s="46"/>
      <c r="N1860" s="46"/>
      <c r="O1860" s="46"/>
      <c r="Q1860" s="62"/>
      <c r="V1860" s="46"/>
    </row>
    <row r="1861" spans="2:22" x14ac:dyDescent="0.25">
      <c r="B1861" s="62"/>
      <c r="J1861" s="46"/>
      <c r="K1861" s="46"/>
      <c r="L1861" s="46"/>
      <c r="M1861" s="46"/>
      <c r="N1861" s="46"/>
      <c r="O1861" s="46"/>
      <c r="Q1861" s="62"/>
      <c r="V1861" s="46"/>
    </row>
    <row r="1862" spans="2:22" x14ac:dyDescent="0.25">
      <c r="B1862" s="62"/>
      <c r="J1862" s="46"/>
      <c r="K1862" s="46"/>
      <c r="L1862" s="46"/>
      <c r="M1862" s="46"/>
      <c r="N1862" s="46"/>
      <c r="O1862" s="46"/>
      <c r="Q1862" s="62"/>
      <c r="V1862" s="46"/>
    </row>
    <row r="1863" spans="2:22" x14ac:dyDescent="0.25">
      <c r="B1863" s="62"/>
      <c r="J1863" s="46"/>
      <c r="K1863" s="46"/>
      <c r="L1863" s="46"/>
      <c r="M1863" s="46"/>
      <c r="N1863" s="46"/>
      <c r="O1863" s="46"/>
      <c r="Q1863" s="62"/>
      <c r="V1863" s="46"/>
    </row>
    <row r="1864" spans="2:22" x14ac:dyDescent="0.25">
      <c r="B1864" s="62"/>
      <c r="J1864" s="46"/>
      <c r="K1864" s="46"/>
      <c r="L1864" s="46"/>
      <c r="M1864" s="46"/>
      <c r="N1864" s="46"/>
      <c r="O1864" s="46"/>
      <c r="Q1864" s="62"/>
      <c r="V1864" s="46"/>
    </row>
    <row r="1865" spans="2:22" x14ac:dyDescent="0.25">
      <c r="B1865" s="62"/>
      <c r="J1865" s="46"/>
      <c r="K1865" s="46"/>
      <c r="L1865" s="46"/>
      <c r="M1865" s="46"/>
      <c r="N1865" s="46"/>
      <c r="O1865" s="46"/>
      <c r="Q1865" s="62"/>
      <c r="V1865" s="46"/>
    </row>
    <row r="1866" spans="2:22" x14ac:dyDescent="0.25">
      <c r="B1866" s="62"/>
      <c r="J1866" s="46"/>
      <c r="K1866" s="46"/>
      <c r="L1866" s="46"/>
      <c r="M1866" s="46"/>
      <c r="N1866" s="46"/>
      <c r="O1866" s="46"/>
      <c r="Q1866" s="62"/>
      <c r="V1866" s="46"/>
    </row>
    <row r="1867" spans="2:22" x14ac:dyDescent="0.25">
      <c r="B1867" s="62"/>
      <c r="J1867" s="46"/>
      <c r="K1867" s="46"/>
      <c r="L1867" s="46"/>
      <c r="M1867" s="46"/>
      <c r="N1867" s="46"/>
      <c r="O1867" s="46"/>
      <c r="Q1867" s="62"/>
      <c r="V1867" s="46"/>
    </row>
    <row r="1868" spans="2:22" x14ac:dyDescent="0.25">
      <c r="B1868" s="62"/>
      <c r="J1868" s="46"/>
      <c r="K1868" s="46"/>
      <c r="L1868" s="46"/>
      <c r="M1868" s="46"/>
      <c r="N1868" s="46"/>
      <c r="O1868" s="46"/>
      <c r="Q1868" s="62"/>
      <c r="V1868" s="46"/>
    </row>
    <row r="1869" spans="2:22" x14ac:dyDescent="0.25">
      <c r="B1869" s="62"/>
      <c r="J1869" s="46"/>
      <c r="K1869" s="46"/>
      <c r="L1869" s="46"/>
      <c r="M1869" s="46"/>
      <c r="N1869" s="46"/>
      <c r="O1869" s="46"/>
      <c r="Q1869" s="62"/>
      <c r="V1869" s="46"/>
    </row>
    <row r="1870" spans="2:22" x14ac:dyDescent="0.25">
      <c r="B1870" s="62"/>
      <c r="J1870" s="46"/>
      <c r="K1870" s="46"/>
      <c r="L1870" s="46"/>
      <c r="M1870" s="46"/>
      <c r="N1870" s="46"/>
      <c r="O1870" s="46"/>
      <c r="Q1870" s="62"/>
      <c r="V1870" s="46"/>
    </row>
    <row r="1871" spans="2:22" x14ac:dyDescent="0.25">
      <c r="B1871" s="62"/>
      <c r="J1871" s="46"/>
      <c r="K1871" s="46"/>
      <c r="L1871" s="46"/>
      <c r="M1871" s="46"/>
      <c r="N1871" s="46"/>
      <c r="O1871" s="46"/>
      <c r="Q1871" s="62"/>
      <c r="V1871" s="46"/>
    </row>
    <row r="1872" spans="2:22" x14ac:dyDescent="0.25">
      <c r="B1872" s="62"/>
      <c r="J1872" s="46"/>
      <c r="K1872" s="46"/>
      <c r="L1872" s="46"/>
      <c r="M1872" s="46"/>
      <c r="N1872" s="46"/>
      <c r="O1872" s="46"/>
      <c r="Q1872" s="62"/>
      <c r="V1872" s="46"/>
    </row>
    <row r="1873" spans="2:22" x14ac:dyDescent="0.25">
      <c r="B1873" s="62"/>
      <c r="J1873" s="46"/>
      <c r="K1873" s="46"/>
      <c r="L1873" s="46"/>
      <c r="M1873" s="46"/>
      <c r="N1873" s="46"/>
      <c r="O1873" s="46"/>
      <c r="Q1873" s="62"/>
      <c r="V1873" s="46"/>
    </row>
    <row r="1874" spans="2:22" x14ac:dyDescent="0.25">
      <c r="B1874" s="62"/>
      <c r="J1874" s="46"/>
      <c r="K1874" s="46"/>
      <c r="L1874" s="46"/>
      <c r="M1874" s="46"/>
      <c r="N1874" s="46"/>
      <c r="O1874" s="46"/>
      <c r="Q1874" s="62"/>
      <c r="V1874" s="46"/>
    </row>
    <row r="1875" spans="2:22" x14ac:dyDescent="0.25">
      <c r="B1875" s="62"/>
      <c r="J1875" s="46"/>
      <c r="K1875" s="46"/>
      <c r="L1875" s="46"/>
      <c r="M1875" s="46"/>
      <c r="N1875" s="46"/>
      <c r="O1875" s="46"/>
      <c r="Q1875" s="62"/>
      <c r="V1875" s="46"/>
    </row>
    <row r="1876" spans="2:22" x14ac:dyDescent="0.25">
      <c r="B1876" s="62"/>
      <c r="J1876" s="46"/>
      <c r="K1876" s="46"/>
      <c r="L1876" s="46"/>
      <c r="M1876" s="46"/>
      <c r="N1876" s="46"/>
      <c r="O1876" s="46"/>
      <c r="Q1876" s="62"/>
      <c r="V1876" s="46"/>
    </row>
    <row r="1877" spans="2:22" x14ac:dyDescent="0.25">
      <c r="B1877" s="62"/>
      <c r="J1877" s="46"/>
      <c r="K1877" s="46"/>
      <c r="L1877" s="46"/>
      <c r="M1877" s="46"/>
      <c r="N1877" s="46"/>
      <c r="O1877" s="46"/>
      <c r="Q1877" s="62"/>
      <c r="V1877" s="46"/>
    </row>
    <row r="1878" spans="2:22" x14ac:dyDescent="0.25">
      <c r="B1878" s="62"/>
      <c r="J1878" s="46"/>
      <c r="K1878" s="46"/>
      <c r="L1878" s="46"/>
      <c r="M1878" s="46"/>
      <c r="N1878" s="46"/>
      <c r="O1878" s="46"/>
      <c r="Q1878" s="62"/>
      <c r="V1878" s="46"/>
    </row>
    <row r="1879" spans="2:22" x14ac:dyDescent="0.25">
      <c r="B1879" s="62"/>
      <c r="J1879" s="46"/>
      <c r="K1879" s="46"/>
      <c r="L1879" s="46"/>
      <c r="M1879" s="46"/>
      <c r="N1879" s="46"/>
      <c r="O1879" s="46"/>
      <c r="Q1879" s="62"/>
      <c r="V1879" s="46"/>
    </row>
    <row r="1880" spans="2:22" x14ac:dyDescent="0.25">
      <c r="B1880" s="62"/>
      <c r="J1880" s="46"/>
      <c r="K1880" s="46"/>
      <c r="L1880" s="46"/>
      <c r="M1880" s="46"/>
      <c r="N1880" s="46"/>
      <c r="O1880" s="46"/>
      <c r="Q1880" s="62"/>
      <c r="V1880" s="46"/>
    </row>
    <row r="1881" spans="2:22" x14ac:dyDescent="0.25">
      <c r="B1881" s="62"/>
      <c r="J1881" s="46"/>
      <c r="K1881" s="46"/>
      <c r="L1881" s="46"/>
      <c r="M1881" s="46"/>
      <c r="N1881" s="46"/>
      <c r="O1881" s="46"/>
      <c r="Q1881" s="62"/>
      <c r="V1881" s="46"/>
    </row>
    <row r="1882" spans="2:22" x14ac:dyDescent="0.25">
      <c r="B1882" s="62"/>
      <c r="J1882" s="46"/>
      <c r="K1882" s="46"/>
      <c r="L1882" s="46"/>
      <c r="M1882" s="46"/>
      <c r="N1882" s="46"/>
      <c r="O1882" s="46"/>
      <c r="Q1882" s="62"/>
      <c r="V1882" s="46"/>
    </row>
    <row r="1883" spans="2:22" x14ac:dyDescent="0.25">
      <c r="B1883" s="62"/>
      <c r="J1883" s="46"/>
      <c r="K1883" s="46"/>
      <c r="L1883" s="46"/>
      <c r="M1883" s="46"/>
      <c r="N1883" s="46"/>
      <c r="O1883" s="46"/>
      <c r="Q1883" s="62"/>
      <c r="V1883" s="46"/>
    </row>
    <row r="1884" spans="2:22" x14ac:dyDescent="0.25">
      <c r="B1884" s="62"/>
      <c r="J1884" s="46"/>
      <c r="K1884" s="46"/>
      <c r="L1884" s="46"/>
      <c r="M1884" s="46"/>
      <c r="N1884" s="46"/>
      <c r="O1884" s="46"/>
      <c r="Q1884" s="62"/>
      <c r="V1884" s="46"/>
    </row>
    <row r="1885" spans="2:22" x14ac:dyDescent="0.25">
      <c r="B1885" s="62"/>
      <c r="J1885" s="46"/>
      <c r="K1885" s="46"/>
      <c r="L1885" s="46"/>
      <c r="M1885" s="46"/>
      <c r="N1885" s="46"/>
      <c r="O1885" s="46"/>
      <c r="Q1885" s="62"/>
      <c r="V1885" s="46"/>
    </row>
    <row r="1886" spans="2:22" x14ac:dyDescent="0.25">
      <c r="B1886" s="62"/>
      <c r="J1886" s="46"/>
      <c r="K1886" s="46"/>
      <c r="L1886" s="46"/>
      <c r="M1886" s="46"/>
      <c r="N1886" s="46"/>
      <c r="O1886" s="46"/>
      <c r="Q1886" s="62"/>
      <c r="V1886" s="46"/>
    </row>
    <row r="1887" spans="2:22" x14ac:dyDescent="0.25">
      <c r="B1887" s="62"/>
      <c r="J1887" s="46"/>
      <c r="K1887" s="46"/>
      <c r="L1887" s="46"/>
      <c r="M1887" s="46"/>
      <c r="N1887" s="46"/>
      <c r="O1887" s="46"/>
      <c r="Q1887" s="62"/>
      <c r="V1887" s="46"/>
    </row>
    <row r="1888" spans="2:22" x14ac:dyDescent="0.25">
      <c r="B1888" s="62"/>
      <c r="J1888" s="46"/>
      <c r="K1888" s="46"/>
      <c r="L1888" s="46"/>
      <c r="M1888" s="46"/>
      <c r="N1888" s="46"/>
      <c r="O1888" s="46"/>
      <c r="Q1888" s="62"/>
      <c r="V1888" s="46"/>
    </row>
    <row r="1889" spans="2:22" x14ac:dyDescent="0.25">
      <c r="B1889" s="62"/>
      <c r="J1889" s="46"/>
      <c r="K1889" s="46"/>
      <c r="L1889" s="46"/>
      <c r="M1889" s="46"/>
      <c r="N1889" s="46"/>
      <c r="O1889" s="46"/>
      <c r="Q1889" s="62"/>
      <c r="V1889" s="46"/>
    </row>
    <row r="1890" spans="2:22" x14ac:dyDescent="0.25">
      <c r="B1890" s="62"/>
      <c r="J1890" s="46"/>
      <c r="K1890" s="46"/>
      <c r="L1890" s="46"/>
      <c r="M1890" s="46"/>
      <c r="N1890" s="46"/>
      <c r="O1890" s="46"/>
      <c r="Q1890" s="62"/>
      <c r="V1890" s="46"/>
    </row>
    <row r="1891" spans="2:22" x14ac:dyDescent="0.25">
      <c r="B1891" s="62"/>
      <c r="J1891" s="46"/>
      <c r="K1891" s="46"/>
      <c r="L1891" s="46"/>
      <c r="M1891" s="46"/>
      <c r="N1891" s="46"/>
      <c r="O1891" s="46"/>
      <c r="Q1891" s="62"/>
      <c r="V1891" s="46"/>
    </row>
    <row r="1892" spans="2:22" x14ac:dyDescent="0.25">
      <c r="B1892" s="62"/>
      <c r="J1892" s="46"/>
      <c r="K1892" s="46"/>
      <c r="L1892" s="46"/>
      <c r="M1892" s="46"/>
      <c r="N1892" s="46"/>
      <c r="O1892" s="46"/>
      <c r="Q1892" s="62"/>
      <c r="V1892" s="46"/>
    </row>
    <row r="1893" spans="2:22" x14ac:dyDescent="0.25">
      <c r="B1893" s="62"/>
      <c r="J1893" s="46"/>
      <c r="K1893" s="46"/>
      <c r="L1893" s="46"/>
      <c r="M1893" s="46"/>
      <c r="N1893" s="46"/>
      <c r="O1893" s="46"/>
      <c r="Q1893" s="62"/>
      <c r="V1893" s="46"/>
    </row>
    <row r="1894" spans="2:22" x14ac:dyDescent="0.25">
      <c r="B1894" s="62"/>
      <c r="J1894" s="46"/>
      <c r="K1894" s="46"/>
      <c r="L1894" s="46"/>
      <c r="M1894" s="46"/>
      <c r="N1894" s="46"/>
      <c r="O1894" s="46"/>
      <c r="Q1894" s="62"/>
      <c r="V1894" s="46"/>
    </row>
    <row r="1895" spans="2:22" x14ac:dyDescent="0.25">
      <c r="B1895" s="62"/>
      <c r="J1895" s="46"/>
      <c r="K1895" s="46"/>
      <c r="L1895" s="46"/>
      <c r="M1895" s="46"/>
      <c r="N1895" s="46"/>
      <c r="O1895" s="46"/>
      <c r="Q1895" s="62"/>
      <c r="V1895" s="46"/>
    </row>
    <row r="1896" spans="2:22" x14ac:dyDescent="0.25">
      <c r="B1896" s="62"/>
      <c r="J1896" s="46"/>
      <c r="K1896" s="46"/>
      <c r="L1896" s="46"/>
      <c r="M1896" s="46"/>
      <c r="N1896" s="46"/>
      <c r="O1896" s="46"/>
      <c r="Q1896" s="62"/>
      <c r="V1896" s="46"/>
    </row>
    <row r="1897" spans="2:22" x14ac:dyDescent="0.25">
      <c r="B1897" s="62"/>
      <c r="J1897" s="46"/>
      <c r="K1897" s="46"/>
      <c r="L1897" s="46"/>
      <c r="M1897" s="46"/>
      <c r="N1897" s="46"/>
      <c r="O1897" s="46"/>
      <c r="Q1897" s="62"/>
      <c r="V1897" s="46"/>
    </row>
    <row r="1898" spans="2:22" x14ac:dyDescent="0.25">
      <c r="B1898" s="62"/>
      <c r="J1898" s="46"/>
      <c r="K1898" s="46"/>
      <c r="L1898" s="46"/>
      <c r="M1898" s="46"/>
      <c r="N1898" s="46"/>
      <c r="O1898" s="46"/>
      <c r="Q1898" s="62"/>
      <c r="V1898" s="46"/>
    </row>
    <row r="1899" spans="2:22" x14ac:dyDescent="0.25">
      <c r="B1899" s="62"/>
      <c r="J1899" s="46"/>
      <c r="K1899" s="46"/>
      <c r="L1899" s="46"/>
      <c r="M1899" s="46"/>
      <c r="N1899" s="46"/>
      <c r="O1899" s="46"/>
      <c r="Q1899" s="62"/>
      <c r="V1899" s="46"/>
    </row>
    <row r="1900" spans="2:22" x14ac:dyDescent="0.25">
      <c r="B1900" s="62"/>
      <c r="J1900" s="46"/>
      <c r="K1900" s="46"/>
      <c r="L1900" s="46"/>
      <c r="M1900" s="46"/>
      <c r="N1900" s="46"/>
      <c r="O1900" s="46"/>
      <c r="Q1900" s="62"/>
      <c r="V1900" s="46"/>
    </row>
    <row r="1901" spans="2:22" x14ac:dyDescent="0.25">
      <c r="B1901" s="62"/>
      <c r="J1901" s="46"/>
      <c r="K1901" s="46"/>
      <c r="L1901" s="46"/>
      <c r="M1901" s="46"/>
      <c r="N1901" s="46"/>
      <c r="O1901" s="46"/>
      <c r="Q1901" s="62"/>
      <c r="V1901" s="46"/>
    </row>
    <row r="1902" spans="2:22" x14ac:dyDescent="0.25">
      <c r="B1902" s="62"/>
      <c r="J1902" s="46"/>
      <c r="K1902" s="46"/>
      <c r="L1902" s="46"/>
      <c r="M1902" s="46"/>
      <c r="N1902" s="46"/>
      <c r="O1902" s="46"/>
      <c r="Q1902" s="62"/>
      <c r="V1902" s="46"/>
    </row>
    <row r="1903" spans="2:22" x14ac:dyDescent="0.25">
      <c r="B1903" s="62"/>
      <c r="J1903" s="46"/>
      <c r="K1903" s="46"/>
      <c r="L1903" s="46"/>
      <c r="M1903" s="46"/>
      <c r="N1903" s="46"/>
      <c r="O1903" s="46"/>
      <c r="Q1903" s="62"/>
      <c r="V1903" s="46"/>
    </row>
    <row r="1904" spans="2:22" x14ac:dyDescent="0.25">
      <c r="B1904" s="62"/>
      <c r="J1904" s="46"/>
      <c r="K1904" s="46"/>
      <c r="L1904" s="46"/>
      <c r="M1904" s="46"/>
      <c r="N1904" s="46"/>
      <c r="O1904" s="46"/>
      <c r="Q1904" s="62"/>
      <c r="V1904" s="46"/>
    </row>
    <row r="1905" spans="2:22" x14ac:dyDescent="0.25">
      <c r="B1905" s="62"/>
      <c r="J1905" s="46"/>
      <c r="K1905" s="46"/>
      <c r="L1905" s="46"/>
      <c r="M1905" s="46"/>
      <c r="N1905" s="46"/>
      <c r="O1905" s="46"/>
      <c r="Q1905" s="62"/>
      <c r="V1905" s="46"/>
    </row>
    <row r="1906" spans="2:22" x14ac:dyDescent="0.25">
      <c r="B1906" s="62"/>
      <c r="J1906" s="46"/>
      <c r="K1906" s="46"/>
      <c r="L1906" s="46"/>
      <c r="M1906" s="46"/>
      <c r="N1906" s="46"/>
      <c r="O1906" s="46"/>
      <c r="Q1906" s="62"/>
      <c r="V1906" s="46"/>
    </row>
    <row r="1907" spans="2:22" x14ac:dyDescent="0.25">
      <c r="B1907" s="62"/>
      <c r="J1907" s="46"/>
      <c r="K1907" s="46"/>
      <c r="L1907" s="46"/>
      <c r="M1907" s="46"/>
      <c r="N1907" s="46"/>
      <c r="O1907" s="46"/>
      <c r="Q1907" s="62"/>
      <c r="V1907" s="46"/>
    </row>
    <row r="1908" spans="2:22" x14ac:dyDescent="0.25">
      <c r="B1908" s="62"/>
      <c r="J1908" s="46"/>
      <c r="K1908" s="46"/>
      <c r="L1908" s="46"/>
      <c r="M1908" s="46"/>
      <c r="N1908" s="46"/>
      <c r="O1908" s="46"/>
      <c r="Q1908" s="62"/>
      <c r="V1908" s="46"/>
    </row>
    <row r="1909" spans="2:22" x14ac:dyDescent="0.25">
      <c r="B1909" s="62"/>
      <c r="J1909" s="46"/>
      <c r="K1909" s="46"/>
      <c r="L1909" s="46"/>
      <c r="M1909" s="46"/>
      <c r="N1909" s="46"/>
      <c r="O1909" s="46"/>
      <c r="Q1909" s="62"/>
      <c r="V1909" s="46"/>
    </row>
    <row r="1910" spans="2:22" x14ac:dyDescent="0.25">
      <c r="B1910" s="62"/>
      <c r="J1910" s="46"/>
      <c r="K1910" s="46"/>
      <c r="L1910" s="46"/>
      <c r="M1910" s="46"/>
      <c r="N1910" s="46"/>
      <c r="O1910" s="46"/>
      <c r="Q1910" s="62"/>
      <c r="V1910" s="46"/>
    </row>
    <row r="1911" spans="2:22" x14ac:dyDescent="0.25">
      <c r="B1911" s="62"/>
      <c r="J1911" s="46"/>
      <c r="K1911" s="46"/>
      <c r="L1911" s="46"/>
      <c r="M1911" s="46"/>
      <c r="N1911" s="46"/>
      <c r="O1911" s="46"/>
      <c r="Q1911" s="62"/>
      <c r="V1911" s="46"/>
    </row>
    <row r="1912" spans="2:22" x14ac:dyDescent="0.25">
      <c r="B1912" s="62"/>
      <c r="J1912" s="46"/>
      <c r="K1912" s="46"/>
      <c r="L1912" s="46"/>
      <c r="M1912" s="46"/>
      <c r="N1912" s="46"/>
      <c r="O1912" s="46"/>
      <c r="Q1912" s="62"/>
      <c r="V1912" s="46"/>
    </row>
    <row r="1913" spans="2:22" x14ac:dyDescent="0.25">
      <c r="B1913" s="62"/>
      <c r="J1913" s="46"/>
      <c r="K1913" s="46"/>
      <c r="L1913" s="46"/>
      <c r="M1913" s="46"/>
      <c r="N1913" s="46"/>
      <c r="O1913" s="46"/>
      <c r="Q1913" s="62"/>
      <c r="V1913" s="46"/>
    </row>
    <row r="1914" spans="2:22" x14ac:dyDescent="0.25">
      <c r="B1914" s="62"/>
      <c r="J1914" s="46"/>
      <c r="K1914" s="46"/>
      <c r="L1914" s="46"/>
      <c r="M1914" s="46"/>
      <c r="N1914" s="46"/>
      <c r="O1914" s="46"/>
      <c r="Q1914" s="62"/>
      <c r="V1914" s="46"/>
    </row>
    <row r="1915" spans="2:22" x14ac:dyDescent="0.25">
      <c r="B1915" s="62"/>
      <c r="J1915" s="46"/>
      <c r="K1915" s="46"/>
      <c r="L1915" s="46"/>
      <c r="M1915" s="46"/>
      <c r="N1915" s="46"/>
      <c r="O1915" s="46"/>
      <c r="Q1915" s="62"/>
      <c r="V1915" s="46"/>
    </row>
    <row r="1916" spans="2:22" x14ac:dyDescent="0.25">
      <c r="B1916" s="62"/>
      <c r="J1916" s="46"/>
      <c r="K1916" s="46"/>
      <c r="L1916" s="46"/>
      <c r="M1916" s="46"/>
      <c r="N1916" s="46"/>
      <c r="O1916" s="46"/>
      <c r="Q1916" s="62"/>
      <c r="V1916" s="46"/>
    </row>
    <row r="1917" spans="2:22" x14ac:dyDescent="0.25">
      <c r="B1917" s="62"/>
      <c r="J1917" s="46"/>
      <c r="K1917" s="46"/>
      <c r="L1917" s="46"/>
      <c r="M1917" s="46"/>
      <c r="N1917" s="46"/>
      <c r="O1917" s="46"/>
      <c r="Q1917" s="62"/>
      <c r="V1917" s="46"/>
    </row>
    <row r="1918" spans="2:22" x14ac:dyDescent="0.25">
      <c r="B1918" s="62"/>
      <c r="J1918" s="46"/>
      <c r="K1918" s="46"/>
      <c r="L1918" s="46"/>
      <c r="M1918" s="46"/>
      <c r="N1918" s="46"/>
      <c r="O1918" s="46"/>
      <c r="Q1918" s="62"/>
      <c r="V1918" s="46"/>
    </row>
    <row r="1919" spans="2:22" x14ac:dyDescent="0.25">
      <c r="B1919" s="62"/>
      <c r="J1919" s="46"/>
      <c r="K1919" s="46"/>
      <c r="L1919" s="46"/>
      <c r="M1919" s="46"/>
      <c r="N1919" s="46"/>
      <c r="O1919" s="46"/>
      <c r="Q1919" s="62"/>
      <c r="V1919" s="46"/>
    </row>
    <row r="1920" spans="2:22" x14ac:dyDescent="0.25">
      <c r="B1920" s="62"/>
      <c r="J1920" s="46"/>
      <c r="K1920" s="46"/>
      <c r="L1920" s="46"/>
      <c r="M1920" s="46"/>
      <c r="N1920" s="46"/>
      <c r="O1920" s="46"/>
      <c r="Q1920" s="62"/>
      <c r="V1920" s="46"/>
    </row>
    <row r="1921" spans="2:22" x14ac:dyDescent="0.25">
      <c r="B1921" s="62"/>
      <c r="J1921" s="46"/>
      <c r="K1921" s="46"/>
      <c r="L1921" s="46"/>
      <c r="M1921" s="46"/>
      <c r="N1921" s="46"/>
      <c r="O1921" s="46"/>
      <c r="Q1921" s="62"/>
      <c r="V1921" s="46"/>
    </row>
    <row r="1922" spans="2:22" x14ac:dyDescent="0.25">
      <c r="B1922" s="62"/>
      <c r="J1922" s="46"/>
      <c r="K1922" s="46"/>
      <c r="L1922" s="46"/>
      <c r="M1922" s="46"/>
      <c r="N1922" s="46"/>
      <c r="O1922" s="46"/>
      <c r="Q1922" s="62"/>
      <c r="V1922" s="46"/>
    </row>
    <row r="1923" spans="2:22" x14ac:dyDescent="0.25">
      <c r="B1923" s="62"/>
      <c r="J1923" s="46"/>
      <c r="K1923" s="46"/>
      <c r="L1923" s="46"/>
      <c r="M1923" s="46"/>
      <c r="N1923" s="46"/>
      <c r="O1923" s="46"/>
      <c r="Q1923" s="62"/>
      <c r="V1923" s="46"/>
    </row>
    <row r="1924" spans="2:22" x14ac:dyDescent="0.25">
      <c r="B1924" s="62"/>
      <c r="J1924" s="46"/>
      <c r="K1924" s="46"/>
      <c r="L1924" s="46"/>
      <c r="M1924" s="46"/>
      <c r="N1924" s="46"/>
      <c r="O1924" s="46"/>
      <c r="Q1924" s="62"/>
      <c r="V1924" s="46"/>
    </row>
    <row r="1925" spans="2:22" x14ac:dyDescent="0.25">
      <c r="B1925" s="62"/>
      <c r="J1925" s="46"/>
      <c r="K1925" s="46"/>
      <c r="L1925" s="46"/>
      <c r="M1925" s="46"/>
      <c r="N1925" s="46"/>
      <c r="O1925" s="46"/>
      <c r="Q1925" s="62"/>
      <c r="V1925" s="46"/>
    </row>
    <row r="1926" spans="2:22" x14ac:dyDescent="0.25">
      <c r="B1926" s="62"/>
      <c r="J1926" s="46"/>
      <c r="K1926" s="46"/>
      <c r="L1926" s="46"/>
      <c r="M1926" s="46"/>
      <c r="N1926" s="46"/>
      <c r="O1926" s="46"/>
      <c r="Q1926" s="62"/>
      <c r="V1926" s="46"/>
    </row>
    <row r="1927" spans="2:22" x14ac:dyDescent="0.25">
      <c r="B1927" s="62"/>
      <c r="J1927" s="46"/>
      <c r="K1927" s="46"/>
      <c r="L1927" s="46"/>
      <c r="M1927" s="46"/>
      <c r="N1927" s="46"/>
      <c r="O1927" s="46"/>
      <c r="Q1927" s="62"/>
      <c r="V1927" s="46"/>
    </row>
    <row r="1928" spans="2:22" x14ac:dyDescent="0.25">
      <c r="B1928" s="62"/>
      <c r="J1928" s="46"/>
      <c r="K1928" s="46"/>
      <c r="L1928" s="46"/>
      <c r="M1928" s="46"/>
      <c r="N1928" s="46"/>
      <c r="O1928" s="46"/>
      <c r="Q1928" s="62"/>
      <c r="V1928" s="46"/>
    </row>
    <row r="1929" spans="2:22" x14ac:dyDescent="0.25">
      <c r="B1929" s="62"/>
      <c r="J1929" s="46"/>
      <c r="K1929" s="46"/>
      <c r="L1929" s="46"/>
      <c r="M1929" s="46"/>
      <c r="N1929" s="46"/>
      <c r="O1929" s="46"/>
      <c r="Q1929" s="62"/>
      <c r="V1929" s="46"/>
    </row>
    <row r="1930" spans="2:22" x14ac:dyDescent="0.25">
      <c r="B1930" s="62"/>
      <c r="J1930" s="46"/>
      <c r="K1930" s="46"/>
      <c r="L1930" s="46"/>
      <c r="M1930" s="46"/>
      <c r="N1930" s="46"/>
      <c r="O1930" s="46"/>
      <c r="Q1930" s="62"/>
      <c r="V1930" s="46"/>
    </row>
    <row r="1931" spans="2:22" x14ac:dyDescent="0.25">
      <c r="B1931" s="62"/>
      <c r="J1931" s="46"/>
      <c r="K1931" s="46"/>
      <c r="L1931" s="46"/>
      <c r="M1931" s="46"/>
      <c r="N1931" s="46"/>
      <c r="O1931" s="46"/>
      <c r="Q1931" s="62"/>
      <c r="V1931" s="46"/>
    </row>
    <row r="1932" spans="2:22" x14ac:dyDescent="0.25">
      <c r="B1932" s="62"/>
      <c r="J1932" s="46"/>
      <c r="K1932" s="46"/>
      <c r="L1932" s="46"/>
      <c r="M1932" s="46"/>
      <c r="N1932" s="46"/>
      <c r="O1932" s="46"/>
      <c r="Q1932" s="62"/>
      <c r="V1932" s="46"/>
    </row>
    <row r="1933" spans="2:22" x14ac:dyDescent="0.25">
      <c r="B1933" s="62"/>
      <c r="J1933" s="46"/>
      <c r="K1933" s="46"/>
      <c r="L1933" s="46"/>
      <c r="M1933" s="46"/>
      <c r="N1933" s="46"/>
      <c r="O1933" s="46"/>
      <c r="Q1933" s="62"/>
      <c r="V1933" s="46"/>
    </row>
    <row r="1934" spans="2:22" x14ac:dyDescent="0.25">
      <c r="B1934" s="62"/>
      <c r="J1934" s="46"/>
      <c r="K1934" s="46"/>
      <c r="L1934" s="46"/>
      <c r="M1934" s="46"/>
      <c r="N1934" s="46"/>
      <c r="O1934" s="46"/>
      <c r="Q1934" s="62"/>
      <c r="V1934" s="46"/>
    </row>
    <row r="1935" spans="2:22" x14ac:dyDescent="0.25">
      <c r="B1935" s="62"/>
      <c r="J1935" s="46"/>
      <c r="K1935" s="46"/>
      <c r="L1935" s="46"/>
      <c r="M1935" s="46"/>
      <c r="N1935" s="46"/>
      <c r="O1935" s="46"/>
      <c r="Q1935" s="62"/>
      <c r="V1935" s="46"/>
    </row>
    <row r="1936" spans="2:22" x14ac:dyDescent="0.25">
      <c r="B1936" s="62"/>
      <c r="J1936" s="46"/>
      <c r="K1936" s="46"/>
      <c r="L1936" s="46"/>
      <c r="M1936" s="46"/>
      <c r="N1936" s="46"/>
      <c r="O1936" s="46"/>
      <c r="Q1936" s="62"/>
      <c r="V1936" s="46"/>
    </row>
    <row r="1937" spans="2:22" x14ac:dyDescent="0.25">
      <c r="B1937" s="62"/>
      <c r="J1937" s="46"/>
      <c r="K1937" s="46"/>
      <c r="L1937" s="46"/>
      <c r="M1937" s="46"/>
      <c r="N1937" s="46"/>
      <c r="O1937" s="46"/>
      <c r="Q1937" s="62"/>
      <c r="V1937" s="46"/>
    </row>
    <row r="1938" spans="2:22" x14ac:dyDescent="0.25">
      <c r="B1938" s="62"/>
      <c r="J1938" s="46"/>
      <c r="K1938" s="46"/>
      <c r="L1938" s="46"/>
      <c r="M1938" s="46"/>
      <c r="N1938" s="46"/>
      <c r="O1938" s="46"/>
      <c r="Q1938" s="62"/>
      <c r="V1938" s="46"/>
    </row>
    <row r="1939" spans="2:22" x14ac:dyDescent="0.25">
      <c r="B1939" s="62"/>
      <c r="J1939" s="46"/>
      <c r="K1939" s="46"/>
      <c r="L1939" s="46"/>
      <c r="M1939" s="46"/>
      <c r="N1939" s="46"/>
      <c r="O1939" s="46"/>
      <c r="Q1939" s="62"/>
      <c r="V1939" s="46"/>
    </row>
    <row r="1940" spans="2:22" x14ac:dyDescent="0.25">
      <c r="B1940" s="62"/>
      <c r="J1940" s="46"/>
      <c r="K1940" s="46"/>
      <c r="L1940" s="46"/>
      <c r="M1940" s="46"/>
      <c r="N1940" s="46"/>
      <c r="O1940" s="46"/>
      <c r="Q1940" s="62"/>
      <c r="V1940" s="46"/>
    </row>
    <row r="1941" spans="2:22" x14ac:dyDescent="0.25">
      <c r="B1941" s="62"/>
      <c r="J1941" s="46"/>
      <c r="K1941" s="46"/>
      <c r="L1941" s="46"/>
      <c r="M1941" s="46"/>
      <c r="N1941" s="46"/>
      <c r="O1941" s="46"/>
      <c r="Q1941" s="62"/>
      <c r="V1941" s="46"/>
    </row>
    <row r="1942" spans="2:22" x14ac:dyDescent="0.25">
      <c r="B1942" s="62"/>
      <c r="J1942" s="46"/>
      <c r="K1942" s="46"/>
      <c r="L1942" s="46"/>
      <c r="M1942" s="46"/>
      <c r="N1942" s="46"/>
      <c r="O1942" s="46"/>
      <c r="Q1942" s="62"/>
      <c r="V1942" s="46"/>
    </row>
    <row r="1943" spans="2:22" x14ac:dyDescent="0.25">
      <c r="B1943" s="62"/>
      <c r="J1943" s="46"/>
      <c r="K1943" s="46"/>
      <c r="L1943" s="46"/>
      <c r="M1943" s="46"/>
      <c r="N1943" s="46"/>
      <c r="O1943" s="46"/>
      <c r="Q1943" s="62"/>
      <c r="V1943" s="46"/>
    </row>
    <row r="1944" spans="2:22" x14ac:dyDescent="0.25">
      <c r="B1944" s="62"/>
      <c r="J1944" s="46"/>
      <c r="K1944" s="46"/>
      <c r="L1944" s="46"/>
      <c r="M1944" s="46"/>
      <c r="N1944" s="46"/>
      <c r="O1944" s="46"/>
      <c r="Q1944" s="62"/>
      <c r="V1944" s="46"/>
    </row>
    <row r="1945" spans="2:22" x14ac:dyDescent="0.25">
      <c r="B1945" s="62"/>
      <c r="J1945" s="46"/>
      <c r="K1945" s="46"/>
      <c r="L1945" s="46"/>
      <c r="M1945" s="46"/>
      <c r="N1945" s="46"/>
      <c r="O1945" s="46"/>
      <c r="Q1945" s="62"/>
      <c r="V1945" s="46"/>
    </row>
    <row r="1946" spans="2:22" x14ac:dyDescent="0.25">
      <c r="B1946" s="62"/>
      <c r="J1946" s="46"/>
      <c r="K1946" s="46"/>
      <c r="L1946" s="46"/>
      <c r="M1946" s="46"/>
      <c r="N1946" s="46"/>
      <c r="O1946" s="46"/>
      <c r="Q1946" s="62"/>
      <c r="V1946" s="46"/>
    </row>
    <row r="1947" spans="2:22" x14ac:dyDescent="0.25">
      <c r="B1947" s="62"/>
      <c r="J1947" s="46"/>
      <c r="K1947" s="46"/>
      <c r="L1947" s="46"/>
      <c r="M1947" s="46"/>
      <c r="N1947" s="46"/>
      <c r="O1947" s="46"/>
      <c r="Q1947" s="62"/>
      <c r="V1947" s="46"/>
    </row>
    <row r="1948" spans="2:22" x14ac:dyDescent="0.25">
      <c r="B1948" s="62"/>
      <c r="J1948" s="46"/>
      <c r="K1948" s="46"/>
      <c r="L1948" s="46"/>
      <c r="M1948" s="46"/>
      <c r="N1948" s="46"/>
      <c r="O1948" s="46"/>
      <c r="Q1948" s="62"/>
      <c r="V1948" s="46"/>
    </row>
    <row r="1949" spans="2:22" x14ac:dyDescent="0.25">
      <c r="B1949" s="62"/>
      <c r="J1949" s="46"/>
      <c r="K1949" s="46"/>
      <c r="L1949" s="46"/>
      <c r="M1949" s="46"/>
      <c r="N1949" s="46"/>
      <c r="O1949" s="46"/>
      <c r="Q1949" s="62"/>
      <c r="V1949" s="46"/>
    </row>
    <row r="1950" spans="2:22" x14ac:dyDescent="0.25">
      <c r="B1950" s="62"/>
      <c r="J1950" s="46"/>
      <c r="K1950" s="46"/>
      <c r="L1950" s="46"/>
      <c r="M1950" s="46"/>
      <c r="N1950" s="46"/>
      <c r="O1950" s="46"/>
      <c r="Q1950" s="62"/>
      <c r="V1950" s="46"/>
    </row>
    <row r="1951" spans="2:22" x14ac:dyDescent="0.25">
      <c r="B1951" s="62"/>
      <c r="J1951" s="46"/>
      <c r="K1951" s="46"/>
      <c r="L1951" s="46"/>
      <c r="M1951" s="46"/>
      <c r="N1951" s="46"/>
      <c r="O1951" s="46"/>
      <c r="Q1951" s="62"/>
      <c r="V1951" s="46"/>
    </row>
    <row r="1952" spans="2:22" x14ac:dyDescent="0.25">
      <c r="B1952" s="62"/>
      <c r="J1952" s="46"/>
      <c r="K1952" s="46"/>
      <c r="L1952" s="46"/>
      <c r="M1952" s="46"/>
      <c r="N1952" s="46"/>
      <c r="O1952" s="46"/>
      <c r="Q1952" s="62"/>
      <c r="V1952" s="46"/>
    </row>
    <row r="1953" spans="2:22" x14ac:dyDescent="0.25">
      <c r="B1953" s="62"/>
      <c r="J1953" s="46"/>
      <c r="K1953" s="46"/>
      <c r="L1953" s="46"/>
      <c r="M1953" s="46"/>
      <c r="N1953" s="46"/>
      <c r="O1953" s="46"/>
      <c r="Q1953" s="62"/>
      <c r="V1953" s="46"/>
    </row>
    <row r="1954" spans="2:22" x14ac:dyDescent="0.25">
      <c r="B1954" s="62"/>
      <c r="J1954" s="46"/>
      <c r="K1954" s="46"/>
      <c r="L1954" s="46"/>
      <c r="M1954" s="46"/>
      <c r="N1954" s="46"/>
      <c r="O1954" s="46"/>
      <c r="Q1954" s="62"/>
      <c r="V1954" s="46"/>
    </row>
    <row r="1955" spans="2:22" x14ac:dyDescent="0.25">
      <c r="B1955" s="62"/>
      <c r="J1955" s="46"/>
      <c r="K1955" s="46"/>
      <c r="L1955" s="46"/>
      <c r="M1955" s="46"/>
      <c r="N1955" s="46"/>
      <c r="O1955" s="46"/>
      <c r="Q1955" s="62"/>
      <c r="V1955" s="46"/>
    </row>
    <row r="1956" spans="2:22" x14ac:dyDescent="0.25">
      <c r="B1956" s="62"/>
      <c r="J1956" s="46"/>
      <c r="K1956" s="46"/>
      <c r="L1956" s="46"/>
      <c r="M1956" s="46"/>
      <c r="N1956" s="46"/>
      <c r="O1956" s="46"/>
      <c r="Q1956" s="62"/>
      <c r="V1956" s="46"/>
    </row>
    <row r="1957" spans="2:22" x14ac:dyDescent="0.25">
      <c r="B1957" s="62"/>
      <c r="J1957" s="46"/>
      <c r="K1957" s="46"/>
      <c r="L1957" s="46"/>
      <c r="M1957" s="46"/>
      <c r="N1957" s="46"/>
      <c r="O1957" s="46"/>
      <c r="Q1957" s="62"/>
      <c r="V1957" s="46"/>
    </row>
    <row r="1958" spans="2:22" x14ac:dyDescent="0.25">
      <c r="B1958" s="62"/>
      <c r="J1958" s="46"/>
      <c r="K1958" s="46"/>
      <c r="L1958" s="46"/>
      <c r="M1958" s="46"/>
      <c r="N1958" s="46"/>
      <c r="O1958" s="46"/>
      <c r="Q1958" s="62"/>
      <c r="V1958" s="46"/>
    </row>
    <row r="1959" spans="2:22" x14ac:dyDescent="0.25">
      <c r="B1959" s="62"/>
      <c r="J1959" s="46"/>
      <c r="K1959" s="46"/>
      <c r="L1959" s="46"/>
      <c r="M1959" s="46"/>
      <c r="N1959" s="46"/>
      <c r="O1959" s="46"/>
      <c r="Q1959" s="62"/>
      <c r="V1959" s="46"/>
    </row>
    <row r="1960" spans="2:22" x14ac:dyDescent="0.25">
      <c r="B1960" s="62"/>
      <c r="J1960" s="46"/>
      <c r="K1960" s="46"/>
      <c r="L1960" s="46"/>
      <c r="M1960" s="46"/>
      <c r="N1960" s="46"/>
      <c r="O1960" s="46"/>
      <c r="Q1960" s="62"/>
      <c r="V1960" s="46"/>
    </row>
    <row r="1961" spans="2:22" x14ac:dyDescent="0.25">
      <c r="B1961" s="62"/>
      <c r="J1961" s="46"/>
      <c r="K1961" s="46"/>
      <c r="L1961" s="46"/>
      <c r="M1961" s="46"/>
      <c r="N1961" s="46"/>
      <c r="O1961" s="46"/>
      <c r="Q1961" s="62"/>
      <c r="V1961" s="46"/>
    </row>
    <row r="1962" spans="2:22" x14ac:dyDescent="0.25">
      <c r="B1962" s="62"/>
      <c r="J1962" s="46"/>
      <c r="K1962" s="46"/>
      <c r="L1962" s="46"/>
      <c r="M1962" s="46"/>
      <c r="N1962" s="46"/>
      <c r="O1962" s="46"/>
      <c r="Q1962" s="62"/>
      <c r="V1962" s="46"/>
    </row>
    <row r="1963" spans="2:22" x14ac:dyDescent="0.25">
      <c r="B1963" s="62"/>
      <c r="J1963" s="46"/>
      <c r="K1963" s="46"/>
      <c r="L1963" s="46"/>
      <c r="M1963" s="46"/>
      <c r="N1963" s="46"/>
      <c r="O1963" s="46"/>
      <c r="Q1963" s="62"/>
      <c r="V1963" s="46"/>
    </row>
    <row r="1964" spans="2:22" x14ac:dyDescent="0.25">
      <c r="B1964" s="62"/>
      <c r="J1964" s="46"/>
      <c r="K1964" s="46"/>
      <c r="L1964" s="46"/>
      <c r="M1964" s="46"/>
      <c r="N1964" s="46"/>
      <c r="O1964" s="46"/>
      <c r="Q1964" s="62"/>
      <c r="V1964" s="46"/>
    </row>
    <row r="1965" spans="2:22" x14ac:dyDescent="0.25">
      <c r="B1965" s="62"/>
      <c r="J1965" s="46"/>
      <c r="K1965" s="46"/>
      <c r="L1965" s="46"/>
      <c r="M1965" s="46"/>
      <c r="N1965" s="46"/>
      <c r="O1965" s="46"/>
      <c r="Q1965" s="62"/>
      <c r="V1965" s="46"/>
    </row>
    <row r="1966" spans="2:22" x14ac:dyDescent="0.25">
      <c r="B1966" s="62"/>
      <c r="J1966" s="46"/>
      <c r="K1966" s="46"/>
      <c r="L1966" s="46"/>
      <c r="M1966" s="46"/>
      <c r="N1966" s="46"/>
      <c r="O1966" s="46"/>
      <c r="Q1966" s="62"/>
      <c r="V1966" s="46"/>
    </row>
    <row r="1967" spans="2:22" x14ac:dyDescent="0.25">
      <c r="B1967" s="62"/>
      <c r="J1967" s="46"/>
      <c r="K1967" s="46"/>
      <c r="L1967" s="46"/>
      <c r="M1967" s="46"/>
      <c r="N1967" s="46"/>
      <c r="O1967" s="46"/>
      <c r="Q1967" s="62"/>
      <c r="V1967" s="46"/>
    </row>
    <row r="1968" spans="2:22" x14ac:dyDescent="0.25">
      <c r="B1968" s="62"/>
      <c r="J1968" s="46"/>
      <c r="K1968" s="46"/>
      <c r="L1968" s="46"/>
      <c r="M1968" s="46"/>
      <c r="N1968" s="46"/>
      <c r="O1968" s="46"/>
      <c r="Q1968" s="62"/>
      <c r="V1968" s="46"/>
    </row>
    <row r="1969" spans="2:22" x14ac:dyDescent="0.25">
      <c r="B1969" s="62"/>
      <c r="J1969" s="46"/>
      <c r="K1969" s="46"/>
      <c r="L1969" s="46"/>
      <c r="M1969" s="46"/>
      <c r="N1969" s="46"/>
      <c r="O1969" s="46"/>
      <c r="Q1969" s="62"/>
      <c r="V1969" s="46"/>
    </row>
    <row r="1970" spans="2:22" x14ac:dyDescent="0.25">
      <c r="B1970" s="62"/>
      <c r="J1970" s="46"/>
      <c r="K1970" s="46"/>
      <c r="L1970" s="46"/>
      <c r="M1970" s="46"/>
      <c r="N1970" s="46"/>
      <c r="O1970" s="46"/>
      <c r="Q1970" s="62"/>
      <c r="V1970" s="46"/>
    </row>
    <row r="1971" spans="2:22" x14ac:dyDescent="0.25">
      <c r="B1971" s="62"/>
      <c r="J1971" s="46"/>
      <c r="K1971" s="46"/>
      <c r="L1971" s="46"/>
      <c r="M1971" s="46"/>
      <c r="N1971" s="46"/>
      <c r="O1971" s="46"/>
      <c r="Q1971" s="62"/>
      <c r="V1971" s="46"/>
    </row>
    <row r="1972" spans="2:22" x14ac:dyDescent="0.25">
      <c r="B1972" s="62"/>
      <c r="J1972" s="46"/>
      <c r="K1972" s="46"/>
      <c r="L1972" s="46"/>
      <c r="M1972" s="46"/>
      <c r="N1972" s="46"/>
      <c r="O1972" s="46"/>
      <c r="Q1972" s="62"/>
      <c r="V1972" s="46"/>
    </row>
    <row r="1973" spans="2:22" x14ac:dyDescent="0.25">
      <c r="B1973" s="62"/>
      <c r="J1973" s="46"/>
      <c r="K1973" s="46"/>
      <c r="L1973" s="46"/>
      <c r="M1973" s="46"/>
      <c r="N1973" s="46"/>
      <c r="O1973" s="46"/>
      <c r="Q1973" s="62"/>
      <c r="V1973" s="46"/>
    </row>
    <row r="1974" spans="2:22" x14ac:dyDescent="0.25">
      <c r="B1974" s="62"/>
      <c r="J1974" s="46"/>
      <c r="K1974" s="46"/>
      <c r="L1974" s="46"/>
      <c r="M1974" s="46"/>
      <c r="N1974" s="46"/>
      <c r="O1974" s="46"/>
      <c r="Q1974" s="62"/>
      <c r="V1974" s="46"/>
    </row>
    <row r="1975" spans="2:22" x14ac:dyDescent="0.25">
      <c r="B1975" s="62"/>
      <c r="J1975" s="46"/>
      <c r="K1975" s="46"/>
      <c r="L1975" s="46"/>
      <c r="M1975" s="46"/>
      <c r="N1975" s="46"/>
      <c r="O1975" s="46"/>
      <c r="Q1975" s="62"/>
      <c r="V1975" s="46"/>
    </row>
    <row r="1976" spans="2:22" x14ac:dyDescent="0.25">
      <c r="B1976" s="62"/>
      <c r="J1976" s="46"/>
      <c r="K1976" s="46"/>
      <c r="L1976" s="46"/>
      <c r="M1976" s="46"/>
      <c r="N1976" s="46"/>
      <c r="O1976" s="46"/>
      <c r="Q1976" s="62"/>
      <c r="V1976" s="46"/>
    </row>
    <row r="1977" spans="2:22" x14ac:dyDescent="0.25">
      <c r="B1977" s="62"/>
      <c r="J1977" s="46"/>
      <c r="K1977" s="46"/>
      <c r="L1977" s="46"/>
      <c r="M1977" s="46"/>
      <c r="N1977" s="46"/>
      <c r="O1977" s="46"/>
      <c r="Q1977" s="62"/>
      <c r="V1977" s="46"/>
    </row>
    <row r="1978" spans="2:22" x14ac:dyDescent="0.25">
      <c r="B1978" s="62"/>
      <c r="J1978" s="46"/>
      <c r="K1978" s="46"/>
      <c r="L1978" s="46"/>
      <c r="M1978" s="46"/>
      <c r="N1978" s="46"/>
      <c r="O1978" s="46"/>
      <c r="Q1978" s="62"/>
      <c r="V1978" s="46"/>
    </row>
    <row r="1979" spans="2:22" x14ac:dyDescent="0.25">
      <c r="B1979" s="62"/>
      <c r="J1979" s="46"/>
      <c r="K1979" s="46"/>
      <c r="L1979" s="46"/>
      <c r="M1979" s="46"/>
      <c r="N1979" s="46"/>
      <c r="O1979" s="46"/>
      <c r="Q1979" s="62"/>
      <c r="V1979" s="46"/>
    </row>
    <row r="1980" spans="2:22" x14ac:dyDescent="0.25">
      <c r="B1980" s="62"/>
      <c r="J1980" s="46"/>
      <c r="K1980" s="46"/>
      <c r="L1980" s="46"/>
      <c r="M1980" s="46"/>
      <c r="N1980" s="46"/>
      <c r="O1980" s="46"/>
      <c r="Q1980" s="62"/>
      <c r="V1980" s="46"/>
    </row>
    <row r="1981" spans="2:22" x14ac:dyDescent="0.25">
      <c r="B1981" s="62"/>
      <c r="J1981" s="46"/>
      <c r="K1981" s="46"/>
      <c r="L1981" s="46"/>
      <c r="M1981" s="46"/>
      <c r="N1981" s="46"/>
      <c r="O1981" s="46"/>
      <c r="Q1981" s="62"/>
      <c r="V1981" s="46"/>
    </row>
    <row r="1982" spans="2:22" x14ac:dyDescent="0.25">
      <c r="B1982" s="62"/>
      <c r="J1982" s="46"/>
      <c r="K1982" s="46"/>
      <c r="L1982" s="46"/>
      <c r="M1982" s="46"/>
      <c r="N1982" s="46"/>
      <c r="O1982" s="46"/>
      <c r="Q1982" s="62"/>
      <c r="V1982" s="46"/>
    </row>
    <row r="1983" spans="2:22" x14ac:dyDescent="0.25">
      <c r="B1983" s="62"/>
      <c r="J1983" s="46"/>
      <c r="K1983" s="46"/>
      <c r="L1983" s="46"/>
      <c r="M1983" s="46"/>
      <c r="N1983" s="46"/>
      <c r="O1983" s="46"/>
      <c r="Q1983" s="62"/>
      <c r="V1983" s="46"/>
    </row>
    <row r="1984" spans="2:22" x14ac:dyDescent="0.25">
      <c r="B1984" s="62"/>
      <c r="J1984" s="46"/>
      <c r="K1984" s="46"/>
      <c r="L1984" s="46"/>
      <c r="M1984" s="46"/>
      <c r="N1984" s="46"/>
      <c r="O1984" s="46"/>
      <c r="Q1984" s="62"/>
      <c r="V1984" s="46"/>
    </row>
    <row r="1985" spans="2:22" x14ac:dyDescent="0.25">
      <c r="B1985" s="62"/>
      <c r="J1985" s="46"/>
      <c r="K1985" s="46"/>
      <c r="L1985" s="46"/>
      <c r="M1985" s="46"/>
      <c r="N1985" s="46"/>
      <c r="O1985" s="46"/>
      <c r="Q1985" s="62"/>
      <c r="V1985" s="46"/>
    </row>
    <row r="1986" spans="2:22" x14ac:dyDescent="0.25">
      <c r="B1986" s="62"/>
      <c r="J1986" s="46"/>
      <c r="K1986" s="46"/>
      <c r="L1986" s="46"/>
      <c r="M1986" s="46"/>
      <c r="N1986" s="46"/>
      <c r="O1986" s="46"/>
      <c r="Q1986" s="62"/>
      <c r="V1986" s="46"/>
    </row>
    <row r="1987" spans="2:22" x14ac:dyDescent="0.25">
      <c r="B1987" s="62"/>
      <c r="J1987" s="46"/>
      <c r="K1987" s="46"/>
      <c r="L1987" s="46"/>
      <c r="M1987" s="46"/>
      <c r="N1987" s="46"/>
      <c r="O1987" s="46"/>
      <c r="Q1987" s="62"/>
      <c r="V1987" s="46"/>
    </row>
    <row r="1988" spans="2:22" x14ac:dyDescent="0.25">
      <c r="B1988" s="62"/>
      <c r="J1988" s="46"/>
      <c r="K1988" s="46"/>
      <c r="L1988" s="46"/>
      <c r="M1988" s="46"/>
      <c r="N1988" s="46"/>
      <c r="O1988" s="46"/>
      <c r="Q1988" s="62"/>
      <c r="V1988" s="46"/>
    </row>
    <row r="1989" spans="2:22" x14ac:dyDescent="0.25">
      <c r="B1989" s="62"/>
      <c r="J1989" s="46"/>
      <c r="K1989" s="46"/>
      <c r="L1989" s="46"/>
      <c r="M1989" s="46"/>
      <c r="N1989" s="46"/>
      <c r="O1989" s="46"/>
      <c r="Q1989" s="62"/>
      <c r="V1989" s="46"/>
    </row>
    <row r="1990" spans="2:22" x14ac:dyDescent="0.25">
      <c r="B1990" s="62"/>
      <c r="J1990" s="46"/>
      <c r="K1990" s="46"/>
      <c r="L1990" s="46"/>
      <c r="M1990" s="46"/>
      <c r="N1990" s="46"/>
      <c r="O1990" s="46"/>
      <c r="Q1990" s="62"/>
      <c r="V1990" s="46"/>
    </row>
    <row r="1991" spans="2:22" x14ac:dyDescent="0.25">
      <c r="B1991" s="62"/>
      <c r="J1991" s="46"/>
      <c r="K1991" s="46"/>
      <c r="L1991" s="46"/>
      <c r="M1991" s="46"/>
      <c r="N1991" s="46"/>
      <c r="O1991" s="46"/>
      <c r="Q1991" s="62"/>
      <c r="V1991" s="46"/>
    </row>
    <row r="1992" spans="2:22" x14ac:dyDescent="0.25">
      <c r="B1992" s="62"/>
      <c r="J1992" s="46"/>
      <c r="K1992" s="46"/>
      <c r="L1992" s="46"/>
      <c r="M1992" s="46"/>
      <c r="N1992" s="46"/>
      <c r="O1992" s="46"/>
      <c r="Q1992" s="62"/>
      <c r="V1992" s="46"/>
    </row>
    <row r="1993" spans="2:22" x14ac:dyDescent="0.25">
      <c r="B1993" s="62"/>
      <c r="J1993" s="46"/>
      <c r="K1993" s="46"/>
      <c r="L1993" s="46"/>
      <c r="M1993" s="46"/>
      <c r="N1993" s="46"/>
      <c r="O1993" s="46"/>
      <c r="Q1993" s="62"/>
      <c r="V1993" s="46"/>
    </row>
    <row r="1994" spans="2:22" x14ac:dyDescent="0.25">
      <c r="B1994" s="62"/>
      <c r="J1994" s="46"/>
      <c r="K1994" s="46"/>
      <c r="L1994" s="46"/>
      <c r="M1994" s="46"/>
      <c r="N1994" s="46"/>
      <c r="O1994" s="46"/>
      <c r="Q1994" s="62"/>
      <c r="V1994" s="46"/>
    </row>
    <row r="1995" spans="2:22" x14ac:dyDescent="0.25">
      <c r="B1995" s="62"/>
      <c r="J1995" s="46"/>
      <c r="K1995" s="46"/>
      <c r="L1995" s="46"/>
      <c r="M1995" s="46"/>
      <c r="N1995" s="46"/>
      <c r="O1995" s="46"/>
      <c r="V1995" s="46"/>
    </row>
    <row r="1996" spans="2:22" x14ac:dyDescent="0.25">
      <c r="B1996" s="62"/>
      <c r="J1996" s="46"/>
      <c r="K1996" s="46"/>
      <c r="L1996" s="46"/>
      <c r="M1996" s="46"/>
      <c r="N1996" s="46"/>
      <c r="O1996" s="46"/>
      <c r="V1996" s="46"/>
    </row>
    <row r="1997" spans="2:22" x14ac:dyDescent="0.25">
      <c r="B1997" s="62"/>
      <c r="J1997" s="46"/>
      <c r="K1997" s="46"/>
      <c r="L1997" s="46"/>
      <c r="M1997" s="46"/>
      <c r="N1997" s="46"/>
      <c r="O1997" s="46"/>
      <c r="V1997" s="46"/>
    </row>
    <row r="1998" spans="2:22" x14ac:dyDescent="0.25">
      <c r="B1998" s="62"/>
      <c r="J1998" s="46"/>
      <c r="K1998" s="46"/>
      <c r="L1998" s="46"/>
      <c r="M1998" s="46"/>
      <c r="N1998" s="46"/>
      <c r="O1998" s="46"/>
      <c r="V1998" s="46"/>
    </row>
    <row r="1999" spans="2:22" x14ac:dyDescent="0.25">
      <c r="B1999" s="62"/>
      <c r="J1999" s="46"/>
      <c r="K1999" s="46"/>
      <c r="L1999" s="46"/>
      <c r="M1999" s="46"/>
      <c r="N1999" s="46"/>
      <c r="O1999" s="46"/>
      <c r="V1999" s="46"/>
    </row>
    <row r="2000" spans="2:22" x14ac:dyDescent="0.25">
      <c r="B2000" s="62"/>
      <c r="J2000" s="46"/>
      <c r="K2000" s="46"/>
      <c r="L2000" s="46"/>
      <c r="M2000" s="46"/>
      <c r="N2000" s="46"/>
      <c r="O2000" s="46"/>
      <c r="V2000" s="46"/>
    </row>
    <row r="2001" spans="2:22" x14ac:dyDescent="0.25">
      <c r="B2001" s="62"/>
      <c r="J2001" s="46"/>
      <c r="K2001" s="46"/>
      <c r="L2001" s="46"/>
      <c r="M2001" s="46"/>
      <c r="N2001" s="46"/>
      <c r="O2001" s="46"/>
      <c r="V2001" s="46"/>
    </row>
    <row r="2002" spans="2:22" x14ac:dyDescent="0.25">
      <c r="B2002" s="62"/>
      <c r="J2002" s="46"/>
      <c r="K2002" s="46"/>
      <c r="L2002" s="46"/>
      <c r="M2002" s="46"/>
      <c r="N2002" s="46"/>
      <c r="O2002" s="46"/>
      <c r="V2002" s="46"/>
    </row>
    <row r="2003" spans="2:22" x14ac:dyDescent="0.25">
      <c r="B2003" s="62"/>
      <c r="J2003" s="46"/>
      <c r="K2003" s="46"/>
      <c r="L2003" s="46"/>
      <c r="M2003" s="46"/>
      <c r="N2003" s="46"/>
      <c r="O2003" s="46"/>
      <c r="V2003" s="46"/>
    </row>
    <row r="2004" spans="2:22" x14ac:dyDescent="0.25">
      <c r="B2004" s="62"/>
      <c r="J2004" s="46"/>
      <c r="K2004" s="46"/>
      <c r="L2004" s="46"/>
      <c r="M2004" s="46"/>
      <c r="N2004" s="46"/>
      <c r="O2004" s="46"/>
      <c r="V2004" s="46"/>
    </row>
    <row r="2005" spans="2:22" x14ac:dyDescent="0.25">
      <c r="B2005" s="62"/>
      <c r="J2005" s="46"/>
      <c r="K2005" s="46"/>
      <c r="L2005" s="46"/>
      <c r="M2005" s="46"/>
      <c r="N2005" s="46"/>
      <c r="O2005" s="46"/>
      <c r="V2005" s="46"/>
    </row>
    <row r="2006" spans="2:22" x14ac:dyDescent="0.25">
      <c r="B2006" s="62"/>
      <c r="J2006" s="46"/>
      <c r="K2006" s="46"/>
      <c r="L2006" s="46"/>
      <c r="M2006" s="46"/>
      <c r="N2006" s="46"/>
      <c r="O2006" s="46"/>
      <c r="V2006" s="46"/>
    </row>
    <row r="2007" spans="2:22" x14ac:dyDescent="0.25">
      <c r="B2007" s="62"/>
      <c r="J2007" s="46"/>
      <c r="K2007" s="46"/>
      <c r="L2007" s="46"/>
      <c r="M2007" s="46"/>
      <c r="N2007" s="46"/>
      <c r="O2007" s="46"/>
      <c r="V2007" s="46"/>
    </row>
    <row r="2008" spans="2:22" x14ac:dyDescent="0.25">
      <c r="B2008" s="62"/>
      <c r="J2008" s="46"/>
      <c r="K2008" s="46"/>
      <c r="L2008" s="46"/>
      <c r="M2008" s="46"/>
      <c r="N2008" s="46"/>
      <c r="O2008" s="46"/>
      <c r="V2008" s="46"/>
    </row>
    <row r="2009" spans="2:22" x14ac:dyDescent="0.25">
      <c r="B2009" s="62"/>
      <c r="J2009" s="46"/>
      <c r="K2009" s="46"/>
      <c r="L2009" s="46"/>
      <c r="M2009" s="46"/>
      <c r="N2009" s="46"/>
      <c r="O2009" s="46"/>
      <c r="V2009" s="46"/>
    </row>
    <row r="2010" spans="2:22" x14ac:dyDescent="0.25">
      <c r="B2010" s="62"/>
      <c r="J2010" s="46"/>
      <c r="K2010" s="46"/>
      <c r="L2010" s="46"/>
      <c r="M2010" s="46"/>
      <c r="N2010" s="46"/>
      <c r="O2010" s="46"/>
      <c r="V2010" s="46"/>
    </row>
    <row r="2011" spans="2:22" x14ac:dyDescent="0.25">
      <c r="B2011" s="62"/>
      <c r="J2011" s="46"/>
      <c r="K2011" s="46"/>
      <c r="L2011" s="46"/>
      <c r="M2011" s="46"/>
      <c r="N2011" s="46"/>
      <c r="O2011" s="46"/>
      <c r="V2011" s="46"/>
    </row>
    <row r="2012" spans="2:22" x14ac:dyDescent="0.25">
      <c r="B2012" s="62"/>
      <c r="J2012" s="46"/>
      <c r="K2012" s="46"/>
      <c r="L2012" s="46"/>
      <c r="M2012" s="46"/>
      <c r="N2012" s="46"/>
      <c r="O2012" s="46"/>
      <c r="V2012" s="46"/>
    </row>
    <row r="2013" spans="2:22" x14ac:dyDescent="0.25">
      <c r="B2013" s="62"/>
      <c r="J2013" s="46"/>
      <c r="K2013" s="46"/>
      <c r="L2013" s="46"/>
      <c r="M2013" s="46"/>
      <c r="N2013" s="46"/>
      <c r="O2013" s="46"/>
      <c r="V2013" s="46"/>
    </row>
    <row r="2014" spans="2:22" x14ac:dyDescent="0.25">
      <c r="B2014" s="62"/>
      <c r="J2014" s="46"/>
      <c r="K2014" s="46"/>
      <c r="L2014" s="46"/>
      <c r="M2014" s="46"/>
      <c r="N2014" s="46"/>
      <c r="O2014" s="46"/>
      <c r="V2014" s="46"/>
    </row>
    <row r="2015" spans="2:22" x14ac:dyDescent="0.25">
      <c r="B2015" s="62"/>
      <c r="J2015" s="46"/>
      <c r="K2015" s="46"/>
      <c r="L2015" s="46"/>
      <c r="M2015" s="46"/>
      <c r="N2015" s="46"/>
      <c r="O2015" s="46"/>
      <c r="V2015" s="46"/>
    </row>
    <row r="2016" spans="2:22" x14ac:dyDescent="0.25">
      <c r="B2016" s="62"/>
      <c r="J2016" s="46"/>
      <c r="K2016" s="46"/>
      <c r="L2016" s="46"/>
      <c r="M2016" s="46"/>
      <c r="N2016" s="46"/>
      <c r="O2016" s="46"/>
      <c r="V2016" s="46"/>
    </row>
    <row r="2017" spans="2:22" x14ac:dyDescent="0.25">
      <c r="B2017" s="62"/>
      <c r="J2017" s="46"/>
      <c r="K2017" s="46"/>
      <c r="L2017" s="46"/>
      <c r="M2017" s="46"/>
      <c r="N2017" s="46"/>
      <c r="O2017" s="46"/>
      <c r="V2017" s="46"/>
    </row>
    <row r="2018" spans="2:22" x14ac:dyDescent="0.25">
      <c r="B2018" s="62"/>
      <c r="J2018" s="46"/>
      <c r="K2018" s="46"/>
      <c r="L2018" s="46"/>
      <c r="M2018" s="46"/>
      <c r="N2018" s="46"/>
      <c r="O2018" s="46"/>
      <c r="V2018" s="46"/>
    </row>
    <row r="2019" spans="2:22" x14ac:dyDescent="0.25">
      <c r="B2019" s="62"/>
      <c r="J2019" s="46"/>
      <c r="K2019" s="46"/>
      <c r="L2019" s="46"/>
      <c r="M2019" s="46"/>
      <c r="N2019" s="46"/>
      <c r="O2019" s="46"/>
      <c r="V2019" s="46"/>
    </row>
    <row r="2020" spans="2:22" x14ac:dyDescent="0.25">
      <c r="B2020" s="62"/>
      <c r="J2020" s="46"/>
      <c r="K2020" s="46"/>
      <c r="L2020" s="46"/>
      <c r="M2020" s="46"/>
      <c r="N2020" s="46"/>
      <c r="O2020" s="46"/>
      <c r="V2020" s="46"/>
    </row>
    <row r="2021" spans="2:22" x14ac:dyDescent="0.25">
      <c r="B2021" s="62"/>
      <c r="J2021" s="46"/>
      <c r="K2021" s="46"/>
      <c r="L2021" s="46"/>
      <c r="M2021" s="46"/>
      <c r="N2021" s="46"/>
      <c r="O2021" s="46"/>
      <c r="V2021" s="46"/>
    </row>
    <row r="2022" spans="2:22" x14ac:dyDescent="0.25">
      <c r="B2022" s="62"/>
      <c r="J2022" s="46"/>
      <c r="K2022" s="46"/>
      <c r="L2022" s="46"/>
      <c r="M2022" s="46"/>
      <c r="N2022" s="46"/>
      <c r="O2022" s="46"/>
      <c r="V2022" s="46"/>
    </row>
    <row r="2023" spans="2:22" x14ac:dyDescent="0.25">
      <c r="B2023" s="62"/>
      <c r="J2023" s="46"/>
      <c r="K2023" s="46"/>
      <c r="L2023" s="46"/>
      <c r="M2023" s="46"/>
      <c r="N2023" s="46"/>
      <c r="O2023" s="46"/>
      <c r="V2023" s="46"/>
    </row>
    <row r="2024" spans="2:22" x14ac:dyDescent="0.25">
      <c r="B2024" s="62"/>
      <c r="J2024" s="46"/>
      <c r="K2024" s="46"/>
      <c r="L2024" s="46"/>
      <c r="M2024" s="46"/>
      <c r="N2024" s="46"/>
      <c r="O2024" s="46"/>
      <c r="V2024" s="46"/>
    </row>
    <row r="2025" spans="2:22" x14ac:dyDescent="0.25">
      <c r="B2025" s="62"/>
      <c r="J2025" s="46"/>
      <c r="K2025" s="46"/>
      <c r="L2025" s="46"/>
      <c r="M2025" s="46"/>
      <c r="N2025" s="46"/>
      <c r="O2025" s="46"/>
      <c r="V2025" s="46"/>
    </row>
    <row r="2026" spans="2:22" x14ac:dyDescent="0.25">
      <c r="B2026" s="62"/>
      <c r="J2026" s="46"/>
      <c r="K2026" s="46"/>
      <c r="L2026" s="46"/>
      <c r="M2026" s="46"/>
      <c r="N2026" s="46"/>
      <c r="O2026" s="46"/>
      <c r="V2026" s="46"/>
    </row>
    <row r="2027" spans="2:22" x14ac:dyDescent="0.25">
      <c r="B2027" s="62"/>
      <c r="J2027" s="46"/>
      <c r="K2027" s="46"/>
      <c r="L2027" s="46"/>
      <c r="M2027" s="46"/>
      <c r="N2027" s="46"/>
      <c r="O2027" s="46"/>
      <c r="V2027" s="46"/>
    </row>
    <row r="2028" spans="2:22" x14ac:dyDescent="0.25">
      <c r="B2028" s="62"/>
      <c r="J2028" s="46"/>
      <c r="K2028" s="46"/>
      <c r="L2028" s="46"/>
      <c r="M2028" s="46"/>
      <c r="N2028" s="46"/>
      <c r="O2028" s="46"/>
      <c r="V2028" s="46"/>
    </row>
    <row r="2029" spans="2:22" x14ac:dyDescent="0.25">
      <c r="B2029" s="62"/>
      <c r="J2029" s="46"/>
      <c r="K2029" s="46"/>
      <c r="L2029" s="46"/>
      <c r="M2029" s="46"/>
      <c r="N2029" s="46"/>
      <c r="O2029" s="46"/>
      <c r="V2029" s="46"/>
    </row>
    <row r="2030" spans="2:22" x14ac:dyDescent="0.25">
      <c r="B2030" s="62"/>
      <c r="J2030" s="46"/>
      <c r="K2030" s="46"/>
      <c r="L2030" s="46"/>
      <c r="M2030" s="46"/>
      <c r="N2030" s="46"/>
      <c r="O2030" s="46"/>
      <c r="V2030" s="46"/>
    </row>
    <row r="2031" spans="2:22" x14ac:dyDescent="0.25">
      <c r="B2031" s="62"/>
      <c r="J2031" s="46"/>
      <c r="K2031" s="46"/>
      <c r="L2031" s="46"/>
      <c r="M2031" s="46"/>
      <c r="N2031" s="46"/>
      <c r="O2031" s="46"/>
      <c r="V2031" s="46"/>
    </row>
    <row r="2032" spans="2:22" x14ac:dyDescent="0.25">
      <c r="B2032" s="62"/>
      <c r="J2032" s="46"/>
      <c r="K2032" s="46"/>
      <c r="L2032" s="46"/>
      <c r="M2032" s="46"/>
      <c r="N2032" s="46"/>
      <c r="O2032" s="46"/>
      <c r="V2032" s="46"/>
    </row>
    <row r="2033" spans="2:22" x14ac:dyDescent="0.25">
      <c r="B2033" s="62"/>
      <c r="J2033" s="46"/>
      <c r="K2033" s="46"/>
      <c r="L2033" s="46"/>
      <c r="M2033" s="46"/>
      <c r="N2033" s="46"/>
      <c r="O2033" s="46"/>
      <c r="V2033" s="46"/>
    </row>
    <row r="2034" spans="2:22" x14ac:dyDescent="0.25">
      <c r="B2034" s="62"/>
      <c r="J2034" s="46"/>
      <c r="K2034" s="46"/>
      <c r="L2034" s="46"/>
      <c r="M2034" s="46"/>
      <c r="N2034" s="46"/>
      <c r="O2034" s="46"/>
      <c r="V2034" s="46"/>
    </row>
    <row r="2035" spans="2:22" x14ac:dyDescent="0.25">
      <c r="B2035" s="62"/>
      <c r="J2035" s="46"/>
      <c r="K2035" s="46"/>
      <c r="L2035" s="46"/>
      <c r="M2035" s="46"/>
      <c r="N2035" s="46"/>
      <c r="O2035" s="46"/>
      <c r="V2035" s="46"/>
    </row>
    <row r="2036" spans="2:22" x14ac:dyDescent="0.25">
      <c r="B2036" s="62"/>
      <c r="J2036" s="46"/>
      <c r="K2036" s="46"/>
      <c r="L2036" s="46"/>
      <c r="M2036" s="46"/>
      <c r="N2036" s="46"/>
      <c r="O2036" s="46"/>
      <c r="V2036" s="46"/>
    </row>
    <row r="2037" spans="2:22" x14ac:dyDescent="0.25">
      <c r="B2037" s="62"/>
      <c r="J2037" s="46"/>
      <c r="K2037" s="46"/>
      <c r="L2037" s="46"/>
      <c r="M2037" s="46"/>
      <c r="N2037" s="46"/>
      <c r="O2037" s="46"/>
      <c r="V2037" s="46"/>
    </row>
    <row r="2038" spans="2:22" x14ac:dyDescent="0.25">
      <c r="B2038" s="62"/>
      <c r="J2038" s="46"/>
      <c r="K2038" s="46"/>
      <c r="L2038" s="46"/>
      <c r="M2038" s="46"/>
      <c r="N2038" s="46"/>
      <c r="O2038" s="46"/>
      <c r="V2038" s="46"/>
    </row>
    <row r="2039" spans="2:22" x14ac:dyDescent="0.25">
      <c r="B2039" s="62"/>
      <c r="J2039" s="46"/>
      <c r="K2039" s="46"/>
      <c r="L2039" s="46"/>
      <c r="M2039" s="46"/>
      <c r="N2039" s="46"/>
      <c r="O2039" s="46"/>
      <c r="V2039" s="46"/>
    </row>
    <row r="2040" spans="2:22" x14ac:dyDescent="0.25">
      <c r="B2040" s="62"/>
      <c r="J2040" s="46"/>
      <c r="K2040" s="46"/>
      <c r="L2040" s="46"/>
      <c r="M2040" s="46"/>
      <c r="N2040" s="46"/>
      <c r="O2040" s="46"/>
      <c r="V2040" s="46"/>
    </row>
    <row r="2041" spans="2:22" x14ac:dyDescent="0.25">
      <c r="B2041" s="62"/>
      <c r="J2041" s="46"/>
      <c r="K2041" s="46"/>
      <c r="L2041" s="46"/>
      <c r="M2041" s="46"/>
      <c r="N2041" s="46"/>
      <c r="O2041" s="46"/>
      <c r="V2041" s="46"/>
    </row>
    <row r="2042" spans="2:22" x14ac:dyDescent="0.25">
      <c r="B2042" s="62"/>
      <c r="J2042" s="46"/>
      <c r="K2042" s="46"/>
      <c r="L2042" s="46"/>
      <c r="M2042" s="46"/>
      <c r="N2042" s="46"/>
      <c r="O2042" s="46"/>
      <c r="V2042" s="46"/>
    </row>
    <row r="2043" spans="2:22" x14ac:dyDescent="0.25">
      <c r="B2043" s="62"/>
      <c r="J2043" s="46"/>
      <c r="K2043" s="46"/>
      <c r="L2043" s="46"/>
      <c r="M2043" s="46"/>
      <c r="N2043" s="46"/>
      <c r="O2043" s="46"/>
      <c r="V2043" s="46"/>
    </row>
    <row r="2044" spans="2:22" x14ac:dyDescent="0.25">
      <c r="B2044" s="62"/>
      <c r="J2044" s="46"/>
      <c r="K2044" s="46"/>
      <c r="L2044" s="46"/>
      <c r="M2044" s="46"/>
      <c r="N2044" s="46"/>
      <c r="O2044" s="46"/>
      <c r="V2044" s="46"/>
    </row>
    <row r="2045" spans="2:22" x14ac:dyDescent="0.25">
      <c r="B2045" s="62"/>
      <c r="J2045" s="46"/>
      <c r="K2045" s="46"/>
      <c r="L2045" s="46"/>
      <c r="M2045" s="46"/>
      <c r="N2045" s="46"/>
      <c r="O2045" s="46"/>
      <c r="V2045" s="46"/>
    </row>
    <row r="2046" spans="2:22" x14ac:dyDescent="0.25">
      <c r="B2046" s="62"/>
      <c r="J2046" s="46"/>
      <c r="K2046" s="46"/>
      <c r="L2046" s="46"/>
      <c r="M2046" s="46"/>
      <c r="N2046" s="46"/>
      <c r="O2046" s="46"/>
      <c r="V2046" s="46"/>
    </row>
    <row r="2047" spans="2:22" x14ac:dyDescent="0.25">
      <c r="B2047" s="62"/>
      <c r="J2047" s="46"/>
      <c r="K2047" s="46"/>
      <c r="L2047" s="46"/>
      <c r="M2047" s="46"/>
      <c r="N2047" s="46"/>
      <c r="O2047" s="46"/>
      <c r="V2047" s="46"/>
    </row>
    <row r="2048" spans="2:22" x14ac:dyDescent="0.25">
      <c r="B2048" s="62"/>
      <c r="J2048" s="46"/>
      <c r="K2048" s="46"/>
      <c r="L2048" s="46"/>
      <c r="M2048" s="46"/>
      <c r="N2048" s="46"/>
      <c r="O2048" s="46"/>
      <c r="V2048" s="46"/>
    </row>
    <row r="2049" spans="2:22" x14ac:dyDescent="0.25">
      <c r="B2049" s="62"/>
      <c r="J2049" s="46"/>
      <c r="K2049" s="46"/>
      <c r="L2049" s="46"/>
      <c r="M2049" s="46"/>
      <c r="N2049" s="46"/>
      <c r="O2049" s="46"/>
      <c r="V2049" s="46"/>
    </row>
    <row r="2050" spans="2:22" x14ac:dyDescent="0.25">
      <c r="B2050" s="62"/>
      <c r="J2050" s="46"/>
      <c r="K2050" s="46"/>
      <c r="L2050" s="46"/>
      <c r="M2050" s="46"/>
      <c r="N2050" s="46"/>
      <c r="O2050" s="46"/>
      <c r="V2050" s="46"/>
    </row>
    <row r="2051" spans="2:22" x14ac:dyDescent="0.25">
      <c r="B2051" s="62"/>
      <c r="J2051" s="46"/>
      <c r="K2051" s="46"/>
      <c r="L2051" s="46"/>
      <c r="M2051" s="46"/>
      <c r="N2051" s="46"/>
      <c r="O2051" s="46"/>
      <c r="V2051" s="46"/>
    </row>
    <row r="2052" spans="2:22" x14ac:dyDescent="0.25">
      <c r="B2052" s="62"/>
      <c r="J2052" s="46"/>
      <c r="K2052" s="46"/>
      <c r="L2052" s="46"/>
      <c r="M2052" s="46"/>
      <c r="N2052" s="46"/>
      <c r="O2052" s="46"/>
      <c r="V2052" s="46"/>
    </row>
    <row r="2053" spans="2:22" x14ac:dyDescent="0.25">
      <c r="B2053" s="62"/>
      <c r="J2053" s="46"/>
      <c r="K2053" s="46"/>
      <c r="L2053" s="46"/>
      <c r="M2053" s="46"/>
      <c r="N2053" s="46"/>
      <c r="O2053" s="46"/>
      <c r="V2053" s="46"/>
    </row>
    <row r="2054" spans="2:22" x14ac:dyDescent="0.25">
      <c r="B2054" s="62"/>
      <c r="J2054" s="46"/>
      <c r="K2054" s="46"/>
      <c r="L2054" s="46"/>
      <c r="M2054" s="46"/>
      <c r="N2054" s="46"/>
      <c r="O2054" s="46"/>
      <c r="V2054" s="46"/>
    </row>
    <row r="2055" spans="2:22" x14ac:dyDescent="0.25">
      <c r="B2055" s="62"/>
      <c r="J2055" s="46"/>
      <c r="K2055" s="46"/>
      <c r="L2055" s="46"/>
      <c r="M2055" s="46"/>
      <c r="N2055" s="46"/>
      <c r="O2055" s="46"/>
      <c r="V2055" s="46"/>
    </row>
    <row r="2056" spans="2:22" x14ac:dyDescent="0.25">
      <c r="B2056" s="62"/>
      <c r="J2056" s="46"/>
      <c r="K2056" s="46"/>
      <c r="L2056" s="46"/>
      <c r="M2056" s="46"/>
      <c r="N2056" s="46"/>
      <c r="O2056" s="46"/>
      <c r="V2056" s="46"/>
    </row>
    <row r="2057" spans="2:22" x14ac:dyDescent="0.25">
      <c r="B2057" s="62"/>
      <c r="J2057" s="46"/>
      <c r="K2057" s="46"/>
      <c r="L2057" s="46"/>
      <c r="M2057" s="46"/>
      <c r="N2057" s="46"/>
      <c r="O2057" s="46"/>
      <c r="V2057" s="46"/>
    </row>
    <row r="2058" spans="2:22" x14ac:dyDescent="0.25">
      <c r="B2058" s="62"/>
      <c r="J2058" s="46"/>
      <c r="K2058" s="46"/>
      <c r="L2058" s="46"/>
      <c r="M2058" s="46"/>
      <c r="N2058" s="46"/>
      <c r="O2058" s="46"/>
      <c r="V2058" s="46"/>
    </row>
    <row r="2059" spans="2:22" x14ac:dyDescent="0.25">
      <c r="B2059" s="62"/>
      <c r="J2059" s="46"/>
      <c r="K2059" s="46"/>
      <c r="L2059" s="46"/>
      <c r="M2059" s="46"/>
      <c r="N2059" s="46"/>
      <c r="O2059" s="46"/>
      <c r="V2059" s="46"/>
    </row>
    <row r="2060" spans="2:22" x14ac:dyDescent="0.25">
      <c r="B2060" s="62"/>
      <c r="J2060" s="46"/>
      <c r="K2060" s="46"/>
      <c r="L2060" s="46"/>
      <c r="M2060" s="46"/>
      <c r="N2060" s="46"/>
      <c r="O2060" s="46"/>
      <c r="V2060" s="46"/>
    </row>
    <row r="2061" spans="2:22" x14ac:dyDescent="0.25">
      <c r="B2061" s="62"/>
      <c r="J2061" s="46"/>
      <c r="K2061" s="46"/>
      <c r="L2061" s="46"/>
      <c r="M2061" s="46"/>
      <c r="N2061" s="46"/>
      <c r="O2061" s="46"/>
      <c r="V2061" s="46"/>
    </row>
    <row r="2062" spans="2:22" x14ac:dyDescent="0.25">
      <c r="B2062" s="62"/>
      <c r="J2062" s="46"/>
      <c r="K2062" s="46"/>
      <c r="L2062" s="46"/>
      <c r="M2062" s="46"/>
      <c r="N2062" s="46"/>
      <c r="O2062" s="46"/>
      <c r="V2062" s="46"/>
    </row>
    <row r="2063" spans="2:22" x14ac:dyDescent="0.25">
      <c r="B2063" s="62"/>
      <c r="J2063" s="46"/>
      <c r="K2063" s="46"/>
      <c r="L2063" s="46"/>
      <c r="M2063" s="46"/>
      <c r="N2063" s="46"/>
      <c r="O2063" s="46"/>
      <c r="V2063" s="46"/>
    </row>
    <row r="2064" spans="2:22" x14ac:dyDescent="0.25">
      <c r="B2064" s="62"/>
      <c r="J2064" s="46"/>
      <c r="K2064" s="46"/>
      <c r="L2064" s="46"/>
      <c r="M2064" s="46"/>
      <c r="N2064" s="46"/>
      <c r="O2064" s="46"/>
      <c r="V2064" s="46"/>
    </row>
    <row r="2065" spans="2:22" x14ac:dyDescent="0.25">
      <c r="B2065" s="62"/>
      <c r="J2065" s="46"/>
      <c r="K2065" s="46"/>
      <c r="L2065" s="46"/>
      <c r="M2065" s="46"/>
      <c r="N2065" s="46"/>
      <c r="O2065" s="46"/>
      <c r="V2065" s="46"/>
    </row>
    <row r="2066" spans="2:22" x14ac:dyDescent="0.25">
      <c r="B2066" s="62"/>
      <c r="J2066" s="46"/>
      <c r="K2066" s="46"/>
      <c r="L2066" s="46"/>
      <c r="M2066" s="46"/>
      <c r="N2066" s="46"/>
      <c r="O2066" s="46"/>
      <c r="V2066" s="46"/>
    </row>
    <row r="2067" spans="2:22" x14ac:dyDescent="0.25">
      <c r="B2067" s="62"/>
      <c r="J2067" s="46"/>
      <c r="K2067" s="46"/>
      <c r="L2067" s="46"/>
      <c r="M2067" s="46"/>
      <c r="N2067" s="46"/>
      <c r="O2067" s="46"/>
      <c r="V2067" s="46"/>
    </row>
    <row r="2068" spans="2:22" x14ac:dyDescent="0.25">
      <c r="B2068" s="62"/>
      <c r="J2068" s="46"/>
      <c r="K2068" s="46"/>
      <c r="L2068" s="46"/>
      <c r="M2068" s="46"/>
      <c r="N2068" s="46"/>
      <c r="O2068" s="46"/>
      <c r="V2068" s="46"/>
    </row>
    <row r="2069" spans="2:22" x14ac:dyDescent="0.25">
      <c r="B2069" s="62"/>
      <c r="J2069" s="46"/>
      <c r="K2069" s="46"/>
      <c r="L2069" s="46"/>
      <c r="M2069" s="46"/>
      <c r="N2069" s="46"/>
      <c r="O2069" s="46"/>
      <c r="V2069" s="46"/>
    </row>
    <row r="2070" spans="2:22" x14ac:dyDescent="0.25">
      <c r="B2070" s="62"/>
      <c r="J2070" s="46"/>
      <c r="K2070" s="46"/>
      <c r="L2070" s="46"/>
      <c r="M2070" s="46"/>
      <c r="N2070" s="46"/>
      <c r="O2070" s="46"/>
      <c r="V2070" s="46"/>
    </row>
    <row r="2071" spans="2:22" x14ac:dyDescent="0.25">
      <c r="B2071" s="62"/>
      <c r="J2071" s="46"/>
      <c r="K2071" s="46"/>
      <c r="L2071" s="46"/>
      <c r="M2071" s="46"/>
      <c r="N2071" s="46"/>
      <c r="O2071" s="46"/>
      <c r="V2071" s="46"/>
    </row>
    <row r="2072" spans="2:22" x14ac:dyDescent="0.25">
      <c r="B2072" s="62"/>
      <c r="J2072" s="46"/>
      <c r="K2072" s="46"/>
      <c r="L2072" s="46"/>
      <c r="M2072" s="46"/>
      <c r="N2072" s="46"/>
      <c r="O2072" s="46"/>
      <c r="V2072" s="46"/>
    </row>
    <row r="2073" spans="2:22" x14ac:dyDescent="0.25">
      <c r="B2073" s="62"/>
      <c r="J2073" s="46"/>
      <c r="K2073" s="46"/>
      <c r="L2073" s="46"/>
      <c r="M2073" s="46"/>
      <c r="N2073" s="46"/>
      <c r="O2073" s="46"/>
      <c r="V2073" s="46"/>
    </row>
    <row r="2074" spans="2:22" x14ac:dyDescent="0.25">
      <c r="B2074" s="62"/>
      <c r="J2074" s="46"/>
      <c r="K2074" s="46"/>
      <c r="L2074" s="46"/>
      <c r="M2074" s="46"/>
      <c r="N2074" s="46"/>
      <c r="O2074" s="46"/>
      <c r="V2074" s="46"/>
    </row>
    <row r="2075" spans="2:22" x14ac:dyDescent="0.25">
      <c r="B2075" s="62"/>
      <c r="J2075" s="46"/>
      <c r="K2075" s="46"/>
      <c r="L2075" s="46"/>
      <c r="M2075" s="46"/>
      <c r="N2075" s="46"/>
      <c r="O2075" s="46"/>
      <c r="V2075" s="46"/>
    </row>
    <row r="2076" spans="2:22" x14ac:dyDescent="0.25">
      <c r="B2076" s="62"/>
      <c r="J2076" s="46"/>
      <c r="K2076" s="46"/>
      <c r="L2076" s="46"/>
      <c r="M2076" s="46"/>
      <c r="N2076" s="46"/>
      <c r="O2076" s="46"/>
      <c r="V2076" s="46"/>
    </row>
    <row r="2077" spans="2:22" x14ac:dyDescent="0.25">
      <c r="B2077" s="62"/>
      <c r="J2077" s="46"/>
      <c r="K2077" s="46"/>
      <c r="L2077" s="46"/>
      <c r="M2077" s="46"/>
      <c r="N2077" s="46"/>
      <c r="O2077" s="46"/>
      <c r="V2077" s="46"/>
    </row>
    <row r="2078" spans="2:22" x14ac:dyDescent="0.25">
      <c r="B2078" s="62"/>
      <c r="J2078" s="46"/>
      <c r="K2078" s="46"/>
      <c r="L2078" s="46"/>
      <c r="M2078" s="46"/>
      <c r="N2078" s="46"/>
      <c r="O2078" s="46"/>
      <c r="V2078" s="46"/>
    </row>
    <row r="2079" spans="2:22" x14ac:dyDescent="0.25">
      <c r="B2079" s="62"/>
      <c r="J2079" s="46"/>
      <c r="K2079" s="46"/>
      <c r="L2079" s="46"/>
      <c r="M2079" s="46"/>
      <c r="N2079" s="46"/>
      <c r="O2079" s="46"/>
      <c r="V2079" s="46"/>
    </row>
    <row r="2080" spans="2:22" x14ac:dyDescent="0.25">
      <c r="B2080" s="62"/>
      <c r="J2080" s="46"/>
      <c r="K2080" s="46"/>
      <c r="L2080" s="46"/>
      <c r="M2080" s="46"/>
      <c r="N2080" s="46"/>
      <c r="O2080" s="46"/>
      <c r="V2080" s="46"/>
    </row>
    <row r="2081" spans="2:22" x14ac:dyDescent="0.25">
      <c r="B2081" s="62"/>
      <c r="J2081" s="46"/>
      <c r="K2081" s="46"/>
      <c r="L2081" s="46"/>
      <c r="M2081" s="46"/>
      <c r="N2081" s="46"/>
      <c r="O2081" s="46"/>
      <c r="V2081" s="46"/>
    </row>
    <row r="2082" spans="2:22" x14ac:dyDescent="0.25">
      <c r="B2082" s="62"/>
      <c r="J2082" s="46"/>
      <c r="K2082" s="46"/>
      <c r="L2082" s="46"/>
      <c r="M2082" s="46"/>
      <c r="N2082" s="46"/>
      <c r="O2082" s="46"/>
      <c r="V2082" s="46"/>
    </row>
    <row r="2083" spans="2:22" x14ac:dyDescent="0.25">
      <c r="B2083" s="62"/>
      <c r="J2083" s="46"/>
      <c r="K2083" s="46"/>
      <c r="L2083" s="46"/>
      <c r="M2083" s="46"/>
      <c r="N2083" s="46"/>
      <c r="O2083" s="46"/>
      <c r="V2083" s="46"/>
    </row>
    <row r="2084" spans="2:22" x14ac:dyDescent="0.25">
      <c r="B2084" s="62"/>
      <c r="J2084" s="46"/>
      <c r="K2084" s="46"/>
      <c r="L2084" s="46"/>
      <c r="M2084" s="46"/>
      <c r="N2084" s="46"/>
      <c r="O2084" s="46"/>
      <c r="V2084" s="46"/>
    </row>
    <row r="2085" spans="2:22" x14ac:dyDescent="0.25">
      <c r="B2085" s="62"/>
      <c r="J2085" s="46"/>
      <c r="K2085" s="46"/>
      <c r="L2085" s="46"/>
      <c r="M2085" s="46"/>
      <c r="N2085" s="46"/>
      <c r="O2085" s="46"/>
      <c r="V2085" s="46"/>
    </row>
    <row r="2086" spans="2:22" x14ac:dyDescent="0.25">
      <c r="B2086" s="62"/>
      <c r="J2086" s="46"/>
      <c r="K2086" s="46"/>
      <c r="L2086" s="46"/>
      <c r="M2086" s="46"/>
      <c r="N2086" s="46"/>
      <c r="O2086" s="46"/>
      <c r="V2086" s="46"/>
    </row>
    <row r="2087" spans="2:22" x14ac:dyDescent="0.25">
      <c r="B2087" s="62"/>
      <c r="J2087" s="46"/>
      <c r="K2087" s="46"/>
      <c r="L2087" s="46"/>
      <c r="M2087" s="46"/>
      <c r="N2087" s="46"/>
      <c r="O2087" s="46"/>
      <c r="V2087" s="46"/>
    </row>
    <row r="2088" spans="2:22" x14ac:dyDescent="0.25">
      <c r="B2088" s="62"/>
      <c r="J2088" s="46"/>
      <c r="K2088" s="46"/>
      <c r="L2088" s="46"/>
      <c r="M2088" s="46"/>
      <c r="N2088" s="46"/>
      <c r="O2088" s="46"/>
      <c r="V2088" s="46"/>
    </row>
    <row r="2089" spans="2:22" x14ac:dyDescent="0.25">
      <c r="B2089" s="62"/>
      <c r="J2089" s="46"/>
      <c r="K2089" s="46"/>
      <c r="L2089" s="46"/>
      <c r="M2089" s="46"/>
      <c r="N2089" s="46"/>
      <c r="O2089" s="46"/>
      <c r="V2089" s="46"/>
    </row>
    <row r="2090" spans="2:22" x14ac:dyDescent="0.25">
      <c r="B2090" s="62"/>
      <c r="J2090" s="46"/>
      <c r="K2090" s="46"/>
      <c r="L2090" s="46"/>
      <c r="M2090" s="46"/>
      <c r="N2090" s="46"/>
      <c r="O2090" s="46"/>
      <c r="V2090" s="46"/>
    </row>
    <row r="2091" spans="2:22" x14ac:dyDescent="0.25">
      <c r="B2091" s="62"/>
      <c r="J2091" s="46"/>
      <c r="K2091" s="46"/>
      <c r="L2091" s="46"/>
      <c r="M2091" s="46"/>
      <c r="N2091" s="46"/>
      <c r="O2091" s="46"/>
      <c r="V2091" s="46"/>
    </row>
    <row r="2092" spans="2:22" x14ac:dyDescent="0.25">
      <c r="B2092" s="62"/>
      <c r="J2092" s="46"/>
      <c r="K2092" s="46"/>
      <c r="L2092" s="46"/>
      <c r="M2092" s="46"/>
      <c r="N2092" s="46"/>
      <c r="O2092" s="46"/>
      <c r="V2092" s="46"/>
    </row>
    <row r="2093" spans="2:22" x14ac:dyDescent="0.25">
      <c r="B2093" s="62"/>
      <c r="J2093" s="46"/>
      <c r="K2093" s="46"/>
      <c r="L2093" s="46"/>
      <c r="M2093" s="46"/>
      <c r="N2093" s="46"/>
      <c r="O2093" s="46"/>
      <c r="V2093" s="46"/>
    </row>
    <row r="2094" spans="2:22" x14ac:dyDescent="0.25">
      <c r="B2094" s="62"/>
      <c r="J2094" s="46"/>
      <c r="K2094" s="46"/>
      <c r="L2094" s="46"/>
      <c r="M2094" s="46"/>
      <c r="N2094" s="46"/>
      <c r="O2094" s="46"/>
      <c r="V2094" s="46"/>
    </row>
    <row r="2095" spans="2:22" x14ac:dyDescent="0.25">
      <c r="B2095" s="62"/>
      <c r="J2095" s="46"/>
      <c r="K2095" s="46"/>
      <c r="L2095" s="46"/>
      <c r="M2095" s="46"/>
      <c r="N2095" s="46"/>
      <c r="O2095" s="46"/>
      <c r="V2095" s="46"/>
    </row>
    <row r="2096" spans="2:22" x14ac:dyDescent="0.25">
      <c r="B2096" s="62"/>
      <c r="J2096" s="46"/>
      <c r="K2096" s="46"/>
      <c r="L2096" s="46"/>
      <c r="M2096" s="46"/>
      <c r="N2096" s="46"/>
      <c r="O2096" s="46"/>
      <c r="V2096" s="46"/>
    </row>
    <row r="2097" spans="2:22" x14ac:dyDescent="0.25">
      <c r="B2097" s="62"/>
      <c r="J2097" s="46"/>
      <c r="K2097" s="46"/>
      <c r="L2097" s="46"/>
      <c r="M2097" s="46"/>
      <c r="N2097" s="46"/>
      <c r="O2097" s="46"/>
      <c r="V2097" s="46"/>
    </row>
    <row r="2098" spans="2:22" x14ac:dyDescent="0.25">
      <c r="B2098" s="62"/>
      <c r="J2098" s="46"/>
      <c r="K2098" s="46"/>
      <c r="L2098" s="46"/>
      <c r="M2098" s="46"/>
      <c r="N2098" s="46"/>
      <c r="O2098" s="46"/>
      <c r="V2098" s="46"/>
    </row>
    <row r="2099" spans="2:22" x14ac:dyDescent="0.25">
      <c r="B2099" s="62"/>
      <c r="J2099" s="46"/>
      <c r="K2099" s="46"/>
      <c r="L2099" s="46"/>
      <c r="M2099" s="46"/>
      <c r="N2099" s="46"/>
      <c r="O2099" s="46"/>
      <c r="V2099" s="46"/>
    </row>
    <row r="2100" spans="2:22" x14ac:dyDescent="0.25">
      <c r="B2100" s="62"/>
      <c r="J2100" s="46"/>
      <c r="K2100" s="46"/>
      <c r="L2100" s="46"/>
      <c r="M2100" s="46"/>
      <c r="N2100" s="46"/>
      <c r="O2100" s="46"/>
      <c r="V2100" s="46"/>
    </row>
    <row r="2101" spans="2:22" x14ac:dyDescent="0.25">
      <c r="B2101" s="62"/>
      <c r="J2101" s="46"/>
      <c r="K2101" s="46"/>
      <c r="L2101" s="46"/>
      <c r="M2101" s="46"/>
      <c r="N2101" s="46"/>
      <c r="O2101" s="46"/>
      <c r="V2101" s="46"/>
    </row>
    <row r="2102" spans="2:22" x14ac:dyDescent="0.25">
      <c r="B2102" s="62"/>
      <c r="J2102" s="46"/>
      <c r="K2102" s="46"/>
      <c r="L2102" s="46"/>
      <c r="M2102" s="46"/>
      <c r="N2102" s="46"/>
      <c r="O2102" s="46"/>
      <c r="V2102" s="46"/>
    </row>
    <row r="2103" spans="2:22" x14ac:dyDescent="0.25">
      <c r="B2103" s="62"/>
      <c r="J2103" s="46"/>
      <c r="K2103" s="46"/>
      <c r="L2103" s="46"/>
      <c r="M2103" s="46"/>
      <c r="N2103" s="46"/>
      <c r="O2103" s="46"/>
      <c r="V2103" s="46"/>
    </row>
    <row r="2104" spans="2:22" x14ac:dyDescent="0.25">
      <c r="B2104" s="62"/>
      <c r="J2104" s="46"/>
      <c r="K2104" s="46"/>
      <c r="L2104" s="46"/>
      <c r="M2104" s="46"/>
      <c r="N2104" s="46"/>
      <c r="O2104" s="46"/>
      <c r="V2104" s="46"/>
    </row>
    <row r="2105" spans="2:22" x14ac:dyDescent="0.25">
      <c r="B2105" s="62"/>
      <c r="J2105" s="46"/>
      <c r="K2105" s="46"/>
      <c r="L2105" s="46"/>
      <c r="M2105" s="46"/>
      <c r="N2105" s="46"/>
      <c r="O2105" s="46"/>
      <c r="V2105" s="46"/>
    </row>
    <row r="2106" spans="2:22" x14ac:dyDescent="0.25">
      <c r="B2106" s="62"/>
      <c r="J2106" s="46"/>
      <c r="K2106" s="46"/>
      <c r="L2106" s="46"/>
      <c r="M2106" s="46"/>
      <c r="N2106" s="46"/>
      <c r="O2106" s="46"/>
      <c r="V2106" s="46"/>
    </row>
    <row r="2107" spans="2:22" x14ac:dyDescent="0.25">
      <c r="B2107" s="62"/>
      <c r="J2107" s="46"/>
      <c r="K2107" s="46"/>
      <c r="L2107" s="46"/>
      <c r="M2107" s="46"/>
      <c r="N2107" s="46"/>
      <c r="O2107" s="46"/>
      <c r="V2107" s="46"/>
    </row>
    <row r="2108" spans="2:22" x14ac:dyDescent="0.25">
      <c r="B2108" s="62"/>
      <c r="J2108" s="46"/>
      <c r="K2108" s="46"/>
      <c r="L2108" s="46"/>
      <c r="M2108" s="46"/>
      <c r="N2108" s="46"/>
      <c r="O2108" s="46"/>
      <c r="V2108" s="46"/>
    </row>
    <row r="2109" spans="2:22" x14ac:dyDescent="0.25">
      <c r="B2109" s="62"/>
      <c r="J2109" s="46"/>
      <c r="K2109" s="46"/>
      <c r="L2109" s="46"/>
      <c r="M2109" s="46"/>
      <c r="N2109" s="46"/>
      <c r="O2109" s="46"/>
      <c r="V2109" s="46"/>
    </row>
    <row r="2110" spans="2:22" x14ac:dyDescent="0.25">
      <c r="B2110" s="62"/>
      <c r="J2110" s="46"/>
      <c r="K2110" s="46"/>
      <c r="L2110" s="46"/>
      <c r="M2110" s="46"/>
      <c r="N2110" s="46"/>
      <c r="O2110" s="46"/>
      <c r="P2110" s="46"/>
      <c r="V2110" s="46"/>
    </row>
    <row r="2111" spans="2:22" x14ac:dyDescent="0.25">
      <c r="B2111" s="62"/>
      <c r="J2111" s="46"/>
      <c r="K2111" s="46"/>
      <c r="L2111" s="46"/>
      <c r="M2111" s="46"/>
      <c r="N2111" s="46"/>
      <c r="O2111" s="46"/>
      <c r="P2111" s="46"/>
      <c r="V2111" s="46"/>
    </row>
    <row r="2112" spans="2:22" x14ac:dyDescent="0.25">
      <c r="B2112" s="62"/>
      <c r="J2112" s="46"/>
      <c r="K2112" s="46"/>
      <c r="L2112" s="46"/>
      <c r="M2112" s="46"/>
      <c r="N2112" s="46"/>
      <c r="O2112" s="46"/>
      <c r="P2112" s="46"/>
      <c r="V2112" s="46"/>
    </row>
    <row r="2113" spans="2:22" x14ac:dyDescent="0.25">
      <c r="B2113" s="62"/>
      <c r="J2113" s="46"/>
      <c r="K2113" s="46"/>
      <c r="L2113" s="46"/>
      <c r="M2113" s="46"/>
      <c r="N2113" s="46"/>
      <c r="O2113" s="46"/>
      <c r="P2113" s="46"/>
      <c r="V2113" s="46"/>
    </row>
    <row r="2114" spans="2:22" x14ac:dyDescent="0.25">
      <c r="B2114" s="62"/>
      <c r="J2114" s="46"/>
      <c r="K2114" s="46"/>
      <c r="L2114" s="46"/>
      <c r="M2114" s="46"/>
      <c r="N2114" s="46"/>
      <c r="O2114" s="46"/>
      <c r="P2114" s="46"/>
      <c r="V2114" s="46"/>
    </row>
    <row r="2115" spans="2:22" x14ac:dyDescent="0.25">
      <c r="B2115" s="62"/>
      <c r="J2115" s="46"/>
      <c r="K2115" s="46"/>
      <c r="L2115" s="46"/>
      <c r="M2115" s="46"/>
      <c r="N2115" s="46"/>
      <c r="O2115" s="46"/>
      <c r="P2115" s="46"/>
      <c r="V2115" s="46"/>
    </row>
    <row r="2116" spans="2:22" x14ac:dyDescent="0.25">
      <c r="B2116" s="62"/>
      <c r="J2116" s="46"/>
      <c r="K2116" s="46"/>
      <c r="L2116" s="46"/>
      <c r="M2116" s="46"/>
      <c r="N2116" s="46"/>
      <c r="O2116" s="46"/>
      <c r="P2116" s="46"/>
      <c r="V2116" s="46"/>
    </row>
    <row r="2117" spans="2:22" x14ac:dyDescent="0.25">
      <c r="B2117" s="62"/>
      <c r="J2117" s="46"/>
      <c r="K2117" s="46"/>
      <c r="L2117" s="46"/>
      <c r="M2117" s="46"/>
      <c r="N2117" s="46"/>
      <c r="O2117" s="46"/>
      <c r="P2117" s="46"/>
      <c r="V2117" s="46"/>
    </row>
    <row r="2118" spans="2:22" x14ac:dyDescent="0.25">
      <c r="B2118" s="62"/>
      <c r="J2118" s="46"/>
      <c r="K2118" s="46"/>
      <c r="L2118" s="46"/>
      <c r="M2118" s="46"/>
      <c r="N2118" s="46"/>
      <c r="O2118" s="46"/>
      <c r="P2118" s="46"/>
      <c r="V2118" s="46"/>
    </row>
    <row r="2119" spans="2:22" x14ac:dyDescent="0.25">
      <c r="B2119" s="62"/>
      <c r="J2119" s="46"/>
      <c r="K2119" s="46"/>
      <c r="L2119" s="46"/>
      <c r="M2119" s="46"/>
      <c r="N2119" s="46"/>
      <c r="O2119" s="46"/>
      <c r="P2119" s="46"/>
      <c r="V2119" s="46"/>
    </row>
  </sheetData>
  <dataValidations count="5">
    <dataValidation type="list" allowBlank="1" showInputMessage="1" showErrorMessage="1" sqref="B1 B639 B1086 B1088">
      <formula1>"ASL, All Risks, Bolton, Burns, Hull Co, Hull CA, J &amp; J, Jimcor, Quaker, RPS Cov, RPS Scotts, SCU, TPI"</formula1>
    </dataValidation>
    <dataValidation type="list" allowBlank="1" showInputMessage="1" showErrorMessage="1" sqref="B124:B180 B2:B31 B33:B67 B69:B77 B79:B122 B2112:B2119">
      <formula1>"ASL, All Risks, Bolton, Burns, Hull Horsham, Hull Charlotte, Hull Irvine, Hull Stockton, J &amp; J, Jimcor, Quaker, RPS Covington, RPS Scottsdale, SCU, TPI, XS Brokers"</formula1>
    </dataValidation>
    <dataValidation type="list" allowBlank="1" showInputMessage="1" showErrorMessage="1" sqref="B123 B32 B68 B78 B640:B1047 B1081 B181:B638 B1204">
      <formula1>"ASL, All Risks, Bolton, Burns, Burns NC, Hull Horsham, Hull Charlotte, Hull Irvine, Hull Stockton, J &amp; J, Jimcor, Quaker, RPS Covington, RPS Scottsdale, SCU, TPI, XS Brokers"</formula1>
    </dataValidation>
    <dataValidation type="list" allowBlank="1" showInputMessage="1" showErrorMessage="1" sqref="B1082:B1085 B1087 B1048:B1080 B1089:B1203 B1205:B2111">
      <formula1>"ASL, All Risks, Bolton, Burns, Burns NC, Hull Horsham, Hull Charlotte, Hull Irvine, Hull Stockton, JM Wilson, J &amp; J, Jimcor, Quaker, RPS Covington, RPS Scottsdale, SCU, TPI, XS Brokers"</formula1>
    </dataValidation>
    <dataValidation type="list" allowBlank="1" showInputMessage="1" showErrorMessage="1" sqref="Q1:Q1868">
      <formula1>"Approve, Approve/Subj, Converted, Pend, Decline"</formula1>
    </dataValidation>
  </dataValidations>
  <hyperlinks>
    <hyperlink ref="R1201" r:id="rId1"/>
  </hyperlinks>
  <pageMargins left="0.7" right="0.7" top="0.75" bottom="0.75" header="0.3" footer="0.3"/>
  <pageSetup orientation="portrait"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W1086"/>
  <sheetViews>
    <sheetView topLeftCell="U1" zoomScale="90" zoomScaleNormal="90" workbookViewId="0">
      <pane ySplit="2" topLeftCell="A1081" activePane="bottomLeft" state="frozen"/>
      <selection pane="bottomLeft" activeCell="A3" sqref="A3:W1086"/>
    </sheetView>
  </sheetViews>
  <sheetFormatPr defaultRowHeight="15" x14ac:dyDescent="0.25"/>
  <cols>
    <col min="1" max="1" width="9.140625" style="45"/>
    <col min="2" max="2" width="11.7109375" style="46" customWidth="1"/>
    <col min="3" max="3" width="10.140625" style="45" customWidth="1"/>
    <col min="4" max="4" width="13.5703125" style="46" bestFit="1" customWidth="1"/>
    <col min="5" max="5" width="11.42578125" style="46" customWidth="1"/>
    <col min="6" max="7" width="16.7109375" style="47" customWidth="1"/>
    <col min="8" max="8" width="19.7109375" style="47" customWidth="1"/>
    <col min="9" max="9" width="27.42578125" style="46" customWidth="1"/>
    <col min="10" max="11" width="5.5703125" style="49" customWidth="1"/>
    <col min="12" max="12" width="11.28515625" style="49" customWidth="1"/>
    <col min="13" max="13" width="12" style="50" bestFit="1" customWidth="1"/>
    <col min="14" max="14" width="12.5703125" style="51" customWidth="1"/>
    <col min="15" max="15" width="13.85546875" style="50" customWidth="1"/>
    <col min="16" max="16" width="40.28515625" style="65" customWidth="1"/>
    <col min="17" max="17" width="19.42578125" style="46" customWidth="1"/>
    <col min="18" max="18" width="45.28515625" style="47" customWidth="1"/>
    <col min="19" max="20" width="35.42578125" style="47" customWidth="1"/>
    <col min="21" max="21" width="24.7109375" style="46" bestFit="1" customWidth="1"/>
    <col min="22" max="22" width="9.140625" style="46" customWidth="1"/>
    <col min="23" max="23" width="11.5703125" style="47" customWidth="1"/>
    <col min="24" max="16384" width="9.140625" style="46"/>
  </cols>
  <sheetData>
    <row r="1" spans="1:23" ht="47.25" x14ac:dyDescent="0.25">
      <c r="A1" s="233" t="s">
        <v>555</v>
      </c>
      <c r="B1" s="103" t="s">
        <v>556</v>
      </c>
      <c r="C1" s="104" t="s">
        <v>586</v>
      </c>
      <c r="D1" s="105" t="s">
        <v>557</v>
      </c>
      <c r="E1" s="103" t="s">
        <v>558</v>
      </c>
      <c r="F1" s="103" t="s">
        <v>7695</v>
      </c>
      <c r="G1" s="103" t="s">
        <v>7696</v>
      </c>
      <c r="H1" s="103" t="s">
        <v>4140</v>
      </c>
      <c r="I1" s="103" t="s">
        <v>3366</v>
      </c>
      <c r="J1" s="103" t="s">
        <v>3364</v>
      </c>
      <c r="K1" s="215" t="s">
        <v>12954</v>
      </c>
      <c r="L1" s="106" t="s">
        <v>3365</v>
      </c>
      <c r="M1" s="188" t="s">
        <v>559</v>
      </c>
      <c r="N1" s="188" t="s">
        <v>560</v>
      </c>
      <c r="O1" s="107" t="s">
        <v>614</v>
      </c>
      <c r="P1" s="107" t="s">
        <v>615</v>
      </c>
      <c r="Q1" s="103" t="s">
        <v>1939</v>
      </c>
      <c r="R1" s="103" t="s">
        <v>561</v>
      </c>
      <c r="S1" s="103" t="s">
        <v>6321</v>
      </c>
      <c r="T1" s="103" t="s">
        <v>7785</v>
      </c>
      <c r="U1" s="105" t="s">
        <v>64</v>
      </c>
      <c r="V1" s="103" t="s">
        <v>3984</v>
      </c>
      <c r="W1" s="103" t="s">
        <v>4303</v>
      </c>
    </row>
    <row r="2" spans="1:23" s="70" customFormat="1" ht="60" x14ac:dyDescent="0.25">
      <c r="A2" s="67" t="s">
        <v>555</v>
      </c>
      <c r="B2" s="68" t="s">
        <v>556</v>
      </c>
      <c r="C2" s="69" t="s">
        <v>586</v>
      </c>
      <c r="D2" s="70" t="s">
        <v>557</v>
      </c>
      <c r="E2" s="68" t="s">
        <v>558</v>
      </c>
      <c r="F2" s="68" t="s">
        <v>25</v>
      </c>
      <c r="G2" s="68"/>
      <c r="H2" s="68" t="s">
        <v>4140</v>
      </c>
      <c r="I2" s="68" t="s">
        <v>3366</v>
      </c>
      <c r="J2" s="68" t="s">
        <v>3364</v>
      </c>
      <c r="K2" s="68"/>
      <c r="L2" s="68" t="s">
        <v>3365</v>
      </c>
      <c r="M2" s="71" t="s">
        <v>559</v>
      </c>
      <c r="N2" s="71" t="s">
        <v>560</v>
      </c>
      <c r="O2" s="71" t="s">
        <v>614</v>
      </c>
      <c r="P2" s="71" t="s">
        <v>615</v>
      </c>
      <c r="Q2" s="68" t="s">
        <v>1912</v>
      </c>
      <c r="R2" s="68" t="s">
        <v>561</v>
      </c>
      <c r="S2" s="68" t="s">
        <v>562</v>
      </c>
      <c r="T2" s="68"/>
      <c r="U2" s="70" t="s">
        <v>64</v>
      </c>
      <c r="V2" s="68" t="s">
        <v>3984</v>
      </c>
      <c r="W2" s="68" t="s">
        <v>4303</v>
      </c>
    </row>
    <row r="3" spans="1:23" ht="105" x14ac:dyDescent="0.25">
      <c r="A3" s="45">
        <v>42464</v>
      </c>
      <c r="B3" s="46" t="s">
        <v>378</v>
      </c>
      <c r="C3" s="45" t="s">
        <v>623</v>
      </c>
      <c r="D3" s="46" t="s">
        <v>930</v>
      </c>
      <c r="E3" s="46" t="s">
        <v>692</v>
      </c>
      <c r="F3" s="47" t="s">
        <v>1509</v>
      </c>
      <c r="H3" s="48" t="s">
        <v>607</v>
      </c>
      <c r="I3" s="46" t="s">
        <v>1510</v>
      </c>
      <c r="M3" s="50">
        <v>1766000</v>
      </c>
      <c r="N3" s="51">
        <v>3084000</v>
      </c>
      <c r="O3" s="50" t="s">
        <v>1511</v>
      </c>
      <c r="P3" s="65" t="s">
        <v>1519</v>
      </c>
      <c r="Q3" s="46" t="s">
        <v>29</v>
      </c>
      <c r="R3" s="47" t="s">
        <v>1512</v>
      </c>
      <c r="U3" s="46" t="s">
        <v>491</v>
      </c>
    </row>
    <row r="4" spans="1:23" ht="45" x14ac:dyDescent="0.25">
      <c r="A4" s="45">
        <v>42464</v>
      </c>
      <c r="B4" s="46" t="s">
        <v>1486</v>
      </c>
      <c r="C4" s="45" t="s">
        <v>602</v>
      </c>
      <c r="D4" s="46" t="s">
        <v>1495</v>
      </c>
      <c r="E4" s="46" t="s">
        <v>588</v>
      </c>
      <c r="F4" s="47" t="s">
        <v>1496</v>
      </c>
      <c r="H4" s="48" t="s">
        <v>886</v>
      </c>
      <c r="I4" s="46" t="s">
        <v>1514</v>
      </c>
      <c r="M4" s="50">
        <v>4000000</v>
      </c>
      <c r="N4" s="51">
        <v>5000000</v>
      </c>
      <c r="O4" s="50" t="s">
        <v>1498</v>
      </c>
      <c r="P4" s="65" t="s">
        <v>1515</v>
      </c>
      <c r="Q4" s="46" t="s">
        <v>592</v>
      </c>
      <c r="R4" s="47" t="s">
        <v>1513</v>
      </c>
      <c r="U4" s="46" t="s">
        <v>491</v>
      </c>
    </row>
    <row r="5" spans="1:23" ht="30" x14ac:dyDescent="0.25">
      <c r="A5" s="45">
        <v>42580</v>
      </c>
      <c r="B5" s="46" t="s">
        <v>378</v>
      </c>
      <c r="C5" s="45" t="s">
        <v>623</v>
      </c>
      <c r="D5" s="46" t="s">
        <v>930</v>
      </c>
      <c r="E5" s="46" t="s">
        <v>821</v>
      </c>
      <c r="F5" s="47" t="s">
        <v>3114</v>
      </c>
      <c r="H5" s="48" t="s">
        <v>3115</v>
      </c>
      <c r="O5" s="50" t="s">
        <v>3116</v>
      </c>
      <c r="P5" s="65" t="s">
        <v>3117</v>
      </c>
      <c r="Q5" s="46" t="s">
        <v>592</v>
      </c>
      <c r="U5" s="46" t="s">
        <v>491</v>
      </c>
    </row>
    <row r="6" spans="1:23" x14ac:dyDescent="0.25">
      <c r="A6" s="45">
        <v>42373</v>
      </c>
      <c r="B6" s="46" t="s">
        <v>594</v>
      </c>
      <c r="C6" s="45" t="s">
        <v>604</v>
      </c>
      <c r="D6" s="46" t="s">
        <v>595</v>
      </c>
      <c r="E6" s="46" t="s">
        <v>588</v>
      </c>
      <c r="F6" s="47" t="s">
        <v>596</v>
      </c>
      <c r="H6" s="48" t="s">
        <v>598</v>
      </c>
      <c r="I6" s="46" t="s">
        <v>599</v>
      </c>
      <c r="M6" s="50">
        <v>130000</v>
      </c>
      <c r="O6" s="50" t="s">
        <v>617</v>
      </c>
      <c r="P6" s="65" t="s">
        <v>600</v>
      </c>
      <c r="Q6" s="46" t="s">
        <v>592</v>
      </c>
      <c r="R6" s="47" t="s">
        <v>601</v>
      </c>
      <c r="U6" s="46" t="s">
        <v>491</v>
      </c>
    </row>
    <row r="7" spans="1:23" ht="30" x14ac:dyDescent="0.25">
      <c r="A7" s="45">
        <v>42373</v>
      </c>
      <c r="B7" s="46" t="s">
        <v>594</v>
      </c>
      <c r="C7" s="45" t="s">
        <v>602</v>
      </c>
      <c r="D7" s="46" t="s">
        <v>605</v>
      </c>
      <c r="E7" s="46" t="s">
        <v>588</v>
      </c>
      <c r="F7" s="47" t="s">
        <v>606</v>
      </c>
      <c r="H7" s="48" t="s">
        <v>607</v>
      </c>
      <c r="I7" s="46" t="s">
        <v>608</v>
      </c>
      <c r="M7" s="50">
        <v>188000</v>
      </c>
      <c r="O7" s="50" t="s">
        <v>618</v>
      </c>
      <c r="P7" s="65" t="s">
        <v>609</v>
      </c>
      <c r="Q7" s="46" t="s">
        <v>29</v>
      </c>
      <c r="R7" s="47" t="s">
        <v>1183</v>
      </c>
      <c r="U7" s="46" t="s">
        <v>491</v>
      </c>
    </row>
    <row r="8" spans="1:23" ht="30" x14ac:dyDescent="0.25">
      <c r="A8" s="45">
        <v>42373</v>
      </c>
      <c r="B8" s="46" t="s">
        <v>378</v>
      </c>
      <c r="C8" s="45" t="s">
        <v>610</v>
      </c>
      <c r="D8" s="46" t="s">
        <v>611</v>
      </c>
      <c r="E8" s="46" t="s">
        <v>588</v>
      </c>
      <c r="F8" s="47" t="s">
        <v>612</v>
      </c>
      <c r="H8" s="48" t="s">
        <v>607</v>
      </c>
      <c r="I8" s="46" t="s">
        <v>613</v>
      </c>
      <c r="M8" s="50">
        <v>2368000</v>
      </c>
      <c r="N8" s="51">
        <v>4799200</v>
      </c>
      <c r="O8" s="50" t="s">
        <v>560</v>
      </c>
      <c r="P8" s="65" t="s">
        <v>619</v>
      </c>
      <c r="Q8" s="46" t="s">
        <v>620</v>
      </c>
      <c r="R8" s="47" t="s">
        <v>621</v>
      </c>
      <c r="S8" s="47" t="s">
        <v>622</v>
      </c>
      <c r="U8" s="46" t="s">
        <v>491</v>
      </c>
    </row>
    <row r="9" spans="1:23" x14ac:dyDescent="0.25">
      <c r="A9" s="45">
        <v>42373</v>
      </c>
      <c r="B9" s="46" t="s">
        <v>328</v>
      </c>
      <c r="C9" s="45" t="s">
        <v>603</v>
      </c>
      <c r="D9" s="46" t="s">
        <v>587</v>
      </c>
      <c r="E9" s="46" t="s">
        <v>588</v>
      </c>
      <c r="F9" s="47" t="s">
        <v>589</v>
      </c>
      <c r="H9" s="47" t="s">
        <v>597</v>
      </c>
      <c r="I9" s="46" t="s">
        <v>590</v>
      </c>
      <c r="M9" s="50">
        <v>130000</v>
      </c>
      <c r="O9" s="50" t="s">
        <v>616</v>
      </c>
      <c r="P9" s="65" t="s">
        <v>591</v>
      </c>
      <c r="Q9" s="46" t="s">
        <v>592</v>
      </c>
      <c r="R9" s="47" t="s">
        <v>593</v>
      </c>
      <c r="U9" s="46" t="s">
        <v>491</v>
      </c>
    </row>
    <row r="10" spans="1:23" ht="30" x14ac:dyDescent="0.25">
      <c r="A10" s="45">
        <v>42374</v>
      </c>
      <c r="B10" s="46" t="s">
        <v>378</v>
      </c>
      <c r="C10" s="45" t="s">
        <v>623</v>
      </c>
      <c r="D10" s="46" t="s">
        <v>624</v>
      </c>
      <c r="E10" s="46" t="s">
        <v>588</v>
      </c>
      <c r="F10" s="47" t="s">
        <v>626</v>
      </c>
      <c r="H10" s="48" t="s">
        <v>607</v>
      </c>
      <c r="I10" s="46" t="s">
        <v>628</v>
      </c>
      <c r="M10" s="50">
        <v>3359452</v>
      </c>
      <c r="N10" s="51">
        <v>3750000</v>
      </c>
      <c r="O10" s="50" t="s">
        <v>560</v>
      </c>
      <c r="P10" s="65" t="s">
        <v>636</v>
      </c>
      <c r="Q10" s="46" t="s">
        <v>620</v>
      </c>
      <c r="R10" s="47" t="s">
        <v>629</v>
      </c>
      <c r="S10" s="47" t="s">
        <v>9694</v>
      </c>
      <c r="U10" s="46" t="s">
        <v>491</v>
      </c>
    </row>
    <row r="11" spans="1:23" ht="30" x14ac:dyDescent="0.25">
      <c r="A11" s="45">
        <v>42374</v>
      </c>
      <c r="B11" s="46" t="s">
        <v>378</v>
      </c>
      <c r="C11" s="45" t="s">
        <v>623</v>
      </c>
      <c r="D11" s="46" t="s">
        <v>625</v>
      </c>
      <c r="E11" s="46" t="s">
        <v>588</v>
      </c>
      <c r="F11" s="47" t="s">
        <v>9693</v>
      </c>
      <c r="H11" s="48" t="s">
        <v>627</v>
      </c>
      <c r="I11" s="46" t="s">
        <v>630</v>
      </c>
      <c r="M11" s="50">
        <v>3000000</v>
      </c>
      <c r="N11" s="51">
        <v>3650000</v>
      </c>
      <c r="O11" s="50" t="s">
        <v>560</v>
      </c>
      <c r="P11" s="65" t="s">
        <v>631</v>
      </c>
      <c r="Q11" s="46" t="s">
        <v>592</v>
      </c>
      <c r="R11" s="47" t="s">
        <v>632</v>
      </c>
      <c r="S11" s="47" t="s">
        <v>681</v>
      </c>
      <c r="U11" s="46" t="s">
        <v>491</v>
      </c>
    </row>
    <row r="12" spans="1:23" ht="30" x14ac:dyDescent="0.25">
      <c r="A12" s="45">
        <v>42374</v>
      </c>
      <c r="B12" s="46" t="s">
        <v>378</v>
      </c>
      <c r="C12" s="45" t="s">
        <v>623</v>
      </c>
      <c r="D12" s="46" t="s">
        <v>625</v>
      </c>
      <c r="E12" s="46" t="s">
        <v>588</v>
      </c>
      <c r="F12" s="47" t="s">
        <v>633</v>
      </c>
      <c r="H12" s="48" t="s">
        <v>607</v>
      </c>
      <c r="I12" s="46" t="s">
        <v>661</v>
      </c>
      <c r="M12" s="50">
        <v>800000</v>
      </c>
      <c r="N12" s="51">
        <v>460000</v>
      </c>
      <c r="O12" s="50" t="s">
        <v>634</v>
      </c>
      <c r="P12" s="65" t="s">
        <v>635</v>
      </c>
      <c r="Q12" s="46" t="s">
        <v>592</v>
      </c>
      <c r="R12" s="47" t="s">
        <v>637</v>
      </c>
      <c r="U12" s="46" t="s">
        <v>491</v>
      </c>
    </row>
    <row r="13" spans="1:23" ht="45" x14ac:dyDescent="0.25">
      <c r="A13" s="45">
        <v>42374</v>
      </c>
      <c r="B13" s="46" t="s">
        <v>594</v>
      </c>
      <c r="C13" s="45" t="s">
        <v>604</v>
      </c>
      <c r="D13" s="46" t="s">
        <v>595</v>
      </c>
      <c r="E13" s="46" t="s">
        <v>588</v>
      </c>
      <c r="F13" s="47" t="s">
        <v>638</v>
      </c>
      <c r="H13" s="48" t="s">
        <v>627</v>
      </c>
      <c r="I13" s="46" t="s">
        <v>660</v>
      </c>
      <c r="O13" s="50" t="s">
        <v>639</v>
      </c>
      <c r="P13" s="65" t="s">
        <v>640</v>
      </c>
      <c r="Q13" s="46" t="s">
        <v>592</v>
      </c>
      <c r="R13" s="47" t="s">
        <v>641</v>
      </c>
      <c r="U13" s="46" t="s">
        <v>491</v>
      </c>
    </row>
    <row r="14" spans="1:23" ht="60" x14ac:dyDescent="0.25">
      <c r="A14" s="45">
        <v>42375</v>
      </c>
      <c r="B14" s="46" t="s">
        <v>643</v>
      </c>
      <c r="C14" s="45" t="s">
        <v>644</v>
      </c>
      <c r="D14" s="46" t="s">
        <v>645</v>
      </c>
      <c r="E14" s="46" t="s">
        <v>588</v>
      </c>
      <c r="F14" s="47" t="s">
        <v>646</v>
      </c>
      <c r="H14" s="48" t="s">
        <v>627</v>
      </c>
      <c r="I14" s="46" t="s">
        <v>659</v>
      </c>
      <c r="M14" s="50">
        <v>2488459</v>
      </c>
      <c r="N14" s="51">
        <v>4035008</v>
      </c>
      <c r="O14" s="50" t="s">
        <v>560</v>
      </c>
      <c r="P14" s="65" t="s">
        <v>647</v>
      </c>
      <c r="Q14" s="46" t="s">
        <v>592</v>
      </c>
      <c r="R14" s="47" t="s">
        <v>648</v>
      </c>
      <c r="U14" s="46" t="s">
        <v>491</v>
      </c>
    </row>
    <row r="15" spans="1:23" ht="30" x14ac:dyDescent="0.25">
      <c r="A15" s="45">
        <v>42376</v>
      </c>
      <c r="B15" s="46" t="s">
        <v>378</v>
      </c>
      <c r="C15" s="45" t="s">
        <v>610</v>
      </c>
      <c r="D15" s="46" t="s">
        <v>611</v>
      </c>
      <c r="E15" s="46" t="s">
        <v>588</v>
      </c>
      <c r="F15" s="47" t="s">
        <v>664</v>
      </c>
      <c r="H15" s="48" t="s">
        <v>627</v>
      </c>
      <c r="I15" s="46" t="s">
        <v>665</v>
      </c>
      <c r="M15" s="50">
        <v>336000</v>
      </c>
      <c r="N15" s="51">
        <v>441800</v>
      </c>
      <c r="O15" s="50" t="s">
        <v>666</v>
      </c>
      <c r="P15" s="65" t="s">
        <v>667</v>
      </c>
      <c r="Q15" s="46" t="s">
        <v>592</v>
      </c>
      <c r="R15" s="47" t="s">
        <v>668</v>
      </c>
      <c r="U15" s="46" t="s">
        <v>491</v>
      </c>
    </row>
    <row r="16" spans="1:23" ht="30" x14ac:dyDescent="0.25">
      <c r="A16" s="45">
        <v>42376</v>
      </c>
      <c r="B16" s="46" t="s">
        <v>378</v>
      </c>
      <c r="C16" s="45" t="s">
        <v>610</v>
      </c>
      <c r="D16" s="46" t="s">
        <v>611</v>
      </c>
      <c r="E16" s="46" t="s">
        <v>588</v>
      </c>
      <c r="F16" s="47" t="s">
        <v>664</v>
      </c>
      <c r="H16" s="48" t="s">
        <v>627</v>
      </c>
      <c r="I16" s="46" t="s">
        <v>669</v>
      </c>
      <c r="M16" s="50">
        <v>306000</v>
      </c>
      <c r="N16" s="51">
        <v>402800</v>
      </c>
      <c r="O16" s="50" t="s">
        <v>666</v>
      </c>
      <c r="P16" s="65" t="s">
        <v>670</v>
      </c>
      <c r="Q16" s="46" t="s">
        <v>592</v>
      </c>
      <c r="R16" s="47" t="s">
        <v>671</v>
      </c>
      <c r="U16" s="46" t="s">
        <v>491</v>
      </c>
    </row>
    <row r="17" spans="1:21" ht="45" x14ac:dyDescent="0.25">
      <c r="A17" s="45">
        <v>42376</v>
      </c>
      <c r="B17" s="46" t="s">
        <v>328</v>
      </c>
      <c r="C17" s="45" t="s">
        <v>603</v>
      </c>
      <c r="D17" s="46" t="s">
        <v>649</v>
      </c>
      <c r="E17" s="46" t="s">
        <v>588</v>
      </c>
      <c r="F17" s="47" t="s">
        <v>650</v>
      </c>
      <c r="H17" s="47" t="s">
        <v>651</v>
      </c>
      <c r="I17" s="46" t="s">
        <v>658</v>
      </c>
      <c r="O17" s="50" t="s">
        <v>654</v>
      </c>
      <c r="P17" s="65" t="s">
        <v>652</v>
      </c>
      <c r="Q17" s="46" t="s">
        <v>29</v>
      </c>
      <c r="R17" s="47" t="s">
        <v>653</v>
      </c>
      <c r="S17" s="47" t="s">
        <v>753</v>
      </c>
      <c r="U17" s="46" t="s">
        <v>491</v>
      </c>
    </row>
    <row r="18" spans="1:21" ht="30" x14ac:dyDescent="0.25">
      <c r="A18" s="45">
        <v>42376</v>
      </c>
      <c r="B18" s="46" t="s">
        <v>328</v>
      </c>
      <c r="C18" s="45" t="s">
        <v>603</v>
      </c>
      <c r="D18" s="46" t="s">
        <v>649</v>
      </c>
      <c r="E18" s="46" t="s">
        <v>588</v>
      </c>
      <c r="F18" s="47" t="s">
        <v>655</v>
      </c>
      <c r="H18" s="47" t="s">
        <v>607</v>
      </c>
      <c r="I18" s="46" t="s">
        <v>657</v>
      </c>
      <c r="M18" s="50">
        <v>251000</v>
      </c>
      <c r="O18" s="50" t="s">
        <v>656</v>
      </c>
      <c r="P18" s="65" t="s">
        <v>662</v>
      </c>
      <c r="Q18" s="46" t="s">
        <v>592</v>
      </c>
      <c r="R18" s="47" t="s">
        <v>663</v>
      </c>
      <c r="U18" s="46" t="s">
        <v>491</v>
      </c>
    </row>
    <row r="19" spans="1:21" ht="30" x14ac:dyDescent="0.25">
      <c r="A19" s="45">
        <v>42377</v>
      </c>
      <c r="B19" s="46" t="s">
        <v>378</v>
      </c>
      <c r="C19" s="45" t="s">
        <v>610</v>
      </c>
      <c r="D19" s="46" t="s">
        <v>611</v>
      </c>
      <c r="E19" s="46" t="s">
        <v>588</v>
      </c>
      <c r="F19" s="47" t="s">
        <v>678</v>
      </c>
      <c r="H19" s="48" t="s">
        <v>607</v>
      </c>
      <c r="I19" s="46" t="s">
        <v>679</v>
      </c>
      <c r="M19" s="50">
        <v>2500000</v>
      </c>
      <c r="N19" s="51">
        <v>4500000</v>
      </c>
      <c r="O19" s="50" t="s">
        <v>680</v>
      </c>
      <c r="P19" s="65" t="s">
        <v>682</v>
      </c>
      <c r="Q19" s="46" t="s">
        <v>592</v>
      </c>
      <c r="R19" s="47" t="s">
        <v>683</v>
      </c>
      <c r="U19" s="46" t="s">
        <v>491</v>
      </c>
    </row>
    <row r="20" spans="1:21" ht="60" x14ac:dyDescent="0.25">
      <c r="A20" s="45">
        <v>42377</v>
      </c>
      <c r="B20" s="46" t="s">
        <v>328</v>
      </c>
      <c r="C20" s="45" t="s">
        <v>603</v>
      </c>
      <c r="D20" s="46" t="s">
        <v>672</v>
      </c>
      <c r="E20" s="46" t="s">
        <v>588</v>
      </c>
      <c r="F20" s="47" t="s">
        <v>673</v>
      </c>
      <c r="H20" s="47" t="s">
        <v>627</v>
      </c>
      <c r="I20" s="46" t="s">
        <v>674</v>
      </c>
      <c r="M20" s="50">
        <v>197000</v>
      </c>
      <c r="O20" s="50" t="s">
        <v>675</v>
      </c>
      <c r="P20" s="65" t="s">
        <v>676</v>
      </c>
      <c r="Q20" s="46" t="s">
        <v>620</v>
      </c>
      <c r="R20" s="47" t="s">
        <v>677</v>
      </c>
      <c r="U20" s="46" t="s">
        <v>491</v>
      </c>
    </row>
    <row r="21" spans="1:21" ht="60" x14ac:dyDescent="0.25">
      <c r="A21" s="45">
        <v>42380</v>
      </c>
      <c r="B21" s="46" t="s">
        <v>378</v>
      </c>
      <c r="C21" s="45" t="s">
        <v>623</v>
      </c>
      <c r="D21" s="46" t="s">
        <v>624</v>
      </c>
      <c r="E21" s="46" t="s">
        <v>588</v>
      </c>
      <c r="F21" s="47" t="s">
        <v>684</v>
      </c>
      <c r="H21" s="48" t="s">
        <v>607</v>
      </c>
      <c r="I21" s="46" t="s">
        <v>685</v>
      </c>
      <c r="M21" s="50">
        <v>500000</v>
      </c>
      <c r="N21" s="51">
        <v>900000</v>
      </c>
      <c r="O21" s="50" t="s">
        <v>686</v>
      </c>
      <c r="P21" s="65" t="s">
        <v>687</v>
      </c>
      <c r="Q21" s="46" t="s">
        <v>592</v>
      </c>
      <c r="R21" s="47" t="s">
        <v>1184</v>
      </c>
      <c r="U21" s="46" t="s">
        <v>491</v>
      </c>
    </row>
    <row r="22" spans="1:21" ht="60" x14ac:dyDescent="0.25">
      <c r="A22" s="45">
        <v>42380</v>
      </c>
      <c r="B22" s="46" t="s">
        <v>378</v>
      </c>
      <c r="C22" s="45" t="s">
        <v>623</v>
      </c>
      <c r="D22" s="46" t="s">
        <v>625</v>
      </c>
      <c r="E22" s="46" t="s">
        <v>692</v>
      </c>
      <c r="F22" s="47" t="s">
        <v>693</v>
      </c>
      <c r="H22" s="48" t="s">
        <v>607</v>
      </c>
      <c r="I22" s="46" t="s">
        <v>694</v>
      </c>
      <c r="M22" s="50">
        <v>1500000</v>
      </c>
      <c r="N22" s="51">
        <v>2700000</v>
      </c>
      <c r="O22" s="50" t="s">
        <v>695</v>
      </c>
      <c r="P22" s="65" t="s">
        <v>696</v>
      </c>
      <c r="Q22" s="46" t="s">
        <v>592</v>
      </c>
      <c r="R22" s="47" t="s">
        <v>697</v>
      </c>
      <c r="S22" s="47" t="s">
        <v>703</v>
      </c>
      <c r="U22" s="46" t="s">
        <v>491</v>
      </c>
    </row>
    <row r="23" spans="1:21" ht="45" x14ac:dyDescent="0.25">
      <c r="A23" s="45">
        <v>42380</v>
      </c>
      <c r="B23" s="46" t="s">
        <v>643</v>
      </c>
      <c r="C23" s="45" t="s">
        <v>644</v>
      </c>
      <c r="D23" s="46" t="s">
        <v>645</v>
      </c>
      <c r="E23" s="46" t="s">
        <v>588</v>
      </c>
      <c r="F23" s="47" t="s">
        <v>698</v>
      </c>
      <c r="H23" s="48" t="s">
        <v>627</v>
      </c>
      <c r="I23" s="46" t="s">
        <v>699</v>
      </c>
      <c r="M23" s="50">
        <v>252000</v>
      </c>
      <c r="O23" s="50" t="s">
        <v>700</v>
      </c>
      <c r="P23" s="65" t="s">
        <v>701</v>
      </c>
      <c r="Q23" s="46" t="s">
        <v>592</v>
      </c>
      <c r="R23" s="47" t="s">
        <v>702</v>
      </c>
      <c r="U23" s="46" t="s">
        <v>491</v>
      </c>
    </row>
    <row r="24" spans="1:21" ht="30" x14ac:dyDescent="0.25">
      <c r="A24" s="45">
        <v>42380</v>
      </c>
      <c r="B24" s="46" t="s">
        <v>328</v>
      </c>
      <c r="C24" s="45" t="s">
        <v>603</v>
      </c>
      <c r="D24" s="46" t="s">
        <v>649</v>
      </c>
      <c r="E24" s="46" t="s">
        <v>588</v>
      </c>
      <c r="F24" s="47" t="s">
        <v>688</v>
      </c>
      <c r="H24" s="47" t="s">
        <v>607</v>
      </c>
      <c r="O24" s="50" t="s">
        <v>689</v>
      </c>
      <c r="P24" s="65" t="s">
        <v>691</v>
      </c>
      <c r="Q24" s="46" t="s">
        <v>592</v>
      </c>
      <c r="R24" s="47" t="s">
        <v>690</v>
      </c>
      <c r="U24" s="46" t="s">
        <v>491</v>
      </c>
    </row>
    <row r="25" spans="1:21" ht="90" x14ac:dyDescent="0.25">
      <c r="A25" s="45">
        <v>42381</v>
      </c>
      <c r="B25" s="46" t="s">
        <v>328</v>
      </c>
      <c r="C25" s="45" t="s">
        <v>603</v>
      </c>
      <c r="D25" s="46" t="s">
        <v>649</v>
      </c>
      <c r="E25" s="46" t="s">
        <v>588</v>
      </c>
      <c r="F25" s="47" t="s">
        <v>704</v>
      </c>
      <c r="H25" s="47" t="s">
        <v>705</v>
      </c>
      <c r="I25" s="46" t="s">
        <v>706</v>
      </c>
      <c r="M25" s="50">
        <v>934000</v>
      </c>
      <c r="N25" s="51">
        <v>1844000</v>
      </c>
      <c r="O25" s="50" t="s">
        <v>707</v>
      </c>
      <c r="P25" s="65" t="s">
        <v>708</v>
      </c>
      <c r="Q25" s="46" t="s">
        <v>29</v>
      </c>
      <c r="R25" s="47" t="s">
        <v>1185</v>
      </c>
      <c r="U25" s="46" t="s">
        <v>491</v>
      </c>
    </row>
    <row r="26" spans="1:21" ht="30" x14ac:dyDescent="0.25">
      <c r="A26" s="45">
        <v>42382</v>
      </c>
      <c r="B26" s="46" t="s">
        <v>110</v>
      </c>
      <c r="D26" s="46" t="s">
        <v>715</v>
      </c>
      <c r="E26" s="46" t="s">
        <v>588</v>
      </c>
      <c r="F26" s="47" t="s">
        <v>716</v>
      </c>
      <c r="H26" s="48" t="s">
        <v>607</v>
      </c>
      <c r="I26" s="46" t="s">
        <v>717</v>
      </c>
      <c r="M26" s="50">
        <v>353000</v>
      </c>
      <c r="N26" s="51">
        <v>600100</v>
      </c>
      <c r="O26" s="50" t="s">
        <v>718</v>
      </c>
      <c r="P26" s="65" t="s">
        <v>719</v>
      </c>
      <c r="Q26" s="46" t="s">
        <v>592</v>
      </c>
      <c r="R26" s="47" t="s">
        <v>720</v>
      </c>
      <c r="U26" s="46" t="s">
        <v>491</v>
      </c>
    </row>
    <row r="27" spans="1:21" ht="45" x14ac:dyDescent="0.25">
      <c r="A27" s="45">
        <v>42382</v>
      </c>
      <c r="B27" s="46" t="s">
        <v>328</v>
      </c>
      <c r="C27" s="45" t="s">
        <v>603</v>
      </c>
      <c r="D27" s="46" t="s">
        <v>649</v>
      </c>
      <c r="E27" s="46" t="s">
        <v>588</v>
      </c>
      <c r="F27" s="47" t="s">
        <v>709</v>
      </c>
      <c r="H27" s="47" t="s">
        <v>710</v>
      </c>
      <c r="I27" s="46" t="s">
        <v>711</v>
      </c>
      <c r="M27" s="50">
        <v>761000</v>
      </c>
      <c r="N27" s="51">
        <v>1560050</v>
      </c>
      <c r="O27" s="50" t="s">
        <v>712</v>
      </c>
      <c r="P27" s="65" t="s">
        <v>713</v>
      </c>
      <c r="Q27" s="46" t="s">
        <v>592</v>
      </c>
      <c r="R27" s="47" t="s">
        <v>714</v>
      </c>
      <c r="U27" s="46" t="s">
        <v>491</v>
      </c>
    </row>
    <row r="28" spans="1:21" ht="45" x14ac:dyDescent="0.25">
      <c r="A28" s="45">
        <v>42383</v>
      </c>
      <c r="B28" s="46" t="s">
        <v>328</v>
      </c>
      <c r="C28" s="45" t="s">
        <v>603</v>
      </c>
      <c r="D28" s="46" t="s">
        <v>649</v>
      </c>
      <c r="E28" s="46" t="s">
        <v>588</v>
      </c>
      <c r="F28" s="47" t="s">
        <v>745</v>
      </c>
      <c r="H28" s="47" t="s">
        <v>627</v>
      </c>
      <c r="O28" s="50" t="s">
        <v>746</v>
      </c>
      <c r="P28" s="65" t="s">
        <v>747</v>
      </c>
      <c r="Q28" s="46" t="s">
        <v>620</v>
      </c>
      <c r="R28" s="47" t="s">
        <v>862</v>
      </c>
      <c r="U28" s="46" t="s">
        <v>491</v>
      </c>
    </row>
    <row r="29" spans="1:21" ht="75" x14ac:dyDescent="0.25">
      <c r="A29" s="45">
        <v>42383</v>
      </c>
      <c r="B29" s="46" t="s">
        <v>643</v>
      </c>
      <c r="C29" s="45" t="s">
        <v>644</v>
      </c>
      <c r="D29" s="46" t="s">
        <v>645</v>
      </c>
      <c r="E29" s="46" t="s">
        <v>588</v>
      </c>
      <c r="F29" s="47" t="s">
        <v>721</v>
      </c>
      <c r="H29" s="48" t="s">
        <v>722</v>
      </c>
      <c r="I29" s="46" t="s">
        <v>723</v>
      </c>
      <c r="M29" s="50">
        <v>185000</v>
      </c>
      <c r="N29" s="51">
        <v>246000</v>
      </c>
      <c r="O29" s="50" t="s">
        <v>724</v>
      </c>
      <c r="P29" s="65" t="s">
        <v>726</v>
      </c>
      <c r="Q29" s="46" t="s">
        <v>592</v>
      </c>
      <c r="R29" s="47" t="s">
        <v>725</v>
      </c>
      <c r="U29" s="46" t="s">
        <v>491</v>
      </c>
    </row>
    <row r="30" spans="1:21" ht="135" x14ac:dyDescent="0.25">
      <c r="A30" s="45">
        <v>42383</v>
      </c>
      <c r="B30" s="46" t="s">
        <v>594</v>
      </c>
      <c r="C30" s="45" t="s">
        <v>604</v>
      </c>
      <c r="D30" s="46" t="s">
        <v>727</v>
      </c>
      <c r="E30" s="46" t="s">
        <v>588</v>
      </c>
      <c r="F30" s="47" t="s">
        <v>728</v>
      </c>
      <c r="H30" s="48" t="s">
        <v>722</v>
      </c>
      <c r="I30" s="46" t="s">
        <v>729</v>
      </c>
      <c r="M30" s="50">
        <v>4000000</v>
      </c>
      <c r="N30" s="51">
        <v>5000000</v>
      </c>
      <c r="O30" s="50" t="s">
        <v>730</v>
      </c>
      <c r="P30" s="65" t="s">
        <v>731</v>
      </c>
      <c r="Q30" s="46" t="s">
        <v>592</v>
      </c>
      <c r="R30" s="47" t="s">
        <v>1329</v>
      </c>
      <c r="U30" s="46" t="s">
        <v>491</v>
      </c>
    </row>
    <row r="31" spans="1:21" ht="45" x14ac:dyDescent="0.25">
      <c r="A31" s="45">
        <v>42383</v>
      </c>
      <c r="B31" s="46" t="s">
        <v>378</v>
      </c>
      <c r="C31" s="45" t="s">
        <v>610</v>
      </c>
      <c r="D31" s="46" t="s">
        <v>732</v>
      </c>
      <c r="E31" s="46" t="s">
        <v>588</v>
      </c>
      <c r="F31" s="47" t="s">
        <v>733</v>
      </c>
      <c r="H31" s="48" t="s">
        <v>607</v>
      </c>
      <c r="I31" s="46" t="s">
        <v>734</v>
      </c>
      <c r="M31" s="50">
        <v>1468000</v>
      </c>
      <c r="N31" s="51">
        <v>2208400</v>
      </c>
      <c r="O31" s="50" t="s">
        <v>735</v>
      </c>
      <c r="P31" s="65" t="s">
        <v>736</v>
      </c>
      <c r="Q31" s="46" t="s">
        <v>592</v>
      </c>
      <c r="R31" s="47" t="s">
        <v>737</v>
      </c>
      <c r="U31" s="46" t="s">
        <v>491</v>
      </c>
    </row>
    <row r="32" spans="1:21" ht="45" x14ac:dyDescent="0.25">
      <c r="A32" s="45">
        <v>42383</v>
      </c>
      <c r="B32" s="46" t="s">
        <v>110</v>
      </c>
      <c r="D32" s="46" t="s">
        <v>715</v>
      </c>
      <c r="E32" s="46" t="s">
        <v>588</v>
      </c>
      <c r="F32" s="47" t="s">
        <v>738</v>
      </c>
      <c r="H32" s="48" t="s">
        <v>607</v>
      </c>
      <c r="I32" s="46" t="s">
        <v>739</v>
      </c>
      <c r="O32" s="50" t="s">
        <v>740</v>
      </c>
      <c r="Q32" s="46" t="s">
        <v>29</v>
      </c>
      <c r="R32" s="47" t="s">
        <v>741</v>
      </c>
      <c r="U32" s="46" t="s">
        <v>491</v>
      </c>
    </row>
    <row r="33" spans="1:21" ht="60" x14ac:dyDescent="0.25">
      <c r="A33" s="45">
        <v>42383</v>
      </c>
      <c r="B33" s="46" t="s">
        <v>378</v>
      </c>
      <c r="C33" s="45" t="s">
        <v>623</v>
      </c>
      <c r="D33" s="46" t="s">
        <v>625</v>
      </c>
      <c r="E33" s="46" t="s">
        <v>588</v>
      </c>
      <c r="F33" s="47" t="s">
        <v>543</v>
      </c>
      <c r="H33" s="48" t="s">
        <v>742</v>
      </c>
      <c r="I33" s="46" t="s">
        <v>743</v>
      </c>
      <c r="O33" s="50" t="s">
        <v>744</v>
      </c>
      <c r="P33" s="65" t="s">
        <v>860</v>
      </c>
      <c r="Q33" s="46" t="s">
        <v>592</v>
      </c>
      <c r="R33" s="47" t="s">
        <v>861</v>
      </c>
      <c r="U33" s="46" t="s">
        <v>491</v>
      </c>
    </row>
    <row r="34" spans="1:21" ht="45" x14ac:dyDescent="0.25">
      <c r="A34" s="45">
        <v>42384</v>
      </c>
      <c r="B34" s="46" t="s">
        <v>328</v>
      </c>
      <c r="C34" s="45" t="s">
        <v>603</v>
      </c>
      <c r="D34" s="46" t="s">
        <v>748</v>
      </c>
      <c r="E34" s="46" t="s">
        <v>588</v>
      </c>
      <c r="F34" s="47" t="s">
        <v>749</v>
      </c>
      <c r="H34" s="47" t="s">
        <v>627</v>
      </c>
      <c r="I34" s="46" t="s">
        <v>750</v>
      </c>
      <c r="M34" s="50">
        <v>1824000</v>
      </c>
      <c r="O34" s="50" t="s">
        <v>751</v>
      </c>
      <c r="P34" s="65" t="s">
        <v>752</v>
      </c>
      <c r="Q34" s="46" t="s">
        <v>592</v>
      </c>
      <c r="R34" s="47" t="s">
        <v>756</v>
      </c>
      <c r="U34" s="46" t="s">
        <v>491</v>
      </c>
    </row>
    <row r="35" spans="1:21" ht="75" x14ac:dyDescent="0.25">
      <c r="A35" s="45">
        <v>42384</v>
      </c>
      <c r="B35" s="46" t="s">
        <v>378</v>
      </c>
      <c r="C35" s="45" t="s">
        <v>623</v>
      </c>
      <c r="D35" s="46" t="s">
        <v>625</v>
      </c>
      <c r="E35" s="46" t="s">
        <v>588</v>
      </c>
      <c r="H35" s="48" t="s">
        <v>607</v>
      </c>
      <c r="O35" s="50" t="s">
        <v>754</v>
      </c>
      <c r="P35" s="65" t="s">
        <v>755</v>
      </c>
      <c r="Q35" s="46" t="s">
        <v>592</v>
      </c>
      <c r="U35" s="46" t="s">
        <v>491</v>
      </c>
    </row>
    <row r="36" spans="1:21" ht="30" x14ac:dyDescent="0.25">
      <c r="A36" s="45">
        <v>42387</v>
      </c>
      <c r="B36" s="46" t="s">
        <v>110</v>
      </c>
      <c r="C36" s="45" t="s">
        <v>761</v>
      </c>
      <c r="D36" s="46" t="s">
        <v>715</v>
      </c>
      <c r="E36" s="46" t="s">
        <v>588</v>
      </c>
      <c r="F36" s="47" t="s">
        <v>762</v>
      </c>
      <c r="H36" s="48" t="s">
        <v>722</v>
      </c>
      <c r="I36" s="46" t="s">
        <v>763</v>
      </c>
      <c r="M36" s="50">
        <v>175000</v>
      </c>
      <c r="N36" s="51">
        <v>297500</v>
      </c>
      <c r="O36" s="50" t="s">
        <v>764</v>
      </c>
      <c r="P36" s="65" t="s">
        <v>765</v>
      </c>
      <c r="Q36" s="46" t="s">
        <v>592</v>
      </c>
      <c r="R36" s="47" t="s">
        <v>770</v>
      </c>
      <c r="U36" s="46" t="s">
        <v>491</v>
      </c>
    </row>
    <row r="37" spans="1:21" ht="45" x14ac:dyDescent="0.25">
      <c r="A37" s="45">
        <v>42387</v>
      </c>
      <c r="B37" s="46" t="s">
        <v>328</v>
      </c>
      <c r="C37" s="45" t="s">
        <v>603</v>
      </c>
      <c r="D37" s="46" t="s">
        <v>587</v>
      </c>
      <c r="E37" s="46" t="s">
        <v>588</v>
      </c>
      <c r="F37" s="47" t="s">
        <v>766</v>
      </c>
      <c r="H37" s="47" t="s">
        <v>607</v>
      </c>
      <c r="I37" s="46" t="s">
        <v>767</v>
      </c>
      <c r="M37" s="50">
        <v>1888000</v>
      </c>
      <c r="N37" s="51">
        <v>3900000</v>
      </c>
      <c r="O37" s="50" t="s">
        <v>768</v>
      </c>
      <c r="P37" s="65" t="s">
        <v>769</v>
      </c>
      <c r="Q37" s="46" t="s">
        <v>592</v>
      </c>
      <c r="R37" s="47" t="s">
        <v>771</v>
      </c>
      <c r="U37" s="46" t="s">
        <v>491</v>
      </c>
    </row>
    <row r="38" spans="1:21" ht="60" x14ac:dyDescent="0.25">
      <c r="A38" s="45">
        <v>42387</v>
      </c>
      <c r="B38" s="46" t="s">
        <v>328</v>
      </c>
      <c r="C38" s="45" t="s">
        <v>603</v>
      </c>
      <c r="D38" s="46" t="s">
        <v>757</v>
      </c>
      <c r="E38" s="46" t="s">
        <v>588</v>
      </c>
      <c r="F38" s="47" t="s">
        <v>758</v>
      </c>
      <c r="H38" s="47" t="s">
        <v>607</v>
      </c>
      <c r="I38" s="46" t="s">
        <v>759</v>
      </c>
      <c r="M38" s="50">
        <v>873000</v>
      </c>
      <c r="N38" s="51">
        <v>1746000</v>
      </c>
      <c r="O38" s="50" t="s">
        <v>695</v>
      </c>
      <c r="P38" s="65" t="s">
        <v>3720</v>
      </c>
      <c r="Q38" s="46" t="s">
        <v>620</v>
      </c>
      <c r="R38" s="47" t="s">
        <v>760</v>
      </c>
      <c r="U38" s="46" t="s">
        <v>491</v>
      </c>
    </row>
    <row r="39" spans="1:21" ht="60" x14ac:dyDescent="0.25">
      <c r="A39" s="45">
        <v>42388</v>
      </c>
      <c r="B39" s="46" t="s">
        <v>378</v>
      </c>
      <c r="C39" s="45" t="s">
        <v>610</v>
      </c>
      <c r="D39" s="46" t="s">
        <v>611</v>
      </c>
      <c r="E39" s="46" t="s">
        <v>588</v>
      </c>
      <c r="F39" s="47" t="s">
        <v>772</v>
      </c>
      <c r="H39" s="48" t="s">
        <v>607</v>
      </c>
      <c r="I39" s="46" t="s">
        <v>773</v>
      </c>
      <c r="M39" s="50">
        <v>2500000</v>
      </c>
      <c r="N39" s="51">
        <v>5000000</v>
      </c>
      <c r="O39" s="50" t="s">
        <v>804</v>
      </c>
      <c r="P39" s="65" t="s">
        <v>775</v>
      </c>
      <c r="Q39" s="46" t="s">
        <v>592</v>
      </c>
      <c r="R39" s="47" t="s">
        <v>774</v>
      </c>
      <c r="U39" s="46" t="s">
        <v>491</v>
      </c>
    </row>
    <row r="40" spans="1:21" ht="60" x14ac:dyDescent="0.25">
      <c r="A40" s="45">
        <v>42389</v>
      </c>
      <c r="B40" s="46" t="s">
        <v>110</v>
      </c>
      <c r="D40" s="46" t="s">
        <v>715</v>
      </c>
      <c r="E40" s="46" t="s">
        <v>588</v>
      </c>
      <c r="F40" s="47" t="s">
        <v>776</v>
      </c>
      <c r="H40" s="48" t="s">
        <v>607</v>
      </c>
      <c r="I40" s="46" t="s">
        <v>777</v>
      </c>
      <c r="M40" s="50">
        <v>573000</v>
      </c>
      <c r="N40" s="51">
        <v>974100</v>
      </c>
      <c r="O40" s="50" t="s">
        <v>778</v>
      </c>
      <c r="P40" s="65" t="s">
        <v>779</v>
      </c>
      <c r="Q40" s="46" t="s">
        <v>29</v>
      </c>
      <c r="R40" s="47" t="s">
        <v>1186</v>
      </c>
      <c r="U40" s="46" t="s">
        <v>491</v>
      </c>
    </row>
    <row r="41" spans="1:21" ht="60" x14ac:dyDescent="0.25">
      <c r="A41" s="45">
        <v>42389</v>
      </c>
      <c r="B41" s="46" t="s">
        <v>328</v>
      </c>
      <c r="C41" s="45" t="s">
        <v>603</v>
      </c>
      <c r="D41" s="46" t="s">
        <v>587</v>
      </c>
      <c r="E41" s="46" t="s">
        <v>588</v>
      </c>
      <c r="F41" s="47" t="s">
        <v>780</v>
      </c>
      <c r="H41" s="47" t="s">
        <v>722</v>
      </c>
      <c r="I41" s="46" t="s">
        <v>781</v>
      </c>
      <c r="M41" s="50">
        <v>400000</v>
      </c>
      <c r="N41" s="51">
        <v>492000</v>
      </c>
      <c r="O41" s="50" t="s">
        <v>782</v>
      </c>
      <c r="P41" s="65" t="s">
        <v>783</v>
      </c>
      <c r="Q41" s="46" t="s">
        <v>620</v>
      </c>
      <c r="R41" s="47" t="s">
        <v>1187</v>
      </c>
      <c r="U41" s="46" t="s">
        <v>491</v>
      </c>
    </row>
    <row r="42" spans="1:21" ht="105" x14ac:dyDescent="0.25">
      <c r="A42" s="45">
        <v>42389</v>
      </c>
      <c r="B42" s="46" t="s">
        <v>328</v>
      </c>
      <c r="C42" s="45" t="s">
        <v>603</v>
      </c>
      <c r="D42" s="46" t="s">
        <v>587</v>
      </c>
      <c r="E42" s="46" t="s">
        <v>588</v>
      </c>
      <c r="F42" s="47" t="s">
        <v>784</v>
      </c>
      <c r="H42" s="47" t="s">
        <v>722</v>
      </c>
      <c r="I42" s="46" t="s">
        <v>785</v>
      </c>
      <c r="M42" s="50">
        <v>900000</v>
      </c>
      <c r="N42" s="51">
        <v>1530000</v>
      </c>
      <c r="O42" s="50" t="s">
        <v>786</v>
      </c>
      <c r="P42" s="65" t="s">
        <v>787</v>
      </c>
      <c r="Q42" s="46" t="s">
        <v>29</v>
      </c>
      <c r="R42" s="47" t="s">
        <v>807</v>
      </c>
      <c r="U42" s="46" t="s">
        <v>491</v>
      </c>
    </row>
    <row r="43" spans="1:21" ht="30" x14ac:dyDescent="0.25">
      <c r="A43" s="45">
        <v>42390</v>
      </c>
      <c r="B43" s="46" t="s">
        <v>328</v>
      </c>
      <c r="C43" s="45" t="s">
        <v>603</v>
      </c>
      <c r="D43" s="46" t="s">
        <v>649</v>
      </c>
      <c r="E43" s="46" t="s">
        <v>692</v>
      </c>
      <c r="F43" s="47" t="s">
        <v>793</v>
      </c>
      <c r="H43" s="47" t="s">
        <v>722</v>
      </c>
      <c r="I43" s="46" t="s">
        <v>794</v>
      </c>
      <c r="M43" s="50">
        <v>200000</v>
      </c>
      <c r="N43" s="51">
        <v>520000</v>
      </c>
      <c r="O43" s="50" t="s">
        <v>795</v>
      </c>
      <c r="P43" s="65" t="s">
        <v>796</v>
      </c>
      <c r="Q43" s="46" t="s">
        <v>592</v>
      </c>
      <c r="R43" s="47" t="s">
        <v>1188</v>
      </c>
      <c r="U43" s="46" t="s">
        <v>491</v>
      </c>
    </row>
    <row r="44" spans="1:21" ht="30" x14ac:dyDescent="0.25">
      <c r="A44" s="45">
        <v>42390</v>
      </c>
      <c r="B44" s="46" t="s">
        <v>328</v>
      </c>
      <c r="C44" s="45" t="s">
        <v>603</v>
      </c>
      <c r="D44" s="46" t="s">
        <v>757</v>
      </c>
      <c r="E44" s="46" t="s">
        <v>588</v>
      </c>
      <c r="F44" s="47" t="s">
        <v>788</v>
      </c>
      <c r="H44" s="47" t="s">
        <v>607</v>
      </c>
      <c r="I44" s="46" t="s">
        <v>789</v>
      </c>
      <c r="M44" s="50">
        <v>725000</v>
      </c>
      <c r="N44" s="51">
        <v>1232500</v>
      </c>
      <c r="O44" s="50" t="s">
        <v>790</v>
      </c>
      <c r="P44" s="65" t="s">
        <v>791</v>
      </c>
      <c r="Q44" s="46" t="s">
        <v>592</v>
      </c>
      <c r="R44" s="47" t="s">
        <v>792</v>
      </c>
      <c r="U44" s="46" t="s">
        <v>491</v>
      </c>
    </row>
    <row r="45" spans="1:21" ht="105" x14ac:dyDescent="0.25">
      <c r="A45" s="45">
        <v>42394</v>
      </c>
      <c r="B45" s="46" t="s">
        <v>643</v>
      </c>
      <c r="C45" s="45" t="s">
        <v>644</v>
      </c>
      <c r="D45" s="46" t="s">
        <v>645</v>
      </c>
      <c r="E45" s="46" t="s">
        <v>588</v>
      </c>
      <c r="F45" s="47" t="s">
        <v>797</v>
      </c>
      <c r="H45" s="48" t="s">
        <v>607</v>
      </c>
      <c r="I45" s="46" t="s">
        <v>798</v>
      </c>
      <c r="M45" s="50">
        <v>408770</v>
      </c>
      <c r="N45" s="51">
        <v>736663</v>
      </c>
      <c r="O45" s="50" t="s">
        <v>799</v>
      </c>
      <c r="P45" s="65" t="s">
        <v>819</v>
      </c>
      <c r="Q45" s="46" t="s">
        <v>592</v>
      </c>
      <c r="R45" s="47" t="s">
        <v>820</v>
      </c>
      <c r="U45" s="46" t="s">
        <v>491</v>
      </c>
    </row>
    <row r="46" spans="1:21" ht="30" x14ac:dyDescent="0.25">
      <c r="A46" s="45">
        <v>42394</v>
      </c>
      <c r="B46" s="46" t="s">
        <v>378</v>
      </c>
      <c r="C46" s="45" t="s">
        <v>623</v>
      </c>
      <c r="D46" s="46" t="s">
        <v>800</v>
      </c>
      <c r="E46" s="46" t="s">
        <v>588</v>
      </c>
      <c r="F46" s="47" t="s">
        <v>801</v>
      </c>
      <c r="H46" s="48" t="s">
        <v>607</v>
      </c>
      <c r="I46" s="46" t="s">
        <v>802</v>
      </c>
      <c r="M46" s="50">
        <v>3237480</v>
      </c>
      <c r="N46" s="51">
        <v>3847480</v>
      </c>
      <c r="O46" s="50" t="s">
        <v>803</v>
      </c>
      <c r="P46" s="65" t="s">
        <v>805</v>
      </c>
      <c r="Q46" s="46" t="s">
        <v>592</v>
      </c>
      <c r="R46" s="47" t="s">
        <v>806</v>
      </c>
      <c r="S46" s="47" t="s">
        <v>915</v>
      </c>
      <c r="U46" s="46" t="s">
        <v>491</v>
      </c>
    </row>
    <row r="47" spans="1:21" ht="45" x14ac:dyDescent="0.25">
      <c r="A47" s="45">
        <v>42394</v>
      </c>
      <c r="B47" s="46" t="s">
        <v>643</v>
      </c>
      <c r="C47" s="45" t="s">
        <v>644</v>
      </c>
      <c r="D47" s="46" t="s">
        <v>645</v>
      </c>
      <c r="E47" s="46" t="s">
        <v>588</v>
      </c>
      <c r="F47" s="47" t="s">
        <v>808</v>
      </c>
      <c r="H47" s="48" t="s">
        <v>809</v>
      </c>
      <c r="I47" s="46" t="s">
        <v>810</v>
      </c>
      <c r="M47" s="50">
        <v>65000</v>
      </c>
      <c r="N47" s="51">
        <v>115000</v>
      </c>
      <c r="O47" s="50" t="s">
        <v>811</v>
      </c>
      <c r="P47" s="65" t="s">
        <v>812</v>
      </c>
      <c r="Q47" s="46" t="s">
        <v>592</v>
      </c>
      <c r="R47" s="47" t="s">
        <v>851</v>
      </c>
      <c r="U47" s="46" t="s">
        <v>491</v>
      </c>
    </row>
    <row r="48" spans="1:21" ht="30" x14ac:dyDescent="0.25">
      <c r="A48" s="45">
        <v>42394</v>
      </c>
      <c r="B48" s="46" t="s">
        <v>250</v>
      </c>
      <c r="D48" s="46" t="s">
        <v>813</v>
      </c>
      <c r="E48" s="46" t="s">
        <v>588</v>
      </c>
      <c r="F48" s="47" t="s">
        <v>814</v>
      </c>
      <c r="H48" s="48" t="s">
        <v>607</v>
      </c>
      <c r="I48" s="46" t="s">
        <v>815</v>
      </c>
      <c r="M48" s="50">
        <v>1000000</v>
      </c>
      <c r="N48" s="51">
        <v>1700000</v>
      </c>
      <c r="O48" s="50" t="s">
        <v>816</v>
      </c>
      <c r="P48" s="65" t="s">
        <v>817</v>
      </c>
      <c r="Q48" s="46" t="s">
        <v>29</v>
      </c>
      <c r="R48" s="47" t="s">
        <v>818</v>
      </c>
      <c r="U48" s="46" t="s">
        <v>491</v>
      </c>
    </row>
    <row r="49" spans="1:21" ht="120" x14ac:dyDescent="0.25">
      <c r="A49" s="45">
        <v>42395</v>
      </c>
      <c r="B49" s="46" t="s">
        <v>328</v>
      </c>
      <c r="C49" s="45" t="s">
        <v>603</v>
      </c>
      <c r="D49" s="46" t="s">
        <v>757</v>
      </c>
      <c r="E49" s="46" t="s">
        <v>821</v>
      </c>
      <c r="F49" s="47" t="s">
        <v>822</v>
      </c>
      <c r="H49" s="47" t="s">
        <v>627</v>
      </c>
      <c r="I49" s="46" t="s">
        <v>823</v>
      </c>
      <c r="O49" s="50" t="s">
        <v>825</v>
      </c>
      <c r="P49" s="65" t="s">
        <v>824</v>
      </c>
      <c r="Q49" s="46" t="s">
        <v>592</v>
      </c>
      <c r="U49" s="46" t="s">
        <v>491</v>
      </c>
    </row>
    <row r="50" spans="1:21" ht="60" x14ac:dyDescent="0.25">
      <c r="A50" s="45">
        <v>42395</v>
      </c>
      <c r="B50" s="46" t="s">
        <v>328</v>
      </c>
      <c r="C50" s="45" t="s">
        <v>603</v>
      </c>
      <c r="D50" s="46" t="s">
        <v>757</v>
      </c>
      <c r="E50" s="46" t="s">
        <v>588</v>
      </c>
      <c r="F50" s="47" t="s">
        <v>826</v>
      </c>
      <c r="H50" s="47" t="s">
        <v>722</v>
      </c>
      <c r="I50" s="46" t="s">
        <v>827</v>
      </c>
      <c r="M50" s="50">
        <v>1056364</v>
      </c>
      <c r="N50" s="51">
        <v>1683113</v>
      </c>
      <c r="O50" s="50" t="s">
        <v>695</v>
      </c>
      <c r="P50" s="65" t="s">
        <v>828</v>
      </c>
      <c r="Q50" s="46" t="s">
        <v>592</v>
      </c>
      <c r="R50" s="47" t="s">
        <v>863</v>
      </c>
      <c r="U50" s="46" t="s">
        <v>491</v>
      </c>
    </row>
    <row r="51" spans="1:21" x14ac:dyDescent="0.25">
      <c r="A51" s="45">
        <v>42396</v>
      </c>
      <c r="B51" s="46" t="s">
        <v>378</v>
      </c>
      <c r="C51" s="45" t="s">
        <v>623</v>
      </c>
      <c r="D51" s="46" t="s">
        <v>624</v>
      </c>
      <c r="E51" s="46" t="s">
        <v>588</v>
      </c>
      <c r="F51" s="47" t="s">
        <v>829</v>
      </c>
      <c r="H51" s="48" t="s">
        <v>722</v>
      </c>
      <c r="I51" s="46" t="s">
        <v>830</v>
      </c>
      <c r="M51" s="50">
        <v>3078360</v>
      </c>
      <c r="N51" s="51">
        <v>3879660</v>
      </c>
      <c r="O51" s="50" t="s">
        <v>831</v>
      </c>
      <c r="P51" s="65" t="s">
        <v>832</v>
      </c>
      <c r="Q51" s="46" t="s">
        <v>592</v>
      </c>
      <c r="R51" s="47" t="s">
        <v>898</v>
      </c>
      <c r="U51" s="46" t="s">
        <v>491</v>
      </c>
    </row>
    <row r="52" spans="1:21" ht="45" x14ac:dyDescent="0.25">
      <c r="A52" s="45">
        <v>42396</v>
      </c>
      <c r="B52" s="46" t="s">
        <v>110</v>
      </c>
      <c r="C52" s="45" t="s">
        <v>833</v>
      </c>
      <c r="D52" s="46" t="s">
        <v>715</v>
      </c>
      <c r="E52" s="46" t="s">
        <v>588</v>
      </c>
      <c r="F52" s="47" t="s">
        <v>834</v>
      </c>
      <c r="H52" s="48" t="s">
        <v>607</v>
      </c>
      <c r="I52" s="46" t="s">
        <v>835</v>
      </c>
      <c r="M52" s="50">
        <v>150000</v>
      </c>
      <c r="N52" s="51">
        <v>250000</v>
      </c>
      <c r="O52" s="50" t="s">
        <v>764</v>
      </c>
      <c r="P52" s="65" t="s">
        <v>836</v>
      </c>
      <c r="Q52" s="46" t="s">
        <v>592</v>
      </c>
      <c r="R52" s="47" t="s">
        <v>837</v>
      </c>
      <c r="U52" s="46" t="s">
        <v>491</v>
      </c>
    </row>
    <row r="53" spans="1:21" ht="30" x14ac:dyDescent="0.25">
      <c r="A53" s="45">
        <v>42396</v>
      </c>
      <c r="B53" s="46" t="s">
        <v>110</v>
      </c>
      <c r="D53" s="46" t="s">
        <v>715</v>
      </c>
      <c r="E53" s="46" t="s">
        <v>588</v>
      </c>
      <c r="F53" s="47" t="s">
        <v>838</v>
      </c>
      <c r="H53" s="48" t="s">
        <v>607</v>
      </c>
      <c r="I53" s="46" t="s">
        <v>839</v>
      </c>
      <c r="M53" s="50">
        <v>225000</v>
      </c>
      <c r="N53" s="51">
        <v>382500</v>
      </c>
      <c r="O53" s="50" t="s">
        <v>840</v>
      </c>
      <c r="P53" s="65" t="s">
        <v>841</v>
      </c>
      <c r="Q53" s="46" t="s">
        <v>592</v>
      </c>
      <c r="U53" s="46" t="s">
        <v>491</v>
      </c>
    </row>
    <row r="54" spans="1:21" ht="45" x14ac:dyDescent="0.25">
      <c r="A54" s="45">
        <v>42396</v>
      </c>
      <c r="B54" s="46" t="s">
        <v>378</v>
      </c>
      <c r="C54" s="45" t="s">
        <v>623</v>
      </c>
      <c r="D54" s="46" t="s">
        <v>625</v>
      </c>
      <c r="E54" s="46" t="s">
        <v>588</v>
      </c>
      <c r="F54" s="47" t="s">
        <v>842</v>
      </c>
      <c r="H54" s="48" t="s">
        <v>843</v>
      </c>
      <c r="I54" s="46" t="s">
        <v>844</v>
      </c>
      <c r="M54" s="50">
        <v>3440000</v>
      </c>
      <c r="N54" s="51">
        <v>4220000</v>
      </c>
      <c r="O54" s="50" t="s">
        <v>845</v>
      </c>
      <c r="P54" s="65" t="s">
        <v>846</v>
      </c>
      <c r="Q54" s="46" t="s">
        <v>620</v>
      </c>
      <c r="R54" s="47" t="s">
        <v>847</v>
      </c>
      <c r="U54" s="46" t="s">
        <v>491</v>
      </c>
    </row>
    <row r="55" spans="1:21" ht="75" x14ac:dyDescent="0.25">
      <c r="A55" s="45">
        <v>42397</v>
      </c>
      <c r="B55" s="46" t="s">
        <v>643</v>
      </c>
      <c r="C55" s="45" t="s">
        <v>644</v>
      </c>
      <c r="D55" s="46" t="s">
        <v>645</v>
      </c>
      <c r="E55" s="46" t="s">
        <v>588</v>
      </c>
      <c r="F55" s="47" t="s">
        <v>849</v>
      </c>
      <c r="H55" s="48" t="s">
        <v>809</v>
      </c>
      <c r="I55" s="46" t="s">
        <v>850</v>
      </c>
      <c r="M55" s="50">
        <v>150000</v>
      </c>
      <c r="N55" s="51">
        <v>250000</v>
      </c>
      <c r="O55" s="50" t="s">
        <v>811</v>
      </c>
      <c r="P55" s="65" t="s">
        <v>854</v>
      </c>
      <c r="Q55" s="46" t="s">
        <v>592</v>
      </c>
      <c r="R55" s="47" t="s">
        <v>865</v>
      </c>
      <c r="U55" s="46" t="s">
        <v>491</v>
      </c>
    </row>
    <row r="56" spans="1:21" ht="45" x14ac:dyDescent="0.25">
      <c r="A56" s="45">
        <v>42397</v>
      </c>
      <c r="B56" s="46" t="s">
        <v>378</v>
      </c>
      <c r="C56" s="45" t="s">
        <v>623</v>
      </c>
      <c r="D56" s="46" t="s">
        <v>624</v>
      </c>
      <c r="E56" s="46" t="s">
        <v>588</v>
      </c>
      <c r="F56" s="47" t="s">
        <v>857</v>
      </c>
      <c r="H56" s="48" t="s">
        <v>722</v>
      </c>
      <c r="I56" s="46" t="s">
        <v>858</v>
      </c>
      <c r="M56" s="50">
        <v>966300</v>
      </c>
      <c r="N56" s="51">
        <v>1216300</v>
      </c>
      <c r="O56" s="50" t="s">
        <v>859</v>
      </c>
      <c r="P56" s="65" t="s">
        <v>872</v>
      </c>
      <c r="Q56" s="46" t="s">
        <v>29</v>
      </c>
      <c r="R56" s="47" t="s">
        <v>873</v>
      </c>
      <c r="U56" s="46" t="s">
        <v>491</v>
      </c>
    </row>
    <row r="57" spans="1:21" ht="75" x14ac:dyDescent="0.25">
      <c r="A57" s="45">
        <v>42397</v>
      </c>
      <c r="B57" s="46" t="s">
        <v>328</v>
      </c>
      <c r="C57" s="45" t="s">
        <v>603</v>
      </c>
      <c r="D57" s="46" t="s">
        <v>649</v>
      </c>
      <c r="E57" s="46" t="s">
        <v>588</v>
      </c>
      <c r="F57" s="47" t="s">
        <v>852</v>
      </c>
      <c r="H57" s="47" t="s">
        <v>627</v>
      </c>
      <c r="I57" s="46" t="s">
        <v>830</v>
      </c>
      <c r="M57" s="50">
        <v>1200000</v>
      </c>
      <c r="N57" s="51">
        <v>1345000</v>
      </c>
      <c r="O57" s="50" t="s">
        <v>853</v>
      </c>
      <c r="P57" s="65" t="s">
        <v>855</v>
      </c>
      <c r="Q57" s="46" t="s">
        <v>592</v>
      </c>
      <c r="R57" s="47" t="s">
        <v>856</v>
      </c>
      <c r="U57" s="46" t="s">
        <v>491</v>
      </c>
    </row>
    <row r="58" spans="1:21" ht="30" x14ac:dyDescent="0.25">
      <c r="A58" s="45">
        <v>42398</v>
      </c>
      <c r="B58" s="46" t="s">
        <v>328</v>
      </c>
      <c r="C58" s="45" t="s">
        <v>603</v>
      </c>
      <c r="D58" s="46" t="s">
        <v>757</v>
      </c>
      <c r="E58" s="46" t="s">
        <v>821</v>
      </c>
      <c r="F58" s="47" t="s">
        <v>543</v>
      </c>
      <c r="H58" s="47" t="s">
        <v>866</v>
      </c>
      <c r="I58" s="46" t="s">
        <v>867</v>
      </c>
      <c r="M58" s="50">
        <v>104000</v>
      </c>
      <c r="N58" s="51">
        <v>114000</v>
      </c>
      <c r="O58" s="50" t="s">
        <v>868</v>
      </c>
      <c r="P58" s="65" t="s">
        <v>869</v>
      </c>
      <c r="Q58" s="46" t="s">
        <v>592</v>
      </c>
      <c r="R58" s="47" t="s">
        <v>870</v>
      </c>
      <c r="S58" s="47" t="s">
        <v>871</v>
      </c>
      <c r="U58" s="46" t="s">
        <v>491</v>
      </c>
    </row>
    <row r="59" spans="1:21" ht="45" x14ac:dyDescent="0.25">
      <c r="A59" s="45">
        <v>42398</v>
      </c>
      <c r="B59" s="46" t="s">
        <v>328</v>
      </c>
      <c r="C59" s="45" t="s">
        <v>603</v>
      </c>
      <c r="D59" s="46" t="s">
        <v>587</v>
      </c>
      <c r="E59" s="46" t="s">
        <v>588</v>
      </c>
      <c r="F59" s="47" t="s">
        <v>874</v>
      </c>
      <c r="H59" s="47" t="s">
        <v>651</v>
      </c>
      <c r="I59" s="46" t="s">
        <v>875</v>
      </c>
      <c r="M59" s="50">
        <v>2000000</v>
      </c>
      <c r="N59" s="51">
        <v>3900000</v>
      </c>
      <c r="O59" s="50" t="s">
        <v>876</v>
      </c>
      <c r="P59" s="65" t="s">
        <v>877</v>
      </c>
      <c r="Q59" s="46" t="s">
        <v>592</v>
      </c>
      <c r="R59" s="47" t="s">
        <v>923</v>
      </c>
      <c r="U59" s="46" t="s">
        <v>491</v>
      </c>
    </row>
    <row r="60" spans="1:21" ht="45" x14ac:dyDescent="0.25">
      <c r="A60" s="45">
        <v>42401</v>
      </c>
      <c r="B60" s="46" t="s">
        <v>378</v>
      </c>
      <c r="C60" s="45" t="s">
        <v>610</v>
      </c>
      <c r="D60" s="46" t="s">
        <v>611</v>
      </c>
      <c r="E60" s="46" t="s">
        <v>588</v>
      </c>
      <c r="F60" s="47" t="s">
        <v>882</v>
      </c>
      <c r="H60" s="48" t="s">
        <v>607</v>
      </c>
      <c r="I60" s="46" t="s">
        <v>883</v>
      </c>
      <c r="M60" s="50">
        <v>2400000</v>
      </c>
      <c r="N60" s="51">
        <v>4800000</v>
      </c>
      <c r="O60" s="50" t="s">
        <v>831</v>
      </c>
      <c r="P60" s="65" t="s">
        <v>884</v>
      </c>
      <c r="Q60" s="46" t="s">
        <v>592</v>
      </c>
      <c r="U60" s="46" t="s">
        <v>491</v>
      </c>
    </row>
    <row r="61" spans="1:21" ht="45" x14ac:dyDescent="0.25">
      <c r="A61" s="45">
        <v>42401</v>
      </c>
      <c r="B61" s="46" t="s">
        <v>378</v>
      </c>
      <c r="C61" s="45" t="s">
        <v>610</v>
      </c>
      <c r="D61" s="46" t="s">
        <v>611</v>
      </c>
      <c r="E61" s="46" t="s">
        <v>588</v>
      </c>
      <c r="F61" s="47" t="s">
        <v>885</v>
      </c>
      <c r="H61" s="48" t="s">
        <v>886</v>
      </c>
      <c r="I61" s="46" t="s">
        <v>887</v>
      </c>
      <c r="M61" s="50">
        <v>3000000</v>
      </c>
      <c r="N61" s="51">
        <v>3300000</v>
      </c>
      <c r="O61" s="50" t="s">
        <v>831</v>
      </c>
      <c r="P61" s="65" t="s">
        <v>888</v>
      </c>
      <c r="Q61" s="46" t="s">
        <v>620</v>
      </c>
      <c r="R61" s="47" t="s">
        <v>889</v>
      </c>
      <c r="U61" s="46" t="s">
        <v>491</v>
      </c>
    </row>
    <row r="62" spans="1:21" x14ac:dyDescent="0.25">
      <c r="A62" s="45">
        <v>42401</v>
      </c>
      <c r="B62" s="46" t="s">
        <v>378</v>
      </c>
      <c r="C62" s="45" t="s">
        <v>623</v>
      </c>
      <c r="D62" s="46" t="s">
        <v>930</v>
      </c>
      <c r="E62" s="46" t="s">
        <v>588</v>
      </c>
      <c r="F62" s="47" t="s">
        <v>942</v>
      </c>
      <c r="H62" s="48" t="s">
        <v>607</v>
      </c>
      <c r="I62" s="46" t="s">
        <v>943</v>
      </c>
      <c r="M62" s="50">
        <v>2038000</v>
      </c>
      <c r="N62" s="51">
        <v>3557000</v>
      </c>
      <c r="O62" s="50" t="s">
        <v>891</v>
      </c>
      <c r="P62" s="65" t="s">
        <v>944</v>
      </c>
      <c r="Q62" s="46" t="s">
        <v>592</v>
      </c>
      <c r="R62" s="47" t="s">
        <v>945</v>
      </c>
      <c r="U62" s="46" t="s">
        <v>289</v>
      </c>
    </row>
    <row r="63" spans="1:21" ht="30" x14ac:dyDescent="0.25">
      <c r="A63" s="45">
        <v>42401</v>
      </c>
      <c r="B63" s="46" t="s">
        <v>328</v>
      </c>
      <c r="C63" s="45" t="s">
        <v>603</v>
      </c>
      <c r="D63" s="46" t="s">
        <v>757</v>
      </c>
      <c r="E63" s="46" t="s">
        <v>588</v>
      </c>
      <c r="F63" s="47" t="s">
        <v>878</v>
      </c>
      <c r="H63" s="47" t="s">
        <v>607</v>
      </c>
      <c r="I63" s="46" t="s">
        <v>879</v>
      </c>
      <c r="M63" s="50">
        <v>1500000</v>
      </c>
      <c r="N63" s="51">
        <v>2750000</v>
      </c>
      <c r="O63" s="50" t="s">
        <v>880</v>
      </c>
      <c r="P63" s="65" t="s">
        <v>881</v>
      </c>
      <c r="Q63" s="46" t="s">
        <v>592</v>
      </c>
      <c r="R63" s="47" t="s">
        <v>924</v>
      </c>
      <c r="U63" s="46" t="s">
        <v>491</v>
      </c>
    </row>
    <row r="64" spans="1:21" ht="30" x14ac:dyDescent="0.25">
      <c r="A64" s="45">
        <v>42401</v>
      </c>
      <c r="B64" s="46" t="s">
        <v>328</v>
      </c>
      <c r="C64" s="45" t="s">
        <v>603</v>
      </c>
      <c r="D64" s="46" t="s">
        <v>587</v>
      </c>
      <c r="E64" s="46" t="s">
        <v>588</v>
      </c>
      <c r="F64" s="47" t="s">
        <v>890</v>
      </c>
      <c r="H64" s="47" t="s">
        <v>607</v>
      </c>
      <c r="I64" s="46" t="s">
        <v>789</v>
      </c>
      <c r="M64" s="50">
        <v>2200000</v>
      </c>
      <c r="N64" s="51">
        <v>4830000</v>
      </c>
      <c r="O64" s="50" t="s">
        <v>891</v>
      </c>
      <c r="P64" s="65" t="s">
        <v>892</v>
      </c>
      <c r="Q64" s="46" t="s">
        <v>592</v>
      </c>
      <c r="R64" s="47" t="s">
        <v>893</v>
      </c>
      <c r="U64" s="46" t="s">
        <v>491</v>
      </c>
    </row>
    <row r="65" spans="1:21" ht="30" x14ac:dyDescent="0.25">
      <c r="A65" s="45">
        <v>42402</v>
      </c>
      <c r="B65" s="46" t="s">
        <v>110</v>
      </c>
      <c r="D65" s="46" t="s">
        <v>715</v>
      </c>
      <c r="E65" s="46" t="s">
        <v>588</v>
      </c>
      <c r="F65" s="47" t="s">
        <v>894</v>
      </c>
      <c r="H65" s="48" t="s">
        <v>607</v>
      </c>
      <c r="I65" s="46" t="s">
        <v>895</v>
      </c>
      <c r="M65" s="50">
        <v>311000</v>
      </c>
      <c r="N65" s="51">
        <v>528700</v>
      </c>
      <c r="O65" s="50" t="s">
        <v>840</v>
      </c>
      <c r="P65" s="65" t="s">
        <v>896</v>
      </c>
      <c r="Q65" s="46" t="s">
        <v>592</v>
      </c>
      <c r="R65" s="47" t="s">
        <v>897</v>
      </c>
      <c r="U65" s="46" t="s">
        <v>289</v>
      </c>
    </row>
    <row r="66" spans="1:21" x14ac:dyDescent="0.25">
      <c r="A66" s="45">
        <v>42402</v>
      </c>
      <c r="B66" s="46" t="s">
        <v>328</v>
      </c>
      <c r="C66" s="45" t="s">
        <v>603</v>
      </c>
      <c r="D66" s="46" t="s">
        <v>649</v>
      </c>
      <c r="E66" s="46" t="s">
        <v>588</v>
      </c>
      <c r="F66" s="47" t="s">
        <v>904</v>
      </c>
      <c r="H66" s="47" t="s">
        <v>905</v>
      </c>
      <c r="I66" s="46" t="s">
        <v>906</v>
      </c>
      <c r="M66" s="50">
        <v>730000</v>
      </c>
      <c r="N66" s="51">
        <v>1314000</v>
      </c>
      <c r="O66" s="50" t="s">
        <v>907</v>
      </c>
      <c r="P66" s="65" t="s">
        <v>908</v>
      </c>
      <c r="Q66" s="46" t="s">
        <v>29</v>
      </c>
      <c r="R66" s="47" t="s">
        <v>909</v>
      </c>
      <c r="U66" s="46" t="s">
        <v>289</v>
      </c>
    </row>
    <row r="67" spans="1:21" x14ac:dyDescent="0.25">
      <c r="A67" s="45">
        <v>42403</v>
      </c>
      <c r="B67" s="46" t="s">
        <v>378</v>
      </c>
      <c r="C67" s="45" t="s">
        <v>899</v>
      </c>
      <c r="D67" s="46" t="s">
        <v>611</v>
      </c>
      <c r="E67" s="46" t="s">
        <v>588</v>
      </c>
      <c r="F67" s="47" t="s">
        <v>900</v>
      </c>
      <c r="H67" s="48" t="s">
        <v>607</v>
      </c>
      <c r="I67" s="46" t="s">
        <v>706</v>
      </c>
      <c r="M67" s="50">
        <v>900000</v>
      </c>
      <c r="N67" s="51">
        <v>1870000</v>
      </c>
      <c r="O67" s="50" t="s">
        <v>901</v>
      </c>
      <c r="P67" s="65" t="s">
        <v>902</v>
      </c>
      <c r="Q67" s="46" t="s">
        <v>620</v>
      </c>
      <c r="R67" s="47" t="s">
        <v>903</v>
      </c>
      <c r="U67" s="46" t="s">
        <v>491</v>
      </c>
    </row>
    <row r="68" spans="1:21" ht="45" x14ac:dyDescent="0.25">
      <c r="A68" s="45">
        <v>42403</v>
      </c>
      <c r="B68" s="46" t="s">
        <v>378</v>
      </c>
      <c r="C68" s="45" t="s">
        <v>610</v>
      </c>
      <c r="D68" s="46" t="s">
        <v>611</v>
      </c>
      <c r="E68" s="46" t="s">
        <v>588</v>
      </c>
      <c r="F68" s="47" t="s">
        <v>920</v>
      </c>
      <c r="H68" s="48" t="s">
        <v>607</v>
      </c>
      <c r="I68" s="46" t="s">
        <v>921</v>
      </c>
      <c r="M68" s="50">
        <v>3000000</v>
      </c>
      <c r="N68" s="51">
        <v>4350000</v>
      </c>
      <c r="O68" s="50" t="s">
        <v>764</v>
      </c>
      <c r="P68" s="65" t="s">
        <v>922</v>
      </c>
      <c r="Q68" s="46" t="s">
        <v>592</v>
      </c>
      <c r="R68" s="47" t="s">
        <v>925</v>
      </c>
      <c r="U68" s="46" t="s">
        <v>491</v>
      </c>
    </row>
    <row r="69" spans="1:21" ht="45" x14ac:dyDescent="0.25">
      <c r="A69" s="45">
        <v>42403</v>
      </c>
      <c r="B69" s="46" t="s">
        <v>328</v>
      </c>
      <c r="C69" s="45" t="s">
        <v>603</v>
      </c>
      <c r="D69" s="46" t="s">
        <v>757</v>
      </c>
      <c r="E69" s="46" t="s">
        <v>588</v>
      </c>
      <c r="F69" s="47" t="s">
        <v>916</v>
      </c>
      <c r="H69" s="47" t="s">
        <v>722</v>
      </c>
      <c r="I69" s="46" t="s">
        <v>917</v>
      </c>
      <c r="M69" s="50">
        <v>1500000</v>
      </c>
      <c r="N69" s="51">
        <v>1600000</v>
      </c>
      <c r="O69" s="50" t="s">
        <v>907</v>
      </c>
      <c r="P69" s="65" t="s">
        <v>918</v>
      </c>
      <c r="Q69" s="46" t="s">
        <v>592</v>
      </c>
      <c r="R69" s="47" t="s">
        <v>919</v>
      </c>
      <c r="U69" s="46" t="s">
        <v>491</v>
      </c>
    </row>
    <row r="70" spans="1:21" ht="30" x14ac:dyDescent="0.25">
      <c r="A70" s="45">
        <v>42403</v>
      </c>
      <c r="B70" s="46" t="s">
        <v>328</v>
      </c>
      <c r="C70" s="45" t="s">
        <v>603</v>
      </c>
      <c r="D70" s="46" t="s">
        <v>672</v>
      </c>
      <c r="E70" s="46" t="s">
        <v>588</v>
      </c>
      <c r="F70" s="47" t="s">
        <v>910</v>
      </c>
      <c r="H70" s="47" t="s">
        <v>911</v>
      </c>
      <c r="I70" s="46" t="s">
        <v>912</v>
      </c>
      <c r="M70" s="50">
        <v>553669</v>
      </c>
      <c r="N70" s="51">
        <v>941236</v>
      </c>
      <c r="O70" s="50" t="s">
        <v>913</v>
      </c>
      <c r="P70" s="65" t="s">
        <v>914</v>
      </c>
      <c r="Q70" s="46" t="s">
        <v>592</v>
      </c>
      <c r="U70" s="46" t="s">
        <v>491</v>
      </c>
    </row>
    <row r="71" spans="1:21" x14ac:dyDescent="0.25">
      <c r="A71" s="45">
        <v>42404</v>
      </c>
      <c r="B71" s="46" t="s">
        <v>378</v>
      </c>
      <c r="C71" s="45" t="s">
        <v>623</v>
      </c>
      <c r="D71" s="46" t="s">
        <v>625</v>
      </c>
      <c r="E71" s="46" t="s">
        <v>588</v>
      </c>
      <c r="F71" s="47" t="s">
        <v>926</v>
      </c>
      <c r="H71" s="48" t="s">
        <v>886</v>
      </c>
      <c r="I71" s="46" t="s">
        <v>927</v>
      </c>
      <c r="M71" s="50">
        <v>2764000</v>
      </c>
      <c r="N71" s="51">
        <v>3040400</v>
      </c>
      <c r="O71" s="50" t="s">
        <v>560</v>
      </c>
      <c r="P71" s="65" t="s">
        <v>928</v>
      </c>
      <c r="Q71" s="46" t="s">
        <v>592</v>
      </c>
      <c r="R71" s="47" t="s">
        <v>929</v>
      </c>
      <c r="U71" s="46" t="s">
        <v>491</v>
      </c>
    </row>
    <row r="72" spans="1:21" ht="45" x14ac:dyDescent="0.25">
      <c r="A72" s="45">
        <v>42404</v>
      </c>
      <c r="B72" s="46" t="s">
        <v>378</v>
      </c>
      <c r="C72" s="45" t="s">
        <v>623</v>
      </c>
      <c r="D72" s="46" t="s">
        <v>930</v>
      </c>
      <c r="E72" s="46" t="s">
        <v>588</v>
      </c>
      <c r="F72" s="47" t="s">
        <v>931</v>
      </c>
      <c r="H72" s="48" t="s">
        <v>607</v>
      </c>
      <c r="I72" s="46" t="s">
        <v>899</v>
      </c>
      <c r="O72" s="50" t="s">
        <v>754</v>
      </c>
      <c r="P72" s="65" t="s">
        <v>932</v>
      </c>
      <c r="Q72" s="46" t="s">
        <v>29</v>
      </c>
      <c r="R72" s="47" t="s">
        <v>933</v>
      </c>
      <c r="U72" s="46" t="s">
        <v>491</v>
      </c>
    </row>
    <row r="73" spans="1:21" ht="60" x14ac:dyDescent="0.25">
      <c r="A73" s="45">
        <v>42404</v>
      </c>
      <c r="B73" s="46" t="s">
        <v>328</v>
      </c>
      <c r="C73" s="45" t="s">
        <v>603</v>
      </c>
      <c r="D73" s="46" t="s">
        <v>649</v>
      </c>
      <c r="E73" s="46" t="s">
        <v>588</v>
      </c>
      <c r="F73" s="47" t="s">
        <v>934</v>
      </c>
      <c r="H73" s="47" t="s">
        <v>905</v>
      </c>
      <c r="I73" s="46" t="s">
        <v>935</v>
      </c>
      <c r="M73" s="50">
        <v>140034</v>
      </c>
      <c r="N73" s="51">
        <v>153101</v>
      </c>
      <c r="O73" s="50" t="s">
        <v>936</v>
      </c>
      <c r="P73" s="65" t="s">
        <v>937</v>
      </c>
      <c r="Q73" s="46" t="s">
        <v>592</v>
      </c>
      <c r="R73" s="47" t="s">
        <v>938</v>
      </c>
      <c r="U73" s="46" t="s">
        <v>491</v>
      </c>
    </row>
    <row r="74" spans="1:21" ht="45" x14ac:dyDescent="0.25">
      <c r="A74" s="45">
        <v>42405</v>
      </c>
      <c r="B74" s="46" t="s">
        <v>328</v>
      </c>
      <c r="C74" s="45" t="s">
        <v>603</v>
      </c>
      <c r="D74" s="46" t="s">
        <v>757</v>
      </c>
      <c r="E74" s="46" t="s">
        <v>588</v>
      </c>
      <c r="F74" s="47" t="s">
        <v>939</v>
      </c>
      <c r="H74" s="47" t="s">
        <v>597</v>
      </c>
      <c r="I74" s="46" t="s">
        <v>940</v>
      </c>
      <c r="M74" s="50">
        <v>29000</v>
      </c>
      <c r="N74" s="51">
        <v>45000</v>
      </c>
      <c r="O74" s="50" t="s">
        <v>764</v>
      </c>
      <c r="P74" s="65" t="s">
        <v>1189</v>
      </c>
      <c r="Q74" s="46" t="s">
        <v>592</v>
      </c>
      <c r="R74" s="47" t="s">
        <v>941</v>
      </c>
      <c r="U74" s="46" t="s">
        <v>491</v>
      </c>
    </row>
    <row r="75" spans="1:21" ht="45" x14ac:dyDescent="0.25">
      <c r="A75" s="45">
        <v>42408</v>
      </c>
      <c r="B75" s="46" t="s">
        <v>328</v>
      </c>
      <c r="C75" s="45" t="s">
        <v>603</v>
      </c>
      <c r="D75" s="46" t="s">
        <v>587</v>
      </c>
      <c r="E75" s="46" t="s">
        <v>588</v>
      </c>
      <c r="F75" s="47" t="s">
        <v>949</v>
      </c>
      <c r="H75" s="47" t="s">
        <v>607</v>
      </c>
      <c r="I75" s="46" t="s">
        <v>781</v>
      </c>
      <c r="M75" s="50">
        <v>247000</v>
      </c>
      <c r="N75" s="51">
        <v>469300</v>
      </c>
      <c r="O75" s="50" t="s">
        <v>950</v>
      </c>
      <c r="P75" s="65" t="s">
        <v>951</v>
      </c>
      <c r="Q75" s="46" t="s">
        <v>592</v>
      </c>
      <c r="R75" s="47" t="s">
        <v>1190</v>
      </c>
      <c r="U75" s="46" t="s">
        <v>491</v>
      </c>
    </row>
    <row r="76" spans="1:21" ht="30" x14ac:dyDescent="0.25">
      <c r="A76" s="45">
        <v>42408</v>
      </c>
      <c r="B76" s="46" t="s">
        <v>250</v>
      </c>
      <c r="D76" s="46" t="s">
        <v>813</v>
      </c>
      <c r="E76" s="46" t="s">
        <v>588</v>
      </c>
      <c r="F76" s="47" t="s">
        <v>952</v>
      </c>
      <c r="H76" s="48" t="s">
        <v>607</v>
      </c>
      <c r="I76" s="46" t="s">
        <v>953</v>
      </c>
      <c r="M76" s="50">
        <v>1056000</v>
      </c>
      <c r="N76" s="51">
        <v>1749600</v>
      </c>
      <c r="O76" s="50" t="s">
        <v>954</v>
      </c>
      <c r="P76" s="65" t="s">
        <v>955</v>
      </c>
      <c r="Q76" s="46" t="s">
        <v>592</v>
      </c>
      <c r="R76" s="47" t="s">
        <v>958</v>
      </c>
      <c r="U76" s="46" t="s">
        <v>491</v>
      </c>
    </row>
    <row r="77" spans="1:21" ht="60" x14ac:dyDescent="0.25">
      <c r="A77" s="45">
        <v>42408</v>
      </c>
      <c r="B77" s="46" t="s">
        <v>328</v>
      </c>
      <c r="C77" s="45" t="s">
        <v>603</v>
      </c>
      <c r="D77" s="46" t="s">
        <v>649</v>
      </c>
      <c r="E77" s="46" t="s">
        <v>588</v>
      </c>
      <c r="F77" s="47" t="s">
        <v>946</v>
      </c>
      <c r="H77" s="47" t="s">
        <v>905</v>
      </c>
      <c r="I77" s="46" t="s">
        <v>956</v>
      </c>
      <c r="M77" s="50">
        <v>127000</v>
      </c>
      <c r="N77" s="51">
        <v>158750</v>
      </c>
      <c r="O77" s="50" t="s">
        <v>947</v>
      </c>
      <c r="P77" s="65" t="s">
        <v>948</v>
      </c>
      <c r="Q77" s="46" t="s">
        <v>592</v>
      </c>
      <c r="R77" s="47" t="s">
        <v>957</v>
      </c>
      <c r="U77" s="46" t="s">
        <v>491</v>
      </c>
    </row>
    <row r="78" spans="1:21" ht="45" x14ac:dyDescent="0.25">
      <c r="A78" s="45">
        <v>42410</v>
      </c>
      <c r="B78" s="46" t="s">
        <v>594</v>
      </c>
      <c r="C78" s="45" t="s">
        <v>959</v>
      </c>
      <c r="D78" s="46" t="s">
        <v>732</v>
      </c>
      <c r="E78" s="46" t="s">
        <v>692</v>
      </c>
      <c r="H78" s="48" t="s">
        <v>960</v>
      </c>
      <c r="I78" s="46" t="s">
        <v>959</v>
      </c>
      <c r="O78" s="50" t="s">
        <v>960</v>
      </c>
      <c r="P78" s="65" t="s">
        <v>961</v>
      </c>
      <c r="Q78" s="46" t="s">
        <v>29</v>
      </c>
      <c r="R78" s="47" t="s">
        <v>962</v>
      </c>
      <c r="U78" s="46" t="s">
        <v>491</v>
      </c>
    </row>
    <row r="79" spans="1:21" ht="30" x14ac:dyDescent="0.25">
      <c r="A79" s="45">
        <v>42410</v>
      </c>
      <c r="B79" s="46" t="s">
        <v>250</v>
      </c>
      <c r="D79" s="46" t="s">
        <v>813</v>
      </c>
      <c r="E79" s="46" t="s">
        <v>588</v>
      </c>
      <c r="F79" s="47" t="s">
        <v>963</v>
      </c>
      <c r="H79" s="48" t="s">
        <v>607</v>
      </c>
      <c r="I79" s="46" t="s">
        <v>964</v>
      </c>
      <c r="M79" s="50">
        <v>1238000</v>
      </c>
      <c r="N79" s="51">
        <v>1709400</v>
      </c>
      <c r="O79" s="50" t="s">
        <v>965</v>
      </c>
      <c r="P79" s="65" t="s">
        <v>966</v>
      </c>
      <c r="Q79" s="46" t="s">
        <v>592</v>
      </c>
      <c r="U79" s="46" t="s">
        <v>491</v>
      </c>
    </row>
    <row r="80" spans="1:21" ht="60" x14ac:dyDescent="0.25">
      <c r="A80" s="45">
        <v>42411</v>
      </c>
      <c r="B80" s="46" t="s">
        <v>328</v>
      </c>
      <c r="C80" s="45" t="s">
        <v>603</v>
      </c>
      <c r="D80" s="46" t="s">
        <v>649</v>
      </c>
      <c r="E80" s="46" t="s">
        <v>692</v>
      </c>
      <c r="F80" s="47" t="s">
        <v>967</v>
      </c>
      <c r="H80" s="47" t="s">
        <v>607</v>
      </c>
      <c r="I80" s="46" t="s">
        <v>968</v>
      </c>
      <c r="M80" s="50">
        <v>1245454</v>
      </c>
      <c r="N80" s="51">
        <v>484392</v>
      </c>
      <c r="O80" s="50" t="s">
        <v>969</v>
      </c>
      <c r="P80" s="65" t="s">
        <v>970</v>
      </c>
      <c r="Q80" s="46" t="s">
        <v>29</v>
      </c>
      <c r="R80" s="47" t="s">
        <v>971</v>
      </c>
      <c r="U80" s="46" t="s">
        <v>491</v>
      </c>
    </row>
    <row r="81" spans="1:21" ht="45" x14ac:dyDescent="0.25">
      <c r="A81" s="45">
        <v>42411</v>
      </c>
      <c r="B81" s="46" t="s">
        <v>328</v>
      </c>
      <c r="C81" s="45" t="s">
        <v>603</v>
      </c>
      <c r="D81" s="46" t="s">
        <v>649</v>
      </c>
      <c r="E81" s="46" t="s">
        <v>588</v>
      </c>
      <c r="F81" s="47" t="s">
        <v>972</v>
      </c>
      <c r="H81" s="47" t="s">
        <v>607</v>
      </c>
      <c r="I81" s="46" t="s">
        <v>973</v>
      </c>
      <c r="M81" s="50">
        <v>1250000</v>
      </c>
      <c r="N81" s="51">
        <v>2250000</v>
      </c>
      <c r="O81" s="50" t="s">
        <v>974</v>
      </c>
      <c r="P81" s="65" t="s">
        <v>975</v>
      </c>
      <c r="Q81" s="46" t="s">
        <v>29</v>
      </c>
      <c r="R81" s="47" t="s">
        <v>976</v>
      </c>
      <c r="U81" s="46" t="s">
        <v>491</v>
      </c>
    </row>
    <row r="82" spans="1:21" ht="45" x14ac:dyDescent="0.25">
      <c r="A82" s="45">
        <v>42415</v>
      </c>
      <c r="B82" s="46" t="s">
        <v>594</v>
      </c>
      <c r="C82" s="45" t="s">
        <v>959</v>
      </c>
      <c r="D82" s="46" t="s">
        <v>732</v>
      </c>
      <c r="E82" s="46" t="s">
        <v>588</v>
      </c>
      <c r="F82" s="47" t="s">
        <v>977</v>
      </c>
      <c r="H82" s="48" t="s">
        <v>886</v>
      </c>
      <c r="I82" s="46" t="s">
        <v>978</v>
      </c>
      <c r="M82" s="50">
        <v>1000000</v>
      </c>
      <c r="N82" s="51">
        <v>1195000</v>
      </c>
      <c r="O82" s="50" t="s">
        <v>754</v>
      </c>
      <c r="P82" s="65" t="s">
        <v>979</v>
      </c>
      <c r="Q82" s="46" t="s">
        <v>592</v>
      </c>
      <c r="R82" s="47" t="s">
        <v>980</v>
      </c>
      <c r="U82" s="46" t="s">
        <v>491</v>
      </c>
    </row>
    <row r="83" spans="1:21" ht="30" x14ac:dyDescent="0.25">
      <c r="A83" s="45">
        <v>42415</v>
      </c>
      <c r="B83" s="46" t="s">
        <v>110</v>
      </c>
      <c r="C83" s="45" t="s">
        <v>761</v>
      </c>
      <c r="D83" s="46" t="s">
        <v>715</v>
      </c>
      <c r="E83" s="46" t="s">
        <v>588</v>
      </c>
      <c r="F83" s="47" t="s">
        <v>986</v>
      </c>
      <c r="H83" s="48" t="s">
        <v>607</v>
      </c>
      <c r="I83" s="46" t="s">
        <v>987</v>
      </c>
      <c r="M83" s="50">
        <v>220000</v>
      </c>
      <c r="N83" s="51">
        <v>374000</v>
      </c>
      <c r="O83" s="50" t="s">
        <v>840</v>
      </c>
      <c r="P83" s="65" t="s">
        <v>988</v>
      </c>
      <c r="Q83" s="46" t="s">
        <v>592</v>
      </c>
      <c r="U83" s="46" t="s">
        <v>491</v>
      </c>
    </row>
    <row r="84" spans="1:21" ht="45" x14ac:dyDescent="0.25">
      <c r="A84" s="45">
        <v>42415</v>
      </c>
      <c r="B84" s="46" t="s">
        <v>328</v>
      </c>
      <c r="C84" s="45" t="s">
        <v>899</v>
      </c>
      <c r="D84" s="46" t="s">
        <v>649</v>
      </c>
      <c r="E84" s="46" t="s">
        <v>588</v>
      </c>
      <c r="F84" s="47" t="s">
        <v>981</v>
      </c>
      <c r="H84" s="47" t="s">
        <v>607</v>
      </c>
      <c r="I84" s="46" t="s">
        <v>982</v>
      </c>
      <c r="M84" s="50">
        <v>330000</v>
      </c>
      <c r="N84" s="51">
        <v>561000</v>
      </c>
      <c r="O84" s="50" t="s">
        <v>983</v>
      </c>
      <c r="P84" s="65" t="s">
        <v>984</v>
      </c>
      <c r="Q84" s="46" t="s">
        <v>29</v>
      </c>
      <c r="R84" s="47" t="s">
        <v>985</v>
      </c>
      <c r="U84" s="46" t="s">
        <v>491</v>
      </c>
    </row>
    <row r="85" spans="1:21" ht="30" x14ac:dyDescent="0.25">
      <c r="A85" s="45">
        <v>42416</v>
      </c>
      <c r="B85" s="46" t="s">
        <v>643</v>
      </c>
      <c r="C85" s="45" t="s">
        <v>644</v>
      </c>
      <c r="D85" s="46" t="s">
        <v>645</v>
      </c>
      <c r="E85" s="46" t="s">
        <v>588</v>
      </c>
      <c r="F85" s="47" t="s">
        <v>989</v>
      </c>
      <c r="H85" s="48" t="s">
        <v>886</v>
      </c>
      <c r="I85" s="46" t="s">
        <v>990</v>
      </c>
      <c r="M85" s="50">
        <v>370000</v>
      </c>
      <c r="N85" s="51">
        <v>426000</v>
      </c>
      <c r="O85" s="50" t="s">
        <v>991</v>
      </c>
      <c r="P85" s="65" t="s">
        <v>992</v>
      </c>
      <c r="Q85" s="46" t="s">
        <v>29</v>
      </c>
      <c r="R85" s="47" t="s">
        <v>993</v>
      </c>
      <c r="U85" s="46" t="s">
        <v>491</v>
      </c>
    </row>
    <row r="86" spans="1:21" ht="75" x14ac:dyDescent="0.25">
      <c r="A86" s="45">
        <v>42416</v>
      </c>
      <c r="B86" s="46" t="s">
        <v>328</v>
      </c>
      <c r="C86" s="45" t="s">
        <v>603</v>
      </c>
      <c r="D86" s="46" t="s">
        <v>672</v>
      </c>
      <c r="E86" s="46" t="s">
        <v>588</v>
      </c>
      <c r="F86" s="47" t="s">
        <v>994</v>
      </c>
      <c r="H86" s="47" t="s">
        <v>607</v>
      </c>
      <c r="I86" s="46" t="s">
        <v>995</v>
      </c>
      <c r="M86" s="50">
        <v>300000</v>
      </c>
      <c r="N86" s="51">
        <v>540000</v>
      </c>
      <c r="O86" s="50" t="s">
        <v>996</v>
      </c>
      <c r="P86" s="65" t="s">
        <v>997</v>
      </c>
      <c r="Q86" s="46" t="s">
        <v>592</v>
      </c>
      <c r="R86" s="47" t="s">
        <v>1191</v>
      </c>
      <c r="U86" s="46" t="s">
        <v>491</v>
      </c>
    </row>
    <row r="87" spans="1:21" ht="60" x14ac:dyDescent="0.25">
      <c r="A87" s="45">
        <v>42416</v>
      </c>
      <c r="B87" s="46" t="s">
        <v>328</v>
      </c>
      <c r="C87" s="45" t="s">
        <v>603</v>
      </c>
      <c r="D87" s="46" t="s">
        <v>672</v>
      </c>
      <c r="E87" s="46" t="s">
        <v>588</v>
      </c>
      <c r="F87" s="47" t="s">
        <v>998</v>
      </c>
      <c r="H87" s="47" t="s">
        <v>607</v>
      </c>
      <c r="I87" s="46" t="s">
        <v>999</v>
      </c>
      <c r="M87" s="50">
        <v>240000</v>
      </c>
      <c r="N87" s="51">
        <v>473000</v>
      </c>
      <c r="O87" s="50" t="s">
        <v>1000</v>
      </c>
      <c r="P87" s="65" t="s">
        <v>1001</v>
      </c>
      <c r="Q87" s="46" t="s">
        <v>592</v>
      </c>
      <c r="R87" s="47" t="s">
        <v>1002</v>
      </c>
      <c r="U87" s="46" t="s">
        <v>491</v>
      </c>
    </row>
    <row r="88" spans="1:21" ht="45" x14ac:dyDescent="0.25">
      <c r="A88" s="45">
        <v>42417</v>
      </c>
      <c r="B88" s="46" t="s">
        <v>250</v>
      </c>
      <c r="D88" s="46" t="s">
        <v>1006</v>
      </c>
      <c r="E88" s="46" t="s">
        <v>588</v>
      </c>
      <c r="F88" s="47" t="s">
        <v>1007</v>
      </c>
      <c r="H88" s="48" t="s">
        <v>607</v>
      </c>
      <c r="I88" s="46" t="s">
        <v>1008</v>
      </c>
      <c r="M88" s="50">
        <v>1450000</v>
      </c>
      <c r="N88" s="51">
        <v>1880000</v>
      </c>
      <c r="O88" s="50" t="s">
        <v>1162</v>
      </c>
      <c r="P88" s="65" t="s">
        <v>1009</v>
      </c>
      <c r="Q88" s="46" t="s">
        <v>592</v>
      </c>
      <c r="R88" s="47" t="s">
        <v>1010</v>
      </c>
      <c r="S88" s="47" t="s">
        <v>1163</v>
      </c>
      <c r="U88" s="46" t="s">
        <v>491</v>
      </c>
    </row>
    <row r="89" spans="1:21" ht="45" x14ac:dyDescent="0.25">
      <c r="A89" s="45">
        <v>42417</v>
      </c>
      <c r="B89" s="46" t="s">
        <v>320</v>
      </c>
      <c r="D89" s="46" t="s">
        <v>1016</v>
      </c>
      <c r="E89" s="46" t="s">
        <v>588</v>
      </c>
      <c r="F89" s="47" t="s">
        <v>1017</v>
      </c>
      <c r="H89" s="48" t="s">
        <v>607</v>
      </c>
      <c r="I89" s="46" t="s">
        <v>1018</v>
      </c>
      <c r="M89" s="50">
        <v>400000</v>
      </c>
      <c r="N89" s="51">
        <v>510000</v>
      </c>
      <c r="O89" s="50" t="s">
        <v>1019</v>
      </c>
      <c r="P89" s="65" t="s">
        <v>1020</v>
      </c>
      <c r="Q89" s="46" t="s">
        <v>592</v>
      </c>
      <c r="R89" s="47" t="s">
        <v>1021</v>
      </c>
      <c r="U89" s="46" t="s">
        <v>491</v>
      </c>
    </row>
    <row r="90" spans="1:21" ht="90" x14ac:dyDescent="0.25">
      <c r="A90" s="45">
        <v>42417</v>
      </c>
      <c r="B90" s="46" t="s">
        <v>328</v>
      </c>
      <c r="C90" s="45" t="s">
        <v>603</v>
      </c>
      <c r="D90" s="46" t="s">
        <v>587</v>
      </c>
      <c r="E90" s="46" t="s">
        <v>588</v>
      </c>
      <c r="F90" s="47" t="s">
        <v>1003</v>
      </c>
      <c r="H90" s="47" t="s">
        <v>607</v>
      </c>
      <c r="I90" s="46" t="s">
        <v>1004</v>
      </c>
      <c r="M90" s="50">
        <v>240000</v>
      </c>
      <c r="N90" s="51">
        <v>722000</v>
      </c>
      <c r="O90" s="50" t="s">
        <v>754</v>
      </c>
      <c r="P90" s="65" t="s">
        <v>1088</v>
      </c>
      <c r="Q90" s="46" t="s">
        <v>592</v>
      </c>
      <c r="R90" s="47" t="s">
        <v>1005</v>
      </c>
      <c r="S90" s="47" t="s">
        <v>1089</v>
      </c>
      <c r="U90" s="46" t="s">
        <v>491</v>
      </c>
    </row>
    <row r="91" spans="1:21" ht="30" x14ac:dyDescent="0.25">
      <c r="A91" s="45">
        <v>42418</v>
      </c>
      <c r="B91" s="46" t="s">
        <v>328</v>
      </c>
      <c r="C91" s="45" t="s">
        <v>603</v>
      </c>
      <c r="D91" s="46" t="s">
        <v>649</v>
      </c>
      <c r="E91" s="46" t="s">
        <v>692</v>
      </c>
      <c r="F91" s="47" t="s">
        <v>1056</v>
      </c>
      <c r="H91" s="47" t="s">
        <v>1057</v>
      </c>
      <c r="I91" s="46" t="s">
        <v>1058</v>
      </c>
      <c r="M91" s="50">
        <v>98000</v>
      </c>
      <c r="N91" s="51">
        <v>192000</v>
      </c>
      <c r="O91" s="50" t="s">
        <v>1059</v>
      </c>
      <c r="P91" s="65" t="s">
        <v>1060</v>
      </c>
      <c r="Q91" s="46" t="s">
        <v>592</v>
      </c>
      <c r="R91" s="47" t="s">
        <v>1090</v>
      </c>
      <c r="U91" s="46" t="s">
        <v>491</v>
      </c>
    </row>
    <row r="92" spans="1:21" ht="90" x14ac:dyDescent="0.25">
      <c r="A92" s="45">
        <v>42418</v>
      </c>
      <c r="B92" s="46" t="s">
        <v>378</v>
      </c>
      <c r="C92" s="45" t="s">
        <v>623</v>
      </c>
      <c r="D92" s="46" t="s">
        <v>625</v>
      </c>
      <c r="E92" s="46" t="s">
        <v>588</v>
      </c>
      <c r="F92" s="47" t="s">
        <v>1011</v>
      </c>
      <c r="H92" s="48" t="s">
        <v>886</v>
      </c>
      <c r="I92" s="46" t="s">
        <v>1012</v>
      </c>
      <c r="M92" s="50">
        <v>315000</v>
      </c>
      <c r="N92" s="51">
        <v>567000</v>
      </c>
      <c r="O92" s="50" t="s">
        <v>1013</v>
      </c>
      <c r="P92" s="65" t="s">
        <v>1014</v>
      </c>
      <c r="Q92" s="46" t="s">
        <v>592</v>
      </c>
      <c r="R92" s="47" t="s">
        <v>1015</v>
      </c>
      <c r="U92" s="46" t="s">
        <v>491</v>
      </c>
    </row>
    <row r="93" spans="1:21" ht="30" x14ac:dyDescent="0.25">
      <c r="A93" s="45">
        <v>42418</v>
      </c>
      <c r="B93" s="46" t="s">
        <v>320</v>
      </c>
      <c r="D93" s="46" t="s">
        <v>1016</v>
      </c>
      <c r="E93" s="46" t="s">
        <v>588</v>
      </c>
      <c r="F93" s="47" t="s">
        <v>1022</v>
      </c>
      <c r="H93" s="48" t="s">
        <v>607</v>
      </c>
      <c r="I93" s="46" t="s">
        <v>1023</v>
      </c>
      <c r="M93" s="50">
        <v>125000</v>
      </c>
      <c r="N93" s="51">
        <v>175000</v>
      </c>
      <c r="O93" s="50" t="s">
        <v>1024</v>
      </c>
      <c r="P93" s="65" t="s">
        <v>1025</v>
      </c>
      <c r="Q93" s="46" t="s">
        <v>592</v>
      </c>
      <c r="R93" s="47" t="s">
        <v>1026</v>
      </c>
      <c r="U93" s="46" t="s">
        <v>491</v>
      </c>
    </row>
    <row r="94" spans="1:21" ht="60" x14ac:dyDescent="0.25">
      <c r="A94" s="45">
        <v>42418</v>
      </c>
      <c r="B94" s="46" t="s">
        <v>378</v>
      </c>
      <c r="C94" s="45" t="s">
        <v>610</v>
      </c>
      <c r="D94" s="46" t="s">
        <v>1027</v>
      </c>
      <c r="E94" s="46" t="s">
        <v>588</v>
      </c>
      <c r="F94" s="47" t="s">
        <v>1028</v>
      </c>
      <c r="H94" s="48" t="s">
        <v>722</v>
      </c>
      <c r="I94" s="46" t="s">
        <v>887</v>
      </c>
      <c r="M94" s="50">
        <v>2400000</v>
      </c>
      <c r="N94" s="51">
        <v>4320000</v>
      </c>
      <c r="O94" s="50" t="s">
        <v>560</v>
      </c>
      <c r="P94" s="65" t="s">
        <v>1029</v>
      </c>
      <c r="Q94" s="46" t="s">
        <v>592</v>
      </c>
      <c r="R94" s="47" t="s">
        <v>1030</v>
      </c>
      <c r="U94" s="46" t="s">
        <v>491</v>
      </c>
    </row>
    <row r="95" spans="1:21" ht="45" x14ac:dyDescent="0.25">
      <c r="A95" s="45">
        <v>42418</v>
      </c>
      <c r="B95" s="46" t="s">
        <v>320</v>
      </c>
      <c r="D95" s="46" t="s">
        <v>1016</v>
      </c>
      <c r="E95" s="46" t="s">
        <v>588</v>
      </c>
      <c r="F95" s="47" t="s">
        <v>1031</v>
      </c>
      <c r="H95" s="48" t="s">
        <v>607</v>
      </c>
      <c r="I95" s="46" t="s">
        <v>1032</v>
      </c>
      <c r="M95" s="50">
        <v>280000</v>
      </c>
      <c r="N95" s="51">
        <v>400000</v>
      </c>
      <c r="O95" s="50" t="s">
        <v>1033</v>
      </c>
      <c r="P95" s="65" t="s">
        <v>1034</v>
      </c>
      <c r="Q95" s="46" t="s">
        <v>592</v>
      </c>
      <c r="R95" s="47" t="s">
        <v>1039</v>
      </c>
      <c r="U95" s="46" t="s">
        <v>491</v>
      </c>
    </row>
    <row r="96" spans="1:21" ht="90" x14ac:dyDescent="0.25">
      <c r="A96" s="45">
        <v>42418</v>
      </c>
      <c r="B96" s="46" t="s">
        <v>378</v>
      </c>
      <c r="C96" s="45" t="s">
        <v>623</v>
      </c>
      <c r="D96" s="46" t="s">
        <v>625</v>
      </c>
      <c r="E96" s="46" t="s">
        <v>588</v>
      </c>
      <c r="F96" s="47" t="s">
        <v>1035</v>
      </c>
      <c r="H96" s="48" t="s">
        <v>607</v>
      </c>
      <c r="I96" s="46" t="s">
        <v>1036</v>
      </c>
      <c r="M96" s="50">
        <v>702000</v>
      </c>
      <c r="N96" s="51">
        <v>1371000</v>
      </c>
      <c r="O96" s="50" t="s">
        <v>1038</v>
      </c>
      <c r="P96" s="65" t="s">
        <v>1055</v>
      </c>
      <c r="Q96" s="46" t="s">
        <v>592</v>
      </c>
      <c r="R96" s="47" t="s">
        <v>1040</v>
      </c>
      <c r="U96" s="46" t="s">
        <v>491</v>
      </c>
    </row>
    <row r="97" spans="1:21" x14ac:dyDescent="0.25">
      <c r="A97" s="45">
        <v>42418</v>
      </c>
      <c r="B97" s="46" t="s">
        <v>378</v>
      </c>
      <c r="C97" s="45" t="s">
        <v>623</v>
      </c>
      <c r="D97" s="46" t="s">
        <v>625</v>
      </c>
      <c r="E97" s="46" t="s">
        <v>588</v>
      </c>
      <c r="F97" s="47" t="s">
        <v>1035</v>
      </c>
      <c r="H97" s="48" t="s">
        <v>905</v>
      </c>
      <c r="I97" s="46" t="s">
        <v>1037</v>
      </c>
      <c r="M97" s="50">
        <v>355000</v>
      </c>
      <c r="N97" s="51">
        <v>445500</v>
      </c>
      <c r="O97" s="50" t="s">
        <v>1041</v>
      </c>
      <c r="P97" s="65" t="s">
        <v>1042</v>
      </c>
      <c r="Q97" s="46" t="s">
        <v>592</v>
      </c>
      <c r="U97" s="46" t="s">
        <v>491</v>
      </c>
    </row>
    <row r="98" spans="1:21" ht="75" x14ac:dyDescent="0.25">
      <c r="A98" s="45">
        <v>42418</v>
      </c>
      <c r="B98" s="46" t="s">
        <v>378</v>
      </c>
      <c r="C98" s="45" t="s">
        <v>623</v>
      </c>
      <c r="D98" s="46" t="s">
        <v>800</v>
      </c>
      <c r="E98" s="46" t="s">
        <v>588</v>
      </c>
      <c r="F98" s="47" t="s">
        <v>1043</v>
      </c>
      <c r="H98" s="48" t="s">
        <v>1044</v>
      </c>
      <c r="I98" s="46" t="s">
        <v>1045</v>
      </c>
      <c r="M98" s="50">
        <v>2399000</v>
      </c>
      <c r="N98" s="51">
        <v>2945040</v>
      </c>
      <c r="O98" s="50" t="s">
        <v>1046</v>
      </c>
      <c r="P98" s="65" t="s">
        <v>1047</v>
      </c>
      <c r="Q98" s="46" t="s">
        <v>592</v>
      </c>
      <c r="R98" s="47" t="s">
        <v>1048</v>
      </c>
      <c r="U98" s="46" t="s">
        <v>491</v>
      </c>
    </row>
    <row r="99" spans="1:21" ht="75" x14ac:dyDescent="0.25">
      <c r="A99" s="45">
        <v>42418</v>
      </c>
      <c r="B99" s="46" t="s">
        <v>378</v>
      </c>
      <c r="C99" s="45" t="s">
        <v>623</v>
      </c>
      <c r="D99" s="46" t="s">
        <v>625</v>
      </c>
      <c r="E99" s="46" t="s">
        <v>692</v>
      </c>
      <c r="F99" s="47" t="s">
        <v>1049</v>
      </c>
      <c r="H99" s="48" t="s">
        <v>1050</v>
      </c>
      <c r="I99" s="46" t="s">
        <v>1051</v>
      </c>
      <c r="M99" s="50">
        <v>950000</v>
      </c>
      <c r="N99" s="51">
        <v>1520000</v>
      </c>
      <c r="O99" s="50" t="s">
        <v>1052</v>
      </c>
      <c r="P99" s="65" t="s">
        <v>1053</v>
      </c>
      <c r="Q99" s="46" t="s">
        <v>29</v>
      </c>
      <c r="R99" s="47" t="s">
        <v>1054</v>
      </c>
      <c r="U99" s="46" t="s">
        <v>491</v>
      </c>
    </row>
    <row r="100" spans="1:21" ht="30" x14ac:dyDescent="0.25">
      <c r="A100" s="45">
        <v>42418</v>
      </c>
      <c r="B100" s="46" t="s">
        <v>643</v>
      </c>
      <c r="D100" s="46" t="s">
        <v>645</v>
      </c>
      <c r="E100" s="46" t="s">
        <v>692</v>
      </c>
      <c r="F100" s="47" t="s">
        <v>1064</v>
      </c>
      <c r="H100" s="48" t="s">
        <v>607</v>
      </c>
      <c r="I100" s="46" t="s">
        <v>1065</v>
      </c>
      <c r="M100" s="50">
        <v>306000</v>
      </c>
      <c r="N100" s="51">
        <v>657900</v>
      </c>
      <c r="O100" s="50" t="s">
        <v>1066</v>
      </c>
      <c r="P100" s="65" t="s">
        <v>1067</v>
      </c>
      <c r="Q100" s="46" t="s">
        <v>29</v>
      </c>
      <c r="R100" s="47" t="s">
        <v>1068</v>
      </c>
      <c r="U100" s="46" t="s">
        <v>491</v>
      </c>
    </row>
    <row r="101" spans="1:21" ht="45" x14ac:dyDescent="0.25">
      <c r="A101" s="45">
        <v>42419</v>
      </c>
      <c r="B101" s="46" t="s">
        <v>378</v>
      </c>
      <c r="C101" s="45" t="s">
        <v>623</v>
      </c>
      <c r="D101" s="46" t="s">
        <v>930</v>
      </c>
      <c r="E101" s="46" t="s">
        <v>588</v>
      </c>
      <c r="F101" s="47" t="s">
        <v>1061</v>
      </c>
      <c r="H101" s="48" t="s">
        <v>607</v>
      </c>
      <c r="I101" s="46" t="s">
        <v>1062</v>
      </c>
      <c r="M101" s="50">
        <v>2083100</v>
      </c>
      <c r="N101" s="51">
        <v>4400000</v>
      </c>
      <c r="O101" s="50" t="s">
        <v>560</v>
      </c>
      <c r="P101" s="65" t="s">
        <v>1063</v>
      </c>
      <c r="Q101" s="46" t="s">
        <v>592</v>
      </c>
      <c r="R101" s="47" t="s">
        <v>1069</v>
      </c>
      <c r="U101" s="46" t="s">
        <v>491</v>
      </c>
    </row>
    <row r="102" spans="1:21" ht="60" x14ac:dyDescent="0.25">
      <c r="A102" s="45">
        <v>42422</v>
      </c>
      <c r="B102" s="46" t="s">
        <v>110</v>
      </c>
      <c r="D102" s="46" t="s">
        <v>1070</v>
      </c>
      <c r="E102" s="46" t="s">
        <v>588</v>
      </c>
      <c r="F102" s="47" t="s">
        <v>1071</v>
      </c>
      <c r="H102" s="48" t="s">
        <v>607</v>
      </c>
      <c r="I102" s="46" t="s">
        <v>1072</v>
      </c>
      <c r="M102" s="50">
        <v>195000</v>
      </c>
      <c r="N102" s="51">
        <v>331500</v>
      </c>
      <c r="O102" s="50" t="s">
        <v>1073</v>
      </c>
      <c r="P102" s="65" t="s">
        <v>1074</v>
      </c>
      <c r="Q102" s="46" t="s">
        <v>592</v>
      </c>
      <c r="R102" s="47" t="s">
        <v>1075</v>
      </c>
      <c r="U102" s="46" t="s">
        <v>491</v>
      </c>
    </row>
    <row r="103" spans="1:21" ht="90" x14ac:dyDescent="0.25">
      <c r="A103" s="45">
        <v>42422</v>
      </c>
      <c r="B103" s="46" t="s">
        <v>378</v>
      </c>
      <c r="C103" s="45" t="s">
        <v>623</v>
      </c>
      <c r="D103" s="46" t="s">
        <v>800</v>
      </c>
      <c r="E103" s="46" t="s">
        <v>588</v>
      </c>
      <c r="F103" s="47" t="s">
        <v>1076</v>
      </c>
      <c r="H103" s="48" t="s">
        <v>607</v>
      </c>
      <c r="I103" s="46" t="s">
        <v>1077</v>
      </c>
      <c r="M103" s="50">
        <v>1759000</v>
      </c>
      <c r="N103" s="51">
        <v>3149000</v>
      </c>
      <c r="O103" s="50" t="s">
        <v>560</v>
      </c>
      <c r="P103" s="65" t="s">
        <v>1078</v>
      </c>
      <c r="Q103" s="46" t="s">
        <v>592</v>
      </c>
      <c r="R103" s="47" t="s">
        <v>1197</v>
      </c>
      <c r="S103" s="47" t="s">
        <v>1250</v>
      </c>
      <c r="U103" s="46" t="s">
        <v>491</v>
      </c>
    </row>
    <row r="104" spans="1:21" ht="90" x14ac:dyDescent="0.25">
      <c r="A104" s="45">
        <v>42422</v>
      </c>
      <c r="B104" s="46" t="s">
        <v>378</v>
      </c>
      <c r="C104" s="45" t="s">
        <v>610</v>
      </c>
      <c r="D104" s="46" t="s">
        <v>732</v>
      </c>
      <c r="E104" s="46" t="s">
        <v>588</v>
      </c>
      <c r="F104" s="47" t="s">
        <v>1083</v>
      </c>
      <c r="H104" s="48" t="s">
        <v>607</v>
      </c>
      <c r="I104" s="46" t="s">
        <v>1084</v>
      </c>
      <c r="M104" s="50">
        <v>632000</v>
      </c>
      <c r="N104" s="51">
        <v>19137600</v>
      </c>
      <c r="O104" s="50" t="s">
        <v>1085</v>
      </c>
      <c r="P104" s="65" t="s">
        <v>1086</v>
      </c>
      <c r="Q104" s="46" t="s">
        <v>592</v>
      </c>
      <c r="R104" s="47" t="s">
        <v>1087</v>
      </c>
      <c r="U104" s="46" t="s">
        <v>491</v>
      </c>
    </row>
    <row r="105" spans="1:21" ht="30" x14ac:dyDescent="0.25">
      <c r="A105" s="45">
        <v>42422</v>
      </c>
      <c r="B105" s="46" t="s">
        <v>328</v>
      </c>
      <c r="C105" s="45" t="s">
        <v>603</v>
      </c>
      <c r="D105" s="46" t="s">
        <v>649</v>
      </c>
      <c r="E105" s="46" t="s">
        <v>588</v>
      </c>
      <c r="F105" s="47" t="s">
        <v>1079</v>
      </c>
      <c r="H105" s="47" t="s">
        <v>905</v>
      </c>
      <c r="I105" s="46" t="s">
        <v>1080</v>
      </c>
      <c r="M105" s="50">
        <v>245000</v>
      </c>
      <c r="N105" s="51">
        <v>480500</v>
      </c>
      <c r="O105" s="50" t="s">
        <v>969</v>
      </c>
      <c r="P105" s="65" t="s">
        <v>1081</v>
      </c>
      <c r="Q105" s="46" t="s">
        <v>592</v>
      </c>
      <c r="R105" s="47" t="s">
        <v>1082</v>
      </c>
      <c r="U105" s="46" t="s">
        <v>491</v>
      </c>
    </row>
    <row r="106" spans="1:21" ht="75" x14ac:dyDescent="0.25">
      <c r="A106" s="45">
        <v>42423</v>
      </c>
      <c r="B106" s="46" t="s">
        <v>643</v>
      </c>
      <c r="C106" s="45" t="s">
        <v>644</v>
      </c>
      <c r="D106" s="46" t="s">
        <v>645</v>
      </c>
      <c r="E106" s="46" t="s">
        <v>588</v>
      </c>
      <c r="F106" s="47" t="s">
        <v>1091</v>
      </c>
      <c r="H106" s="48" t="s">
        <v>607</v>
      </c>
      <c r="I106" s="46" t="s">
        <v>1092</v>
      </c>
      <c r="M106" s="50">
        <v>300000</v>
      </c>
      <c r="N106" s="51">
        <v>456000</v>
      </c>
      <c r="O106" s="50" t="s">
        <v>991</v>
      </c>
      <c r="P106" s="65" t="s">
        <v>1093</v>
      </c>
      <c r="Q106" s="46" t="s">
        <v>592</v>
      </c>
      <c r="R106" s="47" t="s">
        <v>1103</v>
      </c>
      <c r="U106" s="46" t="s">
        <v>491</v>
      </c>
    </row>
    <row r="107" spans="1:21" ht="60" x14ac:dyDescent="0.25">
      <c r="A107" s="45">
        <v>42423</v>
      </c>
      <c r="B107" s="46" t="s">
        <v>594</v>
      </c>
      <c r="C107" s="45" t="s">
        <v>604</v>
      </c>
      <c r="D107" s="46" t="s">
        <v>727</v>
      </c>
      <c r="E107" s="46" t="s">
        <v>588</v>
      </c>
      <c r="F107" s="47" t="s">
        <v>1094</v>
      </c>
      <c r="H107" s="48" t="s">
        <v>905</v>
      </c>
      <c r="I107" s="46" t="s">
        <v>1095</v>
      </c>
      <c r="M107" s="50">
        <v>2300000</v>
      </c>
      <c r="N107" s="51">
        <v>2446000</v>
      </c>
      <c r="O107" s="50" t="s">
        <v>1097</v>
      </c>
      <c r="P107" s="65" t="s">
        <v>1096</v>
      </c>
      <c r="Q107" s="46" t="s">
        <v>592</v>
      </c>
      <c r="R107" s="47" t="s">
        <v>1098</v>
      </c>
      <c r="U107" s="46" t="s">
        <v>491</v>
      </c>
    </row>
    <row r="108" spans="1:21" ht="45" x14ac:dyDescent="0.25">
      <c r="A108" s="45">
        <v>42423</v>
      </c>
      <c r="B108" s="46" t="s">
        <v>110</v>
      </c>
      <c r="D108" s="46" t="s">
        <v>1070</v>
      </c>
      <c r="E108" s="46" t="s">
        <v>588</v>
      </c>
      <c r="F108" s="47" t="s">
        <v>1099</v>
      </c>
      <c r="H108" s="48" t="s">
        <v>722</v>
      </c>
      <c r="I108" s="46" t="s">
        <v>1100</v>
      </c>
      <c r="M108" s="50">
        <v>139000</v>
      </c>
      <c r="N108" s="51">
        <v>236300</v>
      </c>
      <c r="O108" s="50" t="s">
        <v>840</v>
      </c>
      <c r="P108" s="65" t="s">
        <v>1101</v>
      </c>
      <c r="Q108" s="46" t="s">
        <v>592</v>
      </c>
      <c r="R108" s="47" t="s">
        <v>1102</v>
      </c>
      <c r="U108" s="46" t="s">
        <v>491</v>
      </c>
    </row>
    <row r="109" spans="1:21" ht="30" x14ac:dyDescent="0.25">
      <c r="A109" s="45">
        <v>42423</v>
      </c>
      <c r="B109" s="46" t="s">
        <v>643</v>
      </c>
      <c r="C109" s="45" t="s">
        <v>644</v>
      </c>
      <c r="D109" s="46" t="s">
        <v>645</v>
      </c>
      <c r="E109" s="46" t="s">
        <v>588</v>
      </c>
      <c r="F109" s="47" t="s">
        <v>1104</v>
      </c>
      <c r="H109" s="48" t="s">
        <v>809</v>
      </c>
      <c r="I109" s="46" t="s">
        <v>999</v>
      </c>
      <c r="M109" s="50">
        <v>350000</v>
      </c>
      <c r="N109" s="51">
        <v>385000</v>
      </c>
      <c r="O109" s="50" t="s">
        <v>991</v>
      </c>
      <c r="P109" s="65" t="s">
        <v>1106</v>
      </c>
      <c r="Q109" s="46" t="s">
        <v>592</v>
      </c>
      <c r="R109" s="47" t="s">
        <v>1105</v>
      </c>
      <c r="U109" s="46" t="s">
        <v>491</v>
      </c>
    </row>
    <row r="110" spans="1:21" ht="75" x14ac:dyDescent="0.25">
      <c r="A110" s="45">
        <v>42424</v>
      </c>
      <c r="B110" s="46" t="s">
        <v>643</v>
      </c>
      <c r="C110" s="45" t="s">
        <v>644</v>
      </c>
      <c r="D110" s="46" t="s">
        <v>645</v>
      </c>
      <c r="E110" s="46" t="s">
        <v>588</v>
      </c>
      <c r="F110" s="47" t="s">
        <v>1107</v>
      </c>
      <c r="H110" s="48" t="s">
        <v>722</v>
      </c>
      <c r="I110" s="46" t="s">
        <v>1108</v>
      </c>
      <c r="M110" s="50">
        <v>884345</v>
      </c>
      <c r="N110" s="51">
        <v>1812907</v>
      </c>
      <c r="O110" s="50" t="s">
        <v>991</v>
      </c>
      <c r="P110" s="65" t="s">
        <v>1109</v>
      </c>
      <c r="Q110" s="46" t="s">
        <v>592</v>
      </c>
      <c r="R110" s="47" t="s">
        <v>1192</v>
      </c>
      <c r="U110" s="46" t="s">
        <v>491</v>
      </c>
    </row>
    <row r="111" spans="1:21" ht="60" x14ac:dyDescent="0.25">
      <c r="A111" s="45">
        <v>42424</v>
      </c>
      <c r="B111" s="46" t="s">
        <v>594</v>
      </c>
      <c r="C111" s="45" t="s">
        <v>604</v>
      </c>
      <c r="D111" s="46" t="s">
        <v>595</v>
      </c>
      <c r="E111" s="46" t="s">
        <v>588</v>
      </c>
      <c r="F111" s="47" t="s">
        <v>1113</v>
      </c>
      <c r="H111" s="48" t="s">
        <v>607</v>
      </c>
      <c r="I111" s="46" t="s">
        <v>1115</v>
      </c>
      <c r="M111" s="50">
        <v>180000</v>
      </c>
      <c r="O111" s="50" t="s">
        <v>1116</v>
      </c>
      <c r="P111" s="65" t="s">
        <v>1117</v>
      </c>
      <c r="Q111" s="46" t="s">
        <v>29</v>
      </c>
      <c r="U111" s="46" t="s">
        <v>491</v>
      </c>
    </row>
    <row r="112" spans="1:21" ht="60" x14ac:dyDescent="0.25">
      <c r="A112" s="45">
        <v>42424</v>
      </c>
      <c r="B112" s="46" t="s">
        <v>378</v>
      </c>
      <c r="C112" s="45" t="s">
        <v>623</v>
      </c>
      <c r="D112" s="46" t="s">
        <v>800</v>
      </c>
      <c r="E112" s="46" t="s">
        <v>588</v>
      </c>
      <c r="F112" s="47" t="s">
        <v>1118</v>
      </c>
      <c r="H112" s="48" t="s">
        <v>1119</v>
      </c>
      <c r="I112" s="46" t="s">
        <v>1136</v>
      </c>
      <c r="O112" s="50" t="s">
        <v>1120</v>
      </c>
      <c r="P112" s="65" t="s">
        <v>1121</v>
      </c>
      <c r="Q112" s="46" t="s">
        <v>29</v>
      </c>
      <c r="R112" s="47" t="s">
        <v>1127</v>
      </c>
      <c r="U112" s="46" t="s">
        <v>491</v>
      </c>
    </row>
    <row r="113" spans="1:21" ht="30" x14ac:dyDescent="0.25">
      <c r="A113" s="45">
        <v>42424</v>
      </c>
      <c r="B113" s="46" t="s">
        <v>110</v>
      </c>
      <c r="D113" s="46" t="s">
        <v>1122</v>
      </c>
      <c r="E113" s="46" t="s">
        <v>588</v>
      </c>
      <c r="F113" s="47" t="s">
        <v>1123</v>
      </c>
      <c r="H113" s="48" t="s">
        <v>607</v>
      </c>
      <c r="I113" s="46" t="s">
        <v>1137</v>
      </c>
      <c r="M113" s="50">
        <v>500000</v>
      </c>
      <c r="O113" s="50" t="s">
        <v>1124</v>
      </c>
      <c r="P113" s="65" t="s">
        <v>1125</v>
      </c>
      <c r="Q113" s="46" t="s">
        <v>592</v>
      </c>
      <c r="R113" s="47" t="s">
        <v>1126</v>
      </c>
      <c r="U113" s="46" t="s">
        <v>491</v>
      </c>
    </row>
    <row r="114" spans="1:21" ht="75" x14ac:dyDescent="0.25">
      <c r="A114" s="45">
        <v>42424</v>
      </c>
      <c r="B114" s="46" t="s">
        <v>594</v>
      </c>
      <c r="C114" s="45" t="s">
        <v>604</v>
      </c>
      <c r="D114" s="46" t="s">
        <v>595</v>
      </c>
      <c r="E114" s="46" t="s">
        <v>588</v>
      </c>
      <c r="F114" s="47" t="s">
        <v>1128</v>
      </c>
      <c r="H114" s="48" t="s">
        <v>1050</v>
      </c>
      <c r="I114" s="46" t="s">
        <v>1138</v>
      </c>
      <c r="M114" s="50">
        <v>350000</v>
      </c>
      <c r="O114" s="50" t="s">
        <v>1129</v>
      </c>
      <c r="P114" s="65" t="s">
        <v>1130</v>
      </c>
      <c r="Q114" s="46" t="s">
        <v>592</v>
      </c>
      <c r="R114" s="47" t="s">
        <v>1131</v>
      </c>
      <c r="U114" s="46" t="s">
        <v>491</v>
      </c>
    </row>
    <row r="115" spans="1:21" ht="60" x14ac:dyDescent="0.25">
      <c r="A115" s="45">
        <v>42424</v>
      </c>
      <c r="B115" s="46" t="s">
        <v>328</v>
      </c>
      <c r="C115" s="45" t="s">
        <v>603</v>
      </c>
      <c r="D115" s="46" t="s">
        <v>757</v>
      </c>
      <c r="E115" s="46" t="s">
        <v>588</v>
      </c>
      <c r="F115" s="47" t="s">
        <v>1110</v>
      </c>
      <c r="H115" s="47" t="s">
        <v>607</v>
      </c>
      <c r="I115" s="46" t="s">
        <v>1114</v>
      </c>
      <c r="M115" s="50">
        <v>1128000</v>
      </c>
      <c r="N115" s="51">
        <v>2030400</v>
      </c>
      <c r="O115" s="50" t="s">
        <v>1111</v>
      </c>
      <c r="P115" s="65" t="s">
        <v>1112</v>
      </c>
      <c r="Q115" s="46" t="s">
        <v>592</v>
      </c>
      <c r="R115" s="47" t="s">
        <v>1193</v>
      </c>
      <c r="U115" s="46" t="s">
        <v>491</v>
      </c>
    </row>
    <row r="116" spans="1:21" ht="75" x14ac:dyDescent="0.25">
      <c r="A116" s="45">
        <v>42425</v>
      </c>
      <c r="B116" s="46" t="s">
        <v>594</v>
      </c>
      <c r="C116" s="45" t="s">
        <v>604</v>
      </c>
      <c r="D116" s="46" t="s">
        <v>727</v>
      </c>
      <c r="E116" s="46" t="s">
        <v>588</v>
      </c>
      <c r="F116" s="47" t="s">
        <v>1132</v>
      </c>
      <c r="H116" s="48" t="s">
        <v>1050</v>
      </c>
      <c r="I116" s="46" t="s">
        <v>1139</v>
      </c>
      <c r="M116" s="50">
        <v>820000</v>
      </c>
      <c r="N116" s="51">
        <v>1045000</v>
      </c>
      <c r="O116" s="50" t="s">
        <v>1133</v>
      </c>
      <c r="P116" s="65" t="s">
        <v>1134</v>
      </c>
      <c r="Q116" s="46" t="s">
        <v>592</v>
      </c>
      <c r="R116" s="47" t="s">
        <v>1144</v>
      </c>
      <c r="U116" s="46" t="s">
        <v>491</v>
      </c>
    </row>
    <row r="117" spans="1:21" ht="60" x14ac:dyDescent="0.25">
      <c r="A117" s="45">
        <v>42425</v>
      </c>
      <c r="B117" s="46" t="s">
        <v>110</v>
      </c>
      <c r="D117" s="46" t="s">
        <v>1070</v>
      </c>
      <c r="E117" s="46" t="s">
        <v>588</v>
      </c>
      <c r="F117" s="47" t="s">
        <v>1145</v>
      </c>
      <c r="H117" s="48" t="s">
        <v>607</v>
      </c>
      <c r="I117" s="46" t="s">
        <v>1146</v>
      </c>
      <c r="M117" s="50">
        <v>278000</v>
      </c>
      <c r="N117" s="51">
        <v>472600</v>
      </c>
      <c r="O117" s="50" t="s">
        <v>840</v>
      </c>
      <c r="P117" s="65" t="s">
        <v>1147</v>
      </c>
      <c r="Q117" s="46" t="s">
        <v>592</v>
      </c>
      <c r="U117" s="46" t="s">
        <v>491</v>
      </c>
    </row>
    <row r="118" spans="1:21" ht="75" x14ac:dyDescent="0.25">
      <c r="A118" s="45">
        <v>42425</v>
      </c>
      <c r="B118" s="46" t="s">
        <v>328</v>
      </c>
      <c r="C118" s="45" t="s">
        <v>603</v>
      </c>
      <c r="D118" s="46" t="s">
        <v>672</v>
      </c>
      <c r="E118" s="46" t="s">
        <v>588</v>
      </c>
      <c r="F118" s="47" t="s">
        <v>1135</v>
      </c>
      <c r="H118" s="47" t="s">
        <v>607</v>
      </c>
      <c r="I118" s="46" t="s">
        <v>1140</v>
      </c>
      <c r="M118" s="50">
        <v>301000</v>
      </c>
      <c r="N118" s="51">
        <v>621900</v>
      </c>
      <c r="O118" s="50" t="s">
        <v>1141</v>
      </c>
      <c r="P118" s="65" t="s">
        <v>1142</v>
      </c>
      <c r="Q118" s="46" t="s">
        <v>592</v>
      </c>
      <c r="R118" s="47" t="s">
        <v>1143</v>
      </c>
      <c r="U118" s="46" t="s">
        <v>491</v>
      </c>
    </row>
    <row r="119" spans="1:21" ht="60" x14ac:dyDescent="0.25">
      <c r="A119" s="45">
        <v>42426</v>
      </c>
      <c r="B119" s="46" t="s">
        <v>110</v>
      </c>
      <c r="D119" s="46" t="s">
        <v>1070</v>
      </c>
      <c r="E119" s="46" t="s">
        <v>588</v>
      </c>
      <c r="F119" s="47" t="s">
        <v>1150</v>
      </c>
      <c r="H119" s="48" t="s">
        <v>722</v>
      </c>
      <c r="I119" s="46" t="s">
        <v>1151</v>
      </c>
      <c r="M119" s="50">
        <v>180000</v>
      </c>
      <c r="N119" s="51">
        <v>306000</v>
      </c>
      <c r="O119" s="50" t="s">
        <v>764</v>
      </c>
      <c r="P119" s="65" t="s">
        <v>1152</v>
      </c>
      <c r="Q119" s="46" t="s">
        <v>592</v>
      </c>
      <c r="R119" s="47" t="s">
        <v>1153</v>
      </c>
      <c r="U119" s="46" t="s">
        <v>491</v>
      </c>
    </row>
    <row r="120" spans="1:21" ht="90" x14ac:dyDescent="0.25">
      <c r="A120" s="45">
        <v>42426</v>
      </c>
      <c r="B120" s="46" t="s">
        <v>594</v>
      </c>
      <c r="C120" s="45" t="s">
        <v>959</v>
      </c>
      <c r="D120" s="46" t="s">
        <v>732</v>
      </c>
      <c r="E120" s="46" t="s">
        <v>588</v>
      </c>
      <c r="F120" s="47" t="s">
        <v>1154</v>
      </c>
      <c r="H120" s="48" t="s">
        <v>607</v>
      </c>
      <c r="I120" s="46" t="s">
        <v>1155</v>
      </c>
      <c r="M120" s="50">
        <v>1531000</v>
      </c>
      <c r="N120" s="51">
        <v>2542200</v>
      </c>
      <c r="O120" s="50" t="s">
        <v>1156</v>
      </c>
      <c r="P120" s="65" t="s">
        <v>1157</v>
      </c>
      <c r="Q120" s="46" t="s">
        <v>592</v>
      </c>
      <c r="R120" s="47" t="s">
        <v>1194</v>
      </c>
      <c r="U120" s="46" t="s">
        <v>491</v>
      </c>
    </row>
    <row r="121" spans="1:21" ht="45" x14ac:dyDescent="0.25">
      <c r="A121" s="45">
        <v>42426</v>
      </c>
      <c r="B121" s="46" t="s">
        <v>378</v>
      </c>
      <c r="C121" s="45" t="s">
        <v>610</v>
      </c>
      <c r="D121" s="46" t="s">
        <v>1027</v>
      </c>
      <c r="E121" s="46" t="s">
        <v>588</v>
      </c>
      <c r="F121" s="47" t="s">
        <v>1158</v>
      </c>
      <c r="H121" s="48" t="s">
        <v>722</v>
      </c>
      <c r="I121" s="46" t="s">
        <v>1159</v>
      </c>
      <c r="M121" s="50">
        <v>2100000</v>
      </c>
      <c r="N121" s="51">
        <v>3990000</v>
      </c>
      <c r="O121" s="50" t="s">
        <v>891</v>
      </c>
      <c r="P121" s="65" t="s">
        <v>1160</v>
      </c>
      <c r="Q121" s="46" t="s">
        <v>592</v>
      </c>
      <c r="R121" s="47" t="s">
        <v>1161</v>
      </c>
      <c r="U121" s="46" t="s">
        <v>491</v>
      </c>
    </row>
    <row r="122" spans="1:21" ht="60" x14ac:dyDescent="0.25">
      <c r="A122" s="45">
        <v>42426</v>
      </c>
      <c r="B122" s="46" t="s">
        <v>328</v>
      </c>
      <c r="C122" s="45" t="s">
        <v>603</v>
      </c>
      <c r="D122" s="46" t="s">
        <v>672</v>
      </c>
      <c r="E122" s="46" t="s">
        <v>588</v>
      </c>
      <c r="F122" s="47" t="s">
        <v>1148</v>
      </c>
      <c r="H122" s="47" t="s">
        <v>607</v>
      </c>
      <c r="I122" s="46" t="s">
        <v>1149</v>
      </c>
      <c r="M122" s="50">
        <v>2000000</v>
      </c>
      <c r="N122" s="51">
        <v>3400000</v>
      </c>
      <c r="O122" s="50" t="s">
        <v>891</v>
      </c>
      <c r="P122" s="65" t="s">
        <v>1174</v>
      </c>
      <c r="Q122" s="46" t="s">
        <v>592</v>
      </c>
      <c r="R122" s="47" t="s">
        <v>1175</v>
      </c>
      <c r="U122" s="46" t="s">
        <v>491</v>
      </c>
    </row>
    <row r="123" spans="1:21" ht="75" x14ac:dyDescent="0.25">
      <c r="A123" s="45">
        <v>42429</v>
      </c>
      <c r="B123" s="46" t="s">
        <v>643</v>
      </c>
      <c r="D123" s="46" t="s">
        <v>645</v>
      </c>
      <c r="E123" s="46" t="s">
        <v>588</v>
      </c>
      <c r="F123" s="47" t="s">
        <v>1164</v>
      </c>
      <c r="H123" s="48" t="s">
        <v>607</v>
      </c>
      <c r="I123" s="46" t="s">
        <v>1165</v>
      </c>
      <c r="M123" s="50">
        <v>302414</v>
      </c>
      <c r="N123" s="51">
        <v>619586</v>
      </c>
      <c r="O123" s="50" t="s">
        <v>1166</v>
      </c>
      <c r="P123" s="65" t="s">
        <v>1167</v>
      </c>
      <c r="Q123" s="46" t="s">
        <v>592</v>
      </c>
      <c r="R123" s="47" t="s">
        <v>1168</v>
      </c>
      <c r="U123" s="46" t="s">
        <v>491</v>
      </c>
    </row>
    <row r="124" spans="1:21" ht="45" x14ac:dyDescent="0.25">
      <c r="A124" s="45">
        <v>42429</v>
      </c>
      <c r="B124" s="46" t="s">
        <v>594</v>
      </c>
      <c r="C124" s="45" t="s">
        <v>604</v>
      </c>
      <c r="D124" s="46" t="s">
        <v>595</v>
      </c>
      <c r="E124" s="46" t="s">
        <v>588</v>
      </c>
      <c r="F124" s="47" t="s">
        <v>1169</v>
      </c>
      <c r="H124" s="48" t="s">
        <v>1057</v>
      </c>
      <c r="I124" s="46" t="s">
        <v>1170</v>
      </c>
      <c r="M124" s="50">
        <v>250000</v>
      </c>
      <c r="O124" s="50" t="s">
        <v>1171</v>
      </c>
      <c r="P124" s="65" t="s">
        <v>1172</v>
      </c>
      <c r="Q124" s="46" t="s">
        <v>620</v>
      </c>
      <c r="R124" s="47" t="s">
        <v>1173</v>
      </c>
      <c r="U124" s="46" t="s">
        <v>491</v>
      </c>
    </row>
    <row r="125" spans="1:21" ht="60" x14ac:dyDescent="0.25">
      <c r="A125" s="45">
        <v>42430</v>
      </c>
      <c r="B125" s="46" t="s">
        <v>643</v>
      </c>
      <c r="D125" s="46" t="s">
        <v>645</v>
      </c>
      <c r="E125" s="46" t="s">
        <v>588</v>
      </c>
      <c r="F125" s="47" t="s">
        <v>1179</v>
      </c>
      <c r="H125" s="48" t="s">
        <v>607</v>
      </c>
      <c r="I125" s="46" t="s">
        <v>1180</v>
      </c>
      <c r="M125" s="50">
        <v>1570400</v>
      </c>
      <c r="N125" s="51">
        <v>4202000</v>
      </c>
      <c r="O125" s="50" t="s">
        <v>891</v>
      </c>
      <c r="P125" s="65" t="s">
        <v>1182</v>
      </c>
      <c r="Q125" s="46" t="s">
        <v>592</v>
      </c>
      <c r="R125" s="47" t="s">
        <v>1181</v>
      </c>
      <c r="U125" s="46" t="s">
        <v>491</v>
      </c>
    </row>
    <row r="126" spans="1:21" ht="75" x14ac:dyDescent="0.25">
      <c r="A126" s="45">
        <v>42430</v>
      </c>
      <c r="B126" s="46" t="s">
        <v>328</v>
      </c>
      <c r="C126" s="45" t="s">
        <v>603</v>
      </c>
      <c r="D126" s="46" t="s">
        <v>649</v>
      </c>
      <c r="E126" s="46" t="s">
        <v>588</v>
      </c>
      <c r="F126" s="47" t="s">
        <v>1176</v>
      </c>
      <c r="H126" s="47" t="s">
        <v>607</v>
      </c>
      <c r="I126" s="46" t="s">
        <v>1177</v>
      </c>
      <c r="M126" s="50">
        <v>150000</v>
      </c>
      <c r="N126" s="51">
        <v>208000</v>
      </c>
      <c r="O126" s="50" t="s">
        <v>1178</v>
      </c>
      <c r="P126" s="65" t="s">
        <v>1222</v>
      </c>
      <c r="Q126" s="46" t="s">
        <v>592</v>
      </c>
      <c r="R126" s="47" t="s">
        <v>833</v>
      </c>
      <c r="U126" s="46" t="s">
        <v>491</v>
      </c>
    </row>
    <row r="127" spans="1:21" ht="90" x14ac:dyDescent="0.25">
      <c r="A127" s="45">
        <v>42430</v>
      </c>
      <c r="B127" s="46" t="s">
        <v>328</v>
      </c>
      <c r="C127" s="45" t="s">
        <v>603</v>
      </c>
      <c r="D127" s="46" t="s">
        <v>672</v>
      </c>
      <c r="E127" s="46" t="s">
        <v>588</v>
      </c>
      <c r="F127" s="47" t="s">
        <v>1198</v>
      </c>
      <c r="H127" s="47" t="s">
        <v>607</v>
      </c>
      <c r="I127" s="46" t="s">
        <v>1199</v>
      </c>
      <c r="M127" s="50">
        <v>120000</v>
      </c>
      <c r="N127" s="51">
        <v>140000</v>
      </c>
      <c r="O127" s="50" t="s">
        <v>764</v>
      </c>
      <c r="P127" s="65" t="s">
        <v>1200</v>
      </c>
      <c r="Q127" s="46" t="s">
        <v>620</v>
      </c>
      <c r="R127" s="47" t="s">
        <v>1201</v>
      </c>
      <c r="U127" s="46" t="s">
        <v>491</v>
      </c>
    </row>
    <row r="128" spans="1:21" ht="90" x14ac:dyDescent="0.25">
      <c r="A128" s="45">
        <v>42431</v>
      </c>
      <c r="B128" s="46" t="s">
        <v>378</v>
      </c>
      <c r="C128" s="45" t="s">
        <v>623</v>
      </c>
      <c r="D128" s="46" t="s">
        <v>625</v>
      </c>
      <c r="E128" s="46" t="s">
        <v>588</v>
      </c>
      <c r="F128" s="47" t="s">
        <v>1211</v>
      </c>
      <c r="H128" s="48" t="s">
        <v>607</v>
      </c>
      <c r="I128" s="46" t="s">
        <v>1212</v>
      </c>
      <c r="M128" s="50">
        <v>1851000</v>
      </c>
      <c r="N128" s="51">
        <v>3794550</v>
      </c>
      <c r="O128" s="50" t="s">
        <v>1059</v>
      </c>
      <c r="P128" s="65" t="s">
        <v>1213</v>
      </c>
      <c r="Q128" s="46" t="s">
        <v>592</v>
      </c>
      <c r="R128" s="47" t="s">
        <v>1216</v>
      </c>
      <c r="S128" s="47" t="s">
        <v>1304</v>
      </c>
      <c r="U128" s="46" t="s">
        <v>491</v>
      </c>
    </row>
    <row r="129" spans="1:21" ht="75" x14ac:dyDescent="0.25">
      <c r="A129" s="45">
        <v>42431</v>
      </c>
      <c r="B129" s="46" t="s">
        <v>328</v>
      </c>
      <c r="C129" s="45" t="s">
        <v>603</v>
      </c>
      <c r="D129" s="46" t="s">
        <v>587</v>
      </c>
      <c r="E129" s="46" t="s">
        <v>588</v>
      </c>
      <c r="F129" s="47" t="s">
        <v>1202</v>
      </c>
      <c r="H129" s="47" t="s">
        <v>607</v>
      </c>
      <c r="I129" s="46" t="s">
        <v>1203</v>
      </c>
      <c r="M129" s="50">
        <v>270000</v>
      </c>
      <c r="N129" s="51">
        <v>551000</v>
      </c>
      <c r="O129" s="50" t="s">
        <v>1204</v>
      </c>
      <c r="P129" s="65" t="s">
        <v>1205</v>
      </c>
      <c r="Q129" s="46" t="s">
        <v>592</v>
      </c>
      <c r="R129" s="47" t="s">
        <v>1206</v>
      </c>
      <c r="S129" s="47" t="s">
        <v>3165</v>
      </c>
      <c r="U129" s="46" t="s">
        <v>491</v>
      </c>
    </row>
    <row r="130" spans="1:21" ht="60" x14ac:dyDescent="0.25">
      <c r="A130" s="45">
        <v>42431</v>
      </c>
      <c r="B130" s="46" t="s">
        <v>328</v>
      </c>
      <c r="C130" s="45" t="s">
        <v>603</v>
      </c>
      <c r="D130" s="46" t="s">
        <v>672</v>
      </c>
      <c r="E130" s="46" t="s">
        <v>588</v>
      </c>
      <c r="F130" s="47" t="s">
        <v>1207</v>
      </c>
      <c r="H130" s="47" t="s">
        <v>607</v>
      </c>
      <c r="I130" s="46" t="s">
        <v>1208</v>
      </c>
      <c r="M130" s="50">
        <v>1900000</v>
      </c>
      <c r="N130" s="51">
        <v>3800000</v>
      </c>
      <c r="O130" s="51" t="s">
        <v>1209</v>
      </c>
      <c r="P130" s="65" t="s">
        <v>1210</v>
      </c>
      <c r="Q130" s="46" t="s">
        <v>592</v>
      </c>
      <c r="R130" s="47" t="s">
        <v>1215</v>
      </c>
      <c r="U130" s="46" t="s">
        <v>491</v>
      </c>
    </row>
    <row r="131" spans="1:21" ht="45" x14ac:dyDescent="0.25">
      <c r="A131" s="45">
        <v>42432</v>
      </c>
      <c r="B131" s="46" t="s">
        <v>328</v>
      </c>
      <c r="C131" s="45" t="s">
        <v>603</v>
      </c>
      <c r="D131" s="46" t="s">
        <v>672</v>
      </c>
      <c r="E131" s="46" t="s">
        <v>588</v>
      </c>
      <c r="F131" s="47" t="s">
        <v>1158</v>
      </c>
      <c r="H131" s="47" t="s">
        <v>722</v>
      </c>
      <c r="I131" s="46" t="s">
        <v>1214</v>
      </c>
      <c r="M131" s="50">
        <v>2100000</v>
      </c>
      <c r="N131" s="51">
        <v>4095000</v>
      </c>
      <c r="O131" s="50" t="s">
        <v>891</v>
      </c>
      <c r="P131" s="65" t="s">
        <v>1217</v>
      </c>
      <c r="Q131" s="46" t="s">
        <v>592</v>
      </c>
      <c r="R131" s="47" t="s">
        <v>833</v>
      </c>
      <c r="U131" s="46" t="s">
        <v>491</v>
      </c>
    </row>
    <row r="132" spans="1:21" ht="75" x14ac:dyDescent="0.25">
      <c r="A132" s="45">
        <v>42433</v>
      </c>
      <c r="B132" s="46" t="s">
        <v>378</v>
      </c>
      <c r="C132" s="45" t="s">
        <v>610</v>
      </c>
      <c r="D132" s="46" t="s">
        <v>732</v>
      </c>
      <c r="E132" s="46" t="s">
        <v>588</v>
      </c>
      <c r="F132" s="47" t="s">
        <v>1218</v>
      </c>
      <c r="H132" s="48" t="s">
        <v>607</v>
      </c>
      <c r="I132" s="46" t="s">
        <v>1219</v>
      </c>
      <c r="M132" s="50">
        <v>348000</v>
      </c>
      <c r="N132" s="51">
        <v>626400</v>
      </c>
      <c r="O132" s="50" t="s">
        <v>686</v>
      </c>
      <c r="P132" s="65" t="s">
        <v>1220</v>
      </c>
      <c r="Q132" s="46" t="s">
        <v>592</v>
      </c>
      <c r="R132" s="47" t="s">
        <v>1221</v>
      </c>
      <c r="U132" s="46" t="s">
        <v>491</v>
      </c>
    </row>
    <row r="133" spans="1:21" ht="45" x14ac:dyDescent="0.25">
      <c r="A133" s="45">
        <v>42436</v>
      </c>
      <c r="B133" s="46" t="s">
        <v>320</v>
      </c>
      <c r="C133" s="45" t="s">
        <v>1228</v>
      </c>
      <c r="D133" s="46" t="s">
        <v>1229</v>
      </c>
      <c r="E133" s="46" t="s">
        <v>588</v>
      </c>
      <c r="F133" s="47" t="s">
        <v>1230</v>
      </c>
      <c r="H133" s="48" t="s">
        <v>1231</v>
      </c>
      <c r="I133" s="46" t="s">
        <v>1232</v>
      </c>
      <c r="M133" s="50">
        <v>194800</v>
      </c>
      <c r="N133" s="51">
        <v>350640</v>
      </c>
      <c r="O133" s="50" t="s">
        <v>1233</v>
      </c>
      <c r="P133" s="65" t="s">
        <v>1234</v>
      </c>
      <c r="Q133" s="46" t="s">
        <v>592</v>
      </c>
      <c r="R133" s="47" t="s">
        <v>1235</v>
      </c>
      <c r="U133" s="46" t="s">
        <v>491</v>
      </c>
    </row>
    <row r="134" spans="1:21" ht="60" x14ac:dyDescent="0.25">
      <c r="A134" s="45">
        <v>42436</v>
      </c>
      <c r="B134" s="46" t="s">
        <v>328</v>
      </c>
      <c r="C134" s="45" t="s">
        <v>603</v>
      </c>
      <c r="D134" s="46" t="s">
        <v>757</v>
      </c>
      <c r="E134" s="46" t="s">
        <v>588</v>
      </c>
      <c r="F134" s="47" t="s">
        <v>1223</v>
      </c>
      <c r="H134" s="47" t="s">
        <v>722</v>
      </c>
      <c r="I134" s="46" t="s">
        <v>1224</v>
      </c>
      <c r="M134" s="50">
        <v>210000</v>
      </c>
      <c r="N134" s="51">
        <v>399070</v>
      </c>
      <c r="O134" s="50" t="s">
        <v>1225</v>
      </c>
      <c r="P134" s="65" t="s">
        <v>1226</v>
      </c>
      <c r="Q134" s="46" t="s">
        <v>592</v>
      </c>
      <c r="R134" s="47" t="s">
        <v>1227</v>
      </c>
      <c r="U134" s="46" t="s">
        <v>491</v>
      </c>
    </row>
    <row r="135" spans="1:21" x14ac:dyDescent="0.25">
      <c r="A135" s="45">
        <v>42437</v>
      </c>
      <c r="B135" s="46" t="s">
        <v>594</v>
      </c>
      <c r="C135" s="45" t="s">
        <v>604</v>
      </c>
      <c r="D135" s="46" t="s">
        <v>727</v>
      </c>
      <c r="E135" s="46" t="s">
        <v>588</v>
      </c>
      <c r="F135" s="47" t="s">
        <v>1236</v>
      </c>
      <c r="H135" s="48" t="s">
        <v>1050</v>
      </c>
      <c r="I135" s="46" t="s">
        <v>1237</v>
      </c>
      <c r="M135" s="50">
        <v>200000</v>
      </c>
      <c r="N135" s="51">
        <v>200000</v>
      </c>
      <c r="O135" s="50" t="s">
        <v>1238</v>
      </c>
      <c r="P135" s="65" t="s">
        <v>1239</v>
      </c>
      <c r="Q135" s="46" t="s">
        <v>592</v>
      </c>
      <c r="R135" s="47" t="s">
        <v>1245</v>
      </c>
      <c r="U135" s="46" t="s">
        <v>491</v>
      </c>
    </row>
    <row r="136" spans="1:21" ht="75" x14ac:dyDescent="0.25">
      <c r="A136" s="45">
        <v>42437</v>
      </c>
      <c r="B136" s="46" t="s">
        <v>594</v>
      </c>
      <c r="C136" s="45" t="s">
        <v>604</v>
      </c>
      <c r="D136" s="46" t="s">
        <v>727</v>
      </c>
      <c r="E136" s="46" t="s">
        <v>588</v>
      </c>
      <c r="F136" s="47" t="s">
        <v>1241</v>
      </c>
      <c r="H136" s="48" t="s">
        <v>809</v>
      </c>
      <c r="I136" s="46" t="s">
        <v>1240</v>
      </c>
      <c r="M136" s="50">
        <v>2200000</v>
      </c>
      <c r="N136" s="51">
        <v>2920000</v>
      </c>
      <c r="O136" s="50" t="s">
        <v>1242</v>
      </c>
      <c r="P136" s="65" t="s">
        <v>1243</v>
      </c>
      <c r="Q136" s="46" t="s">
        <v>592</v>
      </c>
      <c r="R136" s="47" t="s">
        <v>1244</v>
      </c>
      <c r="U136" s="46" t="s">
        <v>491</v>
      </c>
    </row>
    <row r="137" spans="1:21" ht="45" x14ac:dyDescent="0.25">
      <c r="A137" s="45">
        <v>42437</v>
      </c>
      <c r="B137" s="46" t="s">
        <v>378</v>
      </c>
      <c r="C137" s="45" t="s">
        <v>623</v>
      </c>
      <c r="D137" s="46" t="s">
        <v>625</v>
      </c>
      <c r="E137" s="46" t="s">
        <v>588</v>
      </c>
      <c r="F137" s="47" t="s">
        <v>1246</v>
      </c>
      <c r="H137" s="48" t="s">
        <v>607</v>
      </c>
      <c r="I137" s="46" t="s">
        <v>1252</v>
      </c>
      <c r="M137" s="50">
        <v>845000</v>
      </c>
      <c r="N137" s="51">
        <v>1164000</v>
      </c>
      <c r="O137" s="50" t="s">
        <v>1247</v>
      </c>
      <c r="P137" s="65" t="s">
        <v>1248</v>
      </c>
      <c r="Q137" s="46" t="s">
        <v>620</v>
      </c>
      <c r="R137" s="47" t="s">
        <v>1249</v>
      </c>
      <c r="U137" s="46" t="s">
        <v>491</v>
      </c>
    </row>
    <row r="138" spans="1:21" ht="30" x14ac:dyDescent="0.25">
      <c r="A138" s="45">
        <v>42437</v>
      </c>
      <c r="B138" s="46" t="s">
        <v>110</v>
      </c>
      <c r="D138" s="46" t="s">
        <v>715</v>
      </c>
      <c r="E138" s="46" t="s">
        <v>588</v>
      </c>
      <c r="F138" s="47" t="s">
        <v>1251</v>
      </c>
      <c r="H138" s="48" t="s">
        <v>722</v>
      </c>
      <c r="I138" s="46" t="s">
        <v>1253</v>
      </c>
      <c r="M138" s="50">
        <v>500000</v>
      </c>
      <c r="N138" s="51">
        <v>850000</v>
      </c>
      <c r="O138" s="50" t="s">
        <v>764</v>
      </c>
      <c r="P138" s="65" t="s">
        <v>1254</v>
      </c>
      <c r="Q138" s="46" t="s">
        <v>592</v>
      </c>
      <c r="R138" s="47" t="s">
        <v>1255</v>
      </c>
      <c r="U138" s="46" t="s">
        <v>491</v>
      </c>
    </row>
    <row r="139" spans="1:21" ht="45" x14ac:dyDescent="0.25">
      <c r="A139" s="45">
        <v>42438</v>
      </c>
      <c r="B139" s="46" t="s">
        <v>378</v>
      </c>
      <c r="C139" s="45" t="s">
        <v>623</v>
      </c>
      <c r="D139" s="46" t="s">
        <v>800</v>
      </c>
      <c r="E139" s="46" t="s">
        <v>588</v>
      </c>
      <c r="F139" s="47" t="s">
        <v>1256</v>
      </c>
      <c r="H139" s="48" t="s">
        <v>607</v>
      </c>
      <c r="I139" s="46" t="s">
        <v>1257</v>
      </c>
      <c r="M139" s="50">
        <v>190000</v>
      </c>
      <c r="N139" s="51">
        <v>388000</v>
      </c>
      <c r="O139" s="50" t="s">
        <v>1258</v>
      </c>
      <c r="P139" s="65" t="s">
        <v>1259</v>
      </c>
      <c r="Q139" s="46" t="s">
        <v>620</v>
      </c>
      <c r="R139" s="47" t="s">
        <v>1260</v>
      </c>
      <c r="U139" s="46" t="s">
        <v>491</v>
      </c>
    </row>
    <row r="140" spans="1:21" ht="45" x14ac:dyDescent="0.25">
      <c r="A140" s="45">
        <v>42438</v>
      </c>
      <c r="B140" s="46" t="s">
        <v>594</v>
      </c>
      <c r="C140" s="45" t="s">
        <v>959</v>
      </c>
      <c r="D140" s="46" t="s">
        <v>732</v>
      </c>
      <c r="E140" s="46" t="s">
        <v>588</v>
      </c>
      <c r="F140" s="47" t="s">
        <v>1261</v>
      </c>
      <c r="H140" s="48" t="s">
        <v>905</v>
      </c>
      <c r="I140" s="46" t="s">
        <v>1262</v>
      </c>
      <c r="M140" s="50">
        <v>1850000</v>
      </c>
      <c r="N140" s="51">
        <v>2040000</v>
      </c>
      <c r="O140" s="50" t="s">
        <v>35</v>
      </c>
      <c r="P140" s="65" t="s">
        <v>1263</v>
      </c>
      <c r="Q140" s="46" t="s">
        <v>592</v>
      </c>
      <c r="R140" s="47" t="s">
        <v>1264</v>
      </c>
      <c r="U140" s="46" t="s">
        <v>491</v>
      </c>
    </row>
    <row r="141" spans="1:21" ht="60" x14ac:dyDescent="0.25">
      <c r="A141" s="45">
        <v>42438</v>
      </c>
      <c r="B141" s="46" t="s">
        <v>378</v>
      </c>
      <c r="C141" s="45" t="s">
        <v>623</v>
      </c>
      <c r="D141" s="46" t="s">
        <v>625</v>
      </c>
      <c r="E141" s="46" t="s">
        <v>588</v>
      </c>
      <c r="F141" s="47" t="s">
        <v>1265</v>
      </c>
      <c r="H141" s="48" t="s">
        <v>607</v>
      </c>
      <c r="I141" s="46" t="s">
        <v>1266</v>
      </c>
      <c r="M141" s="50">
        <v>700000</v>
      </c>
      <c r="N141" s="51">
        <v>845000</v>
      </c>
      <c r="O141" s="50" t="s">
        <v>1267</v>
      </c>
      <c r="P141" s="65" t="s">
        <v>1268</v>
      </c>
      <c r="Q141" s="46" t="s">
        <v>592</v>
      </c>
      <c r="U141" s="46" t="s">
        <v>491</v>
      </c>
    </row>
    <row r="142" spans="1:21" ht="45" x14ac:dyDescent="0.25">
      <c r="A142" s="45">
        <v>42438</v>
      </c>
      <c r="B142" s="46" t="s">
        <v>378</v>
      </c>
      <c r="C142" s="45" t="s">
        <v>623</v>
      </c>
      <c r="D142" s="46" t="s">
        <v>800</v>
      </c>
      <c r="E142" s="46" t="s">
        <v>588</v>
      </c>
      <c r="F142" s="47" t="s">
        <v>1269</v>
      </c>
      <c r="H142" s="48" t="s">
        <v>1271</v>
      </c>
      <c r="I142" s="46" t="s">
        <v>1270</v>
      </c>
      <c r="M142" s="50">
        <v>393000</v>
      </c>
      <c r="N142" s="51">
        <v>610600</v>
      </c>
      <c r="O142" s="50" t="s">
        <v>1272</v>
      </c>
      <c r="P142" s="65" t="s">
        <v>1273</v>
      </c>
      <c r="Q142" s="46" t="s">
        <v>620</v>
      </c>
      <c r="R142" s="47" t="s">
        <v>1274</v>
      </c>
      <c r="U142" s="46" t="s">
        <v>491</v>
      </c>
    </row>
    <row r="143" spans="1:21" ht="90" x14ac:dyDescent="0.25">
      <c r="A143" s="45">
        <v>42438</v>
      </c>
      <c r="B143" s="46" t="s">
        <v>328</v>
      </c>
      <c r="C143" s="45" t="s">
        <v>603</v>
      </c>
      <c r="D143" s="46" t="s">
        <v>757</v>
      </c>
      <c r="E143" s="46" t="s">
        <v>588</v>
      </c>
      <c r="F143" s="47" t="s">
        <v>1275</v>
      </c>
      <c r="H143" s="47" t="s">
        <v>1050</v>
      </c>
      <c r="M143" s="50">
        <v>3500000</v>
      </c>
      <c r="N143" s="51">
        <v>3500000</v>
      </c>
      <c r="O143" s="50" t="s">
        <v>891</v>
      </c>
      <c r="P143" s="65" t="s">
        <v>1279</v>
      </c>
      <c r="Q143" s="46" t="s">
        <v>592</v>
      </c>
      <c r="U143" s="46" t="s">
        <v>491</v>
      </c>
    </row>
    <row r="144" spans="1:21" ht="45" x14ac:dyDescent="0.25">
      <c r="A144" s="45">
        <v>42439</v>
      </c>
      <c r="B144" s="46" t="s">
        <v>328</v>
      </c>
      <c r="C144" s="45" t="s">
        <v>603</v>
      </c>
      <c r="D144" s="46" t="s">
        <v>672</v>
      </c>
      <c r="E144" s="46" t="s">
        <v>588</v>
      </c>
      <c r="F144" s="47" t="s">
        <v>1276</v>
      </c>
      <c r="H144" s="47" t="s">
        <v>607</v>
      </c>
      <c r="I144" s="46" t="s">
        <v>1277</v>
      </c>
      <c r="M144" s="50">
        <v>1600000</v>
      </c>
      <c r="N144" s="51">
        <v>3128000</v>
      </c>
      <c r="O144" s="50" t="s">
        <v>891</v>
      </c>
      <c r="P144" s="65" t="s">
        <v>1278</v>
      </c>
      <c r="Q144" s="46" t="s">
        <v>592</v>
      </c>
      <c r="U144" s="46" t="s">
        <v>491</v>
      </c>
    </row>
    <row r="145" spans="1:21" ht="60" x14ac:dyDescent="0.25">
      <c r="A145" s="45">
        <v>42440</v>
      </c>
      <c r="B145" s="46" t="s">
        <v>378</v>
      </c>
      <c r="C145" s="45" t="s">
        <v>623</v>
      </c>
      <c r="D145" s="46" t="s">
        <v>625</v>
      </c>
      <c r="E145" s="46" t="s">
        <v>588</v>
      </c>
      <c r="F145" s="47" t="s">
        <v>1280</v>
      </c>
      <c r="H145" s="48" t="s">
        <v>905</v>
      </c>
      <c r="I145" s="46" t="s">
        <v>1281</v>
      </c>
      <c r="M145" s="50">
        <v>300000</v>
      </c>
      <c r="N145" s="51">
        <v>360000</v>
      </c>
      <c r="O145" s="50" t="s">
        <v>724</v>
      </c>
      <c r="P145" s="65" t="s">
        <v>1282</v>
      </c>
      <c r="Q145" s="46" t="s">
        <v>29</v>
      </c>
      <c r="R145" s="47" t="s">
        <v>1283</v>
      </c>
      <c r="U145" s="46" t="s">
        <v>491</v>
      </c>
    </row>
    <row r="146" spans="1:21" ht="30" x14ac:dyDescent="0.25">
      <c r="A146" s="45">
        <v>42440</v>
      </c>
      <c r="B146" s="46" t="s">
        <v>110</v>
      </c>
      <c r="D146" s="46" t="s">
        <v>715</v>
      </c>
      <c r="E146" s="46" t="s">
        <v>588</v>
      </c>
      <c r="F146" s="47" t="s">
        <v>1284</v>
      </c>
      <c r="H146" s="48" t="s">
        <v>607</v>
      </c>
      <c r="I146" s="46" t="s">
        <v>1285</v>
      </c>
      <c r="M146" s="50">
        <v>184000</v>
      </c>
      <c r="N146" s="51">
        <v>312800</v>
      </c>
      <c r="O146" s="50" t="s">
        <v>764</v>
      </c>
      <c r="P146" s="65" t="s">
        <v>1286</v>
      </c>
      <c r="Q146" s="46" t="s">
        <v>620</v>
      </c>
      <c r="R146" s="47" t="s">
        <v>1287</v>
      </c>
      <c r="U146" s="46" t="s">
        <v>491</v>
      </c>
    </row>
    <row r="147" spans="1:21" ht="30" x14ac:dyDescent="0.25">
      <c r="A147" s="45">
        <v>42440</v>
      </c>
      <c r="B147" s="46" t="s">
        <v>110</v>
      </c>
      <c r="D147" s="46" t="s">
        <v>715</v>
      </c>
      <c r="E147" s="46" t="s">
        <v>588</v>
      </c>
      <c r="F147" s="47" t="s">
        <v>1288</v>
      </c>
      <c r="H147" s="48" t="s">
        <v>607</v>
      </c>
      <c r="I147" s="46" t="s">
        <v>1289</v>
      </c>
      <c r="M147" s="50">
        <v>203000</v>
      </c>
      <c r="N147" s="51">
        <v>343600</v>
      </c>
      <c r="O147" s="50" t="s">
        <v>1290</v>
      </c>
      <c r="P147" s="65" t="s">
        <v>1291</v>
      </c>
      <c r="Q147" s="46" t="s">
        <v>620</v>
      </c>
      <c r="R147" s="47" t="s">
        <v>1287</v>
      </c>
      <c r="U147" s="46" t="s">
        <v>491</v>
      </c>
    </row>
    <row r="148" spans="1:21" ht="60" x14ac:dyDescent="0.25">
      <c r="A148" s="45">
        <v>42440</v>
      </c>
      <c r="B148" s="46" t="s">
        <v>378</v>
      </c>
      <c r="C148" s="45" t="s">
        <v>610</v>
      </c>
      <c r="D148" s="46" t="s">
        <v>732</v>
      </c>
      <c r="E148" s="46" t="s">
        <v>588</v>
      </c>
      <c r="F148" s="47" t="s">
        <v>1292</v>
      </c>
      <c r="H148" s="48" t="s">
        <v>1050</v>
      </c>
      <c r="I148" s="46" t="s">
        <v>1293</v>
      </c>
      <c r="M148" s="50">
        <v>500000</v>
      </c>
      <c r="N148" s="51">
        <v>500000</v>
      </c>
      <c r="O148" s="50" t="s">
        <v>1294</v>
      </c>
      <c r="P148" s="65" t="s">
        <v>1295</v>
      </c>
      <c r="Q148" s="46" t="s">
        <v>29</v>
      </c>
      <c r="R148" s="47" t="s">
        <v>1296</v>
      </c>
      <c r="S148" s="47" t="s">
        <v>1480</v>
      </c>
      <c r="U148" s="46" t="s">
        <v>1328</v>
      </c>
    </row>
    <row r="149" spans="1:21" ht="45" x14ac:dyDescent="0.25">
      <c r="A149" s="45">
        <v>42440</v>
      </c>
      <c r="B149" s="46" t="s">
        <v>378</v>
      </c>
      <c r="C149" s="45" t="s">
        <v>623</v>
      </c>
      <c r="D149" s="46" t="s">
        <v>624</v>
      </c>
      <c r="E149" s="46" t="s">
        <v>588</v>
      </c>
      <c r="F149" s="47" t="s">
        <v>1297</v>
      </c>
      <c r="H149" s="48" t="s">
        <v>1050</v>
      </c>
      <c r="M149" s="50">
        <v>1040400</v>
      </c>
      <c r="N149" s="51">
        <v>1140400</v>
      </c>
      <c r="O149" s="50" t="s">
        <v>1298</v>
      </c>
      <c r="P149" s="65" t="s">
        <v>1299</v>
      </c>
      <c r="Q149" s="46" t="s">
        <v>29</v>
      </c>
      <c r="R149" s="47" t="s">
        <v>1300</v>
      </c>
      <c r="U149" s="46" t="s">
        <v>491</v>
      </c>
    </row>
    <row r="150" spans="1:21" ht="45" x14ac:dyDescent="0.25">
      <c r="A150" s="45">
        <v>42440</v>
      </c>
      <c r="B150" s="46" t="s">
        <v>594</v>
      </c>
      <c r="C150" s="45" t="s">
        <v>959</v>
      </c>
      <c r="D150" s="46" t="s">
        <v>732</v>
      </c>
      <c r="E150" s="46" t="s">
        <v>588</v>
      </c>
      <c r="F150" s="47" t="s">
        <v>1309</v>
      </c>
      <c r="H150" s="48" t="s">
        <v>742</v>
      </c>
      <c r="I150" s="46" t="s">
        <v>1310</v>
      </c>
      <c r="M150" s="50">
        <v>150000</v>
      </c>
      <c r="N150" s="51">
        <v>150000</v>
      </c>
      <c r="O150" s="50" t="s">
        <v>1311</v>
      </c>
      <c r="P150" s="65" t="s">
        <v>1312</v>
      </c>
      <c r="Q150" s="46" t="s">
        <v>592</v>
      </c>
      <c r="R150" s="47" t="s">
        <v>1313</v>
      </c>
      <c r="U150" s="46" t="s">
        <v>491</v>
      </c>
    </row>
    <row r="151" spans="1:21" ht="60" x14ac:dyDescent="0.25">
      <c r="A151" s="45">
        <v>42440</v>
      </c>
      <c r="B151" s="46" t="s">
        <v>328</v>
      </c>
      <c r="C151" s="45" t="s">
        <v>603</v>
      </c>
      <c r="D151" s="46" t="s">
        <v>587</v>
      </c>
      <c r="E151" s="46" t="s">
        <v>588</v>
      </c>
      <c r="F151" s="47" t="s">
        <v>1301</v>
      </c>
      <c r="H151" s="47" t="s">
        <v>905</v>
      </c>
      <c r="I151" s="46" t="s">
        <v>789</v>
      </c>
      <c r="M151" s="50">
        <v>2017000</v>
      </c>
      <c r="N151" s="51">
        <v>1420000</v>
      </c>
      <c r="O151" s="50" t="s">
        <v>1302</v>
      </c>
      <c r="P151" s="65" t="s">
        <v>1303</v>
      </c>
      <c r="Q151" s="46" t="s">
        <v>592</v>
      </c>
      <c r="R151" s="47" t="s">
        <v>1481</v>
      </c>
      <c r="U151" s="46" t="s">
        <v>491</v>
      </c>
    </row>
    <row r="152" spans="1:21" ht="60" x14ac:dyDescent="0.25">
      <c r="A152" s="45">
        <v>42440</v>
      </c>
      <c r="B152" s="46" t="s">
        <v>328</v>
      </c>
      <c r="C152" s="45" t="s">
        <v>603</v>
      </c>
      <c r="D152" s="46" t="s">
        <v>757</v>
      </c>
      <c r="E152" s="46" t="s">
        <v>588</v>
      </c>
      <c r="F152" s="47" t="s">
        <v>1305</v>
      </c>
      <c r="H152" s="47" t="s">
        <v>607</v>
      </c>
      <c r="I152" s="46" t="s">
        <v>1306</v>
      </c>
      <c r="M152" s="50">
        <v>530000</v>
      </c>
      <c r="N152" s="51">
        <v>90000</v>
      </c>
      <c r="O152" s="50" t="s">
        <v>764</v>
      </c>
      <c r="P152" s="65" t="s">
        <v>1307</v>
      </c>
      <c r="Q152" s="46" t="s">
        <v>29</v>
      </c>
      <c r="R152" s="47" t="s">
        <v>1308</v>
      </c>
      <c r="U152" s="46" t="s">
        <v>491</v>
      </c>
    </row>
    <row r="153" spans="1:21" ht="105" x14ac:dyDescent="0.25">
      <c r="A153" s="45">
        <v>42443</v>
      </c>
      <c r="B153" s="46" t="s">
        <v>378</v>
      </c>
      <c r="C153" s="45" t="s">
        <v>899</v>
      </c>
      <c r="D153" s="46" t="s">
        <v>930</v>
      </c>
      <c r="E153" s="46" t="s">
        <v>1314</v>
      </c>
      <c r="F153" s="47" t="s">
        <v>1315</v>
      </c>
      <c r="H153" s="48" t="s">
        <v>607</v>
      </c>
      <c r="I153" s="46" t="s">
        <v>1322</v>
      </c>
      <c r="M153" s="50">
        <v>2000000</v>
      </c>
      <c r="N153" s="51">
        <v>4320000</v>
      </c>
      <c r="P153" s="65" t="s">
        <v>1316</v>
      </c>
      <c r="Q153" s="46" t="s">
        <v>592</v>
      </c>
      <c r="R153" s="47" t="s">
        <v>1317</v>
      </c>
      <c r="U153" s="46" t="s">
        <v>633</v>
      </c>
    </row>
    <row r="154" spans="1:21" ht="45" x14ac:dyDescent="0.25">
      <c r="A154" s="45">
        <v>42443</v>
      </c>
      <c r="B154" s="46" t="s">
        <v>378</v>
      </c>
      <c r="C154" s="45" t="s">
        <v>899</v>
      </c>
      <c r="D154" s="46" t="s">
        <v>625</v>
      </c>
      <c r="E154" s="46" t="s">
        <v>588</v>
      </c>
      <c r="F154" s="47" t="s">
        <v>1318</v>
      </c>
      <c r="H154" s="48" t="s">
        <v>607</v>
      </c>
      <c r="I154" s="47" t="s">
        <v>1321</v>
      </c>
      <c r="J154" s="72"/>
      <c r="K154" s="72"/>
      <c r="L154" s="72"/>
      <c r="M154" s="50">
        <v>460000</v>
      </c>
      <c r="N154" s="51">
        <v>1283000</v>
      </c>
      <c r="O154" s="50" t="s">
        <v>1319</v>
      </c>
      <c r="P154" s="65" t="s">
        <v>1320</v>
      </c>
      <c r="Q154" s="46" t="s">
        <v>592</v>
      </c>
      <c r="U154" s="46" t="s">
        <v>1327</v>
      </c>
    </row>
    <row r="155" spans="1:21" x14ac:dyDescent="0.25">
      <c r="A155" s="45">
        <v>42444</v>
      </c>
      <c r="B155" s="46" t="s">
        <v>378</v>
      </c>
      <c r="C155" s="45" t="s">
        <v>899</v>
      </c>
      <c r="D155" s="46" t="s">
        <v>625</v>
      </c>
      <c r="E155" s="46" t="s">
        <v>588</v>
      </c>
      <c r="F155" s="47" t="s">
        <v>1323</v>
      </c>
      <c r="H155" s="48" t="s">
        <v>607</v>
      </c>
      <c r="I155" s="46" t="s">
        <v>1324</v>
      </c>
      <c r="M155" s="50">
        <v>2100000</v>
      </c>
      <c r="N155" s="51">
        <v>3570000</v>
      </c>
      <c r="O155" s="50" t="s">
        <v>1325</v>
      </c>
      <c r="P155" s="65" t="s">
        <v>1326</v>
      </c>
      <c r="Q155" s="46" t="s">
        <v>592</v>
      </c>
      <c r="U155" s="46" t="s">
        <v>633</v>
      </c>
    </row>
    <row r="156" spans="1:21" ht="60" x14ac:dyDescent="0.25">
      <c r="A156" s="45">
        <v>42445</v>
      </c>
      <c r="B156" s="46" t="s">
        <v>594</v>
      </c>
      <c r="C156" s="45" t="s">
        <v>602</v>
      </c>
      <c r="D156" s="46" t="s">
        <v>605</v>
      </c>
      <c r="E156" s="46" t="s">
        <v>588</v>
      </c>
      <c r="F156" s="47" t="s">
        <v>384</v>
      </c>
      <c r="H156" s="48" t="s">
        <v>607</v>
      </c>
      <c r="M156" s="50">
        <v>150000</v>
      </c>
      <c r="O156" s="50" t="s">
        <v>1330</v>
      </c>
      <c r="P156" s="65" t="s">
        <v>1331</v>
      </c>
      <c r="Q156" s="46" t="s">
        <v>29</v>
      </c>
      <c r="R156" s="47" t="s">
        <v>1332</v>
      </c>
      <c r="U156" s="46" t="s">
        <v>491</v>
      </c>
    </row>
    <row r="157" spans="1:21" ht="30" x14ac:dyDescent="0.25">
      <c r="A157" s="45">
        <v>42445</v>
      </c>
      <c r="B157" s="46" t="s">
        <v>643</v>
      </c>
      <c r="D157" s="46" t="s">
        <v>645</v>
      </c>
      <c r="E157" s="46" t="s">
        <v>588</v>
      </c>
      <c r="F157" s="47" t="s">
        <v>1333</v>
      </c>
      <c r="H157" s="48" t="s">
        <v>905</v>
      </c>
      <c r="I157" s="46" t="s">
        <v>1334</v>
      </c>
      <c r="M157" s="50">
        <v>3500000</v>
      </c>
      <c r="N157" s="51">
        <v>4500000</v>
      </c>
      <c r="O157" s="50" t="s">
        <v>891</v>
      </c>
      <c r="P157" s="65" t="s">
        <v>1335</v>
      </c>
      <c r="Q157" s="46" t="s">
        <v>29</v>
      </c>
      <c r="R157" s="47" t="s">
        <v>1336</v>
      </c>
      <c r="U157" s="46" t="s">
        <v>491</v>
      </c>
    </row>
    <row r="158" spans="1:21" ht="60" x14ac:dyDescent="0.25">
      <c r="A158" s="45">
        <v>42445</v>
      </c>
      <c r="B158" s="46" t="s">
        <v>378</v>
      </c>
      <c r="C158" s="45" t="s">
        <v>610</v>
      </c>
      <c r="D158" s="46" t="s">
        <v>1027</v>
      </c>
      <c r="E158" s="46" t="s">
        <v>588</v>
      </c>
      <c r="F158" s="47" t="s">
        <v>1347</v>
      </c>
      <c r="H158" s="48" t="s">
        <v>1348</v>
      </c>
      <c r="M158" s="50">
        <v>365000</v>
      </c>
      <c r="N158" s="51">
        <v>489500</v>
      </c>
      <c r="O158" s="50" t="s">
        <v>1349</v>
      </c>
      <c r="P158" s="65" t="s">
        <v>1350</v>
      </c>
      <c r="Q158" s="46" t="s">
        <v>29</v>
      </c>
      <c r="R158" s="47" t="s">
        <v>1482</v>
      </c>
      <c r="U158" s="46" t="s">
        <v>491</v>
      </c>
    </row>
    <row r="159" spans="1:21" ht="45" x14ac:dyDescent="0.25">
      <c r="A159" s="45">
        <v>42445</v>
      </c>
      <c r="B159" s="46" t="s">
        <v>378</v>
      </c>
      <c r="C159" s="45" t="s">
        <v>623</v>
      </c>
      <c r="D159" s="46" t="s">
        <v>625</v>
      </c>
      <c r="E159" s="46" t="s">
        <v>588</v>
      </c>
      <c r="F159" s="47" t="s">
        <v>1351</v>
      </c>
      <c r="H159" s="48" t="s">
        <v>1050</v>
      </c>
      <c r="I159" s="46" t="s">
        <v>1352</v>
      </c>
      <c r="M159" s="50">
        <v>4000000</v>
      </c>
      <c r="N159" s="51">
        <v>4400000</v>
      </c>
      <c r="O159" s="50" t="s">
        <v>891</v>
      </c>
      <c r="P159" s="65" t="s">
        <v>1353</v>
      </c>
      <c r="Q159" s="46" t="s">
        <v>592</v>
      </c>
      <c r="U159" s="46" t="s">
        <v>491</v>
      </c>
    </row>
    <row r="160" spans="1:21" ht="60" x14ac:dyDescent="0.25">
      <c r="A160" s="45">
        <v>42445</v>
      </c>
      <c r="B160" s="46" t="s">
        <v>378</v>
      </c>
      <c r="C160" s="45" t="s">
        <v>610</v>
      </c>
      <c r="D160" s="46" t="s">
        <v>611</v>
      </c>
      <c r="E160" s="46" t="s">
        <v>588</v>
      </c>
      <c r="F160" s="47" t="s">
        <v>1354</v>
      </c>
      <c r="H160" s="48" t="s">
        <v>607</v>
      </c>
      <c r="I160" s="46" t="s">
        <v>1355</v>
      </c>
      <c r="M160" s="50">
        <v>2600000</v>
      </c>
      <c r="N160" s="51">
        <v>3950000</v>
      </c>
      <c r="O160" s="50" t="s">
        <v>891</v>
      </c>
      <c r="P160" s="65" t="s">
        <v>1356</v>
      </c>
      <c r="Q160" s="46" t="s">
        <v>592</v>
      </c>
      <c r="R160" s="47" t="s">
        <v>1357</v>
      </c>
      <c r="U160" s="46" t="s">
        <v>491</v>
      </c>
    </row>
    <row r="161" spans="1:21" ht="75" x14ac:dyDescent="0.25">
      <c r="A161" s="45">
        <v>42445</v>
      </c>
      <c r="B161" s="46" t="s">
        <v>328</v>
      </c>
      <c r="C161" s="45" t="s">
        <v>603</v>
      </c>
      <c r="D161" s="46" t="s">
        <v>672</v>
      </c>
      <c r="E161" s="46" t="s">
        <v>588</v>
      </c>
      <c r="F161" s="47" t="s">
        <v>1337</v>
      </c>
      <c r="H161" s="47" t="s">
        <v>607</v>
      </c>
      <c r="I161" s="46" t="s">
        <v>1338</v>
      </c>
      <c r="M161" s="50">
        <v>377000</v>
      </c>
      <c r="N161" s="51">
        <v>754000</v>
      </c>
      <c r="O161" s="50" t="s">
        <v>1339</v>
      </c>
      <c r="P161" s="65" t="s">
        <v>1340</v>
      </c>
      <c r="Q161" s="46" t="s">
        <v>592</v>
      </c>
      <c r="R161" s="47" t="s">
        <v>1341</v>
      </c>
      <c r="S161" s="47" t="s">
        <v>3165</v>
      </c>
      <c r="U161" s="46" t="s">
        <v>491</v>
      </c>
    </row>
    <row r="162" spans="1:21" ht="60" x14ac:dyDescent="0.25">
      <c r="A162" s="45">
        <v>42445</v>
      </c>
      <c r="B162" s="46" t="s">
        <v>328</v>
      </c>
      <c r="C162" s="45" t="s">
        <v>603</v>
      </c>
      <c r="D162" s="46" t="s">
        <v>672</v>
      </c>
      <c r="E162" s="46" t="s">
        <v>588</v>
      </c>
      <c r="F162" s="47" t="s">
        <v>1342</v>
      </c>
      <c r="H162" s="47" t="s">
        <v>722</v>
      </c>
      <c r="I162" s="46" t="s">
        <v>1343</v>
      </c>
      <c r="M162" s="50">
        <v>113600</v>
      </c>
      <c r="N162" s="51">
        <v>227200</v>
      </c>
      <c r="O162" s="50" t="s">
        <v>1344</v>
      </c>
      <c r="P162" s="65" t="s">
        <v>1345</v>
      </c>
      <c r="Q162" s="46" t="s">
        <v>29</v>
      </c>
      <c r="R162" s="47" t="s">
        <v>1346</v>
      </c>
      <c r="U162" s="46" t="s">
        <v>491</v>
      </c>
    </row>
    <row r="163" spans="1:21" ht="60" x14ac:dyDescent="0.25">
      <c r="A163" s="45">
        <v>42446</v>
      </c>
      <c r="B163" s="46" t="s">
        <v>378</v>
      </c>
      <c r="C163" s="45" t="s">
        <v>623</v>
      </c>
      <c r="D163" s="46" t="s">
        <v>625</v>
      </c>
      <c r="E163" s="46" t="s">
        <v>588</v>
      </c>
      <c r="F163" s="47" t="s">
        <v>1358</v>
      </c>
      <c r="H163" s="48" t="s">
        <v>607</v>
      </c>
      <c r="I163" s="46" t="s">
        <v>1359</v>
      </c>
      <c r="M163" s="50">
        <v>211000</v>
      </c>
      <c r="N163" s="51">
        <v>253400</v>
      </c>
      <c r="O163" s="50" t="s">
        <v>1360</v>
      </c>
      <c r="P163" s="65" t="s">
        <v>1361</v>
      </c>
      <c r="Q163" s="46" t="s">
        <v>29</v>
      </c>
      <c r="R163" s="47" t="s">
        <v>1362</v>
      </c>
      <c r="U163" s="46" t="s">
        <v>491</v>
      </c>
    </row>
    <row r="164" spans="1:21" ht="30" x14ac:dyDescent="0.25">
      <c r="A164" s="45">
        <v>42446</v>
      </c>
      <c r="B164" s="46" t="s">
        <v>594</v>
      </c>
      <c r="C164" s="45" t="s">
        <v>1363</v>
      </c>
      <c r="D164" s="46" t="s">
        <v>605</v>
      </c>
      <c r="E164" s="46" t="s">
        <v>588</v>
      </c>
      <c r="F164" s="47" t="s">
        <v>1364</v>
      </c>
      <c r="H164" s="48" t="s">
        <v>1365</v>
      </c>
      <c r="I164" s="46" t="s">
        <v>1366</v>
      </c>
      <c r="M164" s="50">
        <v>410000</v>
      </c>
      <c r="O164" s="50" t="s">
        <v>1369</v>
      </c>
      <c r="P164" s="65" t="s">
        <v>1367</v>
      </c>
      <c r="Q164" s="46" t="s">
        <v>29</v>
      </c>
      <c r="R164" s="47" t="s">
        <v>1368</v>
      </c>
      <c r="U164" s="46" t="s">
        <v>491</v>
      </c>
    </row>
    <row r="165" spans="1:21" ht="60" x14ac:dyDescent="0.25">
      <c r="A165" s="45">
        <v>42447</v>
      </c>
      <c r="B165" s="46" t="s">
        <v>378</v>
      </c>
      <c r="C165" s="45" t="s">
        <v>623</v>
      </c>
      <c r="D165" s="46" t="s">
        <v>625</v>
      </c>
      <c r="E165" s="46" t="s">
        <v>588</v>
      </c>
      <c r="F165" s="47" t="s">
        <v>1370</v>
      </c>
      <c r="H165" s="48" t="s">
        <v>607</v>
      </c>
      <c r="I165" s="46" t="s">
        <v>1417</v>
      </c>
      <c r="M165" s="50">
        <v>2000000</v>
      </c>
      <c r="N165" s="51">
        <v>3600000</v>
      </c>
      <c r="O165" s="50" t="s">
        <v>1371</v>
      </c>
      <c r="P165" s="65" t="s">
        <v>1418</v>
      </c>
      <c r="Q165" s="46" t="s">
        <v>592</v>
      </c>
      <c r="R165" s="47" t="s">
        <v>1419</v>
      </c>
      <c r="U165" s="46" t="s">
        <v>491</v>
      </c>
    </row>
    <row r="166" spans="1:21" ht="45" x14ac:dyDescent="0.25">
      <c r="A166" s="45">
        <v>42447</v>
      </c>
      <c r="B166" s="46" t="s">
        <v>378</v>
      </c>
      <c r="C166" s="45" t="s">
        <v>610</v>
      </c>
      <c r="D166" s="46" t="s">
        <v>1027</v>
      </c>
      <c r="E166" s="46" t="s">
        <v>588</v>
      </c>
      <c r="F166" s="47" t="s">
        <v>1372</v>
      </c>
      <c r="H166" s="48" t="s">
        <v>905</v>
      </c>
      <c r="I166" s="46" t="s">
        <v>1373</v>
      </c>
      <c r="M166" s="50">
        <v>2000000</v>
      </c>
      <c r="N166" s="51">
        <v>2500000</v>
      </c>
      <c r="O166" s="50" t="s">
        <v>1374</v>
      </c>
      <c r="P166" s="65" t="s">
        <v>1375</v>
      </c>
      <c r="Q166" s="46" t="s">
        <v>592</v>
      </c>
      <c r="R166" s="47" t="s">
        <v>1376</v>
      </c>
      <c r="U166" s="46" t="s">
        <v>491</v>
      </c>
    </row>
    <row r="167" spans="1:21" ht="45" x14ac:dyDescent="0.25">
      <c r="A167" s="45">
        <v>42450</v>
      </c>
      <c r="B167" s="46" t="s">
        <v>328</v>
      </c>
      <c r="C167" s="45" t="s">
        <v>603</v>
      </c>
      <c r="D167" s="46" t="s">
        <v>587</v>
      </c>
      <c r="E167" s="46" t="s">
        <v>588</v>
      </c>
      <c r="F167" s="47" t="s">
        <v>1386</v>
      </c>
      <c r="H167" s="47" t="s">
        <v>607</v>
      </c>
      <c r="I167" s="46" t="s">
        <v>1387</v>
      </c>
      <c r="M167" s="50">
        <v>260000</v>
      </c>
      <c r="N167" s="51">
        <v>492000</v>
      </c>
      <c r="O167" s="50" t="s">
        <v>1388</v>
      </c>
      <c r="P167" s="65" t="s">
        <v>1389</v>
      </c>
      <c r="Q167" s="46" t="s">
        <v>29</v>
      </c>
      <c r="R167" s="47" t="s">
        <v>1483</v>
      </c>
      <c r="U167" s="46" t="s">
        <v>491</v>
      </c>
    </row>
    <row r="168" spans="1:21" ht="60" x14ac:dyDescent="0.25">
      <c r="A168" s="45">
        <v>42450</v>
      </c>
      <c r="B168" s="46" t="s">
        <v>378</v>
      </c>
      <c r="C168" s="45" t="s">
        <v>623</v>
      </c>
      <c r="D168" s="46" t="s">
        <v>625</v>
      </c>
      <c r="E168" s="46" t="s">
        <v>588</v>
      </c>
      <c r="F168" s="47" t="s">
        <v>1377</v>
      </c>
      <c r="H168" s="48" t="s">
        <v>607</v>
      </c>
      <c r="I168" s="46" t="s">
        <v>1378</v>
      </c>
      <c r="M168" s="50">
        <v>1200000</v>
      </c>
      <c r="O168" s="50" t="s">
        <v>1272</v>
      </c>
      <c r="P168" s="65" t="s">
        <v>1379</v>
      </c>
      <c r="Q168" s="46" t="s">
        <v>592</v>
      </c>
      <c r="R168" s="47" t="s">
        <v>1380</v>
      </c>
      <c r="U168" s="46" t="s">
        <v>491</v>
      </c>
    </row>
    <row r="169" spans="1:21" ht="45" x14ac:dyDescent="0.25">
      <c r="A169" s="45">
        <v>42450</v>
      </c>
      <c r="B169" s="46" t="s">
        <v>594</v>
      </c>
      <c r="C169" s="45" t="s">
        <v>1363</v>
      </c>
      <c r="D169" s="46" t="s">
        <v>1382</v>
      </c>
      <c r="E169" s="46" t="s">
        <v>588</v>
      </c>
      <c r="F169" s="47" t="s">
        <v>1381</v>
      </c>
      <c r="H169" s="48" t="s">
        <v>607</v>
      </c>
      <c r="I169" s="46" t="s">
        <v>1383</v>
      </c>
      <c r="M169" s="50">
        <v>375000</v>
      </c>
      <c r="N169" s="51">
        <v>600000</v>
      </c>
      <c r="O169" s="50" t="s">
        <v>1384</v>
      </c>
      <c r="P169" s="65" t="s">
        <v>1385</v>
      </c>
      <c r="Q169" s="46" t="s">
        <v>29</v>
      </c>
      <c r="U169" s="46" t="s">
        <v>491</v>
      </c>
    </row>
    <row r="170" spans="1:21" ht="45" x14ac:dyDescent="0.25">
      <c r="A170" s="45">
        <v>42453</v>
      </c>
      <c r="B170" s="46" t="s">
        <v>378</v>
      </c>
      <c r="C170" s="45" t="s">
        <v>623</v>
      </c>
      <c r="D170" s="46" t="s">
        <v>800</v>
      </c>
      <c r="E170" s="46" t="s">
        <v>588</v>
      </c>
      <c r="F170" s="47" t="s">
        <v>1390</v>
      </c>
      <c r="H170" s="48" t="s">
        <v>1391</v>
      </c>
      <c r="I170" s="46" t="s">
        <v>1395</v>
      </c>
      <c r="M170" s="50">
        <v>1865124</v>
      </c>
      <c r="N170" s="51">
        <v>2777964</v>
      </c>
      <c r="O170" s="50" t="s">
        <v>1393</v>
      </c>
      <c r="P170" s="65" t="s">
        <v>1392</v>
      </c>
      <c r="Q170" s="46" t="s">
        <v>29</v>
      </c>
      <c r="R170" s="47" t="s">
        <v>1394</v>
      </c>
      <c r="U170" s="46" t="s">
        <v>491</v>
      </c>
    </row>
    <row r="171" spans="1:21" ht="90" x14ac:dyDescent="0.25">
      <c r="A171" s="45">
        <v>42453</v>
      </c>
      <c r="B171" s="46" t="s">
        <v>328</v>
      </c>
      <c r="C171" s="45" t="s">
        <v>603</v>
      </c>
      <c r="D171" s="46" t="s">
        <v>587</v>
      </c>
      <c r="E171" s="46" t="s">
        <v>588</v>
      </c>
      <c r="F171" s="47" t="s">
        <v>1396</v>
      </c>
      <c r="H171" s="47" t="s">
        <v>607</v>
      </c>
      <c r="I171" s="46" t="s">
        <v>1397</v>
      </c>
      <c r="M171" s="50">
        <v>450000</v>
      </c>
      <c r="N171" s="51">
        <v>900000</v>
      </c>
      <c r="O171" s="50" t="s">
        <v>1398</v>
      </c>
      <c r="P171" s="65" t="s">
        <v>1400</v>
      </c>
      <c r="Q171" s="46" t="s">
        <v>620</v>
      </c>
      <c r="R171" s="47" t="s">
        <v>1399</v>
      </c>
      <c r="U171" s="46" t="s">
        <v>491</v>
      </c>
    </row>
    <row r="172" spans="1:21" ht="105" x14ac:dyDescent="0.25">
      <c r="A172" s="45">
        <v>42453</v>
      </c>
      <c r="B172" s="46" t="s">
        <v>328</v>
      </c>
      <c r="C172" s="45" t="s">
        <v>603</v>
      </c>
      <c r="D172" s="46" t="s">
        <v>1401</v>
      </c>
      <c r="E172" s="46" t="s">
        <v>588</v>
      </c>
      <c r="F172" s="47" t="s">
        <v>1402</v>
      </c>
      <c r="H172" s="47" t="s">
        <v>607</v>
      </c>
      <c r="I172" s="46" t="s">
        <v>1403</v>
      </c>
      <c r="M172" s="50">
        <v>389200</v>
      </c>
      <c r="N172" s="51">
        <v>683800</v>
      </c>
      <c r="O172" s="50" t="s">
        <v>1141</v>
      </c>
      <c r="P172" s="65" t="s">
        <v>1404</v>
      </c>
      <c r="Q172" s="46" t="s">
        <v>29</v>
      </c>
      <c r="R172" s="47" t="s">
        <v>1405</v>
      </c>
      <c r="U172" s="46" t="s">
        <v>491</v>
      </c>
    </row>
    <row r="173" spans="1:21" ht="90" x14ac:dyDescent="0.25">
      <c r="A173" s="45">
        <v>42454</v>
      </c>
      <c r="B173" s="46" t="s">
        <v>378</v>
      </c>
      <c r="C173" s="45" t="s">
        <v>623</v>
      </c>
      <c r="D173" s="46" t="s">
        <v>800</v>
      </c>
      <c r="E173" s="46" t="s">
        <v>588</v>
      </c>
      <c r="F173" s="47" t="s">
        <v>1406</v>
      </c>
      <c r="H173" s="48" t="s">
        <v>607</v>
      </c>
      <c r="I173" s="46" t="s">
        <v>1407</v>
      </c>
      <c r="M173" s="50">
        <v>1002439</v>
      </c>
      <c r="N173" s="51">
        <v>1393439</v>
      </c>
      <c r="O173" s="50" t="s">
        <v>764</v>
      </c>
      <c r="P173" s="65" t="s">
        <v>1479</v>
      </c>
      <c r="Q173" s="46" t="s">
        <v>592</v>
      </c>
      <c r="R173" s="47" t="s">
        <v>833</v>
      </c>
      <c r="U173" s="46" t="s">
        <v>491</v>
      </c>
    </row>
    <row r="174" spans="1:21" ht="45" x14ac:dyDescent="0.25">
      <c r="A174" s="45">
        <v>42454</v>
      </c>
      <c r="B174" s="46" t="s">
        <v>378</v>
      </c>
      <c r="C174" s="45" t="s">
        <v>610</v>
      </c>
      <c r="D174" s="46" t="s">
        <v>1027</v>
      </c>
      <c r="E174" s="46" t="s">
        <v>588</v>
      </c>
      <c r="F174" s="47" t="s">
        <v>1412</v>
      </c>
      <c r="H174" s="48" t="s">
        <v>1050</v>
      </c>
      <c r="I174" s="46" t="s">
        <v>1413</v>
      </c>
      <c r="M174" s="50">
        <v>1500000</v>
      </c>
      <c r="N174" s="51">
        <v>1500000</v>
      </c>
      <c r="O174" s="50" t="s">
        <v>1414</v>
      </c>
      <c r="P174" s="65" t="s">
        <v>1415</v>
      </c>
      <c r="Q174" s="46" t="s">
        <v>29</v>
      </c>
      <c r="R174" s="47" t="s">
        <v>1416</v>
      </c>
      <c r="U174" s="46" t="s">
        <v>491</v>
      </c>
    </row>
    <row r="175" spans="1:21" ht="60" x14ac:dyDescent="0.25">
      <c r="A175" s="45">
        <v>42454</v>
      </c>
      <c r="B175" s="46" t="s">
        <v>328</v>
      </c>
      <c r="C175" s="45" t="s">
        <v>603</v>
      </c>
      <c r="D175" s="46" t="s">
        <v>649</v>
      </c>
      <c r="E175" s="46" t="s">
        <v>588</v>
      </c>
      <c r="F175" s="47" t="s">
        <v>1408</v>
      </c>
      <c r="H175" s="47" t="s">
        <v>607</v>
      </c>
      <c r="I175" s="46" t="s">
        <v>1409</v>
      </c>
      <c r="M175" s="50">
        <v>1100000</v>
      </c>
      <c r="N175" s="51">
        <v>1870000</v>
      </c>
      <c r="O175" s="50" t="s">
        <v>840</v>
      </c>
      <c r="P175" s="65" t="s">
        <v>1410</v>
      </c>
      <c r="Q175" s="46" t="s">
        <v>592</v>
      </c>
      <c r="R175" s="47" t="s">
        <v>1411</v>
      </c>
      <c r="U175" s="46" t="s">
        <v>491</v>
      </c>
    </row>
    <row r="176" spans="1:21" ht="45" x14ac:dyDescent="0.25">
      <c r="A176" s="45">
        <v>42457</v>
      </c>
      <c r="B176" s="46" t="s">
        <v>328</v>
      </c>
      <c r="C176" s="45" t="s">
        <v>603</v>
      </c>
      <c r="D176" s="46" t="s">
        <v>587</v>
      </c>
      <c r="E176" s="46" t="s">
        <v>588</v>
      </c>
      <c r="F176" s="47" t="s">
        <v>1424</v>
      </c>
      <c r="H176" s="47" t="s">
        <v>607</v>
      </c>
      <c r="I176" s="46" t="s">
        <v>1425</v>
      </c>
      <c r="M176" s="50">
        <v>420000</v>
      </c>
      <c r="N176" s="51">
        <v>772000</v>
      </c>
      <c r="O176" s="50" t="s">
        <v>1156</v>
      </c>
      <c r="P176" s="65" t="s">
        <v>1426</v>
      </c>
      <c r="Q176" s="46" t="s">
        <v>592</v>
      </c>
      <c r="R176" s="47" t="s">
        <v>1427</v>
      </c>
      <c r="U176" s="46" t="s">
        <v>491</v>
      </c>
    </row>
    <row r="177" spans="1:21" ht="45" x14ac:dyDescent="0.25">
      <c r="A177" s="45">
        <v>42457</v>
      </c>
      <c r="B177" s="46" t="s">
        <v>328</v>
      </c>
      <c r="C177" s="45" t="s">
        <v>603</v>
      </c>
      <c r="D177" s="46" t="s">
        <v>649</v>
      </c>
      <c r="E177" s="46" t="s">
        <v>588</v>
      </c>
      <c r="F177" s="47" t="s">
        <v>1420</v>
      </c>
      <c r="H177" s="47" t="s">
        <v>607</v>
      </c>
      <c r="I177" s="46" t="s">
        <v>1421</v>
      </c>
      <c r="M177" s="50">
        <v>200000</v>
      </c>
      <c r="N177" s="51">
        <v>340000</v>
      </c>
      <c r="O177" s="50" t="s">
        <v>1422</v>
      </c>
      <c r="P177" s="65" t="s">
        <v>1423</v>
      </c>
      <c r="Q177" s="46" t="s">
        <v>592</v>
      </c>
      <c r="U177" s="46" t="s">
        <v>491</v>
      </c>
    </row>
    <row r="178" spans="1:21" ht="90" x14ac:dyDescent="0.25">
      <c r="A178" s="45">
        <v>42458</v>
      </c>
      <c r="B178" s="46" t="s">
        <v>110</v>
      </c>
      <c r="D178" s="46" t="s">
        <v>1070</v>
      </c>
      <c r="E178" s="46" t="s">
        <v>588</v>
      </c>
      <c r="F178" s="47" t="s">
        <v>1428</v>
      </c>
      <c r="H178" s="48" t="s">
        <v>607</v>
      </c>
      <c r="I178" s="46" t="s">
        <v>1429</v>
      </c>
      <c r="M178" s="50">
        <v>261999</v>
      </c>
      <c r="N178" s="51">
        <v>524999</v>
      </c>
      <c r="O178" s="50" t="s">
        <v>1033</v>
      </c>
      <c r="P178" s="65" t="s">
        <v>1438</v>
      </c>
      <c r="Q178" s="46" t="s">
        <v>1612</v>
      </c>
      <c r="R178" s="47" t="s">
        <v>1565</v>
      </c>
      <c r="U178" s="46" t="s">
        <v>491</v>
      </c>
    </row>
    <row r="179" spans="1:21" ht="75" x14ac:dyDescent="0.25">
      <c r="A179" s="45">
        <v>42458</v>
      </c>
      <c r="B179" s="46" t="s">
        <v>378</v>
      </c>
      <c r="C179" s="45" t="s">
        <v>610</v>
      </c>
      <c r="D179" s="46" t="s">
        <v>732</v>
      </c>
      <c r="E179" s="46" t="s">
        <v>588</v>
      </c>
      <c r="F179" s="47" t="s">
        <v>1430</v>
      </c>
      <c r="H179" s="48" t="s">
        <v>710</v>
      </c>
      <c r="I179" s="46" t="s">
        <v>927</v>
      </c>
      <c r="M179" s="50">
        <v>1181302</v>
      </c>
      <c r="N179" s="51">
        <v>3031862</v>
      </c>
      <c r="O179" s="50" t="s">
        <v>1431</v>
      </c>
      <c r="P179" s="65" t="s">
        <v>1432</v>
      </c>
      <c r="Q179" s="46" t="s">
        <v>592</v>
      </c>
      <c r="R179" s="47" t="s">
        <v>1433</v>
      </c>
      <c r="U179" s="46" t="s">
        <v>491</v>
      </c>
    </row>
    <row r="180" spans="1:21" ht="60" x14ac:dyDescent="0.25">
      <c r="A180" s="45">
        <v>42458</v>
      </c>
      <c r="B180" s="46" t="s">
        <v>328</v>
      </c>
      <c r="C180" s="45" t="s">
        <v>603</v>
      </c>
      <c r="D180" s="46" t="s">
        <v>649</v>
      </c>
      <c r="E180" s="46" t="s">
        <v>588</v>
      </c>
      <c r="F180" s="47" t="s">
        <v>1434</v>
      </c>
      <c r="H180" s="47" t="s">
        <v>1050</v>
      </c>
      <c r="I180" s="46" t="s">
        <v>1004</v>
      </c>
      <c r="M180" s="50">
        <v>400000</v>
      </c>
      <c r="N180" s="51">
        <v>400000</v>
      </c>
      <c r="O180" s="50" t="s">
        <v>1435</v>
      </c>
      <c r="P180" s="65" t="s">
        <v>1436</v>
      </c>
      <c r="Q180" s="46" t="s">
        <v>592</v>
      </c>
      <c r="R180" s="47" t="s">
        <v>1437</v>
      </c>
      <c r="U180" s="46" t="s">
        <v>491</v>
      </c>
    </row>
    <row r="181" spans="1:21" ht="105" x14ac:dyDescent="0.25">
      <c r="A181" s="45">
        <v>42459</v>
      </c>
      <c r="B181" s="46" t="s">
        <v>378</v>
      </c>
      <c r="C181" s="45" t="s">
        <v>610</v>
      </c>
      <c r="D181" s="46" t="s">
        <v>625</v>
      </c>
      <c r="E181" s="46" t="s">
        <v>588</v>
      </c>
      <c r="F181" s="47" t="s">
        <v>1439</v>
      </c>
      <c r="H181" s="48" t="s">
        <v>809</v>
      </c>
      <c r="I181" s="46" t="s">
        <v>1440</v>
      </c>
      <c r="M181" s="50">
        <v>1681000</v>
      </c>
      <c r="N181" s="51">
        <v>2857700</v>
      </c>
      <c r="O181" s="50" t="s">
        <v>1441</v>
      </c>
      <c r="P181" s="65" t="s">
        <v>1442</v>
      </c>
      <c r="Q181" s="46" t="s">
        <v>592</v>
      </c>
      <c r="U181" s="46" t="s">
        <v>491</v>
      </c>
    </row>
    <row r="182" spans="1:21" ht="30" x14ac:dyDescent="0.25">
      <c r="A182" s="45">
        <v>42459</v>
      </c>
      <c r="B182" s="46" t="s">
        <v>643</v>
      </c>
      <c r="C182" s="45" t="s">
        <v>644</v>
      </c>
      <c r="D182" s="46" t="s">
        <v>645</v>
      </c>
      <c r="E182" s="46" t="s">
        <v>588</v>
      </c>
      <c r="F182" s="47" t="s">
        <v>1448</v>
      </c>
      <c r="H182" s="48" t="s">
        <v>722</v>
      </c>
      <c r="I182" s="46" t="s">
        <v>1449</v>
      </c>
      <c r="M182" s="50">
        <v>1500000</v>
      </c>
      <c r="N182" s="51">
        <v>1650000</v>
      </c>
      <c r="O182" s="50" t="s">
        <v>1450</v>
      </c>
      <c r="P182" s="65" t="s">
        <v>1451</v>
      </c>
      <c r="Q182" s="46" t="s">
        <v>592</v>
      </c>
      <c r="R182" s="47" t="s">
        <v>1465</v>
      </c>
      <c r="U182" s="46" t="s">
        <v>491</v>
      </c>
    </row>
    <row r="183" spans="1:21" ht="45" x14ac:dyDescent="0.25">
      <c r="A183" s="45">
        <v>42459</v>
      </c>
      <c r="B183" s="46" t="s">
        <v>378</v>
      </c>
      <c r="C183" s="45" t="s">
        <v>623</v>
      </c>
      <c r="D183" s="46" t="s">
        <v>624</v>
      </c>
      <c r="E183" s="46" t="s">
        <v>821</v>
      </c>
      <c r="H183" s="48" t="s">
        <v>1050</v>
      </c>
      <c r="I183" s="46" t="s">
        <v>1452</v>
      </c>
      <c r="O183" s="50" t="s">
        <v>1453</v>
      </c>
      <c r="P183" s="65" t="s">
        <v>1454</v>
      </c>
      <c r="Q183" s="46" t="s">
        <v>29</v>
      </c>
      <c r="R183" s="47" t="s">
        <v>1455</v>
      </c>
      <c r="U183" s="46" t="s">
        <v>491</v>
      </c>
    </row>
    <row r="184" spans="1:21" ht="105" x14ac:dyDescent="0.25">
      <c r="A184" s="45">
        <v>42459</v>
      </c>
      <c r="B184" s="46" t="s">
        <v>643</v>
      </c>
      <c r="C184" s="45" t="s">
        <v>644</v>
      </c>
      <c r="D184" s="46" t="s">
        <v>645</v>
      </c>
      <c r="E184" s="46" t="s">
        <v>588</v>
      </c>
      <c r="F184" s="47" t="s">
        <v>1461</v>
      </c>
      <c r="H184" s="48" t="s">
        <v>1391</v>
      </c>
      <c r="I184" s="46" t="s">
        <v>1464</v>
      </c>
      <c r="M184" s="50">
        <v>600000</v>
      </c>
      <c r="N184" s="51">
        <v>815000</v>
      </c>
      <c r="O184" s="50" t="s">
        <v>1462</v>
      </c>
      <c r="P184" s="65" t="s">
        <v>1463</v>
      </c>
      <c r="Q184" s="46" t="s">
        <v>620</v>
      </c>
      <c r="R184" s="47" t="s">
        <v>1484</v>
      </c>
      <c r="U184" s="46" t="s">
        <v>491</v>
      </c>
    </row>
    <row r="185" spans="1:21" ht="120" x14ac:dyDescent="0.25">
      <c r="A185" s="45">
        <v>42459</v>
      </c>
      <c r="B185" s="46" t="s">
        <v>328</v>
      </c>
      <c r="C185" s="45" t="s">
        <v>603</v>
      </c>
      <c r="D185" s="46" t="s">
        <v>1401</v>
      </c>
      <c r="E185" s="46" t="s">
        <v>588</v>
      </c>
      <c r="F185" s="47" t="s">
        <v>1443</v>
      </c>
      <c r="H185" s="47" t="s">
        <v>607</v>
      </c>
      <c r="I185" s="46" t="s">
        <v>802</v>
      </c>
      <c r="M185" s="50">
        <v>500000</v>
      </c>
      <c r="N185" s="51">
        <v>900000</v>
      </c>
      <c r="O185" s="50" t="s">
        <v>695</v>
      </c>
      <c r="P185" s="65" t="s">
        <v>1478</v>
      </c>
      <c r="Q185" s="46" t="s">
        <v>592</v>
      </c>
      <c r="R185" s="47" t="s">
        <v>1477</v>
      </c>
      <c r="U185" s="46" t="s">
        <v>491</v>
      </c>
    </row>
    <row r="186" spans="1:21" ht="90" x14ac:dyDescent="0.25">
      <c r="A186" s="45">
        <v>42459</v>
      </c>
      <c r="B186" s="46" t="s">
        <v>328</v>
      </c>
      <c r="C186" s="45" t="s">
        <v>603</v>
      </c>
      <c r="D186" s="46" t="s">
        <v>587</v>
      </c>
      <c r="E186" s="46" t="s">
        <v>588</v>
      </c>
      <c r="F186" s="47" t="s">
        <v>1456</v>
      </c>
      <c r="H186" s="47" t="s">
        <v>1391</v>
      </c>
      <c r="I186" s="46" t="s">
        <v>1460</v>
      </c>
      <c r="M186" s="50">
        <v>185000</v>
      </c>
      <c r="N186" s="51">
        <v>290500</v>
      </c>
      <c r="O186" s="50" t="s">
        <v>1457</v>
      </c>
      <c r="P186" s="65" t="s">
        <v>1458</v>
      </c>
      <c r="Q186" s="46" t="s">
        <v>592</v>
      </c>
      <c r="R186" s="47" t="s">
        <v>1459</v>
      </c>
      <c r="U186" s="46" t="s">
        <v>491</v>
      </c>
    </row>
    <row r="187" spans="1:21" ht="75" x14ac:dyDescent="0.25">
      <c r="A187" s="45">
        <v>42459</v>
      </c>
      <c r="B187" s="46" t="s">
        <v>328</v>
      </c>
      <c r="C187" s="45" t="s">
        <v>603</v>
      </c>
      <c r="D187" s="46" t="s">
        <v>672</v>
      </c>
      <c r="E187" s="46" t="s">
        <v>588</v>
      </c>
      <c r="F187" s="47" t="s">
        <v>1444</v>
      </c>
      <c r="H187" s="47" t="s">
        <v>722</v>
      </c>
      <c r="I187" s="46" t="s">
        <v>1395</v>
      </c>
      <c r="M187" s="50">
        <v>320000</v>
      </c>
      <c r="N187" s="51">
        <v>576000</v>
      </c>
      <c r="O187" s="50" t="s">
        <v>1445</v>
      </c>
      <c r="P187" s="65" t="s">
        <v>1446</v>
      </c>
      <c r="Q187" s="46" t="s">
        <v>29</v>
      </c>
      <c r="R187" s="47" t="s">
        <v>1447</v>
      </c>
      <c r="U187" s="46" t="s">
        <v>491</v>
      </c>
    </row>
    <row r="188" spans="1:21" ht="45" x14ac:dyDescent="0.25">
      <c r="A188" s="45">
        <v>42460</v>
      </c>
      <c r="B188" s="46" t="s">
        <v>643</v>
      </c>
      <c r="C188" s="45" t="s">
        <v>644</v>
      </c>
      <c r="D188" s="46" t="s">
        <v>645</v>
      </c>
      <c r="E188" s="46" t="s">
        <v>588</v>
      </c>
      <c r="F188" s="47" t="s">
        <v>1466</v>
      </c>
      <c r="H188" s="47" t="s">
        <v>1467</v>
      </c>
      <c r="I188" s="46" t="s">
        <v>1468</v>
      </c>
      <c r="M188" s="50">
        <v>265500</v>
      </c>
      <c r="N188" s="51">
        <v>504450</v>
      </c>
      <c r="O188" s="50" t="s">
        <v>1469</v>
      </c>
      <c r="P188" s="65" t="s">
        <v>1470</v>
      </c>
      <c r="Q188" s="46" t="s">
        <v>592</v>
      </c>
      <c r="U188" s="46" t="s">
        <v>491</v>
      </c>
    </row>
    <row r="189" spans="1:21" ht="60" x14ac:dyDescent="0.25">
      <c r="A189" s="45">
        <v>42460</v>
      </c>
      <c r="B189" s="46" t="s">
        <v>328</v>
      </c>
      <c r="C189" s="45" t="s">
        <v>603</v>
      </c>
      <c r="D189" s="46" t="s">
        <v>1471</v>
      </c>
      <c r="E189" s="46" t="s">
        <v>588</v>
      </c>
      <c r="F189" s="47" t="s">
        <v>1472</v>
      </c>
      <c r="H189" s="47" t="s">
        <v>905</v>
      </c>
      <c r="I189" s="46" t="s">
        <v>1473</v>
      </c>
      <c r="M189" s="50">
        <v>1500000</v>
      </c>
      <c r="N189" s="51">
        <v>1800000</v>
      </c>
      <c r="O189" s="50" t="s">
        <v>1474</v>
      </c>
      <c r="P189" s="65" t="s">
        <v>1475</v>
      </c>
      <c r="Q189" s="46" t="s">
        <v>592</v>
      </c>
      <c r="R189" s="47" t="s">
        <v>1476</v>
      </c>
      <c r="U189" s="46" t="s">
        <v>491</v>
      </c>
    </row>
    <row r="190" spans="1:21" ht="60" x14ac:dyDescent="0.25">
      <c r="A190" s="45">
        <v>42461</v>
      </c>
      <c r="B190" s="46" t="s">
        <v>1486</v>
      </c>
      <c r="C190" s="45" t="s">
        <v>604</v>
      </c>
      <c r="D190" s="46" t="s">
        <v>595</v>
      </c>
      <c r="E190" s="46" t="s">
        <v>821</v>
      </c>
      <c r="H190" s="48" t="s">
        <v>886</v>
      </c>
      <c r="I190" s="46" t="s">
        <v>1487</v>
      </c>
      <c r="M190" s="50">
        <v>300000</v>
      </c>
      <c r="O190" s="50" t="s">
        <v>1488</v>
      </c>
      <c r="P190" s="65" t="s">
        <v>1489</v>
      </c>
      <c r="Q190" s="46" t="s">
        <v>29</v>
      </c>
      <c r="R190" s="47" t="s">
        <v>1490</v>
      </c>
      <c r="U190" s="46" t="s">
        <v>491</v>
      </c>
    </row>
    <row r="191" spans="1:21" ht="45" x14ac:dyDescent="0.25">
      <c r="A191" s="45">
        <v>42461</v>
      </c>
      <c r="B191" s="46" t="s">
        <v>1486</v>
      </c>
      <c r="C191" s="45" t="s">
        <v>604</v>
      </c>
      <c r="D191" s="46" t="s">
        <v>595</v>
      </c>
      <c r="E191" s="46" t="s">
        <v>588</v>
      </c>
      <c r="F191" s="47" t="s">
        <v>1491</v>
      </c>
      <c r="H191" s="48" t="s">
        <v>886</v>
      </c>
      <c r="I191" s="46" t="s">
        <v>1492</v>
      </c>
      <c r="M191" s="50">
        <v>158000</v>
      </c>
      <c r="N191" s="51">
        <v>300200</v>
      </c>
      <c r="O191" s="50" t="s">
        <v>1493</v>
      </c>
      <c r="P191" s="65" t="s">
        <v>1494</v>
      </c>
      <c r="Q191" s="46" t="s">
        <v>1612</v>
      </c>
      <c r="R191" s="47" t="s">
        <v>1525</v>
      </c>
      <c r="U191" s="46" t="s">
        <v>491</v>
      </c>
    </row>
    <row r="192" spans="1:21" ht="75" x14ac:dyDescent="0.25">
      <c r="A192" s="45">
        <v>42464</v>
      </c>
      <c r="B192" s="46" t="s">
        <v>328</v>
      </c>
      <c r="C192" s="45" t="s">
        <v>603</v>
      </c>
      <c r="D192" s="46" t="s">
        <v>1401</v>
      </c>
      <c r="E192" s="46" t="s">
        <v>588</v>
      </c>
      <c r="F192" s="47" t="s">
        <v>1665</v>
      </c>
      <c r="H192" s="47" t="s">
        <v>809</v>
      </c>
      <c r="I192" s="46" t="s">
        <v>1527</v>
      </c>
      <c r="M192" s="50">
        <v>510000</v>
      </c>
      <c r="N192" s="51">
        <v>969000</v>
      </c>
      <c r="O192" s="50" t="s">
        <v>1524</v>
      </c>
      <c r="P192" s="65" t="s">
        <v>1666</v>
      </c>
      <c r="Q192" s="46" t="s">
        <v>1612</v>
      </c>
      <c r="R192" s="47" t="s">
        <v>1667</v>
      </c>
      <c r="U192" s="46" t="s">
        <v>491</v>
      </c>
    </row>
    <row r="193" spans="1:21" ht="90" x14ac:dyDescent="0.25">
      <c r="A193" s="45">
        <v>42464</v>
      </c>
      <c r="B193" s="46" t="s">
        <v>1486</v>
      </c>
      <c r="C193" s="45" t="s">
        <v>602</v>
      </c>
      <c r="D193" s="46" t="s">
        <v>1495</v>
      </c>
      <c r="E193" s="46" t="s">
        <v>588</v>
      </c>
      <c r="F193" s="47" t="s">
        <v>1496</v>
      </c>
      <c r="H193" s="48" t="s">
        <v>886</v>
      </c>
      <c r="I193" s="46" t="s">
        <v>1497</v>
      </c>
      <c r="M193" s="50">
        <v>4000000</v>
      </c>
      <c r="N193" s="51">
        <v>5000000</v>
      </c>
      <c r="O193" s="50" t="s">
        <v>1498</v>
      </c>
      <c r="P193" s="65" t="s">
        <v>1499</v>
      </c>
      <c r="Q193" s="46" t="s">
        <v>620</v>
      </c>
      <c r="U193" s="46" t="s">
        <v>491</v>
      </c>
    </row>
    <row r="194" spans="1:21" ht="75" x14ac:dyDescent="0.25">
      <c r="A194" s="45">
        <v>42464</v>
      </c>
      <c r="B194" s="46" t="s">
        <v>378</v>
      </c>
      <c r="C194" s="45" t="s">
        <v>610</v>
      </c>
      <c r="D194" s="46" t="s">
        <v>1027</v>
      </c>
      <c r="E194" s="46" t="s">
        <v>588</v>
      </c>
      <c r="F194" s="47" t="s">
        <v>1500</v>
      </c>
      <c r="H194" s="48" t="s">
        <v>905</v>
      </c>
      <c r="I194" s="46" t="s">
        <v>1501</v>
      </c>
      <c r="M194" s="50">
        <v>300000</v>
      </c>
      <c r="N194" s="51">
        <v>360000</v>
      </c>
      <c r="O194" s="50" t="s">
        <v>1502</v>
      </c>
      <c r="P194" s="65" t="s">
        <v>1503</v>
      </c>
      <c r="Q194" s="46" t="s">
        <v>592</v>
      </c>
      <c r="R194" s="47" t="s">
        <v>1504</v>
      </c>
      <c r="U194" s="46" t="s">
        <v>491</v>
      </c>
    </row>
    <row r="195" spans="1:21" ht="135" x14ac:dyDescent="0.25">
      <c r="A195" s="45">
        <v>42464</v>
      </c>
      <c r="B195" s="46" t="s">
        <v>378</v>
      </c>
      <c r="C195" s="45" t="s">
        <v>623</v>
      </c>
      <c r="D195" s="46" t="s">
        <v>625</v>
      </c>
      <c r="E195" s="46" t="s">
        <v>588</v>
      </c>
      <c r="F195" s="47" t="s">
        <v>1505</v>
      </c>
      <c r="H195" s="48" t="s">
        <v>607</v>
      </c>
      <c r="I195" s="46" t="s">
        <v>1506</v>
      </c>
      <c r="O195" s="50" t="s">
        <v>1507</v>
      </c>
      <c r="P195" s="65" t="s">
        <v>1508</v>
      </c>
      <c r="Q195" s="46" t="s">
        <v>592</v>
      </c>
      <c r="U195" s="46" t="s">
        <v>491</v>
      </c>
    </row>
    <row r="196" spans="1:21" ht="60" x14ac:dyDescent="0.25">
      <c r="A196" s="45">
        <v>42464</v>
      </c>
      <c r="B196" s="46" t="s">
        <v>378</v>
      </c>
      <c r="C196" s="45" t="s">
        <v>623</v>
      </c>
      <c r="D196" s="46" t="s">
        <v>624</v>
      </c>
      <c r="E196" s="46" t="s">
        <v>588</v>
      </c>
      <c r="H196" s="48" t="s">
        <v>905</v>
      </c>
      <c r="I196" s="46" t="s">
        <v>1452</v>
      </c>
      <c r="O196" s="50" t="s">
        <v>1516</v>
      </c>
      <c r="P196" s="65" t="s">
        <v>1517</v>
      </c>
      <c r="Q196" s="46" t="s">
        <v>592</v>
      </c>
      <c r="R196" s="47" t="s">
        <v>1518</v>
      </c>
      <c r="U196" s="46" t="s">
        <v>491</v>
      </c>
    </row>
    <row r="197" spans="1:21" ht="75" x14ac:dyDescent="0.25">
      <c r="A197" s="45">
        <v>42464</v>
      </c>
      <c r="B197" s="46" t="s">
        <v>378</v>
      </c>
      <c r="C197" s="45" t="s">
        <v>623</v>
      </c>
      <c r="D197" s="46" t="s">
        <v>930</v>
      </c>
      <c r="E197" s="46" t="s">
        <v>588</v>
      </c>
      <c r="F197" s="47" t="s">
        <v>1520</v>
      </c>
      <c r="H197" s="48" t="s">
        <v>607</v>
      </c>
      <c r="I197" s="46" t="s">
        <v>1521</v>
      </c>
      <c r="M197" s="50">
        <v>2890000</v>
      </c>
      <c r="N197" s="51">
        <v>3705000</v>
      </c>
      <c r="O197" s="50" t="s">
        <v>891</v>
      </c>
      <c r="P197" s="65" t="s">
        <v>1522</v>
      </c>
      <c r="Q197" s="46" t="s">
        <v>592</v>
      </c>
      <c r="R197" s="47" t="s">
        <v>1523</v>
      </c>
      <c r="U197" s="46" t="s">
        <v>491</v>
      </c>
    </row>
    <row r="198" spans="1:21" ht="60" x14ac:dyDescent="0.25">
      <c r="A198" s="45">
        <v>42465</v>
      </c>
      <c r="B198" s="46" t="s">
        <v>328</v>
      </c>
      <c r="C198" s="45" t="s">
        <v>603</v>
      </c>
      <c r="D198" s="46" t="s">
        <v>587</v>
      </c>
      <c r="E198" s="46" t="s">
        <v>588</v>
      </c>
      <c r="F198" s="47" t="s">
        <v>1538</v>
      </c>
      <c r="H198" s="47" t="s">
        <v>1057</v>
      </c>
      <c r="I198" s="46" t="s">
        <v>1452</v>
      </c>
      <c r="O198" s="50" t="s">
        <v>1539</v>
      </c>
      <c r="P198" s="65" t="s">
        <v>1540</v>
      </c>
      <c r="Q198" s="46" t="s">
        <v>592</v>
      </c>
      <c r="R198" s="47" t="s">
        <v>1541</v>
      </c>
      <c r="U198" s="46" t="s">
        <v>491</v>
      </c>
    </row>
    <row r="199" spans="1:21" ht="90" x14ac:dyDescent="0.25">
      <c r="A199" s="45">
        <v>42465</v>
      </c>
      <c r="B199" s="46" t="s">
        <v>378</v>
      </c>
      <c r="C199" s="45" t="s">
        <v>610</v>
      </c>
      <c r="D199" s="46" t="s">
        <v>732</v>
      </c>
      <c r="E199" s="46" t="s">
        <v>588</v>
      </c>
      <c r="F199" s="47" t="s">
        <v>1526</v>
      </c>
      <c r="H199" s="48" t="s">
        <v>607</v>
      </c>
      <c r="I199" s="46" t="s">
        <v>1528</v>
      </c>
      <c r="M199" s="50">
        <v>1900000</v>
      </c>
      <c r="N199" s="51">
        <v>4167000</v>
      </c>
      <c r="O199" s="50" t="s">
        <v>891</v>
      </c>
      <c r="P199" s="65" t="s">
        <v>1529</v>
      </c>
      <c r="Q199" s="46" t="s">
        <v>592</v>
      </c>
      <c r="R199" s="47" t="s">
        <v>1534</v>
      </c>
      <c r="U199" s="46" t="s">
        <v>491</v>
      </c>
    </row>
    <row r="200" spans="1:21" ht="75" x14ac:dyDescent="0.25">
      <c r="A200" s="45">
        <v>42465</v>
      </c>
      <c r="B200" s="46" t="s">
        <v>378</v>
      </c>
      <c r="C200" s="45" t="s">
        <v>623</v>
      </c>
      <c r="D200" s="46" t="s">
        <v>800</v>
      </c>
      <c r="E200" s="46" t="s">
        <v>588</v>
      </c>
      <c r="F200" s="47" t="s">
        <v>1530</v>
      </c>
      <c r="H200" s="48" t="s">
        <v>607</v>
      </c>
      <c r="I200" s="46" t="s">
        <v>1452</v>
      </c>
      <c r="O200" s="50" t="s">
        <v>1531</v>
      </c>
      <c r="P200" s="65" t="s">
        <v>1532</v>
      </c>
      <c r="Q200" s="46" t="s">
        <v>592</v>
      </c>
      <c r="R200" s="47" t="s">
        <v>1533</v>
      </c>
      <c r="U200" s="46" t="s">
        <v>491</v>
      </c>
    </row>
    <row r="201" spans="1:21" ht="60" x14ac:dyDescent="0.25">
      <c r="A201" s="45">
        <v>42465</v>
      </c>
      <c r="B201" s="46" t="s">
        <v>643</v>
      </c>
      <c r="C201" s="45" t="s">
        <v>644</v>
      </c>
      <c r="D201" s="46" t="s">
        <v>645</v>
      </c>
      <c r="E201" s="46" t="s">
        <v>588</v>
      </c>
      <c r="F201" s="47" t="s">
        <v>1535</v>
      </c>
      <c r="H201" s="48" t="s">
        <v>607</v>
      </c>
      <c r="I201" s="46" t="s">
        <v>1536</v>
      </c>
      <c r="M201" s="50">
        <v>2900000</v>
      </c>
      <c r="N201" s="51">
        <v>4448000</v>
      </c>
      <c r="O201" s="50" t="s">
        <v>891</v>
      </c>
      <c r="P201" s="65" t="s">
        <v>1548</v>
      </c>
      <c r="Q201" s="46" t="s">
        <v>592</v>
      </c>
      <c r="R201" s="47" t="s">
        <v>1537</v>
      </c>
      <c r="U201" s="46" t="s">
        <v>491</v>
      </c>
    </row>
    <row r="202" spans="1:21" ht="90" x14ac:dyDescent="0.25">
      <c r="A202" s="45">
        <v>42465</v>
      </c>
      <c r="B202" s="46" t="s">
        <v>378</v>
      </c>
      <c r="C202" s="45" t="s">
        <v>623</v>
      </c>
      <c r="D202" s="46" t="s">
        <v>800</v>
      </c>
      <c r="E202" s="46" t="s">
        <v>588</v>
      </c>
      <c r="F202" s="47" t="s">
        <v>1542</v>
      </c>
      <c r="H202" s="48" t="s">
        <v>607</v>
      </c>
      <c r="I202" s="46" t="s">
        <v>1543</v>
      </c>
      <c r="J202" s="73"/>
      <c r="K202" s="73"/>
      <c r="L202" s="73"/>
      <c r="M202" s="74">
        <v>1400000</v>
      </c>
      <c r="N202" s="51">
        <v>2940000</v>
      </c>
      <c r="O202" s="50" t="s">
        <v>1544</v>
      </c>
      <c r="P202" s="65" t="s">
        <v>1549</v>
      </c>
      <c r="Q202" s="46" t="s">
        <v>620</v>
      </c>
      <c r="R202" s="47" t="s">
        <v>1545</v>
      </c>
      <c r="U202" s="46" t="s">
        <v>491</v>
      </c>
    </row>
    <row r="203" spans="1:21" ht="60" x14ac:dyDescent="0.25">
      <c r="A203" s="45">
        <v>42465</v>
      </c>
      <c r="B203" s="46" t="s">
        <v>378</v>
      </c>
      <c r="C203" s="45" t="s">
        <v>623</v>
      </c>
      <c r="D203" s="46" t="s">
        <v>624</v>
      </c>
      <c r="E203" s="46" t="s">
        <v>588</v>
      </c>
      <c r="F203" s="47" t="s">
        <v>1546</v>
      </c>
      <c r="H203" s="48" t="s">
        <v>607</v>
      </c>
      <c r="I203" s="46" t="s">
        <v>1547</v>
      </c>
      <c r="M203" s="75">
        <v>487868</v>
      </c>
      <c r="N203" s="51">
        <v>682868</v>
      </c>
      <c r="O203" s="50" t="s">
        <v>1272</v>
      </c>
      <c r="P203" s="65" t="s">
        <v>1550</v>
      </c>
      <c r="Q203" s="46" t="s">
        <v>592</v>
      </c>
      <c r="U203" s="46" t="s">
        <v>491</v>
      </c>
    </row>
    <row r="204" spans="1:21" ht="90" x14ac:dyDescent="0.25">
      <c r="A204" s="45">
        <v>42465</v>
      </c>
      <c r="B204" s="46" t="s">
        <v>328</v>
      </c>
      <c r="C204" s="45" t="s">
        <v>1555</v>
      </c>
      <c r="D204" s="46" t="s">
        <v>649</v>
      </c>
      <c r="E204" s="46" t="s">
        <v>588</v>
      </c>
      <c r="F204" s="47" t="s">
        <v>1556</v>
      </c>
      <c r="H204" s="47" t="s">
        <v>607</v>
      </c>
      <c r="I204" s="46" t="s">
        <v>1557</v>
      </c>
      <c r="M204" s="50">
        <v>363000</v>
      </c>
      <c r="N204" s="51">
        <v>793000</v>
      </c>
      <c r="O204" s="50" t="s">
        <v>969</v>
      </c>
      <c r="P204" s="65" t="s">
        <v>1558</v>
      </c>
      <c r="Q204" s="46" t="s">
        <v>592</v>
      </c>
      <c r="R204" s="47" t="s">
        <v>1559</v>
      </c>
      <c r="U204" s="46" t="s">
        <v>491</v>
      </c>
    </row>
    <row r="205" spans="1:21" ht="75" x14ac:dyDescent="0.25">
      <c r="A205" s="45">
        <v>42465</v>
      </c>
      <c r="B205" s="46" t="s">
        <v>328</v>
      </c>
      <c r="C205" s="45" t="s">
        <v>603</v>
      </c>
      <c r="D205" s="46" t="s">
        <v>649</v>
      </c>
      <c r="E205" s="46" t="s">
        <v>588</v>
      </c>
      <c r="F205" s="47" t="s">
        <v>1551</v>
      </c>
      <c r="H205" s="47" t="s">
        <v>722</v>
      </c>
      <c r="I205" s="46" t="s">
        <v>1552</v>
      </c>
      <c r="M205" s="50">
        <v>1954000</v>
      </c>
      <c r="N205" s="51">
        <v>3321800</v>
      </c>
      <c r="O205" s="50" t="s">
        <v>891</v>
      </c>
      <c r="P205" s="65" t="s">
        <v>1554</v>
      </c>
      <c r="Q205" s="46" t="s">
        <v>620</v>
      </c>
      <c r="R205" s="47" t="s">
        <v>1553</v>
      </c>
      <c r="U205" s="46" t="s">
        <v>491</v>
      </c>
    </row>
    <row r="206" spans="1:21" ht="150" x14ac:dyDescent="0.25">
      <c r="A206" s="45">
        <v>42466</v>
      </c>
      <c r="B206" s="46" t="s">
        <v>378</v>
      </c>
      <c r="C206" s="45" t="s">
        <v>623</v>
      </c>
      <c r="D206" s="46" t="s">
        <v>930</v>
      </c>
      <c r="E206" s="46" t="s">
        <v>692</v>
      </c>
      <c r="F206" s="47" t="s">
        <v>1560</v>
      </c>
      <c r="H206" s="48" t="s">
        <v>1561</v>
      </c>
      <c r="I206" s="46" t="s">
        <v>1562</v>
      </c>
      <c r="M206" s="50">
        <v>2500000</v>
      </c>
      <c r="N206" s="51">
        <v>4275500</v>
      </c>
      <c r="O206" s="50" t="s">
        <v>1516</v>
      </c>
      <c r="P206" s="65" t="s">
        <v>1563</v>
      </c>
      <c r="Q206" s="46" t="s">
        <v>592</v>
      </c>
      <c r="R206" s="47" t="s">
        <v>1564</v>
      </c>
      <c r="U206" s="46" t="s">
        <v>491</v>
      </c>
    </row>
    <row r="207" spans="1:21" ht="90" x14ac:dyDescent="0.25">
      <c r="A207" s="45">
        <v>42466</v>
      </c>
      <c r="B207" s="46" t="s">
        <v>328</v>
      </c>
      <c r="C207" s="45" t="s">
        <v>603</v>
      </c>
      <c r="D207" s="46" t="s">
        <v>672</v>
      </c>
      <c r="E207" s="46" t="s">
        <v>588</v>
      </c>
      <c r="F207" s="47" t="s">
        <v>1566</v>
      </c>
      <c r="H207" s="47" t="s">
        <v>1057</v>
      </c>
      <c r="I207" s="46" t="s">
        <v>789</v>
      </c>
      <c r="M207" s="50">
        <v>51000</v>
      </c>
      <c r="N207" s="51">
        <v>63000</v>
      </c>
      <c r="O207" s="50" t="s">
        <v>695</v>
      </c>
      <c r="P207" s="65" t="s">
        <v>1567</v>
      </c>
      <c r="Q207" s="46" t="s">
        <v>592</v>
      </c>
      <c r="U207" s="46" t="s">
        <v>491</v>
      </c>
    </row>
    <row r="208" spans="1:21" ht="45" x14ac:dyDescent="0.25">
      <c r="A208" s="45">
        <v>42466</v>
      </c>
      <c r="B208" s="46" t="s">
        <v>328</v>
      </c>
      <c r="C208" s="45" t="s">
        <v>603</v>
      </c>
      <c r="D208" s="46" t="s">
        <v>672</v>
      </c>
      <c r="E208" s="46" t="s">
        <v>588</v>
      </c>
      <c r="F208" s="47" t="s">
        <v>1568</v>
      </c>
      <c r="H208" s="47" t="s">
        <v>722</v>
      </c>
      <c r="I208" s="46" t="s">
        <v>1569</v>
      </c>
      <c r="M208" s="50">
        <v>250000</v>
      </c>
      <c r="N208" s="51">
        <v>525000</v>
      </c>
      <c r="O208" s="50" t="s">
        <v>1570</v>
      </c>
      <c r="P208" s="65" t="s">
        <v>1571</v>
      </c>
      <c r="Q208" s="46" t="s">
        <v>29</v>
      </c>
      <c r="R208" s="47" t="s">
        <v>1572</v>
      </c>
      <c r="U208" s="46" t="s">
        <v>491</v>
      </c>
    </row>
    <row r="209" spans="1:21" ht="45" x14ac:dyDescent="0.25">
      <c r="A209" s="45">
        <v>42467</v>
      </c>
      <c r="B209" s="46" t="s">
        <v>378</v>
      </c>
      <c r="C209" s="45" t="s">
        <v>623</v>
      </c>
      <c r="D209" s="46" t="s">
        <v>625</v>
      </c>
      <c r="E209" s="46" t="s">
        <v>588</v>
      </c>
      <c r="F209" s="47" t="s">
        <v>1576</v>
      </c>
      <c r="H209" s="48" t="s">
        <v>722</v>
      </c>
      <c r="I209" s="46" t="s">
        <v>1577</v>
      </c>
      <c r="M209" s="50">
        <v>375000</v>
      </c>
      <c r="N209" s="51">
        <v>637500</v>
      </c>
      <c r="O209" s="50" t="s">
        <v>901</v>
      </c>
      <c r="P209" s="65" t="s">
        <v>1584</v>
      </c>
      <c r="Q209" s="46" t="s">
        <v>620</v>
      </c>
      <c r="R209" s="47" t="s">
        <v>1578</v>
      </c>
      <c r="U209" s="46" t="s">
        <v>491</v>
      </c>
    </row>
    <row r="210" spans="1:21" ht="45" x14ac:dyDescent="0.25">
      <c r="A210" s="45">
        <v>42467</v>
      </c>
      <c r="B210" s="46" t="s">
        <v>378</v>
      </c>
      <c r="C210" s="45" t="s">
        <v>610</v>
      </c>
      <c r="D210" s="46" t="s">
        <v>732</v>
      </c>
      <c r="E210" s="46" t="s">
        <v>588</v>
      </c>
      <c r="F210" s="47" t="s">
        <v>1579</v>
      </c>
      <c r="H210" s="48" t="s">
        <v>1391</v>
      </c>
      <c r="I210" s="46" t="s">
        <v>1580</v>
      </c>
      <c r="M210" s="50">
        <v>150000</v>
      </c>
      <c r="N210" s="51">
        <v>270000</v>
      </c>
      <c r="O210" s="50" t="s">
        <v>1581</v>
      </c>
      <c r="P210" s="65" t="s">
        <v>1585</v>
      </c>
      <c r="Q210" s="46" t="s">
        <v>29</v>
      </c>
      <c r="R210" s="47" t="s">
        <v>1582</v>
      </c>
    </row>
    <row r="211" spans="1:21" ht="45" x14ac:dyDescent="0.25">
      <c r="A211" s="45">
        <v>42467</v>
      </c>
      <c r="B211" s="46" t="s">
        <v>378</v>
      </c>
      <c r="C211" s="45" t="s">
        <v>623</v>
      </c>
      <c r="D211" s="46" t="s">
        <v>625</v>
      </c>
      <c r="E211" s="46" t="s">
        <v>588</v>
      </c>
      <c r="H211" s="48" t="s">
        <v>710</v>
      </c>
      <c r="I211" s="46" t="s">
        <v>1452</v>
      </c>
      <c r="O211" s="50" t="s">
        <v>1589</v>
      </c>
      <c r="P211" s="65" t="s">
        <v>1590</v>
      </c>
      <c r="Q211" s="46" t="s">
        <v>29</v>
      </c>
      <c r="R211" s="47" t="s">
        <v>1591</v>
      </c>
      <c r="U211" s="46" t="s">
        <v>491</v>
      </c>
    </row>
    <row r="212" spans="1:21" ht="60" x14ac:dyDescent="0.25">
      <c r="A212" s="45">
        <v>42467</v>
      </c>
      <c r="B212" s="46" t="s">
        <v>1486</v>
      </c>
      <c r="C212" s="45" t="s">
        <v>604</v>
      </c>
      <c r="D212" s="46" t="s">
        <v>727</v>
      </c>
      <c r="E212" s="46" t="s">
        <v>588</v>
      </c>
      <c r="F212" s="47" t="s">
        <v>1592</v>
      </c>
      <c r="H212" s="48" t="s">
        <v>607</v>
      </c>
      <c r="I212" s="46" t="s">
        <v>1593</v>
      </c>
      <c r="M212" s="50">
        <v>511200</v>
      </c>
      <c r="N212" s="51">
        <v>621200</v>
      </c>
      <c r="O212" s="50" t="s">
        <v>1594</v>
      </c>
      <c r="P212" s="65" t="s">
        <v>1595</v>
      </c>
      <c r="Q212" s="46" t="s">
        <v>1612</v>
      </c>
      <c r="R212" s="47" t="s">
        <v>1605</v>
      </c>
      <c r="U212" s="46" t="s">
        <v>1328</v>
      </c>
    </row>
    <row r="213" spans="1:21" ht="90" x14ac:dyDescent="0.25">
      <c r="A213" s="45">
        <v>42467</v>
      </c>
      <c r="B213" s="46" t="s">
        <v>328</v>
      </c>
      <c r="C213" s="45" t="s">
        <v>603</v>
      </c>
      <c r="D213" s="46" t="s">
        <v>672</v>
      </c>
      <c r="E213" s="46" t="s">
        <v>588</v>
      </c>
      <c r="F213" s="47" t="s">
        <v>1573</v>
      </c>
      <c r="H213" s="47" t="s">
        <v>607</v>
      </c>
      <c r="I213" s="46" t="s">
        <v>1574</v>
      </c>
      <c r="M213" s="50">
        <v>981202</v>
      </c>
      <c r="N213" s="51">
        <v>1824283</v>
      </c>
      <c r="O213" s="50" t="s">
        <v>712</v>
      </c>
      <c r="P213" s="65" t="s">
        <v>1583</v>
      </c>
      <c r="Q213" s="46" t="s">
        <v>592</v>
      </c>
      <c r="R213" s="47" t="s">
        <v>1575</v>
      </c>
      <c r="U213" s="46" t="s">
        <v>491</v>
      </c>
    </row>
    <row r="214" spans="1:21" ht="63.75" customHeight="1" x14ac:dyDescent="0.25">
      <c r="A214" s="45">
        <v>42467</v>
      </c>
      <c r="B214" s="46" t="s">
        <v>328</v>
      </c>
      <c r="C214" s="45" t="s">
        <v>603</v>
      </c>
      <c r="D214" s="46" t="s">
        <v>672</v>
      </c>
      <c r="E214" s="46" t="s">
        <v>588</v>
      </c>
      <c r="F214" s="47" t="s">
        <v>1586</v>
      </c>
      <c r="H214" s="47" t="s">
        <v>607</v>
      </c>
      <c r="I214" s="46" t="s">
        <v>1407</v>
      </c>
      <c r="M214" s="50">
        <v>1155000</v>
      </c>
      <c r="N214" s="51">
        <v>1963500</v>
      </c>
      <c r="O214" s="50" t="s">
        <v>1587</v>
      </c>
      <c r="P214" s="65" t="s">
        <v>1588</v>
      </c>
      <c r="Q214" s="46" t="s">
        <v>1612</v>
      </c>
      <c r="R214" s="47" t="s">
        <v>3048</v>
      </c>
      <c r="S214" s="47" t="s">
        <v>3049</v>
      </c>
      <c r="U214" s="46" t="s">
        <v>491</v>
      </c>
    </row>
    <row r="215" spans="1:21" ht="63.75" customHeight="1" x14ac:dyDescent="0.25">
      <c r="A215" s="45">
        <v>42468</v>
      </c>
      <c r="B215" s="46" t="s">
        <v>328</v>
      </c>
      <c r="C215" s="45" t="s">
        <v>603</v>
      </c>
      <c r="D215" s="46" t="s">
        <v>1401</v>
      </c>
      <c r="E215" s="46" t="s">
        <v>588</v>
      </c>
      <c r="F215" s="47" t="s">
        <v>1632</v>
      </c>
      <c r="H215" s="47" t="s">
        <v>607</v>
      </c>
      <c r="O215" s="50" t="s">
        <v>1633</v>
      </c>
      <c r="P215" s="65" t="s">
        <v>1634</v>
      </c>
      <c r="Q215" s="46" t="s">
        <v>29</v>
      </c>
      <c r="R215" s="47" t="s">
        <v>1635</v>
      </c>
      <c r="S215" s="47" t="s">
        <v>1636</v>
      </c>
      <c r="U215" s="46" t="s">
        <v>633</v>
      </c>
    </row>
    <row r="216" spans="1:21" ht="45" x14ac:dyDescent="0.25">
      <c r="A216" s="45">
        <v>42468</v>
      </c>
      <c r="B216" s="46" t="s">
        <v>378</v>
      </c>
      <c r="C216" s="45" t="s">
        <v>623</v>
      </c>
      <c r="D216" s="46" t="s">
        <v>625</v>
      </c>
      <c r="E216" s="46" t="s">
        <v>588</v>
      </c>
      <c r="F216" s="47" t="s">
        <v>1596</v>
      </c>
      <c r="H216" s="48" t="s">
        <v>809</v>
      </c>
      <c r="I216" s="46" t="s">
        <v>1597</v>
      </c>
      <c r="M216" s="50">
        <v>394000</v>
      </c>
      <c r="O216" s="50" t="s">
        <v>1598</v>
      </c>
      <c r="P216" s="65" t="s">
        <v>1599</v>
      </c>
      <c r="Q216" s="46" t="s">
        <v>29</v>
      </c>
      <c r="R216" s="47" t="s">
        <v>1600</v>
      </c>
      <c r="U216" s="46" t="s">
        <v>633</v>
      </c>
    </row>
    <row r="217" spans="1:21" x14ac:dyDescent="0.25">
      <c r="A217" s="45">
        <v>42468</v>
      </c>
      <c r="B217" s="46" t="s">
        <v>378</v>
      </c>
      <c r="C217" s="45" t="s">
        <v>623</v>
      </c>
      <c r="D217" s="46" t="s">
        <v>625</v>
      </c>
      <c r="E217" s="46" t="s">
        <v>588</v>
      </c>
      <c r="F217" s="47" t="s">
        <v>1623</v>
      </c>
      <c r="H217" s="48"/>
      <c r="P217" s="65" t="s">
        <v>1624</v>
      </c>
      <c r="Q217" s="46" t="s">
        <v>592</v>
      </c>
      <c r="U217" s="46" t="s">
        <v>289</v>
      </c>
    </row>
    <row r="218" spans="1:21" ht="45" x14ac:dyDescent="0.25">
      <c r="A218" s="45">
        <v>42471</v>
      </c>
      <c r="B218" s="46" t="s">
        <v>378</v>
      </c>
      <c r="C218" s="45" t="s">
        <v>610</v>
      </c>
      <c r="D218" s="46" t="s">
        <v>625</v>
      </c>
      <c r="E218" s="46" t="s">
        <v>588</v>
      </c>
      <c r="F218" s="47" t="s">
        <v>1619</v>
      </c>
      <c r="H218" s="48" t="s">
        <v>1615</v>
      </c>
      <c r="I218" s="46" t="s">
        <v>1658</v>
      </c>
      <c r="M218" s="50">
        <v>1000000</v>
      </c>
      <c r="N218" s="51">
        <v>1205000</v>
      </c>
      <c r="O218" s="50" t="s">
        <v>1659</v>
      </c>
      <c r="P218" s="65" t="s">
        <v>1616</v>
      </c>
      <c r="Q218" s="46" t="s">
        <v>1612</v>
      </c>
      <c r="U218" s="46" t="s">
        <v>1660</v>
      </c>
    </row>
    <row r="219" spans="1:21" ht="75" x14ac:dyDescent="0.25">
      <c r="A219" s="45">
        <v>42471</v>
      </c>
      <c r="B219" s="46" t="s">
        <v>328</v>
      </c>
      <c r="C219" s="45" t="s">
        <v>603</v>
      </c>
      <c r="D219" s="46" t="s">
        <v>672</v>
      </c>
      <c r="E219" s="46" t="s">
        <v>588</v>
      </c>
      <c r="F219" s="47" t="s">
        <v>1601</v>
      </c>
      <c r="H219" s="47" t="s">
        <v>905</v>
      </c>
      <c r="I219" s="46" t="s">
        <v>1602</v>
      </c>
      <c r="M219" s="50">
        <v>710000</v>
      </c>
      <c r="N219" s="51">
        <v>932000</v>
      </c>
      <c r="O219" s="50" t="s">
        <v>695</v>
      </c>
      <c r="P219" s="65" t="s">
        <v>1603</v>
      </c>
      <c r="Q219" s="46" t="s">
        <v>620</v>
      </c>
      <c r="R219" s="47" t="s">
        <v>1604</v>
      </c>
      <c r="U219" s="46" t="s">
        <v>1327</v>
      </c>
    </row>
    <row r="220" spans="1:21" x14ac:dyDescent="0.25">
      <c r="A220" s="45">
        <v>42471</v>
      </c>
      <c r="B220" s="46" t="s">
        <v>328</v>
      </c>
      <c r="C220" s="45" t="s">
        <v>603</v>
      </c>
      <c r="D220" s="46" t="s">
        <v>649</v>
      </c>
      <c r="E220" s="46" t="s">
        <v>588</v>
      </c>
      <c r="F220" s="47" t="s">
        <v>1630</v>
      </c>
      <c r="O220" s="50" t="s">
        <v>1631</v>
      </c>
      <c r="Q220" s="46" t="s">
        <v>620</v>
      </c>
      <c r="U220" s="46" t="s">
        <v>633</v>
      </c>
    </row>
    <row r="221" spans="1:21" x14ac:dyDescent="0.25">
      <c r="A221" s="45">
        <v>42471</v>
      </c>
      <c r="B221" s="46" t="s">
        <v>328</v>
      </c>
      <c r="C221" s="45" t="s">
        <v>603</v>
      </c>
      <c r="D221" s="46" t="s">
        <v>649</v>
      </c>
      <c r="E221" s="46" t="s">
        <v>588</v>
      </c>
      <c r="F221" s="47" t="s">
        <v>1613</v>
      </c>
      <c r="H221" s="47" t="s">
        <v>905</v>
      </c>
      <c r="O221" s="50" t="s">
        <v>969</v>
      </c>
      <c r="P221" s="65" t="s">
        <v>1614</v>
      </c>
      <c r="Q221" s="46" t="s">
        <v>592</v>
      </c>
      <c r="U221" s="46" t="s">
        <v>633</v>
      </c>
    </row>
    <row r="222" spans="1:21" ht="75" x14ac:dyDescent="0.25">
      <c r="A222" s="45">
        <v>42472</v>
      </c>
      <c r="B222" s="46" t="s">
        <v>643</v>
      </c>
      <c r="C222" s="45" t="s">
        <v>644</v>
      </c>
      <c r="D222" s="46" t="s">
        <v>645</v>
      </c>
      <c r="E222" s="46" t="s">
        <v>588</v>
      </c>
      <c r="F222" s="47" t="s">
        <v>1606</v>
      </c>
      <c r="H222" s="48" t="s">
        <v>1050</v>
      </c>
      <c r="I222" s="46" t="s">
        <v>1607</v>
      </c>
      <c r="M222" s="50" t="s">
        <v>1608</v>
      </c>
      <c r="N222" s="51" t="s">
        <v>1608</v>
      </c>
      <c r="O222" s="50" t="s">
        <v>1609</v>
      </c>
      <c r="P222" s="65" t="s">
        <v>1610</v>
      </c>
      <c r="Q222" s="46" t="s">
        <v>592</v>
      </c>
      <c r="R222" s="47" t="s">
        <v>1611</v>
      </c>
      <c r="U222" s="77" t="s">
        <v>1327</v>
      </c>
    </row>
    <row r="223" spans="1:21" ht="45" x14ac:dyDescent="0.25">
      <c r="A223" s="45">
        <v>42472</v>
      </c>
      <c r="B223" s="46" t="s">
        <v>378</v>
      </c>
      <c r="C223" s="45" t="s">
        <v>623</v>
      </c>
      <c r="D223" s="46" t="s">
        <v>624</v>
      </c>
      <c r="E223" s="46" t="s">
        <v>588</v>
      </c>
      <c r="F223" s="47" t="s">
        <v>1617</v>
      </c>
      <c r="H223" s="48" t="s">
        <v>607</v>
      </c>
      <c r="O223" s="50" t="s">
        <v>1618</v>
      </c>
      <c r="Q223" s="46" t="s">
        <v>29</v>
      </c>
      <c r="R223" s="47" t="s">
        <v>1732</v>
      </c>
      <c r="U223" s="46" t="s">
        <v>1629</v>
      </c>
    </row>
    <row r="224" spans="1:21" ht="30" x14ac:dyDescent="0.25">
      <c r="A224" s="45">
        <v>42472</v>
      </c>
      <c r="B224" s="46" t="s">
        <v>378</v>
      </c>
      <c r="C224" s="45" t="s">
        <v>610</v>
      </c>
      <c r="D224" s="46" t="s">
        <v>611</v>
      </c>
      <c r="E224" s="46" t="s">
        <v>588</v>
      </c>
      <c r="F224" s="47" t="s">
        <v>1620</v>
      </c>
      <c r="H224" s="48" t="s">
        <v>607</v>
      </c>
      <c r="O224" s="50" t="s">
        <v>1621</v>
      </c>
      <c r="Q224" s="46" t="s">
        <v>620</v>
      </c>
      <c r="R224" s="47" t="s">
        <v>1622</v>
      </c>
      <c r="U224" s="46" t="s">
        <v>1629</v>
      </c>
    </row>
    <row r="225" spans="1:21" ht="30" x14ac:dyDescent="0.25">
      <c r="A225" s="45">
        <v>42473</v>
      </c>
      <c r="B225" s="46" t="s">
        <v>1486</v>
      </c>
      <c r="C225" s="45" t="s">
        <v>959</v>
      </c>
      <c r="D225" s="46" t="s">
        <v>732</v>
      </c>
      <c r="E225" s="46" t="s">
        <v>588</v>
      </c>
      <c r="F225" s="47" t="s">
        <v>1625</v>
      </c>
      <c r="H225" s="48" t="s">
        <v>1626</v>
      </c>
      <c r="O225" s="50" t="s">
        <v>1627</v>
      </c>
      <c r="Q225" s="46" t="s">
        <v>592</v>
      </c>
      <c r="R225" s="47" t="s">
        <v>1628</v>
      </c>
      <c r="U225" s="46" t="s">
        <v>491</v>
      </c>
    </row>
    <row r="226" spans="1:21" ht="60" x14ac:dyDescent="0.25">
      <c r="A226" s="45">
        <v>42473</v>
      </c>
      <c r="B226" s="46" t="s">
        <v>378</v>
      </c>
      <c r="C226" s="45" t="s">
        <v>623</v>
      </c>
      <c r="D226" s="46" t="s">
        <v>930</v>
      </c>
      <c r="E226" s="46" t="s">
        <v>821</v>
      </c>
      <c r="H226" s="48" t="s">
        <v>905</v>
      </c>
      <c r="O226" s="50" t="s">
        <v>1640</v>
      </c>
      <c r="P226" s="65" t="s">
        <v>1641</v>
      </c>
      <c r="Q226" s="46" t="s">
        <v>592</v>
      </c>
      <c r="U226" s="46" t="s">
        <v>491</v>
      </c>
    </row>
    <row r="227" spans="1:21" ht="45" x14ac:dyDescent="0.25">
      <c r="A227" s="45">
        <v>42473</v>
      </c>
      <c r="B227" s="46" t="s">
        <v>378</v>
      </c>
      <c r="C227" s="45" t="s">
        <v>623</v>
      </c>
      <c r="D227" s="46" t="s">
        <v>625</v>
      </c>
      <c r="E227" s="46" t="s">
        <v>692</v>
      </c>
      <c r="F227" s="47" t="s">
        <v>1642</v>
      </c>
      <c r="H227" s="48" t="s">
        <v>607</v>
      </c>
      <c r="I227" s="46" t="s">
        <v>1643</v>
      </c>
      <c r="M227" s="50">
        <v>1000000</v>
      </c>
      <c r="N227" s="51">
        <v>2000000</v>
      </c>
      <c r="O227" s="50" t="s">
        <v>1644</v>
      </c>
      <c r="P227" s="65" t="s">
        <v>1645</v>
      </c>
      <c r="Q227" s="46" t="s">
        <v>592</v>
      </c>
      <c r="R227" s="47" t="s">
        <v>1646</v>
      </c>
      <c r="U227" s="46" t="s">
        <v>491</v>
      </c>
    </row>
    <row r="228" spans="1:21" ht="45" x14ac:dyDescent="0.25">
      <c r="A228" s="45">
        <v>42473</v>
      </c>
      <c r="B228" s="46" t="s">
        <v>328</v>
      </c>
      <c r="C228" s="45" t="s">
        <v>603</v>
      </c>
      <c r="D228" s="46" t="s">
        <v>1471</v>
      </c>
      <c r="E228" s="46" t="s">
        <v>588</v>
      </c>
      <c r="F228" s="47" t="s">
        <v>1649</v>
      </c>
      <c r="H228" s="47" t="s">
        <v>722</v>
      </c>
      <c r="I228" s="46" t="s">
        <v>1650</v>
      </c>
      <c r="M228" s="50">
        <v>600000</v>
      </c>
      <c r="N228" s="51">
        <v>1200000</v>
      </c>
      <c r="O228" s="50" t="s">
        <v>1651</v>
      </c>
      <c r="P228" s="65" t="s">
        <v>1652</v>
      </c>
      <c r="Q228" s="46" t="s">
        <v>29</v>
      </c>
      <c r="R228" s="47" t="s">
        <v>1653</v>
      </c>
      <c r="U228" s="46" t="s">
        <v>491</v>
      </c>
    </row>
    <row r="229" spans="1:21" ht="45" x14ac:dyDescent="0.25">
      <c r="A229" s="45">
        <v>42473</v>
      </c>
      <c r="B229" s="46" t="s">
        <v>328</v>
      </c>
      <c r="C229" s="45" t="s">
        <v>603</v>
      </c>
      <c r="D229" s="46" t="s">
        <v>587</v>
      </c>
      <c r="E229" s="46" t="s">
        <v>821</v>
      </c>
      <c r="H229" s="47" t="s">
        <v>651</v>
      </c>
      <c r="O229" s="50" t="s">
        <v>1637</v>
      </c>
      <c r="P229" s="65" t="s">
        <v>1638</v>
      </c>
      <c r="Q229" s="46" t="s">
        <v>592</v>
      </c>
      <c r="R229" s="47" t="s">
        <v>1639</v>
      </c>
      <c r="U229" s="46" t="s">
        <v>491</v>
      </c>
    </row>
    <row r="230" spans="1:21" ht="90" x14ac:dyDescent="0.25">
      <c r="A230" s="45">
        <v>42474</v>
      </c>
      <c r="B230" s="46" t="s">
        <v>328</v>
      </c>
      <c r="C230" s="45" t="s">
        <v>603</v>
      </c>
      <c r="D230" s="46" t="s">
        <v>649</v>
      </c>
      <c r="E230" s="46" t="s">
        <v>588</v>
      </c>
      <c r="F230" s="47" t="s">
        <v>1661</v>
      </c>
      <c r="H230" s="47" t="s">
        <v>607</v>
      </c>
      <c r="I230" s="46" t="s">
        <v>1662</v>
      </c>
      <c r="M230" s="50">
        <v>746000</v>
      </c>
      <c r="N230" s="51">
        <v>2929000</v>
      </c>
      <c r="O230" s="50" t="s">
        <v>969</v>
      </c>
      <c r="P230" s="65" t="s">
        <v>1663</v>
      </c>
      <c r="Q230" s="46" t="s">
        <v>592</v>
      </c>
      <c r="R230" s="47" t="s">
        <v>1664</v>
      </c>
      <c r="U230" s="46" t="s">
        <v>491</v>
      </c>
    </row>
    <row r="231" spans="1:21" ht="45" x14ac:dyDescent="0.25">
      <c r="A231" s="45">
        <v>42474</v>
      </c>
      <c r="B231" s="46" t="s">
        <v>328</v>
      </c>
      <c r="C231" s="45" t="s">
        <v>603</v>
      </c>
      <c r="D231" s="46" t="s">
        <v>672</v>
      </c>
      <c r="E231" s="46" t="s">
        <v>588</v>
      </c>
      <c r="I231" s="46" t="s">
        <v>1654</v>
      </c>
      <c r="O231" s="50" t="s">
        <v>1655</v>
      </c>
      <c r="P231" s="65" t="s">
        <v>1656</v>
      </c>
      <c r="Q231" s="46" t="s">
        <v>620</v>
      </c>
      <c r="R231" s="47" t="s">
        <v>1657</v>
      </c>
      <c r="U231" s="46" t="s">
        <v>491</v>
      </c>
    </row>
    <row r="232" spans="1:21" ht="105" x14ac:dyDescent="0.25">
      <c r="A232" s="45">
        <v>42475</v>
      </c>
      <c r="B232" s="46" t="s">
        <v>378</v>
      </c>
      <c r="C232" s="45" t="s">
        <v>623</v>
      </c>
      <c r="D232" s="46" t="s">
        <v>625</v>
      </c>
      <c r="E232" s="46" t="s">
        <v>588</v>
      </c>
      <c r="F232" s="47" t="s">
        <v>1668</v>
      </c>
      <c r="H232" s="48" t="s">
        <v>607</v>
      </c>
      <c r="I232" s="46" t="s">
        <v>1669</v>
      </c>
      <c r="M232" s="50">
        <v>1200000</v>
      </c>
      <c r="N232" s="51">
        <v>1944000</v>
      </c>
      <c r="O232" s="50" t="s">
        <v>1171</v>
      </c>
      <c r="P232" s="65" t="s">
        <v>1670</v>
      </c>
      <c r="Q232" s="46" t="s">
        <v>29</v>
      </c>
      <c r="R232" s="47" t="s">
        <v>1671</v>
      </c>
      <c r="U232" s="46" t="s">
        <v>491</v>
      </c>
    </row>
    <row r="233" spans="1:21" ht="90" x14ac:dyDescent="0.25">
      <c r="A233" s="45">
        <v>42475</v>
      </c>
      <c r="B233" s="46" t="s">
        <v>378</v>
      </c>
      <c r="C233" s="45" t="s">
        <v>623</v>
      </c>
      <c r="D233" s="46" t="s">
        <v>625</v>
      </c>
      <c r="E233" s="46" t="s">
        <v>692</v>
      </c>
      <c r="F233" s="47" t="s">
        <v>1672</v>
      </c>
      <c r="H233" s="48" t="s">
        <v>607</v>
      </c>
      <c r="I233" s="46" t="s">
        <v>1051</v>
      </c>
      <c r="M233" s="50">
        <v>320800</v>
      </c>
      <c r="N233" s="51">
        <v>352880</v>
      </c>
      <c r="O233" s="50" t="s">
        <v>1647</v>
      </c>
      <c r="P233" s="65" t="s">
        <v>1648</v>
      </c>
      <c r="Q233" s="46" t="s">
        <v>592</v>
      </c>
      <c r="U233" s="46" t="s">
        <v>491</v>
      </c>
    </row>
    <row r="234" spans="1:21" ht="45" x14ac:dyDescent="0.25">
      <c r="A234" s="45">
        <v>42475</v>
      </c>
      <c r="B234" s="46" t="s">
        <v>378</v>
      </c>
      <c r="C234" s="45" t="s">
        <v>610</v>
      </c>
      <c r="D234" s="46" t="s">
        <v>1027</v>
      </c>
      <c r="E234" s="46" t="s">
        <v>588</v>
      </c>
      <c r="F234" s="47" t="s">
        <v>1673</v>
      </c>
      <c r="H234" s="48" t="s">
        <v>607</v>
      </c>
      <c r="I234" s="46" t="s">
        <v>1674</v>
      </c>
      <c r="O234" s="50" t="s">
        <v>1675</v>
      </c>
      <c r="P234" s="65" t="s">
        <v>1676</v>
      </c>
      <c r="Q234" s="46" t="s">
        <v>592</v>
      </c>
      <c r="R234" s="47" t="s">
        <v>1677</v>
      </c>
      <c r="U234" s="46" t="s">
        <v>491</v>
      </c>
    </row>
    <row r="235" spans="1:21" ht="30" x14ac:dyDescent="0.25">
      <c r="A235" s="45">
        <v>42475</v>
      </c>
      <c r="B235" s="46" t="s">
        <v>320</v>
      </c>
      <c r="C235" s="45" t="s">
        <v>1228</v>
      </c>
      <c r="D235" s="46" t="s">
        <v>1229</v>
      </c>
      <c r="E235" s="46" t="s">
        <v>588</v>
      </c>
      <c r="F235" s="47" t="s">
        <v>1678</v>
      </c>
      <c r="H235" s="48" t="s">
        <v>607</v>
      </c>
      <c r="I235" s="46" t="s">
        <v>1679</v>
      </c>
      <c r="O235" s="50" t="s">
        <v>1680</v>
      </c>
      <c r="P235" s="65" t="s">
        <v>1681</v>
      </c>
      <c r="Q235" s="46" t="s">
        <v>592</v>
      </c>
      <c r="R235" s="47" t="s">
        <v>1682</v>
      </c>
      <c r="U235" s="46" t="s">
        <v>491</v>
      </c>
    </row>
    <row r="236" spans="1:21" ht="45" x14ac:dyDescent="0.25">
      <c r="A236" s="45">
        <v>42475</v>
      </c>
      <c r="B236" s="46" t="s">
        <v>643</v>
      </c>
      <c r="C236" s="45" t="s">
        <v>644</v>
      </c>
      <c r="D236" s="46" t="s">
        <v>645</v>
      </c>
      <c r="E236" s="46" t="s">
        <v>588</v>
      </c>
      <c r="F236" s="47" t="s">
        <v>1683</v>
      </c>
      <c r="H236" s="48" t="s">
        <v>905</v>
      </c>
      <c r="I236" s="46" t="s">
        <v>1684</v>
      </c>
      <c r="M236" s="50">
        <v>743000</v>
      </c>
      <c r="N236" s="51">
        <v>793000</v>
      </c>
      <c r="O236" s="50" t="s">
        <v>1685</v>
      </c>
      <c r="P236" s="65" t="s">
        <v>1686</v>
      </c>
      <c r="Q236" s="46" t="s">
        <v>592</v>
      </c>
      <c r="R236" s="47" t="s">
        <v>1687</v>
      </c>
      <c r="U236" s="46" t="s">
        <v>491</v>
      </c>
    </row>
    <row r="237" spans="1:21" ht="45" x14ac:dyDescent="0.25">
      <c r="A237" s="45">
        <v>42475</v>
      </c>
      <c r="B237" s="46" t="s">
        <v>1486</v>
      </c>
      <c r="C237" s="45" t="s">
        <v>959</v>
      </c>
      <c r="D237" s="46" t="s">
        <v>732</v>
      </c>
      <c r="E237" s="46" t="s">
        <v>588</v>
      </c>
      <c r="F237" s="47" t="s">
        <v>1688</v>
      </c>
      <c r="H237" s="48" t="s">
        <v>1050</v>
      </c>
      <c r="I237" s="46" t="s">
        <v>1689</v>
      </c>
      <c r="M237" s="50">
        <v>610000</v>
      </c>
      <c r="O237" s="50" t="s">
        <v>1680</v>
      </c>
      <c r="P237" s="65" t="s">
        <v>1690</v>
      </c>
      <c r="Q237" s="46" t="s">
        <v>592</v>
      </c>
      <c r="R237" s="47" t="s">
        <v>1702</v>
      </c>
      <c r="U237" s="46" t="s">
        <v>491</v>
      </c>
    </row>
    <row r="238" spans="1:21" ht="30" x14ac:dyDescent="0.25">
      <c r="A238" s="45">
        <v>42475</v>
      </c>
      <c r="B238" s="46" t="s">
        <v>378</v>
      </c>
      <c r="C238" s="45" t="s">
        <v>623</v>
      </c>
      <c r="D238" s="46" t="s">
        <v>930</v>
      </c>
      <c r="E238" s="46" t="s">
        <v>821</v>
      </c>
      <c r="H238" s="48" t="s">
        <v>809</v>
      </c>
      <c r="O238" s="50" t="s">
        <v>1691</v>
      </c>
      <c r="P238" s="65" t="s">
        <v>1692</v>
      </c>
      <c r="Q238" s="46" t="s">
        <v>620</v>
      </c>
      <c r="R238" s="47" t="s">
        <v>1701</v>
      </c>
      <c r="U238" s="46" t="s">
        <v>491</v>
      </c>
    </row>
    <row r="239" spans="1:21" ht="75" x14ac:dyDescent="0.25">
      <c r="A239" s="45">
        <v>42475</v>
      </c>
      <c r="B239" s="46" t="s">
        <v>378</v>
      </c>
      <c r="C239" s="45" t="s">
        <v>623</v>
      </c>
      <c r="D239" s="46" t="s">
        <v>930</v>
      </c>
      <c r="E239" s="46" t="s">
        <v>821</v>
      </c>
      <c r="H239" s="48" t="s">
        <v>905</v>
      </c>
      <c r="O239" s="50" t="s">
        <v>1693</v>
      </c>
      <c r="P239" s="65" t="s">
        <v>1694</v>
      </c>
      <c r="Q239" s="46" t="s">
        <v>29</v>
      </c>
      <c r="R239" s="47" t="s">
        <v>1698</v>
      </c>
      <c r="U239" s="46" t="s">
        <v>491</v>
      </c>
    </row>
    <row r="240" spans="1:21" ht="60" x14ac:dyDescent="0.25">
      <c r="A240" s="45">
        <v>42475</v>
      </c>
      <c r="B240" s="46" t="s">
        <v>378</v>
      </c>
      <c r="C240" s="45" t="s">
        <v>610</v>
      </c>
      <c r="D240" s="46" t="s">
        <v>732</v>
      </c>
      <c r="E240" s="46" t="s">
        <v>588</v>
      </c>
      <c r="F240" s="47" t="s">
        <v>1695</v>
      </c>
      <c r="H240" s="48" t="s">
        <v>905</v>
      </c>
      <c r="I240" s="46" t="s">
        <v>1696</v>
      </c>
      <c r="M240" s="50">
        <v>285000</v>
      </c>
      <c r="N240" s="51">
        <v>515005</v>
      </c>
      <c r="O240" s="50" t="s">
        <v>1697</v>
      </c>
      <c r="P240" s="65" t="s">
        <v>1700</v>
      </c>
      <c r="Q240" s="46" t="s">
        <v>592</v>
      </c>
      <c r="R240" s="47" t="s">
        <v>1699</v>
      </c>
      <c r="U240" s="46" t="s">
        <v>491</v>
      </c>
    </row>
    <row r="241" spans="1:21" ht="60" x14ac:dyDescent="0.25">
      <c r="A241" s="45">
        <v>42478</v>
      </c>
      <c r="B241" s="46" t="s">
        <v>378</v>
      </c>
      <c r="C241" s="45" t="s">
        <v>610</v>
      </c>
      <c r="D241" s="46" t="s">
        <v>1027</v>
      </c>
      <c r="E241" s="46" t="s">
        <v>1707</v>
      </c>
      <c r="H241" s="48" t="s">
        <v>607</v>
      </c>
      <c r="O241" s="50" t="s">
        <v>1708</v>
      </c>
      <c r="P241" s="65" t="s">
        <v>1709</v>
      </c>
      <c r="Q241" s="46" t="s">
        <v>592</v>
      </c>
      <c r="U241" s="46" t="s">
        <v>491</v>
      </c>
    </row>
    <row r="242" spans="1:21" ht="45" x14ac:dyDescent="0.25">
      <c r="A242" s="45">
        <v>42478</v>
      </c>
      <c r="B242" s="46" t="s">
        <v>378</v>
      </c>
      <c r="C242" s="45" t="s">
        <v>610</v>
      </c>
      <c r="D242" s="46" t="s">
        <v>732</v>
      </c>
      <c r="E242" s="46" t="s">
        <v>588</v>
      </c>
      <c r="F242" s="47" t="s">
        <v>1710</v>
      </c>
      <c r="H242" s="48" t="s">
        <v>607</v>
      </c>
      <c r="I242" s="46" t="s">
        <v>1713</v>
      </c>
      <c r="M242" s="50">
        <v>2000000</v>
      </c>
      <c r="N242" s="51">
        <v>2402000</v>
      </c>
      <c r="O242" s="50" t="s">
        <v>1711</v>
      </c>
      <c r="P242" s="65" t="s">
        <v>1712</v>
      </c>
      <c r="Q242" s="46" t="s">
        <v>592</v>
      </c>
      <c r="U242" s="46" t="s">
        <v>491</v>
      </c>
    </row>
    <row r="243" spans="1:21" ht="60" x14ac:dyDescent="0.25">
      <c r="A243" s="45">
        <v>42478</v>
      </c>
      <c r="B243" s="46" t="s">
        <v>328</v>
      </c>
      <c r="C243" s="45" t="s">
        <v>603</v>
      </c>
      <c r="D243" s="46" t="s">
        <v>672</v>
      </c>
      <c r="E243" s="46" t="s">
        <v>588</v>
      </c>
      <c r="F243" s="47" t="s">
        <v>1714</v>
      </c>
      <c r="H243" s="47" t="s">
        <v>607</v>
      </c>
      <c r="I243" s="46" t="s">
        <v>1715</v>
      </c>
      <c r="M243" s="50">
        <v>1378000</v>
      </c>
      <c r="N243" s="51">
        <v>1803000</v>
      </c>
      <c r="O243" s="50" t="s">
        <v>1716</v>
      </c>
      <c r="P243" s="65" t="s">
        <v>1717</v>
      </c>
      <c r="Q243" s="46" t="s">
        <v>592</v>
      </c>
      <c r="U243" s="46" t="s">
        <v>491</v>
      </c>
    </row>
    <row r="244" spans="1:21" ht="60" x14ac:dyDescent="0.25">
      <c r="A244" s="45">
        <v>42478</v>
      </c>
      <c r="B244" s="46" t="s">
        <v>328</v>
      </c>
      <c r="C244" s="45" t="s">
        <v>603</v>
      </c>
      <c r="D244" s="46" t="s">
        <v>672</v>
      </c>
      <c r="E244" s="46" t="s">
        <v>588</v>
      </c>
      <c r="F244" s="47" t="s">
        <v>1718</v>
      </c>
      <c r="H244" s="47" t="s">
        <v>1719</v>
      </c>
      <c r="I244" s="46" t="s">
        <v>1721</v>
      </c>
      <c r="M244" s="50">
        <v>1100000</v>
      </c>
      <c r="N244" s="51">
        <v>1235000</v>
      </c>
      <c r="O244" s="50" t="s">
        <v>1720</v>
      </c>
      <c r="P244" s="65" t="s">
        <v>1722</v>
      </c>
      <c r="Q244" s="46" t="s">
        <v>592</v>
      </c>
      <c r="R244" s="47" t="s">
        <v>1723</v>
      </c>
      <c r="U244" s="46" t="s">
        <v>491</v>
      </c>
    </row>
    <row r="245" spans="1:21" ht="60" x14ac:dyDescent="0.25">
      <c r="A245" s="45">
        <v>42478</v>
      </c>
      <c r="B245" s="46" t="s">
        <v>328</v>
      </c>
      <c r="C245" s="45" t="s">
        <v>603</v>
      </c>
      <c r="D245" s="46" t="s">
        <v>649</v>
      </c>
      <c r="E245" s="46" t="s">
        <v>588</v>
      </c>
      <c r="F245" s="47" t="s">
        <v>1703</v>
      </c>
      <c r="H245" s="47" t="s">
        <v>905</v>
      </c>
      <c r="I245" s="46" t="s">
        <v>1704</v>
      </c>
      <c r="M245" s="50">
        <v>350000</v>
      </c>
      <c r="N245" s="51">
        <v>550000</v>
      </c>
      <c r="O245" s="50" t="s">
        <v>1705</v>
      </c>
      <c r="P245" s="65" t="s">
        <v>1706</v>
      </c>
      <c r="Q245" s="46" t="s">
        <v>592</v>
      </c>
      <c r="U245" s="46" t="s">
        <v>491</v>
      </c>
    </row>
    <row r="246" spans="1:21" ht="45" x14ac:dyDescent="0.25">
      <c r="A246" s="45">
        <v>42479</v>
      </c>
      <c r="B246" s="46" t="s">
        <v>328</v>
      </c>
      <c r="C246" s="45" t="s">
        <v>603</v>
      </c>
      <c r="D246" s="46" t="s">
        <v>1401</v>
      </c>
      <c r="E246" s="46" t="s">
        <v>588</v>
      </c>
      <c r="F246" s="47" t="s">
        <v>1736</v>
      </c>
      <c r="H246" s="47" t="s">
        <v>607</v>
      </c>
      <c r="I246" s="46" t="s">
        <v>1738</v>
      </c>
      <c r="M246" s="50">
        <v>433290</v>
      </c>
      <c r="N246" s="51">
        <v>736593</v>
      </c>
      <c r="O246" s="50" t="s">
        <v>686</v>
      </c>
      <c r="P246" s="65" t="s">
        <v>1737</v>
      </c>
      <c r="Q246" s="46" t="s">
        <v>620</v>
      </c>
      <c r="R246" s="47" t="s">
        <v>1739</v>
      </c>
      <c r="U246" s="46" t="s">
        <v>491</v>
      </c>
    </row>
    <row r="247" spans="1:21" ht="75" x14ac:dyDescent="0.25">
      <c r="A247" s="45">
        <v>42479</v>
      </c>
      <c r="B247" s="46" t="s">
        <v>1486</v>
      </c>
      <c r="C247" s="45" t="s">
        <v>604</v>
      </c>
      <c r="D247" s="46" t="s">
        <v>727</v>
      </c>
      <c r="E247" s="46" t="s">
        <v>588</v>
      </c>
      <c r="F247" s="47" t="s">
        <v>1734</v>
      </c>
      <c r="H247" s="48" t="s">
        <v>1050</v>
      </c>
      <c r="I247" s="46" t="s">
        <v>1740</v>
      </c>
      <c r="M247" s="50">
        <v>250000</v>
      </c>
      <c r="N247" s="51">
        <v>250000</v>
      </c>
      <c r="O247" s="50">
        <v>280000</v>
      </c>
      <c r="P247" s="65" t="s">
        <v>1735</v>
      </c>
      <c r="Q247" s="46" t="s">
        <v>1612</v>
      </c>
      <c r="R247" s="47" t="s">
        <v>1741</v>
      </c>
      <c r="U247" s="46" t="s">
        <v>491</v>
      </c>
    </row>
    <row r="248" spans="1:21" ht="75" x14ac:dyDescent="0.25">
      <c r="A248" s="45">
        <v>42479</v>
      </c>
      <c r="B248" s="46" t="s">
        <v>328</v>
      </c>
      <c r="C248" s="45" t="s">
        <v>603</v>
      </c>
      <c r="D248" s="46" t="s">
        <v>587</v>
      </c>
      <c r="E248" s="46" t="s">
        <v>588</v>
      </c>
      <c r="F248" s="47" t="s">
        <v>1731</v>
      </c>
      <c r="H248" s="47" t="s">
        <v>607</v>
      </c>
      <c r="I248" s="46" t="s">
        <v>927</v>
      </c>
      <c r="M248" s="50">
        <v>964000</v>
      </c>
      <c r="N248" s="51">
        <v>1928000</v>
      </c>
      <c r="O248" s="50" t="s">
        <v>695</v>
      </c>
      <c r="P248" s="65" t="s">
        <v>5426</v>
      </c>
      <c r="Q248" s="46" t="s">
        <v>620</v>
      </c>
      <c r="R248" s="47" t="s">
        <v>1733</v>
      </c>
      <c r="U248" s="46" t="s">
        <v>491</v>
      </c>
    </row>
    <row r="249" spans="1:21" ht="45" x14ac:dyDescent="0.25">
      <c r="A249" s="45">
        <v>42479</v>
      </c>
      <c r="B249" s="46" t="s">
        <v>328</v>
      </c>
      <c r="C249" s="45" t="s">
        <v>603</v>
      </c>
      <c r="D249" s="46" t="s">
        <v>649</v>
      </c>
      <c r="E249" s="46" t="s">
        <v>588</v>
      </c>
      <c r="F249" s="47" t="s">
        <v>1724</v>
      </c>
      <c r="H249" s="47" t="s">
        <v>905</v>
      </c>
      <c r="I249" s="46" t="s">
        <v>1725</v>
      </c>
      <c r="M249" s="50">
        <v>500000</v>
      </c>
      <c r="N249" s="51">
        <v>780000</v>
      </c>
      <c r="O249" s="50" t="s">
        <v>1705</v>
      </c>
      <c r="P249" s="65" t="s">
        <v>1726</v>
      </c>
      <c r="Q249" s="46" t="s">
        <v>592</v>
      </c>
      <c r="R249" s="47" t="s">
        <v>1727</v>
      </c>
      <c r="U249" s="46" t="s">
        <v>491</v>
      </c>
    </row>
    <row r="250" spans="1:21" ht="90" x14ac:dyDescent="0.25">
      <c r="A250" s="45">
        <v>42479</v>
      </c>
      <c r="B250" s="46" t="s">
        <v>328</v>
      </c>
      <c r="C250" s="45" t="s">
        <v>603</v>
      </c>
      <c r="D250" s="46" t="s">
        <v>649</v>
      </c>
      <c r="E250" s="46" t="s">
        <v>588</v>
      </c>
      <c r="F250" s="47" t="s">
        <v>1728</v>
      </c>
      <c r="H250" s="47" t="s">
        <v>607</v>
      </c>
      <c r="I250" s="46" t="s">
        <v>1729</v>
      </c>
      <c r="M250" s="50">
        <v>288100</v>
      </c>
      <c r="N250" s="51">
        <v>787610</v>
      </c>
      <c r="O250" s="50" t="s">
        <v>1705</v>
      </c>
      <c r="P250" s="65" t="s">
        <v>1730</v>
      </c>
      <c r="Q250" s="46" t="s">
        <v>592</v>
      </c>
      <c r="U250" s="46" t="s">
        <v>491</v>
      </c>
    </row>
    <row r="251" spans="1:21" ht="45" x14ac:dyDescent="0.25">
      <c r="A251" s="45">
        <v>42480</v>
      </c>
      <c r="B251" s="46" t="s">
        <v>328</v>
      </c>
      <c r="C251" s="45" t="s">
        <v>603</v>
      </c>
      <c r="D251" s="46" t="s">
        <v>649</v>
      </c>
      <c r="E251" s="46" t="s">
        <v>588</v>
      </c>
      <c r="F251" s="47" t="s">
        <v>1742</v>
      </c>
      <c r="H251" s="47" t="s">
        <v>1743</v>
      </c>
      <c r="I251" s="46" t="s">
        <v>1744</v>
      </c>
      <c r="M251" s="50">
        <v>1000000</v>
      </c>
      <c r="N251" s="51">
        <v>1700000</v>
      </c>
      <c r="O251" s="50" t="s">
        <v>1745</v>
      </c>
      <c r="P251" s="65" t="s">
        <v>1746</v>
      </c>
      <c r="Q251" s="46" t="s">
        <v>29</v>
      </c>
      <c r="R251" s="47" t="s">
        <v>1747</v>
      </c>
      <c r="U251" s="46" t="s">
        <v>491</v>
      </c>
    </row>
    <row r="252" spans="1:21" ht="60" x14ac:dyDescent="0.25">
      <c r="A252" s="45">
        <v>42480</v>
      </c>
      <c r="B252" s="46" t="s">
        <v>1486</v>
      </c>
      <c r="C252" s="45" t="s">
        <v>959</v>
      </c>
      <c r="D252" s="46" t="s">
        <v>732</v>
      </c>
      <c r="E252" s="46" t="s">
        <v>588</v>
      </c>
      <c r="F252" s="47" t="s">
        <v>1748</v>
      </c>
      <c r="H252" s="48" t="s">
        <v>886</v>
      </c>
      <c r="I252" s="46" t="s">
        <v>1749</v>
      </c>
      <c r="M252" s="50">
        <v>475000</v>
      </c>
      <c r="N252" s="51">
        <v>997500</v>
      </c>
      <c r="O252" s="50" t="s">
        <v>1750</v>
      </c>
      <c r="P252" s="65" t="s">
        <v>1751</v>
      </c>
      <c r="Q252" s="46" t="s">
        <v>592</v>
      </c>
      <c r="R252" s="47" t="s">
        <v>1752</v>
      </c>
      <c r="U252" s="46" t="s">
        <v>491</v>
      </c>
    </row>
    <row r="253" spans="1:21" ht="45" x14ac:dyDescent="0.25">
      <c r="A253" s="45">
        <v>42480</v>
      </c>
      <c r="B253" s="46" t="s">
        <v>378</v>
      </c>
      <c r="C253" s="45" t="s">
        <v>623</v>
      </c>
      <c r="D253" s="46" t="s">
        <v>930</v>
      </c>
      <c r="E253" s="46" t="s">
        <v>821</v>
      </c>
      <c r="H253" s="48" t="s">
        <v>809</v>
      </c>
      <c r="I253" s="46" t="s">
        <v>1324</v>
      </c>
      <c r="M253" s="50">
        <v>1500000</v>
      </c>
      <c r="O253" s="50" t="s">
        <v>1753</v>
      </c>
      <c r="P253" s="65" t="s">
        <v>1754</v>
      </c>
      <c r="Q253" s="46" t="s">
        <v>592</v>
      </c>
      <c r="R253" s="47" t="s">
        <v>1755</v>
      </c>
      <c r="U253" s="46" t="s">
        <v>491</v>
      </c>
    </row>
    <row r="254" spans="1:21" ht="60" x14ac:dyDescent="0.25">
      <c r="A254" s="45">
        <v>42480</v>
      </c>
      <c r="B254" s="46" t="s">
        <v>378</v>
      </c>
      <c r="C254" s="45" t="s">
        <v>623</v>
      </c>
      <c r="D254" s="46" t="s">
        <v>625</v>
      </c>
      <c r="E254" s="46" t="s">
        <v>588</v>
      </c>
      <c r="H254" s="48" t="s">
        <v>886</v>
      </c>
      <c r="I254" s="46" t="s">
        <v>1756</v>
      </c>
      <c r="P254" s="65" t="s">
        <v>1757</v>
      </c>
      <c r="Q254" s="46" t="s">
        <v>592</v>
      </c>
      <c r="R254" s="47" t="s">
        <v>1758</v>
      </c>
      <c r="U254" s="46" t="s">
        <v>491</v>
      </c>
    </row>
    <row r="255" spans="1:21" ht="30" x14ac:dyDescent="0.25">
      <c r="A255" s="45">
        <v>42481</v>
      </c>
      <c r="B255" s="46" t="s">
        <v>378</v>
      </c>
      <c r="C255" s="45" t="s">
        <v>610</v>
      </c>
      <c r="D255" s="46" t="s">
        <v>732</v>
      </c>
      <c r="E255" s="46" t="s">
        <v>588</v>
      </c>
      <c r="H255" s="48" t="s">
        <v>607</v>
      </c>
      <c r="O255" s="50" t="s">
        <v>1759</v>
      </c>
      <c r="P255" s="65" t="s">
        <v>1760</v>
      </c>
      <c r="Q255" s="46" t="s">
        <v>592</v>
      </c>
      <c r="U255" s="46" t="s">
        <v>491</v>
      </c>
    </row>
    <row r="256" spans="1:21" ht="60" x14ac:dyDescent="0.25">
      <c r="A256" s="45">
        <v>42481</v>
      </c>
      <c r="B256" s="46" t="s">
        <v>378</v>
      </c>
      <c r="C256" s="45" t="s">
        <v>623</v>
      </c>
      <c r="D256" s="46" t="s">
        <v>930</v>
      </c>
      <c r="E256" s="46" t="s">
        <v>1707</v>
      </c>
      <c r="F256" s="47" t="s">
        <v>1775</v>
      </c>
      <c r="H256" s="48" t="s">
        <v>607</v>
      </c>
      <c r="I256" s="46" t="s">
        <v>1761</v>
      </c>
      <c r="M256" s="50">
        <v>2065000</v>
      </c>
      <c r="N256" s="51">
        <v>2785000</v>
      </c>
      <c r="O256" s="50" t="s">
        <v>1762</v>
      </c>
      <c r="P256" s="65" t="s">
        <v>1763</v>
      </c>
      <c r="Q256" s="46" t="s">
        <v>1612</v>
      </c>
      <c r="R256" s="47" t="s">
        <v>1769</v>
      </c>
      <c r="U256" s="46" t="s">
        <v>491</v>
      </c>
    </row>
    <row r="257" spans="1:21" ht="105" x14ac:dyDescent="0.25">
      <c r="A257" s="45">
        <v>42481</v>
      </c>
      <c r="B257" s="46" t="s">
        <v>643</v>
      </c>
      <c r="C257" s="45" t="s">
        <v>644</v>
      </c>
      <c r="D257" s="46" t="s">
        <v>645</v>
      </c>
      <c r="E257" s="46" t="s">
        <v>588</v>
      </c>
      <c r="F257" s="47" t="s">
        <v>1776</v>
      </c>
      <c r="H257" s="48" t="s">
        <v>722</v>
      </c>
      <c r="I257" s="46" t="s">
        <v>1764</v>
      </c>
      <c r="M257" s="50">
        <v>2383940</v>
      </c>
      <c r="N257" s="51">
        <v>4670940</v>
      </c>
      <c r="O257" s="50" t="s">
        <v>891</v>
      </c>
      <c r="P257" s="65" t="s">
        <v>1765</v>
      </c>
      <c r="Q257" s="46" t="s">
        <v>1612</v>
      </c>
      <c r="R257" s="47" t="s">
        <v>1770</v>
      </c>
      <c r="U257" s="46" t="s">
        <v>491</v>
      </c>
    </row>
    <row r="258" spans="1:21" ht="75" x14ac:dyDescent="0.25">
      <c r="A258" s="45">
        <v>42482</v>
      </c>
      <c r="B258" s="46" t="s">
        <v>378</v>
      </c>
      <c r="C258" s="45" t="s">
        <v>623</v>
      </c>
      <c r="D258" s="46" t="s">
        <v>625</v>
      </c>
      <c r="E258" s="46" t="s">
        <v>588</v>
      </c>
      <c r="F258" s="47" t="s">
        <v>1777</v>
      </c>
      <c r="H258" s="48" t="s">
        <v>607</v>
      </c>
      <c r="I258" s="46" t="s">
        <v>1543</v>
      </c>
      <c r="M258" s="50">
        <v>1052000</v>
      </c>
      <c r="N258" s="51">
        <v>1672000</v>
      </c>
      <c r="O258" s="50" t="s">
        <v>1766</v>
      </c>
      <c r="P258" s="65" t="s">
        <v>1767</v>
      </c>
      <c r="Q258" s="46" t="s">
        <v>592</v>
      </c>
      <c r="R258" s="47" t="s">
        <v>1768</v>
      </c>
      <c r="U258" s="46" t="s">
        <v>491</v>
      </c>
    </row>
    <row r="259" spans="1:21" ht="135" x14ac:dyDescent="0.25">
      <c r="A259" s="45">
        <v>42482</v>
      </c>
      <c r="B259" s="46" t="s">
        <v>378</v>
      </c>
      <c r="C259" s="45" t="s">
        <v>623</v>
      </c>
      <c r="D259" s="46" t="s">
        <v>800</v>
      </c>
      <c r="E259" s="46" t="s">
        <v>588</v>
      </c>
      <c r="F259" s="47" t="s">
        <v>1778</v>
      </c>
      <c r="H259" s="48" t="s">
        <v>607</v>
      </c>
      <c r="M259" s="50">
        <v>466000</v>
      </c>
      <c r="N259" s="51">
        <v>1048500</v>
      </c>
      <c r="O259" s="50" t="s">
        <v>1771</v>
      </c>
      <c r="P259" s="65" t="s">
        <v>1772</v>
      </c>
      <c r="Q259" s="46" t="s">
        <v>1612</v>
      </c>
      <c r="R259" s="47" t="s">
        <v>1773</v>
      </c>
      <c r="S259" s="78" t="s">
        <v>1829</v>
      </c>
      <c r="T259" s="78"/>
    </row>
    <row r="260" spans="1:21" ht="60" x14ac:dyDescent="0.25">
      <c r="A260" s="45">
        <v>42482</v>
      </c>
      <c r="B260" s="46" t="s">
        <v>378</v>
      </c>
      <c r="C260" s="45" t="s">
        <v>623</v>
      </c>
      <c r="D260" s="46" t="s">
        <v>625</v>
      </c>
      <c r="E260" s="46" t="s">
        <v>588</v>
      </c>
      <c r="F260" s="47" t="s">
        <v>1779</v>
      </c>
      <c r="H260" s="48" t="s">
        <v>1774</v>
      </c>
      <c r="I260" s="46" t="s">
        <v>1780</v>
      </c>
      <c r="M260" s="50">
        <v>1061000</v>
      </c>
      <c r="N260" s="51">
        <v>1909800</v>
      </c>
      <c r="O260" s="50" t="s">
        <v>1766</v>
      </c>
      <c r="P260" s="65" t="s">
        <v>1781</v>
      </c>
      <c r="Q260" s="46" t="s">
        <v>592</v>
      </c>
      <c r="R260" s="47" t="s">
        <v>1782</v>
      </c>
      <c r="U260" s="46" t="s">
        <v>491</v>
      </c>
    </row>
    <row r="261" spans="1:21" ht="75" x14ac:dyDescent="0.25">
      <c r="A261" s="45">
        <v>42482</v>
      </c>
      <c r="B261" s="46" t="s">
        <v>378</v>
      </c>
      <c r="C261" s="45" t="s">
        <v>623</v>
      </c>
      <c r="D261" s="46" t="s">
        <v>1783</v>
      </c>
      <c r="E261" s="46" t="s">
        <v>588</v>
      </c>
      <c r="F261" s="47" t="s">
        <v>1784</v>
      </c>
      <c r="H261" s="48" t="s">
        <v>607</v>
      </c>
      <c r="O261" s="50" t="s">
        <v>1785</v>
      </c>
      <c r="P261" s="65" t="s">
        <v>1786</v>
      </c>
      <c r="Q261" s="46" t="s">
        <v>592</v>
      </c>
      <c r="R261" s="47" t="s">
        <v>1787</v>
      </c>
      <c r="U261" s="46" t="s">
        <v>491</v>
      </c>
    </row>
    <row r="262" spans="1:21" ht="135" x14ac:dyDescent="0.25">
      <c r="A262" s="45">
        <v>42482</v>
      </c>
      <c r="B262" s="46" t="s">
        <v>1788</v>
      </c>
      <c r="C262" s="45" t="s">
        <v>1790</v>
      </c>
      <c r="D262" s="46" t="s">
        <v>1789</v>
      </c>
      <c r="E262" s="46" t="s">
        <v>588</v>
      </c>
      <c r="F262" s="47" t="s">
        <v>1791</v>
      </c>
      <c r="H262" s="48" t="s">
        <v>607</v>
      </c>
      <c r="I262" s="46" t="s">
        <v>1792</v>
      </c>
      <c r="M262" s="50">
        <v>675000</v>
      </c>
      <c r="N262" s="51">
        <v>1013250</v>
      </c>
      <c r="O262" s="50" t="s">
        <v>1793</v>
      </c>
      <c r="P262" s="65" t="s">
        <v>1794</v>
      </c>
      <c r="Q262" s="46" t="s">
        <v>1612</v>
      </c>
      <c r="R262" s="47" t="s">
        <v>1795</v>
      </c>
      <c r="U262" s="46" t="s">
        <v>491</v>
      </c>
    </row>
    <row r="263" spans="1:21" ht="60" x14ac:dyDescent="0.25">
      <c r="A263" s="45">
        <v>42482</v>
      </c>
      <c r="B263" s="46" t="s">
        <v>378</v>
      </c>
      <c r="C263" s="45" t="s">
        <v>623</v>
      </c>
      <c r="D263" s="46" t="s">
        <v>930</v>
      </c>
      <c r="E263" s="46" t="s">
        <v>821</v>
      </c>
      <c r="F263" s="47" t="s">
        <v>1801</v>
      </c>
      <c r="H263" s="48" t="s">
        <v>809</v>
      </c>
      <c r="O263" s="50" t="s">
        <v>1802</v>
      </c>
      <c r="P263" s="65" t="s">
        <v>1803</v>
      </c>
      <c r="Q263" s="46" t="s">
        <v>592</v>
      </c>
      <c r="R263" s="47" t="s">
        <v>1804</v>
      </c>
      <c r="U263" s="46" t="s">
        <v>491</v>
      </c>
    </row>
    <row r="264" spans="1:21" ht="45" x14ac:dyDescent="0.25">
      <c r="A264" s="45">
        <v>42482</v>
      </c>
      <c r="B264" s="46" t="s">
        <v>378</v>
      </c>
      <c r="C264" s="45" t="s">
        <v>623</v>
      </c>
      <c r="D264" s="46" t="s">
        <v>625</v>
      </c>
      <c r="E264" s="46" t="s">
        <v>821</v>
      </c>
      <c r="F264" s="47" t="s">
        <v>1805</v>
      </c>
      <c r="H264" s="48" t="s">
        <v>607</v>
      </c>
      <c r="I264" s="46" t="s">
        <v>1543</v>
      </c>
      <c r="O264" s="50" t="s">
        <v>1806</v>
      </c>
      <c r="P264" s="65" t="s">
        <v>1807</v>
      </c>
      <c r="Q264" s="46" t="s">
        <v>592</v>
      </c>
      <c r="U264" s="46" t="s">
        <v>491</v>
      </c>
    </row>
    <row r="265" spans="1:21" ht="120" x14ac:dyDescent="0.25">
      <c r="A265" s="45">
        <v>42482</v>
      </c>
      <c r="B265" s="46" t="s">
        <v>378</v>
      </c>
      <c r="C265" s="45" t="s">
        <v>623</v>
      </c>
      <c r="D265" s="46" t="s">
        <v>930</v>
      </c>
      <c r="E265" s="46" t="s">
        <v>821</v>
      </c>
      <c r="H265" s="48" t="s">
        <v>886</v>
      </c>
      <c r="M265" s="50">
        <v>1200000</v>
      </c>
      <c r="O265" s="50" t="s">
        <v>1808</v>
      </c>
      <c r="P265" s="65" t="s">
        <v>1809</v>
      </c>
      <c r="Q265" s="46" t="s">
        <v>1612</v>
      </c>
      <c r="R265" s="47" t="s">
        <v>1810</v>
      </c>
      <c r="U265" s="46" t="s">
        <v>491</v>
      </c>
    </row>
    <row r="266" spans="1:21" ht="75" x14ac:dyDescent="0.25">
      <c r="A266" s="45">
        <v>42482</v>
      </c>
      <c r="B266" s="46" t="s">
        <v>328</v>
      </c>
      <c r="C266" s="45" t="s">
        <v>603</v>
      </c>
      <c r="D266" s="46" t="s">
        <v>587</v>
      </c>
      <c r="E266" s="46" t="s">
        <v>588</v>
      </c>
      <c r="F266" s="47" t="s">
        <v>1796</v>
      </c>
      <c r="H266" s="47" t="s">
        <v>1391</v>
      </c>
      <c r="I266" s="46" t="s">
        <v>1797</v>
      </c>
      <c r="M266" s="50">
        <v>810000</v>
      </c>
      <c r="N266" s="51">
        <v>1539000</v>
      </c>
      <c r="O266" s="50" t="s">
        <v>1798</v>
      </c>
      <c r="P266" s="65" t="s">
        <v>1799</v>
      </c>
      <c r="Q266" s="46" t="s">
        <v>592</v>
      </c>
      <c r="R266" s="47" t="s">
        <v>1800</v>
      </c>
      <c r="U266" s="46" t="s">
        <v>491</v>
      </c>
    </row>
    <row r="267" spans="1:21" ht="30" x14ac:dyDescent="0.25">
      <c r="A267" s="45">
        <v>42485</v>
      </c>
      <c r="B267" s="46" t="s">
        <v>328</v>
      </c>
      <c r="D267" s="46" t="s">
        <v>587</v>
      </c>
      <c r="E267" s="46" t="s">
        <v>588</v>
      </c>
      <c r="F267" s="47" t="s">
        <v>1811</v>
      </c>
      <c r="H267" s="47" t="s">
        <v>607</v>
      </c>
      <c r="I267" s="46" t="s">
        <v>1812</v>
      </c>
      <c r="M267" s="50">
        <v>262000</v>
      </c>
      <c r="O267" s="50" t="s">
        <v>686</v>
      </c>
      <c r="P267" s="65" t="s">
        <v>1813</v>
      </c>
      <c r="Q267" s="46" t="s">
        <v>620</v>
      </c>
      <c r="R267" s="47" t="s">
        <v>1814</v>
      </c>
      <c r="U267" s="46" t="s">
        <v>633</v>
      </c>
    </row>
    <row r="268" spans="1:21" ht="60" x14ac:dyDescent="0.25">
      <c r="A268" s="45">
        <v>42485</v>
      </c>
      <c r="B268" s="46" t="s">
        <v>1486</v>
      </c>
      <c r="C268" s="45" t="s">
        <v>959</v>
      </c>
      <c r="D268" s="46" t="s">
        <v>732</v>
      </c>
      <c r="E268" s="46" t="s">
        <v>588</v>
      </c>
      <c r="H268" s="48"/>
      <c r="O268" s="50" t="s">
        <v>1815</v>
      </c>
      <c r="P268" s="65" t="s">
        <v>1816</v>
      </c>
      <c r="Q268" s="46" t="s">
        <v>592</v>
      </c>
      <c r="R268" s="47" t="s">
        <v>1817</v>
      </c>
      <c r="U268" s="46" t="s">
        <v>633</v>
      </c>
    </row>
    <row r="269" spans="1:21" ht="45" x14ac:dyDescent="0.25">
      <c r="A269" s="45">
        <v>42485</v>
      </c>
      <c r="B269" s="46" t="s">
        <v>378</v>
      </c>
      <c r="D269" s="46" t="s">
        <v>625</v>
      </c>
      <c r="E269" s="46" t="s">
        <v>821</v>
      </c>
      <c r="H269" s="48"/>
      <c r="P269" s="65" t="s">
        <v>1858</v>
      </c>
      <c r="Q269" s="46" t="s">
        <v>592</v>
      </c>
      <c r="U269" s="46" t="s">
        <v>491</v>
      </c>
    </row>
    <row r="270" spans="1:21" x14ac:dyDescent="0.25">
      <c r="A270" s="45">
        <v>42485</v>
      </c>
      <c r="B270" s="46" t="s">
        <v>643</v>
      </c>
      <c r="D270" s="46" t="s">
        <v>645</v>
      </c>
      <c r="E270" s="46" t="s">
        <v>588</v>
      </c>
      <c r="F270" s="47" t="s">
        <v>1864</v>
      </c>
      <c r="H270" s="48"/>
      <c r="O270" s="50" t="s">
        <v>991</v>
      </c>
      <c r="P270" s="65" t="s">
        <v>1865</v>
      </c>
      <c r="Q270" s="46" t="s">
        <v>592</v>
      </c>
      <c r="U270" s="46" t="s">
        <v>633</v>
      </c>
    </row>
    <row r="271" spans="1:21" ht="75" x14ac:dyDescent="0.25">
      <c r="A271" s="45">
        <v>42485</v>
      </c>
      <c r="B271" s="46" t="s">
        <v>328</v>
      </c>
      <c r="D271" s="46" t="s">
        <v>1401</v>
      </c>
      <c r="E271" s="46" t="s">
        <v>588</v>
      </c>
      <c r="F271" s="47" t="s">
        <v>1825</v>
      </c>
      <c r="H271" s="47" t="s">
        <v>1819</v>
      </c>
      <c r="I271" s="46" t="s">
        <v>1826</v>
      </c>
      <c r="M271" s="50">
        <v>403000</v>
      </c>
      <c r="O271" s="50" t="s">
        <v>695</v>
      </c>
      <c r="P271" s="65" t="s">
        <v>1827</v>
      </c>
      <c r="Q271" s="46" t="s">
        <v>620</v>
      </c>
      <c r="R271" s="47" t="s">
        <v>1828</v>
      </c>
      <c r="U271" s="46" t="s">
        <v>633</v>
      </c>
    </row>
    <row r="272" spans="1:21" ht="45" x14ac:dyDescent="0.25">
      <c r="A272" s="45">
        <v>42485</v>
      </c>
      <c r="B272" s="46" t="s">
        <v>328</v>
      </c>
      <c r="D272" s="46" t="s">
        <v>1401</v>
      </c>
      <c r="E272" s="46" t="s">
        <v>588</v>
      </c>
      <c r="F272" s="47" t="s">
        <v>1818</v>
      </c>
      <c r="H272" s="47" t="s">
        <v>1819</v>
      </c>
      <c r="I272" s="46" t="s">
        <v>1820</v>
      </c>
      <c r="M272" s="50" t="s">
        <v>1821</v>
      </c>
      <c r="O272" s="50" t="s">
        <v>1822</v>
      </c>
      <c r="P272" s="65" t="s">
        <v>1823</v>
      </c>
      <c r="Q272" s="46" t="s">
        <v>29</v>
      </c>
      <c r="R272" s="47" t="s">
        <v>1824</v>
      </c>
      <c r="U272" s="46" t="s">
        <v>633</v>
      </c>
    </row>
    <row r="273" spans="1:21" ht="30" x14ac:dyDescent="0.25">
      <c r="A273" s="45">
        <v>42486</v>
      </c>
      <c r="B273" s="46" t="s">
        <v>643</v>
      </c>
      <c r="D273" s="46" t="s">
        <v>645</v>
      </c>
      <c r="E273" s="46" t="s">
        <v>588</v>
      </c>
      <c r="F273" s="47" t="s">
        <v>1830</v>
      </c>
      <c r="H273" s="48" t="s">
        <v>1831</v>
      </c>
      <c r="I273" s="46" t="s">
        <v>1832</v>
      </c>
      <c r="M273" s="50">
        <v>520000</v>
      </c>
      <c r="N273" s="51">
        <v>936000</v>
      </c>
      <c r="O273" s="50" t="s">
        <v>991</v>
      </c>
      <c r="P273" s="65" t="s">
        <v>1833</v>
      </c>
      <c r="Q273" s="46" t="s">
        <v>592</v>
      </c>
      <c r="U273" s="46" t="s">
        <v>633</v>
      </c>
    </row>
    <row r="274" spans="1:21" ht="45" x14ac:dyDescent="0.25">
      <c r="A274" s="45">
        <v>42486</v>
      </c>
      <c r="B274" s="46" t="s">
        <v>378</v>
      </c>
      <c r="D274" s="46" t="s">
        <v>625</v>
      </c>
      <c r="E274" s="46" t="s">
        <v>821</v>
      </c>
      <c r="H274" s="48"/>
      <c r="P274" s="65" t="s">
        <v>1855</v>
      </c>
      <c r="Q274" s="46" t="s">
        <v>592</v>
      </c>
      <c r="U274" s="46" t="s">
        <v>491</v>
      </c>
    </row>
    <row r="275" spans="1:21" ht="60" x14ac:dyDescent="0.25">
      <c r="A275" s="45">
        <v>42486</v>
      </c>
      <c r="B275" s="46" t="s">
        <v>378</v>
      </c>
      <c r="D275" s="46" t="s">
        <v>930</v>
      </c>
      <c r="E275" s="46" t="s">
        <v>821</v>
      </c>
      <c r="H275" s="48"/>
      <c r="P275" s="65" t="s">
        <v>1859</v>
      </c>
      <c r="Q275" s="46" t="s">
        <v>29</v>
      </c>
      <c r="U275" s="46" t="s">
        <v>491</v>
      </c>
    </row>
    <row r="276" spans="1:21" ht="75" x14ac:dyDescent="0.25">
      <c r="A276" s="45">
        <v>42487</v>
      </c>
      <c r="B276" s="46" t="s">
        <v>643</v>
      </c>
      <c r="C276" s="45" t="s">
        <v>1836</v>
      </c>
      <c r="D276" s="46" t="s">
        <v>645</v>
      </c>
      <c r="E276" s="46" t="s">
        <v>588</v>
      </c>
      <c r="F276" s="47" t="s">
        <v>1837</v>
      </c>
      <c r="H276" s="48" t="s">
        <v>1831</v>
      </c>
      <c r="I276" s="46" t="s">
        <v>1838</v>
      </c>
      <c r="M276" s="50">
        <v>301000</v>
      </c>
      <c r="N276" s="79">
        <v>647150</v>
      </c>
      <c r="O276" s="50" t="s">
        <v>686</v>
      </c>
      <c r="P276" s="65" t="s">
        <v>1839</v>
      </c>
      <c r="Q276" s="46" t="s">
        <v>1612</v>
      </c>
      <c r="R276" s="47" t="s">
        <v>1866</v>
      </c>
      <c r="S276" s="47" t="s">
        <v>1867</v>
      </c>
      <c r="U276" s="46" t="s">
        <v>1856</v>
      </c>
    </row>
    <row r="277" spans="1:21" ht="75" x14ac:dyDescent="0.25">
      <c r="A277" s="45">
        <v>42487</v>
      </c>
      <c r="B277" s="46" t="s">
        <v>643</v>
      </c>
      <c r="C277" s="45" t="s">
        <v>644</v>
      </c>
      <c r="D277" s="46" t="s">
        <v>645</v>
      </c>
      <c r="E277" s="46" t="s">
        <v>588</v>
      </c>
      <c r="F277" s="47" t="s">
        <v>1840</v>
      </c>
      <c r="H277" s="48" t="s">
        <v>1841</v>
      </c>
      <c r="I277" s="47" t="s">
        <v>1842</v>
      </c>
      <c r="J277" s="72"/>
      <c r="K277" s="72"/>
      <c r="L277" s="72"/>
      <c r="M277" s="50" t="s">
        <v>1843</v>
      </c>
      <c r="O277" s="50" t="s">
        <v>1844</v>
      </c>
      <c r="P277" s="65" t="s">
        <v>1860</v>
      </c>
      <c r="Q277" s="46" t="s">
        <v>1612</v>
      </c>
      <c r="R277" s="47" t="s">
        <v>1845</v>
      </c>
      <c r="S277" s="47" t="s">
        <v>1941</v>
      </c>
      <c r="U277" s="46" t="s">
        <v>1327</v>
      </c>
    </row>
    <row r="278" spans="1:21" ht="45" x14ac:dyDescent="0.25">
      <c r="A278" s="45">
        <v>42487</v>
      </c>
      <c r="B278" s="46" t="s">
        <v>328</v>
      </c>
      <c r="D278" s="46" t="s">
        <v>672</v>
      </c>
      <c r="E278" s="46" t="s">
        <v>588</v>
      </c>
      <c r="F278" s="47" t="s">
        <v>1846</v>
      </c>
      <c r="H278" s="47" t="s">
        <v>1831</v>
      </c>
      <c r="I278" s="46" t="s">
        <v>1853</v>
      </c>
      <c r="M278" s="50">
        <v>899000</v>
      </c>
      <c r="N278" s="51">
        <v>1899950</v>
      </c>
      <c r="O278" s="50" t="s">
        <v>1854</v>
      </c>
      <c r="P278" s="65" t="s">
        <v>1871</v>
      </c>
      <c r="Q278" s="46" t="s">
        <v>592</v>
      </c>
      <c r="U278" s="46" t="s">
        <v>491</v>
      </c>
    </row>
    <row r="279" spans="1:21" ht="60" x14ac:dyDescent="0.25">
      <c r="A279" s="45">
        <v>42487</v>
      </c>
      <c r="B279" s="46" t="s">
        <v>328</v>
      </c>
      <c r="D279" s="46" t="s">
        <v>672</v>
      </c>
      <c r="E279" s="46" t="s">
        <v>588</v>
      </c>
      <c r="F279" s="47" t="s">
        <v>1848</v>
      </c>
      <c r="H279" s="47" t="s">
        <v>1849</v>
      </c>
      <c r="I279" s="46" t="s">
        <v>1850</v>
      </c>
      <c r="M279" s="50">
        <v>250000</v>
      </c>
      <c r="N279" s="51">
        <v>300000</v>
      </c>
      <c r="O279" s="50" t="s">
        <v>1847</v>
      </c>
      <c r="P279" s="65" t="s">
        <v>1851</v>
      </c>
      <c r="Q279" s="46" t="s">
        <v>29</v>
      </c>
      <c r="R279" s="47" t="s">
        <v>1852</v>
      </c>
      <c r="S279" s="47" t="s">
        <v>1928</v>
      </c>
      <c r="U279" s="46" t="s">
        <v>1629</v>
      </c>
    </row>
    <row r="280" spans="1:21" ht="90" x14ac:dyDescent="0.25">
      <c r="A280" s="45">
        <v>42487</v>
      </c>
      <c r="B280" s="46" t="s">
        <v>328</v>
      </c>
      <c r="D280" s="46" t="s">
        <v>672</v>
      </c>
      <c r="E280" s="46" t="s">
        <v>588</v>
      </c>
      <c r="F280" s="47" t="s">
        <v>1834</v>
      </c>
      <c r="H280" s="47" t="s">
        <v>1831</v>
      </c>
      <c r="I280" s="46" t="s">
        <v>844</v>
      </c>
      <c r="M280" s="50">
        <v>1075000</v>
      </c>
      <c r="N280" s="51">
        <v>1935000</v>
      </c>
      <c r="O280" s="50" t="s">
        <v>695</v>
      </c>
      <c r="P280" s="65" t="s">
        <v>1835</v>
      </c>
      <c r="Q280" s="46" t="s">
        <v>1612</v>
      </c>
      <c r="R280" s="47" t="s">
        <v>1857</v>
      </c>
      <c r="U280" s="46" t="s">
        <v>1856</v>
      </c>
    </row>
    <row r="281" spans="1:21" ht="150" x14ac:dyDescent="0.25">
      <c r="A281" s="45">
        <v>42488</v>
      </c>
      <c r="B281" s="46" t="s">
        <v>643</v>
      </c>
      <c r="C281" s="45" t="s">
        <v>644</v>
      </c>
      <c r="D281" s="46" t="s">
        <v>645</v>
      </c>
      <c r="E281" s="46" t="s">
        <v>588</v>
      </c>
      <c r="F281" s="47" t="s">
        <v>1861</v>
      </c>
      <c r="H281" s="48" t="s">
        <v>722</v>
      </c>
      <c r="I281" s="46" t="s">
        <v>1862</v>
      </c>
      <c r="M281" s="50">
        <v>263000</v>
      </c>
      <c r="N281" s="51">
        <v>402000</v>
      </c>
      <c r="O281" s="50" t="s">
        <v>764</v>
      </c>
      <c r="P281" s="65" t="s">
        <v>1870</v>
      </c>
      <c r="Q281" s="46" t="s">
        <v>592</v>
      </c>
      <c r="R281" s="47" t="s">
        <v>1863</v>
      </c>
      <c r="U281" s="46" t="s">
        <v>491</v>
      </c>
    </row>
    <row r="282" spans="1:21" ht="60" x14ac:dyDescent="0.25">
      <c r="A282" s="45">
        <v>42488</v>
      </c>
      <c r="B282" s="46" t="s">
        <v>378</v>
      </c>
      <c r="C282" s="45" t="s">
        <v>623</v>
      </c>
      <c r="D282" s="46" t="s">
        <v>930</v>
      </c>
      <c r="E282" s="46" t="s">
        <v>1707</v>
      </c>
      <c r="F282" s="47" t="s">
        <v>1868</v>
      </c>
      <c r="H282" s="48" t="s">
        <v>886</v>
      </c>
      <c r="P282" s="65" t="s">
        <v>1869</v>
      </c>
      <c r="Q282" s="46" t="s">
        <v>592</v>
      </c>
      <c r="U282" s="46" t="s">
        <v>491</v>
      </c>
    </row>
    <row r="283" spans="1:21" ht="45" x14ac:dyDescent="0.25">
      <c r="A283" s="45">
        <v>42488</v>
      </c>
      <c r="B283" s="46" t="s">
        <v>328</v>
      </c>
      <c r="D283" s="46" t="s">
        <v>1471</v>
      </c>
      <c r="E283" s="46" t="s">
        <v>588</v>
      </c>
      <c r="F283" s="47" t="s">
        <v>1872</v>
      </c>
      <c r="H283" s="47" t="s">
        <v>607</v>
      </c>
      <c r="I283" s="46" t="s">
        <v>1873</v>
      </c>
      <c r="M283" s="50">
        <v>140000</v>
      </c>
      <c r="N283" s="51">
        <v>238000</v>
      </c>
      <c r="O283" s="50" t="s">
        <v>1874</v>
      </c>
      <c r="P283" s="65" t="s">
        <v>1875</v>
      </c>
      <c r="Q283" s="46" t="s">
        <v>29</v>
      </c>
      <c r="R283" s="47" t="s">
        <v>1876</v>
      </c>
      <c r="U283" s="46" t="s">
        <v>491</v>
      </c>
    </row>
    <row r="284" spans="1:21" ht="45" x14ac:dyDescent="0.25">
      <c r="A284" s="45">
        <v>42489</v>
      </c>
      <c r="B284" s="46" t="s">
        <v>328</v>
      </c>
      <c r="C284" s="45" t="s">
        <v>603</v>
      </c>
      <c r="D284" s="46" t="s">
        <v>1877</v>
      </c>
      <c r="E284" s="46" t="s">
        <v>588</v>
      </c>
      <c r="F284" s="47" t="s">
        <v>1878</v>
      </c>
      <c r="H284" s="47" t="s">
        <v>905</v>
      </c>
      <c r="O284" s="50" t="s">
        <v>1879</v>
      </c>
      <c r="P284" s="65" t="s">
        <v>1880</v>
      </c>
      <c r="Q284" s="46" t="s">
        <v>592</v>
      </c>
      <c r="U284" s="46" t="s">
        <v>491</v>
      </c>
    </row>
    <row r="285" spans="1:21" ht="60" x14ac:dyDescent="0.25">
      <c r="A285" s="45">
        <v>42489</v>
      </c>
      <c r="B285" s="46" t="s">
        <v>328</v>
      </c>
      <c r="C285" s="45" t="s">
        <v>603</v>
      </c>
      <c r="D285" s="46" t="s">
        <v>672</v>
      </c>
      <c r="E285" s="46" t="s">
        <v>588</v>
      </c>
      <c r="F285" s="47" t="s">
        <v>1889</v>
      </c>
      <c r="H285" s="47" t="s">
        <v>1890</v>
      </c>
      <c r="I285" s="46" t="s">
        <v>1891</v>
      </c>
      <c r="M285" s="50">
        <v>1370000</v>
      </c>
      <c r="N285" s="51">
        <v>2603000</v>
      </c>
      <c r="O285" s="50" t="s">
        <v>1892</v>
      </c>
      <c r="P285" s="65" t="s">
        <v>1893</v>
      </c>
      <c r="Q285" s="46" t="s">
        <v>592</v>
      </c>
      <c r="R285" s="47" t="s">
        <v>1894</v>
      </c>
      <c r="U285" s="46" t="s">
        <v>491</v>
      </c>
    </row>
    <row r="286" spans="1:21" ht="60" x14ac:dyDescent="0.25">
      <c r="A286" s="45">
        <v>42489</v>
      </c>
      <c r="B286" s="46" t="s">
        <v>378</v>
      </c>
      <c r="C286" s="45" t="s">
        <v>623</v>
      </c>
      <c r="D286" s="46" t="s">
        <v>930</v>
      </c>
      <c r="E286" s="46" t="s">
        <v>821</v>
      </c>
      <c r="H286" s="48" t="s">
        <v>607</v>
      </c>
      <c r="O286" s="50" t="s">
        <v>754</v>
      </c>
      <c r="P286" s="65" t="s">
        <v>1881</v>
      </c>
      <c r="Q286" s="46" t="s">
        <v>592</v>
      </c>
      <c r="R286" s="47" t="s">
        <v>1882</v>
      </c>
      <c r="U286" s="46" t="s">
        <v>491</v>
      </c>
    </row>
    <row r="287" spans="1:21" ht="60" x14ac:dyDescent="0.25">
      <c r="A287" s="45">
        <v>42489</v>
      </c>
      <c r="B287" s="46" t="s">
        <v>1486</v>
      </c>
      <c r="C287" s="45" t="s">
        <v>1883</v>
      </c>
      <c r="D287" s="46" t="s">
        <v>727</v>
      </c>
      <c r="E287" s="46" t="s">
        <v>588</v>
      </c>
      <c r="F287" s="47" t="s">
        <v>1884</v>
      </c>
      <c r="H287" s="48" t="s">
        <v>607</v>
      </c>
      <c r="I287" s="46" t="s">
        <v>1885</v>
      </c>
      <c r="M287" s="50">
        <v>1600000</v>
      </c>
      <c r="N287" s="51">
        <v>1610000</v>
      </c>
      <c r="O287" s="50" t="s">
        <v>1887</v>
      </c>
      <c r="P287" s="65" t="s">
        <v>1886</v>
      </c>
      <c r="Q287" s="46" t="s">
        <v>592</v>
      </c>
      <c r="R287" s="47" t="s">
        <v>1888</v>
      </c>
      <c r="S287" s="80" t="s">
        <v>2266</v>
      </c>
      <c r="T287" s="80"/>
      <c r="U287" s="46" t="s">
        <v>491</v>
      </c>
    </row>
    <row r="288" spans="1:21" ht="105" x14ac:dyDescent="0.25">
      <c r="A288" s="45">
        <v>42492</v>
      </c>
      <c r="B288" s="46" t="s">
        <v>378</v>
      </c>
      <c r="C288" s="45" t="s">
        <v>610</v>
      </c>
      <c r="D288" s="46" t="s">
        <v>732</v>
      </c>
      <c r="E288" s="46" t="s">
        <v>588</v>
      </c>
      <c r="F288" s="47" t="s">
        <v>1900</v>
      </c>
      <c r="H288" s="48" t="s">
        <v>905</v>
      </c>
      <c r="I288" s="46" t="s">
        <v>1901</v>
      </c>
      <c r="M288" s="50">
        <v>175000</v>
      </c>
      <c r="N288" s="51">
        <v>235000</v>
      </c>
      <c r="O288" s="50" t="s">
        <v>1902</v>
      </c>
      <c r="P288" s="65" t="s">
        <v>1903</v>
      </c>
      <c r="Q288" s="46" t="s">
        <v>29</v>
      </c>
      <c r="R288" s="47" t="s">
        <v>1904</v>
      </c>
      <c r="U288" s="46" t="s">
        <v>491</v>
      </c>
    </row>
    <row r="289" spans="1:21" ht="45" x14ac:dyDescent="0.25">
      <c r="A289" s="45">
        <v>42492</v>
      </c>
      <c r="B289" s="46" t="s">
        <v>378</v>
      </c>
      <c r="C289" s="45" t="s">
        <v>623</v>
      </c>
      <c r="D289" s="46" t="s">
        <v>930</v>
      </c>
      <c r="E289" s="46" t="s">
        <v>588</v>
      </c>
      <c r="F289" s="47" t="s">
        <v>1906</v>
      </c>
      <c r="H289" s="48" t="s">
        <v>886</v>
      </c>
      <c r="I289" s="46" t="s">
        <v>1907</v>
      </c>
      <c r="M289" s="50">
        <v>3500000</v>
      </c>
      <c r="N289" s="51">
        <v>3500000</v>
      </c>
      <c r="O289" s="50" t="s">
        <v>891</v>
      </c>
      <c r="P289" s="65" t="s">
        <v>1908</v>
      </c>
      <c r="Q289" s="46" t="s">
        <v>592</v>
      </c>
      <c r="U289" s="46" t="s">
        <v>491</v>
      </c>
    </row>
    <row r="290" spans="1:21" ht="30" x14ac:dyDescent="0.25">
      <c r="A290" s="45">
        <v>42492</v>
      </c>
      <c r="B290" s="46" t="s">
        <v>378</v>
      </c>
      <c r="C290" s="45" t="s">
        <v>623</v>
      </c>
      <c r="D290" s="46" t="s">
        <v>930</v>
      </c>
      <c r="E290" s="46" t="s">
        <v>588</v>
      </c>
      <c r="F290" s="47" t="s">
        <v>1909</v>
      </c>
      <c r="H290" s="48" t="s">
        <v>722</v>
      </c>
      <c r="I290" s="46" t="s">
        <v>1910</v>
      </c>
      <c r="M290" s="50">
        <v>3200000</v>
      </c>
      <c r="N290" s="51">
        <v>4400000</v>
      </c>
      <c r="O290" s="50" t="s">
        <v>891</v>
      </c>
      <c r="P290" s="65" t="s">
        <v>1911</v>
      </c>
      <c r="Q290" s="46" t="s">
        <v>592</v>
      </c>
      <c r="U290" s="46" t="s">
        <v>491</v>
      </c>
    </row>
    <row r="291" spans="1:21" ht="75" x14ac:dyDescent="0.25">
      <c r="A291" s="45">
        <v>42492</v>
      </c>
      <c r="B291" s="46" t="s">
        <v>1486</v>
      </c>
      <c r="C291" s="45" t="s">
        <v>959</v>
      </c>
      <c r="D291" s="46" t="s">
        <v>727</v>
      </c>
      <c r="E291" s="46" t="s">
        <v>588</v>
      </c>
      <c r="F291" s="47" t="s">
        <v>1913</v>
      </c>
      <c r="H291" s="48" t="s">
        <v>886</v>
      </c>
      <c r="I291" s="46" t="s">
        <v>1914</v>
      </c>
      <c r="M291" s="50">
        <v>500000</v>
      </c>
      <c r="N291" s="51">
        <v>610000</v>
      </c>
      <c r="O291" s="50" t="s">
        <v>1915</v>
      </c>
      <c r="P291" s="65" t="s">
        <v>1916</v>
      </c>
      <c r="Q291" s="46" t="s">
        <v>1612</v>
      </c>
      <c r="R291" s="47" t="s">
        <v>1917</v>
      </c>
      <c r="U291" s="46" t="s">
        <v>491</v>
      </c>
    </row>
    <row r="292" spans="1:21" ht="45" x14ac:dyDescent="0.25">
      <c r="A292" s="45">
        <v>42492</v>
      </c>
      <c r="B292" s="46" t="s">
        <v>328</v>
      </c>
      <c r="C292" s="45" t="s">
        <v>603</v>
      </c>
      <c r="D292" s="46" t="s">
        <v>649</v>
      </c>
      <c r="E292" s="46" t="s">
        <v>588</v>
      </c>
      <c r="F292" s="47" t="s">
        <v>1918</v>
      </c>
      <c r="H292" s="47" t="s">
        <v>607</v>
      </c>
      <c r="I292" s="46" t="s">
        <v>1919</v>
      </c>
      <c r="M292" s="50">
        <v>173403</v>
      </c>
      <c r="N292" s="51">
        <v>294785</v>
      </c>
      <c r="O292" s="50" t="s">
        <v>1920</v>
      </c>
      <c r="P292" s="65" t="s">
        <v>1921</v>
      </c>
      <c r="Q292" s="46" t="s">
        <v>1612</v>
      </c>
      <c r="R292" s="47" t="s">
        <v>1922</v>
      </c>
      <c r="S292" s="47" t="s">
        <v>1961</v>
      </c>
      <c r="U292" s="46" t="s">
        <v>491</v>
      </c>
    </row>
    <row r="293" spans="1:21" ht="45" x14ac:dyDescent="0.25">
      <c r="A293" s="45">
        <v>42493</v>
      </c>
      <c r="B293" s="46" t="s">
        <v>320</v>
      </c>
      <c r="D293" s="46" t="s">
        <v>1016</v>
      </c>
      <c r="E293" s="46" t="s">
        <v>588</v>
      </c>
      <c r="F293" s="47" t="s">
        <v>1929</v>
      </c>
      <c r="H293" s="48" t="s">
        <v>607</v>
      </c>
      <c r="I293" s="46" t="s">
        <v>1930</v>
      </c>
      <c r="M293" s="50">
        <v>220000</v>
      </c>
      <c r="N293" s="51">
        <v>320000</v>
      </c>
      <c r="O293" s="50" t="s">
        <v>1931</v>
      </c>
      <c r="P293" s="65" t="s">
        <v>1932</v>
      </c>
      <c r="Q293" s="46" t="s">
        <v>592</v>
      </c>
      <c r="U293" s="46" t="s">
        <v>491</v>
      </c>
    </row>
    <row r="294" spans="1:21" ht="60" x14ac:dyDescent="0.25">
      <c r="A294" s="45">
        <v>42493</v>
      </c>
      <c r="B294" s="46" t="s">
        <v>378</v>
      </c>
      <c r="C294" s="45" t="s">
        <v>623</v>
      </c>
      <c r="D294" s="46" t="s">
        <v>930</v>
      </c>
      <c r="E294" s="46" t="s">
        <v>588</v>
      </c>
      <c r="F294" s="47" t="s">
        <v>1933</v>
      </c>
      <c r="H294" s="48" t="s">
        <v>886</v>
      </c>
      <c r="I294" s="46" t="s">
        <v>1934</v>
      </c>
      <c r="M294" s="50">
        <v>1500000</v>
      </c>
      <c r="N294" s="51">
        <v>1500000</v>
      </c>
      <c r="O294" s="50" t="s">
        <v>1935</v>
      </c>
      <c r="P294" s="65" t="s">
        <v>1937</v>
      </c>
      <c r="Q294" s="46" t="s">
        <v>592</v>
      </c>
      <c r="R294" s="47" t="s">
        <v>1936</v>
      </c>
      <c r="U294" s="46" t="s">
        <v>491</v>
      </c>
    </row>
    <row r="295" spans="1:21" ht="165" x14ac:dyDescent="0.25">
      <c r="A295" s="45">
        <v>42493</v>
      </c>
      <c r="B295" s="46" t="s">
        <v>378</v>
      </c>
      <c r="C295" s="45" t="s">
        <v>623</v>
      </c>
      <c r="D295" s="46" t="s">
        <v>930</v>
      </c>
      <c r="E295" s="46" t="s">
        <v>588</v>
      </c>
      <c r="H295" s="48" t="s">
        <v>809</v>
      </c>
      <c r="M295" s="50">
        <v>3800000</v>
      </c>
      <c r="N295" s="51">
        <v>4180000</v>
      </c>
      <c r="O295" s="50" t="s">
        <v>891</v>
      </c>
      <c r="P295" s="65" t="s">
        <v>1938</v>
      </c>
      <c r="Q295" s="46" t="s">
        <v>1939</v>
      </c>
      <c r="R295" s="47" t="s">
        <v>1940</v>
      </c>
      <c r="U295" s="46" t="s">
        <v>491</v>
      </c>
    </row>
    <row r="296" spans="1:21" ht="120" x14ac:dyDescent="0.25">
      <c r="A296" s="45">
        <v>42493</v>
      </c>
      <c r="B296" s="46" t="s">
        <v>328</v>
      </c>
      <c r="C296" s="45" t="s">
        <v>603</v>
      </c>
      <c r="D296" s="46" t="s">
        <v>672</v>
      </c>
      <c r="E296" s="46" t="s">
        <v>588</v>
      </c>
      <c r="F296" s="47" t="s">
        <v>1923</v>
      </c>
      <c r="H296" s="47" t="s">
        <v>607</v>
      </c>
      <c r="I296" s="46" t="s">
        <v>1924</v>
      </c>
      <c r="M296" s="50">
        <v>859000</v>
      </c>
      <c r="N296" s="51">
        <v>1718000</v>
      </c>
      <c r="O296" s="50" t="s">
        <v>1925</v>
      </c>
      <c r="P296" s="65" t="s">
        <v>1926</v>
      </c>
      <c r="Q296" s="46" t="s">
        <v>1612</v>
      </c>
      <c r="R296" s="47" t="s">
        <v>1927</v>
      </c>
      <c r="S296" s="47" t="s">
        <v>1942</v>
      </c>
      <c r="U296" s="46" t="s">
        <v>491</v>
      </c>
    </row>
    <row r="297" spans="1:21" ht="60" x14ac:dyDescent="0.25">
      <c r="A297" s="45">
        <v>42495</v>
      </c>
      <c r="B297" s="46" t="s">
        <v>250</v>
      </c>
      <c r="D297" s="46" t="s">
        <v>1006</v>
      </c>
      <c r="E297" s="46" t="s">
        <v>588</v>
      </c>
      <c r="F297" s="47" t="s">
        <v>1943</v>
      </c>
      <c r="H297" s="48"/>
      <c r="O297" s="50" t="s">
        <v>1589</v>
      </c>
      <c r="P297" s="65" t="s">
        <v>1944</v>
      </c>
      <c r="Q297" s="46" t="s">
        <v>29</v>
      </c>
      <c r="U297" s="46" t="s">
        <v>491</v>
      </c>
    </row>
    <row r="298" spans="1:21" ht="75" x14ac:dyDescent="0.25">
      <c r="A298" s="45">
        <v>42495</v>
      </c>
      <c r="B298" s="46" t="s">
        <v>320</v>
      </c>
      <c r="C298" s="45" t="s">
        <v>1228</v>
      </c>
      <c r="D298" s="46" t="s">
        <v>1229</v>
      </c>
      <c r="E298" s="46" t="s">
        <v>588</v>
      </c>
      <c r="F298" s="47" t="s">
        <v>1945</v>
      </c>
      <c r="H298" s="48" t="s">
        <v>607</v>
      </c>
      <c r="I298" s="46" t="s">
        <v>1018</v>
      </c>
      <c r="M298" s="50">
        <v>212000</v>
      </c>
      <c r="N298" s="51">
        <v>274000</v>
      </c>
      <c r="O298" s="50" t="s">
        <v>1946</v>
      </c>
      <c r="P298" s="65" t="s">
        <v>1960</v>
      </c>
      <c r="Q298" s="46" t="s">
        <v>29</v>
      </c>
      <c r="R298" s="47" t="s">
        <v>1947</v>
      </c>
      <c r="U298" s="46" t="s">
        <v>491</v>
      </c>
    </row>
    <row r="299" spans="1:21" ht="60" x14ac:dyDescent="0.25">
      <c r="A299" s="45">
        <v>42495</v>
      </c>
      <c r="B299" s="46" t="s">
        <v>110</v>
      </c>
      <c r="D299" s="46" t="s">
        <v>715</v>
      </c>
      <c r="E299" s="46" t="s">
        <v>588</v>
      </c>
      <c r="F299" s="47" t="s">
        <v>1956</v>
      </c>
      <c r="H299" s="48" t="s">
        <v>607</v>
      </c>
      <c r="I299" s="46" t="s">
        <v>1957</v>
      </c>
      <c r="M299" s="50">
        <v>180000</v>
      </c>
      <c r="N299" s="51">
        <v>306000</v>
      </c>
      <c r="O299" s="50" t="s">
        <v>1958</v>
      </c>
      <c r="P299" s="65" t="s">
        <v>1959</v>
      </c>
      <c r="Q299" s="46" t="s">
        <v>29</v>
      </c>
      <c r="U299" s="46" t="s">
        <v>491</v>
      </c>
    </row>
    <row r="300" spans="1:21" ht="120" x14ac:dyDescent="0.25">
      <c r="A300" s="45">
        <v>42495</v>
      </c>
      <c r="B300" s="46" t="s">
        <v>328</v>
      </c>
      <c r="C300" s="45" t="s">
        <v>603</v>
      </c>
      <c r="D300" s="46" t="s">
        <v>1471</v>
      </c>
      <c r="E300" s="46" t="s">
        <v>588</v>
      </c>
      <c r="F300" s="47" t="s">
        <v>1948</v>
      </c>
      <c r="H300" s="47" t="s">
        <v>905</v>
      </c>
      <c r="I300" s="46" t="s">
        <v>1949</v>
      </c>
      <c r="M300" s="50">
        <v>199000</v>
      </c>
      <c r="N300" s="51">
        <v>238800</v>
      </c>
      <c r="O300" s="50" t="s">
        <v>1950</v>
      </c>
      <c r="P300" s="65" t="s">
        <v>1951</v>
      </c>
      <c r="Q300" s="46" t="s">
        <v>1612</v>
      </c>
      <c r="R300" s="47" t="s">
        <v>1952</v>
      </c>
      <c r="S300" s="47" t="s">
        <v>2041</v>
      </c>
      <c r="U300" s="46" t="s">
        <v>491</v>
      </c>
    </row>
    <row r="301" spans="1:21" ht="180" x14ac:dyDescent="0.25">
      <c r="A301" s="45">
        <v>42495</v>
      </c>
      <c r="B301" s="46" t="s">
        <v>328</v>
      </c>
      <c r="C301" s="45" t="s">
        <v>603</v>
      </c>
      <c r="D301" s="46" t="s">
        <v>1401</v>
      </c>
      <c r="E301" s="46" t="s">
        <v>588</v>
      </c>
      <c r="F301" s="47" t="s">
        <v>1953</v>
      </c>
      <c r="H301" s="47" t="s">
        <v>607</v>
      </c>
      <c r="I301" s="46" t="s">
        <v>1954</v>
      </c>
      <c r="M301" s="50">
        <v>1465000</v>
      </c>
      <c r="N301" s="51">
        <v>3053500</v>
      </c>
      <c r="O301" s="50" t="s">
        <v>891</v>
      </c>
      <c r="P301" s="65" t="s">
        <v>2359</v>
      </c>
      <c r="Q301" s="46" t="s">
        <v>1939</v>
      </c>
      <c r="R301" s="47" t="s">
        <v>1955</v>
      </c>
      <c r="U301" s="46" t="s">
        <v>491</v>
      </c>
    </row>
    <row r="302" spans="1:21" ht="45" x14ac:dyDescent="0.25">
      <c r="A302" s="45">
        <v>42496</v>
      </c>
      <c r="B302" s="46" t="s">
        <v>378</v>
      </c>
      <c r="C302" s="45" t="s">
        <v>623</v>
      </c>
      <c r="D302" s="46" t="s">
        <v>625</v>
      </c>
      <c r="E302" s="46" t="s">
        <v>588</v>
      </c>
      <c r="F302" s="47" t="s">
        <v>1962</v>
      </c>
      <c r="H302" s="48" t="s">
        <v>1963</v>
      </c>
      <c r="I302" s="46" t="s">
        <v>1964</v>
      </c>
      <c r="M302" s="50">
        <v>2500000</v>
      </c>
      <c r="N302" s="51">
        <v>4000000</v>
      </c>
      <c r="O302" s="50" t="s">
        <v>891</v>
      </c>
      <c r="P302" s="65" t="s">
        <v>1965</v>
      </c>
      <c r="Q302" s="46" t="s">
        <v>592</v>
      </c>
      <c r="U302" s="46" t="s">
        <v>491</v>
      </c>
    </row>
    <row r="303" spans="1:21" ht="78" customHeight="1" x14ac:dyDescent="0.25">
      <c r="A303" s="45">
        <v>42496</v>
      </c>
      <c r="B303" s="46" t="s">
        <v>378</v>
      </c>
      <c r="C303" s="45" t="s">
        <v>623</v>
      </c>
      <c r="D303" s="46" t="s">
        <v>625</v>
      </c>
      <c r="E303" s="46" t="s">
        <v>588</v>
      </c>
      <c r="F303" s="47" t="s">
        <v>1966</v>
      </c>
      <c r="H303" s="48" t="s">
        <v>722</v>
      </c>
      <c r="I303" s="46" t="s">
        <v>1577</v>
      </c>
      <c r="M303" s="50">
        <v>3515000</v>
      </c>
      <c r="N303" s="51">
        <v>4772100</v>
      </c>
      <c r="O303" s="50" t="s">
        <v>891</v>
      </c>
      <c r="P303" s="65" t="s">
        <v>2360</v>
      </c>
      <c r="Q303" s="46" t="s">
        <v>1612</v>
      </c>
      <c r="R303" s="47" t="s">
        <v>1967</v>
      </c>
      <c r="S303" s="47" t="s">
        <v>3118</v>
      </c>
      <c r="U303" s="46" t="s">
        <v>491</v>
      </c>
    </row>
    <row r="304" spans="1:21" ht="45" x14ac:dyDescent="0.25">
      <c r="A304" s="45">
        <v>42496</v>
      </c>
      <c r="B304" s="46" t="s">
        <v>378</v>
      </c>
      <c r="C304" s="45" t="s">
        <v>623</v>
      </c>
      <c r="D304" s="46" t="s">
        <v>930</v>
      </c>
      <c r="E304" s="46" t="s">
        <v>588</v>
      </c>
      <c r="F304" s="47" t="s">
        <v>1972</v>
      </c>
      <c r="H304" s="48" t="s">
        <v>607</v>
      </c>
      <c r="I304" s="46" t="s">
        <v>1973</v>
      </c>
      <c r="M304" s="50">
        <v>1105000</v>
      </c>
      <c r="N304" s="51">
        <v>2326000</v>
      </c>
      <c r="O304" s="50" t="s">
        <v>768</v>
      </c>
      <c r="P304" s="65" t="s">
        <v>1974</v>
      </c>
      <c r="Q304" s="46" t="s">
        <v>1939</v>
      </c>
      <c r="R304" s="47" t="s">
        <v>1975</v>
      </c>
      <c r="U304" s="46" t="s">
        <v>491</v>
      </c>
    </row>
    <row r="305" spans="1:21" ht="30" x14ac:dyDescent="0.25">
      <c r="A305" s="45">
        <v>42496</v>
      </c>
      <c r="B305" s="46" t="s">
        <v>1486</v>
      </c>
      <c r="C305" s="45" t="s">
        <v>1883</v>
      </c>
      <c r="D305" s="46" t="s">
        <v>595</v>
      </c>
      <c r="E305" s="46" t="s">
        <v>588</v>
      </c>
      <c r="F305" s="47" t="s">
        <v>1977</v>
      </c>
      <c r="H305" s="48" t="s">
        <v>607</v>
      </c>
      <c r="I305" s="46" t="s">
        <v>1978</v>
      </c>
      <c r="M305" s="50">
        <v>300000</v>
      </c>
      <c r="N305" s="51">
        <v>300000</v>
      </c>
      <c r="O305" s="50" t="s">
        <v>1979</v>
      </c>
      <c r="P305" s="65" t="s">
        <v>1980</v>
      </c>
      <c r="Q305" s="46" t="s">
        <v>592</v>
      </c>
      <c r="U305" s="46" t="s">
        <v>491</v>
      </c>
    </row>
    <row r="306" spans="1:21" ht="60" x14ac:dyDescent="0.25">
      <c r="A306" s="45">
        <v>42496</v>
      </c>
      <c r="B306" s="46" t="s">
        <v>328</v>
      </c>
      <c r="C306" s="45" t="s">
        <v>603</v>
      </c>
      <c r="D306" s="46" t="s">
        <v>672</v>
      </c>
      <c r="E306" s="46" t="s">
        <v>588</v>
      </c>
      <c r="F306" s="47" t="s">
        <v>1968</v>
      </c>
      <c r="H306" s="47" t="s">
        <v>607</v>
      </c>
      <c r="I306" s="46" t="s">
        <v>1969</v>
      </c>
      <c r="M306" s="50">
        <v>964600</v>
      </c>
      <c r="N306" s="51">
        <v>1640400</v>
      </c>
      <c r="O306" s="50" t="s">
        <v>1474</v>
      </c>
      <c r="P306" s="65" t="s">
        <v>1970</v>
      </c>
      <c r="Q306" s="46" t="s">
        <v>1939</v>
      </c>
      <c r="R306" s="47" t="s">
        <v>1971</v>
      </c>
      <c r="S306" s="47" t="s">
        <v>1976</v>
      </c>
      <c r="U306" s="46" t="s">
        <v>491</v>
      </c>
    </row>
    <row r="307" spans="1:21" ht="45" x14ac:dyDescent="0.25">
      <c r="A307" s="45">
        <v>42499</v>
      </c>
      <c r="B307" s="46" t="s">
        <v>378</v>
      </c>
      <c r="C307" s="45" t="s">
        <v>610</v>
      </c>
      <c r="D307" s="46" t="s">
        <v>732</v>
      </c>
      <c r="E307" s="46" t="s">
        <v>588</v>
      </c>
      <c r="F307" s="47" t="s">
        <v>1981</v>
      </c>
      <c r="H307" s="48" t="s">
        <v>905</v>
      </c>
      <c r="I307" s="46" t="s">
        <v>628</v>
      </c>
      <c r="M307" s="50">
        <v>3700000</v>
      </c>
      <c r="N307" s="51">
        <v>4810000</v>
      </c>
      <c r="O307" s="50" t="s">
        <v>1474</v>
      </c>
      <c r="P307" s="65" t="s">
        <v>1982</v>
      </c>
      <c r="Q307" s="46" t="s">
        <v>620</v>
      </c>
      <c r="R307" s="47" t="s">
        <v>1983</v>
      </c>
      <c r="U307" s="46" t="s">
        <v>491</v>
      </c>
    </row>
    <row r="308" spans="1:21" ht="45" x14ac:dyDescent="0.25">
      <c r="A308" s="45">
        <v>42499</v>
      </c>
      <c r="B308" s="46" t="s">
        <v>1486</v>
      </c>
      <c r="C308" s="45" t="s">
        <v>959</v>
      </c>
      <c r="D308" s="46" t="s">
        <v>732</v>
      </c>
      <c r="E308" s="46" t="s">
        <v>588</v>
      </c>
      <c r="F308" s="47" t="s">
        <v>1984</v>
      </c>
      <c r="H308" s="48" t="s">
        <v>1050</v>
      </c>
      <c r="O308" s="50" t="s">
        <v>1844</v>
      </c>
      <c r="P308" s="65" t="s">
        <v>1985</v>
      </c>
      <c r="Q308" s="46" t="s">
        <v>29</v>
      </c>
      <c r="R308" s="47" t="s">
        <v>1986</v>
      </c>
      <c r="U308" s="46" t="s">
        <v>491</v>
      </c>
    </row>
    <row r="309" spans="1:21" ht="208.5" customHeight="1" x14ac:dyDescent="0.25">
      <c r="A309" s="45">
        <v>42500</v>
      </c>
      <c r="B309" s="46" t="s">
        <v>378</v>
      </c>
      <c r="C309" s="45" t="s">
        <v>610</v>
      </c>
      <c r="D309" s="46" t="s">
        <v>732</v>
      </c>
      <c r="E309" s="46" t="s">
        <v>588</v>
      </c>
      <c r="F309" s="47" t="s">
        <v>1987</v>
      </c>
      <c r="H309" s="48" t="s">
        <v>722</v>
      </c>
      <c r="I309" s="46" t="s">
        <v>1988</v>
      </c>
      <c r="M309" s="50">
        <v>653999</v>
      </c>
      <c r="N309" s="51">
        <v>1098900</v>
      </c>
      <c r="O309" s="50" t="s">
        <v>666</v>
      </c>
      <c r="P309" s="65" t="s">
        <v>1989</v>
      </c>
      <c r="Q309" s="46" t="s">
        <v>620</v>
      </c>
      <c r="R309" s="47" t="s">
        <v>1990</v>
      </c>
      <c r="U309" s="46" t="s">
        <v>491</v>
      </c>
    </row>
    <row r="310" spans="1:21" ht="210" x14ac:dyDescent="0.25">
      <c r="A310" s="45">
        <v>42500</v>
      </c>
      <c r="B310" s="46" t="s">
        <v>1486</v>
      </c>
      <c r="C310" s="45" t="s">
        <v>1883</v>
      </c>
      <c r="D310" s="46" t="s">
        <v>727</v>
      </c>
      <c r="E310" s="46" t="s">
        <v>588</v>
      </c>
      <c r="H310" s="48" t="s">
        <v>1991</v>
      </c>
      <c r="I310" s="46" t="s">
        <v>1992</v>
      </c>
      <c r="O310" s="50" t="s">
        <v>639</v>
      </c>
      <c r="P310" s="65" t="s">
        <v>1993</v>
      </c>
      <c r="Q310" s="46" t="s">
        <v>620</v>
      </c>
      <c r="R310" s="47" t="s">
        <v>1994</v>
      </c>
      <c r="U310" s="46" t="s">
        <v>491</v>
      </c>
    </row>
    <row r="311" spans="1:21" ht="61.5" customHeight="1" x14ac:dyDescent="0.25">
      <c r="A311" s="45">
        <v>42500</v>
      </c>
      <c r="B311" s="46" t="s">
        <v>1486</v>
      </c>
      <c r="C311" s="45" t="s">
        <v>1883</v>
      </c>
      <c r="D311" s="46" t="s">
        <v>595</v>
      </c>
      <c r="E311" s="46" t="s">
        <v>588</v>
      </c>
      <c r="F311" s="47" t="s">
        <v>1995</v>
      </c>
      <c r="H311" s="48" t="s">
        <v>1057</v>
      </c>
      <c r="I311" s="46" t="s">
        <v>1996</v>
      </c>
      <c r="O311" s="50" t="s">
        <v>1997</v>
      </c>
      <c r="P311" s="65" t="s">
        <v>1998</v>
      </c>
      <c r="Q311" s="46" t="s">
        <v>1939</v>
      </c>
      <c r="R311" s="47" t="s">
        <v>1999</v>
      </c>
      <c r="U311" s="46" t="s">
        <v>491</v>
      </c>
    </row>
    <row r="312" spans="1:21" ht="60" x14ac:dyDescent="0.25">
      <c r="A312" s="45">
        <v>42500</v>
      </c>
      <c r="B312" s="46" t="s">
        <v>1486</v>
      </c>
      <c r="C312" s="45" t="s">
        <v>1883</v>
      </c>
      <c r="D312" s="46" t="s">
        <v>732</v>
      </c>
      <c r="E312" s="46" t="s">
        <v>588</v>
      </c>
      <c r="F312" s="47" t="s">
        <v>2004</v>
      </c>
      <c r="H312" s="48" t="s">
        <v>607</v>
      </c>
      <c r="I312" s="46" t="s">
        <v>2005</v>
      </c>
      <c r="M312" s="50">
        <v>459000</v>
      </c>
      <c r="N312" s="51">
        <v>779000</v>
      </c>
      <c r="O312" s="50" t="s">
        <v>2006</v>
      </c>
      <c r="P312" s="65" t="s">
        <v>2007</v>
      </c>
      <c r="Q312" s="46" t="s">
        <v>1939</v>
      </c>
      <c r="R312" s="47" t="s">
        <v>2008</v>
      </c>
      <c r="U312" s="46" t="s">
        <v>491</v>
      </c>
    </row>
    <row r="313" spans="1:21" ht="105" x14ac:dyDescent="0.25">
      <c r="A313" s="45">
        <v>42500</v>
      </c>
      <c r="B313" s="46" t="s">
        <v>328</v>
      </c>
      <c r="C313" s="45" t="s">
        <v>603</v>
      </c>
      <c r="D313" s="46" t="s">
        <v>649</v>
      </c>
      <c r="E313" s="46" t="s">
        <v>588</v>
      </c>
      <c r="F313" s="47" t="s">
        <v>2009</v>
      </c>
      <c r="H313" s="47" t="s">
        <v>905</v>
      </c>
      <c r="I313" s="46" t="s">
        <v>2010</v>
      </c>
      <c r="M313" s="50">
        <v>1449200</v>
      </c>
      <c r="N313" s="51">
        <v>1802040</v>
      </c>
      <c r="O313" s="50" t="s">
        <v>2011</v>
      </c>
      <c r="P313" s="65" t="s">
        <v>2012</v>
      </c>
      <c r="Q313" s="46" t="s">
        <v>1939</v>
      </c>
      <c r="R313" s="47" t="s">
        <v>2013</v>
      </c>
      <c r="U313" s="46" t="s">
        <v>491</v>
      </c>
    </row>
    <row r="314" spans="1:21" ht="45" x14ac:dyDescent="0.25">
      <c r="A314" s="45">
        <v>42500</v>
      </c>
      <c r="B314" s="46" t="s">
        <v>328</v>
      </c>
      <c r="C314" s="45" t="s">
        <v>603</v>
      </c>
      <c r="D314" s="46" t="s">
        <v>649</v>
      </c>
      <c r="E314" s="46" t="s">
        <v>588</v>
      </c>
      <c r="F314" s="47" t="s">
        <v>2000</v>
      </c>
      <c r="H314" s="47" t="s">
        <v>607</v>
      </c>
      <c r="I314" s="46" t="s">
        <v>2001</v>
      </c>
      <c r="M314" s="50">
        <v>785200</v>
      </c>
      <c r="N314" s="51">
        <v>1570400</v>
      </c>
      <c r="O314" s="50" t="s">
        <v>2002</v>
      </c>
      <c r="P314" s="65" t="s">
        <v>2003</v>
      </c>
      <c r="Q314" s="46" t="s">
        <v>1939</v>
      </c>
      <c r="R314" s="47" t="s">
        <v>2066</v>
      </c>
      <c r="U314" s="46" t="s">
        <v>491</v>
      </c>
    </row>
    <row r="315" spans="1:21" ht="60" x14ac:dyDescent="0.25">
      <c r="A315" s="45">
        <v>42501</v>
      </c>
      <c r="B315" s="46" t="s">
        <v>328</v>
      </c>
      <c r="C315" s="45" t="s">
        <v>603</v>
      </c>
      <c r="D315" s="46" t="s">
        <v>587</v>
      </c>
      <c r="E315" s="46" t="s">
        <v>588</v>
      </c>
      <c r="F315" s="47" t="s">
        <v>2029</v>
      </c>
      <c r="H315" s="47" t="s">
        <v>607</v>
      </c>
      <c r="I315" s="46" t="s">
        <v>2031</v>
      </c>
      <c r="M315" s="50">
        <v>400000</v>
      </c>
      <c r="N315" s="51">
        <v>900000</v>
      </c>
      <c r="O315" s="50" t="s">
        <v>2032</v>
      </c>
      <c r="P315" s="65" t="s">
        <v>2030</v>
      </c>
      <c r="Q315" s="46" t="s">
        <v>29</v>
      </c>
      <c r="R315" s="47" t="s">
        <v>2034</v>
      </c>
      <c r="U315" s="46" t="s">
        <v>491</v>
      </c>
    </row>
    <row r="316" spans="1:21" ht="90" x14ac:dyDescent="0.25">
      <c r="A316" s="45">
        <v>42501</v>
      </c>
      <c r="B316" s="46" t="s">
        <v>378</v>
      </c>
      <c r="C316" s="45" t="s">
        <v>623</v>
      </c>
      <c r="D316" s="46" t="s">
        <v>625</v>
      </c>
      <c r="E316" s="46" t="s">
        <v>588</v>
      </c>
      <c r="F316" s="47" t="s">
        <v>2017</v>
      </c>
      <c r="H316" s="48" t="s">
        <v>905</v>
      </c>
      <c r="I316" s="46" t="s">
        <v>2018</v>
      </c>
      <c r="M316" s="50">
        <v>2661999</v>
      </c>
      <c r="N316" s="51">
        <v>32932000</v>
      </c>
      <c r="O316" s="50" t="s">
        <v>1474</v>
      </c>
      <c r="P316" s="65" t="s">
        <v>2019</v>
      </c>
      <c r="Q316" s="46" t="s">
        <v>592</v>
      </c>
      <c r="U316" s="46" t="s">
        <v>491</v>
      </c>
    </row>
    <row r="317" spans="1:21" ht="75" x14ac:dyDescent="0.25">
      <c r="A317" s="45">
        <v>42501</v>
      </c>
      <c r="B317" s="46" t="s">
        <v>1486</v>
      </c>
      <c r="C317" s="45" t="s">
        <v>1883</v>
      </c>
      <c r="D317" s="46" t="s">
        <v>595</v>
      </c>
      <c r="E317" s="46" t="s">
        <v>588</v>
      </c>
      <c r="F317" s="47" t="s">
        <v>2020</v>
      </c>
      <c r="H317" s="48" t="s">
        <v>2021</v>
      </c>
      <c r="I317" s="46" t="s">
        <v>2022</v>
      </c>
      <c r="M317" s="50">
        <v>449000</v>
      </c>
      <c r="N317" s="51">
        <v>830650</v>
      </c>
      <c r="O317" s="50" t="s">
        <v>2023</v>
      </c>
      <c r="P317" s="65" t="s">
        <v>2024</v>
      </c>
      <c r="Q317" s="46" t="s">
        <v>1612</v>
      </c>
      <c r="R317" s="47" t="s">
        <v>2033</v>
      </c>
      <c r="S317" s="47" t="s">
        <v>2035</v>
      </c>
      <c r="U317" s="46" t="s">
        <v>491</v>
      </c>
    </row>
    <row r="318" spans="1:21" ht="45" x14ac:dyDescent="0.25">
      <c r="A318" s="45">
        <v>42501</v>
      </c>
      <c r="B318" s="46" t="s">
        <v>378</v>
      </c>
      <c r="C318" s="45" t="s">
        <v>623</v>
      </c>
      <c r="D318" s="46" t="s">
        <v>625</v>
      </c>
      <c r="E318" s="46" t="s">
        <v>588</v>
      </c>
      <c r="F318" s="47" t="s">
        <v>2025</v>
      </c>
      <c r="H318" s="48" t="s">
        <v>607</v>
      </c>
      <c r="I318" s="46" t="s">
        <v>802</v>
      </c>
      <c r="M318" s="50">
        <v>785900</v>
      </c>
      <c r="N318" s="51">
        <v>1466030</v>
      </c>
      <c r="O318" s="50" t="s">
        <v>2026</v>
      </c>
      <c r="P318" s="65" t="s">
        <v>2027</v>
      </c>
      <c r="Q318" s="46" t="s">
        <v>620</v>
      </c>
      <c r="R318" s="47" t="s">
        <v>2028</v>
      </c>
      <c r="U318" s="46" t="s">
        <v>491</v>
      </c>
    </row>
    <row r="319" spans="1:21" ht="90" x14ac:dyDescent="0.25">
      <c r="A319" s="45">
        <v>42501</v>
      </c>
      <c r="B319" s="46" t="s">
        <v>1486</v>
      </c>
      <c r="C319" s="45" t="s">
        <v>1883</v>
      </c>
      <c r="D319" s="46" t="s">
        <v>727</v>
      </c>
      <c r="E319" s="46" t="s">
        <v>588</v>
      </c>
      <c r="F319" s="47" t="s">
        <v>2036</v>
      </c>
      <c r="H319" s="48" t="s">
        <v>905</v>
      </c>
      <c r="I319" s="46" t="s">
        <v>2037</v>
      </c>
      <c r="M319" s="50">
        <v>279000</v>
      </c>
      <c r="N319" s="51">
        <v>326900</v>
      </c>
      <c r="O319" s="50" t="s">
        <v>2038</v>
      </c>
      <c r="P319" s="65" t="s">
        <v>2039</v>
      </c>
      <c r="Q319" s="46" t="s">
        <v>1939</v>
      </c>
      <c r="R319" s="47" t="s">
        <v>2040</v>
      </c>
      <c r="U319" s="46" t="s">
        <v>491</v>
      </c>
    </row>
    <row r="320" spans="1:21" x14ac:dyDescent="0.25">
      <c r="A320" s="45">
        <v>42501</v>
      </c>
      <c r="B320" s="46" t="s">
        <v>1486</v>
      </c>
      <c r="C320" s="45" t="s">
        <v>1883</v>
      </c>
      <c r="D320" s="46" t="s">
        <v>732</v>
      </c>
      <c r="E320" s="46" t="s">
        <v>588</v>
      </c>
      <c r="F320" s="47" t="s">
        <v>2042</v>
      </c>
      <c r="H320" s="48" t="s">
        <v>886</v>
      </c>
      <c r="I320" s="46" t="s">
        <v>2043</v>
      </c>
      <c r="N320" s="51">
        <v>8250000</v>
      </c>
      <c r="O320" s="50" t="s">
        <v>2044</v>
      </c>
      <c r="P320" s="65" t="s">
        <v>2045</v>
      </c>
      <c r="Q320" s="46" t="s">
        <v>29</v>
      </c>
      <c r="R320" s="47" t="s">
        <v>2046</v>
      </c>
      <c r="U320" s="46" t="s">
        <v>491</v>
      </c>
    </row>
    <row r="321" spans="1:21" ht="75" x14ac:dyDescent="0.25">
      <c r="A321" s="45">
        <v>42501</v>
      </c>
      <c r="B321" s="46" t="s">
        <v>378</v>
      </c>
      <c r="C321" s="45" t="s">
        <v>623</v>
      </c>
      <c r="D321" s="46" t="s">
        <v>624</v>
      </c>
      <c r="E321" s="46" t="s">
        <v>821</v>
      </c>
      <c r="H321" s="48" t="s">
        <v>1626</v>
      </c>
      <c r="O321" s="50" t="s">
        <v>1516</v>
      </c>
      <c r="P321" s="65" t="s">
        <v>2051</v>
      </c>
      <c r="Q321" s="46" t="s">
        <v>1939</v>
      </c>
      <c r="R321" s="47" t="s">
        <v>2052</v>
      </c>
      <c r="U321" s="46" t="s">
        <v>491</v>
      </c>
    </row>
    <row r="322" spans="1:21" ht="90" x14ac:dyDescent="0.25">
      <c r="A322" s="45">
        <v>42501</v>
      </c>
      <c r="B322" s="46" t="s">
        <v>378</v>
      </c>
      <c r="C322" s="45" t="s">
        <v>623</v>
      </c>
      <c r="D322" s="46" t="s">
        <v>625</v>
      </c>
      <c r="E322" s="46" t="s">
        <v>1707</v>
      </c>
      <c r="F322" s="47" t="s">
        <v>2053</v>
      </c>
      <c r="H322" s="48" t="s">
        <v>607</v>
      </c>
      <c r="I322" s="46" t="s">
        <v>2054</v>
      </c>
      <c r="M322" s="50">
        <v>2000000</v>
      </c>
      <c r="N322" s="51">
        <v>3600000</v>
      </c>
      <c r="O322" s="50" t="s">
        <v>2057</v>
      </c>
      <c r="P322" s="65" t="s">
        <v>2055</v>
      </c>
      <c r="Q322" s="46" t="s">
        <v>620</v>
      </c>
      <c r="R322" s="47" t="s">
        <v>2056</v>
      </c>
      <c r="S322" s="47" t="s">
        <v>2124</v>
      </c>
      <c r="U322" s="46" t="s">
        <v>491</v>
      </c>
    </row>
    <row r="323" spans="1:21" ht="60" x14ac:dyDescent="0.25">
      <c r="A323" s="45">
        <v>42501</v>
      </c>
      <c r="B323" s="46" t="s">
        <v>328</v>
      </c>
      <c r="C323" s="45" t="s">
        <v>603</v>
      </c>
      <c r="D323" s="46" t="s">
        <v>649</v>
      </c>
      <c r="E323" s="46" t="s">
        <v>588</v>
      </c>
      <c r="H323" s="47" t="s">
        <v>886</v>
      </c>
      <c r="O323" s="50" t="s">
        <v>2014</v>
      </c>
      <c r="P323" s="65" t="s">
        <v>2015</v>
      </c>
      <c r="Q323" s="46" t="s">
        <v>620</v>
      </c>
      <c r="R323" s="47" t="s">
        <v>2016</v>
      </c>
      <c r="U323" s="46" t="s">
        <v>491</v>
      </c>
    </row>
    <row r="324" spans="1:21" ht="120" x14ac:dyDescent="0.25">
      <c r="A324" s="45">
        <v>42501</v>
      </c>
      <c r="B324" s="46" t="s">
        <v>328</v>
      </c>
      <c r="C324" s="45" t="s">
        <v>603</v>
      </c>
      <c r="D324" s="46" t="s">
        <v>1471</v>
      </c>
      <c r="E324" s="46" t="s">
        <v>588</v>
      </c>
      <c r="F324" s="47" t="s">
        <v>2047</v>
      </c>
      <c r="H324" s="47" t="s">
        <v>722</v>
      </c>
      <c r="I324" s="46" t="s">
        <v>2048</v>
      </c>
      <c r="M324" s="50">
        <v>244000</v>
      </c>
      <c r="N324" s="51">
        <v>463600</v>
      </c>
      <c r="O324" s="50" t="s">
        <v>2049</v>
      </c>
      <c r="P324" s="65" t="s">
        <v>2361</v>
      </c>
      <c r="Q324" s="46" t="s">
        <v>1612</v>
      </c>
      <c r="R324" s="47" t="s">
        <v>2050</v>
      </c>
      <c r="S324" s="47" t="s">
        <v>2065</v>
      </c>
      <c r="U324" s="46" t="s">
        <v>491</v>
      </c>
    </row>
    <row r="325" spans="1:21" ht="60" x14ac:dyDescent="0.25">
      <c r="A325" s="45">
        <v>42502</v>
      </c>
      <c r="B325" s="46" t="s">
        <v>643</v>
      </c>
      <c r="C325" s="45" t="s">
        <v>644</v>
      </c>
      <c r="D325" s="46" t="s">
        <v>645</v>
      </c>
      <c r="E325" s="46" t="s">
        <v>588</v>
      </c>
      <c r="F325" s="47" t="s">
        <v>2061</v>
      </c>
      <c r="H325" s="48" t="s">
        <v>722</v>
      </c>
      <c r="I325" s="46" t="s">
        <v>2062</v>
      </c>
      <c r="N325" s="51">
        <v>4750000</v>
      </c>
      <c r="O325" s="50" t="s">
        <v>1474</v>
      </c>
      <c r="P325" s="65" t="s">
        <v>2063</v>
      </c>
      <c r="Q325" s="46" t="s">
        <v>1939</v>
      </c>
      <c r="R325" s="47" t="s">
        <v>2064</v>
      </c>
      <c r="U325" s="46" t="s">
        <v>491</v>
      </c>
    </row>
    <row r="326" spans="1:21" ht="75" x14ac:dyDescent="0.25">
      <c r="A326" s="45">
        <v>42502</v>
      </c>
      <c r="B326" s="46" t="s">
        <v>328</v>
      </c>
      <c r="C326" s="45" t="s">
        <v>603</v>
      </c>
      <c r="D326" s="46" t="s">
        <v>587</v>
      </c>
      <c r="E326" s="46" t="s">
        <v>588</v>
      </c>
      <c r="F326" s="47" t="s">
        <v>2058</v>
      </c>
      <c r="H326" s="47" t="s">
        <v>607</v>
      </c>
      <c r="I326" s="46" t="s">
        <v>2059</v>
      </c>
      <c r="M326" s="50">
        <v>2500000</v>
      </c>
      <c r="N326" s="51">
        <v>4250000</v>
      </c>
      <c r="O326" s="50" t="s">
        <v>891</v>
      </c>
      <c r="P326" s="65" t="s">
        <v>2060</v>
      </c>
      <c r="Q326" s="46" t="s">
        <v>592</v>
      </c>
      <c r="U326" s="46" t="s">
        <v>491</v>
      </c>
    </row>
    <row r="327" spans="1:21" ht="195" x14ac:dyDescent="0.25">
      <c r="A327" s="45">
        <v>42502</v>
      </c>
      <c r="B327" s="46" t="s">
        <v>328</v>
      </c>
      <c r="C327" s="45" t="s">
        <v>603</v>
      </c>
      <c r="D327" s="46" t="s">
        <v>649</v>
      </c>
      <c r="E327" s="46" t="s">
        <v>588</v>
      </c>
      <c r="F327" s="47" t="s">
        <v>2067</v>
      </c>
      <c r="H327" s="47" t="s">
        <v>905</v>
      </c>
      <c r="I327" s="46" t="s">
        <v>802</v>
      </c>
      <c r="M327" s="50">
        <v>1727310</v>
      </c>
      <c r="N327" s="51">
        <v>2283291</v>
      </c>
      <c r="O327" s="50" t="s">
        <v>1474</v>
      </c>
      <c r="P327" s="65" t="s">
        <v>2068</v>
      </c>
      <c r="Q327" s="46" t="s">
        <v>1939</v>
      </c>
      <c r="R327" s="47" t="s">
        <v>2069</v>
      </c>
      <c r="U327" s="46" t="s">
        <v>491</v>
      </c>
    </row>
    <row r="328" spans="1:21" ht="75" x14ac:dyDescent="0.25">
      <c r="A328" s="45">
        <v>42503</v>
      </c>
      <c r="B328" s="46" t="s">
        <v>328</v>
      </c>
      <c r="C328" s="45" t="s">
        <v>603</v>
      </c>
      <c r="D328" s="46" t="s">
        <v>587</v>
      </c>
      <c r="E328" s="46" t="s">
        <v>821</v>
      </c>
      <c r="O328" s="50" t="s">
        <v>2078</v>
      </c>
      <c r="P328" s="65" t="s">
        <v>2079</v>
      </c>
      <c r="Q328" s="46" t="s">
        <v>1939</v>
      </c>
      <c r="R328" s="47" t="s">
        <v>2080</v>
      </c>
      <c r="U328" s="46" t="s">
        <v>491</v>
      </c>
    </row>
    <row r="329" spans="1:21" ht="60" x14ac:dyDescent="0.25">
      <c r="A329" s="45">
        <v>42503</v>
      </c>
      <c r="B329" s="46" t="s">
        <v>378</v>
      </c>
      <c r="C329" s="45" t="s">
        <v>610</v>
      </c>
      <c r="D329" s="46" t="s">
        <v>732</v>
      </c>
      <c r="E329" s="46" t="s">
        <v>588</v>
      </c>
      <c r="F329" s="47" t="s">
        <v>2070</v>
      </c>
      <c r="H329" s="48" t="s">
        <v>607</v>
      </c>
      <c r="I329" s="46" t="s">
        <v>2071</v>
      </c>
      <c r="M329" s="50">
        <v>2120000</v>
      </c>
      <c r="N329" s="51">
        <v>3816000</v>
      </c>
      <c r="O329" s="50" t="s">
        <v>891</v>
      </c>
      <c r="P329" s="65" t="s">
        <v>2072</v>
      </c>
      <c r="Q329" s="46" t="s">
        <v>592</v>
      </c>
      <c r="U329" s="46" t="s">
        <v>491</v>
      </c>
    </row>
    <row r="330" spans="1:21" ht="60" x14ac:dyDescent="0.25">
      <c r="A330" s="45">
        <v>42503</v>
      </c>
      <c r="B330" s="46" t="s">
        <v>378</v>
      </c>
      <c r="C330" s="45" t="s">
        <v>610</v>
      </c>
      <c r="D330" s="46" t="s">
        <v>732</v>
      </c>
      <c r="E330" s="46" t="s">
        <v>821</v>
      </c>
      <c r="F330" s="47" t="s">
        <v>2081</v>
      </c>
      <c r="H330" s="48" t="s">
        <v>607</v>
      </c>
      <c r="I330" s="46" t="s">
        <v>2082</v>
      </c>
      <c r="M330" s="50">
        <v>1510000</v>
      </c>
      <c r="N330" s="51">
        <v>3020000</v>
      </c>
      <c r="O330" s="50" t="s">
        <v>1498</v>
      </c>
      <c r="P330" s="65" t="s">
        <v>2083</v>
      </c>
      <c r="Q330" s="46" t="s">
        <v>1939</v>
      </c>
      <c r="R330" s="47" t="s">
        <v>2093</v>
      </c>
    </row>
    <row r="331" spans="1:21" ht="180" x14ac:dyDescent="0.25">
      <c r="A331" s="45">
        <v>42503</v>
      </c>
      <c r="B331" s="46" t="s">
        <v>1486</v>
      </c>
      <c r="C331" s="45" t="s">
        <v>1883</v>
      </c>
      <c r="D331" s="46" t="s">
        <v>595</v>
      </c>
      <c r="E331" s="46" t="s">
        <v>1707</v>
      </c>
      <c r="F331" s="47" t="s">
        <v>2155</v>
      </c>
      <c r="H331" s="48" t="s">
        <v>2088</v>
      </c>
      <c r="I331" s="46" t="s">
        <v>2089</v>
      </c>
      <c r="O331" s="50" t="s">
        <v>35</v>
      </c>
      <c r="P331" s="65" t="s">
        <v>2091</v>
      </c>
      <c r="Q331" s="46" t="s">
        <v>29</v>
      </c>
      <c r="R331" s="47" t="s">
        <v>2090</v>
      </c>
      <c r="S331" s="47" t="s">
        <v>2156</v>
      </c>
      <c r="U331" s="46" t="s">
        <v>491</v>
      </c>
    </row>
    <row r="332" spans="1:21" ht="183.75" customHeight="1" x14ac:dyDescent="0.25">
      <c r="A332" s="45">
        <v>42503</v>
      </c>
      <c r="B332" s="46" t="s">
        <v>378</v>
      </c>
      <c r="C332" s="45" t="s">
        <v>623</v>
      </c>
      <c r="D332" s="46" t="s">
        <v>930</v>
      </c>
      <c r="E332" s="46" t="s">
        <v>821</v>
      </c>
      <c r="H332" s="48" t="s">
        <v>710</v>
      </c>
      <c r="I332" s="46" t="s">
        <v>2094</v>
      </c>
      <c r="O332" s="50" t="s">
        <v>2095</v>
      </c>
      <c r="P332" s="65" t="s">
        <v>2096</v>
      </c>
      <c r="Q332" s="46" t="s">
        <v>592</v>
      </c>
      <c r="U332" s="46" t="s">
        <v>491</v>
      </c>
    </row>
    <row r="333" spans="1:21" ht="45" x14ac:dyDescent="0.25">
      <c r="A333" s="45">
        <v>42503</v>
      </c>
      <c r="B333" s="46" t="s">
        <v>328</v>
      </c>
      <c r="C333" s="45" t="s">
        <v>603</v>
      </c>
      <c r="D333" s="46" t="s">
        <v>672</v>
      </c>
      <c r="E333" s="46" t="s">
        <v>588</v>
      </c>
      <c r="F333" s="47" t="s">
        <v>1895</v>
      </c>
      <c r="H333" s="47" t="s">
        <v>607</v>
      </c>
      <c r="I333" s="46" t="s">
        <v>1896</v>
      </c>
      <c r="M333" s="50">
        <v>1059406</v>
      </c>
      <c r="N333" s="51">
        <v>2023562</v>
      </c>
      <c r="O333" s="50" t="s">
        <v>1897</v>
      </c>
      <c r="P333" s="65" t="s">
        <v>1898</v>
      </c>
      <c r="Q333" s="46" t="s">
        <v>1612</v>
      </c>
      <c r="R333" s="47" t="s">
        <v>1899</v>
      </c>
      <c r="S333" s="47" t="s">
        <v>2092</v>
      </c>
      <c r="U333" s="46" t="s">
        <v>491</v>
      </c>
    </row>
    <row r="334" spans="1:21" ht="45" x14ac:dyDescent="0.25">
      <c r="A334" s="45">
        <v>42503</v>
      </c>
      <c r="B334" s="46" t="s">
        <v>328</v>
      </c>
      <c r="C334" s="45" t="s">
        <v>603</v>
      </c>
      <c r="D334" s="46" t="s">
        <v>587</v>
      </c>
      <c r="E334" s="46" t="s">
        <v>588</v>
      </c>
      <c r="F334" s="47" t="s">
        <v>2084</v>
      </c>
      <c r="H334" s="47" t="s">
        <v>607</v>
      </c>
      <c r="I334" s="46" t="s">
        <v>2085</v>
      </c>
      <c r="M334" s="50">
        <v>1400000</v>
      </c>
      <c r="N334" s="51">
        <v>2240000</v>
      </c>
      <c r="O334" s="50" t="s">
        <v>2086</v>
      </c>
      <c r="P334" s="65" t="s">
        <v>2087</v>
      </c>
      <c r="Q334" s="46" t="s">
        <v>592</v>
      </c>
      <c r="U334" s="46" t="s">
        <v>491</v>
      </c>
    </row>
    <row r="335" spans="1:21" ht="45" x14ac:dyDescent="0.25">
      <c r="A335" s="45">
        <v>42503</v>
      </c>
      <c r="B335" s="46" t="s">
        <v>328</v>
      </c>
      <c r="C335" s="45" t="s">
        <v>603</v>
      </c>
      <c r="D335" s="46" t="s">
        <v>649</v>
      </c>
      <c r="E335" s="46" t="s">
        <v>588</v>
      </c>
      <c r="F335" s="47" t="s">
        <v>2073</v>
      </c>
      <c r="H335" s="47" t="s">
        <v>2074</v>
      </c>
      <c r="I335" s="46" t="s">
        <v>2075</v>
      </c>
      <c r="M335" s="50">
        <v>1771000</v>
      </c>
      <c r="N335" s="51">
        <v>3010700</v>
      </c>
      <c r="O335" s="50" t="s">
        <v>891</v>
      </c>
      <c r="P335" s="65" t="s">
        <v>2076</v>
      </c>
      <c r="Q335" s="46" t="s">
        <v>1939</v>
      </c>
      <c r="R335" s="47" t="s">
        <v>2077</v>
      </c>
      <c r="U335" s="46" t="s">
        <v>491</v>
      </c>
    </row>
    <row r="336" spans="1:21" ht="75" x14ac:dyDescent="0.25">
      <c r="A336" s="45">
        <v>42506</v>
      </c>
      <c r="B336" s="46" t="s">
        <v>643</v>
      </c>
      <c r="C336" s="45" t="s">
        <v>644</v>
      </c>
      <c r="D336" s="46" t="s">
        <v>645</v>
      </c>
      <c r="E336" s="46" t="s">
        <v>588</v>
      </c>
      <c r="F336" s="47" t="s">
        <v>2097</v>
      </c>
      <c r="H336" s="48" t="s">
        <v>809</v>
      </c>
      <c r="I336" s="46" t="s">
        <v>2098</v>
      </c>
      <c r="M336" s="50">
        <v>60000</v>
      </c>
      <c r="N336" s="51">
        <v>110000</v>
      </c>
      <c r="O336" s="50" t="s">
        <v>2099</v>
      </c>
      <c r="P336" s="65" t="s">
        <v>2100</v>
      </c>
      <c r="Q336" s="46" t="s">
        <v>592</v>
      </c>
      <c r="R336" s="47" t="s">
        <v>2101</v>
      </c>
      <c r="U336" s="46" t="s">
        <v>491</v>
      </c>
    </row>
    <row r="337" spans="1:21" ht="60" x14ac:dyDescent="0.25">
      <c r="A337" s="45">
        <v>42506</v>
      </c>
      <c r="B337" s="46" t="s">
        <v>378</v>
      </c>
      <c r="C337" s="45" t="s">
        <v>610</v>
      </c>
      <c r="D337" s="46" t="s">
        <v>1027</v>
      </c>
      <c r="E337" s="46" t="s">
        <v>588</v>
      </c>
      <c r="F337" s="47" t="s">
        <v>2102</v>
      </c>
      <c r="H337" s="48" t="s">
        <v>2103</v>
      </c>
      <c r="I337" s="46" t="s">
        <v>2104</v>
      </c>
      <c r="M337" s="50">
        <v>583000</v>
      </c>
      <c r="N337" s="51">
        <v>714000</v>
      </c>
      <c r="O337" s="50" t="s">
        <v>1498</v>
      </c>
      <c r="P337" s="65" t="s">
        <v>2105</v>
      </c>
      <c r="Q337" s="46" t="s">
        <v>1939</v>
      </c>
      <c r="R337" s="47" t="s">
        <v>2106</v>
      </c>
      <c r="U337" s="46" t="s">
        <v>491</v>
      </c>
    </row>
    <row r="338" spans="1:21" ht="30" x14ac:dyDescent="0.25">
      <c r="A338" s="45">
        <v>42506</v>
      </c>
      <c r="B338" s="46" t="s">
        <v>378</v>
      </c>
      <c r="C338" s="45" t="s">
        <v>610</v>
      </c>
      <c r="D338" s="46" t="s">
        <v>732</v>
      </c>
      <c r="E338" s="46" t="s">
        <v>588</v>
      </c>
      <c r="F338" s="47" t="s">
        <v>2107</v>
      </c>
      <c r="H338" s="48" t="s">
        <v>607</v>
      </c>
      <c r="I338" s="46" t="s">
        <v>2108</v>
      </c>
      <c r="M338" s="50">
        <v>687000</v>
      </c>
      <c r="N338" s="51">
        <v>1475500</v>
      </c>
      <c r="O338" s="50" t="s">
        <v>2109</v>
      </c>
      <c r="P338" s="65" t="s">
        <v>2110</v>
      </c>
      <c r="Q338" s="46" t="s">
        <v>29</v>
      </c>
      <c r="U338" s="46" t="s">
        <v>491</v>
      </c>
    </row>
    <row r="339" spans="1:21" ht="45" x14ac:dyDescent="0.25">
      <c r="A339" s="45">
        <v>42506</v>
      </c>
      <c r="B339" s="46" t="s">
        <v>643</v>
      </c>
      <c r="C339" s="45" t="s">
        <v>644</v>
      </c>
      <c r="D339" s="46" t="s">
        <v>645</v>
      </c>
      <c r="E339" s="46" t="s">
        <v>588</v>
      </c>
      <c r="F339" s="47" t="s">
        <v>2111</v>
      </c>
      <c r="H339" s="48" t="s">
        <v>607</v>
      </c>
      <c r="I339" s="46" t="s">
        <v>2112</v>
      </c>
      <c r="M339" s="50">
        <v>173000</v>
      </c>
      <c r="N339" s="51">
        <v>200400</v>
      </c>
      <c r="O339" s="50" t="s">
        <v>1539</v>
      </c>
      <c r="P339" s="65" t="s">
        <v>2113</v>
      </c>
      <c r="Q339" s="46" t="s">
        <v>592</v>
      </c>
      <c r="R339" s="47" t="s">
        <v>2114</v>
      </c>
      <c r="U339" s="46" t="s">
        <v>491</v>
      </c>
    </row>
    <row r="340" spans="1:21" ht="45" x14ac:dyDescent="0.25">
      <c r="A340" s="45">
        <v>42506</v>
      </c>
      <c r="B340" s="46" t="s">
        <v>1486</v>
      </c>
      <c r="C340" s="45" t="s">
        <v>1883</v>
      </c>
      <c r="D340" s="46" t="s">
        <v>727</v>
      </c>
      <c r="E340" s="46" t="s">
        <v>588</v>
      </c>
      <c r="F340" s="47" t="s">
        <v>2115</v>
      </c>
      <c r="H340" s="48" t="s">
        <v>722</v>
      </c>
      <c r="I340" s="46" t="s">
        <v>2116</v>
      </c>
      <c r="M340" s="50">
        <v>1479000</v>
      </c>
      <c r="N340" s="51">
        <v>2366400</v>
      </c>
      <c r="O340" s="50" t="s">
        <v>2117</v>
      </c>
      <c r="P340" s="65" t="s">
        <v>2118</v>
      </c>
      <c r="Q340" s="46" t="s">
        <v>592</v>
      </c>
      <c r="R340" s="47" t="s">
        <v>2119</v>
      </c>
      <c r="U340" s="46" t="s">
        <v>491</v>
      </c>
    </row>
    <row r="341" spans="1:21" ht="75" x14ac:dyDescent="0.25">
      <c r="A341" s="45">
        <v>42507</v>
      </c>
      <c r="B341" s="46" t="s">
        <v>378</v>
      </c>
      <c r="C341" s="45" t="s">
        <v>623</v>
      </c>
      <c r="D341" s="46" t="s">
        <v>625</v>
      </c>
      <c r="E341" s="46" t="s">
        <v>588</v>
      </c>
      <c r="F341" s="47" t="s">
        <v>2120</v>
      </c>
      <c r="H341" s="48" t="s">
        <v>886</v>
      </c>
      <c r="I341" s="46" t="s">
        <v>1910</v>
      </c>
      <c r="M341" s="50">
        <v>850000</v>
      </c>
      <c r="N341" s="51">
        <v>1020000</v>
      </c>
      <c r="O341" s="50" t="s">
        <v>2121</v>
      </c>
      <c r="P341" s="65" t="s">
        <v>2122</v>
      </c>
      <c r="Q341" s="46" t="s">
        <v>1939</v>
      </c>
      <c r="R341" s="47" t="s">
        <v>2123</v>
      </c>
      <c r="S341" s="47" t="s">
        <v>2125</v>
      </c>
      <c r="U341" s="46" t="s">
        <v>491</v>
      </c>
    </row>
    <row r="342" spans="1:21" ht="195" x14ac:dyDescent="0.25">
      <c r="A342" s="45">
        <v>42507</v>
      </c>
      <c r="B342" s="46" t="s">
        <v>378</v>
      </c>
      <c r="C342" s="45" t="s">
        <v>623</v>
      </c>
      <c r="D342" s="46" t="s">
        <v>625</v>
      </c>
      <c r="E342" s="46" t="s">
        <v>588</v>
      </c>
      <c r="F342" s="47" t="s">
        <v>2126</v>
      </c>
      <c r="H342" s="48" t="s">
        <v>722</v>
      </c>
      <c r="I342" s="46" t="s">
        <v>1910</v>
      </c>
      <c r="M342" s="50">
        <v>1680000</v>
      </c>
      <c r="N342" s="51">
        <v>1680000</v>
      </c>
      <c r="O342" s="50" t="s">
        <v>2362</v>
      </c>
      <c r="P342" s="65" t="s">
        <v>2127</v>
      </c>
      <c r="Q342" s="46" t="s">
        <v>1939</v>
      </c>
      <c r="R342" s="47" t="s">
        <v>2128</v>
      </c>
      <c r="U342" s="46" t="s">
        <v>491</v>
      </c>
    </row>
    <row r="343" spans="1:21" ht="195" x14ac:dyDescent="0.25">
      <c r="A343" s="45">
        <v>42507</v>
      </c>
      <c r="B343" s="46" t="s">
        <v>1486</v>
      </c>
      <c r="C343" s="45" t="s">
        <v>1883</v>
      </c>
      <c r="D343" s="46" t="s">
        <v>595</v>
      </c>
      <c r="E343" s="46" t="s">
        <v>588</v>
      </c>
      <c r="F343" s="47" t="s">
        <v>2129</v>
      </c>
      <c r="H343" s="48" t="s">
        <v>607</v>
      </c>
      <c r="I343" s="46" t="s">
        <v>2130</v>
      </c>
      <c r="M343" s="50">
        <v>178324</v>
      </c>
      <c r="N343" s="51">
        <v>499306</v>
      </c>
      <c r="O343" s="50" t="s">
        <v>2131</v>
      </c>
      <c r="P343" s="65" t="s">
        <v>2132</v>
      </c>
      <c r="Q343" s="46" t="s">
        <v>592</v>
      </c>
      <c r="R343" s="47" t="s">
        <v>2133</v>
      </c>
      <c r="S343" s="47" t="s">
        <v>2144</v>
      </c>
      <c r="U343" s="46" t="s">
        <v>491</v>
      </c>
    </row>
    <row r="344" spans="1:21" ht="45" x14ac:dyDescent="0.25">
      <c r="A344" s="45">
        <v>42507</v>
      </c>
      <c r="B344" s="46" t="s">
        <v>378</v>
      </c>
      <c r="C344" s="45" t="s">
        <v>610</v>
      </c>
      <c r="D344" s="46" t="s">
        <v>732</v>
      </c>
      <c r="E344" s="46" t="s">
        <v>588</v>
      </c>
      <c r="F344" s="47" t="s">
        <v>2134</v>
      </c>
      <c r="H344" s="48" t="s">
        <v>607</v>
      </c>
      <c r="I344" s="46" t="s">
        <v>2135</v>
      </c>
      <c r="M344" s="50">
        <v>1700000</v>
      </c>
      <c r="N344" s="51">
        <v>2620000</v>
      </c>
      <c r="O344" s="50" t="s">
        <v>764</v>
      </c>
      <c r="P344" s="65" t="s">
        <v>2136</v>
      </c>
      <c r="Q344" s="46" t="s">
        <v>592</v>
      </c>
      <c r="U344" s="46" t="s">
        <v>491</v>
      </c>
    </row>
    <row r="345" spans="1:21" ht="75" x14ac:dyDescent="0.25">
      <c r="A345" s="45">
        <v>42508</v>
      </c>
      <c r="B345" s="46" t="s">
        <v>378</v>
      </c>
      <c r="C345" s="45" t="s">
        <v>610</v>
      </c>
      <c r="D345" s="46" t="s">
        <v>732</v>
      </c>
      <c r="E345" s="46" t="s">
        <v>588</v>
      </c>
      <c r="F345" s="47" t="s">
        <v>2140</v>
      </c>
      <c r="H345" s="48" t="s">
        <v>607</v>
      </c>
      <c r="I345" s="46" t="s">
        <v>1715</v>
      </c>
      <c r="M345" s="50">
        <v>1775400</v>
      </c>
      <c r="N345" s="51">
        <v>3550800</v>
      </c>
      <c r="O345" s="50" t="s">
        <v>2141</v>
      </c>
      <c r="P345" s="65" t="s">
        <v>2142</v>
      </c>
      <c r="Q345" s="46" t="s">
        <v>1939</v>
      </c>
      <c r="R345" s="47" t="s">
        <v>2143</v>
      </c>
      <c r="U345" s="46" t="s">
        <v>491</v>
      </c>
    </row>
    <row r="346" spans="1:21" ht="30" x14ac:dyDescent="0.25">
      <c r="A346" s="45">
        <v>42508</v>
      </c>
      <c r="B346" s="46" t="s">
        <v>328</v>
      </c>
      <c r="C346" s="45" t="s">
        <v>603</v>
      </c>
      <c r="D346" s="46" t="s">
        <v>649</v>
      </c>
      <c r="E346" s="46" t="s">
        <v>588</v>
      </c>
      <c r="F346" s="47" t="s">
        <v>2137</v>
      </c>
      <c r="H346" s="47" t="s">
        <v>607</v>
      </c>
      <c r="I346" s="46" t="s">
        <v>2138</v>
      </c>
      <c r="M346" s="50">
        <v>800000</v>
      </c>
      <c r="N346" s="51">
        <v>1640000</v>
      </c>
      <c r="O346" s="50" t="s">
        <v>764</v>
      </c>
      <c r="P346" s="65" t="s">
        <v>2139</v>
      </c>
      <c r="Q346" s="46" t="s">
        <v>592</v>
      </c>
      <c r="U346" s="46" t="s">
        <v>491</v>
      </c>
    </row>
    <row r="347" spans="1:21" ht="60" x14ac:dyDescent="0.25">
      <c r="A347" s="45">
        <v>42509</v>
      </c>
      <c r="B347" s="46" t="s">
        <v>328</v>
      </c>
      <c r="C347" s="45" t="s">
        <v>603</v>
      </c>
      <c r="D347" s="46" t="s">
        <v>587</v>
      </c>
      <c r="E347" s="46" t="s">
        <v>588</v>
      </c>
      <c r="F347" s="47" t="s">
        <v>2145</v>
      </c>
      <c r="H347" s="47" t="s">
        <v>607</v>
      </c>
      <c r="I347" s="46" t="s">
        <v>2146</v>
      </c>
      <c r="M347" s="50">
        <v>331000</v>
      </c>
      <c r="N347" s="51">
        <v>532600</v>
      </c>
      <c r="O347" s="50" t="s">
        <v>2147</v>
      </c>
      <c r="P347" s="65" t="s">
        <v>2148</v>
      </c>
      <c r="Q347" s="46" t="s">
        <v>1939</v>
      </c>
      <c r="R347" s="47" t="s">
        <v>2149</v>
      </c>
      <c r="U347" s="46" t="s">
        <v>491</v>
      </c>
    </row>
    <row r="348" spans="1:21" ht="90" x14ac:dyDescent="0.25">
      <c r="A348" s="45">
        <v>42509</v>
      </c>
      <c r="B348" s="46" t="s">
        <v>378</v>
      </c>
      <c r="C348" s="45" t="s">
        <v>623</v>
      </c>
      <c r="D348" s="46" t="s">
        <v>930</v>
      </c>
      <c r="E348" s="46" t="s">
        <v>821</v>
      </c>
      <c r="F348" s="47" t="s">
        <v>2157</v>
      </c>
      <c r="H348" s="48" t="s">
        <v>607</v>
      </c>
      <c r="O348" s="50" t="s">
        <v>768</v>
      </c>
      <c r="P348" s="65" t="s">
        <v>2158</v>
      </c>
      <c r="Q348" s="46" t="s">
        <v>620</v>
      </c>
      <c r="R348" s="47" t="s">
        <v>2159</v>
      </c>
      <c r="U348" s="46" t="s">
        <v>491</v>
      </c>
    </row>
    <row r="349" spans="1:21" ht="60" x14ac:dyDescent="0.25">
      <c r="A349" s="45">
        <v>42509</v>
      </c>
      <c r="B349" s="46" t="s">
        <v>378</v>
      </c>
      <c r="C349" s="45" t="s">
        <v>623</v>
      </c>
      <c r="D349" s="46" t="s">
        <v>930</v>
      </c>
      <c r="E349" s="46" t="s">
        <v>821</v>
      </c>
      <c r="H349" s="48" t="s">
        <v>607</v>
      </c>
      <c r="O349" s="50" t="s">
        <v>2160</v>
      </c>
      <c r="P349" s="65" t="s">
        <v>2161</v>
      </c>
      <c r="Q349" s="46" t="s">
        <v>620</v>
      </c>
      <c r="R349" s="47" t="s">
        <v>2162</v>
      </c>
      <c r="U349" s="46" t="s">
        <v>491</v>
      </c>
    </row>
    <row r="350" spans="1:21" ht="60" x14ac:dyDescent="0.25">
      <c r="A350" s="45">
        <v>42509</v>
      </c>
      <c r="B350" s="46" t="s">
        <v>378</v>
      </c>
      <c r="C350" s="45" t="s">
        <v>623</v>
      </c>
      <c r="D350" s="46" t="s">
        <v>930</v>
      </c>
      <c r="E350" s="46" t="s">
        <v>821</v>
      </c>
      <c r="H350" s="48" t="s">
        <v>1050</v>
      </c>
      <c r="O350" s="50" t="s">
        <v>2163</v>
      </c>
      <c r="P350" s="65" t="s">
        <v>2164</v>
      </c>
      <c r="Q350" s="46" t="s">
        <v>1939</v>
      </c>
      <c r="R350" s="47" t="s">
        <v>2165</v>
      </c>
      <c r="U350" s="46" t="s">
        <v>491</v>
      </c>
    </row>
    <row r="351" spans="1:21" ht="60" x14ac:dyDescent="0.25">
      <c r="A351" s="45">
        <v>42509</v>
      </c>
      <c r="B351" s="46" t="s">
        <v>328</v>
      </c>
      <c r="C351" s="45" t="s">
        <v>603</v>
      </c>
      <c r="D351" s="46" t="s">
        <v>587</v>
      </c>
      <c r="E351" s="46" t="s">
        <v>588</v>
      </c>
      <c r="F351" s="47" t="s">
        <v>2150</v>
      </c>
      <c r="H351" s="47" t="s">
        <v>607</v>
      </c>
      <c r="I351" s="46" t="s">
        <v>2151</v>
      </c>
      <c r="M351" s="50">
        <v>250000</v>
      </c>
      <c r="N351" s="51">
        <v>440000</v>
      </c>
      <c r="O351" s="50" t="s">
        <v>2152</v>
      </c>
      <c r="P351" s="65" t="s">
        <v>2153</v>
      </c>
      <c r="Q351" s="46" t="s">
        <v>1939</v>
      </c>
      <c r="R351" s="47" t="s">
        <v>2154</v>
      </c>
      <c r="U351" s="46" t="s">
        <v>491</v>
      </c>
    </row>
    <row r="352" spans="1:21" ht="30" x14ac:dyDescent="0.25">
      <c r="A352" s="45">
        <v>42510</v>
      </c>
      <c r="B352" s="46" t="s">
        <v>328</v>
      </c>
      <c r="C352" s="45" t="s">
        <v>603</v>
      </c>
      <c r="D352" s="46" t="s">
        <v>587</v>
      </c>
      <c r="E352" s="46" t="s">
        <v>821</v>
      </c>
      <c r="F352" s="47" t="s">
        <v>2179</v>
      </c>
      <c r="H352" s="47" t="s">
        <v>607</v>
      </c>
      <c r="O352" s="50" t="s">
        <v>2180</v>
      </c>
      <c r="P352" s="65" t="s">
        <v>2181</v>
      </c>
      <c r="Q352" s="46" t="s">
        <v>592</v>
      </c>
      <c r="R352" s="47" t="s">
        <v>2182</v>
      </c>
      <c r="U352" s="46" t="s">
        <v>491</v>
      </c>
    </row>
    <row r="353" spans="1:21" ht="75" x14ac:dyDescent="0.25">
      <c r="A353" s="45">
        <v>42510</v>
      </c>
      <c r="B353" s="46" t="s">
        <v>378</v>
      </c>
      <c r="C353" s="45" t="s">
        <v>623</v>
      </c>
      <c r="D353" s="46" t="s">
        <v>930</v>
      </c>
      <c r="E353" s="46" t="s">
        <v>821</v>
      </c>
      <c r="H353" s="48" t="s">
        <v>1050</v>
      </c>
      <c r="O353" s="50" t="s">
        <v>2173</v>
      </c>
      <c r="P353" s="65" t="s">
        <v>2174</v>
      </c>
      <c r="Q353" s="46" t="s">
        <v>1939</v>
      </c>
      <c r="R353" s="47" t="s">
        <v>2175</v>
      </c>
      <c r="U353" s="46" t="s">
        <v>491</v>
      </c>
    </row>
    <row r="354" spans="1:21" ht="195" x14ac:dyDescent="0.25">
      <c r="A354" s="45">
        <v>42510</v>
      </c>
      <c r="B354" s="46" t="s">
        <v>378</v>
      </c>
      <c r="C354" s="45" t="s">
        <v>623</v>
      </c>
      <c r="D354" s="46" t="s">
        <v>625</v>
      </c>
      <c r="E354" s="46" t="s">
        <v>588</v>
      </c>
      <c r="F354" s="47" t="s">
        <v>2176</v>
      </c>
      <c r="H354" s="48" t="s">
        <v>905</v>
      </c>
      <c r="O354" s="50" t="s">
        <v>2177</v>
      </c>
      <c r="P354" s="65" t="s">
        <v>2178</v>
      </c>
      <c r="Q354" s="46" t="s">
        <v>1939</v>
      </c>
      <c r="U354" s="46" t="s">
        <v>491</v>
      </c>
    </row>
    <row r="355" spans="1:21" ht="75" x14ac:dyDescent="0.25">
      <c r="A355" s="45">
        <v>42510</v>
      </c>
      <c r="B355" s="46" t="s">
        <v>643</v>
      </c>
      <c r="C355" s="45" t="s">
        <v>644</v>
      </c>
      <c r="D355" s="46" t="s">
        <v>645</v>
      </c>
      <c r="E355" s="46" t="s">
        <v>588</v>
      </c>
      <c r="F355" s="47" t="s">
        <v>2183</v>
      </c>
      <c r="H355" s="48" t="s">
        <v>607</v>
      </c>
      <c r="I355" s="46" t="s">
        <v>2184</v>
      </c>
      <c r="M355" s="50">
        <v>1423000</v>
      </c>
      <c r="N355" s="51">
        <v>3000000</v>
      </c>
      <c r="O355" s="50" t="s">
        <v>666</v>
      </c>
      <c r="P355" s="65" t="s">
        <v>2185</v>
      </c>
      <c r="Q355" s="46" t="s">
        <v>1939</v>
      </c>
      <c r="R355" s="47" t="s">
        <v>2191</v>
      </c>
      <c r="S355" s="47" t="s">
        <v>2248</v>
      </c>
      <c r="U355" s="46" t="s">
        <v>491</v>
      </c>
    </row>
    <row r="356" spans="1:21" ht="60" x14ac:dyDescent="0.25">
      <c r="A356" s="45">
        <v>42510</v>
      </c>
      <c r="B356" s="46" t="s">
        <v>594</v>
      </c>
      <c r="C356" s="45" t="s">
        <v>1883</v>
      </c>
      <c r="D356" s="46" t="s">
        <v>2186</v>
      </c>
      <c r="E356" s="46" t="s">
        <v>588</v>
      </c>
      <c r="F356" s="47" t="s">
        <v>2187</v>
      </c>
      <c r="H356" s="48" t="s">
        <v>886</v>
      </c>
      <c r="I356" s="46" t="s">
        <v>2188</v>
      </c>
      <c r="M356" s="50">
        <v>300000</v>
      </c>
      <c r="N356" s="51">
        <v>300000</v>
      </c>
      <c r="O356" s="50" t="s">
        <v>1750</v>
      </c>
      <c r="P356" s="65" t="s">
        <v>2189</v>
      </c>
      <c r="Q356" s="46" t="s">
        <v>29</v>
      </c>
      <c r="R356" s="47" t="s">
        <v>2190</v>
      </c>
      <c r="U356" s="46" t="s">
        <v>491</v>
      </c>
    </row>
    <row r="357" spans="1:21" ht="60" x14ac:dyDescent="0.25">
      <c r="A357" s="45">
        <v>42510</v>
      </c>
      <c r="B357" s="46" t="s">
        <v>378</v>
      </c>
      <c r="C357" s="45" t="s">
        <v>610</v>
      </c>
      <c r="D357" s="46" t="s">
        <v>732</v>
      </c>
      <c r="E357" s="46" t="s">
        <v>588</v>
      </c>
      <c r="F357" s="47" t="s">
        <v>2192</v>
      </c>
      <c r="H357" s="48" t="s">
        <v>607</v>
      </c>
      <c r="I357" s="46" t="s">
        <v>1725</v>
      </c>
      <c r="M357" s="50">
        <v>253000</v>
      </c>
      <c r="N357" s="51">
        <v>518650</v>
      </c>
      <c r="O357" s="50" t="s">
        <v>666</v>
      </c>
      <c r="P357" s="65" t="s">
        <v>2193</v>
      </c>
      <c r="Q357" s="46" t="s">
        <v>1939</v>
      </c>
      <c r="R357" s="47" t="s">
        <v>2194</v>
      </c>
      <c r="U357" s="46" t="s">
        <v>491</v>
      </c>
    </row>
    <row r="358" spans="1:21" ht="30" x14ac:dyDescent="0.25">
      <c r="A358" s="45">
        <v>42510</v>
      </c>
      <c r="B358" s="46" t="s">
        <v>378</v>
      </c>
      <c r="C358" s="45" t="s">
        <v>623</v>
      </c>
      <c r="D358" s="46" t="s">
        <v>625</v>
      </c>
      <c r="E358" s="46" t="s">
        <v>588</v>
      </c>
      <c r="H358" s="48" t="s">
        <v>886</v>
      </c>
      <c r="I358" s="46" t="s">
        <v>2195</v>
      </c>
      <c r="M358" s="50">
        <v>917000</v>
      </c>
      <c r="N358" s="51">
        <v>932000</v>
      </c>
      <c r="O358" s="50" t="s">
        <v>2196</v>
      </c>
      <c r="P358" s="65" t="s">
        <v>2197</v>
      </c>
      <c r="Q358" s="46" t="s">
        <v>1939</v>
      </c>
      <c r="R358" s="47" t="s">
        <v>2198</v>
      </c>
      <c r="U358" s="46" t="s">
        <v>491</v>
      </c>
    </row>
    <row r="359" spans="1:21" ht="135" x14ac:dyDescent="0.25">
      <c r="A359" s="45">
        <v>42510</v>
      </c>
      <c r="B359" s="46" t="s">
        <v>328</v>
      </c>
      <c r="C359" s="45" t="s">
        <v>603</v>
      </c>
      <c r="D359" s="46" t="s">
        <v>649</v>
      </c>
      <c r="E359" s="46" t="s">
        <v>588</v>
      </c>
      <c r="F359" s="47" t="s">
        <v>2168</v>
      </c>
      <c r="H359" s="47" t="s">
        <v>607</v>
      </c>
      <c r="I359" s="46" t="s">
        <v>2166</v>
      </c>
      <c r="M359" s="50">
        <v>220000</v>
      </c>
      <c r="N359" s="51">
        <v>374000</v>
      </c>
      <c r="O359" s="50" t="s">
        <v>974</v>
      </c>
      <c r="P359" s="65" t="s">
        <v>2167</v>
      </c>
      <c r="Q359" s="46" t="s">
        <v>1612</v>
      </c>
      <c r="R359" s="47" t="s">
        <v>2199</v>
      </c>
      <c r="S359" s="47" t="s">
        <v>2255</v>
      </c>
      <c r="U359" s="46" t="s">
        <v>491</v>
      </c>
    </row>
    <row r="360" spans="1:21" ht="150" x14ac:dyDescent="0.25">
      <c r="A360" s="45">
        <v>42510</v>
      </c>
      <c r="B360" s="46" t="s">
        <v>328</v>
      </c>
      <c r="C360" s="45" t="s">
        <v>603</v>
      </c>
      <c r="D360" s="46" t="s">
        <v>649</v>
      </c>
      <c r="E360" s="46" t="s">
        <v>588</v>
      </c>
      <c r="F360" s="47" t="s">
        <v>2169</v>
      </c>
      <c r="H360" s="47" t="s">
        <v>607</v>
      </c>
      <c r="I360" s="46" t="s">
        <v>2170</v>
      </c>
      <c r="M360" s="50">
        <v>220800</v>
      </c>
      <c r="N360" s="51">
        <v>351500</v>
      </c>
      <c r="O360" s="50" t="s">
        <v>2171</v>
      </c>
      <c r="P360" s="65" t="s">
        <v>2172</v>
      </c>
      <c r="Q360" s="46" t="s">
        <v>592</v>
      </c>
      <c r="U360" s="46" t="s">
        <v>491</v>
      </c>
    </row>
    <row r="361" spans="1:21" ht="150" x14ac:dyDescent="0.25">
      <c r="A361" s="45">
        <v>42513</v>
      </c>
      <c r="B361" s="46" t="s">
        <v>328</v>
      </c>
      <c r="D361" s="46" t="s">
        <v>649</v>
      </c>
      <c r="E361" s="46" t="s">
        <v>588</v>
      </c>
      <c r="F361" s="47" t="s">
        <v>2217</v>
      </c>
      <c r="H361" s="47" t="s">
        <v>1819</v>
      </c>
      <c r="I361" s="46" t="s">
        <v>2218</v>
      </c>
      <c r="M361" s="50">
        <v>355000</v>
      </c>
      <c r="N361" s="51">
        <v>710000</v>
      </c>
      <c r="O361" s="50" t="s">
        <v>2219</v>
      </c>
      <c r="P361" s="65" t="s">
        <v>2220</v>
      </c>
      <c r="Q361" s="46" t="s">
        <v>620</v>
      </c>
      <c r="R361" s="47" t="s">
        <v>2221</v>
      </c>
      <c r="S361" s="47" t="s">
        <v>2222</v>
      </c>
      <c r="U361" s="46" t="s">
        <v>633</v>
      </c>
    </row>
    <row r="362" spans="1:21" ht="60" x14ac:dyDescent="0.25">
      <c r="A362" s="45">
        <v>42513</v>
      </c>
      <c r="B362" s="46" t="s">
        <v>378</v>
      </c>
      <c r="C362" s="45" t="s">
        <v>610</v>
      </c>
      <c r="D362" s="46" t="s">
        <v>732</v>
      </c>
      <c r="E362" s="46" t="s">
        <v>588</v>
      </c>
      <c r="F362" s="47" t="s">
        <v>2211</v>
      </c>
      <c r="H362" s="48" t="s">
        <v>2212</v>
      </c>
      <c r="I362" s="46" t="s">
        <v>2213</v>
      </c>
      <c r="M362" s="50">
        <v>631000</v>
      </c>
      <c r="N362" s="51">
        <v>1743400</v>
      </c>
      <c r="O362" s="50" t="s">
        <v>2214</v>
      </c>
      <c r="P362" s="65" t="s">
        <v>2215</v>
      </c>
      <c r="Q362" s="46" t="s">
        <v>592</v>
      </c>
      <c r="R362" s="47" t="s">
        <v>2364</v>
      </c>
      <c r="S362" s="47" t="s">
        <v>2216</v>
      </c>
      <c r="U362" s="46" t="s">
        <v>633</v>
      </c>
    </row>
    <row r="363" spans="1:21" ht="45" x14ac:dyDescent="0.25">
      <c r="A363" s="45">
        <v>42513</v>
      </c>
      <c r="B363" s="46" t="s">
        <v>328</v>
      </c>
      <c r="D363" s="46" t="s">
        <v>649</v>
      </c>
      <c r="E363" s="46" t="s">
        <v>2200</v>
      </c>
      <c r="F363" s="47" t="s">
        <v>2201</v>
      </c>
      <c r="H363" s="47" t="s">
        <v>607</v>
      </c>
      <c r="I363" s="46" t="s">
        <v>2202</v>
      </c>
      <c r="M363" s="50">
        <v>165000</v>
      </c>
      <c r="N363" s="51">
        <v>264500</v>
      </c>
      <c r="O363" s="50" t="s">
        <v>666</v>
      </c>
      <c r="P363" s="65" t="s">
        <v>2203</v>
      </c>
      <c r="Q363" s="46" t="s">
        <v>29</v>
      </c>
      <c r="R363" s="47" t="s">
        <v>2363</v>
      </c>
      <c r="U363" s="46" t="s">
        <v>633</v>
      </c>
    </row>
    <row r="364" spans="1:21" ht="45" x14ac:dyDescent="0.25">
      <c r="A364" s="45">
        <v>42513</v>
      </c>
      <c r="B364" s="46" t="s">
        <v>328</v>
      </c>
      <c r="D364" s="46" t="s">
        <v>2204</v>
      </c>
      <c r="E364" s="46" t="s">
        <v>2200</v>
      </c>
      <c r="F364" s="47" t="s">
        <v>2205</v>
      </c>
      <c r="H364" s="47" t="s">
        <v>2206</v>
      </c>
      <c r="I364" s="46" t="s">
        <v>2207</v>
      </c>
      <c r="M364" s="50">
        <v>1341000</v>
      </c>
      <c r="N364" s="51">
        <v>2413800</v>
      </c>
      <c r="O364" s="50" t="s">
        <v>2208</v>
      </c>
      <c r="P364" s="65" t="s">
        <v>2210</v>
      </c>
      <c r="Q364" s="46" t="s">
        <v>620</v>
      </c>
      <c r="R364" s="47" t="s">
        <v>2209</v>
      </c>
      <c r="U364" s="46" t="s">
        <v>633</v>
      </c>
    </row>
    <row r="365" spans="1:21" ht="120" x14ac:dyDescent="0.25">
      <c r="A365" s="45">
        <v>42514</v>
      </c>
      <c r="B365" s="46" t="s">
        <v>328</v>
      </c>
      <c r="C365" s="45" t="s">
        <v>603</v>
      </c>
      <c r="D365" s="46" t="s">
        <v>649</v>
      </c>
      <c r="E365" s="46" t="s">
        <v>588</v>
      </c>
      <c r="F365" s="47" t="s">
        <v>2238</v>
      </c>
      <c r="H365" s="47" t="s">
        <v>1831</v>
      </c>
      <c r="I365" s="46" t="s">
        <v>2239</v>
      </c>
      <c r="M365" s="50">
        <v>217000</v>
      </c>
      <c r="O365" s="50" t="s">
        <v>2240</v>
      </c>
      <c r="P365" s="65" t="s">
        <v>2241</v>
      </c>
      <c r="Q365" s="46" t="s">
        <v>29</v>
      </c>
      <c r="R365" s="47" t="s">
        <v>2242</v>
      </c>
      <c r="S365" s="47" t="s">
        <v>2254</v>
      </c>
      <c r="U365" s="46" t="s">
        <v>491</v>
      </c>
    </row>
    <row r="366" spans="1:21" ht="45" x14ac:dyDescent="0.25">
      <c r="A366" s="45">
        <v>42514</v>
      </c>
      <c r="B366" s="46" t="s">
        <v>110</v>
      </c>
      <c r="C366" s="45" t="s">
        <v>761</v>
      </c>
      <c r="D366" s="46" t="s">
        <v>715</v>
      </c>
      <c r="E366" s="46" t="s">
        <v>588</v>
      </c>
      <c r="F366" s="47" t="s">
        <v>2223</v>
      </c>
      <c r="H366" s="48" t="s">
        <v>1831</v>
      </c>
      <c r="I366" s="46" t="s">
        <v>2224</v>
      </c>
      <c r="J366" s="73"/>
      <c r="K366" s="73"/>
      <c r="L366" s="73"/>
      <c r="M366" s="74">
        <v>856000</v>
      </c>
      <c r="N366" s="81">
        <v>1155600</v>
      </c>
      <c r="O366" s="50" t="s">
        <v>1766</v>
      </c>
      <c r="P366" s="65" t="s">
        <v>2225</v>
      </c>
      <c r="Q366" s="46" t="s">
        <v>592</v>
      </c>
      <c r="R366" s="47" t="s">
        <v>2226</v>
      </c>
      <c r="S366" s="47" t="s">
        <v>2339</v>
      </c>
      <c r="U366" s="46" t="s">
        <v>2227</v>
      </c>
    </row>
    <row r="367" spans="1:21" ht="75" x14ac:dyDescent="0.25">
      <c r="A367" s="45">
        <v>42514</v>
      </c>
      <c r="B367" s="46" t="s">
        <v>378</v>
      </c>
      <c r="C367" s="45" t="s">
        <v>623</v>
      </c>
      <c r="D367" s="46" t="s">
        <v>625</v>
      </c>
      <c r="E367" s="46" t="s">
        <v>588</v>
      </c>
      <c r="F367" s="47" t="s">
        <v>2228</v>
      </c>
      <c r="H367" s="48" t="s">
        <v>2229</v>
      </c>
      <c r="I367" s="46" t="s">
        <v>2230</v>
      </c>
      <c r="M367" s="50">
        <v>1800000</v>
      </c>
      <c r="O367" s="50" t="s">
        <v>2231</v>
      </c>
      <c r="P367" s="65" t="s">
        <v>2232</v>
      </c>
      <c r="Q367" s="46" t="s">
        <v>592</v>
      </c>
      <c r="R367" s="47" t="s">
        <v>2233</v>
      </c>
      <c r="U367" s="46" t="s">
        <v>633</v>
      </c>
    </row>
    <row r="368" spans="1:21" ht="60" x14ac:dyDescent="0.25">
      <c r="A368" s="45">
        <v>42514</v>
      </c>
      <c r="B368" s="46" t="s">
        <v>328</v>
      </c>
      <c r="C368" s="45" t="s">
        <v>603</v>
      </c>
      <c r="D368" s="46" t="s">
        <v>649</v>
      </c>
      <c r="E368" s="46" t="s">
        <v>588</v>
      </c>
      <c r="F368" s="47" t="s">
        <v>2234</v>
      </c>
      <c r="H368" s="47" t="s">
        <v>1819</v>
      </c>
      <c r="I368" s="46" t="s">
        <v>2235</v>
      </c>
      <c r="M368" s="82">
        <v>611000</v>
      </c>
      <c r="N368" s="83">
        <v>1039550</v>
      </c>
      <c r="O368" s="50" t="s">
        <v>2236</v>
      </c>
      <c r="P368" s="65" t="s">
        <v>2237</v>
      </c>
      <c r="Q368" s="46" t="s">
        <v>1939</v>
      </c>
      <c r="R368" s="47" t="s">
        <v>2243</v>
      </c>
      <c r="U368" s="46" t="s">
        <v>2227</v>
      </c>
    </row>
    <row r="369" spans="1:21" ht="45" x14ac:dyDescent="0.25">
      <c r="A369" s="45">
        <v>42515</v>
      </c>
      <c r="B369" s="46" t="s">
        <v>378</v>
      </c>
      <c r="C369" s="45" t="s">
        <v>899</v>
      </c>
      <c r="D369" s="46" t="s">
        <v>625</v>
      </c>
      <c r="E369" s="46" t="s">
        <v>588</v>
      </c>
      <c r="F369" s="47" t="s">
        <v>2244</v>
      </c>
      <c r="H369" s="48" t="s">
        <v>1831</v>
      </c>
      <c r="I369" s="46" t="s">
        <v>844</v>
      </c>
      <c r="M369" s="50">
        <v>1837000</v>
      </c>
      <c r="N369" s="51" t="s">
        <v>2245</v>
      </c>
      <c r="O369" s="50" t="s">
        <v>560</v>
      </c>
      <c r="P369" s="65" t="s">
        <v>2246</v>
      </c>
      <c r="Q369" s="46" t="s">
        <v>1939</v>
      </c>
      <c r="R369" s="47" t="s">
        <v>2247</v>
      </c>
    </row>
    <row r="370" spans="1:21" ht="45" x14ac:dyDescent="0.25">
      <c r="A370" s="45">
        <v>42516</v>
      </c>
      <c r="B370" s="46" t="s">
        <v>594</v>
      </c>
      <c r="C370" s="45" t="s">
        <v>1363</v>
      </c>
      <c r="D370" s="46" t="s">
        <v>2340</v>
      </c>
      <c r="E370" s="46" t="s">
        <v>588</v>
      </c>
      <c r="F370" s="47" t="s">
        <v>2341</v>
      </c>
      <c r="H370" s="48"/>
      <c r="O370" s="50" t="s">
        <v>2342</v>
      </c>
      <c r="Q370" s="46" t="s">
        <v>1939</v>
      </c>
      <c r="R370" s="47" t="s">
        <v>2343</v>
      </c>
      <c r="U370" s="46" t="s">
        <v>633</v>
      </c>
    </row>
    <row r="371" spans="1:21" ht="60" x14ac:dyDescent="0.25">
      <c r="A371" s="45">
        <v>42516</v>
      </c>
      <c r="B371" s="46" t="s">
        <v>328</v>
      </c>
      <c r="D371" s="46" t="s">
        <v>2204</v>
      </c>
      <c r="E371" s="46" t="s">
        <v>2200</v>
      </c>
      <c r="F371" s="47" t="s">
        <v>2249</v>
      </c>
      <c r="H371" s="47" t="s">
        <v>2250</v>
      </c>
      <c r="I371" s="46" t="s">
        <v>2251</v>
      </c>
      <c r="M371" s="50">
        <v>550000</v>
      </c>
      <c r="N371" s="51">
        <v>935000</v>
      </c>
      <c r="O371" s="50" t="s">
        <v>2252</v>
      </c>
      <c r="P371" s="65" t="s">
        <v>2365</v>
      </c>
      <c r="Q371" s="46" t="s">
        <v>1939</v>
      </c>
      <c r="R371" s="47" t="s">
        <v>2253</v>
      </c>
      <c r="U371" s="46" t="s">
        <v>1327</v>
      </c>
    </row>
    <row r="372" spans="1:21" ht="105" x14ac:dyDescent="0.25">
      <c r="A372" s="45">
        <v>42516</v>
      </c>
      <c r="B372" s="46" t="s">
        <v>328</v>
      </c>
      <c r="D372" s="46" t="s">
        <v>672</v>
      </c>
      <c r="E372" s="46" t="s">
        <v>588</v>
      </c>
      <c r="F372" s="47" t="s">
        <v>2256</v>
      </c>
      <c r="H372" s="47" t="s">
        <v>607</v>
      </c>
      <c r="I372" s="46" t="s">
        <v>2257</v>
      </c>
      <c r="M372" s="50">
        <v>632000</v>
      </c>
      <c r="N372" s="51">
        <v>2182800</v>
      </c>
      <c r="O372" s="50" t="s">
        <v>1474</v>
      </c>
      <c r="P372" s="65" t="s">
        <v>2258</v>
      </c>
      <c r="Q372" s="46" t="s">
        <v>1612</v>
      </c>
      <c r="R372" s="47" t="s">
        <v>2259</v>
      </c>
      <c r="S372" s="47" t="s">
        <v>2260</v>
      </c>
      <c r="U372" s="46" t="s">
        <v>491</v>
      </c>
    </row>
    <row r="373" spans="1:21" ht="45" x14ac:dyDescent="0.25">
      <c r="A373" s="45">
        <v>42517</v>
      </c>
      <c r="B373" s="46" t="s">
        <v>328</v>
      </c>
      <c r="D373" s="46" t="s">
        <v>1401</v>
      </c>
      <c r="E373" s="46" t="s">
        <v>588</v>
      </c>
      <c r="F373" s="47" t="s">
        <v>2267</v>
      </c>
      <c r="I373" s="46" t="s">
        <v>2268</v>
      </c>
      <c r="M373" s="50">
        <v>2700000</v>
      </c>
      <c r="O373" s="50" t="s">
        <v>2269</v>
      </c>
      <c r="P373" s="65" t="s">
        <v>2270</v>
      </c>
      <c r="Q373" s="46" t="s">
        <v>592</v>
      </c>
      <c r="U373" s="46" t="s">
        <v>633</v>
      </c>
    </row>
    <row r="374" spans="1:21" ht="45" x14ac:dyDescent="0.25">
      <c r="A374" s="45">
        <v>42517</v>
      </c>
      <c r="B374" s="46" t="s">
        <v>110</v>
      </c>
      <c r="D374" s="46" t="s">
        <v>715</v>
      </c>
      <c r="E374" s="46" t="s">
        <v>2200</v>
      </c>
      <c r="F374" s="47" t="s">
        <v>2271</v>
      </c>
      <c r="H374" s="48"/>
      <c r="I374" s="46" t="s">
        <v>2272</v>
      </c>
      <c r="M374" s="50">
        <v>350000</v>
      </c>
      <c r="O374" s="50" t="s">
        <v>1631</v>
      </c>
      <c r="P374" s="65" t="s">
        <v>2273</v>
      </c>
      <c r="Q374" s="46" t="s">
        <v>1939</v>
      </c>
      <c r="R374" s="47" t="s">
        <v>2274</v>
      </c>
      <c r="S374" s="47" t="s">
        <v>2366</v>
      </c>
      <c r="U374" s="46" t="s">
        <v>633</v>
      </c>
    </row>
    <row r="375" spans="1:21" ht="75" x14ac:dyDescent="0.25">
      <c r="A375" s="45">
        <v>42517</v>
      </c>
      <c r="B375" s="46" t="s">
        <v>328</v>
      </c>
      <c r="D375" s="46" t="s">
        <v>672</v>
      </c>
      <c r="E375" s="46" t="s">
        <v>588</v>
      </c>
      <c r="F375" s="47" t="s">
        <v>2279</v>
      </c>
      <c r="I375" s="46" t="s">
        <v>2280</v>
      </c>
      <c r="M375" s="50">
        <v>876433</v>
      </c>
      <c r="N375" s="51">
        <v>1568915</v>
      </c>
      <c r="O375" s="50" t="s">
        <v>695</v>
      </c>
      <c r="P375" s="65" t="s">
        <v>2281</v>
      </c>
      <c r="Q375" s="46" t="s">
        <v>1939</v>
      </c>
      <c r="U375" s="46" t="s">
        <v>633</v>
      </c>
    </row>
    <row r="376" spans="1:21" ht="75" x14ac:dyDescent="0.25">
      <c r="A376" s="45">
        <v>42517</v>
      </c>
      <c r="B376" s="46" t="s">
        <v>328</v>
      </c>
      <c r="D376" s="46" t="s">
        <v>1401</v>
      </c>
      <c r="E376" s="46" t="s">
        <v>2200</v>
      </c>
      <c r="F376" s="47" t="s">
        <v>2275</v>
      </c>
      <c r="I376" s="46" t="s">
        <v>2276</v>
      </c>
      <c r="M376" s="50">
        <v>370000</v>
      </c>
      <c r="O376" s="50" t="s">
        <v>2277</v>
      </c>
      <c r="P376" s="65" t="s">
        <v>2367</v>
      </c>
      <c r="Q376" s="46" t="s">
        <v>1939</v>
      </c>
      <c r="R376" s="47" t="s">
        <v>2278</v>
      </c>
      <c r="U376" s="46" t="s">
        <v>633</v>
      </c>
    </row>
    <row r="377" spans="1:21" ht="60" x14ac:dyDescent="0.25">
      <c r="A377" s="45">
        <v>42517</v>
      </c>
      <c r="B377" s="46" t="s">
        <v>328</v>
      </c>
      <c r="D377" s="46" t="s">
        <v>2204</v>
      </c>
      <c r="E377" s="46" t="s">
        <v>588</v>
      </c>
      <c r="F377" s="47" t="s">
        <v>2261</v>
      </c>
      <c r="I377" s="46" t="s">
        <v>2262</v>
      </c>
      <c r="M377" s="50">
        <v>125000</v>
      </c>
      <c r="O377" s="50" t="s">
        <v>2263</v>
      </c>
      <c r="P377" s="65" t="s">
        <v>2264</v>
      </c>
      <c r="Q377" s="46" t="s">
        <v>29</v>
      </c>
      <c r="R377" s="47" t="s">
        <v>2265</v>
      </c>
      <c r="U377" s="46" t="s">
        <v>633</v>
      </c>
    </row>
    <row r="378" spans="1:21" ht="45" x14ac:dyDescent="0.25">
      <c r="A378" s="45">
        <v>42522</v>
      </c>
      <c r="B378" s="46" t="s">
        <v>643</v>
      </c>
      <c r="D378" s="46" t="s">
        <v>645</v>
      </c>
      <c r="E378" s="46" t="s">
        <v>588</v>
      </c>
      <c r="F378" s="47" t="s">
        <v>2287</v>
      </c>
      <c r="H378" s="48"/>
      <c r="N378" s="51">
        <v>561000</v>
      </c>
      <c r="O378" s="50" t="s">
        <v>2288</v>
      </c>
      <c r="P378" s="65" t="s">
        <v>2289</v>
      </c>
      <c r="Q378" s="46" t="s">
        <v>592</v>
      </c>
      <c r="R378" s="47" t="s">
        <v>2290</v>
      </c>
      <c r="U378" s="46" t="s">
        <v>633</v>
      </c>
    </row>
    <row r="379" spans="1:21" ht="45" x14ac:dyDescent="0.25">
      <c r="A379" s="45">
        <v>42522</v>
      </c>
      <c r="B379" s="46" t="s">
        <v>378</v>
      </c>
      <c r="C379" s="45" t="s">
        <v>623</v>
      </c>
      <c r="D379" s="46" t="s">
        <v>625</v>
      </c>
      <c r="E379" s="46" t="s">
        <v>588</v>
      </c>
      <c r="F379" s="47" t="s">
        <v>2311</v>
      </c>
      <c r="H379" s="48" t="s">
        <v>2295</v>
      </c>
      <c r="I379" s="46" t="s">
        <v>2312</v>
      </c>
      <c r="N379" s="51">
        <v>205000</v>
      </c>
      <c r="O379" s="50" t="s">
        <v>2295</v>
      </c>
      <c r="P379" s="65" t="s">
        <v>2296</v>
      </c>
      <c r="Q379" s="46" t="s">
        <v>1939</v>
      </c>
      <c r="R379" s="47" t="s">
        <v>2297</v>
      </c>
      <c r="U379" s="46" t="s">
        <v>2298</v>
      </c>
    </row>
    <row r="380" spans="1:21" ht="30" x14ac:dyDescent="0.25">
      <c r="A380" s="45">
        <v>42522</v>
      </c>
      <c r="B380" s="46" t="s">
        <v>328</v>
      </c>
      <c r="D380" s="46" t="s">
        <v>2282</v>
      </c>
      <c r="E380" s="46" t="s">
        <v>588</v>
      </c>
      <c r="F380" s="47" t="s">
        <v>2283</v>
      </c>
      <c r="M380" s="50">
        <v>149000</v>
      </c>
      <c r="N380" s="51">
        <v>163900</v>
      </c>
      <c r="O380" s="50" t="s">
        <v>2284</v>
      </c>
      <c r="P380" s="65" t="s">
        <v>2285</v>
      </c>
      <c r="Q380" s="46" t="s">
        <v>592</v>
      </c>
      <c r="R380" s="47" t="s">
        <v>2286</v>
      </c>
      <c r="U380" s="46" t="s">
        <v>633</v>
      </c>
    </row>
    <row r="381" spans="1:21" ht="75" x14ac:dyDescent="0.25">
      <c r="A381" s="45">
        <v>42522</v>
      </c>
      <c r="B381" s="46" t="s">
        <v>328</v>
      </c>
      <c r="C381" s="45" t="s">
        <v>603</v>
      </c>
      <c r="D381" s="46" t="s">
        <v>1401</v>
      </c>
      <c r="E381" s="46" t="s">
        <v>588</v>
      </c>
      <c r="F381" s="47" t="s">
        <v>2299</v>
      </c>
      <c r="H381" s="47" t="s">
        <v>607</v>
      </c>
      <c r="I381" s="46" t="s">
        <v>2300</v>
      </c>
      <c r="M381" s="50">
        <v>812000</v>
      </c>
      <c r="N381" s="51">
        <v>1380000</v>
      </c>
      <c r="O381" s="50" t="s">
        <v>2305</v>
      </c>
      <c r="P381" s="65" t="s">
        <v>2306</v>
      </c>
      <c r="Q381" s="46" t="s">
        <v>1939</v>
      </c>
      <c r="R381" s="47" t="s">
        <v>2302</v>
      </c>
      <c r="U381" s="46" t="s">
        <v>2227</v>
      </c>
    </row>
    <row r="382" spans="1:21" ht="30" x14ac:dyDescent="0.25">
      <c r="A382" s="45">
        <v>42522</v>
      </c>
      <c r="B382" s="46" t="s">
        <v>328</v>
      </c>
      <c r="D382" s="46" t="s">
        <v>1401</v>
      </c>
      <c r="E382" s="46" t="s">
        <v>588</v>
      </c>
      <c r="F382" s="47" t="s">
        <v>2291</v>
      </c>
      <c r="M382" s="50">
        <v>1533000</v>
      </c>
      <c r="N382" s="51">
        <v>2836050</v>
      </c>
      <c r="O382" s="50" t="s">
        <v>2292</v>
      </c>
      <c r="P382" s="65" t="s">
        <v>2293</v>
      </c>
      <c r="Q382" s="46" t="s">
        <v>1939</v>
      </c>
      <c r="R382" s="47" t="s">
        <v>2294</v>
      </c>
      <c r="U382" s="46" t="s">
        <v>633</v>
      </c>
    </row>
    <row r="383" spans="1:21" ht="75" x14ac:dyDescent="0.25">
      <c r="A383" s="45">
        <v>42523</v>
      </c>
      <c r="B383" s="46" t="s">
        <v>328</v>
      </c>
      <c r="C383" s="45" t="s">
        <v>603</v>
      </c>
      <c r="D383" s="46" t="s">
        <v>1471</v>
      </c>
      <c r="E383" s="46" t="s">
        <v>588</v>
      </c>
      <c r="F383" s="47" t="s">
        <v>2309</v>
      </c>
      <c r="H383" s="47" t="s">
        <v>710</v>
      </c>
      <c r="I383" s="46" t="s">
        <v>927</v>
      </c>
      <c r="M383" s="50">
        <v>870000</v>
      </c>
      <c r="N383" s="79">
        <v>1300500</v>
      </c>
      <c r="O383" s="50" t="s">
        <v>695</v>
      </c>
      <c r="P383" s="65" t="s">
        <v>2310</v>
      </c>
      <c r="Q383" s="46" t="s">
        <v>592</v>
      </c>
      <c r="U383" s="46" t="s">
        <v>2227</v>
      </c>
    </row>
    <row r="384" spans="1:21" ht="60" x14ac:dyDescent="0.25">
      <c r="A384" s="45">
        <v>42523</v>
      </c>
      <c r="B384" s="46" t="s">
        <v>643</v>
      </c>
      <c r="C384" s="45" t="s">
        <v>644</v>
      </c>
      <c r="D384" s="46" t="s">
        <v>645</v>
      </c>
      <c r="E384" s="46" t="s">
        <v>588</v>
      </c>
      <c r="F384" s="47" t="s">
        <v>2313</v>
      </c>
      <c r="H384" s="48" t="s">
        <v>607</v>
      </c>
      <c r="I384" s="46" t="s">
        <v>2314</v>
      </c>
      <c r="M384" s="50">
        <v>293000</v>
      </c>
      <c r="N384" s="79">
        <v>498100</v>
      </c>
      <c r="O384" s="50" t="s">
        <v>2315</v>
      </c>
      <c r="P384" s="65" t="s">
        <v>2316</v>
      </c>
      <c r="Q384" s="46" t="s">
        <v>1939</v>
      </c>
      <c r="R384" s="47" t="s">
        <v>2317</v>
      </c>
      <c r="U384" s="46" t="s">
        <v>2227</v>
      </c>
    </row>
    <row r="385" spans="1:21" ht="75" x14ac:dyDescent="0.25">
      <c r="A385" s="45">
        <v>42523</v>
      </c>
      <c r="B385" s="46" t="s">
        <v>328</v>
      </c>
      <c r="C385" s="45" t="s">
        <v>603</v>
      </c>
      <c r="D385" s="46" t="s">
        <v>2204</v>
      </c>
      <c r="E385" s="46" t="s">
        <v>588</v>
      </c>
      <c r="F385" s="47" t="s">
        <v>2303</v>
      </c>
      <c r="H385" s="47" t="s">
        <v>710</v>
      </c>
      <c r="I385" s="46" t="s">
        <v>2304</v>
      </c>
      <c r="M385" s="50">
        <v>600000</v>
      </c>
      <c r="N385" s="51">
        <v>1130000</v>
      </c>
      <c r="O385" s="50" t="s">
        <v>2301</v>
      </c>
      <c r="P385" s="65" t="s">
        <v>2307</v>
      </c>
      <c r="Q385" s="46" t="s">
        <v>1939</v>
      </c>
      <c r="R385" s="47" t="s">
        <v>2308</v>
      </c>
      <c r="U385" s="46" t="s">
        <v>2227</v>
      </c>
    </row>
    <row r="386" spans="1:21" ht="30" x14ac:dyDescent="0.25">
      <c r="A386" s="45">
        <v>42524</v>
      </c>
      <c r="B386" s="46" t="s">
        <v>110</v>
      </c>
      <c r="E386" s="46" t="s">
        <v>588</v>
      </c>
      <c r="F386" s="47" t="s">
        <v>2322</v>
      </c>
      <c r="H386" s="48" t="s">
        <v>710</v>
      </c>
      <c r="I386" s="46" t="s">
        <v>2323</v>
      </c>
      <c r="M386" s="50">
        <v>205000</v>
      </c>
      <c r="O386" s="50" t="s">
        <v>2324</v>
      </c>
      <c r="P386" s="65" t="s">
        <v>2325</v>
      </c>
      <c r="Q386" s="46" t="s">
        <v>592</v>
      </c>
      <c r="R386" s="47" t="s">
        <v>2331</v>
      </c>
      <c r="S386" s="47" t="s">
        <v>2332</v>
      </c>
      <c r="U386" s="46" t="s">
        <v>2227</v>
      </c>
    </row>
    <row r="387" spans="1:21" ht="90" x14ac:dyDescent="0.25">
      <c r="A387" s="45">
        <v>42524</v>
      </c>
      <c r="B387" s="46" t="s">
        <v>378</v>
      </c>
      <c r="D387" s="46" t="s">
        <v>930</v>
      </c>
      <c r="E387" s="46" t="s">
        <v>2333</v>
      </c>
      <c r="F387" s="47" t="s">
        <v>2334</v>
      </c>
      <c r="H387" s="48" t="s">
        <v>710</v>
      </c>
      <c r="I387" s="46" t="s">
        <v>2335</v>
      </c>
      <c r="M387" s="50">
        <v>600000</v>
      </c>
      <c r="O387" s="50" t="s">
        <v>2336</v>
      </c>
      <c r="P387" s="65" t="s">
        <v>2337</v>
      </c>
      <c r="Q387" s="46" t="s">
        <v>592</v>
      </c>
      <c r="R387" s="47" t="s">
        <v>2338</v>
      </c>
      <c r="U387" s="46" t="s">
        <v>2227</v>
      </c>
    </row>
    <row r="388" spans="1:21" ht="30" x14ac:dyDescent="0.25">
      <c r="A388" s="45">
        <v>42524</v>
      </c>
      <c r="B388" s="46" t="s">
        <v>328</v>
      </c>
      <c r="C388" s="45" t="s">
        <v>603</v>
      </c>
      <c r="D388" s="46" t="s">
        <v>1401</v>
      </c>
      <c r="E388" s="46" t="s">
        <v>588</v>
      </c>
      <c r="F388" s="47" t="s">
        <v>2318</v>
      </c>
      <c r="H388" s="47" t="s">
        <v>710</v>
      </c>
      <c r="I388" s="46" t="s">
        <v>1552</v>
      </c>
      <c r="M388" s="50">
        <v>125000</v>
      </c>
      <c r="N388" s="51">
        <v>262500</v>
      </c>
      <c r="O388" s="50" t="s">
        <v>2319</v>
      </c>
      <c r="P388" s="65" t="s">
        <v>2320</v>
      </c>
      <c r="Q388" s="46" t="s">
        <v>620</v>
      </c>
      <c r="R388" s="47" t="s">
        <v>2321</v>
      </c>
      <c r="U388" s="46" t="s">
        <v>2227</v>
      </c>
    </row>
    <row r="389" spans="1:21" ht="45" x14ac:dyDescent="0.25">
      <c r="A389" s="45">
        <v>42524</v>
      </c>
      <c r="B389" s="46" t="s">
        <v>328</v>
      </c>
      <c r="C389" s="45" t="s">
        <v>603</v>
      </c>
      <c r="D389" s="46" t="s">
        <v>1401</v>
      </c>
      <c r="E389" s="46" t="s">
        <v>588</v>
      </c>
      <c r="F389" s="47" t="s">
        <v>2329</v>
      </c>
      <c r="H389" s="47" t="s">
        <v>710</v>
      </c>
      <c r="I389" s="46" t="s">
        <v>2330</v>
      </c>
      <c r="M389" s="50">
        <v>196000</v>
      </c>
      <c r="O389" s="50" t="s">
        <v>2328</v>
      </c>
      <c r="P389" s="65" t="s">
        <v>2327</v>
      </c>
      <c r="Q389" s="46" t="s">
        <v>29</v>
      </c>
      <c r="R389" s="47" t="s">
        <v>2326</v>
      </c>
      <c r="U389" s="46" t="s">
        <v>2227</v>
      </c>
    </row>
    <row r="390" spans="1:21" ht="94.5" x14ac:dyDescent="0.25">
      <c r="A390" s="45">
        <v>42527</v>
      </c>
      <c r="B390" s="46" t="s">
        <v>328</v>
      </c>
      <c r="C390" s="45" t="s">
        <v>603</v>
      </c>
      <c r="D390" s="46" t="s">
        <v>649</v>
      </c>
      <c r="E390" s="46" t="s">
        <v>588</v>
      </c>
      <c r="F390" s="47" t="s">
        <v>2368</v>
      </c>
      <c r="H390" s="47" t="s">
        <v>722</v>
      </c>
      <c r="O390" s="50" t="s">
        <v>2369</v>
      </c>
      <c r="P390" s="65" t="s">
        <v>2370</v>
      </c>
      <c r="Q390" s="46" t="s">
        <v>620</v>
      </c>
      <c r="R390" s="84" t="s">
        <v>2371</v>
      </c>
      <c r="U390" s="46" t="s">
        <v>491</v>
      </c>
    </row>
    <row r="391" spans="1:21" ht="45" x14ac:dyDescent="0.25">
      <c r="A391" s="45">
        <v>42527</v>
      </c>
      <c r="B391" s="46" t="s">
        <v>594</v>
      </c>
      <c r="C391" s="45" t="s">
        <v>1363</v>
      </c>
      <c r="D391" s="46" t="s">
        <v>2340</v>
      </c>
      <c r="E391" s="46" t="s">
        <v>588</v>
      </c>
      <c r="F391" s="47" t="s">
        <v>2344</v>
      </c>
      <c r="H391" s="48"/>
      <c r="O391" s="50" t="s">
        <v>2342</v>
      </c>
      <c r="Q391" s="46" t="s">
        <v>592</v>
      </c>
      <c r="R391" s="47" t="s">
        <v>2350</v>
      </c>
      <c r="U391" s="46" t="s">
        <v>491</v>
      </c>
    </row>
    <row r="392" spans="1:21" ht="45" x14ac:dyDescent="0.25">
      <c r="A392" s="45">
        <v>42527</v>
      </c>
      <c r="B392" s="46" t="s">
        <v>594</v>
      </c>
      <c r="C392" s="45" t="s">
        <v>1363</v>
      </c>
      <c r="D392" s="46" t="s">
        <v>2346</v>
      </c>
      <c r="E392" s="46" t="s">
        <v>588</v>
      </c>
      <c r="F392" s="47" t="s">
        <v>2347</v>
      </c>
      <c r="H392" s="48" t="s">
        <v>886</v>
      </c>
      <c r="I392" s="46" t="s">
        <v>2348</v>
      </c>
      <c r="O392" s="50" t="s">
        <v>2345</v>
      </c>
      <c r="P392" s="65" t="s">
        <v>2349</v>
      </c>
      <c r="Q392" s="46" t="s">
        <v>592</v>
      </c>
      <c r="U392" s="46" t="s">
        <v>491</v>
      </c>
    </row>
    <row r="393" spans="1:21" ht="75" x14ac:dyDescent="0.25">
      <c r="A393" s="45">
        <v>42527</v>
      </c>
      <c r="B393" s="46" t="s">
        <v>378</v>
      </c>
      <c r="C393" s="45" t="s">
        <v>623</v>
      </c>
      <c r="D393" s="46" t="s">
        <v>625</v>
      </c>
      <c r="E393" s="46" t="s">
        <v>588</v>
      </c>
      <c r="F393" s="47" t="s">
        <v>2351</v>
      </c>
      <c r="H393" s="48" t="s">
        <v>2353</v>
      </c>
      <c r="M393" s="50">
        <v>3000000</v>
      </c>
      <c r="N393" s="51">
        <v>3730000</v>
      </c>
      <c r="O393" s="50" t="s">
        <v>2352</v>
      </c>
      <c r="P393" s="65" t="s">
        <v>2354</v>
      </c>
      <c r="Q393" s="46" t="s">
        <v>1939</v>
      </c>
      <c r="R393" s="85" t="s">
        <v>2355</v>
      </c>
      <c r="U393" s="46" t="s">
        <v>491</v>
      </c>
    </row>
    <row r="394" spans="1:21" ht="60" x14ac:dyDescent="0.25">
      <c r="A394" s="45">
        <v>42527</v>
      </c>
      <c r="B394" s="46" t="s">
        <v>378</v>
      </c>
      <c r="C394" s="45" t="s">
        <v>623</v>
      </c>
      <c r="D394" s="46" t="s">
        <v>1783</v>
      </c>
      <c r="E394" s="46" t="s">
        <v>588</v>
      </c>
      <c r="F394" s="47" t="s">
        <v>2356</v>
      </c>
      <c r="H394" s="48" t="s">
        <v>607</v>
      </c>
      <c r="O394" s="50" t="s">
        <v>1675</v>
      </c>
      <c r="P394" s="65" t="s">
        <v>2357</v>
      </c>
      <c r="Q394" s="46" t="s">
        <v>1939</v>
      </c>
      <c r="R394" s="47" t="s">
        <v>2358</v>
      </c>
      <c r="U394" s="46" t="s">
        <v>491</v>
      </c>
    </row>
    <row r="395" spans="1:21" ht="150" x14ac:dyDescent="0.25">
      <c r="A395" s="45">
        <v>42528</v>
      </c>
      <c r="B395" s="46" t="s">
        <v>378</v>
      </c>
      <c r="C395" s="45" t="s">
        <v>623</v>
      </c>
      <c r="D395" s="46" t="s">
        <v>930</v>
      </c>
      <c r="E395" s="46" t="s">
        <v>588</v>
      </c>
      <c r="F395" s="47" t="s">
        <v>2372</v>
      </c>
      <c r="H395" s="48" t="s">
        <v>607</v>
      </c>
      <c r="I395" s="46" t="s">
        <v>2373</v>
      </c>
      <c r="M395" s="50">
        <v>1990000</v>
      </c>
      <c r="N395" s="51">
        <v>3234000</v>
      </c>
      <c r="O395" s="50" t="s">
        <v>891</v>
      </c>
      <c r="P395" s="65" t="s">
        <v>2374</v>
      </c>
      <c r="Q395" s="46" t="s">
        <v>592</v>
      </c>
      <c r="U395" s="46" t="s">
        <v>491</v>
      </c>
    </row>
    <row r="396" spans="1:21" ht="45" x14ac:dyDescent="0.25">
      <c r="A396" s="45">
        <v>42528</v>
      </c>
      <c r="B396" s="46" t="s">
        <v>378</v>
      </c>
      <c r="C396" s="45" t="s">
        <v>623</v>
      </c>
      <c r="D396" s="46" t="s">
        <v>1783</v>
      </c>
      <c r="E396" s="46" t="s">
        <v>588</v>
      </c>
      <c r="F396" s="47" t="s">
        <v>2375</v>
      </c>
      <c r="H396" s="48"/>
      <c r="M396" s="50">
        <v>3000000</v>
      </c>
      <c r="O396" s="50" t="s">
        <v>2376</v>
      </c>
      <c r="P396" s="65" t="s">
        <v>2377</v>
      </c>
      <c r="Q396" s="46" t="s">
        <v>1939</v>
      </c>
      <c r="R396" s="47" t="s">
        <v>2409</v>
      </c>
      <c r="S396" s="47" t="s">
        <v>2414</v>
      </c>
      <c r="U396" s="46" t="s">
        <v>491</v>
      </c>
    </row>
    <row r="397" spans="1:21" ht="60" x14ac:dyDescent="0.25">
      <c r="A397" s="45">
        <v>42528</v>
      </c>
      <c r="B397" s="46" t="s">
        <v>328</v>
      </c>
      <c r="C397" s="45" t="s">
        <v>603</v>
      </c>
      <c r="D397" s="46" t="s">
        <v>1471</v>
      </c>
      <c r="E397" s="46" t="s">
        <v>588</v>
      </c>
      <c r="F397" s="47" t="s">
        <v>2378</v>
      </c>
      <c r="H397" s="47" t="s">
        <v>607</v>
      </c>
      <c r="I397" s="46" t="s">
        <v>2379</v>
      </c>
      <c r="M397" s="50">
        <v>300000</v>
      </c>
      <c r="N397" s="51">
        <v>1670000</v>
      </c>
      <c r="O397" s="50" t="s">
        <v>2380</v>
      </c>
      <c r="P397" s="65" t="s">
        <v>2381</v>
      </c>
      <c r="Q397" s="46" t="s">
        <v>1939</v>
      </c>
      <c r="R397" s="47" t="s">
        <v>2382</v>
      </c>
      <c r="U397" s="46" t="s">
        <v>491</v>
      </c>
    </row>
    <row r="398" spans="1:21" ht="45" x14ac:dyDescent="0.25">
      <c r="A398" s="45">
        <v>42528</v>
      </c>
      <c r="B398" s="46" t="s">
        <v>328</v>
      </c>
      <c r="C398" s="45" t="s">
        <v>603</v>
      </c>
      <c r="D398" s="46" t="s">
        <v>1471</v>
      </c>
      <c r="E398" s="46" t="s">
        <v>588</v>
      </c>
      <c r="F398" s="47" t="s">
        <v>2383</v>
      </c>
      <c r="H398" s="47" t="s">
        <v>607</v>
      </c>
      <c r="I398" s="46" t="s">
        <v>2384</v>
      </c>
      <c r="M398" s="50">
        <v>1139000</v>
      </c>
      <c r="N398" s="51">
        <v>1845180</v>
      </c>
      <c r="O398" s="50" t="s">
        <v>2380</v>
      </c>
      <c r="P398" s="65" t="s">
        <v>2389</v>
      </c>
      <c r="Q398" s="46" t="s">
        <v>1939</v>
      </c>
      <c r="R398" s="47" t="s">
        <v>2388</v>
      </c>
      <c r="U398" s="46" t="s">
        <v>491</v>
      </c>
    </row>
    <row r="399" spans="1:21" ht="60" x14ac:dyDescent="0.25">
      <c r="A399" s="45">
        <v>42528</v>
      </c>
      <c r="B399" s="46" t="s">
        <v>328</v>
      </c>
      <c r="C399" s="45" t="s">
        <v>603</v>
      </c>
      <c r="D399" s="46" t="s">
        <v>1401</v>
      </c>
      <c r="E399" s="46" t="s">
        <v>588</v>
      </c>
      <c r="F399" s="47" t="s">
        <v>2385</v>
      </c>
      <c r="H399" s="47" t="s">
        <v>607</v>
      </c>
      <c r="I399" s="46" t="s">
        <v>2386</v>
      </c>
      <c r="M399" s="50">
        <v>1000000</v>
      </c>
      <c r="N399" s="51">
        <v>1600000</v>
      </c>
      <c r="O399" s="50" t="s">
        <v>2387</v>
      </c>
      <c r="P399" s="65" t="s">
        <v>2390</v>
      </c>
      <c r="Q399" s="46" t="s">
        <v>1612</v>
      </c>
      <c r="R399" s="47" t="s">
        <v>2391</v>
      </c>
      <c r="S399" s="47" t="s">
        <v>2427</v>
      </c>
      <c r="U399" s="46" t="s">
        <v>491</v>
      </c>
    </row>
    <row r="400" spans="1:21" ht="45" x14ac:dyDescent="0.25">
      <c r="A400" s="45">
        <v>42529</v>
      </c>
      <c r="B400" s="46" t="s">
        <v>378</v>
      </c>
      <c r="C400" s="45" t="s">
        <v>610</v>
      </c>
      <c r="D400" s="46" t="s">
        <v>732</v>
      </c>
      <c r="E400" s="46" t="s">
        <v>588</v>
      </c>
      <c r="H400" s="48" t="s">
        <v>905</v>
      </c>
      <c r="O400" s="50" t="s">
        <v>2392</v>
      </c>
      <c r="P400" s="65" t="s">
        <v>2393</v>
      </c>
      <c r="Q400" s="46" t="s">
        <v>29</v>
      </c>
      <c r="R400" s="47" t="s">
        <v>2394</v>
      </c>
      <c r="U400" s="46" t="s">
        <v>491</v>
      </c>
    </row>
    <row r="401" spans="1:21" ht="120" x14ac:dyDescent="0.25">
      <c r="A401" s="45">
        <v>42529</v>
      </c>
      <c r="B401" s="46" t="s">
        <v>378</v>
      </c>
      <c r="C401" s="45" t="s">
        <v>610</v>
      </c>
      <c r="D401" s="46" t="s">
        <v>611</v>
      </c>
      <c r="E401" s="46" t="s">
        <v>588</v>
      </c>
      <c r="F401" s="47" t="s">
        <v>2404</v>
      </c>
      <c r="H401" s="48" t="s">
        <v>886</v>
      </c>
      <c r="I401" s="46" t="s">
        <v>2405</v>
      </c>
      <c r="M401" s="50">
        <v>4299171</v>
      </c>
      <c r="N401" s="51">
        <v>4599171</v>
      </c>
      <c r="O401" s="50" t="s">
        <v>891</v>
      </c>
      <c r="P401" s="65" t="s">
        <v>2406</v>
      </c>
      <c r="Q401" s="46" t="s">
        <v>1612</v>
      </c>
      <c r="R401" s="47" t="s">
        <v>2407</v>
      </c>
      <c r="S401" s="47" t="s">
        <v>2413</v>
      </c>
      <c r="U401" s="46" t="s">
        <v>491</v>
      </c>
    </row>
    <row r="402" spans="1:21" ht="45" x14ac:dyDescent="0.25">
      <c r="A402" s="45">
        <v>42529</v>
      </c>
      <c r="B402" s="46" t="s">
        <v>378</v>
      </c>
      <c r="C402" s="45" t="s">
        <v>610</v>
      </c>
      <c r="D402" s="46" t="s">
        <v>1027</v>
      </c>
      <c r="E402" s="46" t="s">
        <v>588</v>
      </c>
      <c r="F402" s="47" t="s">
        <v>2408</v>
      </c>
      <c r="H402" s="48"/>
      <c r="I402" s="46" t="s">
        <v>2410</v>
      </c>
      <c r="M402" s="50">
        <v>954580</v>
      </c>
      <c r="N402" s="51">
        <v>1534580</v>
      </c>
      <c r="O402" s="50" t="s">
        <v>1498</v>
      </c>
      <c r="P402" s="65" t="s">
        <v>2411</v>
      </c>
      <c r="Q402" s="46" t="s">
        <v>1939</v>
      </c>
      <c r="R402" s="47" t="s">
        <v>2412</v>
      </c>
      <c r="S402" s="47" t="s">
        <v>2415</v>
      </c>
      <c r="U402" s="46" t="s">
        <v>491</v>
      </c>
    </row>
    <row r="403" spans="1:21" ht="135" x14ac:dyDescent="0.25">
      <c r="A403" s="45">
        <v>42529</v>
      </c>
      <c r="B403" s="46" t="s">
        <v>378</v>
      </c>
      <c r="C403" s="45" t="s">
        <v>623</v>
      </c>
      <c r="D403" s="46" t="s">
        <v>930</v>
      </c>
      <c r="E403" s="46" t="s">
        <v>821</v>
      </c>
      <c r="F403" s="47" t="s">
        <v>2416</v>
      </c>
      <c r="H403" s="47" t="s">
        <v>2429</v>
      </c>
      <c r="O403" s="50" t="s">
        <v>2419</v>
      </c>
      <c r="P403" s="65" t="s">
        <v>2417</v>
      </c>
      <c r="Q403" s="46" t="s">
        <v>592</v>
      </c>
      <c r="R403" s="47" t="s">
        <v>2428</v>
      </c>
      <c r="U403" s="46" t="s">
        <v>491</v>
      </c>
    </row>
    <row r="404" spans="1:21" ht="75" x14ac:dyDescent="0.25">
      <c r="A404" s="45">
        <v>42529</v>
      </c>
      <c r="B404" s="46" t="s">
        <v>378</v>
      </c>
      <c r="C404" s="45" t="s">
        <v>623</v>
      </c>
      <c r="D404" s="46" t="s">
        <v>930</v>
      </c>
      <c r="E404" s="46" t="s">
        <v>821</v>
      </c>
      <c r="F404" s="47" t="s">
        <v>2418</v>
      </c>
      <c r="H404" s="48" t="s">
        <v>843</v>
      </c>
      <c r="O404" s="50" t="s">
        <v>2420</v>
      </c>
      <c r="P404" s="65" t="s">
        <v>2421</v>
      </c>
      <c r="Q404" s="46" t="s">
        <v>592</v>
      </c>
      <c r="U404" s="46" t="s">
        <v>491</v>
      </c>
    </row>
    <row r="405" spans="1:21" ht="105" x14ac:dyDescent="0.25">
      <c r="A405" s="45">
        <v>42529</v>
      </c>
      <c r="B405" s="46" t="s">
        <v>378</v>
      </c>
      <c r="C405" s="45" t="s">
        <v>623</v>
      </c>
      <c r="D405" s="46" t="s">
        <v>625</v>
      </c>
      <c r="E405" s="46" t="s">
        <v>821</v>
      </c>
      <c r="H405" s="48"/>
      <c r="O405" s="50" t="s">
        <v>2419</v>
      </c>
      <c r="P405" s="65" t="s">
        <v>2422</v>
      </c>
      <c r="Q405" s="46" t="s">
        <v>592</v>
      </c>
      <c r="U405" s="46" t="s">
        <v>491</v>
      </c>
    </row>
    <row r="406" spans="1:21" ht="135" x14ac:dyDescent="0.25">
      <c r="A406" s="45">
        <v>42529</v>
      </c>
      <c r="B406" s="46" t="s">
        <v>378</v>
      </c>
      <c r="C406" s="45" t="s">
        <v>610</v>
      </c>
      <c r="D406" s="46" t="s">
        <v>1027</v>
      </c>
      <c r="E406" s="46" t="s">
        <v>1707</v>
      </c>
      <c r="F406" s="47" t="s">
        <v>2423</v>
      </c>
      <c r="H406" s="48" t="s">
        <v>607</v>
      </c>
      <c r="I406" s="46" t="s">
        <v>2424</v>
      </c>
      <c r="O406" s="50" t="s">
        <v>1498</v>
      </c>
      <c r="P406" s="65" t="s">
        <v>2425</v>
      </c>
      <c r="Q406" s="46" t="s">
        <v>592</v>
      </c>
      <c r="R406" s="47" t="s">
        <v>2426</v>
      </c>
      <c r="U406" s="46" t="s">
        <v>491</v>
      </c>
    </row>
    <row r="407" spans="1:21" ht="75" x14ac:dyDescent="0.25">
      <c r="A407" s="45">
        <v>42529</v>
      </c>
      <c r="B407" s="46" t="s">
        <v>328</v>
      </c>
      <c r="C407" s="45" t="s">
        <v>603</v>
      </c>
      <c r="D407" s="46" t="s">
        <v>1471</v>
      </c>
      <c r="E407" s="46" t="s">
        <v>588</v>
      </c>
      <c r="F407" s="47" t="s">
        <v>2401</v>
      </c>
      <c r="H407" s="47" t="s">
        <v>607</v>
      </c>
      <c r="I407" s="46" t="s">
        <v>2402</v>
      </c>
      <c r="M407" s="50">
        <v>1759633</v>
      </c>
      <c r="N407" s="51">
        <v>3519265</v>
      </c>
      <c r="O407" s="50" t="s">
        <v>891</v>
      </c>
      <c r="P407" s="65" t="s">
        <v>2403</v>
      </c>
      <c r="Q407" s="46" t="s">
        <v>592</v>
      </c>
      <c r="U407" s="46" t="s">
        <v>491</v>
      </c>
    </row>
    <row r="408" spans="1:21" ht="180" x14ac:dyDescent="0.25">
      <c r="A408" s="45">
        <v>42529</v>
      </c>
      <c r="B408" s="46" t="s">
        <v>328</v>
      </c>
      <c r="C408" s="45" t="s">
        <v>603</v>
      </c>
      <c r="D408" s="46" t="s">
        <v>2397</v>
      </c>
      <c r="E408" s="46" t="s">
        <v>588</v>
      </c>
      <c r="F408" s="47" t="s">
        <v>2395</v>
      </c>
      <c r="H408" s="47" t="s">
        <v>905</v>
      </c>
      <c r="I408" s="46" t="s">
        <v>2396</v>
      </c>
      <c r="M408" s="50">
        <v>232000</v>
      </c>
      <c r="N408" s="51">
        <v>280400</v>
      </c>
      <c r="O408" s="50" t="s">
        <v>2398</v>
      </c>
      <c r="P408" s="65" t="s">
        <v>2399</v>
      </c>
      <c r="Q408" s="46" t="s">
        <v>620</v>
      </c>
      <c r="R408" s="47" t="s">
        <v>2400</v>
      </c>
      <c r="S408" s="47" t="s">
        <v>2430</v>
      </c>
      <c r="U408" s="46" t="s">
        <v>491</v>
      </c>
    </row>
    <row r="409" spans="1:21" ht="195" x14ac:dyDescent="0.25">
      <c r="A409" s="45">
        <v>42530</v>
      </c>
      <c r="B409" s="46" t="s">
        <v>378</v>
      </c>
      <c r="C409" s="45" t="s">
        <v>623</v>
      </c>
      <c r="D409" s="46" t="s">
        <v>625</v>
      </c>
      <c r="E409" s="46" t="s">
        <v>821</v>
      </c>
      <c r="F409" s="47" t="s">
        <v>2431</v>
      </c>
      <c r="H409" s="48" t="s">
        <v>886</v>
      </c>
      <c r="I409" s="46" t="s">
        <v>630</v>
      </c>
      <c r="P409" s="65" t="s">
        <v>2432</v>
      </c>
      <c r="Q409" s="46" t="s">
        <v>620</v>
      </c>
      <c r="R409" s="47" t="s">
        <v>2433</v>
      </c>
      <c r="S409" s="47" t="s">
        <v>2437</v>
      </c>
      <c r="U409" s="46" t="s">
        <v>491</v>
      </c>
    </row>
    <row r="410" spans="1:21" ht="60" x14ac:dyDescent="0.25">
      <c r="A410" s="45">
        <v>42531</v>
      </c>
      <c r="B410" s="46" t="s">
        <v>328</v>
      </c>
      <c r="C410" s="45" t="s">
        <v>603</v>
      </c>
      <c r="D410" s="46" t="s">
        <v>1471</v>
      </c>
      <c r="E410" s="46" t="s">
        <v>588</v>
      </c>
      <c r="F410" s="47" t="s">
        <v>2434</v>
      </c>
      <c r="H410" s="47" t="s">
        <v>722</v>
      </c>
      <c r="I410" s="46" t="s">
        <v>2436</v>
      </c>
      <c r="M410" s="50">
        <v>2000000</v>
      </c>
      <c r="N410" s="51">
        <v>3400000</v>
      </c>
      <c r="O410" s="50" t="s">
        <v>891</v>
      </c>
      <c r="P410" s="65" t="s">
        <v>2435</v>
      </c>
      <c r="Q410" s="46" t="s">
        <v>592</v>
      </c>
      <c r="U410" s="46" t="s">
        <v>491</v>
      </c>
    </row>
    <row r="411" spans="1:21" ht="60" x14ac:dyDescent="0.25">
      <c r="A411" s="45">
        <v>42531</v>
      </c>
      <c r="B411" s="46" t="s">
        <v>328</v>
      </c>
      <c r="C411" s="45" t="s">
        <v>603</v>
      </c>
      <c r="D411" s="46" t="s">
        <v>1401</v>
      </c>
      <c r="E411" s="46" t="s">
        <v>588</v>
      </c>
      <c r="F411" s="47" t="s">
        <v>2463</v>
      </c>
      <c r="H411" s="47" t="s">
        <v>607</v>
      </c>
      <c r="I411" s="46" t="s">
        <v>2465</v>
      </c>
      <c r="M411" s="50">
        <v>275000</v>
      </c>
      <c r="N411" s="51">
        <v>445500</v>
      </c>
      <c r="O411" s="50" t="s">
        <v>2464</v>
      </c>
      <c r="P411" s="65" t="s">
        <v>2466</v>
      </c>
      <c r="Q411" s="46" t="s">
        <v>29</v>
      </c>
      <c r="R411" s="47" t="s">
        <v>2467</v>
      </c>
      <c r="S411" s="47" t="s">
        <v>2472</v>
      </c>
      <c r="U411" s="46" t="s">
        <v>491</v>
      </c>
    </row>
    <row r="412" spans="1:21" ht="30" x14ac:dyDescent="0.25">
      <c r="A412" s="45">
        <v>42531</v>
      </c>
      <c r="B412" s="46" t="s">
        <v>594</v>
      </c>
      <c r="C412" s="45" t="s">
        <v>959</v>
      </c>
      <c r="D412" s="46" t="s">
        <v>732</v>
      </c>
      <c r="E412" s="46" t="s">
        <v>588</v>
      </c>
      <c r="F412" s="47" t="s">
        <v>2442</v>
      </c>
      <c r="H412" s="48" t="s">
        <v>607</v>
      </c>
      <c r="O412" s="50" t="s">
        <v>2443</v>
      </c>
      <c r="P412" s="65" t="s">
        <v>2444</v>
      </c>
      <c r="Q412" s="46" t="s">
        <v>1939</v>
      </c>
      <c r="R412" s="47" t="s">
        <v>2445</v>
      </c>
      <c r="U412" s="46" t="s">
        <v>491</v>
      </c>
    </row>
    <row r="413" spans="1:21" ht="90" x14ac:dyDescent="0.25">
      <c r="A413" s="45">
        <v>42531</v>
      </c>
      <c r="B413" s="46" t="s">
        <v>594</v>
      </c>
      <c r="C413" s="45" t="s">
        <v>959</v>
      </c>
      <c r="D413" s="46" t="s">
        <v>732</v>
      </c>
      <c r="E413" s="46" t="s">
        <v>588</v>
      </c>
      <c r="F413" s="47" t="s">
        <v>2446</v>
      </c>
      <c r="H413" s="48" t="s">
        <v>607</v>
      </c>
      <c r="I413" s="46" t="s">
        <v>2447</v>
      </c>
      <c r="M413" s="50">
        <v>403000</v>
      </c>
      <c r="O413" s="50" t="s">
        <v>2448</v>
      </c>
      <c r="P413" s="65" t="s">
        <v>2449</v>
      </c>
      <c r="Q413" s="46" t="s">
        <v>592</v>
      </c>
      <c r="U413" s="46" t="s">
        <v>491</v>
      </c>
    </row>
    <row r="414" spans="1:21" ht="90" x14ac:dyDescent="0.25">
      <c r="A414" s="45">
        <v>42531</v>
      </c>
      <c r="B414" s="46" t="s">
        <v>594</v>
      </c>
      <c r="C414" s="45" t="s">
        <v>1883</v>
      </c>
      <c r="D414" s="46" t="s">
        <v>2454</v>
      </c>
      <c r="E414" s="46" t="s">
        <v>588</v>
      </c>
      <c r="H414" s="48" t="s">
        <v>905</v>
      </c>
      <c r="O414" s="50" t="s">
        <v>2455</v>
      </c>
      <c r="P414" s="65" t="s">
        <v>2459</v>
      </c>
      <c r="Q414" s="46" t="s">
        <v>620</v>
      </c>
      <c r="R414" s="47" t="s">
        <v>2456</v>
      </c>
      <c r="U414" s="46" t="s">
        <v>491</v>
      </c>
    </row>
    <row r="415" spans="1:21" ht="60" x14ac:dyDescent="0.25">
      <c r="A415" s="45">
        <v>42531</v>
      </c>
      <c r="B415" s="46" t="s">
        <v>594</v>
      </c>
      <c r="C415" s="45" t="s">
        <v>1363</v>
      </c>
      <c r="D415" s="46" t="s">
        <v>2457</v>
      </c>
      <c r="E415" s="46" t="s">
        <v>692</v>
      </c>
      <c r="F415" s="47" t="s">
        <v>2458</v>
      </c>
      <c r="H415" s="48" t="s">
        <v>886</v>
      </c>
      <c r="I415" s="46" t="s">
        <v>2348</v>
      </c>
      <c r="M415" s="50">
        <v>2000000</v>
      </c>
      <c r="N415" s="51">
        <v>2980000</v>
      </c>
      <c r="O415" s="50" t="s">
        <v>1498</v>
      </c>
      <c r="P415" s="65" t="s">
        <v>2460</v>
      </c>
      <c r="Q415" s="46" t="s">
        <v>1939</v>
      </c>
      <c r="R415" s="47" t="s">
        <v>2461</v>
      </c>
      <c r="U415" s="46" t="s">
        <v>491</v>
      </c>
    </row>
    <row r="416" spans="1:21" ht="120" x14ac:dyDescent="0.25">
      <c r="A416" s="45">
        <v>42531</v>
      </c>
      <c r="B416" s="46" t="s">
        <v>328</v>
      </c>
      <c r="C416" s="45" t="s">
        <v>603</v>
      </c>
      <c r="D416" s="46" t="s">
        <v>1471</v>
      </c>
      <c r="E416" s="46" t="s">
        <v>588</v>
      </c>
      <c r="F416" s="47" t="s">
        <v>2450</v>
      </c>
      <c r="H416" s="47" t="s">
        <v>607</v>
      </c>
      <c r="M416" s="50">
        <v>534000</v>
      </c>
      <c r="N416" s="51">
        <v>961200</v>
      </c>
      <c r="O416" s="50" t="s">
        <v>2451</v>
      </c>
      <c r="P416" s="65" t="s">
        <v>2452</v>
      </c>
      <c r="Q416" s="46" t="s">
        <v>1939</v>
      </c>
      <c r="R416" s="47" t="s">
        <v>2453</v>
      </c>
      <c r="S416" s="47" t="s">
        <v>2462</v>
      </c>
      <c r="U416" s="46" t="s">
        <v>491</v>
      </c>
    </row>
    <row r="417" spans="1:21" ht="60" x14ac:dyDescent="0.25">
      <c r="A417" s="45">
        <v>42531</v>
      </c>
      <c r="B417" s="46" t="s">
        <v>328</v>
      </c>
      <c r="C417" s="45" t="s">
        <v>603</v>
      </c>
      <c r="D417" s="46" t="s">
        <v>1471</v>
      </c>
      <c r="E417" s="46" t="s">
        <v>588</v>
      </c>
      <c r="F417" s="47" t="s">
        <v>2468</v>
      </c>
      <c r="H417" s="47" t="s">
        <v>607</v>
      </c>
      <c r="I417" s="46" t="s">
        <v>2469</v>
      </c>
      <c r="M417" s="50">
        <v>1384200</v>
      </c>
      <c r="N417" s="51">
        <v>2768400</v>
      </c>
      <c r="O417" s="50" t="s">
        <v>2470</v>
      </c>
      <c r="P417" s="65" t="s">
        <v>2471</v>
      </c>
      <c r="Q417" s="46" t="s">
        <v>29</v>
      </c>
      <c r="R417" s="47" t="s">
        <v>2481</v>
      </c>
      <c r="U417" s="46" t="s">
        <v>491</v>
      </c>
    </row>
    <row r="418" spans="1:21" ht="60" x14ac:dyDescent="0.25">
      <c r="A418" s="45">
        <v>42531</v>
      </c>
      <c r="B418" s="46" t="s">
        <v>328</v>
      </c>
      <c r="C418" s="45" t="s">
        <v>603</v>
      </c>
      <c r="D418" s="46" t="s">
        <v>1471</v>
      </c>
      <c r="E418" s="46" t="s">
        <v>588</v>
      </c>
      <c r="F418" s="47" t="s">
        <v>2438</v>
      </c>
      <c r="H418" s="47" t="s">
        <v>905</v>
      </c>
      <c r="I418" s="46" t="s">
        <v>2439</v>
      </c>
      <c r="M418" s="50">
        <v>1750000</v>
      </c>
      <c r="N418" s="51">
        <v>2372000</v>
      </c>
      <c r="O418" s="50" t="s">
        <v>1302</v>
      </c>
      <c r="P418" s="65" t="s">
        <v>2441</v>
      </c>
      <c r="Q418" s="46" t="s">
        <v>1939</v>
      </c>
      <c r="R418" s="47" t="s">
        <v>2440</v>
      </c>
      <c r="U418" s="46" t="s">
        <v>491</v>
      </c>
    </row>
    <row r="419" spans="1:21" ht="105" x14ac:dyDescent="0.25">
      <c r="A419" s="45">
        <v>42534</v>
      </c>
      <c r="B419" s="46" t="s">
        <v>328</v>
      </c>
      <c r="C419" s="45" t="s">
        <v>603</v>
      </c>
      <c r="D419" s="46" t="s">
        <v>1471</v>
      </c>
      <c r="E419" s="46" t="s">
        <v>588</v>
      </c>
      <c r="F419" s="47" t="s">
        <v>2484</v>
      </c>
      <c r="H419" s="47" t="s">
        <v>607</v>
      </c>
      <c r="I419" s="46" t="s">
        <v>2478</v>
      </c>
      <c r="M419" s="50">
        <v>800000</v>
      </c>
      <c r="N419" s="51">
        <v>1100000</v>
      </c>
      <c r="O419" s="50" t="s">
        <v>2479</v>
      </c>
      <c r="P419" s="65" t="s">
        <v>2480</v>
      </c>
      <c r="Q419" s="46" t="s">
        <v>29</v>
      </c>
      <c r="R419" s="47" t="s">
        <v>2482</v>
      </c>
      <c r="S419" s="47" t="s">
        <v>2508</v>
      </c>
      <c r="U419" s="46" t="s">
        <v>491</v>
      </c>
    </row>
    <row r="420" spans="1:21" ht="45" x14ac:dyDescent="0.25">
      <c r="A420" s="45">
        <v>42534</v>
      </c>
      <c r="B420" s="46" t="s">
        <v>378</v>
      </c>
      <c r="C420" s="45" t="s">
        <v>610</v>
      </c>
      <c r="D420" s="46" t="s">
        <v>1027</v>
      </c>
      <c r="E420" s="46" t="s">
        <v>588</v>
      </c>
      <c r="F420" s="47" t="s">
        <v>2473</v>
      </c>
      <c r="H420" s="48" t="s">
        <v>607</v>
      </c>
      <c r="I420" s="46" t="s">
        <v>2474</v>
      </c>
      <c r="M420" s="50">
        <v>225000</v>
      </c>
      <c r="O420" s="50" t="s">
        <v>2475</v>
      </c>
      <c r="P420" s="65" t="s">
        <v>2476</v>
      </c>
      <c r="Q420" s="46" t="s">
        <v>1939</v>
      </c>
      <c r="R420" s="47" t="s">
        <v>2477</v>
      </c>
      <c r="U420" s="46" t="s">
        <v>491</v>
      </c>
    </row>
    <row r="421" spans="1:21" ht="45" x14ac:dyDescent="0.25">
      <c r="A421" s="45">
        <v>42534</v>
      </c>
      <c r="B421" s="46" t="s">
        <v>328</v>
      </c>
      <c r="C421" s="45" t="s">
        <v>603</v>
      </c>
      <c r="D421" s="46" t="s">
        <v>1471</v>
      </c>
      <c r="E421" s="46" t="s">
        <v>588</v>
      </c>
      <c r="F421" s="47" t="s">
        <v>2483</v>
      </c>
      <c r="H421" s="47" t="s">
        <v>607</v>
      </c>
      <c r="I421" s="46" t="s">
        <v>2059</v>
      </c>
      <c r="M421" s="50">
        <v>2100000</v>
      </c>
      <c r="N421" s="51">
        <v>4200000</v>
      </c>
      <c r="O421" s="50" t="s">
        <v>891</v>
      </c>
      <c r="P421" s="65" t="s">
        <v>2485</v>
      </c>
      <c r="Q421" s="46" t="s">
        <v>1612</v>
      </c>
      <c r="R421" s="47" t="s">
        <v>2486</v>
      </c>
      <c r="S421" s="47" t="s">
        <v>2516</v>
      </c>
      <c r="U421" s="46" t="s">
        <v>491</v>
      </c>
    </row>
    <row r="422" spans="1:21" ht="60" x14ac:dyDescent="0.25">
      <c r="A422" s="45">
        <v>42535</v>
      </c>
      <c r="B422" s="46" t="s">
        <v>328</v>
      </c>
      <c r="C422" s="45" t="s">
        <v>603</v>
      </c>
      <c r="D422" s="46" t="s">
        <v>2500</v>
      </c>
      <c r="E422" s="46" t="s">
        <v>588</v>
      </c>
      <c r="F422" s="47" t="s">
        <v>2501</v>
      </c>
      <c r="H422" s="47" t="s">
        <v>2510</v>
      </c>
      <c r="I422" s="46" t="s">
        <v>2502</v>
      </c>
      <c r="O422" s="50" t="s">
        <v>2503</v>
      </c>
      <c r="P422" s="65" t="s">
        <v>2504</v>
      </c>
      <c r="Q422" s="46" t="s">
        <v>1939</v>
      </c>
      <c r="R422" s="47" t="s">
        <v>2505</v>
      </c>
      <c r="U422" s="46" t="s">
        <v>491</v>
      </c>
    </row>
    <row r="423" spans="1:21" ht="90" x14ac:dyDescent="0.25">
      <c r="A423" s="45">
        <v>42535</v>
      </c>
      <c r="B423" s="46" t="s">
        <v>378</v>
      </c>
      <c r="C423" s="45" t="s">
        <v>623</v>
      </c>
      <c r="D423" s="46" t="s">
        <v>625</v>
      </c>
      <c r="E423" s="46" t="s">
        <v>588</v>
      </c>
      <c r="F423" s="47" t="s">
        <v>2487</v>
      </c>
      <c r="H423" s="48" t="s">
        <v>607</v>
      </c>
      <c r="I423" s="46" t="s">
        <v>2488</v>
      </c>
      <c r="M423" s="50">
        <v>550000</v>
      </c>
      <c r="N423" s="51">
        <v>1471520</v>
      </c>
      <c r="O423" s="50" t="s">
        <v>2489</v>
      </c>
      <c r="P423" s="65" t="s">
        <v>2490</v>
      </c>
      <c r="Q423" s="46" t="s">
        <v>1939</v>
      </c>
      <c r="R423" s="47" t="s">
        <v>2491</v>
      </c>
      <c r="U423" s="46" t="s">
        <v>491</v>
      </c>
    </row>
    <row r="424" spans="1:21" ht="30" x14ac:dyDescent="0.25">
      <c r="A424" s="45">
        <v>42535</v>
      </c>
      <c r="B424" s="46" t="s">
        <v>594</v>
      </c>
      <c r="C424" s="45" t="s">
        <v>1363</v>
      </c>
      <c r="D424" s="46" t="s">
        <v>2346</v>
      </c>
      <c r="E424" s="46" t="s">
        <v>588</v>
      </c>
      <c r="F424" s="47" t="s">
        <v>2347</v>
      </c>
      <c r="H424" s="48" t="s">
        <v>886</v>
      </c>
      <c r="I424" s="46" t="s">
        <v>2348</v>
      </c>
      <c r="M424" s="50">
        <v>1700000</v>
      </c>
      <c r="N424" s="51">
        <v>1710000</v>
      </c>
      <c r="O424" s="50" t="s">
        <v>1498</v>
      </c>
      <c r="P424" s="65" t="s">
        <v>2495</v>
      </c>
      <c r="Q424" s="46" t="s">
        <v>592</v>
      </c>
      <c r="R424" s="47" t="s">
        <v>2496</v>
      </c>
      <c r="U424" s="46" t="s">
        <v>491</v>
      </c>
    </row>
    <row r="425" spans="1:21" ht="45" x14ac:dyDescent="0.25">
      <c r="A425" s="45">
        <v>42535</v>
      </c>
      <c r="B425" s="46" t="s">
        <v>378</v>
      </c>
      <c r="C425" s="45" t="s">
        <v>623</v>
      </c>
      <c r="D425" s="46" t="s">
        <v>625</v>
      </c>
      <c r="E425" s="46" t="s">
        <v>1707</v>
      </c>
      <c r="H425" s="48"/>
      <c r="O425" s="50" t="s">
        <v>2497</v>
      </c>
      <c r="P425" s="65" t="s">
        <v>2498</v>
      </c>
      <c r="Q425" s="46" t="s">
        <v>1939</v>
      </c>
      <c r="R425" s="47" t="s">
        <v>2499</v>
      </c>
      <c r="U425" s="46" t="s">
        <v>491</v>
      </c>
    </row>
    <row r="426" spans="1:21" ht="45" x14ac:dyDescent="0.25">
      <c r="A426" s="45">
        <v>42535</v>
      </c>
      <c r="B426" s="46" t="s">
        <v>328</v>
      </c>
      <c r="C426" s="45" t="s">
        <v>603</v>
      </c>
      <c r="D426" s="46" t="s">
        <v>1471</v>
      </c>
      <c r="E426" s="46" t="s">
        <v>588</v>
      </c>
      <c r="F426" s="47" t="s">
        <v>2492</v>
      </c>
      <c r="H426" s="47" t="s">
        <v>722</v>
      </c>
      <c r="I426" s="46" t="s">
        <v>2493</v>
      </c>
      <c r="M426" s="50">
        <v>50000</v>
      </c>
      <c r="N426" s="51">
        <v>132500</v>
      </c>
      <c r="O426" s="50" t="s">
        <v>1498</v>
      </c>
      <c r="P426" s="65" t="s">
        <v>2494</v>
      </c>
      <c r="Q426" s="46" t="s">
        <v>592</v>
      </c>
      <c r="R426" s="47" t="s">
        <v>2506</v>
      </c>
      <c r="S426" s="47" t="s">
        <v>2507</v>
      </c>
      <c r="U426" s="46" t="s">
        <v>491</v>
      </c>
    </row>
    <row r="427" spans="1:21" ht="105" x14ac:dyDescent="0.25">
      <c r="A427" s="45">
        <v>42536</v>
      </c>
      <c r="B427" s="46" t="s">
        <v>378</v>
      </c>
      <c r="C427" s="45" t="s">
        <v>623</v>
      </c>
      <c r="D427" s="46" t="s">
        <v>625</v>
      </c>
      <c r="E427" s="46" t="s">
        <v>588</v>
      </c>
      <c r="F427" s="47" t="s">
        <v>2509</v>
      </c>
      <c r="H427" s="48" t="s">
        <v>1044</v>
      </c>
      <c r="I427" s="46" t="s">
        <v>628</v>
      </c>
      <c r="M427" s="50">
        <v>3829622</v>
      </c>
      <c r="N427" s="51">
        <v>4829622</v>
      </c>
      <c r="O427" s="50" t="s">
        <v>891</v>
      </c>
      <c r="P427" s="65" t="s">
        <v>2511</v>
      </c>
      <c r="Q427" s="46" t="s">
        <v>1939</v>
      </c>
      <c r="R427" s="47" t="s">
        <v>2515</v>
      </c>
      <c r="U427" s="46" t="s">
        <v>491</v>
      </c>
    </row>
    <row r="428" spans="1:21" ht="90" x14ac:dyDescent="0.25">
      <c r="A428" s="45">
        <v>42536</v>
      </c>
      <c r="B428" s="46" t="s">
        <v>110</v>
      </c>
      <c r="C428" s="45" t="s">
        <v>833</v>
      </c>
      <c r="D428" s="46" t="s">
        <v>715</v>
      </c>
      <c r="E428" s="46" t="s">
        <v>588</v>
      </c>
      <c r="F428" s="47" t="s">
        <v>2512</v>
      </c>
      <c r="H428" s="48" t="s">
        <v>607</v>
      </c>
      <c r="I428" s="46" t="s">
        <v>2513</v>
      </c>
      <c r="M428" s="50">
        <v>215000</v>
      </c>
      <c r="N428" s="51">
        <v>345000</v>
      </c>
      <c r="O428" s="50" t="s">
        <v>1033</v>
      </c>
      <c r="P428" s="65" t="s">
        <v>2514</v>
      </c>
      <c r="Q428" s="46" t="s">
        <v>29</v>
      </c>
      <c r="U428" s="46" t="s">
        <v>491</v>
      </c>
    </row>
    <row r="429" spans="1:21" ht="105" x14ac:dyDescent="0.25">
      <c r="A429" s="45">
        <v>42537</v>
      </c>
      <c r="B429" s="46" t="s">
        <v>328</v>
      </c>
      <c r="C429" s="45" t="s">
        <v>603</v>
      </c>
      <c r="D429" s="46" t="s">
        <v>1471</v>
      </c>
      <c r="E429" s="46" t="s">
        <v>588</v>
      </c>
      <c r="F429" s="47" t="s">
        <v>2542</v>
      </c>
      <c r="H429" s="47" t="s">
        <v>607</v>
      </c>
      <c r="I429" s="46" t="s">
        <v>2543</v>
      </c>
      <c r="M429" s="50">
        <v>2003000</v>
      </c>
      <c r="N429" s="51">
        <v>3605400</v>
      </c>
      <c r="O429" s="50" t="s">
        <v>2545</v>
      </c>
      <c r="P429" s="65" t="s">
        <v>2544</v>
      </c>
      <c r="Q429" s="46" t="s">
        <v>1939</v>
      </c>
      <c r="R429" s="47" t="s">
        <v>2546</v>
      </c>
      <c r="U429" s="46" t="s">
        <v>491</v>
      </c>
    </row>
    <row r="430" spans="1:21" ht="90" x14ac:dyDescent="0.25">
      <c r="A430" s="45">
        <v>42537</v>
      </c>
      <c r="B430" s="46" t="s">
        <v>328</v>
      </c>
      <c r="C430" s="45" t="s">
        <v>603</v>
      </c>
      <c r="D430" s="46" t="s">
        <v>1401</v>
      </c>
      <c r="E430" s="46" t="s">
        <v>588</v>
      </c>
      <c r="F430" s="47" t="s">
        <v>2564</v>
      </c>
      <c r="H430" s="47" t="s">
        <v>1626</v>
      </c>
      <c r="I430" s="46" t="s">
        <v>2565</v>
      </c>
      <c r="M430" s="50">
        <v>250100</v>
      </c>
      <c r="N430" s="51">
        <v>300120</v>
      </c>
      <c r="O430" s="50" t="s">
        <v>2566</v>
      </c>
      <c r="P430" s="65" t="s">
        <v>2567</v>
      </c>
      <c r="Q430" s="46" t="s">
        <v>1939</v>
      </c>
      <c r="R430" s="47" t="s">
        <v>2568</v>
      </c>
      <c r="U430" s="46" t="s">
        <v>491</v>
      </c>
    </row>
    <row r="431" spans="1:21" ht="105" x14ac:dyDescent="0.25">
      <c r="A431" s="45">
        <v>42537</v>
      </c>
      <c r="B431" s="46" t="s">
        <v>328</v>
      </c>
      <c r="C431" s="45" t="s">
        <v>603</v>
      </c>
      <c r="D431" s="46" t="s">
        <v>1471</v>
      </c>
      <c r="E431" s="46" t="s">
        <v>588</v>
      </c>
      <c r="F431" s="47" t="s">
        <v>2534</v>
      </c>
      <c r="H431" s="47" t="s">
        <v>2535</v>
      </c>
      <c r="I431" s="46" t="s">
        <v>2536</v>
      </c>
      <c r="M431" s="50">
        <v>940976</v>
      </c>
      <c r="N431" s="51">
        <v>1500000</v>
      </c>
      <c r="O431" s="50" t="s">
        <v>2537</v>
      </c>
      <c r="P431" s="65" t="s">
        <v>2538</v>
      </c>
      <c r="Q431" s="46" t="s">
        <v>29</v>
      </c>
      <c r="R431" s="47" t="s">
        <v>2554</v>
      </c>
      <c r="U431" s="46" t="s">
        <v>491</v>
      </c>
    </row>
    <row r="432" spans="1:21" ht="75" x14ac:dyDescent="0.25">
      <c r="A432" s="45">
        <v>42537</v>
      </c>
      <c r="B432" s="46" t="s">
        <v>328</v>
      </c>
      <c r="C432" s="45" t="s">
        <v>603</v>
      </c>
      <c r="D432" s="46" t="s">
        <v>1401</v>
      </c>
      <c r="E432" s="46" t="s">
        <v>588</v>
      </c>
      <c r="F432" s="47" t="s">
        <v>2559</v>
      </c>
      <c r="H432" s="47" t="s">
        <v>722</v>
      </c>
      <c r="I432" s="46" t="s">
        <v>2561</v>
      </c>
      <c r="M432" s="50">
        <v>400000</v>
      </c>
      <c r="N432" s="51">
        <v>440000</v>
      </c>
      <c r="O432" s="50" t="s">
        <v>2560</v>
      </c>
      <c r="P432" s="65" t="s">
        <v>2562</v>
      </c>
      <c r="Q432" s="46" t="s">
        <v>29</v>
      </c>
      <c r="R432" s="47" t="s">
        <v>2563</v>
      </c>
      <c r="U432" s="46" t="s">
        <v>491</v>
      </c>
    </row>
    <row r="433" spans="1:21" ht="45" x14ac:dyDescent="0.25">
      <c r="A433" s="45">
        <v>42537</v>
      </c>
      <c r="B433" s="46" t="s">
        <v>328</v>
      </c>
      <c r="C433" s="45" t="s">
        <v>603</v>
      </c>
      <c r="D433" s="46" t="s">
        <v>1471</v>
      </c>
      <c r="E433" s="46" t="s">
        <v>588</v>
      </c>
      <c r="F433" s="47" t="s">
        <v>2571</v>
      </c>
      <c r="H433" s="47" t="s">
        <v>1119</v>
      </c>
      <c r="O433" s="50" t="s">
        <v>1539</v>
      </c>
      <c r="P433" s="65" t="s">
        <v>2569</v>
      </c>
      <c r="Q433" s="46" t="s">
        <v>1612</v>
      </c>
      <c r="R433" s="47" t="s">
        <v>2570</v>
      </c>
      <c r="S433" s="47" t="s">
        <v>2740</v>
      </c>
      <c r="U433" s="46" t="s">
        <v>491</v>
      </c>
    </row>
    <row r="434" spans="1:21" ht="90" x14ac:dyDescent="0.25">
      <c r="A434" s="45">
        <v>42537</v>
      </c>
      <c r="B434" s="46" t="s">
        <v>328</v>
      </c>
      <c r="C434" s="45" t="s">
        <v>603</v>
      </c>
      <c r="D434" s="46" t="s">
        <v>1401</v>
      </c>
      <c r="E434" s="46" t="s">
        <v>588</v>
      </c>
      <c r="F434" s="47" t="s">
        <v>2521</v>
      </c>
      <c r="H434" s="47" t="s">
        <v>607</v>
      </c>
      <c r="I434" s="46" t="s">
        <v>2522</v>
      </c>
      <c r="M434" s="50">
        <v>466000</v>
      </c>
      <c r="N434" s="51">
        <v>838800</v>
      </c>
      <c r="O434" s="50" t="s">
        <v>2032</v>
      </c>
      <c r="P434" s="65" t="s">
        <v>2523</v>
      </c>
      <c r="Q434" s="46" t="s">
        <v>1612</v>
      </c>
      <c r="R434" s="47" t="s">
        <v>2524</v>
      </c>
      <c r="S434" s="47" t="s">
        <v>2778</v>
      </c>
      <c r="U434" s="46" t="s">
        <v>491</v>
      </c>
    </row>
    <row r="435" spans="1:21" ht="60" x14ac:dyDescent="0.25">
      <c r="A435" s="45">
        <v>42537</v>
      </c>
      <c r="B435" s="46" t="s">
        <v>320</v>
      </c>
      <c r="D435" s="46" t="s">
        <v>1229</v>
      </c>
      <c r="E435" s="46" t="s">
        <v>588</v>
      </c>
      <c r="F435" s="47" t="s">
        <v>2525</v>
      </c>
      <c r="H435" s="48" t="s">
        <v>1774</v>
      </c>
      <c r="I435" s="46" t="s">
        <v>2526</v>
      </c>
      <c r="M435" s="50">
        <v>250000</v>
      </c>
      <c r="N435" s="51">
        <v>410000</v>
      </c>
      <c r="O435" s="50" t="s">
        <v>2527</v>
      </c>
      <c r="P435" s="65" t="s">
        <v>2533</v>
      </c>
      <c r="Q435" s="46" t="s">
        <v>1939</v>
      </c>
      <c r="R435" s="47" t="s">
        <v>2528</v>
      </c>
      <c r="U435" s="46" t="s">
        <v>491</v>
      </c>
    </row>
    <row r="436" spans="1:21" ht="90" x14ac:dyDescent="0.25">
      <c r="A436" s="45">
        <v>42537</v>
      </c>
      <c r="B436" s="46" t="s">
        <v>594</v>
      </c>
      <c r="C436" s="45" t="s">
        <v>1363</v>
      </c>
      <c r="D436" s="46" t="s">
        <v>1495</v>
      </c>
      <c r="E436" s="46" t="s">
        <v>588</v>
      </c>
      <c r="F436" s="47" t="s">
        <v>2539</v>
      </c>
      <c r="H436" s="48" t="s">
        <v>886</v>
      </c>
      <c r="I436" s="46" t="s">
        <v>2348</v>
      </c>
      <c r="M436" s="50">
        <v>4500000</v>
      </c>
      <c r="N436" s="51">
        <v>4500000</v>
      </c>
      <c r="O436" s="50" t="s">
        <v>1498</v>
      </c>
      <c r="P436" s="65" t="s">
        <v>2540</v>
      </c>
      <c r="Q436" s="46" t="s">
        <v>620</v>
      </c>
      <c r="R436" s="47" t="s">
        <v>2541</v>
      </c>
      <c r="U436" s="46" t="s">
        <v>491</v>
      </c>
    </row>
    <row r="437" spans="1:21" ht="60" x14ac:dyDescent="0.25">
      <c r="A437" s="45">
        <v>42537</v>
      </c>
      <c r="B437" s="46" t="s">
        <v>378</v>
      </c>
      <c r="C437" s="45" t="s">
        <v>623</v>
      </c>
      <c r="D437" s="46" t="s">
        <v>930</v>
      </c>
      <c r="E437" s="46" t="s">
        <v>821</v>
      </c>
      <c r="H437" s="48" t="s">
        <v>607</v>
      </c>
      <c r="N437" s="51">
        <v>5000000</v>
      </c>
      <c r="O437" s="50" t="s">
        <v>2547</v>
      </c>
      <c r="P437" s="65" t="s">
        <v>2548</v>
      </c>
      <c r="Q437" s="46" t="s">
        <v>29</v>
      </c>
      <c r="R437" s="47" t="s">
        <v>2549</v>
      </c>
      <c r="S437" s="47" t="s">
        <v>2558</v>
      </c>
      <c r="U437" s="46" t="s">
        <v>491</v>
      </c>
    </row>
    <row r="438" spans="1:21" ht="45" x14ac:dyDescent="0.25">
      <c r="A438" s="45">
        <v>42537</v>
      </c>
      <c r="B438" s="46" t="s">
        <v>378</v>
      </c>
      <c r="C438" s="45" t="s">
        <v>610</v>
      </c>
      <c r="D438" s="46" t="s">
        <v>1027</v>
      </c>
      <c r="E438" s="46" t="s">
        <v>588</v>
      </c>
      <c r="F438" s="47" t="s">
        <v>2555</v>
      </c>
      <c r="H438" s="48" t="s">
        <v>607</v>
      </c>
      <c r="I438" s="46" t="s">
        <v>628</v>
      </c>
      <c r="M438" s="50">
        <v>2500000</v>
      </c>
      <c r="N438" s="51">
        <v>3700000</v>
      </c>
      <c r="O438" s="50" t="s">
        <v>891</v>
      </c>
      <c r="P438" s="65" t="s">
        <v>2556</v>
      </c>
      <c r="Q438" s="46" t="s">
        <v>620</v>
      </c>
      <c r="R438" s="47" t="s">
        <v>2557</v>
      </c>
      <c r="U438" s="46" t="s">
        <v>491</v>
      </c>
    </row>
    <row r="439" spans="1:21" ht="90" x14ac:dyDescent="0.25">
      <c r="A439" s="45">
        <v>42537</v>
      </c>
      <c r="B439" s="46" t="s">
        <v>328</v>
      </c>
      <c r="C439" s="45" t="s">
        <v>603</v>
      </c>
      <c r="D439" s="46" t="s">
        <v>1401</v>
      </c>
      <c r="E439" s="46" t="s">
        <v>588</v>
      </c>
      <c r="F439" s="47" t="s">
        <v>2517</v>
      </c>
      <c r="H439" s="47" t="s">
        <v>722</v>
      </c>
      <c r="I439" s="46" t="s">
        <v>1654</v>
      </c>
      <c r="M439" s="50">
        <v>232560</v>
      </c>
      <c r="N439" s="51">
        <v>348840</v>
      </c>
      <c r="O439" s="50" t="s">
        <v>2518</v>
      </c>
      <c r="P439" s="65" t="s">
        <v>2519</v>
      </c>
      <c r="Q439" s="46" t="s">
        <v>1939</v>
      </c>
      <c r="R439" s="47" t="s">
        <v>2520</v>
      </c>
      <c r="S439" s="47" t="s">
        <v>2931</v>
      </c>
      <c r="U439" s="46" t="s">
        <v>491</v>
      </c>
    </row>
    <row r="440" spans="1:21" ht="60" x14ac:dyDescent="0.25">
      <c r="A440" s="45">
        <v>42537</v>
      </c>
      <c r="B440" s="46" t="s">
        <v>328</v>
      </c>
      <c r="C440" s="45" t="s">
        <v>603</v>
      </c>
      <c r="D440" s="46" t="s">
        <v>587</v>
      </c>
      <c r="E440" s="46" t="s">
        <v>588</v>
      </c>
      <c r="F440" s="47" t="s">
        <v>2550</v>
      </c>
      <c r="H440" s="47" t="s">
        <v>607</v>
      </c>
      <c r="O440" s="50" t="s">
        <v>2551</v>
      </c>
      <c r="P440" s="65" t="s">
        <v>2552</v>
      </c>
      <c r="Q440" s="46" t="s">
        <v>1939</v>
      </c>
      <c r="R440" s="47" t="s">
        <v>2553</v>
      </c>
      <c r="U440" s="46" t="s">
        <v>491</v>
      </c>
    </row>
    <row r="441" spans="1:21" ht="45" x14ac:dyDescent="0.25">
      <c r="A441" s="45">
        <v>42537</v>
      </c>
      <c r="B441" s="46" t="s">
        <v>328</v>
      </c>
      <c r="C441" s="45" t="s">
        <v>603</v>
      </c>
      <c r="D441" s="46" t="s">
        <v>1471</v>
      </c>
      <c r="E441" s="46" t="s">
        <v>588</v>
      </c>
      <c r="F441" s="47" t="s">
        <v>3343</v>
      </c>
      <c r="H441" s="47" t="s">
        <v>607</v>
      </c>
      <c r="I441" s="46" t="s">
        <v>3344</v>
      </c>
      <c r="J441" s="49" t="s">
        <v>899</v>
      </c>
      <c r="L441" s="49">
        <v>10</v>
      </c>
      <c r="M441" s="50">
        <v>1100000</v>
      </c>
      <c r="N441" s="51">
        <v>1870000</v>
      </c>
      <c r="O441" s="50" t="s">
        <v>560</v>
      </c>
      <c r="P441" s="65" t="s">
        <v>3345</v>
      </c>
      <c r="Q441" s="46" t="s">
        <v>592</v>
      </c>
      <c r="U441" s="46" t="s">
        <v>491</v>
      </c>
    </row>
    <row r="442" spans="1:21" ht="60" x14ac:dyDescent="0.25">
      <c r="A442" s="45">
        <v>42537</v>
      </c>
      <c r="B442" s="46" t="s">
        <v>328</v>
      </c>
      <c r="C442" s="45" t="s">
        <v>603</v>
      </c>
      <c r="D442" s="46" t="s">
        <v>1471</v>
      </c>
      <c r="E442" s="46" t="s">
        <v>588</v>
      </c>
      <c r="F442" s="47" t="s">
        <v>2529</v>
      </c>
      <c r="H442" s="47" t="s">
        <v>722</v>
      </c>
      <c r="I442" s="46" t="s">
        <v>2531</v>
      </c>
      <c r="M442" s="50">
        <v>1902000</v>
      </c>
      <c r="N442" s="51">
        <v>3233400</v>
      </c>
      <c r="O442" s="50" t="s">
        <v>891</v>
      </c>
      <c r="P442" s="65" t="s">
        <v>2530</v>
      </c>
      <c r="Q442" s="46" t="s">
        <v>1939</v>
      </c>
      <c r="R442" s="47" t="s">
        <v>2532</v>
      </c>
      <c r="U442" s="46" t="s">
        <v>491</v>
      </c>
    </row>
    <row r="443" spans="1:21" ht="60" x14ac:dyDescent="0.25">
      <c r="A443" s="45">
        <v>42538</v>
      </c>
      <c r="B443" s="46" t="s">
        <v>378</v>
      </c>
      <c r="C443" s="45" t="s">
        <v>610</v>
      </c>
      <c r="D443" s="46" t="s">
        <v>732</v>
      </c>
      <c r="E443" s="46" t="s">
        <v>588</v>
      </c>
      <c r="F443" s="47" t="s">
        <v>2572</v>
      </c>
      <c r="H443" s="48" t="s">
        <v>905</v>
      </c>
      <c r="I443" s="46" t="s">
        <v>789</v>
      </c>
      <c r="M443" s="50">
        <v>2110745</v>
      </c>
      <c r="N443" s="51">
        <v>3466345</v>
      </c>
      <c r="O443" s="50" t="s">
        <v>891</v>
      </c>
      <c r="P443" s="65" t="s">
        <v>2573</v>
      </c>
      <c r="Q443" s="46" t="s">
        <v>592</v>
      </c>
      <c r="U443" s="46" t="s">
        <v>491</v>
      </c>
    </row>
    <row r="444" spans="1:21" ht="105" x14ac:dyDescent="0.25">
      <c r="A444" s="45">
        <v>42538</v>
      </c>
      <c r="B444" s="46" t="s">
        <v>378</v>
      </c>
      <c r="C444" s="45" t="s">
        <v>623</v>
      </c>
      <c r="D444" s="46" t="s">
        <v>625</v>
      </c>
      <c r="E444" s="46" t="s">
        <v>588</v>
      </c>
      <c r="F444" s="47" t="s">
        <v>2574</v>
      </c>
      <c r="H444" s="48" t="s">
        <v>809</v>
      </c>
      <c r="I444" s="46" t="s">
        <v>679</v>
      </c>
      <c r="M444" s="50">
        <v>3078000</v>
      </c>
      <c r="N444" s="51">
        <v>3466345</v>
      </c>
      <c r="O444" s="50" t="s">
        <v>2579</v>
      </c>
      <c r="P444" s="65" t="s">
        <v>2576</v>
      </c>
      <c r="Q444" s="46" t="s">
        <v>29</v>
      </c>
      <c r="R444" s="47" t="s">
        <v>2575</v>
      </c>
      <c r="U444" s="46" t="s">
        <v>491</v>
      </c>
    </row>
    <row r="445" spans="1:21" ht="60" x14ac:dyDescent="0.25">
      <c r="A445" s="45">
        <v>42538</v>
      </c>
      <c r="B445" s="46" t="s">
        <v>378</v>
      </c>
      <c r="C445" s="45" t="s">
        <v>623</v>
      </c>
      <c r="D445" s="46" t="s">
        <v>930</v>
      </c>
      <c r="E445" s="46" t="s">
        <v>821</v>
      </c>
      <c r="H445" s="48" t="s">
        <v>607</v>
      </c>
      <c r="M445" s="50">
        <v>250000</v>
      </c>
      <c r="O445" s="50" t="s">
        <v>35</v>
      </c>
      <c r="P445" s="65" t="s">
        <v>2582</v>
      </c>
      <c r="Q445" s="46" t="s">
        <v>29</v>
      </c>
      <c r="U445" s="46" t="s">
        <v>491</v>
      </c>
    </row>
    <row r="446" spans="1:21" ht="120" x14ac:dyDescent="0.25">
      <c r="A446" s="45">
        <v>42538</v>
      </c>
      <c r="B446" s="46" t="s">
        <v>328</v>
      </c>
      <c r="C446" s="45" t="s">
        <v>603</v>
      </c>
      <c r="D446" s="46" t="s">
        <v>649</v>
      </c>
      <c r="E446" s="46" t="s">
        <v>588</v>
      </c>
      <c r="F446" s="47" t="s">
        <v>2577</v>
      </c>
      <c r="H446" s="47" t="s">
        <v>905</v>
      </c>
      <c r="I446" s="46" t="s">
        <v>2578</v>
      </c>
      <c r="M446" s="50">
        <v>500000</v>
      </c>
      <c r="N446" s="51">
        <v>610000</v>
      </c>
      <c r="O446" s="50" t="s">
        <v>695</v>
      </c>
      <c r="P446" s="65" t="s">
        <v>2580</v>
      </c>
      <c r="Q446" s="46" t="s">
        <v>29</v>
      </c>
      <c r="R446" s="47" t="s">
        <v>2581</v>
      </c>
      <c r="U446" s="46" t="s">
        <v>491</v>
      </c>
    </row>
    <row r="447" spans="1:21" ht="120" x14ac:dyDescent="0.25">
      <c r="A447" s="45">
        <v>42541</v>
      </c>
      <c r="B447" s="46" t="s">
        <v>378</v>
      </c>
      <c r="C447" s="45" t="s">
        <v>623</v>
      </c>
      <c r="D447" s="46" t="s">
        <v>930</v>
      </c>
      <c r="E447" s="46" t="s">
        <v>588</v>
      </c>
      <c r="F447" s="47" t="s">
        <v>2603</v>
      </c>
      <c r="H447" s="48" t="s">
        <v>607</v>
      </c>
      <c r="I447" s="46" t="s">
        <v>2604</v>
      </c>
      <c r="M447" s="50">
        <v>1572000</v>
      </c>
      <c r="N447" s="51">
        <v>3367600</v>
      </c>
      <c r="O447" s="50" t="s">
        <v>891</v>
      </c>
      <c r="P447" s="65" t="s">
        <v>2605</v>
      </c>
      <c r="Q447" s="46" t="s">
        <v>592</v>
      </c>
      <c r="R447" s="47" t="s">
        <v>2606</v>
      </c>
      <c r="U447" s="46" t="s">
        <v>491</v>
      </c>
    </row>
    <row r="448" spans="1:21" ht="90" x14ac:dyDescent="0.25">
      <c r="A448" s="45">
        <v>42541</v>
      </c>
      <c r="B448" s="46" t="s">
        <v>378</v>
      </c>
      <c r="C448" s="45" t="s">
        <v>610</v>
      </c>
      <c r="D448" s="46" t="s">
        <v>1027</v>
      </c>
      <c r="E448" s="46" t="s">
        <v>821</v>
      </c>
      <c r="H448" s="48"/>
      <c r="O448" s="50" t="s">
        <v>2607</v>
      </c>
      <c r="P448" s="65" t="s">
        <v>2608</v>
      </c>
      <c r="Q448" s="46" t="s">
        <v>592</v>
      </c>
      <c r="U448" s="46" t="s">
        <v>491</v>
      </c>
    </row>
    <row r="449" spans="1:21" ht="90" x14ac:dyDescent="0.25">
      <c r="A449" s="45">
        <v>42541</v>
      </c>
      <c r="B449" s="46" t="s">
        <v>378</v>
      </c>
      <c r="C449" s="45" t="s">
        <v>623</v>
      </c>
      <c r="D449" s="46" t="s">
        <v>625</v>
      </c>
      <c r="E449" s="46" t="s">
        <v>588</v>
      </c>
      <c r="F449" s="47" t="s">
        <v>2614</v>
      </c>
      <c r="H449" s="48"/>
      <c r="O449" s="50" t="s">
        <v>2612</v>
      </c>
      <c r="P449" s="65" t="s">
        <v>2613</v>
      </c>
      <c r="Q449" s="46" t="s">
        <v>1612</v>
      </c>
      <c r="R449" s="47" t="s">
        <v>2615</v>
      </c>
      <c r="U449" s="46" t="s">
        <v>491</v>
      </c>
    </row>
    <row r="450" spans="1:21" ht="30" x14ac:dyDescent="0.25">
      <c r="A450" s="45">
        <v>42538</v>
      </c>
      <c r="B450" s="46" t="s">
        <v>328</v>
      </c>
      <c r="C450" s="45" t="s">
        <v>603</v>
      </c>
      <c r="D450" s="46" t="s">
        <v>1401</v>
      </c>
      <c r="E450" s="46" t="s">
        <v>588</v>
      </c>
      <c r="F450" s="47" t="s">
        <v>3645</v>
      </c>
      <c r="H450" s="47" t="s">
        <v>607</v>
      </c>
      <c r="I450" s="46" t="s">
        <v>3646</v>
      </c>
      <c r="J450" s="49" t="s">
        <v>644</v>
      </c>
      <c r="L450" s="49">
        <v>9</v>
      </c>
      <c r="M450" s="50">
        <v>1200000</v>
      </c>
      <c r="N450" s="51">
        <v>2020000</v>
      </c>
      <c r="O450" s="50" t="s">
        <v>560</v>
      </c>
      <c r="P450" s="65" t="s">
        <v>3647</v>
      </c>
      <c r="Q450" s="46" t="s">
        <v>592</v>
      </c>
      <c r="U450" s="46" t="s">
        <v>491</v>
      </c>
    </row>
    <row r="451" spans="1:21" ht="120" x14ac:dyDescent="0.25">
      <c r="A451" s="45">
        <v>42538</v>
      </c>
      <c r="B451" s="46" t="s">
        <v>328</v>
      </c>
      <c r="C451" s="45" t="s">
        <v>603</v>
      </c>
      <c r="D451" s="46" t="s">
        <v>1471</v>
      </c>
      <c r="E451" s="46" t="s">
        <v>588</v>
      </c>
      <c r="F451" s="47" t="s">
        <v>2583</v>
      </c>
      <c r="H451" s="47" t="s">
        <v>2074</v>
      </c>
      <c r="M451" s="50">
        <v>2416000</v>
      </c>
      <c r="N451" s="51">
        <v>4348800</v>
      </c>
      <c r="O451" s="50" t="s">
        <v>891</v>
      </c>
      <c r="P451" s="65" t="s">
        <v>2584</v>
      </c>
      <c r="Q451" s="46" t="s">
        <v>620</v>
      </c>
      <c r="R451" s="47" t="s">
        <v>2585</v>
      </c>
      <c r="U451" s="46" t="s">
        <v>491</v>
      </c>
    </row>
    <row r="452" spans="1:21" ht="120" x14ac:dyDescent="0.25">
      <c r="A452" s="45">
        <v>42541</v>
      </c>
      <c r="B452" s="46" t="s">
        <v>328</v>
      </c>
      <c r="C452" s="45" t="s">
        <v>603</v>
      </c>
      <c r="D452" s="46" t="s">
        <v>1471</v>
      </c>
      <c r="E452" s="46" t="s">
        <v>588</v>
      </c>
      <c r="F452" s="47" t="s">
        <v>2597</v>
      </c>
      <c r="H452" s="47" t="s">
        <v>722</v>
      </c>
      <c r="I452" s="46" t="s">
        <v>2600</v>
      </c>
      <c r="M452" s="50">
        <v>225000</v>
      </c>
      <c r="N452" s="51">
        <v>265000</v>
      </c>
      <c r="O452" s="50" t="s">
        <v>2598</v>
      </c>
      <c r="P452" s="65" t="s">
        <v>2602</v>
      </c>
      <c r="Q452" s="46" t="s">
        <v>1612</v>
      </c>
      <c r="R452" s="47" t="s">
        <v>2601</v>
      </c>
      <c r="S452" s="47" t="s">
        <v>2690</v>
      </c>
      <c r="U452" s="46" t="s">
        <v>491</v>
      </c>
    </row>
    <row r="453" spans="1:21" ht="90" x14ac:dyDescent="0.25">
      <c r="A453" s="45">
        <v>42541</v>
      </c>
      <c r="B453" s="46" t="s">
        <v>328</v>
      </c>
      <c r="C453" s="45" t="s">
        <v>603</v>
      </c>
      <c r="D453" s="46" t="s">
        <v>1471</v>
      </c>
      <c r="E453" s="46" t="s">
        <v>588</v>
      </c>
      <c r="F453" s="47" t="s">
        <v>2594</v>
      </c>
      <c r="H453" s="47" t="s">
        <v>722</v>
      </c>
      <c r="I453" s="46" t="s">
        <v>2595</v>
      </c>
      <c r="M453" s="50">
        <v>265000</v>
      </c>
      <c r="N453" s="51">
        <v>296500</v>
      </c>
      <c r="O453" s="50" t="s">
        <v>2596</v>
      </c>
      <c r="P453" s="65" t="s">
        <v>2599</v>
      </c>
      <c r="Q453" s="46" t="s">
        <v>29</v>
      </c>
      <c r="R453" s="47" t="s">
        <v>2772</v>
      </c>
      <c r="U453" s="46" t="s">
        <v>491</v>
      </c>
    </row>
    <row r="454" spans="1:21" ht="90" x14ac:dyDescent="0.25">
      <c r="A454" s="45">
        <v>42541</v>
      </c>
      <c r="B454" s="46" t="s">
        <v>328</v>
      </c>
      <c r="C454" s="45" t="s">
        <v>603</v>
      </c>
      <c r="D454" s="46" t="s">
        <v>1471</v>
      </c>
      <c r="E454" s="46" t="s">
        <v>588</v>
      </c>
      <c r="F454" s="47" t="s">
        <v>2609</v>
      </c>
      <c r="H454" s="47" t="s">
        <v>607</v>
      </c>
      <c r="I454" s="46" t="s">
        <v>1969</v>
      </c>
      <c r="M454" s="50">
        <v>1125000</v>
      </c>
      <c r="N454" s="51">
        <v>2250500</v>
      </c>
      <c r="O454" s="50" t="s">
        <v>2596</v>
      </c>
      <c r="P454" s="65" t="s">
        <v>2610</v>
      </c>
      <c r="Q454" s="46" t="s">
        <v>1939</v>
      </c>
      <c r="R454" s="47" t="s">
        <v>2611</v>
      </c>
      <c r="U454" s="46" t="s">
        <v>491</v>
      </c>
    </row>
    <row r="455" spans="1:21" ht="75" x14ac:dyDescent="0.25">
      <c r="A455" s="45">
        <v>42542</v>
      </c>
      <c r="B455" s="46" t="s">
        <v>378</v>
      </c>
      <c r="C455" s="45" t="s">
        <v>623</v>
      </c>
      <c r="D455" s="46" t="s">
        <v>930</v>
      </c>
      <c r="E455" s="46" t="s">
        <v>821</v>
      </c>
      <c r="H455" s="48"/>
      <c r="O455" s="50" t="s">
        <v>2616</v>
      </c>
      <c r="P455" s="65" t="s">
        <v>2617</v>
      </c>
      <c r="Q455" s="46" t="s">
        <v>592</v>
      </c>
      <c r="U455" s="46" t="s">
        <v>491</v>
      </c>
    </row>
    <row r="456" spans="1:21" ht="30" x14ac:dyDescent="0.25">
      <c r="A456" s="45">
        <v>42542</v>
      </c>
      <c r="B456" s="46" t="s">
        <v>378</v>
      </c>
      <c r="C456" s="45" t="s">
        <v>610</v>
      </c>
      <c r="D456" s="46" t="s">
        <v>1027</v>
      </c>
      <c r="E456" s="46" t="s">
        <v>821</v>
      </c>
      <c r="H456" s="48"/>
      <c r="O456" s="50" t="s">
        <v>1272</v>
      </c>
      <c r="P456" s="65" t="s">
        <v>2618</v>
      </c>
      <c r="Q456" s="46" t="s">
        <v>592</v>
      </c>
      <c r="R456" s="47" t="s">
        <v>2619</v>
      </c>
      <c r="U456" s="46" t="s">
        <v>491</v>
      </c>
    </row>
    <row r="457" spans="1:21" ht="75" x14ac:dyDescent="0.25">
      <c r="A457" s="45">
        <v>42542</v>
      </c>
      <c r="B457" s="46" t="s">
        <v>643</v>
      </c>
      <c r="C457" s="45" t="s">
        <v>644</v>
      </c>
      <c r="D457" s="46" t="s">
        <v>645</v>
      </c>
      <c r="E457" s="46" t="s">
        <v>588</v>
      </c>
      <c r="F457" s="47" t="s">
        <v>2620</v>
      </c>
      <c r="H457" s="48" t="s">
        <v>905</v>
      </c>
      <c r="I457" s="46" t="s">
        <v>1468</v>
      </c>
      <c r="M457" s="50">
        <v>45000</v>
      </c>
      <c r="N457" s="51">
        <v>60000</v>
      </c>
      <c r="O457" s="50" t="s">
        <v>2621</v>
      </c>
      <c r="P457" s="65" t="s">
        <v>2622</v>
      </c>
      <c r="Q457" s="46" t="s">
        <v>29</v>
      </c>
      <c r="U457" s="46" t="s">
        <v>491</v>
      </c>
    </row>
    <row r="458" spans="1:21" ht="60" x14ac:dyDescent="0.25">
      <c r="A458" s="45">
        <v>42542</v>
      </c>
      <c r="B458" s="46" t="s">
        <v>378</v>
      </c>
      <c r="C458" s="45" t="s">
        <v>623</v>
      </c>
      <c r="D458" s="46" t="s">
        <v>625</v>
      </c>
      <c r="E458" s="46" t="s">
        <v>1707</v>
      </c>
      <c r="F458" s="47" t="s">
        <v>264</v>
      </c>
      <c r="H458" s="48" t="s">
        <v>809</v>
      </c>
      <c r="I458" s="46" t="s">
        <v>2623</v>
      </c>
      <c r="M458" s="50">
        <v>2800000</v>
      </c>
      <c r="N458" s="51">
        <v>3070320</v>
      </c>
      <c r="O458" s="50" t="s">
        <v>891</v>
      </c>
      <c r="P458" s="65" t="s">
        <v>2624</v>
      </c>
      <c r="Q458" s="46" t="s">
        <v>592</v>
      </c>
      <c r="U458" s="46" t="s">
        <v>491</v>
      </c>
    </row>
    <row r="459" spans="1:21" ht="105" x14ac:dyDescent="0.25">
      <c r="A459" s="45">
        <v>42542</v>
      </c>
      <c r="B459" s="46" t="s">
        <v>378</v>
      </c>
      <c r="C459" s="45" t="s">
        <v>610</v>
      </c>
      <c r="D459" s="46" t="s">
        <v>732</v>
      </c>
      <c r="E459" s="46" t="s">
        <v>1707</v>
      </c>
      <c r="H459" s="48" t="s">
        <v>607</v>
      </c>
      <c r="O459" s="50" t="s">
        <v>2625</v>
      </c>
      <c r="P459" s="65" t="s">
        <v>2626</v>
      </c>
      <c r="Q459" s="46" t="s">
        <v>592</v>
      </c>
      <c r="U459" s="46" t="s">
        <v>491</v>
      </c>
    </row>
    <row r="460" spans="1:21" ht="75" x14ac:dyDescent="0.25">
      <c r="A460" s="45">
        <v>42543</v>
      </c>
      <c r="B460" s="46" t="s">
        <v>320</v>
      </c>
      <c r="D460" s="46" t="s">
        <v>1229</v>
      </c>
      <c r="E460" s="46" t="s">
        <v>588</v>
      </c>
      <c r="F460" s="47" t="s">
        <v>2627</v>
      </c>
      <c r="H460" s="48" t="s">
        <v>905</v>
      </c>
      <c r="I460" s="46" t="s">
        <v>2628</v>
      </c>
      <c r="M460" s="50">
        <v>233166</v>
      </c>
      <c r="N460" s="51">
        <v>255155</v>
      </c>
      <c r="O460" s="50" t="s">
        <v>666</v>
      </c>
      <c r="P460" s="65" t="s">
        <v>2630</v>
      </c>
      <c r="Q460" s="46" t="s">
        <v>1939</v>
      </c>
      <c r="R460" s="47" t="s">
        <v>2629</v>
      </c>
      <c r="U460" s="46" t="s">
        <v>491</v>
      </c>
    </row>
    <row r="461" spans="1:21" ht="75" x14ac:dyDescent="0.25">
      <c r="A461" s="45">
        <v>42543</v>
      </c>
      <c r="B461" s="46" t="s">
        <v>378</v>
      </c>
      <c r="C461" s="45" t="s">
        <v>623</v>
      </c>
      <c r="D461" s="46" t="s">
        <v>625</v>
      </c>
      <c r="E461" s="46" t="s">
        <v>821</v>
      </c>
      <c r="F461" s="47" t="s">
        <v>2636</v>
      </c>
      <c r="H461" s="48" t="s">
        <v>886</v>
      </c>
      <c r="O461" s="50" t="s">
        <v>2295</v>
      </c>
      <c r="P461" s="65" t="s">
        <v>2637</v>
      </c>
      <c r="Q461" s="46" t="s">
        <v>1939</v>
      </c>
      <c r="R461" s="47" t="s">
        <v>2638</v>
      </c>
      <c r="U461" s="46" t="s">
        <v>491</v>
      </c>
    </row>
    <row r="462" spans="1:21" ht="75" x14ac:dyDescent="0.25">
      <c r="A462" s="45">
        <v>42543</v>
      </c>
      <c r="B462" s="46" t="s">
        <v>594</v>
      </c>
      <c r="C462" s="45" t="s">
        <v>1883</v>
      </c>
      <c r="D462" s="46" t="s">
        <v>727</v>
      </c>
      <c r="E462" s="46" t="s">
        <v>588</v>
      </c>
      <c r="F462" s="47" t="s">
        <v>2639</v>
      </c>
      <c r="H462" s="48" t="s">
        <v>607</v>
      </c>
      <c r="I462" s="46" t="s">
        <v>2640</v>
      </c>
      <c r="M462" s="50">
        <v>178000</v>
      </c>
      <c r="N462" s="51">
        <v>423800</v>
      </c>
      <c r="O462" s="50" t="s">
        <v>35</v>
      </c>
      <c r="P462" s="65" t="s">
        <v>2641</v>
      </c>
      <c r="Q462" s="46" t="s">
        <v>29</v>
      </c>
      <c r="R462" s="47" t="s">
        <v>2646</v>
      </c>
      <c r="U462" s="46" t="s">
        <v>491</v>
      </c>
    </row>
    <row r="463" spans="1:21" ht="135" x14ac:dyDescent="0.25">
      <c r="A463" s="45">
        <v>42543</v>
      </c>
      <c r="B463" s="46" t="s">
        <v>378</v>
      </c>
      <c r="C463" s="45" t="s">
        <v>610</v>
      </c>
      <c r="D463" s="46" t="s">
        <v>732</v>
      </c>
      <c r="E463" s="46" t="s">
        <v>588</v>
      </c>
      <c r="F463" s="47" t="s">
        <v>2642</v>
      </c>
      <c r="H463" s="48" t="s">
        <v>2074</v>
      </c>
      <c r="I463" s="46" t="s">
        <v>2643</v>
      </c>
      <c r="M463" s="50">
        <v>848000</v>
      </c>
      <c r="N463" s="51">
        <v>1067000</v>
      </c>
      <c r="O463" s="50" t="s">
        <v>1498</v>
      </c>
      <c r="P463" s="65" t="s">
        <v>2644</v>
      </c>
      <c r="Q463" s="46" t="s">
        <v>620</v>
      </c>
      <c r="R463" s="47" t="s">
        <v>2645</v>
      </c>
      <c r="U463" s="46" t="s">
        <v>491</v>
      </c>
    </row>
    <row r="464" spans="1:21" ht="45" x14ac:dyDescent="0.25">
      <c r="A464" s="45">
        <v>42541</v>
      </c>
      <c r="B464" s="46" t="s">
        <v>328</v>
      </c>
      <c r="C464" s="45" t="s">
        <v>603</v>
      </c>
      <c r="D464" s="46" t="s">
        <v>1471</v>
      </c>
      <c r="E464" s="46" t="s">
        <v>588</v>
      </c>
      <c r="F464" s="47" t="s">
        <v>2586</v>
      </c>
      <c r="H464" s="47" t="s">
        <v>722</v>
      </c>
      <c r="I464" s="46" t="s">
        <v>2587</v>
      </c>
      <c r="M464" s="50">
        <v>278000</v>
      </c>
      <c r="N464" s="51">
        <v>380800</v>
      </c>
      <c r="O464" s="50" t="s">
        <v>2588</v>
      </c>
      <c r="P464" s="65" t="s">
        <v>2589</v>
      </c>
      <c r="Q464" s="46" t="s">
        <v>29</v>
      </c>
      <c r="R464" s="47" t="s">
        <v>2590</v>
      </c>
      <c r="U464" s="46" t="s">
        <v>491</v>
      </c>
    </row>
    <row r="465" spans="1:21" ht="90" x14ac:dyDescent="0.25">
      <c r="A465" s="45">
        <v>42544</v>
      </c>
      <c r="B465" s="46" t="s">
        <v>594</v>
      </c>
      <c r="C465" s="45" t="s">
        <v>1883</v>
      </c>
      <c r="D465" s="46" t="s">
        <v>595</v>
      </c>
      <c r="E465" s="46" t="s">
        <v>821</v>
      </c>
      <c r="F465" s="47" t="s">
        <v>2647</v>
      </c>
      <c r="H465" s="48" t="s">
        <v>607</v>
      </c>
      <c r="O465" s="50" t="s">
        <v>1844</v>
      </c>
      <c r="P465" s="65" t="s">
        <v>2648</v>
      </c>
      <c r="Q465" s="46" t="s">
        <v>592</v>
      </c>
      <c r="U465" s="46" t="s">
        <v>491</v>
      </c>
    </row>
    <row r="466" spans="1:21" ht="75" x14ac:dyDescent="0.25">
      <c r="A466" s="45">
        <v>42544</v>
      </c>
      <c r="B466" s="46" t="s">
        <v>378</v>
      </c>
      <c r="C466" s="45" t="s">
        <v>623</v>
      </c>
      <c r="D466" s="46" t="s">
        <v>625</v>
      </c>
      <c r="E466" s="46" t="s">
        <v>588</v>
      </c>
      <c r="F466" s="47" t="s">
        <v>2649</v>
      </c>
      <c r="H466" s="48" t="s">
        <v>607</v>
      </c>
      <c r="I466" s="46" t="s">
        <v>789</v>
      </c>
      <c r="M466" s="50">
        <v>1060000</v>
      </c>
      <c r="N466" s="51">
        <v>1908000</v>
      </c>
      <c r="O466" s="50" t="s">
        <v>1931</v>
      </c>
      <c r="P466" s="65" t="s">
        <v>2650</v>
      </c>
      <c r="Q466" s="46" t="s">
        <v>620</v>
      </c>
      <c r="R466" s="47" t="s">
        <v>2653</v>
      </c>
      <c r="S466" s="46"/>
      <c r="T466" s="46"/>
      <c r="U466" s="46" t="s">
        <v>491</v>
      </c>
    </row>
    <row r="467" spans="1:21" ht="75" x14ac:dyDescent="0.25">
      <c r="A467" s="45">
        <v>42544</v>
      </c>
      <c r="B467" s="46" t="s">
        <v>378</v>
      </c>
      <c r="C467" s="45" t="s">
        <v>623</v>
      </c>
      <c r="D467" s="46" t="s">
        <v>625</v>
      </c>
      <c r="E467" s="46" t="s">
        <v>821</v>
      </c>
      <c r="H467" s="48"/>
      <c r="O467" s="50" t="s">
        <v>2651</v>
      </c>
      <c r="P467" s="65" t="s">
        <v>2652</v>
      </c>
      <c r="Q467" s="46" t="s">
        <v>592</v>
      </c>
      <c r="U467" s="46" t="s">
        <v>491</v>
      </c>
    </row>
    <row r="468" spans="1:21" ht="45" x14ac:dyDescent="0.25">
      <c r="A468" s="45">
        <v>42541</v>
      </c>
      <c r="B468" s="46" t="s">
        <v>328</v>
      </c>
      <c r="C468" s="45" t="s">
        <v>603</v>
      </c>
      <c r="D468" s="46" t="s">
        <v>1401</v>
      </c>
      <c r="E468" s="46" t="s">
        <v>588</v>
      </c>
      <c r="F468" s="47" t="s">
        <v>2591</v>
      </c>
      <c r="H468" s="47" t="s">
        <v>2592</v>
      </c>
      <c r="I468" s="46" t="s">
        <v>2593</v>
      </c>
      <c r="M468" s="50">
        <v>3000000</v>
      </c>
      <c r="N468" s="51">
        <v>3000000</v>
      </c>
      <c r="O468" s="50" t="s">
        <v>891</v>
      </c>
      <c r="P468" s="65" t="s">
        <v>2654</v>
      </c>
      <c r="Q468" s="46" t="s">
        <v>1612</v>
      </c>
      <c r="R468" s="47" t="s">
        <v>2655</v>
      </c>
      <c r="U468" s="46" t="s">
        <v>491</v>
      </c>
    </row>
    <row r="469" spans="1:21" ht="60" x14ac:dyDescent="0.25">
      <c r="A469" s="45">
        <v>42543</v>
      </c>
      <c r="B469" s="46" t="s">
        <v>328</v>
      </c>
      <c r="C469" s="45" t="s">
        <v>603</v>
      </c>
      <c r="D469" s="46" t="s">
        <v>1471</v>
      </c>
      <c r="E469" s="46" t="s">
        <v>588</v>
      </c>
      <c r="F469" s="47" t="s">
        <v>2631</v>
      </c>
      <c r="H469" s="47" t="s">
        <v>607</v>
      </c>
      <c r="I469" s="46" t="s">
        <v>2633</v>
      </c>
      <c r="M469" s="50">
        <v>1300000</v>
      </c>
      <c r="N469" s="51">
        <v>2500000</v>
      </c>
      <c r="O469" s="50" t="s">
        <v>2632</v>
      </c>
      <c r="P469" s="65" t="s">
        <v>2634</v>
      </c>
      <c r="Q469" s="46" t="s">
        <v>1939</v>
      </c>
      <c r="R469" s="47" t="s">
        <v>2635</v>
      </c>
      <c r="U469" s="46" t="s">
        <v>491</v>
      </c>
    </row>
    <row r="470" spans="1:21" ht="45" x14ac:dyDescent="0.25">
      <c r="A470" s="45">
        <v>42545</v>
      </c>
      <c r="B470" s="46" t="s">
        <v>328</v>
      </c>
      <c r="C470" s="45" t="s">
        <v>603</v>
      </c>
      <c r="D470" s="46" t="s">
        <v>1471</v>
      </c>
      <c r="E470" s="46" t="s">
        <v>588</v>
      </c>
      <c r="F470" s="47" t="s">
        <v>2665</v>
      </c>
      <c r="H470" s="47" t="s">
        <v>607</v>
      </c>
      <c r="I470" s="46" t="s">
        <v>2666</v>
      </c>
      <c r="M470" s="50">
        <v>200000</v>
      </c>
      <c r="N470" s="51">
        <v>410000</v>
      </c>
      <c r="O470" s="50" t="s">
        <v>2667</v>
      </c>
      <c r="P470" s="65" t="s">
        <v>2668</v>
      </c>
      <c r="Q470" s="46" t="s">
        <v>29</v>
      </c>
      <c r="U470" s="46" t="s">
        <v>491</v>
      </c>
    </row>
    <row r="471" spans="1:21" ht="120" x14ac:dyDescent="0.25">
      <c r="A471" s="45">
        <v>42545</v>
      </c>
      <c r="B471" s="46" t="s">
        <v>378</v>
      </c>
      <c r="C471" s="45" t="s">
        <v>610</v>
      </c>
      <c r="D471" s="46" t="s">
        <v>1027</v>
      </c>
      <c r="E471" s="46" t="s">
        <v>588</v>
      </c>
      <c r="F471" s="47" t="s">
        <v>2674</v>
      </c>
      <c r="H471" s="48" t="s">
        <v>886</v>
      </c>
      <c r="I471" s="46" t="s">
        <v>2675</v>
      </c>
      <c r="M471" s="50">
        <v>4500000</v>
      </c>
      <c r="N471" s="51">
        <v>4500000</v>
      </c>
      <c r="O471" s="50" t="s">
        <v>1498</v>
      </c>
      <c r="P471" s="65" t="s">
        <v>2676</v>
      </c>
      <c r="Q471" s="46" t="s">
        <v>1939</v>
      </c>
      <c r="R471" s="47" t="s">
        <v>2677</v>
      </c>
      <c r="U471" s="46" t="s">
        <v>491</v>
      </c>
    </row>
    <row r="472" spans="1:21" ht="60" x14ac:dyDescent="0.25">
      <c r="A472" s="45">
        <v>42545</v>
      </c>
      <c r="B472" s="46" t="s">
        <v>328</v>
      </c>
      <c r="C472" s="45" t="s">
        <v>603</v>
      </c>
      <c r="D472" s="46" t="s">
        <v>1471</v>
      </c>
      <c r="E472" s="46" t="s">
        <v>588</v>
      </c>
      <c r="F472" s="47" t="s">
        <v>2672</v>
      </c>
      <c r="H472" s="47" t="s">
        <v>905</v>
      </c>
      <c r="I472" s="46" t="s">
        <v>789</v>
      </c>
      <c r="M472" s="50">
        <v>2000000</v>
      </c>
      <c r="N472" s="51">
        <v>260000</v>
      </c>
      <c r="O472" s="50" t="s">
        <v>695</v>
      </c>
      <c r="P472" s="65" t="s">
        <v>2673</v>
      </c>
      <c r="Q472" s="46" t="s">
        <v>592</v>
      </c>
      <c r="U472" s="46" t="s">
        <v>491</v>
      </c>
    </row>
    <row r="473" spans="1:21" ht="60" x14ac:dyDescent="0.25">
      <c r="A473" s="45">
        <v>42548</v>
      </c>
      <c r="B473" s="46" t="s">
        <v>1788</v>
      </c>
      <c r="D473" s="46" t="s">
        <v>2678</v>
      </c>
      <c r="E473" s="46" t="s">
        <v>588</v>
      </c>
      <c r="F473" s="47" t="s">
        <v>2679</v>
      </c>
      <c r="H473" s="48" t="s">
        <v>607</v>
      </c>
      <c r="I473" s="46" t="s">
        <v>2681</v>
      </c>
      <c r="M473" s="50">
        <v>1000000</v>
      </c>
      <c r="N473" s="51">
        <v>1272000</v>
      </c>
      <c r="O473" s="50" t="s">
        <v>2680</v>
      </c>
      <c r="P473" s="65" t="s">
        <v>2682</v>
      </c>
      <c r="Q473" s="46" t="s">
        <v>29</v>
      </c>
      <c r="U473" s="46" t="s">
        <v>491</v>
      </c>
    </row>
    <row r="474" spans="1:21" ht="225" x14ac:dyDescent="0.25">
      <c r="A474" s="45">
        <v>42545</v>
      </c>
      <c r="B474" s="46" t="s">
        <v>328</v>
      </c>
      <c r="C474" s="45" t="s">
        <v>603</v>
      </c>
      <c r="D474" s="46" t="s">
        <v>672</v>
      </c>
      <c r="E474" s="46" t="s">
        <v>821</v>
      </c>
      <c r="F474" s="47" t="s">
        <v>2670</v>
      </c>
      <c r="H474" s="47" t="s">
        <v>2661</v>
      </c>
      <c r="I474" s="46" t="s">
        <v>603</v>
      </c>
      <c r="M474" s="50" t="s">
        <v>2664</v>
      </c>
      <c r="O474" s="50" t="s">
        <v>2662</v>
      </c>
      <c r="P474" s="65" t="s">
        <v>2663</v>
      </c>
      <c r="Q474" s="46" t="s">
        <v>620</v>
      </c>
      <c r="R474" s="47" t="s">
        <v>2671</v>
      </c>
      <c r="U474" s="46" t="s">
        <v>491</v>
      </c>
    </row>
    <row r="475" spans="1:21" ht="30" x14ac:dyDescent="0.25">
      <c r="A475" s="45">
        <v>42549</v>
      </c>
      <c r="B475" s="46" t="s">
        <v>378</v>
      </c>
      <c r="C475" s="45" t="s">
        <v>610</v>
      </c>
      <c r="D475" s="46" t="s">
        <v>1027</v>
      </c>
      <c r="E475" s="46" t="s">
        <v>588</v>
      </c>
      <c r="F475" s="47" t="s">
        <v>2686</v>
      </c>
      <c r="H475" s="48" t="s">
        <v>607</v>
      </c>
      <c r="I475" s="46" t="s">
        <v>2687</v>
      </c>
      <c r="M475" s="50">
        <v>4397092</v>
      </c>
      <c r="N475" s="51">
        <v>4897092</v>
      </c>
      <c r="O475" s="50" t="s">
        <v>891</v>
      </c>
      <c r="P475" s="65" t="s">
        <v>2689</v>
      </c>
      <c r="Q475" s="46" t="s">
        <v>620</v>
      </c>
      <c r="R475" s="47" t="s">
        <v>2688</v>
      </c>
      <c r="U475" s="46" t="s">
        <v>491</v>
      </c>
    </row>
    <row r="476" spans="1:21" ht="60" x14ac:dyDescent="0.25">
      <c r="A476" s="45">
        <v>42549</v>
      </c>
      <c r="B476" s="46" t="s">
        <v>378</v>
      </c>
      <c r="C476" s="45" t="s">
        <v>623</v>
      </c>
      <c r="D476" s="46" t="s">
        <v>625</v>
      </c>
      <c r="E476" s="46" t="s">
        <v>821</v>
      </c>
      <c r="H476" s="48" t="s">
        <v>1050</v>
      </c>
      <c r="O476" s="50" t="s">
        <v>2691</v>
      </c>
      <c r="P476" s="65" t="s">
        <v>2692</v>
      </c>
      <c r="Q476" s="46" t="s">
        <v>1939</v>
      </c>
      <c r="R476" s="47" t="s">
        <v>2693</v>
      </c>
      <c r="U476" s="46" t="s">
        <v>491</v>
      </c>
    </row>
    <row r="477" spans="1:21" ht="180" x14ac:dyDescent="0.25">
      <c r="A477" s="45">
        <v>42549</v>
      </c>
      <c r="B477" s="46" t="s">
        <v>378</v>
      </c>
      <c r="C477" s="45" t="s">
        <v>623</v>
      </c>
      <c r="D477" s="46" t="s">
        <v>625</v>
      </c>
      <c r="E477" s="46" t="s">
        <v>588</v>
      </c>
      <c r="F477" s="47" t="s">
        <v>2694</v>
      </c>
      <c r="H477" s="48" t="s">
        <v>1044</v>
      </c>
      <c r="I477" s="46" t="s">
        <v>2695</v>
      </c>
      <c r="M477" s="50">
        <v>1000000</v>
      </c>
      <c r="N477" s="51">
        <v>1500000</v>
      </c>
      <c r="O477" s="50" t="s">
        <v>764</v>
      </c>
      <c r="P477" s="65" t="s">
        <v>2696</v>
      </c>
      <c r="Q477" s="46" t="s">
        <v>29</v>
      </c>
      <c r="R477" s="47" t="s">
        <v>2697</v>
      </c>
      <c r="S477" s="47" t="s">
        <v>2751</v>
      </c>
      <c r="U477" s="46" t="s">
        <v>491</v>
      </c>
    </row>
    <row r="478" spans="1:21" ht="90" x14ac:dyDescent="0.25">
      <c r="A478" s="45">
        <v>42549</v>
      </c>
      <c r="B478" s="46" t="s">
        <v>378</v>
      </c>
      <c r="C478" s="45" t="s">
        <v>623</v>
      </c>
      <c r="D478" s="46" t="s">
        <v>625</v>
      </c>
      <c r="E478" s="46" t="s">
        <v>821</v>
      </c>
      <c r="H478" s="48" t="s">
        <v>905</v>
      </c>
      <c r="O478" s="50" t="s">
        <v>2698</v>
      </c>
      <c r="P478" s="65" t="s">
        <v>2699</v>
      </c>
      <c r="Q478" s="46" t="s">
        <v>1939</v>
      </c>
      <c r="U478" s="46" t="s">
        <v>491</v>
      </c>
    </row>
    <row r="479" spans="1:21" ht="75" x14ac:dyDescent="0.25">
      <c r="A479" s="45">
        <v>42549</v>
      </c>
      <c r="B479" s="46" t="s">
        <v>378</v>
      </c>
      <c r="C479" s="45" t="s">
        <v>610</v>
      </c>
      <c r="D479" s="46" t="s">
        <v>732</v>
      </c>
      <c r="E479" s="46" t="s">
        <v>588</v>
      </c>
      <c r="F479" s="47" t="s">
        <v>2700</v>
      </c>
      <c r="H479" s="48" t="s">
        <v>1391</v>
      </c>
      <c r="I479" s="46" t="s">
        <v>2701</v>
      </c>
      <c r="M479" s="50">
        <v>1238000</v>
      </c>
      <c r="N479" s="51">
        <v>1761800</v>
      </c>
      <c r="O479" s="50" t="s">
        <v>2632</v>
      </c>
      <c r="P479" s="65" t="s">
        <v>2702</v>
      </c>
      <c r="Q479" s="46" t="s">
        <v>1939</v>
      </c>
      <c r="R479" s="47" t="s">
        <v>2703</v>
      </c>
      <c r="U479" s="46" t="s">
        <v>491</v>
      </c>
    </row>
    <row r="480" spans="1:21" ht="75" x14ac:dyDescent="0.25">
      <c r="A480" s="45">
        <v>42550</v>
      </c>
      <c r="B480" s="46" t="s">
        <v>378</v>
      </c>
      <c r="C480" s="45" t="s">
        <v>610</v>
      </c>
      <c r="D480" s="46" t="s">
        <v>732</v>
      </c>
      <c r="E480" s="46" t="s">
        <v>692</v>
      </c>
      <c r="F480" s="47" t="s">
        <v>2704</v>
      </c>
      <c r="H480" s="48" t="s">
        <v>607</v>
      </c>
      <c r="O480" s="50" t="s">
        <v>2705</v>
      </c>
      <c r="P480" s="65" t="s">
        <v>2706</v>
      </c>
      <c r="Q480" s="46" t="s">
        <v>592</v>
      </c>
      <c r="U480" s="46" t="s">
        <v>491</v>
      </c>
    </row>
    <row r="481" spans="1:21" ht="120" x14ac:dyDescent="0.25">
      <c r="A481" s="45">
        <v>42550</v>
      </c>
      <c r="B481" s="46" t="s">
        <v>378</v>
      </c>
      <c r="C481" s="45" t="s">
        <v>623</v>
      </c>
      <c r="D481" s="46" t="s">
        <v>625</v>
      </c>
      <c r="E481" s="46" t="s">
        <v>588</v>
      </c>
      <c r="F481" s="47" t="s">
        <v>2707</v>
      </c>
      <c r="H481" s="48" t="s">
        <v>607</v>
      </c>
      <c r="I481" s="46" t="s">
        <v>2708</v>
      </c>
      <c r="M481" s="50">
        <v>902000</v>
      </c>
      <c r="N481" s="51">
        <v>1623600</v>
      </c>
      <c r="O481" s="50" t="s">
        <v>2032</v>
      </c>
      <c r="P481" s="65" t="s">
        <v>2709</v>
      </c>
      <c r="Q481" s="46" t="s">
        <v>620</v>
      </c>
      <c r="U481" s="46" t="s">
        <v>491</v>
      </c>
    </row>
    <row r="482" spans="1:21" ht="45" x14ac:dyDescent="0.25">
      <c r="A482" s="45">
        <v>42550</v>
      </c>
      <c r="B482" s="46" t="s">
        <v>643</v>
      </c>
      <c r="C482" s="45" t="s">
        <v>644</v>
      </c>
      <c r="D482" s="46" t="s">
        <v>645</v>
      </c>
      <c r="E482" s="46" t="s">
        <v>588</v>
      </c>
      <c r="F482" s="47" t="s">
        <v>2710</v>
      </c>
      <c r="H482" s="48" t="s">
        <v>2711</v>
      </c>
      <c r="I482" s="46" t="s">
        <v>2712</v>
      </c>
      <c r="O482" s="50" t="s">
        <v>2713</v>
      </c>
      <c r="P482" s="65" t="s">
        <v>2714</v>
      </c>
      <c r="Q482" s="46" t="s">
        <v>29</v>
      </c>
      <c r="U482" s="46" t="s">
        <v>491</v>
      </c>
    </row>
    <row r="483" spans="1:21" ht="135" x14ac:dyDescent="0.25">
      <c r="A483" s="45">
        <v>42550</v>
      </c>
      <c r="B483" s="46" t="s">
        <v>378</v>
      </c>
      <c r="C483" s="45" t="s">
        <v>623</v>
      </c>
      <c r="D483" s="46" t="s">
        <v>624</v>
      </c>
      <c r="E483" s="46" t="s">
        <v>588</v>
      </c>
      <c r="F483" s="47" t="s">
        <v>2715</v>
      </c>
      <c r="H483" s="48" t="s">
        <v>886</v>
      </c>
      <c r="I483" s="46" t="s">
        <v>2543</v>
      </c>
      <c r="M483" s="50">
        <v>4080000</v>
      </c>
      <c r="N483" s="51">
        <v>4080000</v>
      </c>
      <c r="O483" s="50" t="s">
        <v>2716</v>
      </c>
      <c r="P483" s="65" t="s">
        <v>2717</v>
      </c>
      <c r="Q483" s="46" t="s">
        <v>1612</v>
      </c>
      <c r="R483" s="47" t="s">
        <v>2718</v>
      </c>
      <c r="S483" s="47" t="s">
        <v>2847</v>
      </c>
      <c r="U483" s="46" t="s">
        <v>491</v>
      </c>
    </row>
    <row r="484" spans="1:21" ht="105" x14ac:dyDescent="0.25">
      <c r="A484" s="45">
        <v>42545</v>
      </c>
      <c r="B484" s="46" t="s">
        <v>328</v>
      </c>
      <c r="C484" s="45" t="s">
        <v>603</v>
      </c>
      <c r="D484" s="46" t="s">
        <v>1471</v>
      </c>
      <c r="E484" s="46" t="s">
        <v>588</v>
      </c>
      <c r="F484" s="47" t="s">
        <v>2656</v>
      </c>
      <c r="H484" s="47" t="s">
        <v>722</v>
      </c>
      <c r="I484" s="46" t="s">
        <v>2657</v>
      </c>
      <c r="M484" s="50">
        <v>1100000</v>
      </c>
      <c r="N484" s="51">
        <v>2145000</v>
      </c>
      <c r="O484" s="50" t="s">
        <v>2658</v>
      </c>
      <c r="P484" s="65" t="s">
        <v>2659</v>
      </c>
      <c r="Q484" s="46" t="s">
        <v>29</v>
      </c>
      <c r="R484" s="47" t="s">
        <v>2660</v>
      </c>
      <c r="S484" s="47" t="s">
        <v>2669</v>
      </c>
      <c r="U484" s="46" t="s">
        <v>491</v>
      </c>
    </row>
    <row r="485" spans="1:21" ht="90" x14ac:dyDescent="0.25">
      <c r="A485" s="45">
        <v>42551</v>
      </c>
      <c r="B485" s="46" t="s">
        <v>378</v>
      </c>
      <c r="C485" s="45" t="s">
        <v>623</v>
      </c>
      <c r="D485" s="46" t="s">
        <v>624</v>
      </c>
      <c r="E485" s="46" t="s">
        <v>588</v>
      </c>
      <c r="H485" s="48" t="s">
        <v>886</v>
      </c>
      <c r="O485" s="50" t="s">
        <v>2738</v>
      </c>
      <c r="P485" s="65" t="s">
        <v>2739</v>
      </c>
      <c r="Q485" s="46" t="s">
        <v>1939</v>
      </c>
      <c r="U485" s="46" t="s">
        <v>491</v>
      </c>
    </row>
    <row r="486" spans="1:21" ht="60" x14ac:dyDescent="0.25">
      <c r="A486" s="45">
        <v>42551</v>
      </c>
      <c r="B486" s="46" t="s">
        <v>378</v>
      </c>
      <c r="C486" s="45" t="s">
        <v>623</v>
      </c>
      <c r="D486" s="46" t="s">
        <v>625</v>
      </c>
      <c r="E486" s="46" t="s">
        <v>821</v>
      </c>
      <c r="H486" s="48"/>
      <c r="O486" s="50" t="s">
        <v>2741</v>
      </c>
      <c r="P486" s="65" t="s">
        <v>2742</v>
      </c>
      <c r="Q486" s="46" t="s">
        <v>1939</v>
      </c>
      <c r="R486" s="47" t="s">
        <v>2743</v>
      </c>
      <c r="U486" s="46" t="s">
        <v>491</v>
      </c>
    </row>
    <row r="487" spans="1:21" ht="90" x14ac:dyDescent="0.25">
      <c r="A487" s="45">
        <v>42551</v>
      </c>
      <c r="B487" s="46" t="s">
        <v>378</v>
      </c>
      <c r="C487" s="45" t="s">
        <v>623</v>
      </c>
      <c r="D487" s="46" t="s">
        <v>625</v>
      </c>
      <c r="E487" s="46" t="s">
        <v>821</v>
      </c>
      <c r="H487" s="48"/>
      <c r="I487" s="46" t="s">
        <v>2745</v>
      </c>
      <c r="M487" s="50">
        <v>2000000</v>
      </c>
      <c r="O487" s="50" t="s">
        <v>2744</v>
      </c>
      <c r="P487" s="65" t="s">
        <v>2746</v>
      </c>
      <c r="Q487" s="46" t="s">
        <v>620</v>
      </c>
      <c r="R487" s="47" t="s">
        <v>2747</v>
      </c>
      <c r="U487" s="46" t="s">
        <v>491</v>
      </c>
    </row>
    <row r="488" spans="1:21" ht="30" x14ac:dyDescent="0.25">
      <c r="A488" s="45">
        <v>42551</v>
      </c>
      <c r="B488" s="46" t="s">
        <v>250</v>
      </c>
      <c r="C488" s="45" t="s">
        <v>833</v>
      </c>
      <c r="D488" s="46" t="s">
        <v>1006</v>
      </c>
      <c r="E488" s="46" t="s">
        <v>821</v>
      </c>
      <c r="H488" s="48"/>
      <c r="I488" s="46" t="s">
        <v>2748</v>
      </c>
      <c r="O488" s="50" t="s">
        <v>2749</v>
      </c>
      <c r="P488" s="65" t="s">
        <v>2750</v>
      </c>
      <c r="Q488" s="46" t="s">
        <v>29</v>
      </c>
      <c r="U488" s="46" t="s">
        <v>491</v>
      </c>
    </row>
    <row r="489" spans="1:21" ht="75" x14ac:dyDescent="0.25">
      <c r="A489" s="45">
        <v>42548</v>
      </c>
      <c r="B489" s="46" t="s">
        <v>328</v>
      </c>
      <c r="D489" s="46" t="s">
        <v>1401</v>
      </c>
      <c r="E489" s="46" t="s">
        <v>588</v>
      </c>
      <c r="F489" s="47" t="s">
        <v>2683</v>
      </c>
      <c r="H489" s="47" t="s">
        <v>607</v>
      </c>
      <c r="I489" s="46" t="s">
        <v>2684</v>
      </c>
      <c r="M489" s="50">
        <v>300000</v>
      </c>
      <c r="N489" s="51">
        <v>520000</v>
      </c>
      <c r="O489" s="50" t="s">
        <v>2680</v>
      </c>
      <c r="P489" s="65" t="s">
        <v>2685</v>
      </c>
      <c r="Q489" s="46" t="s">
        <v>29</v>
      </c>
      <c r="U489" s="46" t="s">
        <v>491</v>
      </c>
    </row>
    <row r="490" spans="1:21" ht="150" x14ac:dyDescent="0.25">
      <c r="A490" s="45">
        <v>42551</v>
      </c>
      <c r="B490" s="46" t="s">
        <v>328</v>
      </c>
      <c r="C490" s="45" t="s">
        <v>603</v>
      </c>
      <c r="D490" s="46" t="s">
        <v>672</v>
      </c>
      <c r="E490" s="46" t="s">
        <v>588</v>
      </c>
      <c r="F490" s="47" t="s">
        <v>2734</v>
      </c>
      <c r="H490" s="47" t="s">
        <v>607</v>
      </c>
      <c r="I490" s="46" t="s">
        <v>2735</v>
      </c>
      <c r="O490" s="50" t="s">
        <v>2736</v>
      </c>
      <c r="P490" s="65" t="s">
        <v>2737</v>
      </c>
      <c r="Q490" s="46" t="s">
        <v>592</v>
      </c>
      <c r="U490" s="46" t="s">
        <v>491</v>
      </c>
    </row>
    <row r="491" spans="1:21" ht="210" x14ac:dyDescent="0.25">
      <c r="A491" s="45">
        <v>42551</v>
      </c>
      <c r="B491" s="46" t="s">
        <v>328</v>
      </c>
      <c r="C491" s="45" t="s">
        <v>603</v>
      </c>
      <c r="D491" s="46" t="s">
        <v>1471</v>
      </c>
      <c r="E491" s="46" t="s">
        <v>588</v>
      </c>
      <c r="F491" s="47" t="s">
        <v>2729</v>
      </c>
      <c r="H491" s="47" t="s">
        <v>607</v>
      </c>
      <c r="I491" s="46" t="s">
        <v>2730</v>
      </c>
      <c r="M491" s="50">
        <v>500000</v>
      </c>
      <c r="N491" s="51">
        <v>755000</v>
      </c>
      <c r="O491" s="50" t="s">
        <v>2731</v>
      </c>
      <c r="P491" s="65" t="s">
        <v>2733</v>
      </c>
      <c r="Q491" s="46" t="s">
        <v>620</v>
      </c>
      <c r="R491" s="47" t="s">
        <v>2732</v>
      </c>
      <c r="U491" s="46" t="s">
        <v>491</v>
      </c>
    </row>
    <row r="492" spans="1:21" ht="60" x14ac:dyDescent="0.25">
      <c r="A492" s="45">
        <v>42551</v>
      </c>
      <c r="B492" s="46" t="s">
        <v>328</v>
      </c>
      <c r="C492" s="45" t="s">
        <v>603</v>
      </c>
      <c r="D492" s="46" t="s">
        <v>1401</v>
      </c>
      <c r="E492" s="46" t="s">
        <v>588</v>
      </c>
      <c r="F492" s="47" t="s">
        <v>2719</v>
      </c>
      <c r="H492" s="47" t="s">
        <v>607</v>
      </c>
      <c r="I492" s="46" t="s">
        <v>2720</v>
      </c>
      <c r="M492" s="50">
        <v>900000</v>
      </c>
      <c r="N492" s="51">
        <v>1710000</v>
      </c>
      <c r="O492" s="50" t="s">
        <v>2726</v>
      </c>
      <c r="P492" s="65" t="s">
        <v>2721</v>
      </c>
      <c r="Q492" s="46" t="s">
        <v>1939</v>
      </c>
      <c r="R492" s="47" t="s">
        <v>2722</v>
      </c>
      <c r="U492" s="46" t="s">
        <v>491</v>
      </c>
    </row>
    <row r="493" spans="1:21" ht="75" x14ac:dyDescent="0.25">
      <c r="A493" s="45">
        <v>42557</v>
      </c>
      <c r="B493" s="46" t="s">
        <v>378</v>
      </c>
      <c r="C493" s="45" t="s">
        <v>610</v>
      </c>
      <c r="D493" s="46" t="s">
        <v>732</v>
      </c>
      <c r="E493" s="46" t="s">
        <v>588</v>
      </c>
      <c r="F493" s="47" t="s">
        <v>2752</v>
      </c>
      <c r="H493" s="48" t="s">
        <v>1044</v>
      </c>
      <c r="I493" s="46" t="s">
        <v>2439</v>
      </c>
      <c r="M493" s="50">
        <v>450000</v>
      </c>
      <c r="N493" s="51">
        <v>592000</v>
      </c>
      <c r="O493" s="50" t="s">
        <v>2753</v>
      </c>
      <c r="P493" s="65" t="s">
        <v>2755</v>
      </c>
      <c r="Q493" s="46" t="s">
        <v>1939</v>
      </c>
      <c r="R493" s="47" t="s">
        <v>2754</v>
      </c>
      <c r="U493" s="46" t="s">
        <v>491</v>
      </c>
    </row>
    <row r="494" spans="1:21" ht="105" x14ac:dyDescent="0.25">
      <c r="A494" s="45">
        <v>42557</v>
      </c>
      <c r="B494" s="46" t="s">
        <v>378</v>
      </c>
      <c r="C494" s="45" t="s">
        <v>623</v>
      </c>
      <c r="D494" s="46" t="s">
        <v>930</v>
      </c>
      <c r="E494" s="46" t="s">
        <v>588</v>
      </c>
      <c r="F494" s="47" t="s">
        <v>2761</v>
      </c>
      <c r="H494" s="48" t="s">
        <v>607</v>
      </c>
      <c r="I494" s="46" t="s">
        <v>2762</v>
      </c>
      <c r="M494" s="50">
        <v>2304000</v>
      </c>
      <c r="N494" s="51">
        <v>3674000</v>
      </c>
      <c r="O494" s="50" t="s">
        <v>2763</v>
      </c>
      <c r="P494" s="65" t="s">
        <v>2764</v>
      </c>
      <c r="Q494" s="46" t="s">
        <v>620</v>
      </c>
      <c r="R494" s="47" t="s">
        <v>2765</v>
      </c>
      <c r="S494" s="47" t="s">
        <v>2771</v>
      </c>
      <c r="U494" s="46" t="s">
        <v>491</v>
      </c>
    </row>
    <row r="495" spans="1:21" ht="45" x14ac:dyDescent="0.25">
      <c r="A495" s="45">
        <v>42551</v>
      </c>
      <c r="B495" s="46" t="s">
        <v>328</v>
      </c>
      <c r="C495" s="45" t="s">
        <v>603</v>
      </c>
      <c r="D495" s="46" t="s">
        <v>1401</v>
      </c>
      <c r="E495" s="46" t="s">
        <v>588</v>
      </c>
      <c r="F495" s="47" t="s">
        <v>2723</v>
      </c>
      <c r="H495" s="47" t="s">
        <v>607</v>
      </c>
      <c r="I495" s="46" t="s">
        <v>2724</v>
      </c>
      <c r="M495" s="50">
        <v>1100000</v>
      </c>
      <c r="N495" s="51">
        <v>1920000</v>
      </c>
      <c r="O495" s="50" t="s">
        <v>2725</v>
      </c>
      <c r="P495" s="65" t="s">
        <v>2727</v>
      </c>
      <c r="Q495" s="46" t="s">
        <v>1939</v>
      </c>
      <c r="R495" s="47" t="s">
        <v>2728</v>
      </c>
      <c r="U495" s="46" t="s">
        <v>491</v>
      </c>
    </row>
    <row r="496" spans="1:21" ht="105" x14ac:dyDescent="0.25">
      <c r="A496" s="45">
        <v>42557</v>
      </c>
      <c r="B496" s="46" t="s">
        <v>328</v>
      </c>
      <c r="C496" s="45" t="s">
        <v>1555</v>
      </c>
      <c r="D496" s="46" t="s">
        <v>1471</v>
      </c>
      <c r="E496" s="46" t="s">
        <v>588</v>
      </c>
      <c r="F496" s="47" t="s">
        <v>2766</v>
      </c>
      <c r="H496" s="47" t="s">
        <v>1391</v>
      </c>
      <c r="I496" s="46" t="s">
        <v>2767</v>
      </c>
      <c r="M496" s="50">
        <v>900000</v>
      </c>
      <c r="N496" s="51">
        <v>2250500</v>
      </c>
      <c r="O496" s="50" t="s">
        <v>2768</v>
      </c>
      <c r="P496" s="65" t="s">
        <v>2769</v>
      </c>
      <c r="Q496" s="46" t="s">
        <v>1939</v>
      </c>
      <c r="R496" s="47" t="s">
        <v>2770</v>
      </c>
      <c r="U496" s="46" t="s">
        <v>491</v>
      </c>
    </row>
    <row r="497" spans="1:21" ht="60" x14ac:dyDescent="0.25">
      <c r="A497" s="45">
        <v>42557</v>
      </c>
      <c r="B497" s="46" t="s">
        <v>328</v>
      </c>
      <c r="C497" s="45" t="s">
        <v>603</v>
      </c>
      <c r="D497" s="46" t="s">
        <v>1401</v>
      </c>
      <c r="E497" s="46" t="s">
        <v>588</v>
      </c>
      <c r="F497" s="47" t="s">
        <v>2756</v>
      </c>
      <c r="H497" s="47" t="s">
        <v>607</v>
      </c>
      <c r="I497" s="46" t="s">
        <v>2757</v>
      </c>
      <c r="M497" s="50">
        <v>450000</v>
      </c>
      <c r="N497" s="51">
        <v>810000</v>
      </c>
      <c r="O497" s="50" t="s">
        <v>2758</v>
      </c>
      <c r="P497" s="65" t="s">
        <v>2760</v>
      </c>
      <c r="Q497" s="46" t="s">
        <v>1939</v>
      </c>
      <c r="R497" s="47" t="s">
        <v>2759</v>
      </c>
      <c r="U497" s="46" t="s">
        <v>491</v>
      </c>
    </row>
    <row r="498" spans="1:21" ht="45" x14ac:dyDescent="0.25">
      <c r="A498" s="45">
        <v>42558</v>
      </c>
      <c r="B498" s="46" t="s">
        <v>328</v>
      </c>
      <c r="C498" s="45" t="s">
        <v>603</v>
      </c>
      <c r="D498" s="46" t="s">
        <v>1471</v>
      </c>
      <c r="E498" s="46" t="s">
        <v>821</v>
      </c>
      <c r="F498" s="47" t="s">
        <v>2794</v>
      </c>
      <c r="H498" s="47" t="s">
        <v>2795</v>
      </c>
      <c r="M498" s="50">
        <v>40000</v>
      </c>
      <c r="N498" s="51">
        <v>90000</v>
      </c>
      <c r="O498" s="50" t="s">
        <v>2796</v>
      </c>
      <c r="P498" s="65" t="s">
        <v>2797</v>
      </c>
      <c r="Q498" s="46" t="s">
        <v>592</v>
      </c>
      <c r="R498" s="47" t="s">
        <v>2798</v>
      </c>
      <c r="U498" s="46" t="s">
        <v>491</v>
      </c>
    </row>
    <row r="499" spans="1:21" ht="120" x14ac:dyDescent="0.25">
      <c r="A499" s="45">
        <v>42558</v>
      </c>
      <c r="B499" s="46" t="s">
        <v>328</v>
      </c>
      <c r="C499" s="45" t="s">
        <v>603</v>
      </c>
      <c r="D499" s="46" t="s">
        <v>1471</v>
      </c>
      <c r="E499" s="46" t="s">
        <v>588</v>
      </c>
      <c r="F499" s="47" t="s">
        <v>2791</v>
      </c>
      <c r="H499" s="47" t="s">
        <v>607</v>
      </c>
      <c r="I499" s="46" t="s">
        <v>2792</v>
      </c>
      <c r="M499" s="50">
        <v>732000</v>
      </c>
      <c r="N499" s="51">
        <v>1317600</v>
      </c>
      <c r="O499" s="50" t="s">
        <v>2793</v>
      </c>
      <c r="P499" s="65" t="s">
        <v>2790</v>
      </c>
      <c r="Q499" s="46" t="s">
        <v>620</v>
      </c>
      <c r="U499" s="46" t="s">
        <v>491</v>
      </c>
    </row>
    <row r="500" spans="1:21" ht="75" x14ac:dyDescent="0.25">
      <c r="A500" s="45">
        <v>42558</v>
      </c>
      <c r="B500" s="46" t="s">
        <v>378</v>
      </c>
      <c r="C500" s="45" t="s">
        <v>623</v>
      </c>
      <c r="D500" s="46" t="s">
        <v>625</v>
      </c>
      <c r="E500" s="46" t="s">
        <v>821</v>
      </c>
      <c r="H500" s="48" t="s">
        <v>1890</v>
      </c>
      <c r="I500" s="46" t="s">
        <v>2786</v>
      </c>
      <c r="O500" s="50" t="s">
        <v>2784</v>
      </c>
      <c r="P500" s="65" t="s">
        <v>2785</v>
      </c>
      <c r="Q500" s="46" t="s">
        <v>592</v>
      </c>
      <c r="U500" s="46" t="s">
        <v>491</v>
      </c>
    </row>
    <row r="501" spans="1:21" ht="150" x14ac:dyDescent="0.25">
      <c r="A501" s="45">
        <v>42558</v>
      </c>
      <c r="B501" s="46" t="s">
        <v>378</v>
      </c>
      <c r="C501" s="45" t="s">
        <v>623</v>
      </c>
      <c r="D501" s="46" t="s">
        <v>625</v>
      </c>
      <c r="E501" s="46" t="s">
        <v>821</v>
      </c>
      <c r="H501" s="48" t="s">
        <v>905</v>
      </c>
      <c r="I501" s="46" t="s">
        <v>2786</v>
      </c>
      <c r="N501" s="51">
        <v>2000000</v>
      </c>
      <c r="O501" s="50" t="s">
        <v>2787</v>
      </c>
      <c r="P501" s="65" t="s">
        <v>2788</v>
      </c>
      <c r="Q501" s="46" t="s">
        <v>1939</v>
      </c>
      <c r="R501" s="86" t="s">
        <v>2789</v>
      </c>
      <c r="S501" s="47" t="s">
        <v>2866</v>
      </c>
      <c r="U501" s="46" t="s">
        <v>491</v>
      </c>
    </row>
    <row r="502" spans="1:21" ht="60" x14ac:dyDescent="0.25">
      <c r="A502" s="45">
        <v>42558</v>
      </c>
      <c r="B502" s="46" t="s">
        <v>594</v>
      </c>
      <c r="C502" s="45" t="s">
        <v>1363</v>
      </c>
      <c r="D502" s="46" t="s">
        <v>1495</v>
      </c>
      <c r="E502" s="46" t="s">
        <v>588</v>
      </c>
      <c r="F502" s="47" t="s">
        <v>2802</v>
      </c>
      <c r="H502" s="48" t="s">
        <v>607</v>
      </c>
      <c r="I502" s="46" t="s">
        <v>2803</v>
      </c>
      <c r="M502" s="50">
        <v>1200000</v>
      </c>
      <c r="N502" s="51">
        <v>1260000</v>
      </c>
      <c r="O502" s="50" t="s">
        <v>49</v>
      </c>
      <c r="P502" s="65" t="s">
        <v>2804</v>
      </c>
      <c r="Q502" s="46" t="s">
        <v>1939</v>
      </c>
      <c r="R502" s="47" t="s">
        <v>2805</v>
      </c>
      <c r="U502" s="46" t="s">
        <v>491</v>
      </c>
    </row>
    <row r="503" spans="1:21" ht="197.25" customHeight="1" x14ac:dyDescent="0.25">
      <c r="A503" s="45">
        <v>42558</v>
      </c>
      <c r="B503" s="46" t="s">
        <v>328</v>
      </c>
      <c r="C503" s="45" t="s">
        <v>603</v>
      </c>
      <c r="D503" s="46" t="s">
        <v>649</v>
      </c>
      <c r="E503" s="46" t="s">
        <v>821</v>
      </c>
      <c r="O503" s="50" t="s">
        <v>2799</v>
      </c>
      <c r="P503" s="65" t="s">
        <v>2800</v>
      </c>
      <c r="Q503" s="46" t="s">
        <v>1939</v>
      </c>
      <c r="R503" s="47" t="s">
        <v>2801</v>
      </c>
      <c r="U503" s="46" t="s">
        <v>491</v>
      </c>
    </row>
    <row r="504" spans="1:21" ht="120" x14ac:dyDescent="0.25">
      <c r="A504" s="45">
        <v>42558</v>
      </c>
      <c r="B504" s="46" t="s">
        <v>328</v>
      </c>
      <c r="C504" s="45" t="s">
        <v>603</v>
      </c>
      <c r="D504" s="46" t="s">
        <v>1401</v>
      </c>
      <c r="E504" s="46" t="s">
        <v>588</v>
      </c>
      <c r="F504" s="47" t="s">
        <v>2779</v>
      </c>
      <c r="H504" s="47" t="s">
        <v>1391</v>
      </c>
      <c r="I504" s="46" t="s">
        <v>2780</v>
      </c>
      <c r="N504" s="51">
        <v>1350000</v>
      </c>
      <c r="O504" s="50" t="s">
        <v>1651</v>
      </c>
      <c r="P504" s="65" t="s">
        <v>2781</v>
      </c>
      <c r="Q504" s="46" t="s">
        <v>29</v>
      </c>
      <c r="U504" s="46" t="s">
        <v>491</v>
      </c>
    </row>
    <row r="505" spans="1:21" ht="30" x14ac:dyDescent="0.25">
      <c r="A505" s="45">
        <v>42559</v>
      </c>
      <c r="B505" s="46" t="s">
        <v>378</v>
      </c>
      <c r="C505" s="45" t="s">
        <v>623</v>
      </c>
      <c r="D505" s="46" t="s">
        <v>624</v>
      </c>
      <c r="E505" s="46" t="s">
        <v>588</v>
      </c>
      <c r="F505" s="47" t="s">
        <v>2821</v>
      </c>
      <c r="H505" s="48" t="s">
        <v>886</v>
      </c>
      <c r="I505" s="46" t="s">
        <v>2745</v>
      </c>
      <c r="N505" s="51">
        <v>1470000</v>
      </c>
      <c r="O505" s="50" t="s">
        <v>2822</v>
      </c>
      <c r="P505" s="65" t="s">
        <v>2823</v>
      </c>
      <c r="Q505" s="46" t="s">
        <v>29</v>
      </c>
      <c r="R505" s="47" t="s">
        <v>2824</v>
      </c>
      <c r="U505" s="46" t="s">
        <v>491</v>
      </c>
    </row>
    <row r="506" spans="1:21" ht="276.75" x14ac:dyDescent="0.25">
      <c r="A506" s="45">
        <v>42559</v>
      </c>
      <c r="B506" s="46" t="s">
        <v>643</v>
      </c>
      <c r="C506" s="45" t="s">
        <v>644</v>
      </c>
      <c r="D506" s="46" t="s">
        <v>645</v>
      </c>
      <c r="E506" s="46" t="s">
        <v>588</v>
      </c>
      <c r="F506" s="47" t="s">
        <v>2825</v>
      </c>
      <c r="H506" s="48" t="s">
        <v>1890</v>
      </c>
      <c r="I506" s="46" t="s">
        <v>2827</v>
      </c>
      <c r="M506" s="50">
        <v>540000</v>
      </c>
      <c r="N506" s="51">
        <v>590000</v>
      </c>
      <c r="O506" s="50" t="s">
        <v>2826</v>
      </c>
      <c r="P506" s="65" t="s">
        <v>2828</v>
      </c>
      <c r="Q506" s="46" t="s">
        <v>29</v>
      </c>
      <c r="R506" s="86" t="s">
        <v>2867</v>
      </c>
      <c r="U506" s="46" t="s">
        <v>491</v>
      </c>
    </row>
    <row r="507" spans="1:21" ht="75" x14ac:dyDescent="0.25">
      <c r="A507" s="45">
        <v>42558</v>
      </c>
      <c r="B507" s="46" t="s">
        <v>328</v>
      </c>
      <c r="C507" s="45" t="s">
        <v>603</v>
      </c>
      <c r="D507" s="46" t="s">
        <v>1471</v>
      </c>
      <c r="E507" s="46" t="s">
        <v>588</v>
      </c>
      <c r="F507" s="47" t="s">
        <v>2773</v>
      </c>
      <c r="H507" s="47" t="s">
        <v>809</v>
      </c>
      <c r="I507" s="46" t="s">
        <v>2774</v>
      </c>
      <c r="M507" s="50">
        <v>229130</v>
      </c>
      <c r="N507" s="51">
        <v>435347</v>
      </c>
      <c r="O507" s="50" t="s">
        <v>2775</v>
      </c>
      <c r="P507" s="65" t="s">
        <v>2776</v>
      </c>
      <c r="Q507" s="46" t="s">
        <v>1939</v>
      </c>
      <c r="R507" s="47" t="s">
        <v>2777</v>
      </c>
      <c r="U507" s="46" t="s">
        <v>491</v>
      </c>
    </row>
    <row r="508" spans="1:21" ht="308.25" customHeight="1" x14ac:dyDescent="0.25">
      <c r="A508" s="45">
        <v>42559</v>
      </c>
      <c r="B508" s="46" t="s">
        <v>328</v>
      </c>
      <c r="C508" s="45" t="s">
        <v>603</v>
      </c>
      <c r="D508" s="46" t="s">
        <v>1471</v>
      </c>
      <c r="E508" s="46" t="s">
        <v>588</v>
      </c>
      <c r="F508" s="47" t="s">
        <v>2815</v>
      </c>
      <c r="H508" s="47" t="s">
        <v>607</v>
      </c>
      <c r="I508" s="46" t="s">
        <v>1366</v>
      </c>
      <c r="M508" s="50">
        <v>355000</v>
      </c>
      <c r="O508" s="50" t="s">
        <v>2816</v>
      </c>
      <c r="P508" s="65" t="s">
        <v>2817</v>
      </c>
      <c r="Q508" s="46" t="s">
        <v>29</v>
      </c>
      <c r="R508" s="47" t="s">
        <v>2818</v>
      </c>
      <c r="U508" s="46" t="s">
        <v>491</v>
      </c>
    </row>
    <row r="509" spans="1:21" ht="60" x14ac:dyDescent="0.25">
      <c r="A509" s="45">
        <v>42559</v>
      </c>
      <c r="B509" s="46" t="s">
        <v>328</v>
      </c>
      <c r="C509" s="45" t="s">
        <v>603</v>
      </c>
      <c r="D509" s="46" t="s">
        <v>1401</v>
      </c>
      <c r="E509" s="46" t="s">
        <v>588</v>
      </c>
      <c r="F509" s="47" t="s">
        <v>2812</v>
      </c>
      <c r="H509" s="47" t="s">
        <v>607</v>
      </c>
      <c r="I509" s="46" t="s">
        <v>2811</v>
      </c>
      <c r="M509" s="50">
        <v>295000</v>
      </c>
      <c r="N509" s="51">
        <v>501500</v>
      </c>
      <c r="O509" s="50" t="s">
        <v>2810</v>
      </c>
      <c r="P509" s="65" t="s">
        <v>2813</v>
      </c>
      <c r="Q509" s="46" t="s">
        <v>29</v>
      </c>
      <c r="R509" s="47" t="s">
        <v>2814</v>
      </c>
      <c r="U509" s="46" t="s">
        <v>491</v>
      </c>
    </row>
    <row r="510" spans="1:21" ht="60" x14ac:dyDescent="0.25">
      <c r="A510" s="45">
        <v>42559</v>
      </c>
      <c r="B510" s="46" t="s">
        <v>328</v>
      </c>
      <c r="C510" s="45" t="s">
        <v>603</v>
      </c>
      <c r="D510" s="46" t="s">
        <v>1401</v>
      </c>
      <c r="E510" s="46" t="s">
        <v>821</v>
      </c>
      <c r="H510" s="47" t="s">
        <v>607</v>
      </c>
      <c r="I510" s="46" t="s">
        <v>2811</v>
      </c>
      <c r="O510" s="50" t="s">
        <v>2819</v>
      </c>
      <c r="P510" s="65" t="s">
        <v>2820</v>
      </c>
      <c r="Q510" s="46" t="s">
        <v>29</v>
      </c>
      <c r="U510" s="46" t="s">
        <v>491</v>
      </c>
    </row>
    <row r="511" spans="1:21" ht="75" x14ac:dyDescent="0.25">
      <c r="A511" s="45">
        <v>42562</v>
      </c>
      <c r="B511" s="46" t="s">
        <v>378</v>
      </c>
      <c r="C511" s="45" t="s">
        <v>623</v>
      </c>
      <c r="D511" s="46" t="s">
        <v>625</v>
      </c>
      <c r="E511" s="46" t="s">
        <v>588</v>
      </c>
      <c r="F511" s="47" t="s">
        <v>2829</v>
      </c>
      <c r="H511" s="48" t="s">
        <v>722</v>
      </c>
      <c r="I511" s="46" t="s">
        <v>2830</v>
      </c>
      <c r="M511" s="50">
        <v>730000</v>
      </c>
      <c r="N511" s="51">
        <v>1241000</v>
      </c>
      <c r="O511" s="50" t="s">
        <v>2831</v>
      </c>
      <c r="P511" s="65" t="s">
        <v>2832</v>
      </c>
      <c r="Q511" s="46" t="s">
        <v>1612</v>
      </c>
      <c r="R511" s="47" t="s">
        <v>2833</v>
      </c>
      <c r="S511" s="47" t="s">
        <v>2834</v>
      </c>
      <c r="U511" s="46" t="s">
        <v>491</v>
      </c>
    </row>
    <row r="512" spans="1:21" ht="75" x14ac:dyDescent="0.25">
      <c r="A512" s="45">
        <v>42562</v>
      </c>
      <c r="B512" s="46" t="s">
        <v>277</v>
      </c>
      <c r="D512" s="46" t="s">
        <v>2836</v>
      </c>
      <c r="E512" s="46" t="s">
        <v>821</v>
      </c>
      <c r="H512" s="48"/>
      <c r="O512" s="50" t="s">
        <v>2837</v>
      </c>
      <c r="P512" s="65" t="s">
        <v>2838</v>
      </c>
      <c r="Q512" s="46" t="s">
        <v>1939</v>
      </c>
      <c r="R512" s="47" t="s">
        <v>2839</v>
      </c>
      <c r="U512" s="46" t="s">
        <v>491</v>
      </c>
    </row>
    <row r="513" spans="1:21" ht="229.5" x14ac:dyDescent="0.25">
      <c r="A513" s="45">
        <v>42562</v>
      </c>
      <c r="B513" s="46" t="s">
        <v>643</v>
      </c>
      <c r="C513" s="45" t="s">
        <v>644</v>
      </c>
      <c r="D513" s="46" t="s">
        <v>645</v>
      </c>
      <c r="E513" s="46" t="s">
        <v>588</v>
      </c>
      <c r="F513" s="47" t="s">
        <v>2841</v>
      </c>
      <c r="H513" s="48" t="s">
        <v>2842</v>
      </c>
      <c r="I513" s="46" t="s">
        <v>2843</v>
      </c>
      <c r="M513" s="50">
        <v>2641400</v>
      </c>
      <c r="N513" s="51">
        <v>3626400</v>
      </c>
      <c r="O513" s="50" t="s">
        <v>1474</v>
      </c>
      <c r="P513" s="65" t="s">
        <v>2852</v>
      </c>
      <c r="Q513" s="46" t="s">
        <v>29</v>
      </c>
      <c r="R513" s="47" t="s">
        <v>2844</v>
      </c>
      <c r="S513" s="47" t="s">
        <v>2853</v>
      </c>
      <c r="U513" s="46" t="s">
        <v>491</v>
      </c>
    </row>
    <row r="514" spans="1:21" ht="166.5" x14ac:dyDescent="0.25">
      <c r="A514" s="45">
        <v>42559</v>
      </c>
      <c r="B514" s="46" t="s">
        <v>328</v>
      </c>
      <c r="C514" s="45" t="s">
        <v>603</v>
      </c>
      <c r="D514" s="46" t="s">
        <v>1401</v>
      </c>
      <c r="E514" s="46" t="s">
        <v>588</v>
      </c>
      <c r="F514" s="47" t="s">
        <v>2807</v>
      </c>
      <c r="H514" s="47" t="s">
        <v>651</v>
      </c>
      <c r="I514" s="46" t="s">
        <v>2806</v>
      </c>
      <c r="M514" s="50">
        <v>1150000</v>
      </c>
      <c r="N514" s="51">
        <v>1505000</v>
      </c>
      <c r="O514" s="50" t="s">
        <v>1925</v>
      </c>
      <c r="P514" s="65" t="s">
        <v>2808</v>
      </c>
      <c r="Q514" s="46" t="s">
        <v>620</v>
      </c>
      <c r="R514" s="88" t="s">
        <v>2809</v>
      </c>
      <c r="S514" s="47" t="s">
        <v>2857</v>
      </c>
      <c r="U514" s="46" t="s">
        <v>491</v>
      </c>
    </row>
    <row r="515" spans="1:21" ht="45" x14ac:dyDescent="0.25">
      <c r="A515" s="45">
        <v>42563</v>
      </c>
      <c r="B515" s="46" t="s">
        <v>643</v>
      </c>
      <c r="C515" s="45" t="s">
        <v>644</v>
      </c>
      <c r="D515" s="46" t="s">
        <v>645</v>
      </c>
      <c r="E515" s="46" t="s">
        <v>588</v>
      </c>
      <c r="F515" s="47" t="s">
        <v>2848</v>
      </c>
      <c r="H515" s="48" t="s">
        <v>607</v>
      </c>
      <c r="I515" s="46" t="s">
        <v>1180</v>
      </c>
      <c r="M515" s="50">
        <v>240993</v>
      </c>
      <c r="N515" s="51">
        <v>240993</v>
      </c>
      <c r="O515" s="50" t="s">
        <v>2849</v>
      </c>
      <c r="P515" s="65" t="s">
        <v>2850</v>
      </c>
      <c r="Q515" s="46" t="s">
        <v>1612</v>
      </c>
      <c r="R515" s="47" t="s">
        <v>2851</v>
      </c>
      <c r="S515" s="47" t="s">
        <v>2865</v>
      </c>
      <c r="U515" s="46" t="s">
        <v>491</v>
      </c>
    </row>
    <row r="516" spans="1:21" ht="45" x14ac:dyDescent="0.25">
      <c r="A516" s="45">
        <v>42562</v>
      </c>
      <c r="B516" s="46" t="s">
        <v>328</v>
      </c>
      <c r="C516" s="45" t="s">
        <v>603</v>
      </c>
      <c r="D516" s="46" t="s">
        <v>1471</v>
      </c>
      <c r="E516" s="46" t="s">
        <v>588</v>
      </c>
      <c r="F516" s="47" t="s">
        <v>2840</v>
      </c>
      <c r="H516" s="47" t="s">
        <v>809</v>
      </c>
      <c r="I516" s="46" t="s">
        <v>2502</v>
      </c>
      <c r="M516" s="50">
        <v>50000</v>
      </c>
      <c r="N516" s="51">
        <v>175000</v>
      </c>
      <c r="O516" s="50" t="s">
        <v>2503</v>
      </c>
      <c r="P516" s="65" t="s">
        <v>2835</v>
      </c>
      <c r="Q516" s="46" t="s">
        <v>1939</v>
      </c>
      <c r="R516" s="47" t="s">
        <v>3214</v>
      </c>
      <c r="S516" s="47" t="s">
        <v>3215</v>
      </c>
      <c r="U516" s="46" t="s">
        <v>491</v>
      </c>
    </row>
    <row r="517" spans="1:21" ht="30" x14ac:dyDescent="0.25">
      <c r="A517" s="45">
        <v>42562</v>
      </c>
      <c r="B517" s="46" t="s">
        <v>328</v>
      </c>
      <c r="C517" s="45" t="s">
        <v>603</v>
      </c>
      <c r="D517" s="46" t="s">
        <v>1471</v>
      </c>
      <c r="E517" s="46" t="s">
        <v>588</v>
      </c>
      <c r="F517" s="47" t="s">
        <v>2845</v>
      </c>
      <c r="H517" s="47" t="s">
        <v>607</v>
      </c>
      <c r="I517" s="46" t="s">
        <v>917</v>
      </c>
      <c r="M517" s="50">
        <v>975000</v>
      </c>
      <c r="N517" s="51">
        <v>2098750</v>
      </c>
      <c r="O517" s="50" t="s">
        <v>1474</v>
      </c>
      <c r="P517" s="65" t="s">
        <v>2846</v>
      </c>
      <c r="Q517" s="46" t="s">
        <v>592</v>
      </c>
      <c r="U517" s="46" t="s">
        <v>491</v>
      </c>
    </row>
    <row r="518" spans="1:21" ht="105" x14ac:dyDescent="0.25">
      <c r="A518" s="45">
        <v>42563</v>
      </c>
      <c r="B518" s="46" t="s">
        <v>328</v>
      </c>
      <c r="C518" s="45" t="s">
        <v>603</v>
      </c>
      <c r="D518" s="46" t="s">
        <v>1401</v>
      </c>
      <c r="E518" s="46" t="s">
        <v>588</v>
      </c>
      <c r="F518" s="47" t="s">
        <v>2854</v>
      </c>
      <c r="H518" s="47" t="s">
        <v>607</v>
      </c>
      <c r="I518" s="46" t="s">
        <v>2855</v>
      </c>
      <c r="M518" s="50">
        <v>1680000</v>
      </c>
      <c r="N518" s="51">
        <v>3360000</v>
      </c>
      <c r="O518" s="50" t="s">
        <v>891</v>
      </c>
      <c r="P518" s="65" t="s">
        <v>2856</v>
      </c>
      <c r="Q518" s="46" t="s">
        <v>592</v>
      </c>
      <c r="U518" s="46" t="s">
        <v>491</v>
      </c>
    </row>
    <row r="519" spans="1:21" ht="90" x14ac:dyDescent="0.25">
      <c r="A519" s="45">
        <v>42563</v>
      </c>
      <c r="B519" s="46" t="s">
        <v>328</v>
      </c>
      <c r="C519" s="45" t="s">
        <v>603</v>
      </c>
      <c r="D519" s="46" t="s">
        <v>1471</v>
      </c>
      <c r="E519" s="46" t="s">
        <v>588</v>
      </c>
      <c r="F519" s="47" t="s">
        <v>2863</v>
      </c>
      <c r="H519" s="47" t="s">
        <v>607</v>
      </c>
      <c r="I519" s="46" t="s">
        <v>628</v>
      </c>
      <c r="M519" s="50">
        <v>1935246</v>
      </c>
      <c r="N519" s="51">
        <v>3296364</v>
      </c>
      <c r="O519" s="50" t="s">
        <v>891</v>
      </c>
      <c r="P519" s="65" t="s">
        <v>2864</v>
      </c>
      <c r="Q519" s="46" t="s">
        <v>592</v>
      </c>
      <c r="U519" s="46" t="s">
        <v>491</v>
      </c>
    </row>
    <row r="520" spans="1:21" ht="75" x14ac:dyDescent="0.25">
      <c r="A520" s="45">
        <v>42563</v>
      </c>
      <c r="B520" s="46" t="s">
        <v>328</v>
      </c>
      <c r="C520" s="45" t="s">
        <v>603</v>
      </c>
      <c r="D520" s="46" t="s">
        <v>1471</v>
      </c>
      <c r="E520" s="46" t="s">
        <v>588</v>
      </c>
      <c r="F520" s="47" t="s">
        <v>2858</v>
      </c>
      <c r="H520" s="47" t="s">
        <v>607</v>
      </c>
      <c r="I520" s="46" t="s">
        <v>2859</v>
      </c>
      <c r="M520" s="50">
        <v>1443000</v>
      </c>
      <c r="N520" s="51">
        <v>2958150</v>
      </c>
      <c r="O520" s="50" t="s">
        <v>2860</v>
      </c>
      <c r="P520" s="65" t="s">
        <v>2862</v>
      </c>
      <c r="Q520" s="46" t="s">
        <v>1939</v>
      </c>
      <c r="R520" s="47" t="s">
        <v>2861</v>
      </c>
      <c r="U520" s="46" t="s">
        <v>491</v>
      </c>
    </row>
    <row r="521" spans="1:21" ht="90" x14ac:dyDescent="0.25">
      <c r="A521" s="45">
        <v>42564</v>
      </c>
      <c r="B521" s="46" t="s">
        <v>378</v>
      </c>
      <c r="C521" s="45" t="s">
        <v>610</v>
      </c>
      <c r="D521" s="46" t="s">
        <v>732</v>
      </c>
      <c r="E521" s="46" t="s">
        <v>588</v>
      </c>
      <c r="F521" s="47" t="s">
        <v>2876</v>
      </c>
      <c r="H521" s="48" t="s">
        <v>722</v>
      </c>
      <c r="I521" s="46" t="s">
        <v>2877</v>
      </c>
      <c r="M521" s="50">
        <v>690000</v>
      </c>
      <c r="N521" s="81">
        <v>897000</v>
      </c>
      <c r="O521" s="50" t="s">
        <v>1171</v>
      </c>
      <c r="P521" s="65" t="s">
        <v>2879</v>
      </c>
      <c r="Q521" s="46" t="s">
        <v>620</v>
      </c>
      <c r="R521" s="47" t="s">
        <v>2878</v>
      </c>
      <c r="U521" s="46" t="s">
        <v>491</v>
      </c>
    </row>
    <row r="522" spans="1:21" ht="180" x14ac:dyDescent="0.25">
      <c r="A522" s="45">
        <v>42564</v>
      </c>
      <c r="B522" s="46" t="s">
        <v>328</v>
      </c>
      <c r="C522" s="45" t="s">
        <v>603</v>
      </c>
      <c r="D522" s="46" t="s">
        <v>1471</v>
      </c>
      <c r="E522" s="46" t="s">
        <v>588</v>
      </c>
      <c r="F522" s="47" t="s">
        <v>2868</v>
      </c>
      <c r="H522" s="47" t="s">
        <v>607</v>
      </c>
      <c r="I522" s="46" t="s">
        <v>2869</v>
      </c>
      <c r="M522" s="50">
        <v>615000</v>
      </c>
      <c r="N522" s="51">
        <v>1107000</v>
      </c>
      <c r="O522" s="50" t="s">
        <v>2870</v>
      </c>
      <c r="P522" s="65" t="s">
        <v>2871</v>
      </c>
      <c r="Q522" s="46" t="s">
        <v>1939</v>
      </c>
      <c r="R522" s="47" t="s">
        <v>2872</v>
      </c>
      <c r="U522" s="46" t="s">
        <v>491</v>
      </c>
    </row>
    <row r="523" spans="1:21" ht="60" x14ac:dyDescent="0.25">
      <c r="A523" s="45">
        <v>42565</v>
      </c>
      <c r="B523" s="46" t="s">
        <v>378</v>
      </c>
      <c r="C523" s="45" t="s">
        <v>899</v>
      </c>
      <c r="D523" s="46" t="s">
        <v>732</v>
      </c>
      <c r="E523" s="46" t="s">
        <v>588</v>
      </c>
      <c r="F523" s="47" t="s">
        <v>2904</v>
      </c>
      <c r="H523" s="48" t="s">
        <v>2884</v>
      </c>
      <c r="I523" s="46" t="s">
        <v>2885</v>
      </c>
      <c r="J523" s="73"/>
      <c r="K523" s="73"/>
      <c r="L523" s="73"/>
      <c r="M523" s="74">
        <v>1560600</v>
      </c>
      <c r="N523" s="81">
        <v>2270600</v>
      </c>
      <c r="O523" s="50" t="s">
        <v>2886</v>
      </c>
      <c r="P523" s="65" t="s">
        <v>2887</v>
      </c>
      <c r="Q523" s="46" t="s">
        <v>1939</v>
      </c>
      <c r="R523" s="47" t="s">
        <v>2888</v>
      </c>
      <c r="U523" s="46" t="s">
        <v>2889</v>
      </c>
    </row>
    <row r="524" spans="1:21" ht="90" x14ac:dyDescent="0.25">
      <c r="A524" s="45">
        <v>42564</v>
      </c>
      <c r="B524" s="46" t="s">
        <v>328</v>
      </c>
      <c r="C524" s="45" t="s">
        <v>603</v>
      </c>
      <c r="D524" s="46" t="s">
        <v>587</v>
      </c>
      <c r="E524" s="46" t="s">
        <v>821</v>
      </c>
      <c r="H524" s="47" t="s">
        <v>607</v>
      </c>
      <c r="O524" s="50" t="s">
        <v>2875</v>
      </c>
      <c r="P524" s="65" t="s">
        <v>2873</v>
      </c>
      <c r="Q524" s="46" t="s">
        <v>592</v>
      </c>
      <c r="R524" s="47" t="s">
        <v>2874</v>
      </c>
      <c r="U524" s="46" t="s">
        <v>491</v>
      </c>
    </row>
    <row r="525" spans="1:21" ht="60" x14ac:dyDescent="0.25">
      <c r="A525" s="45">
        <v>42565</v>
      </c>
      <c r="B525" s="46" t="s">
        <v>328</v>
      </c>
      <c r="C525" s="45" t="s">
        <v>603</v>
      </c>
      <c r="D525" s="46" t="s">
        <v>2282</v>
      </c>
      <c r="E525" s="46" t="s">
        <v>588</v>
      </c>
      <c r="F525" s="47" t="s">
        <v>2883</v>
      </c>
      <c r="H525" s="47" t="s">
        <v>710</v>
      </c>
      <c r="I525" s="46" t="s">
        <v>2880</v>
      </c>
      <c r="M525" s="50">
        <v>515000</v>
      </c>
      <c r="N525" s="79">
        <v>875500</v>
      </c>
      <c r="O525" s="50" t="s">
        <v>2032</v>
      </c>
      <c r="P525" s="65" t="s">
        <v>2881</v>
      </c>
      <c r="Q525" s="46" t="s">
        <v>620</v>
      </c>
      <c r="R525" s="47" t="s">
        <v>2882</v>
      </c>
      <c r="U525" s="46" t="s">
        <v>2889</v>
      </c>
    </row>
    <row r="526" spans="1:21" ht="60" x14ac:dyDescent="0.25">
      <c r="A526" s="45">
        <v>42566</v>
      </c>
      <c r="B526" s="46" t="s">
        <v>328</v>
      </c>
      <c r="C526" s="45" t="s">
        <v>603</v>
      </c>
      <c r="D526" s="46" t="s">
        <v>2282</v>
      </c>
      <c r="E526" s="46" t="s">
        <v>588</v>
      </c>
      <c r="F526" s="47" t="s">
        <v>2900</v>
      </c>
      <c r="H526" s="47" t="s">
        <v>2884</v>
      </c>
      <c r="I526" s="46" t="s">
        <v>2901</v>
      </c>
      <c r="M526" s="50">
        <v>1500000</v>
      </c>
      <c r="N526" s="76">
        <v>2550000</v>
      </c>
      <c r="O526" s="50" t="s">
        <v>2886</v>
      </c>
      <c r="P526" s="65" t="s">
        <v>2902</v>
      </c>
      <c r="Q526" s="46" t="s">
        <v>592</v>
      </c>
      <c r="R526" s="47" t="s">
        <v>2903</v>
      </c>
      <c r="U526" s="46" t="s">
        <v>2227</v>
      </c>
    </row>
    <row r="527" spans="1:21" ht="45" x14ac:dyDescent="0.25">
      <c r="A527" s="45">
        <v>42566</v>
      </c>
      <c r="B527" s="46" t="s">
        <v>328</v>
      </c>
      <c r="C527" s="45" t="s">
        <v>603</v>
      </c>
      <c r="D527" s="46" t="s">
        <v>2282</v>
      </c>
      <c r="E527" s="46" t="s">
        <v>588</v>
      </c>
      <c r="F527" s="47" t="s">
        <v>2895</v>
      </c>
      <c r="H527" s="47" t="s">
        <v>905</v>
      </c>
      <c r="I527" s="46" t="s">
        <v>2896</v>
      </c>
      <c r="M527" s="50">
        <v>125000</v>
      </c>
      <c r="N527" s="51">
        <v>164500</v>
      </c>
      <c r="O527" s="50" t="s">
        <v>2897</v>
      </c>
      <c r="P527" s="65" t="s">
        <v>2898</v>
      </c>
      <c r="Q527" s="46" t="s">
        <v>1939</v>
      </c>
      <c r="R527" s="47" t="s">
        <v>2899</v>
      </c>
      <c r="U527" s="46" t="s">
        <v>2227</v>
      </c>
    </row>
    <row r="528" spans="1:21" ht="75" x14ac:dyDescent="0.25">
      <c r="A528" s="45">
        <v>42566</v>
      </c>
      <c r="B528" s="46" t="s">
        <v>328</v>
      </c>
      <c r="C528" s="45" t="s">
        <v>603</v>
      </c>
      <c r="D528" s="46" t="s">
        <v>2282</v>
      </c>
      <c r="E528" s="46" t="s">
        <v>588</v>
      </c>
      <c r="F528" s="47" t="s">
        <v>2890</v>
      </c>
      <c r="H528" s="47" t="s">
        <v>710</v>
      </c>
      <c r="I528" s="46" t="s">
        <v>2891</v>
      </c>
      <c r="M528" s="76">
        <v>1754000</v>
      </c>
      <c r="N528" s="76">
        <v>2983000</v>
      </c>
      <c r="O528" s="50" t="s">
        <v>2892</v>
      </c>
      <c r="P528" s="65" t="s">
        <v>2893</v>
      </c>
      <c r="Q528" s="46" t="s">
        <v>1939</v>
      </c>
      <c r="R528" s="47" t="s">
        <v>2894</v>
      </c>
      <c r="S528" s="47" t="s">
        <v>2916</v>
      </c>
      <c r="U528" s="46" t="s">
        <v>2227</v>
      </c>
    </row>
    <row r="529" spans="1:21" ht="45" x14ac:dyDescent="0.25">
      <c r="A529" s="45">
        <v>42569</v>
      </c>
      <c r="B529" s="46" t="s">
        <v>328</v>
      </c>
      <c r="C529" s="45" t="s">
        <v>603</v>
      </c>
      <c r="D529" s="46" t="s">
        <v>1471</v>
      </c>
      <c r="E529" s="46" t="s">
        <v>821</v>
      </c>
      <c r="F529" s="47" t="s">
        <v>2907</v>
      </c>
      <c r="H529" s="47" t="s">
        <v>607</v>
      </c>
      <c r="O529" s="50" t="s">
        <v>2908</v>
      </c>
      <c r="P529" s="65" t="s">
        <v>2909</v>
      </c>
      <c r="Q529" s="46" t="s">
        <v>29</v>
      </c>
      <c r="R529" s="47" t="s">
        <v>2910</v>
      </c>
      <c r="U529" s="46" t="s">
        <v>491</v>
      </c>
    </row>
    <row r="530" spans="1:21" ht="45" x14ac:dyDescent="0.25">
      <c r="A530" s="45">
        <v>42569</v>
      </c>
      <c r="B530" s="46" t="s">
        <v>328</v>
      </c>
      <c r="C530" s="45" t="s">
        <v>603</v>
      </c>
      <c r="D530" s="46" t="s">
        <v>1471</v>
      </c>
      <c r="E530" s="46" t="s">
        <v>588</v>
      </c>
      <c r="F530" s="47" t="s">
        <v>2905</v>
      </c>
      <c r="H530" s="47" t="s">
        <v>607</v>
      </c>
      <c r="I530" s="46" t="s">
        <v>789</v>
      </c>
      <c r="M530" s="50">
        <v>525000</v>
      </c>
      <c r="N530" s="51">
        <v>933900</v>
      </c>
      <c r="O530" s="50" t="s">
        <v>695</v>
      </c>
      <c r="P530" s="65" t="s">
        <v>2906</v>
      </c>
      <c r="Q530" s="46" t="s">
        <v>592</v>
      </c>
      <c r="U530" s="46" t="s">
        <v>491</v>
      </c>
    </row>
    <row r="531" spans="1:21" ht="45" x14ac:dyDescent="0.25">
      <c r="A531" s="45">
        <v>42569</v>
      </c>
      <c r="B531" s="46" t="s">
        <v>328</v>
      </c>
      <c r="C531" s="45" t="s">
        <v>603</v>
      </c>
      <c r="D531" s="46" t="s">
        <v>1401</v>
      </c>
      <c r="E531" s="46" t="s">
        <v>588</v>
      </c>
      <c r="F531" s="47" t="s">
        <v>2911</v>
      </c>
      <c r="H531" s="47" t="s">
        <v>2912</v>
      </c>
      <c r="I531" s="46" t="s">
        <v>2913</v>
      </c>
      <c r="M531" s="50">
        <v>2300000</v>
      </c>
      <c r="N531" s="51">
        <v>2300000</v>
      </c>
      <c r="O531" s="50" t="s">
        <v>1302</v>
      </c>
      <c r="P531" s="65" t="s">
        <v>2914</v>
      </c>
      <c r="Q531" s="46" t="s">
        <v>1939</v>
      </c>
      <c r="R531" s="47" t="s">
        <v>2915</v>
      </c>
      <c r="U531" s="46" t="s">
        <v>491</v>
      </c>
    </row>
    <row r="532" spans="1:21" ht="90" x14ac:dyDescent="0.25">
      <c r="A532" s="45">
        <v>42570</v>
      </c>
      <c r="B532" s="46" t="s">
        <v>378</v>
      </c>
      <c r="C532" s="45" t="s">
        <v>623</v>
      </c>
      <c r="D532" s="46" t="s">
        <v>930</v>
      </c>
      <c r="E532" s="46" t="s">
        <v>821</v>
      </c>
      <c r="H532" s="48" t="s">
        <v>607</v>
      </c>
      <c r="I532" s="46" t="s">
        <v>2921</v>
      </c>
      <c r="M532" s="50">
        <v>270000</v>
      </c>
      <c r="O532" s="50" t="s">
        <v>1171</v>
      </c>
      <c r="P532" s="65" t="s">
        <v>2922</v>
      </c>
      <c r="Q532" s="46" t="s">
        <v>29</v>
      </c>
      <c r="R532" s="47" t="s">
        <v>2925</v>
      </c>
      <c r="S532" s="47" t="s">
        <v>2926</v>
      </c>
      <c r="U532" s="46" t="s">
        <v>491</v>
      </c>
    </row>
    <row r="533" spans="1:21" ht="45" x14ac:dyDescent="0.25">
      <c r="A533" s="45">
        <v>42570</v>
      </c>
      <c r="B533" s="46" t="s">
        <v>328</v>
      </c>
      <c r="C533" s="45" t="s">
        <v>603</v>
      </c>
      <c r="D533" s="46" t="s">
        <v>1471</v>
      </c>
      <c r="E533" s="46" t="s">
        <v>588</v>
      </c>
      <c r="F533" s="47" t="s">
        <v>2927</v>
      </c>
      <c r="H533" s="47" t="s">
        <v>607</v>
      </c>
      <c r="O533" s="50" t="s">
        <v>2928</v>
      </c>
      <c r="P533" s="65" t="s">
        <v>2929</v>
      </c>
      <c r="Q533" s="46" t="s">
        <v>592</v>
      </c>
      <c r="R533" s="47" t="s">
        <v>2930</v>
      </c>
      <c r="U533" s="46" t="s">
        <v>491</v>
      </c>
    </row>
    <row r="534" spans="1:21" ht="60" x14ac:dyDescent="0.25">
      <c r="A534" s="45">
        <v>42570</v>
      </c>
      <c r="B534" s="46" t="s">
        <v>328</v>
      </c>
      <c r="C534" s="45" t="s">
        <v>603</v>
      </c>
      <c r="D534" s="46" t="s">
        <v>1471</v>
      </c>
      <c r="E534" s="46" t="s">
        <v>588</v>
      </c>
      <c r="F534" s="47" t="s">
        <v>2932</v>
      </c>
      <c r="H534" s="47" t="s">
        <v>607</v>
      </c>
      <c r="I534" s="46" t="s">
        <v>2933</v>
      </c>
      <c r="M534" s="50">
        <v>350000</v>
      </c>
      <c r="N534" s="51">
        <v>642500</v>
      </c>
      <c r="O534" s="50" t="s">
        <v>2934</v>
      </c>
      <c r="P534" s="65" t="s">
        <v>2935</v>
      </c>
      <c r="Q534" s="46" t="s">
        <v>592</v>
      </c>
      <c r="U534" s="46" t="s">
        <v>491</v>
      </c>
    </row>
    <row r="535" spans="1:21" ht="60" x14ac:dyDescent="0.25">
      <c r="A535" s="45">
        <v>42570</v>
      </c>
      <c r="B535" s="46" t="s">
        <v>328</v>
      </c>
      <c r="C535" s="45" t="s">
        <v>603</v>
      </c>
      <c r="D535" s="46" t="s">
        <v>1401</v>
      </c>
      <c r="E535" s="46" t="s">
        <v>588</v>
      </c>
      <c r="F535" s="47" t="s">
        <v>2917</v>
      </c>
      <c r="H535" s="47" t="s">
        <v>607</v>
      </c>
      <c r="I535" s="46" t="s">
        <v>2918</v>
      </c>
      <c r="M535" s="50">
        <v>1500000</v>
      </c>
      <c r="N535" s="51">
        <v>3075000</v>
      </c>
      <c r="O535" s="50" t="s">
        <v>891</v>
      </c>
      <c r="P535" s="65" t="s">
        <v>2919</v>
      </c>
      <c r="Q535" s="46" t="s">
        <v>1939</v>
      </c>
      <c r="R535" s="47" t="s">
        <v>2920</v>
      </c>
      <c r="U535" s="46" t="s">
        <v>491</v>
      </c>
    </row>
    <row r="536" spans="1:21" ht="211.5" customHeight="1" x14ac:dyDescent="0.25">
      <c r="A536" s="45">
        <v>42571</v>
      </c>
      <c r="B536" s="46" t="s">
        <v>378</v>
      </c>
      <c r="C536" s="45" t="s">
        <v>623</v>
      </c>
      <c r="D536" s="46" t="s">
        <v>625</v>
      </c>
      <c r="E536" s="46" t="s">
        <v>588</v>
      </c>
      <c r="F536" s="47" t="s">
        <v>2936</v>
      </c>
      <c r="H536" s="48" t="s">
        <v>607</v>
      </c>
      <c r="I536" s="46" t="s">
        <v>2379</v>
      </c>
      <c r="M536" s="50">
        <v>983000</v>
      </c>
      <c r="N536" s="51">
        <v>1382000</v>
      </c>
      <c r="O536" s="50" t="s">
        <v>2937</v>
      </c>
      <c r="P536" s="65" t="s">
        <v>2938</v>
      </c>
      <c r="Q536" s="46" t="s">
        <v>1939</v>
      </c>
      <c r="R536" s="47" t="s">
        <v>2939</v>
      </c>
      <c r="U536" s="46" t="s">
        <v>491</v>
      </c>
    </row>
    <row r="537" spans="1:21" ht="60" x14ac:dyDescent="0.25">
      <c r="A537" s="45">
        <v>42571</v>
      </c>
      <c r="B537" s="46" t="s">
        <v>378</v>
      </c>
      <c r="C537" s="45" t="s">
        <v>623</v>
      </c>
      <c r="D537" s="46" t="s">
        <v>625</v>
      </c>
      <c r="E537" s="46" t="s">
        <v>588</v>
      </c>
      <c r="F537" s="47" t="s">
        <v>2940</v>
      </c>
      <c r="H537" s="48" t="s">
        <v>607</v>
      </c>
      <c r="M537" s="50">
        <v>2040000</v>
      </c>
      <c r="N537" s="51">
        <v>2931000</v>
      </c>
      <c r="O537" s="50" t="s">
        <v>2941</v>
      </c>
      <c r="P537" s="65" t="s">
        <v>2942</v>
      </c>
      <c r="Q537" s="46" t="s">
        <v>1939</v>
      </c>
      <c r="R537" s="47" t="s">
        <v>2943</v>
      </c>
      <c r="U537" s="46" t="s">
        <v>491</v>
      </c>
    </row>
    <row r="538" spans="1:21" ht="166.5" x14ac:dyDescent="0.25">
      <c r="A538" s="45">
        <v>42571</v>
      </c>
      <c r="B538" s="46" t="s">
        <v>378</v>
      </c>
      <c r="C538" s="45" t="s">
        <v>610</v>
      </c>
      <c r="D538" s="46" t="s">
        <v>1027</v>
      </c>
      <c r="E538" s="46" t="s">
        <v>588</v>
      </c>
      <c r="F538" s="47" t="s">
        <v>2944</v>
      </c>
      <c r="H538" s="48" t="s">
        <v>607</v>
      </c>
      <c r="I538" s="46" t="s">
        <v>2945</v>
      </c>
      <c r="M538" s="50">
        <v>1162000</v>
      </c>
      <c r="N538" s="51">
        <v>2091600</v>
      </c>
      <c r="O538" s="50" t="s">
        <v>2758</v>
      </c>
      <c r="P538" s="65" t="s">
        <v>2946</v>
      </c>
      <c r="Q538" s="46" t="s">
        <v>29</v>
      </c>
      <c r="R538" s="88" t="s">
        <v>2947</v>
      </c>
      <c r="U538" s="46" t="s">
        <v>491</v>
      </c>
    </row>
    <row r="539" spans="1:21" ht="60" x14ac:dyDescent="0.25">
      <c r="A539" s="45">
        <v>42571</v>
      </c>
      <c r="B539" s="46" t="s">
        <v>378</v>
      </c>
      <c r="C539" s="45" t="s">
        <v>610</v>
      </c>
      <c r="D539" s="46" t="s">
        <v>732</v>
      </c>
      <c r="E539" s="46" t="s">
        <v>588</v>
      </c>
      <c r="F539" s="47" t="s">
        <v>2948</v>
      </c>
      <c r="H539" s="48" t="s">
        <v>2074</v>
      </c>
      <c r="I539" s="46" t="s">
        <v>679</v>
      </c>
      <c r="M539" s="50">
        <v>722000</v>
      </c>
      <c r="O539" s="50" t="s">
        <v>1539</v>
      </c>
      <c r="P539" s="65" t="s">
        <v>2949</v>
      </c>
      <c r="Q539" s="46" t="s">
        <v>1939</v>
      </c>
      <c r="R539" s="47" t="s">
        <v>2950</v>
      </c>
      <c r="S539" s="47" t="s">
        <v>2966</v>
      </c>
      <c r="U539" s="46" t="s">
        <v>491</v>
      </c>
    </row>
    <row r="540" spans="1:21" ht="45" x14ac:dyDescent="0.25">
      <c r="A540" s="45">
        <v>42571</v>
      </c>
      <c r="B540" s="46" t="s">
        <v>643</v>
      </c>
      <c r="C540" s="45" t="s">
        <v>644</v>
      </c>
      <c r="D540" s="46" t="s">
        <v>645</v>
      </c>
      <c r="E540" s="46" t="s">
        <v>588</v>
      </c>
      <c r="F540" s="47" t="s">
        <v>2951</v>
      </c>
      <c r="H540" s="48" t="s">
        <v>607</v>
      </c>
      <c r="I540" s="46" t="s">
        <v>2952</v>
      </c>
      <c r="M540" s="50">
        <v>526000</v>
      </c>
      <c r="N540" s="51">
        <v>894200</v>
      </c>
      <c r="O540" s="50" t="s">
        <v>2953</v>
      </c>
      <c r="P540" s="65" t="s">
        <v>2954</v>
      </c>
      <c r="Q540" s="46" t="s">
        <v>29</v>
      </c>
      <c r="R540" s="47" t="s">
        <v>2955</v>
      </c>
      <c r="U540" s="46" t="s">
        <v>491</v>
      </c>
    </row>
    <row r="541" spans="1:21" ht="45" x14ac:dyDescent="0.25">
      <c r="A541" s="45">
        <v>42571</v>
      </c>
      <c r="B541" s="46" t="s">
        <v>378</v>
      </c>
      <c r="C541" s="45" t="s">
        <v>623</v>
      </c>
      <c r="D541" s="46" t="s">
        <v>930</v>
      </c>
      <c r="E541" s="46" t="s">
        <v>821</v>
      </c>
      <c r="H541" s="48" t="s">
        <v>607</v>
      </c>
      <c r="M541" s="50">
        <v>2000000</v>
      </c>
      <c r="O541" s="50" t="s">
        <v>1171</v>
      </c>
      <c r="P541" s="65" t="s">
        <v>2960</v>
      </c>
      <c r="Q541" s="46" t="s">
        <v>29</v>
      </c>
      <c r="R541" s="47" t="s">
        <v>2961</v>
      </c>
      <c r="U541" s="46" t="s">
        <v>491</v>
      </c>
    </row>
    <row r="542" spans="1:21" ht="75" x14ac:dyDescent="0.25">
      <c r="A542" s="45">
        <v>42571</v>
      </c>
      <c r="B542" s="46" t="s">
        <v>378</v>
      </c>
      <c r="C542" s="45" t="s">
        <v>610</v>
      </c>
      <c r="D542" s="46" t="s">
        <v>732</v>
      </c>
      <c r="E542" s="46" t="s">
        <v>588</v>
      </c>
      <c r="F542" s="47" t="s">
        <v>2962</v>
      </c>
      <c r="H542" s="48" t="s">
        <v>2074</v>
      </c>
      <c r="I542" s="46" t="s">
        <v>2963</v>
      </c>
      <c r="M542" s="50">
        <v>532000</v>
      </c>
      <c r="N542" s="51">
        <v>685000</v>
      </c>
      <c r="O542" s="50" t="s">
        <v>1498</v>
      </c>
      <c r="P542" s="65" t="s">
        <v>2964</v>
      </c>
      <c r="Q542" s="46" t="s">
        <v>1939</v>
      </c>
      <c r="R542" s="47" t="s">
        <v>2965</v>
      </c>
      <c r="S542" s="47" t="s">
        <v>2967</v>
      </c>
      <c r="U542" s="46" t="s">
        <v>491</v>
      </c>
    </row>
    <row r="543" spans="1:21" ht="75" x14ac:dyDescent="0.25">
      <c r="A543" s="45">
        <v>42570</v>
      </c>
      <c r="B543" s="46" t="s">
        <v>328</v>
      </c>
      <c r="C543" s="45" t="s">
        <v>603</v>
      </c>
      <c r="D543" s="46" t="s">
        <v>1471</v>
      </c>
      <c r="E543" s="46" t="s">
        <v>588</v>
      </c>
      <c r="F543" s="47" t="s">
        <v>2923</v>
      </c>
      <c r="H543" s="47" t="s">
        <v>607</v>
      </c>
      <c r="I543" s="46" t="s">
        <v>789</v>
      </c>
      <c r="M543" s="50">
        <v>1550000</v>
      </c>
      <c r="N543" s="51">
        <v>3223000</v>
      </c>
      <c r="O543" s="50" t="s">
        <v>891</v>
      </c>
      <c r="P543" s="65" t="s">
        <v>2924</v>
      </c>
      <c r="Q543" s="46" t="s">
        <v>1939</v>
      </c>
      <c r="R543" s="47" t="s">
        <v>2728</v>
      </c>
      <c r="U543" s="46" t="s">
        <v>491</v>
      </c>
    </row>
    <row r="544" spans="1:21" ht="280.5" customHeight="1" x14ac:dyDescent="0.25">
      <c r="A544" s="45">
        <v>42572</v>
      </c>
      <c r="B544" s="46" t="s">
        <v>1486</v>
      </c>
      <c r="C544" s="45" t="s">
        <v>1883</v>
      </c>
      <c r="D544" s="46" t="s">
        <v>595</v>
      </c>
      <c r="E544" s="46" t="s">
        <v>821</v>
      </c>
      <c r="H544" s="48" t="s">
        <v>1050</v>
      </c>
      <c r="M544" s="50">
        <v>700000</v>
      </c>
      <c r="O544" s="50" t="s">
        <v>2121</v>
      </c>
      <c r="P544" s="65" t="s">
        <v>2968</v>
      </c>
      <c r="Q544" s="46" t="s">
        <v>1939</v>
      </c>
      <c r="R544" s="47" t="s">
        <v>2969</v>
      </c>
      <c r="U544" s="46" t="s">
        <v>491</v>
      </c>
    </row>
    <row r="545" spans="1:21" ht="203.25" x14ac:dyDescent="0.25">
      <c r="A545" s="45">
        <v>42572</v>
      </c>
      <c r="B545" s="46" t="s">
        <v>378</v>
      </c>
      <c r="C545" s="45" t="s">
        <v>623</v>
      </c>
      <c r="D545" s="46" t="s">
        <v>625</v>
      </c>
      <c r="E545" s="46" t="s">
        <v>588</v>
      </c>
      <c r="F545" s="47" t="s">
        <v>2975</v>
      </c>
      <c r="H545" s="48" t="s">
        <v>2976</v>
      </c>
      <c r="I545" s="46" t="s">
        <v>2977</v>
      </c>
      <c r="M545" s="50">
        <v>385000</v>
      </c>
      <c r="N545" s="51">
        <v>770000</v>
      </c>
      <c r="O545" s="50" t="s">
        <v>2978</v>
      </c>
      <c r="P545" s="65" t="s">
        <v>2979</v>
      </c>
      <c r="Q545" s="46" t="s">
        <v>1939</v>
      </c>
      <c r="R545" s="89" t="s">
        <v>2980</v>
      </c>
      <c r="S545" s="47" t="s">
        <v>2993</v>
      </c>
      <c r="U545" s="46" t="s">
        <v>491</v>
      </c>
    </row>
    <row r="546" spans="1:21" ht="45" x14ac:dyDescent="0.25">
      <c r="A546" s="45">
        <v>42571</v>
      </c>
      <c r="B546" s="46" t="s">
        <v>328</v>
      </c>
      <c r="C546" s="45" t="s">
        <v>603</v>
      </c>
      <c r="D546" s="46" t="s">
        <v>1471</v>
      </c>
      <c r="E546" s="46" t="s">
        <v>588</v>
      </c>
      <c r="F546" s="47" t="s">
        <v>2956</v>
      </c>
      <c r="H546" s="47" t="s">
        <v>607</v>
      </c>
      <c r="I546" s="46" t="s">
        <v>2957</v>
      </c>
      <c r="M546" s="50">
        <v>750000</v>
      </c>
      <c r="N546" s="51">
        <v>1275000</v>
      </c>
      <c r="O546" s="50" t="s">
        <v>695</v>
      </c>
      <c r="P546" s="65" t="s">
        <v>2958</v>
      </c>
      <c r="Q546" s="46" t="s">
        <v>592</v>
      </c>
      <c r="R546" s="47" t="s">
        <v>2959</v>
      </c>
      <c r="U546" s="46" t="s">
        <v>491</v>
      </c>
    </row>
    <row r="547" spans="1:21" ht="45" x14ac:dyDescent="0.25">
      <c r="A547" s="45">
        <v>42573</v>
      </c>
      <c r="B547" s="46" t="s">
        <v>378</v>
      </c>
      <c r="C547" s="45" t="s">
        <v>623</v>
      </c>
      <c r="D547" s="46" t="s">
        <v>625</v>
      </c>
      <c r="E547" s="46" t="s">
        <v>588</v>
      </c>
      <c r="F547" s="47" t="s">
        <v>2981</v>
      </c>
      <c r="H547" s="48" t="s">
        <v>607</v>
      </c>
      <c r="I547" s="46" t="s">
        <v>2982</v>
      </c>
      <c r="M547" s="50">
        <v>2553000</v>
      </c>
      <c r="N547" s="51">
        <v>3583000</v>
      </c>
      <c r="O547" s="50" t="s">
        <v>891</v>
      </c>
      <c r="P547" s="65" t="s">
        <v>2984</v>
      </c>
      <c r="Q547" s="46" t="s">
        <v>1939</v>
      </c>
      <c r="R547" s="47" t="s">
        <v>2983</v>
      </c>
      <c r="U547" s="46" t="s">
        <v>491</v>
      </c>
    </row>
    <row r="548" spans="1:21" ht="75" x14ac:dyDescent="0.25">
      <c r="A548" s="45">
        <v>42573</v>
      </c>
      <c r="B548" s="46" t="s">
        <v>643</v>
      </c>
      <c r="C548" s="45" t="s">
        <v>644</v>
      </c>
      <c r="D548" s="46" t="s">
        <v>645</v>
      </c>
      <c r="E548" s="46" t="s">
        <v>588</v>
      </c>
      <c r="F548" s="47" t="s">
        <v>2985</v>
      </c>
      <c r="H548" s="48" t="s">
        <v>809</v>
      </c>
      <c r="I548" s="46" t="s">
        <v>2986</v>
      </c>
      <c r="M548" s="50">
        <v>976100</v>
      </c>
      <c r="N548" s="51">
        <v>1040230</v>
      </c>
      <c r="O548" s="50" t="s">
        <v>1498</v>
      </c>
      <c r="P548" s="65" t="s">
        <v>2987</v>
      </c>
      <c r="Q548" s="46" t="s">
        <v>29</v>
      </c>
      <c r="R548" s="47" t="s">
        <v>2988</v>
      </c>
      <c r="S548" s="47" t="s">
        <v>2994</v>
      </c>
      <c r="U548" s="46" t="s">
        <v>491</v>
      </c>
    </row>
    <row r="549" spans="1:21" ht="75" x14ac:dyDescent="0.25">
      <c r="A549" s="45">
        <v>42573</v>
      </c>
      <c r="B549" s="46" t="s">
        <v>378</v>
      </c>
      <c r="C549" s="45" t="s">
        <v>610</v>
      </c>
      <c r="D549" s="46" t="s">
        <v>732</v>
      </c>
      <c r="E549" s="46" t="s">
        <v>588</v>
      </c>
      <c r="F549" s="47" t="s">
        <v>2998</v>
      </c>
      <c r="H549" s="48" t="s">
        <v>905</v>
      </c>
      <c r="I549" s="46" t="s">
        <v>1501</v>
      </c>
      <c r="M549" s="50">
        <v>230000</v>
      </c>
      <c r="N549" s="51">
        <v>258000</v>
      </c>
      <c r="O549" s="50" t="s">
        <v>2978</v>
      </c>
      <c r="P549" s="65" t="s">
        <v>3000</v>
      </c>
      <c r="Q549" s="46" t="s">
        <v>1612</v>
      </c>
      <c r="R549" s="47" t="s">
        <v>3001</v>
      </c>
      <c r="U549" s="46" t="s">
        <v>491</v>
      </c>
    </row>
    <row r="550" spans="1:21" ht="30" x14ac:dyDescent="0.25">
      <c r="A550" s="45">
        <v>42572</v>
      </c>
      <c r="B550" s="46" t="s">
        <v>328</v>
      </c>
      <c r="C550" s="45" t="s">
        <v>603</v>
      </c>
      <c r="D550" s="46" t="s">
        <v>1401</v>
      </c>
      <c r="E550" s="46" t="s">
        <v>588</v>
      </c>
      <c r="F550" s="47" t="s">
        <v>2970</v>
      </c>
      <c r="H550" s="47" t="s">
        <v>905</v>
      </c>
      <c r="I550" s="46" t="s">
        <v>2971</v>
      </c>
      <c r="M550" s="50">
        <v>600000</v>
      </c>
      <c r="O550" s="50" t="s">
        <v>2972</v>
      </c>
      <c r="P550" s="65" t="s">
        <v>2973</v>
      </c>
      <c r="Q550" s="46" t="s">
        <v>592</v>
      </c>
      <c r="R550" s="47" t="s">
        <v>2974</v>
      </c>
      <c r="U550" s="46" t="s">
        <v>491</v>
      </c>
    </row>
    <row r="551" spans="1:21" ht="45" x14ac:dyDescent="0.25">
      <c r="A551" s="45">
        <v>42576</v>
      </c>
      <c r="B551" s="46" t="s">
        <v>378</v>
      </c>
      <c r="C551" s="45" t="s">
        <v>623</v>
      </c>
      <c r="D551" s="46" t="s">
        <v>625</v>
      </c>
      <c r="E551" s="46" t="s">
        <v>588</v>
      </c>
      <c r="F551" s="47" t="s">
        <v>3002</v>
      </c>
      <c r="H551" s="48" t="s">
        <v>607</v>
      </c>
      <c r="I551" s="46" t="s">
        <v>789</v>
      </c>
      <c r="M551" s="50">
        <v>3000000</v>
      </c>
      <c r="N551" s="51">
        <v>4400000</v>
      </c>
      <c r="O551" s="50" t="s">
        <v>891</v>
      </c>
      <c r="P551" s="65" t="s">
        <v>3003</v>
      </c>
      <c r="Q551" s="46" t="s">
        <v>1939</v>
      </c>
      <c r="R551" s="47" t="s">
        <v>3004</v>
      </c>
      <c r="S551" s="47" t="s">
        <v>3024</v>
      </c>
      <c r="U551" s="46" t="s">
        <v>491</v>
      </c>
    </row>
    <row r="552" spans="1:21" ht="30" x14ac:dyDescent="0.25">
      <c r="A552" s="45">
        <v>42576</v>
      </c>
      <c r="B552" s="46" t="s">
        <v>110</v>
      </c>
      <c r="C552" s="45" t="s">
        <v>833</v>
      </c>
      <c r="D552" s="46" t="s">
        <v>715</v>
      </c>
      <c r="E552" s="46" t="s">
        <v>588</v>
      </c>
      <c r="F552" s="47" t="s">
        <v>3005</v>
      </c>
      <c r="H552" s="48" t="s">
        <v>722</v>
      </c>
      <c r="I552" s="46" t="s">
        <v>3006</v>
      </c>
      <c r="M552" s="50">
        <v>200000</v>
      </c>
      <c r="N552" s="51">
        <v>360000</v>
      </c>
      <c r="O552" s="50" t="s">
        <v>840</v>
      </c>
      <c r="P552" s="65" t="s">
        <v>3007</v>
      </c>
      <c r="Q552" s="46" t="s">
        <v>1939</v>
      </c>
      <c r="R552" s="47" t="s">
        <v>3008</v>
      </c>
      <c r="U552" s="46" t="s">
        <v>491</v>
      </c>
    </row>
    <row r="553" spans="1:21" ht="60" x14ac:dyDescent="0.25">
      <c r="A553" s="45">
        <v>42576</v>
      </c>
      <c r="B553" s="46" t="s">
        <v>378</v>
      </c>
      <c r="C553" s="45" t="s">
        <v>623</v>
      </c>
      <c r="D553" s="46" t="s">
        <v>930</v>
      </c>
      <c r="E553" s="46" t="s">
        <v>821</v>
      </c>
      <c r="F553" s="47" t="s">
        <v>3009</v>
      </c>
      <c r="H553" s="48" t="s">
        <v>1626</v>
      </c>
      <c r="O553" s="50" t="s">
        <v>3010</v>
      </c>
      <c r="P553" s="65" t="s">
        <v>3012</v>
      </c>
      <c r="Q553" s="46" t="s">
        <v>1939</v>
      </c>
      <c r="R553" s="47" t="s">
        <v>3011</v>
      </c>
      <c r="U553" s="46" t="s">
        <v>491</v>
      </c>
    </row>
    <row r="554" spans="1:21" ht="30" x14ac:dyDescent="0.25">
      <c r="A554" s="45">
        <v>42576</v>
      </c>
      <c r="B554" s="46" t="s">
        <v>1788</v>
      </c>
      <c r="D554" s="46" t="s">
        <v>3013</v>
      </c>
      <c r="E554" s="46" t="s">
        <v>588</v>
      </c>
      <c r="F554" s="47" t="s">
        <v>3014</v>
      </c>
      <c r="H554" s="48" t="s">
        <v>607</v>
      </c>
      <c r="I554" s="46" t="s">
        <v>3015</v>
      </c>
      <c r="M554" s="50">
        <v>500000</v>
      </c>
      <c r="N554" s="51">
        <v>900000</v>
      </c>
      <c r="O554" s="50" t="s">
        <v>1581</v>
      </c>
      <c r="P554" s="65" t="s">
        <v>3016</v>
      </c>
      <c r="Q554" s="46" t="s">
        <v>29</v>
      </c>
      <c r="R554" s="47" t="s">
        <v>3017</v>
      </c>
      <c r="U554" s="46" t="s">
        <v>491</v>
      </c>
    </row>
    <row r="555" spans="1:21" ht="45" x14ac:dyDescent="0.25">
      <c r="A555" s="45">
        <v>42576</v>
      </c>
      <c r="B555" s="46" t="s">
        <v>378</v>
      </c>
      <c r="C555" s="45" t="s">
        <v>610</v>
      </c>
      <c r="D555" s="46" t="s">
        <v>1027</v>
      </c>
      <c r="E555" s="46" t="s">
        <v>821</v>
      </c>
      <c r="H555" s="48" t="s">
        <v>607</v>
      </c>
      <c r="O555" s="50" t="s">
        <v>3021</v>
      </c>
      <c r="P555" s="65" t="s">
        <v>3022</v>
      </c>
      <c r="Q555" s="46" t="s">
        <v>592</v>
      </c>
      <c r="R555" s="47" t="s">
        <v>3023</v>
      </c>
      <c r="U555" s="46" t="s">
        <v>491</v>
      </c>
    </row>
    <row r="556" spans="1:21" ht="90" x14ac:dyDescent="0.25">
      <c r="A556" s="45">
        <v>42573</v>
      </c>
      <c r="B556" s="46" t="s">
        <v>328</v>
      </c>
      <c r="C556" s="45" t="s">
        <v>603</v>
      </c>
      <c r="D556" s="46" t="s">
        <v>1471</v>
      </c>
      <c r="E556" s="46" t="s">
        <v>588</v>
      </c>
      <c r="F556" s="47" t="s">
        <v>2989</v>
      </c>
      <c r="H556" s="47" t="s">
        <v>607</v>
      </c>
      <c r="I556" s="46" t="s">
        <v>2990</v>
      </c>
      <c r="M556" s="50">
        <v>475000</v>
      </c>
      <c r="N556" s="51">
        <v>855000</v>
      </c>
      <c r="O556" s="50" t="s">
        <v>1581</v>
      </c>
      <c r="P556" s="65" t="s">
        <v>2991</v>
      </c>
      <c r="Q556" s="46" t="s">
        <v>620</v>
      </c>
      <c r="R556" s="47" t="s">
        <v>2992</v>
      </c>
      <c r="S556" s="47" t="s">
        <v>3071</v>
      </c>
      <c r="U556" s="46" t="s">
        <v>491</v>
      </c>
    </row>
    <row r="557" spans="1:21" ht="45" x14ac:dyDescent="0.25">
      <c r="A557" s="45">
        <v>42573</v>
      </c>
      <c r="B557" s="46" t="s">
        <v>328</v>
      </c>
      <c r="C557" s="45" t="s">
        <v>603</v>
      </c>
      <c r="D557" s="46" t="s">
        <v>1401</v>
      </c>
      <c r="E557" s="46" t="s">
        <v>588</v>
      </c>
      <c r="F557" s="47" t="s">
        <v>2995</v>
      </c>
      <c r="H557" s="47" t="s">
        <v>2999</v>
      </c>
      <c r="I557" s="46" t="s">
        <v>2996</v>
      </c>
      <c r="M557" s="50">
        <v>80000</v>
      </c>
      <c r="N557" s="51">
        <v>95000</v>
      </c>
      <c r="O557" s="50" t="s">
        <v>2680</v>
      </c>
      <c r="P557" s="65" t="s">
        <v>2997</v>
      </c>
      <c r="Q557" s="46" t="s">
        <v>29</v>
      </c>
      <c r="U557" s="46" t="s">
        <v>491</v>
      </c>
    </row>
    <row r="558" spans="1:21" ht="45" x14ac:dyDescent="0.25">
      <c r="A558" s="45">
        <v>42577</v>
      </c>
      <c r="B558" s="46" t="s">
        <v>1486</v>
      </c>
      <c r="C558" s="45" t="s">
        <v>1883</v>
      </c>
      <c r="D558" s="46" t="s">
        <v>727</v>
      </c>
      <c r="E558" s="46" t="s">
        <v>588</v>
      </c>
      <c r="F558" s="47" t="s">
        <v>3025</v>
      </c>
      <c r="H558" s="48" t="s">
        <v>905</v>
      </c>
      <c r="I558" s="46" t="s">
        <v>3026</v>
      </c>
      <c r="M558" s="50">
        <v>2160000</v>
      </c>
      <c r="N558" s="51">
        <v>3058000</v>
      </c>
      <c r="O558" s="50" t="s">
        <v>831</v>
      </c>
      <c r="P558" s="65" t="s">
        <v>3027</v>
      </c>
      <c r="Q558" s="46" t="s">
        <v>620</v>
      </c>
      <c r="R558" s="47" t="s">
        <v>3028</v>
      </c>
      <c r="U558" s="46" t="s">
        <v>491</v>
      </c>
    </row>
    <row r="559" spans="1:21" ht="75" x14ac:dyDescent="0.25">
      <c r="A559" s="45">
        <v>42577</v>
      </c>
      <c r="B559" s="46" t="s">
        <v>643</v>
      </c>
      <c r="C559" s="45" t="s">
        <v>644</v>
      </c>
      <c r="D559" s="46" t="s">
        <v>645</v>
      </c>
      <c r="E559" s="46" t="s">
        <v>588</v>
      </c>
      <c r="F559" s="47" t="s">
        <v>3038</v>
      </c>
      <c r="H559" s="48" t="s">
        <v>722</v>
      </c>
      <c r="I559" s="46" t="s">
        <v>2062</v>
      </c>
      <c r="M559" s="50">
        <v>80000</v>
      </c>
      <c r="N559" s="51">
        <v>85000</v>
      </c>
      <c r="O559" s="50" t="s">
        <v>764</v>
      </c>
      <c r="P559" s="65" t="s">
        <v>3039</v>
      </c>
      <c r="Q559" s="46" t="s">
        <v>29</v>
      </c>
      <c r="U559" s="46" t="s">
        <v>491</v>
      </c>
    </row>
    <row r="560" spans="1:21" ht="75" x14ac:dyDescent="0.25">
      <c r="A560" s="45">
        <v>42577</v>
      </c>
      <c r="B560" s="46" t="s">
        <v>1486</v>
      </c>
      <c r="C560" s="45" t="s">
        <v>1363</v>
      </c>
      <c r="D560" s="46" t="s">
        <v>2346</v>
      </c>
      <c r="E560" s="46" t="s">
        <v>588</v>
      </c>
      <c r="F560" s="47" t="s">
        <v>3040</v>
      </c>
      <c r="H560" s="48" t="s">
        <v>886</v>
      </c>
      <c r="I560" s="46" t="s">
        <v>3054</v>
      </c>
      <c r="M560" s="50">
        <v>1200000</v>
      </c>
      <c r="N560" s="51">
        <v>1300000</v>
      </c>
      <c r="O560" s="50" t="s">
        <v>1498</v>
      </c>
      <c r="P560" s="65" t="s">
        <v>3041</v>
      </c>
      <c r="Q560" s="46" t="s">
        <v>29</v>
      </c>
      <c r="U560" s="46" t="s">
        <v>491</v>
      </c>
    </row>
    <row r="561" spans="1:21" ht="60" x14ac:dyDescent="0.25">
      <c r="A561" s="45">
        <v>42577</v>
      </c>
      <c r="B561" s="46" t="s">
        <v>378</v>
      </c>
      <c r="C561" s="45" t="s">
        <v>623</v>
      </c>
      <c r="D561" s="46" t="s">
        <v>625</v>
      </c>
      <c r="E561" s="46" t="s">
        <v>588</v>
      </c>
      <c r="F561" s="47" t="s">
        <v>3050</v>
      </c>
      <c r="H561" s="48" t="s">
        <v>607</v>
      </c>
      <c r="I561" s="46" t="s">
        <v>789</v>
      </c>
      <c r="M561" s="50">
        <v>1980000</v>
      </c>
      <c r="N561" s="51">
        <v>3240200</v>
      </c>
      <c r="O561" s="50" t="s">
        <v>891</v>
      </c>
      <c r="P561" s="65" t="s">
        <v>3051</v>
      </c>
      <c r="Q561" s="46" t="s">
        <v>1939</v>
      </c>
      <c r="R561" s="47" t="s">
        <v>3052</v>
      </c>
      <c r="U561" s="46" t="s">
        <v>491</v>
      </c>
    </row>
    <row r="562" spans="1:21" ht="60" x14ac:dyDescent="0.25">
      <c r="A562" s="45">
        <v>42576</v>
      </c>
      <c r="B562" s="46" t="s">
        <v>328</v>
      </c>
      <c r="C562" s="45" t="s">
        <v>603</v>
      </c>
      <c r="D562" s="46" t="s">
        <v>587</v>
      </c>
      <c r="E562" s="46" t="s">
        <v>588</v>
      </c>
      <c r="F562" s="47" t="s">
        <v>3018</v>
      </c>
      <c r="H562" s="47" t="s">
        <v>607</v>
      </c>
      <c r="I562" s="46" t="s">
        <v>1058</v>
      </c>
      <c r="M562" s="50">
        <v>2200000</v>
      </c>
      <c r="N562" s="51">
        <v>4290000</v>
      </c>
      <c r="O562" s="50" t="s">
        <v>891</v>
      </c>
      <c r="P562" s="65" t="s">
        <v>3019</v>
      </c>
      <c r="Q562" s="46" t="s">
        <v>1939</v>
      </c>
      <c r="R562" s="47" t="s">
        <v>3020</v>
      </c>
      <c r="U562" s="46" t="s">
        <v>491</v>
      </c>
    </row>
    <row r="563" spans="1:21" ht="120" x14ac:dyDescent="0.25">
      <c r="A563" s="45">
        <v>42577</v>
      </c>
      <c r="B563" s="46" t="s">
        <v>328</v>
      </c>
      <c r="C563" s="45" t="s">
        <v>603</v>
      </c>
      <c r="D563" s="46" t="s">
        <v>587</v>
      </c>
      <c r="E563" s="46" t="s">
        <v>588</v>
      </c>
      <c r="F563" s="47" t="s">
        <v>3034</v>
      </c>
      <c r="H563" s="47" t="s">
        <v>607</v>
      </c>
      <c r="I563" s="46" t="s">
        <v>3035</v>
      </c>
      <c r="M563" s="50">
        <v>220000</v>
      </c>
      <c r="N563" s="51">
        <v>220000</v>
      </c>
      <c r="O563" s="50" t="s">
        <v>3036</v>
      </c>
      <c r="P563" s="65" t="s">
        <v>3037</v>
      </c>
      <c r="Q563" s="46" t="s">
        <v>592</v>
      </c>
      <c r="U563" s="46" t="s">
        <v>491</v>
      </c>
    </row>
    <row r="564" spans="1:21" ht="90" x14ac:dyDescent="0.25">
      <c r="A564" s="45">
        <v>42577</v>
      </c>
      <c r="B564" s="46" t="s">
        <v>328</v>
      </c>
      <c r="C564" s="45" t="s">
        <v>603</v>
      </c>
      <c r="D564" s="46" t="s">
        <v>587</v>
      </c>
      <c r="E564" s="46" t="s">
        <v>588</v>
      </c>
      <c r="F564" s="47" t="s">
        <v>3029</v>
      </c>
      <c r="H564" s="47" t="s">
        <v>722</v>
      </c>
      <c r="I564" s="46" t="s">
        <v>3030</v>
      </c>
      <c r="M564" s="50">
        <v>100000</v>
      </c>
      <c r="N564" s="51">
        <v>105000</v>
      </c>
      <c r="O564" s="50" t="s">
        <v>3031</v>
      </c>
      <c r="P564" s="65" t="s">
        <v>3032</v>
      </c>
      <c r="Q564" s="46" t="s">
        <v>1612</v>
      </c>
      <c r="R564" s="47" t="s">
        <v>3033</v>
      </c>
      <c r="S564" s="47" t="s">
        <v>3405</v>
      </c>
      <c r="U564" s="46" t="s">
        <v>491</v>
      </c>
    </row>
    <row r="565" spans="1:21" ht="60" x14ac:dyDescent="0.25">
      <c r="A565" s="45">
        <v>42578</v>
      </c>
      <c r="B565" s="46" t="s">
        <v>1486</v>
      </c>
      <c r="C565" s="45" t="s">
        <v>1363</v>
      </c>
      <c r="D565" s="46" t="s">
        <v>1495</v>
      </c>
      <c r="E565" s="46" t="s">
        <v>588</v>
      </c>
      <c r="F565" s="47" t="s">
        <v>3053</v>
      </c>
      <c r="H565" s="48" t="s">
        <v>1057</v>
      </c>
      <c r="I565" s="46" t="s">
        <v>3055</v>
      </c>
      <c r="M565" s="50">
        <v>1100000</v>
      </c>
      <c r="N565" s="51">
        <v>1200000</v>
      </c>
      <c r="O565" s="50" t="s">
        <v>1498</v>
      </c>
      <c r="P565" s="65" t="s">
        <v>3056</v>
      </c>
      <c r="Q565" s="46" t="s">
        <v>1939</v>
      </c>
      <c r="R565" s="47" t="s">
        <v>3057</v>
      </c>
      <c r="U565" s="46" t="s">
        <v>491</v>
      </c>
    </row>
    <row r="566" spans="1:21" ht="60" x14ac:dyDescent="0.25">
      <c r="A566" s="45">
        <v>42578</v>
      </c>
      <c r="B566" s="46" t="s">
        <v>1486</v>
      </c>
      <c r="C566" s="45" t="s">
        <v>1883</v>
      </c>
      <c r="D566" s="46" t="s">
        <v>595</v>
      </c>
      <c r="E566" s="46" t="s">
        <v>821</v>
      </c>
      <c r="F566" s="47" t="s">
        <v>543</v>
      </c>
      <c r="H566" s="48" t="s">
        <v>607</v>
      </c>
      <c r="I566" s="46" t="s">
        <v>3059</v>
      </c>
      <c r="M566" s="50">
        <v>155000</v>
      </c>
      <c r="O566" s="50" t="s">
        <v>3060</v>
      </c>
      <c r="P566" s="65" t="s">
        <v>3061</v>
      </c>
      <c r="Q566" s="46" t="s">
        <v>1939</v>
      </c>
      <c r="R566" s="47" t="s">
        <v>3062</v>
      </c>
      <c r="U566" s="46" t="s">
        <v>491</v>
      </c>
    </row>
    <row r="567" spans="1:21" ht="120" x14ac:dyDescent="0.25">
      <c r="A567" s="45">
        <v>42578</v>
      </c>
      <c r="B567" s="46" t="s">
        <v>1486</v>
      </c>
      <c r="C567" s="45" t="s">
        <v>1883</v>
      </c>
      <c r="D567" s="46" t="s">
        <v>595</v>
      </c>
      <c r="E567" s="46" t="s">
        <v>821</v>
      </c>
      <c r="F567" s="47" t="s">
        <v>3058</v>
      </c>
      <c r="H567" s="48" t="s">
        <v>607</v>
      </c>
      <c r="I567" s="46" t="s">
        <v>3090</v>
      </c>
      <c r="M567" s="50">
        <v>215000</v>
      </c>
      <c r="N567" s="51">
        <v>305500</v>
      </c>
      <c r="O567" s="50" t="s">
        <v>3063</v>
      </c>
      <c r="P567" s="65" t="s">
        <v>3091</v>
      </c>
      <c r="Q567" s="46" t="s">
        <v>29</v>
      </c>
      <c r="R567" s="47" t="s">
        <v>3092</v>
      </c>
      <c r="U567" s="46" t="s">
        <v>491</v>
      </c>
    </row>
    <row r="568" spans="1:21" ht="30" x14ac:dyDescent="0.25">
      <c r="A568" s="45">
        <v>42578</v>
      </c>
      <c r="B568" s="46" t="s">
        <v>378</v>
      </c>
      <c r="C568" s="45" t="s">
        <v>610</v>
      </c>
      <c r="D568" s="46" t="s">
        <v>1027</v>
      </c>
      <c r="E568" s="46" t="s">
        <v>588</v>
      </c>
      <c r="H568" s="48" t="s">
        <v>607</v>
      </c>
      <c r="O568" s="50" t="s">
        <v>3072</v>
      </c>
      <c r="P568" s="65" t="s">
        <v>3073</v>
      </c>
      <c r="Q568" s="46" t="s">
        <v>1939</v>
      </c>
      <c r="R568" s="47" t="s">
        <v>3074</v>
      </c>
      <c r="U568" s="46" t="s">
        <v>491</v>
      </c>
    </row>
    <row r="569" spans="1:21" ht="105" x14ac:dyDescent="0.25">
      <c r="A569" s="45">
        <v>42578</v>
      </c>
      <c r="B569" s="46" t="s">
        <v>378</v>
      </c>
      <c r="C569" s="45" t="s">
        <v>623</v>
      </c>
      <c r="D569" s="46" t="s">
        <v>930</v>
      </c>
      <c r="E569" s="46" t="s">
        <v>821</v>
      </c>
      <c r="H569" s="48" t="s">
        <v>607</v>
      </c>
      <c r="I569" s="46" t="s">
        <v>899</v>
      </c>
      <c r="O569" s="50" t="s">
        <v>1171</v>
      </c>
      <c r="P569" s="65" t="s">
        <v>3093</v>
      </c>
      <c r="Q569" s="46" t="s">
        <v>29</v>
      </c>
      <c r="U569" s="46" t="s">
        <v>491</v>
      </c>
    </row>
    <row r="570" spans="1:21" ht="60" x14ac:dyDescent="0.25">
      <c r="A570" s="45">
        <v>42578</v>
      </c>
      <c r="B570" s="46" t="s">
        <v>378</v>
      </c>
      <c r="C570" s="45" t="s">
        <v>623</v>
      </c>
      <c r="D570" s="46" t="s">
        <v>625</v>
      </c>
      <c r="E570" s="46" t="s">
        <v>588</v>
      </c>
      <c r="F570" s="47" t="s">
        <v>3100</v>
      </c>
      <c r="H570" s="48" t="s">
        <v>607</v>
      </c>
      <c r="I570" s="46" t="s">
        <v>3101</v>
      </c>
      <c r="M570" s="50">
        <v>2393000</v>
      </c>
      <c r="N570" s="51">
        <v>3443000</v>
      </c>
      <c r="O570" s="50" t="s">
        <v>891</v>
      </c>
      <c r="P570" s="65" t="s">
        <v>3102</v>
      </c>
      <c r="Q570" s="46" t="s">
        <v>592</v>
      </c>
      <c r="U570" s="46" t="s">
        <v>491</v>
      </c>
    </row>
    <row r="571" spans="1:21" ht="60" x14ac:dyDescent="0.25">
      <c r="A571" s="45">
        <v>42577</v>
      </c>
      <c r="B571" s="46" t="s">
        <v>328</v>
      </c>
      <c r="C571" s="45" t="s">
        <v>603</v>
      </c>
      <c r="D571" s="46" t="s">
        <v>1401</v>
      </c>
      <c r="E571" s="46" t="s">
        <v>588</v>
      </c>
      <c r="F571" s="47" t="s">
        <v>3042</v>
      </c>
      <c r="H571" s="47" t="s">
        <v>3043</v>
      </c>
      <c r="I571" s="46" t="s">
        <v>3044</v>
      </c>
      <c r="M571" s="50">
        <v>475000</v>
      </c>
      <c r="N571" s="51">
        <v>720000</v>
      </c>
      <c r="O571" s="50" t="s">
        <v>3045</v>
      </c>
      <c r="P571" s="65" t="s">
        <v>3046</v>
      </c>
      <c r="Q571" s="46" t="s">
        <v>1939</v>
      </c>
      <c r="R571" s="47" t="s">
        <v>3047</v>
      </c>
      <c r="U571" s="46" t="s">
        <v>491</v>
      </c>
    </row>
    <row r="572" spans="1:21" ht="90" x14ac:dyDescent="0.25">
      <c r="A572" s="45">
        <v>42578</v>
      </c>
      <c r="B572" s="46" t="s">
        <v>328</v>
      </c>
      <c r="C572" s="45" t="s">
        <v>603</v>
      </c>
      <c r="D572" s="46" t="s">
        <v>1401</v>
      </c>
      <c r="E572" s="46" t="s">
        <v>588</v>
      </c>
      <c r="F572" s="47" t="s">
        <v>3094</v>
      </c>
      <c r="H572" s="47" t="s">
        <v>3095</v>
      </c>
      <c r="I572" s="46" t="s">
        <v>3096</v>
      </c>
      <c r="M572" s="50">
        <v>87000</v>
      </c>
      <c r="N572" s="51">
        <v>135700</v>
      </c>
      <c r="O572" s="50" t="s">
        <v>3097</v>
      </c>
      <c r="P572" s="65" t="s">
        <v>3099</v>
      </c>
      <c r="Q572" s="46" t="s">
        <v>1939</v>
      </c>
      <c r="R572" s="47" t="s">
        <v>3098</v>
      </c>
      <c r="U572" s="46" t="s">
        <v>491</v>
      </c>
    </row>
    <row r="573" spans="1:21" ht="60" x14ac:dyDescent="0.25">
      <c r="A573" s="45">
        <v>42578</v>
      </c>
      <c r="B573" s="46" t="s">
        <v>328</v>
      </c>
      <c r="C573" s="45" t="s">
        <v>603</v>
      </c>
      <c r="D573" s="46" t="s">
        <v>1401</v>
      </c>
      <c r="E573" s="46" t="s">
        <v>588</v>
      </c>
      <c r="F573" s="47" t="s">
        <v>3084</v>
      </c>
      <c r="H573" s="47" t="s">
        <v>607</v>
      </c>
      <c r="I573" s="46" t="s">
        <v>3085</v>
      </c>
      <c r="M573" s="50">
        <v>150000</v>
      </c>
      <c r="N573" s="51">
        <v>255000</v>
      </c>
      <c r="O573" s="50" t="s">
        <v>3086</v>
      </c>
      <c r="P573" s="65" t="s">
        <v>3087</v>
      </c>
      <c r="Q573" s="46" t="s">
        <v>1939</v>
      </c>
      <c r="R573" s="47" t="s">
        <v>3088</v>
      </c>
      <c r="U573" s="46" t="s">
        <v>491</v>
      </c>
    </row>
    <row r="574" spans="1:21" ht="60" x14ac:dyDescent="0.25">
      <c r="A574" s="45">
        <v>42578</v>
      </c>
      <c r="B574" s="46" t="s">
        <v>328</v>
      </c>
      <c r="C574" s="45" t="s">
        <v>603</v>
      </c>
      <c r="D574" s="46" t="s">
        <v>1471</v>
      </c>
      <c r="E574" s="46" t="s">
        <v>821</v>
      </c>
      <c r="H574" s="47" t="s">
        <v>607</v>
      </c>
      <c r="O574" s="50" t="s">
        <v>3064</v>
      </c>
      <c r="P574" s="65" t="s">
        <v>3065</v>
      </c>
      <c r="Q574" s="46" t="s">
        <v>1939</v>
      </c>
      <c r="R574" s="47" t="s">
        <v>3066</v>
      </c>
      <c r="U574" s="46" t="s">
        <v>491</v>
      </c>
    </row>
    <row r="575" spans="1:21" ht="75" x14ac:dyDescent="0.25">
      <c r="A575" s="45">
        <v>42578</v>
      </c>
      <c r="B575" s="46" t="s">
        <v>328</v>
      </c>
      <c r="C575" s="45" t="s">
        <v>603</v>
      </c>
      <c r="D575" s="46" t="s">
        <v>1401</v>
      </c>
      <c r="E575" s="46" t="s">
        <v>588</v>
      </c>
      <c r="F575" s="47" t="s">
        <v>3075</v>
      </c>
      <c r="H575" s="47" t="s">
        <v>607</v>
      </c>
      <c r="I575" s="46" t="s">
        <v>3076</v>
      </c>
      <c r="M575" s="50">
        <v>825000</v>
      </c>
      <c r="N575" s="51">
        <v>1800000</v>
      </c>
      <c r="O575" s="50" t="s">
        <v>2658</v>
      </c>
      <c r="P575" s="65" t="s">
        <v>3077</v>
      </c>
      <c r="Q575" s="46" t="s">
        <v>1939</v>
      </c>
      <c r="R575" s="47" t="s">
        <v>3078</v>
      </c>
      <c r="U575" s="46" t="s">
        <v>491</v>
      </c>
    </row>
    <row r="576" spans="1:21" ht="45" x14ac:dyDescent="0.25">
      <c r="A576" s="45">
        <v>42578</v>
      </c>
      <c r="B576" s="46" t="s">
        <v>328</v>
      </c>
      <c r="C576" s="45" t="s">
        <v>603</v>
      </c>
      <c r="D576" s="46" t="s">
        <v>1401</v>
      </c>
      <c r="E576" s="46" t="s">
        <v>588</v>
      </c>
      <c r="F576" s="47" t="s">
        <v>3079</v>
      </c>
      <c r="H576" s="47" t="s">
        <v>607</v>
      </c>
      <c r="I576" s="46" t="s">
        <v>3080</v>
      </c>
      <c r="M576" s="50">
        <v>150000</v>
      </c>
      <c r="N576" s="51">
        <v>270000</v>
      </c>
      <c r="O576" s="50" t="s">
        <v>3081</v>
      </c>
      <c r="P576" s="65" t="s">
        <v>3082</v>
      </c>
      <c r="Q576" s="46" t="s">
        <v>29</v>
      </c>
      <c r="R576" s="47" t="s">
        <v>3083</v>
      </c>
      <c r="U576" s="46" t="s">
        <v>491</v>
      </c>
    </row>
    <row r="577" spans="1:21" ht="45" x14ac:dyDescent="0.25">
      <c r="A577" s="45">
        <v>42578</v>
      </c>
      <c r="B577" s="46" t="s">
        <v>328</v>
      </c>
      <c r="C577" s="45" t="s">
        <v>603</v>
      </c>
      <c r="D577" s="46" t="s">
        <v>1401</v>
      </c>
      <c r="E577" s="46" t="s">
        <v>588</v>
      </c>
      <c r="F577" s="47" t="s">
        <v>3067</v>
      </c>
      <c r="H577" s="47" t="s">
        <v>722</v>
      </c>
      <c r="I577" s="46" t="s">
        <v>3068</v>
      </c>
      <c r="M577" s="50">
        <v>2037000</v>
      </c>
      <c r="N577" s="51">
        <v>4074000</v>
      </c>
      <c r="O577" s="50" t="s">
        <v>891</v>
      </c>
      <c r="P577" s="65" t="s">
        <v>3069</v>
      </c>
      <c r="Q577" s="46" t="s">
        <v>1939</v>
      </c>
      <c r="R577" s="47" t="s">
        <v>3070</v>
      </c>
      <c r="S577" s="47" t="s">
        <v>3089</v>
      </c>
      <c r="U577" s="46" t="s">
        <v>491</v>
      </c>
    </row>
    <row r="578" spans="1:21" ht="75" x14ac:dyDescent="0.25">
      <c r="A578" s="45">
        <v>42580</v>
      </c>
      <c r="B578" s="46" t="s">
        <v>378</v>
      </c>
      <c r="C578" s="45" t="s">
        <v>610</v>
      </c>
      <c r="D578" s="46" t="s">
        <v>1027</v>
      </c>
      <c r="E578" s="46" t="s">
        <v>821</v>
      </c>
      <c r="F578" s="47" t="s">
        <v>3110</v>
      </c>
      <c r="H578" s="48" t="s">
        <v>607</v>
      </c>
      <c r="O578" s="50" t="s">
        <v>3111</v>
      </c>
      <c r="P578" s="65" t="s">
        <v>3112</v>
      </c>
      <c r="Q578" s="46" t="s">
        <v>1939</v>
      </c>
      <c r="R578" s="47" t="s">
        <v>3113</v>
      </c>
      <c r="U578" s="46" t="s">
        <v>491</v>
      </c>
    </row>
    <row r="579" spans="1:21" ht="75" x14ac:dyDescent="0.25">
      <c r="A579" s="45">
        <v>42580</v>
      </c>
      <c r="B579" s="46" t="s">
        <v>643</v>
      </c>
      <c r="C579" s="45" t="s">
        <v>644</v>
      </c>
      <c r="D579" s="46" t="s">
        <v>3132</v>
      </c>
      <c r="E579" s="46" t="s">
        <v>588</v>
      </c>
      <c r="F579" s="47" t="s">
        <v>3133</v>
      </c>
      <c r="H579" s="48" t="s">
        <v>742</v>
      </c>
      <c r="I579" s="46" t="s">
        <v>1684</v>
      </c>
      <c r="M579" s="50">
        <v>138000</v>
      </c>
      <c r="N579" s="51">
        <v>175600</v>
      </c>
      <c r="O579" s="50" t="s">
        <v>3134</v>
      </c>
      <c r="P579" s="65" t="s">
        <v>3135</v>
      </c>
      <c r="Q579" s="46" t="s">
        <v>592</v>
      </c>
      <c r="R579" s="47" t="s">
        <v>3139</v>
      </c>
      <c r="U579" s="46" t="s">
        <v>491</v>
      </c>
    </row>
    <row r="580" spans="1:21" ht="60" x14ac:dyDescent="0.25">
      <c r="A580" s="45">
        <v>42580</v>
      </c>
      <c r="B580" s="46" t="s">
        <v>378</v>
      </c>
      <c r="C580" s="45" t="s">
        <v>623</v>
      </c>
      <c r="D580" s="46" t="s">
        <v>930</v>
      </c>
      <c r="E580" s="46" t="s">
        <v>692</v>
      </c>
      <c r="F580" s="47" t="s">
        <v>3136</v>
      </c>
      <c r="H580" s="48" t="s">
        <v>1626</v>
      </c>
      <c r="I580" s="46" t="s">
        <v>789</v>
      </c>
      <c r="M580" s="50">
        <v>929000</v>
      </c>
      <c r="N580" s="51">
        <v>1114800</v>
      </c>
      <c r="O580" s="50" t="s">
        <v>35</v>
      </c>
      <c r="P580" s="65" t="s">
        <v>3137</v>
      </c>
      <c r="Q580" s="46" t="s">
        <v>1939</v>
      </c>
      <c r="R580" s="47" t="s">
        <v>3138</v>
      </c>
      <c r="U580" s="46" t="s">
        <v>491</v>
      </c>
    </row>
    <row r="581" spans="1:21" ht="60" x14ac:dyDescent="0.25">
      <c r="A581" s="45">
        <v>42580</v>
      </c>
      <c r="B581" s="46" t="s">
        <v>378</v>
      </c>
      <c r="C581" s="45" t="s">
        <v>623</v>
      </c>
      <c r="D581" s="46" t="s">
        <v>930</v>
      </c>
      <c r="E581" s="46" t="s">
        <v>588</v>
      </c>
      <c r="F581" s="47" t="s">
        <v>3140</v>
      </c>
      <c r="H581" s="48" t="s">
        <v>886</v>
      </c>
      <c r="I581" s="46" t="s">
        <v>3141</v>
      </c>
      <c r="M581" s="50">
        <v>3850000</v>
      </c>
      <c r="N581" s="51">
        <v>3950000</v>
      </c>
      <c r="O581" s="50" t="s">
        <v>3142</v>
      </c>
      <c r="P581" s="65" t="s">
        <v>3144</v>
      </c>
      <c r="Q581" s="46" t="s">
        <v>1939</v>
      </c>
      <c r="R581" s="47" t="s">
        <v>3143</v>
      </c>
      <c r="U581" s="46" t="s">
        <v>491</v>
      </c>
    </row>
    <row r="582" spans="1:21" ht="75" x14ac:dyDescent="0.25">
      <c r="A582" s="45">
        <v>42579</v>
      </c>
      <c r="B582" s="46" t="s">
        <v>328</v>
      </c>
      <c r="C582" s="45" t="s">
        <v>603</v>
      </c>
      <c r="D582" s="46" t="s">
        <v>1471</v>
      </c>
      <c r="E582" s="46" t="s">
        <v>588</v>
      </c>
      <c r="F582" s="47" t="s">
        <v>3103</v>
      </c>
      <c r="H582" s="47" t="s">
        <v>607</v>
      </c>
      <c r="I582" s="46" t="s">
        <v>3104</v>
      </c>
      <c r="M582" s="50">
        <v>1319000</v>
      </c>
      <c r="N582" s="51">
        <v>2637000</v>
      </c>
      <c r="O582" s="50" t="s">
        <v>3107</v>
      </c>
      <c r="P582" s="65" t="s">
        <v>3105</v>
      </c>
      <c r="Q582" s="46" t="s">
        <v>1612</v>
      </c>
      <c r="R582" s="47" t="s">
        <v>3106</v>
      </c>
      <c r="S582" s="47" t="s">
        <v>3439</v>
      </c>
      <c r="U582" s="46" t="s">
        <v>491</v>
      </c>
    </row>
    <row r="583" spans="1:21" ht="60" x14ac:dyDescent="0.25">
      <c r="A583" s="45">
        <v>42579</v>
      </c>
      <c r="B583" s="46" t="s">
        <v>328</v>
      </c>
      <c r="C583" s="45" t="s">
        <v>603</v>
      </c>
      <c r="D583" s="46" t="s">
        <v>1471</v>
      </c>
      <c r="E583" s="46" t="s">
        <v>821</v>
      </c>
      <c r="H583" s="47" t="s">
        <v>607</v>
      </c>
      <c r="O583" s="50" t="s">
        <v>1802</v>
      </c>
      <c r="P583" s="65" t="s">
        <v>3108</v>
      </c>
      <c r="Q583" s="46" t="s">
        <v>592</v>
      </c>
      <c r="R583" s="47" t="s">
        <v>3109</v>
      </c>
      <c r="U583" s="46" t="s">
        <v>491</v>
      </c>
    </row>
    <row r="584" spans="1:21" ht="75" x14ac:dyDescent="0.25">
      <c r="A584" s="45">
        <v>42580</v>
      </c>
      <c r="B584" s="46" t="s">
        <v>328</v>
      </c>
      <c r="C584" s="45" t="s">
        <v>603</v>
      </c>
      <c r="D584" s="46" t="s">
        <v>1471</v>
      </c>
      <c r="E584" s="46" t="s">
        <v>588</v>
      </c>
      <c r="F584" s="47" t="s">
        <v>3124</v>
      </c>
      <c r="H584" s="47" t="s">
        <v>607</v>
      </c>
      <c r="I584" s="46" t="s">
        <v>3125</v>
      </c>
      <c r="M584" s="50">
        <v>1543000</v>
      </c>
      <c r="N584" s="51">
        <v>2777777</v>
      </c>
      <c r="O584" s="50" t="s">
        <v>3126</v>
      </c>
      <c r="P584" s="65" t="s">
        <v>3127</v>
      </c>
      <c r="Q584" s="46" t="s">
        <v>29</v>
      </c>
      <c r="R584" s="47" t="s">
        <v>3128</v>
      </c>
      <c r="U584" s="46" t="s">
        <v>491</v>
      </c>
    </row>
    <row r="585" spans="1:21" ht="60" x14ac:dyDescent="0.25">
      <c r="A585" s="45">
        <v>42583</v>
      </c>
      <c r="B585" s="46" t="s">
        <v>378</v>
      </c>
      <c r="C585" s="45" t="s">
        <v>623</v>
      </c>
      <c r="D585" s="46" t="s">
        <v>625</v>
      </c>
      <c r="E585" s="46" t="s">
        <v>588</v>
      </c>
      <c r="F585" s="47" t="s">
        <v>3154</v>
      </c>
      <c r="H585" s="48" t="s">
        <v>607</v>
      </c>
      <c r="I585" s="46" t="s">
        <v>3155</v>
      </c>
      <c r="J585" s="49" t="s">
        <v>899</v>
      </c>
      <c r="L585" s="49">
        <v>10</v>
      </c>
      <c r="M585" s="50">
        <v>2100000</v>
      </c>
      <c r="N585" s="51">
        <v>3730000</v>
      </c>
      <c r="O585" s="50" t="s">
        <v>764</v>
      </c>
      <c r="P585" s="65" t="s">
        <v>3156</v>
      </c>
      <c r="Q585" s="46" t="s">
        <v>1939</v>
      </c>
      <c r="R585" s="47" t="s">
        <v>3157</v>
      </c>
      <c r="U585" s="46" t="s">
        <v>491</v>
      </c>
    </row>
    <row r="586" spans="1:21" ht="75" x14ac:dyDescent="0.25">
      <c r="A586" s="45">
        <v>42583</v>
      </c>
      <c r="B586" s="46" t="s">
        <v>378</v>
      </c>
      <c r="C586" s="45" t="s">
        <v>610</v>
      </c>
      <c r="D586" s="46" t="s">
        <v>732</v>
      </c>
      <c r="E586" s="46" t="s">
        <v>588</v>
      </c>
      <c r="F586" s="47" t="s">
        <v>3158</v>
      </c>
      <c r="H586" s="48" t="s">
        <v>607</v>
      </c>
      <c r="I586" s="46" t="s">
        <v>3159</v>
      </c>
      <c r="J586" s="49" t="s">
        <v>899</v>
      </c>
      <c r="L586" s="49">
        <v>2</v>
      </c>
      <c r="M586" s="50">
        <v>861000</v>
      </c>
      <c r="N586" s="51">
        <v>1709700</v>
      </c>
      <c r="O586" s="50" t="s">
        <v>2612</v>
      </c>
      <c r="P586" s="65" t="s">
        <v>3160</v>
      </c>
      <c r="Q586" s="46" t="s">
        <v>1939</v>
      </c>
      <c r="R586" s="47" t="s">
        <v>3161</v>
      </c>
      <c r="U586" s="46" t="s">
        <v>491</v>
      </c>
    </row>
    <row r="587" spans="1:21" ht="60" x14ac:dyDescent="0.25">
      <c r="A587" s="45">
        <v>42583</v>
      </c>
      <c r="B587" s="46" t="s">
        <v>378</v>
      </c>
      <c r="C587" s="45" t="s">
        <v>623</v>
      </c>
      <c r="D587" s="46" t="s">
        <v>625</v>
      </c>
      <c r="E587" s="46" t="s">
        <v>588</v>
      </c>
      <c r="F587" s="47" t="s">
        <v>3162</v>
      </c>
      <c r="H587" s="48" t="s">
        <v>886</v>
      </c>
      <c r="I587" s="46" t="s">
        <v>1973</v>
      </c>
      <c r="J587" s="49" t="s">
        <v>899</v>
      </c>
      <c r="L587" s="49">
        <v>1</v>
      </c>
      <c r="M587" s="50">
        <v>4000000</v>
      </c>
      <c r="N587" s="51">
        <v>4400000</v>
      </c>
      <c r="O587" s="50" t="s">
        <v>891</v>
      </c>
      <c r="P587" s="65" t="s">
        <v>3163</v>
      </c>
      <c r="Q587" s="46" t="s">
        <v>592</v>
      </c>
      <c r="U587" s="46" t="s">
        <v>491</v>
      </c>
    </row>
    <row r="588" spans="1:21" ht="90" x14ac:dyDescent="0.25">
      <c r="A588" s="45">
        <v>42580</v>
      </c>
      <c r="B588" s="46" t="s">
        <v>328</v>
      </c>
      <c r="C588" s="45" t="s">
        <v>603</v>
      </c>
      <c r="D588" s="46" t="s">
        <v>1471</v>
      </c>
      <c r="E588" s="46" t="s">
        <v>588</v>
      </c>
      <c r="F588" s="47" t="s">
        <v>3129</v>
      </c>
      <c r="H588" s="47" t="s">
        <v>607</v>
      </c>
      <c r="I588" s="46" t="s">
        <v>1704</v>
      </c>
      <c r="O588" s="50" t="s">
        <v>2443</v>
      </c>
      <c r="P588" s="65" t="s">
        <v>3130</v>
      </c>
      <c r="Q588" s="46" t="s">
        <v>1939</v>
      </c>
      <c r="R588" s="47" t="s">
        <v>3131</v>
      </c>
      <c r="U588" s="46" t="s">
        <v>491</v>
      </c>
    </row>
    <row r="589" spans="1:21" ht="75" x14ac:dyDescent="0.25">
      <c r="A589" s="45">
        <v>42580</v>
      </c>
      <c r="B589" s="46" t="s">
        <v>328</v>
      </c>
      <c r="C589" s="45" t="s">
        <v>603</v>
      </c>
      <c r="D589" s="46" t="s">
        <v>1471</v>
      </c>
      <c r="E589" s="46" t="s">
        <v>588</v>
      </c>
      <c r="F589" s="47" t="s">
        <v>3119</v>
      </c>
      <c r="H589" s="47" t="s">
        <v>3120</v>
      </c>
      <c r="I589" s="46" t="s">
        <v>3121</v>
      </c>
      <c r="M589" s="50">
        <v>2707000</v>
      </c>
      <c r="N589" s="51">
        <v>4722000</v>
      </c>
      <c r="O589" s="50" t="s">
        <v>891</v>
      </c>
      <c r="P589" s="65" t="s">
        <v>3122</v>
      </c>
      <c r="Q589" s="46" t="s">
        <v>1939</v>
      </c>
      <c r="R589" s="47" t="s">
        <v>3123</v>
      </c>
      <c r="U589" s="46" t="s">
        <v>491</v>
      </c>
    </row>
    <row r="590" spans="1:21" ht="45" x14ac:dyDescent="0.25">
      <c r="A590" s="45">
        <v>42583</v>
      </c>
      <c r="B590" s="46" t="s">
        <v>328</v>
      </c>
      <c r="C590" s="45" t="s">
        <v>603</v>
      </c>
      <c r="D590" s="46" t="s">
        <v>672</v>
      </c>
      <c r="E590" s="46" t="s">
        <v>588</v>
      </c>
      <c r="O590" s="50" t="s">
        <v>3145</v>
      </c>
      <c r="P590" s="65" t="s">
        <v>3146</v>
      </c>
      <c r="Q590" s="46" t="s">
        <v>620</v>
      </c>
      <c r="R590" s="47" t="s">
        <v>3147</v>
      </c>
      <c r="U590" s="46" t="s">
        <v>491</v>
      </c>
    </row>
    <row r="591" spans="1:21" ht="180" x14ac:dyDescent="0.25">
      <c r="A591" s="45">
        <v>42583</v>
      </c>
      <c r="B591" s="46" t="s">
        <v>328</v>
      </c>
      <c r="C591" s="45" t="s">
        <v>603</v>
      </c>
      <c r="D591" s="46" t="s">
        <v>1471</v>
      </c>
      <c r="E591" s="46" t="s">
        <v>588</v>
      </c>
      <c r="F591" s="47" t="s">
        <v>3148</v>
      </c>
      <c r="H591" s="47" t="s">
        <v>3149</v>
      </c>
      <c r="I591" s="46" t="s">
        <v>3150</v>
      </c>
      <c r="J591" s="49" t="s">
        <v>3367</v>
      </c>
      <c r="L591" s="49">
        <v>4</v>
      </c>
      <c r="M591" s="50">
        <v>450000</v>
      </c>
      <c r="N591" s="51">
        <v>600000</v>
      </c>
      <c r="O591" s="50" t="s">
        <v>3151</v>
      </c>
      <c r="P591" s="65" t="s">
        <v>3152</v>
      </c>
      <c r="Q591" s="46" t="s">
        <v>29</v>
      </c>
      <c r="R591" s="86" t="s">
        <v>3153</v>
      </c>
      <c r="U591" s="46" t="s">
        <v>491</v>
      </c>
    </row>
    <row r="592" spans="1:21" ht="30" x14ac:dyDescent="0.25">
      <c r="A592" s="45">
        <v>42584</v>
      </c>
      <c r="B592" s="46" t="s">
        <v>328</v>
      </c>
      <c r="C592" s="45" t="s">
        <v>603</v>
      </c>
      <c r="D592" s="46" t="s">
        <v>1401</v>
      </c>
      <c r="E592" s="46" t="s">
        <v>588</v>
      </c>
      <c r="F592" s="47" t="s">
        <v>3166</v>
      </c>
      <c r="H592" s="47" t="s">
        <v>607</v>
      </c>
      <c r="I592" s="46" t="s">
        <v>3167</v>
      </c>
      <c r="J592" s="49" t="s">
        <v>3368</v>
      </c>
      <c r="M592" s="50">
        <v>132500</v>
      </c>
      <c r="N592" s="51">
        <v>278250</v>
      </c>
      <c r="O592" s="50" t="s">
        <v>2934</v>
      </c>
      <c r="P592" s="65" t="s">
        <v>3168</v>
      </c>
      <c r="Q592" s="46" t="s">
        <v>1939</v>
      </c>
      <c r="R592" s="47" t="s">
        <v>3169</v>
      </c>
      <c r="U592" s="46" t="s">
        <v>491</v>
      </c>
    </row>
    <row r="593" spans="1:21" ht="45" x14ac:dyDescent="0.25">
      <c r="A593" s="45">
        <v>42584</v>
      </c>
      <c r="B593" s="46" t="s">
        <v>378</v>
      </c>
      <c r="C593" s="45" t="s">
        <v>623</v>
      </c>
      <c r="D593" s="46" t="s">
        <v>930</v>
      </c>
      <c r="E593" s="46" t="s">
        <v>821</v>
      </c>
      <c r="H593" s="48"/>
      <c r="O593" s="50" t="s">
        <v>3178</v>
      </c>
      <c r="P593" s="65" t="s">
        <v>3179</v>
      </c>
      <c r="Q593" s="46" t="s">
        <v>592</v>
      </c>
      <c r="R593" s="47" t="s">
        <v>3180</v>
      </c>
      <c r="U593" s="46" t="s">
        <v>491</v>
      </c>
    </row>
    <row r="594" spans="1:21" ht="90" x14ac:dyDescent="0.25">
      <c r="A594" s="45">
        <v>42584</v>
      </c>
      <c r="B594" s="46" t="s">
        <v>378</v>
      </c>
      <c r="C594" s="45" t="s">
        <v>623</v>
      </c>
      <c r="D594" s="46" t="s">
        <v>625</v>
      </c>
      <c r="E594" s="46" t="s">
        <v>588</v>
      </c>
      <c r="F594" s="47" t="s">
        <v>3181</v>
      </c>
      <c r="H594" s="48" t="s">
        <v>809</v>
      </c>
      <c r="I594" s="46" t="s">
        <v>3035</v>
      </c>
      <c r="J594" s="49" t="s">
        <v>899</v>
      </c>
      <c r="L594" s="49">
        <v>2</v>
      </c>
      <c r="M594" s="50">
        <v>1227000</v>
      </c>
      <c r="N594" s="51">
        <v>1454000</v>
      </c>
      <c r="O594" s="50" t="s">
        <v>3182</v>
      </c>
      <c r="P594" s="65" t="s">
        <v>3183</v>
      </c>
      <c r="Q594" s="46" t="s">
        <v>592</v>
      </c>
      <c r="U594" s="46" t="s">
        <v>491</v>
      </c>
    </row>
    <row r="595" spans="1:21" ht="45" x14ac:dyDescent="0.25">
      <c r="A595" s="45">
        <v>42584</v>
      </c>
      <c r="B595" s="46" t="s">
        <v>1788</v>
      </c>
      <c r="D595" s="46" t="s">
        <v>2678</v>
      </c>
      <c r="E595" s="46" t="s">
        <v>588</v>
      </c>
      <c r="F595" s="47" t="s">
        <v>3187</v>
      </c>
      <c r="H595" s="48" t="s">
        <v>607</v>
      </c>
      <c r="I595" s="46" t="s">
        <v>3188</v>
      </c>
      <c r="J595" s="49" t="s">
        <v>3369</v>
      </c>
      <c r="M595" s="50">
        <v>1000000</v>
      </c>
      <c r="N595" s="51">
        <v>1370000</v>
      </c>
      <c r="O595" s="50" t="s">
        <v>3189</v>
      </c>
      <c r="P595" s="65" t="s">
        <v>3190</v>
      </c>
      <c r="Q595" s="46" t="s">
        <v>29</v>
      </c>
      <c r="U595" s="46" t="s">
        <v>491</v>
      </c>
    </row>
    <row r="596" spans="1:21" ht="30" x14ac:dyDescent="0.25">
      <c r="A596" s="45">
        <v>42584</v>
      </c>
      <c r="B596" s="46" t="s">
        <v>328</v>
      </c>
      <c r="C596" s="45" t="s">
        <v>603</v>
      </c>
      <c r="D596" s="46" t="s">
        <v>1401</v>
      </c>
      <c r="E596" s="46" t="s">
        <v>821</v>
      </c>
      <c r="O596" s="50" t="s">
        <v>3174</v>
      </c>
      <c r="P596" s="65" t="s">
        <v>3175</v>
      </c>
      <c r="Q596" s="46" t="s">
        <v>592</v>
      </c>
      <c r="U596" s="46" t="s">
        <v>491</v>
      </c>
    </row>
    <row r="597" spans="1:21" ht="165" x14ac:dyDescent="0.25">
      <c r="A597" s="45">
        <v>42584</v>
      </c>
      <c r="B597" s="46" t="s">
        <v>328</v>
      </c>
      <c r="C597" s="45" t="s">
        <v>623</v>
      </c>
      <c r="D597" s="46" t="s">
        <v>625</v>
      </c>
      <c r="E597" s="46" t="s">
        <v>821</v>
      </c>
      <c r="H597" s="48"/>
      <c r="O597" s="50" t="s">
        <v>3176</v>
      </c>
      <c r="P597" s="65" t="s">
        <v>3177</v>
      </c>
      <c r="Q597" s="46" t="s">
        <v>592</v>
      </c>
      <c r="U597" s="46" t="s">
        <v>491</v>
      </c>
    </row>
    <row r="598" spans="1:21" ht="60" x14ac:dyDescent="0.25">
      <c r="A598" s="45">
        <v>42584</v>
      </c>
      <c r="B598" s="46" t="s">
        <v>328</v>
      </c>
      <c r="C598" s="45" t="s">
        <v>603</v>
      </c>
      <c r="D598" s="46" t="s">
        <v>1471</v>
      </c>
      <c r="E598" s="46" t="s">
        <v>588</v>
      </c>
      <c r="F598" s="47" t="s">
        <v>3184</v>
      </c>
      <c r="H598" s="47" t="s">
        <v>607</v>
      </c>
      <c r="I598" s="46" t="s">
        <v>2062</v>
      </c>
      <c r="J598" s="49" t="s">
        <v>644</v>
      </c>
      <c r="L598" s="49">
        <v>10</v>
      </c>
      <c r="M598" s="50">
        <v>1489300</v>
      </c>
      <c r="N598" s="51">
        <v>2245930</v>
      </c>
      <c r="O598" s="50" t="s">
        <v>3031</v>
      </c>
      <c r="P598" s="65" t="s">
        <v>3185</v>
      </c>
      <c r="Q598" s="46" t="s">
        <v>29</v>
      </c>
      <c r="R598" s="47" t="s">
        <v>3186</v>
      </c>
      <c r="U598" s="46" t="s">
        <v>491</v>
      </c>
    </row>
    <row r="599" spans="1:21" ht="45" x14ac:dyDescent="0.25">
      <c r="A599" s="45">
        <v>42584</v>
      </c>
      <c r="B599" s="46" t="s">
        <v>328</v>
      </c>
      <c r="C599" s="45" t="s">
        <v>603</v>
      </c>
      <c r="D599" s="46" t="s">
        <v>1401</v>
      </c>
      <c r="E599" s="46" t="s">
        <v>588</v>
      </c>
      <c r="F599" s="47" t="s">
        <v>3170</v>
      </c>
      <c r="H599" s="47" t="s">
        <v>607</v>
      </c>
      <c r="I599" s="46" t="s">
        <v>1045</v>
      </c>
      <c r="J599" s="49" t="s">
        <v>899</v>
      </c>
      <c r="L599" s="49">
        <v>6</v>
      </c>
      <c r="M599" s="50">
        <v>1674000</v>
      </c>
      <c r="N599" s="51">
        <v>2176200</v>
      </c>
      <c r="O599" s="50" t="s">
        <v>3171</v>
      </c>
      <c r="P599" s="65" t="s">
        <v>3173</v>
      </c>
      <c r="Q599" s="46" t="s">
        <v>1939</v>
      </c>
      <c r="R599" s="47" t="s">
        <v>3172</v>
      </c>
      <c r="U599" s="46" t="s">
        <v>491</v>
      </c>
    </row>
    <row r="600" spans="1:21" ht="90" x14ac:dyDescent="0.25">
      <c r="A600" s="45">
        <v>42585</v>
      </c>
      <c r="B600" s="46" t="s">
        <v>378</v>
      </c>
      <c r="C600" s="45" t="s">
        <v>610</v>
      </c>
      <c r="D600" s="46" t="s">
        <v>1027</v>
      </c>
      <c r="E600" s="46" t="s">
        <v>588</v>
      </c>
      <c r="F600" s="47" t="s">
        <v>3195</v>
      </c>
      <c r="H600" s="48" t="s">
        <v>722</v>
      </c>
      <c r="I600" s="46" t="s">
        <v>3196</v>
      </c>
      <c r="J600" s="49" t="s">
        <v>899</v>
      </c>
      <c r="L600" s="49">
        <v>10</v>
      </c>
      <c r="M600" s="50">
        <v>2722000</v>
      </c>
      <c r="N600" s="51">
        <v>4566707</v>
      </c>
      <c r="O600" s="50" t="s">
        <v>891</v>
      </c>
      <c r="P600" s="65" t="s">
        <v>3206</v>
      </c>
      <c r="Q600" s="46" t="s">
        <v>1612</v>
      </c>
      <c r="R600" s="47" t="s">
        <v>3197</v>
      </c>
      <c r="S600" s="47" t="s">
        <v>3207</v>
      </c>
      <c r="U600" s="46" t="s">
        <v>491</v>
      </c>
    </row>
    <row r="601" spans="1:21" ht="105" x14ac:dyDescent="0.25">
      <c r="A601" s="45">
        <v>42585</v>
      </c>
      <c r="B601" s="46" t="s">
        <v>643</v>
      </c>
      <c r="C601" s="45" t="s">
        <v>644</v>
      </c>
      <c r="D601" s="46" t="s">
        <v>645</v>
      </c>
      <c r="E601" s="46" t="s">
        <v>588</v>
      </c>
      <c r="F601" s="47" t="s">
        <v>3198</v>
      </c>
      <c r="H601" s="48" t="s">
        <v>722</v>
      </c>
      <c r="I601" s="46" t="s">
        <v>3199</v>
      </c>
      <c r="J601" s="49" t="s">
        <v>644</v>
      </c>
      <c r="L601" s="49">
        <v>10</v>
      </c>
      <c r="M601" s="50">
        <v>440000</v>
      </c>
      <c r="N601" s="51">
        <v>660000</v>
      </c>
      <c r="O601" s="50" t="s">
        <v>1651</v>
      </c>
      <c r="P601" s="65" t="s">
        <v>3201</v>
      </c>
      <c r="Q601" s="46" t="s">
        <v>1939</v>
      </c>
      <c r="R601" s="47" t="s">
        <v>3200</v>
      </c>
      <c r="U601" s="46" t="s">
        <v>491</v>
      </c>
    </row>
    <row r="602" spans="1:21" ht="150" x14ac:dyDescent="0.25">
      <c r="A602" s="45">
        <v>42585</v>
      </c>
      <c r="B602" s="46" t="s">
        <v>378</v>
      </c>
      <c r="C602" s="45" t="s">
        <v>623</v>
      </c>
      <c r="D602" s="46" t="s">
        <v>930</v>
      </c>
      <c r="E602" s="46" t="s">
        <v>588</v>
      </c>
      <c r="F602" s="47" t="s">
        <v>3202</v>
      </c>
      <c r="H602" s="48" t="s">
        <v>607</v>
      </c>
      <c r="I602" s="46" t="s">
        <v>1780</v>
      </c>
      <c r="J602" s="49" t="s">
        <v>899</v>
      </c>
      <c r="L602" s="49">
        <v>3</v>
      </c>
      <c r="M602" s="50">
        <v>1000000</v>
      </c>
      <c r="N602" s="51">
        <v>1842900</v>
      </c>
      <c r="O602" s="50" t="s">
        <v>1171</v>
      </c>
      <c r="P602" s="65" t="s">
        <v>3229</v>
      </c>
      <c r="Q602" s="46" t="s">
        <v>1612</v>
      </c>
      <c r="R602" s="47" t="s">
        <v>3203</v>
      </c>
      <c r="S602" s="47" t="s">
        <v>3351</v>
      </c>
      <c r="U602" s="46" t="s">
        <v>491</v>
      </c>
    </row>
    <row r="603" spans="1:21" ht="60" x14ac:dyDescent="0.25">
      <c r="A603" s="45">
        <v>42585</v>
      </c>
      <c r="B603" s="46" t="s">
        <v>643</v>
      </c>
      <c r="C603" s="45" t="s">
        <v>644</v>
      </c>
      <c r="D603" s="46" t="s">
        <v>3132</v>
      </c>
      <c r="E603" s="46" t="s">
        <v>588</v>
      </c>
      <c r="F603" s="47" t="s">
        <v>3221</v>
      </c>
      <c r="H603" s="48" t="s">
        <v>2976</v>
      </c>
      <c r="O603" s="50" t="s">
        <v>3222</v>
      </c>
      <c r="P603" s="65" t="s">
        <v>3223</v>
      </c>
      <c r="Q603" s="46" t="s">
        <v>1939</v>
      </c>
      <c r="R603" s="47" t="s">
        <v>3224</v>
      </c>
      <c r="U603" s="46" t="s">
        <v>491</v>
      </c>
    </row>
    <row r="604" spans="1:21" ht="30" x14ac:dyDescent="0.25">
      <c r="A604" s="45">
        <v>42585</v>
      </c>
      <c r="B604" s="46" t="s">
        <v>328</v>
      </c>
      <c r="C604" s="45" t="s">
        <v>603</v>
      </c>
      <c r="D604" s="46" t="s">
        <v>1471</v>
      </c>
      <c r="E604" s="46" t="s">
        <v>588</v>
      </c>
      <c r="F604" s="47" t="s">
        <v>3204</v>
      </c>
      <c r="H604" s="47" t="s">
        <v>722</v>
      </c>
      <c r="I604" s="46" t="s">
        <v>3205</v>
      </c>
      <c r="J604" s="49" t="s">
        <v>899</v>
      </c>
      <c r="L604" s="49">
        <v>4</v>
      </c>
      <c r="M604" s="50">
        <v>2000000</v>
      </c>
      <c r="N604" s="51">
        <v>4000000</v>
      </c>
      <c r="O604" s="50" t="s">
        <v>891</v>
      </c>
      <c r="P604" s="65" t="s">
        <v>3209</v>
      </c>
      <c r="Q604" s="46" t="s">
        <v>592</v>
      </c>
      <c r="U604" s="46" t="s">
        <v>491</v>
      </c>
    </row>
    <row r="605" spans="1:21" ht="30" x14ac:dyDescent="0.25">
      <c r="A605" s="45">
        <v>42585</v>
      </c>
      <c r="B605" s="46" t="s">
        <v>328</v>
      </c>
      <c r="C605" s="45" t="s">
        <v>603</v>
      </c>
      <c r="D605" s="46" t="s">
        <v>1471</v>
      </c>
      <c r="E605" s="46" t="s">
        <v>588</v>
      </c>
      <c r="F605" s="47" t="s">
        <v>3208</v>
      </c>
      <c r="H605" s="47" t="s">
        <v>722</v>
      </c>
      <c r="I605" s="46" t="s">
        <v>3205</v>
      </c>
      <c r="J605" s="49" t="s">
        <v>899</v>
      </c>
      <c r="L605" s="49">
        <v>4</v>
      </c>
      <c r="M605" s="50">
        <v>2000000</v>
      </c>
      <c r="N605" s="51">
        <v>4000000</v>
      </c>
      <c r="O605" s="50" t="s">
        <v>891</v>
      </c>
      <c r="P605" s="65" t="s">
        <v>3210</v>
      </c>
      <c r="Q605" s="46" t="s">
        <v>592</v>
      </c>
      <c r="U605" s="46" t="s">
        <v>491</v>
      </c>
    </row>
    <row r="606" spans="1:21" ht="120" x14ac:dyDescent="0.25">
      <c r="A606" s="45">
        <v>42585</v>
      </c>
      <c r="B606" s="46" t="s">
        <v>328</v>
      </c>
      <c r="C606" s="45" t="s">
        <v>603</v>
      </c>
      <c r="D606" s="46" t="s">
        <v>1471</v>
      </c>
      <c r="E606" s="46" t="s">
        <v>588</v>
      </c>
      <c r="F606" s="47" t="s">
        <v>3191</v>
      </c>
      <c r="H606" s="47" t="s">
        <v>2074</v>
      </c>
      <c r="I606" s="46" t="s">
        <v>2595</v>
      </c>
      <c r="J606" s="49" t="s">
        <v>899</v>
      </c>
      <c r="L606" s="49">
        <v>10</v>
      </c>
      <c r="M606" s="50">
        <v>270000</v>
      </c>
      <c r="N606" s="51">
        <v>349000</v>
      </c>
      <c r="O606" s="50" t="s">
        <v>3192</v>
      </c>
      <c r="P606" s="65" t="s">
        <v>3193</v>
      </c>
      <c r="Q606" s="46" t="s">
        <v>29</v>
      </c>
      <c r="R606" s="47" t="s">
        <v>3194</v>
      </c>
      <c r="U606" s="46" t="s">
        <v>491</v>
      </c>
    </row>
    <row r="607" spans="1:21" ht="105" x14ac:dyDescent="0.25">
      <c r="A607" s="45">
        <v>42585</v>
      </c>
      <c r="B607" s="46" t="s">
        <v>328</v>
      </c>
      <c r="C607" s="45" t="s">
        <v>603</v>
      </c>
      <c r="D607" s="46" t="s">
        <v>1401</v>
      </c>
      <c r="E607" s="46" t="s">
        <v>588</v>
      </c>
      <c r="F607" s="47" t="s">
        <v>3218</v>
      </c>
      <c r="H607" s="47" t="s">
        <v>809</v>
      </c>
      <c r="I607" s="46" t="s">
        <v>3217</v>
      </c>
      <c r="J607" s="49" t="s">
        <v>603</v>
      </c>
      <c r="L607" s="49">
        <v>3</v>
      </c>
      <c r="M607" s="50">
        <v>20000</v>
      </c>
      <c r="N607" s="51">
        <v>120000</v>
      </c>
      <c r="O607" s="50" t="s">
        <v>2503</v>
      </c>
      <c r="P607" s="65" t="s">
        <v>3216</v>
      </c>
      <c r="Q607" s="46" t="s">
        <v>1939</v>
      </c>
      <c r="R607" s="47" t="s">
        <v>3219</v>
      </c>
      <c r="S607" s="47" t="s">
        <v>3220</v>
      </c>
      <c r="U607" s="46" t="s">
        <v>491</v>
      </c>
    </row>
    <row r="608" spans="1:21" ht="138.75" customHeight="1" x14ac:dyDescent="0.25">
      <c r="A608" s="45">
        <v>42586</v>
      </c>
      <c r="B608" s="46" t="s">
        <v>378</v>
      </c>
      <c r="C608" s="45" t="s">
        <v>623</v>
      </c>
      <c r="D608" s="46" t="s">
        <v>625</v>
      </c>
      <c r="E608" s="46" t="s">
        <v>588</v>
      </c>
      <c r="F608" s="47" t="s">
        <v>3225</v>
      </c>
      <c r="H608" s="48" t="s">
        <v>607</v>
      </c>
      <c r="I608" s="46" t="s">
        <v>2830</v>
      </c>
      <c r="J608" s="49" t="s">
        <v>899</v>
      </c>
      <c r="L608" s="49">
        <v>4</v>
      </c>
      <c r="M608" s="50">
        <v>250000</v>
      </c>
      <c r="N608" s="51">
        <v>250000</v>
      </c>
      <c r="O608" s="50" t="s">
        <v>3226</v>
      </c>
      <c r="P608" s="65" t="s">
        <v>3227</v>
      </c>
      <c r="Q608" s="46" t="s">
        <v>1939</v>
      </c>
      <c r="R608" s="66" t="s">
        <v>3228</v>
      </c>
      <c r="U608" s="46" t="s">
        <v>491</v>
      </c>
    </row>
    <row r="609" spans="1:21" ht="9.75" customHeight="1" x14ac:dyDescent="0.25">
      <c r="A609" s="45">
        <v>42586</v>
      </c>
      <c r="B609" s="46" t="s">
        <v>1486</v>
      </c>
      <c r="C609" s="45" t="s">
        <v>1883</v>
      </c>
      <c r="D609" s="46" t="s">
        <v>727</v>
      </c>
      <c r="E609" s="46" t="s">
        <v>588</v>
      </c>
      <c r="F609" s="47" t="s">
        <v>3230</v>
      </c>
      <c r="H609" s="48" t="s">
        <v>886</v>
      </c>
      <c r="I609" s="46" t="s">
        <v>3231</v>
      </c>
      <c r="J609" s="49" t="s">
        <v>3369</v>
      </c>
      <c r="L609" s="49">
        <v>5</v>
      </c>
      <c r="M609" s="50">
        <v>3000000</v>
      </c>
      <c r="N609" s="51">
        <v>3050000</v>
      </c>
      <c r="O609" s="50" t="s">
        <v>3232</v>
      </c>
      <c r="P609" s="65" t="s">
        <v>3233</v>
      </c>
      <c r="Q609" s="46" t="s">
        <v>1939</v>
      </c>
      <c r="R609" s="47" t="s">
        <v>3234</v>
      </c>
      <c r="U609" s="46" t="s">
        <v>491</v>
      </c>
    </row>
    <row r="610" spans="1:21" ht="60" x14ac:dyDescent="0.25">
      <c r="A610" s="45">
        <v>42586</v>
      </c>
      <c r="B610" s="46" t="s">
        <v>378</v>
      </c>
      <c r="C610" s="45" t="s">
        <v>610</v>
      </c>
      <c r="D610" s="46" t="s">
        <v>1027</v>
      </c>
      <c r="E610" s="46" t="s">
        <v>821</v>
      </c>
      <c r="H610" s="48" t="s">
        <v>607</v>
      </c>
      <c r="O610" s="50" t="s">
        <v>3235</v>
      </c>
      <c r="P610" s="65" t="s">
        <v>3236</v>
      </c>
      <c r="Q610" s="46" t="s">
        <v>1939</v>
      </c>
      <c r="R610" s="47" t="s">
        <v>3237</v>
      </c>
      <c r="U610" s="46" t="s">
        <v>491</v>
      </c>
    </row>
    <row r="611" spans="1:21" ht="180" x14ac:dyDescent="0.25">
      <c r="A611" s="45">
        <v>42585</v>
      </c>
      <c r="B611" s="46" t="s">
        <v>328</v>
      </c>
      <c r="C611" s="45" t="s">
        <v>603</v>
      </c>
      <c r="D611" s="46" t="s">
        <v>3211</v>
      </c>
      <c r="E611" s="46" t="s">
        <v>588</v>
      </c>
      <c r="F611" s="47" t="s">
        <v>3212</v>
      </c>
      <c r="H611" s="47" t="s">
        <v>607</v>
      </c>
      <c r="I611" s="46" t="s">
        <v>2166</v>
      </c>
      <c r="J611" s="49" t="s">
        <v>3370</v>
      </c>
      <c r="L611" s="49">
        <v>2</v>
      </c>
      <c r="M611" s="50">
        <v>2000000</v>
      </c>
      <c r="N611" s="51">
        <v>3248000</v>
      </c>
      <c r="O611" s="50" t="s">
        <v>891</v>
      </c>
      <c r="P611" s="65" t="s">
        <v>3213</v>
      </c>
      <c r="Q611" s="46" t="s">
        <v>1612</v>
      </c>
      <c r="R611" s="47" t="s">
        <v>3275</v>
      </c>
      <c r="U611" s="46" t="s">
        <v>491</v>
      </c>
    </row>
    <row r="612" spans="1:21" ht="90" x14ac:dyDescent="0.25">
      <c r="A612" s="45">
        <v>42586</v>
      </c>
      <c r="B612" s="46" t="s">
        <v>328</v>
      </c>
      <c r="C612" s="45" t="s">
        <v>603</v>
      </c>
      <c r="D612" s="46" t="s">
        <v>1471</v>
      </c>
      <c r="E612" s="46" t="s">
        <v>588</v>
      </c>
      <c r="F612" s="47" t="s">
        <v>3238</v>
      </c>
      <c r="H612" s="47" t="s">
        <v>607</v>
      </c>
      <c r="I612" s="46" t="s">
        <v>3239</v>
      </c>
      <c r="J612" s="49" t="s">
        <v>899</v>
      </c>
      <c r="L612" s="49">
        <v>3</v>
      </c>
      <c r="M612" s="50">
        <v>786000</v>
      </c>
      <c r="N612" s="51">
        <v>1493560</v>
      </c>
      <c r="O612" s="50" t="s">
        <v>3240</v>
      </c>
      <c r="P612" s="65" t="s">
        <v>3241</v>
      </c>
      <c r="Q612" s="46" t="s">
        <v>1612</v>
      </c>
      <c r="R612" s="88" t="s">
        <v>3242</v>
      </c>
      <c r="S612" s="47" t="s">
        <v>3337</v>
      </c>
      <c r="U612" s="46" t="s">
        <v>491</v>
      </c>
    </row>
    <row r="613" spans="1:21" ht="120" x14ac:dyDescent="0.25">
      <c r="A613" s="45">
        <v>42586</v>
      </c>
      <c r="B613" s="46" t="s">
        <v>328</v>
      </c>
      <c r="C613" s="45" t="s">
        <v>603</v>
      </c>
      <c r="D613" s="46" t="s">
        <v>3211</v>
      </c>
      <c r="E613" s="46" t="s">
        <v>588</v>
      </c>
      <c r="F613" s="47" t="s">
        <v>3243</v>
      </c>
      <c r="H613" s="47" t="s">
        <v>607</v>
      </c>
      <c r="I613" s="46" t="s">
        <v>3244</v>
      </c>
      <c r="J613" s="49" t="s">
        <v>899</v>
      </c>
      <c r="L613" s="49">
        <v>9</v>
      </c>
      <c r="M613" s="50">
        <v>900000</v>
      </c>
      <c r="N613" s="51">
        <v>1640000</v>
      </c>
      <c r="O613" s="50" t="s">
        <v>1474</v>
      </c>
      <c r="P613" s="65" t="s">
        <v>3245</v>
      </c>
      <c r="Q613" s="46" t="s">
        <v>29</v>
      </c>
      <c r="R613" s="47" t="s">
        <v>3246</v>
      </c>
      <c r="U613" s="46" t="s">
        <v>491</v>
      </c>
    </row>
    <row r="614" spans="1:21" ht="60" x14ac:dyDescent="0.25">
      <c r="A614" s="45">
        <v>42587</v>
      </c>
      <c r="B614" s="46" t="s">
        <v>1486</v>
      </c>
      <c r="C614" s="45" t="s">
        <v>1883</v>
      </c>
      <c r="D614" s="46" t="s">
        <v>595</v>
      </c>
      <c r="E614" s="46" t="s">
        <v>588</v>
      </c>
      <c r="F614" s="47" t="s">
        <v>3251</v>
      </c>
      <c r="H614" s="48" t="s">
        <v>722</v>
      </c>
      <c r="I614" s="46" t="s">
        <v>3252</v>
      </c>
      <c r="J614" s="49" t="s">
        <v>959</v>
      </c>
      <c r="L614" s="49">
        <v>5</v>
      </c>
      <c r="M614" s="50">
        <v>680000</v>
      </c>
      <c r="N614" s="51">
        <v>1088000</v>
      </c>
      <c r="O614" s="50" t="s">
        <v>1498</v>
      </c>
      <c r="P614" s="65" t="s">
        <v>3253</v>
      </c>
      <c r="Q614" s="46" t="s">
        <v>592</v>
      </c>
      <c r="R614" s="47" t="s">
        <v>3254</v>
      </c>
      <c r="U614" s="46" t="s">
        <v>491</v>
      </c>
    </row>
    <row r="615" spans="1:21" ht="90" x14ac:dyDescent="0.25">
      <c r="A615" s="45">
        <v>42587</v>
      </c>
      <c r="B615" s="46" t="s">
        <v>1486</v>
      </c>
      <c r="C615" s="45" t="s">
        <v>1883</v>
      </c>
      <c r="D615" s="46" t="s">
        <v>595</v>
      </c>
      <c r="E615" s="46" t="s">
        <v>588</v>
      </c>
      <c r="F615" s="47" t="s">
        <v>3255</v>
      </c>
      <c r="H615" s="48" t="s">
        <v>886</v>
      </c>
      <c r="I615" s="46" t="s">
        <v>3256</v>
      </c>
      <c r="J615" s="49" t="s">
        <v>604</v>
      </c>
      <c r="L615" s="49">
        <v>3</v>
      </c>
      <c r="M615" s="50">
        <v>500000</v>
      </c>
      <c r="N615" s="51">
        <v>505000</v>
      </c>
      <c r="O615" s="50" t="s">
        <v>2121</v>
      </c>
      <c r="P615" s="65" t="s">
        <v>3257</v>
      </c>
      <c r="Q615" s="46" t="s">
        <v>29</v>
      </c>
      <c r="R615" s="47" t="s">
        <v>3258</v>
      </c>
      <c r="U615" s="46" t="s">
        <v>491</v>
      </c>
    </row>
    <row r="616" spans="1:21" ht="75" x14ac:dyDescent="0.25">
      <c r="A616" s="45">
        <v>42587</v>
      </c>
      <c r="B616" s="46" t="s">
        <v>643</v>
      </c>
      <c r="C616" s="45" t="s">
        <v>644</v>
      </c>
      <c r="D616" s="46" t="s">
        <v>645</v>
      </c>
      <c r="E616" s="46" t="s">
        <v>588</v>
      </c>
      <c r="F616" s="47" t="s">
        <v>3259</v>
      </c>
      <c r="H616" s="48" t="s">
        <v>722</v>
      </c>
      <c r="I616" s="46" t="s">
        <v>3260</v>
      </c>
      <c r="J616" s="49" t="s">
        <v>644</v>
      </c>
      <c r="L616" s="49">
        <v>10</v>
      </c>
      <c r="M616" s="50">
        <v>2200000</v>
      </c>
      <c r="N616" s="51">
        <v>4620000</v>
      </c>
      <c r="O616" s="50" t="s">
        <v>3261</v>
      </c>
      <c r="P616" s="65" t="s">
        <v>3262</v>
      </c>
      <c r="Q616" s="46" t="s">
        <v>592</v>
      </c>
      <c r="R616" s="47" t="s">
        <v>3263</v>
      </c>
      <c r="U616" s="46" t="s">
        <v>491</v>
      </c>
    </row>
    <row r="617" spans="1:21" ht="166.5" customHeight="1" x14ac:dyDescent="0.25">
      <c r="A617" s="45">
        <v>42587</v>
      </c>
      <c r="B617" s="46" t="s">
        <v>328</v>
      </c>
      <c r="C617" s="45" t="s">
        <v>603</v>
      </c>
      <c r="D617" s="46" t="s">
        <v>1471</v>
      </c>
      <c r="E617" s="46" t="s">
        <v>588</v>
      </c>
      <c r="F617" s="47" t="s">
        <v>3264</v>
      </c>
      <c r="H617" s="47" t="s">
        <v>607</v>
      </c>
      <c r="I617" s="46" t="s">
        <v>789</v>
      </c>
      <c r="J617" s="49" t="s">
        <v>899</v>
      </c>
      <c r="L617" s="49">
        <v>2</v>
      </c>
      <c r="M617" s="50">
        <v>1852000</v>
      </c>
      <c r="N617" s="51">
        <v>3796600</v>
      </c>
      <c r="O617" s="50" t="s">
        <v>891</v>
      </c>
      <c r="P617" s="65" t="s">
        <v>3265</v>
      </c>
      <c r="Q617" s="46" t="s">
        <v>592</v>
      </c>
      <c r="U617" s="46" t="s">
        <v>491</v>
      </c>
    </row>
    <row r="618" spans="1:21" ht="156.75" x14ac:dyDescent="0.25">
      <c r="A618" s="45">
        <v>42587</v>
      </c>
      <c r="B618" s="46" t="s">
        <v>328</v>
      </c>
      <c r="C618" s="45" t="s">
        <v>603</v>
      </c>
      <c r="D618" s="46" t="s">
        <v>1471</v>
      </c>
      <c r="E618" s="46" t="s">
        <v>588</v>
      </c>
      <c r="F618" s="47" t="s">
        <v>3266</v>
      </c>
      <c r="H618" s="47" t="s">
        <v>607</v>
      </c>
      <c r="I618" s="46" t="s">
        <v>3267</v>
      </c>
      <c r="J618" s="49" t="s">
        <v>899</v>
      </c>
      <c r="L618" s="49">
        <v>6</v>
      </c>
      <c r="M618" s="50">
        <v>180000</v>
      </c>
      <c r="N618" s="51">
        <v>263000</v>
      </c>
      <c r="O618" s="50" t="s">
        <v>3268</v>
      </c>
      <c r="P618" s="65" t="s">
        <v>3269</v>
      </c>
      <c r="Q618" s="46" t="s">
        <v>1612</v>
      </c>
      <c r="R618" s="47" t="s">
        <v>3270</v>
      </c>
      <c r="S618" s="86" t="s">
        <v>3280</v>
      </c>
      <c r="T618" s="86"/>
      <c r="U618" s="46" t="s">
        <v>491</v>
      </c>
    </row>
    <row r="619" spans="1:21" ht="45" x14ac:dyDescent="0.25">
      <c r="A619" s="45">
        <v>42587</v>
      </c>
      <c r="B619" s="46" t="s">
        <v>328</v>
      </c>
      <c r="C619" s="45" t="s">
        <v>603</v>
      </c>
      <c r="D619" s="46" t="s">
        <v>1401</v>
      </c>
      <c r="E619" s="46" t="s">
        <v>588</v>
      </c>
      <c r="F619" s="47" t="s">
        <v>1406</v>
      </c>
      <c r="H619" s="47" t="s">
        <v>607</v>
      </c>
      <c r="I619" s="46" t="s">
        <v>3247</v>
      </c>
      <c r="J619" s="49" t="s">
        <v>899</v>
      </c>
      <c r="L619" s="49">
        <v>10</v>
      </c>
      <c r="M619" s="50">
        <v>390000</v>
      </c>
      <c r="N619" s="51">
        <v>702000</v>
      </c>
      <c r="O619" s="50" t="s">
        <v>3248</v>
      </c>
      <c r="P619" s="65" t="s">
        <v>3249</v>
      </c>
      <c r="Q619" s="46" t="s">
        <v>29</v>
      </c>
      <c r="R619" s="47" t="s">
        <v>3250</v>
      </c>
      <c r="U619" s="46" t="s">
        <v>491</v>
      </c>
    </row>
    <row r="620" spans="1:21" ht="90" x14ac:dyDescent="0.25">
      <c r="A620" s="45">
        <v>42590</v>
      </c>
      <c r="B620" s="46" t="s">
        <v>643</v>
      </c>
      <c r="C620" s="45" t="s">
        <v>644</v>
      </c>
      <c r="D620" s="46" t="s">
        <v>645</v>
      </c>
      <c r="E620" s="46" t="s">
        <v>588</v>
      </c>
      <c r="F620" s="47" t="s">
        <v>3276</v>
      </c>
      <c r="H620" s="48" t="s">
        <v>3277</v>
      </c>
      <c r="I620" s="46" t="s">
        <v>3278</v>
      </c>
      <c r="J620" s="49" t="s">
        <v>644</v>
      </c>
      <c r="L620" s="49">
        <v>10</v>
      </c>
      <c r="M620" s="50">
        <v>100307</v>
      </c>
      <c r="N620" s="51">
        <v>165807</v>
      </c>
      <c r="O620" s="50" t="s">
        <v>1651</v>
      </c>
      <c r="P620" s="65" t="s">
        <v>3279</v>
      </c>
      <c r="Q620" s="46" t="s">
        <v>29</v>
      </c>
      <c r="R620" s="47" t="s">
        <v>3315</v>
      </c>
      <c r="U620" s="46" t="s">
        <v>491</v>
      </c>
    </row>
    <row r="621" spans="1:21" ht="75" x14ac:dyDescent="0.25">
      <c r="A621" s="45">
        <v>42590</v>
      </c>
      <c r="B621" s="46" t="s">
        <v>378</v>
      </c>
      <c r="C621" s="45" t="s">
        <v>623</v>
      </c>
      <c r="D621" s="46" t="s">
        <v>625</v>
      </c>
      <c r="E621" s="46" t="s">
        <v>588</v>
      </c>
      <c r="F621" s="47" t="s">
        <v>3284</v>
      </c>
      <c r="H621" s="48" t="s">
        <v>3285</v>
      </c>
      <c r="I621" s="46" t="s">
        <v>1077</v>
      </c>
      <c r="J621" s="49" t="s">
        <v>899</v>
      </c>
      <c r="L621" s="49">
        <v>2</v>
      </c>
      <c r="M621" s="50">
        <v>3300000</v>
      </c>
      <c r="N621" s="51">
        <v>3960000</v>
      </c>
      <c r="O621" s="50" t="s">
        <v>891</v>
      </c>
      <c r="P621" s="65" t="s">
        <v>3286</v>
      </c>
      <c r="Q621" s="46" t="s">
        <v>1939</v>
      </c>
      <c r="R621" s="47" t="s">
        <v>3287</v>
      </c>
      <c r="S621" s="47" t="s">
        <v>7582</v>
      </c>
      <c r="U621" s="46" t="s">
        <v>491</v>
      </c>
    </row>
    <row r="622" spans="1:21" ht="60" x14ac:dyDescent="0.25">
      <c r="A622" s="45">
        <v>42590</v>
      </c>
      <c r="B622" s="46" t="s">
        <v>378</v>
      </c>
      <c r="C622" s="45" t="s">
        <v>610</v>
      </c>
      <c r="D622" s="46" t="s">
        <v>1027</v>
      </c>
      <c r="E622" s="46" t="s">
        <v>588</v>
      </c>
      <c r="F622" s="47" t="s">
        <v>3292</v>
      </c>
      <c r="H622" s="48" t="s">
        <v>886</v>
      </c>
      <c r="I622" s="46" t="s">
        <v>3305</v>
      </c>
      <c r="J622" s="49" t="s">
        <v>899</v>
      </c>
      <c r="L622" s="49">
        <v>6</v>
      </c>
      <c r="M622" s="50">
        <v>3000000</v>
      </c>
      <c r="N622" s="51">
        <v>3900000</v>
      </c>
      <c r="O622" s="50" t="s">
        <v>891</v>
      </c>
      <c r="P622" s="65" t="s">
        <v>3294</v>
      </c>
      <c r="Q622" s="46" t="s">
        <v>29</v>
      </c>
      <c r="R622" s="47" t="s">
        <v>3293</v>
      </c>
      <c r="S622" s="47" t="s">
        <v>3306</v>
      </c>
      <c r="U622" s="46" t="s">
        <v>491</v>
      </c>
    </row>
    <row r="623" spans="1:21" ht="30" x14ac:dyDescent="0.25">
      <c r="A623" s="45">
        <v>42590</v>
      </c>
      <c r="B623" s="46" t="s">
        <v>378</v>
      </c>
      <c r="C623" s="45" t="s">
        <v>610</v>
      </c>
      <c r="D623" s="46" t="s">
        <v>1027</v>
      </c>
      <c r="E623" s="46" t="s">
        <v>3748</v>
      </c>
      <c r="F623" s="47" t="s">
        <v>3295</v>
      </c>
      <c r="H623" s="48" t="s">
        <v>607</v>
      </c>
      <c r="I623" s="46" t="s">
        <v>789</v>
      </c>
      <c r="J623" s="49" t="s">
        <v>899</v>
      </c>
      <c r="L623" s="49">
        <v>2</v>
      </c>
      <c r="M623" s="50">
        <v>3466000</v>
      </c>
      <c r="N623" s="51">
        <v>4237600</v>
      </c>
      <c r="O623" s="50" t="s">
        <v>831</v>
      </c>
      <c r="P623" s="65" t="s">
        <v>3296</v>
      </c>
      <c r="Q623" s="46" t="s">
        <v>592</v>
      </c>
      <c r="U623" s="46" t="s">
        <v>491</v>
      </c>
    </row>
    <row r="624" spans="1:21" ht="45" x14ac:dyDescent="0.25">
      <c r="A624" s="45">
        <v>42590</v>
      </c>
      <c r="B624" s="46" t="s">
        <v>328</v>
      </c>
      <c r="C624" s="45" t="s">
        <v>603</v>
      </c>
      <c r="D624" s="46" t="s">
        <v>1401</v>
      </c>
      <c r="E624" s="46" t="s">
        <v>588</v>
      </c>
      <c r="F624" s="47" t="s">
        <v>3281</v>
      </c>
      <c r="H624" s="47" t="s">
        <v>905</v>
      </c>
      <c r="I624" s="46" t="s">
        <v>3282</v>
      </c>
      <c r="J624" s="49" t="s">
        <v>3368</v>
      </c>
      <c r="L624" s="49">
        <v>10</v>
      </c>
      <c r="M624" s="50">
        <v>110000</v>
      </c>
      <c r="N624" s="51">
        <v>120000</v>
      </c>
      <c r="O624" s="50" t="s">
        <v>764</v>
      </c>
      <c r="P624" s="65" t="s">
        <v>3283</v>
      </c>
      <c r="Q624" s="46" t="s">
        <v>1939</v>
      </c>
      <c r="R624" s="47" t="s">
        <v>3291</v>
      </c>
      <c r="U624" s="46" t="s">
        <v>491</v>
      </c>
    </row>
    <row r="625" spans="1:21" ht="60" x14ac:dyDescent="0.25">
      <c r="A625" s="45">
        <v>42590</v>
      </c>
      <c r="B625" s="46" t="s">
        <v>328</v>
      </c>
      <c r="C625" s="45" t="s">
        <v>603</v>
      </c>
      <c r="D625" s="46" t="s">
        <v>1471</v>
      </c>
      <c r="E625" s="46" t="s">
        <v>588</v>
      </c>
      <c r="F625" s="47" t="s">
        <v>3271</v>
      </c>
      <c r="H625" s="47" t="s">
        <v>607</v>
      </c>
      <c r="I625" s="46" t="s">
        <v>3272</v>
      </c>
      <c r="J625" s="49" t="s">
        <v>899</v>
      </c>
      <c r="O625" s="50" t="s">
        <v>2180</v>
      </c>
      <c r="P625" s="65" t="s">
        <v>3273</v>
      </c>
      <c r="Q625" s="46" t="s">
        <v>1939</v>
      </c>
      <c r="R625" s="47" t="s">
        <v>3274</v>
      </c>
      <c r="U625" s="46" t="s">
        <v>491</v>
      </c>
    </row>
    <row r="626" spans="1:21" ht="45" x14ac:dyDescent="0.25">
      <c r="A626" s="45">
        <v>42591</v>
      </c>
      <c r="B626" s="46" t="s">
        <v>378</v>
      </c>
      <c r="C626" s="45" t="s">
        <v>610</v>
      </c>
      <c r="D626" s="46" t="s">
        <v>732</v>
      </c>
      <c r="E626" s="46" t="s">
        <v>588</v>
      </c>
      <c r="F626" s="47" t="s">
        <v>3297</v>
      </c>
      <c r="H626" s="48" t="s">
        <v>905</v>
      </c>
      <c r="I626" s="46" t="s">
        <v>3298</v>
      </c>
      <c r="J626" s="49" t="s">
        <v>899</v>
      </c>
      <c r="L626" s="49">
        <v>4</v>
      </c>
      <c r="M626" s="50">
        <v>2500000</v>
      </c>
      <c r="N626" s="51">
        <v>3010000</v>
      </c>
      <c r="O626" s="50" t="s">
        <v>891</v>
      </c>
      <c r="P626" s="65" t="s">
        <v>3299</v>
      </c>
      <c r="Q626" s="46" t="s">
        <v>1939</v>
      </c>
      <c r="R626" s="47" t="s">
        <v>3300</v>
      </c>
      <c r="U626" s="46" t="s">
        <v>491</v>
      </c>
    </row>
    <row r="627" spans="1:21" ht="60" x14ac:dyDescent="0.25">
      <c r="A627" s="45">
        <v>42591</v>
      </c>
      <c r="B627" s="46" t="s">
        <v>1486</v>
      </c>
      <c r="C627" s="45" t="s">
        <v>1363</v>
      </c>
      <c r="D627" s="46" t="s">
        <v>2346</v>
      </c>
      <c r="E627" s="46" t="s">
        <v>588</v>
      </c>
      <c r="F627" s="47" t="s">
        <v>3307</v>
      </c>
      <c r="H627" s="48" t="s">
        <v>607</v>
      </c>
      <c r="I627" s="46" t="s">
        <v>3055</v>
      </c>
      <c r="J627" s="49" t="s">
        <v>602</v>
      </c>
      <c r="L627" s="49">
        <v>1</v>
      </c>
      <c r="O627" s="50" t="s">
        <v>3308</v>
      </c>
      <c r="P627" s="65" t="s">
        <v>3309</v>
      </c>
      <c r="Q627" s="46" t="s">
        <v>620</v>
      </c>
      <c r="R627" s="47" t="s">
        <v>3310</v>
      </c>
      <c r="U627" s="46" t="s">
        <v>491</v>
      </c>
    </row>
    <row r="628" spans="1:21" ht="75" x14ac:dyDescent="0.25">
      <c r="A628" s="45">
        <v>42591</v>
      </c>
      <c r="B628" s="46" t="s">
        <v>378</v>
      </c>
      <c r="C628" s="45" t="s">
        <v>623</v>
      </c>
      <c r="D628" s="46" t="s">
        <v>930</v>
      </c>
      <c r="E628" s="46" t="s">
        <v>588</v>
      </c>
      <c r="F628" s="47" t="s">
        <v>3311</v>
      </c>
      <c r="H628" s="48" t="s">
        <v>607</v>
      </c>
      <c r="I628" s="46" t="s">
        <v>2439</v>
      </c>
      <c r="J628" s="49" t="s">
        <v>899</v>
      </c>
      <c r="L628" s="49">
        <v>2</v>
      </c>
      <c r="M628" s="50">
        <v>1113000</v>
      </c>
      <c r="O628" s="50" t="s">
        <v>3312</v>
      </c>
      <c r="P628" s="65" t="s">
        <v>3313</v>
      </c>
      <c r="Q628" s="46" t="s">
        <v>1939</v>
      </c>
      <c r="R628" s="47" t="s">
        <v>3314</v>
      </c>
      <c r="U628" s="46" t="s">
        <v>491</v>
      </c>
    </row>
    <row r="629" spans="1:21" ht="75" x14ac:dyDescent="0.25">
      <c r="A629" s="45">
        <v>42591</v>
      </c>
      <c r="B629" s="46" t="s">
        <v>1486</v>
      </c>
      <c r="C629" s="45" t="s">
        <v>1883</v>
      </c>
      <c r="D629" s="46" t="s">
        <v>595</v>
      </c>
      <c r="E629" s="46" t="s">
        <v>588</v>
      </c>
      <c r="F629" s="47" t="s">
        <v>3316</v>
      </c>
      <c r="H629" s="48" t="s">
        <v>3317</v>
      </c>
      <c r="I629" s="46" t="s">
        <v>3318</v>
      </c>
      <c r="J629" s="49" t="s">
        <v>959</v>
      </c>
      <c r="M629" s="50">
        <v>498000</v>
      </c>
      <c r="N629" s="51">
        <v>594000</v>
      </c>
      <c r="O629" s="50" t="s">
        <v>3319</v>
      </c>
      <c r="P629" s="65" t="s">
        <v>3320</v>
      </c>
      <c r="Q629" s="46" t="s">
        <v>29</v>
      </c>
      <c r="R629" s="47" t="s">
        <v>3321</v>
      </c>
      <c r="U629" s="46" t="s">
        <v>491</v>
      </c>
    </row>
    <row r="630" spans="1:21" ht="90" x14ac:dyDescent="0.25">
      <c r="A630" s="45">
        <v>42590</v>
      </c>
      <c r="B630" s="46" t="s">
        <v>328</v>
      </c>
      <c r="C630" s="45" t="s">
        <v>603</v>
      </c>
      <c r="D630" s="46" t="s">
        <v>1471</v>
      </c>
      <c r="E630" s="46" t="s">
        <v>588</v>
      </c>
      <c r="F630" s="47" t="s">
        <v>3288</v>
      </c>
      <c r="H630" s="47" t="s">
        <v>2074</v>
      </c>
      <c r="I630" s="46" t="s">
        <v>2643</v>
      </c>
      <c r="J630" s="49" t="s">
        <v>899</v>
      </c>
      <c r="L630" s="49">
        <v>3</v>
      </c>
      <c r="M630" s="50">
        <v>1800000</v>
      </c>
      <c r="N630" s="51">
        <v>3240000</v>
      </c>
      <c r="O630" s="50" t="s">
        <v>891</v>
      </c>
      <c r="P630" s="65" t="s">
        <v>3290</v>
      </c>
      <c r="Q630" s="46" t="s">
        <v>620</v>
      </c>
      <c r="R630" s="47" t="s">
        <v>3289</v>
      </c>
      <c r="U630" s="46" t="s">
        <v>491</v>
      </c>
    </row>
    <row r="631" spans="1:21" ht="60" x14ac:dyDescent="0.25">
      <c r="A631" s="45">
        <v>42592</v>
      </c>
      <c r="B631" s="46" t="s">
        <v>378</v>
      </c>
      <c r="C631" s="45" t="s">
        <v>623</v>
      </c>
      <c r="D631" s="46" t="s">
        <v>625</v>
      </c>
      <c r="E631" s="46" t="s">
        <v>588</v>
      </c>
      <c r="F631" s="47" t="s">
        <v>3328</v>
      </c>
      <c r="H631" s="48" t="s">
        <v>905</v>
      </c>
      <c r="I631" s="46" t="s">
        <v>679</v>
      </c>
      <c r="J631" s="49" t="s">
        <v>899</v>
      </c>
      <c r="L631" s="49">
        <v>3</v>
      </c>
      <c r="M631" s="50">
        <v>850000</v>
      </c>
      <c r="N631" s="51">
        <v>1530000</v>
      </c>
      <c r="O631" s="50" t="s">
        <v>3107</v>
      </c>
      <c r="P631" s="65" t="s">
        <v>3329</v>
      </c>
      <c r="Q631" s="46" t="s">
        <v>1939</v>
      </c>
      <c r="R631" s="47" t="s">
        <v>3335</v>
      </c>
      <c r="U631" s="46" t="s">
        <v>491</v>
      </c>
    </row>
    <row r="632" spans="1:21" ht="30" x14ac:dyDescent="0.25">
      <c r="A632" s="45">
        <v>42592</v>
      </c>
      <c r="B632" s="46" t="s">
        <v>378</v>
      </c>
      <c r="C632" s="45" t="s">
        <v>623</v>
      </c>
      <c r="D632" s="46" t="s">
        <v>625</v>
      </c>
      <c r="E632" s="46" t="s">
        <v>588</v>
      </c>
      <c r="F632" s="47" t="s">
        <v>3330</v>
      </c>
      <c r="H632" s="48" t="s">
        <v>905</v>
      </c>
      <c r="I632" s="46" t="s">
        <v>1891</v>
      </c>
      <c r="J632" s="49" t="s">
        <v>899</v>
      </c>
      <c r="L632" s="49">
        <v>2</v>
      </c>
      <c r="M632" s="50">
        <v>2800000</v>
      </c>
      <c r="N632" s="51">
        <v>3420000</v>
      </c>
      <c r="O632" s="50" t="s">
        <v>560</v>
      </c>
      <c r="P632" s="65" t="s">
        <v>3331</v>
      </c>
      <c r="Q632" s="46" t="s">
        <v>592</v>
      </c>
      <c r="U632" s="46" t="s">
        <v>491</v>
      </c>
    </row>
    <row r="633" spans="1:21" ht="75" x14ac:dyDescent="0.25">
      <c r="A633" s="45">
        <v>42591</v>
      </c>
      <c r="B633" s="46" t="s">
        <v>328</v>
      </c>
      <c r="C633" s="45" t="s">
        <v>603</v>
      </c>
      <c r="D633" s="46" t="s">
        <v>1471</v>
      </c>
      <c r="E633" s="46" t="s">
        <v>588</v>
      </c>
      <c r="F633" s="47" t="s">
        <v>3301</v>
      </c>
      <c r="H633" s="47" t="s">
        <v>1365</v>
      </c>
      <c r="I633" s="46" t="s">
        <v>3302</v>
      </c>
      <c r="J633" s="49" t="s">
        <v>3371</v>
      </c>
      <c r="L633" s="49">
        <v>5</v>
      </c>
      <c r="M633" s="50">
        <v>25000</v>
      </c>
      <c r="N633" s="51">
        <v>65000</v>
      </c>
      <c r="O633" s="50" t="s">
        <v>2503</v>
      </c>
      <c r="P633" s="65" t="s">
        <v>3303</v>
      </c>
      <c r="Q633" s="46" t="s">
        <v>1939</v>
      </c>
      <c r="R633" s="47" t="s">
        <v>3304</v>
      </c>
      <c r="U633" s="46" t="s">
        <v>491</v>
      </c>
    </row>
    <row r="634" spans="1:21" ht="90" x14ac:dyDescent="0.25">
      <c r="A634" s="45">
        <v>42592</v>
      </c>
      <c r="B634" s="46" t="s">
        <v>328</v>
      </c>
      <c r="C634" s="45" t="s">
        <v>603</v>
      </c>
      <c r="D634" s="46" t="s">
        <v>1471</v>
      </c>
      <c r="E634" s="46" t="s">
        <v>588</v>
      </c>
      <c r="F634" s="47" t="s">
        <v>3332</v>
      </c>
      <c r="H634" s="47" t="s">
        <v>607</v>
      </c>
      <c r="I634" s="46" t="s">
        <v>2666</v>
      </c>
      <c r="J634" s="49" t="s">
        <v>3373</v>
      </c>
      <c r="L634" s="49">
        <v>4</v>
      </c>
      <c r="M634" s="50">
        <v>628000</v>
      </c>
      <c r="N634" s="51">
        <v>1287400</v>
      </c>
      <c r="O634" s="50" t="s">
        <v>3333</v>
      </c>
      <c r="P634" s="65" t="s">
        <v>3334</v>
      </c>
      <c r="Q634" s="46" t="s">
        <v>1939</v>
      </c>
      <c r="R634" s="47" t="s">
        <v>3336</v>
      </c>
      <c r="U634" s="46" t="s">
        <v>491</v>
      </c>
    </row>
    <row r="635" spans="1:21" ht="75" x14ac:dyDescent="0.25">
      <c r="A635" s="45">
        <v>42592</v>
      </c>
      <c r="B635" s="46" t="s">
        <v>328</v>
      </c>
      <c r="C635" s="45" t="s">
        <v>603</v>
      </c>
      <c r="D635" s="46" t="s">
        <v>1471</v>
      </c>
      <c r="E635" s="46" t="s">
        <v>588</v>
      </c>
      <c r="F635" s="47" t="s">
        <v>3322</v>
      </c>
      <c r="H635" s="47" t="s">
        <v>722</v>
      </c>
      <c r="I635" s="46" t="s">
        <v>3323</v>
      </c>
      <c r="J635" s="49" t="s">
        <v>3372</v>
      </c>
      <c r="L635" s="49">
        <v>10</v>
      </c>
      <c r="M635" s="50">
        <v>350000</v>
      </c>
      <c r="N635" s="51">
        <v>630000</v>
      </c>
      <c r="O635" s="50" t="s">
        <v>2680</v>
      </c>
      <c r="P635" s="65" t="s">
        <v>3324</v>
      </c>
      <c r="Q635" s="46" t="s">
        <v>620</v>
      </c>
      <c r="R635" s="47" t="s">
        <v>3325</v>
      </c>
      <c r="U635" s="46" t="s">
        <v>491</v>
      </c>
    </row>
    <row r="636" spans="1:21" ht="75" x14ac:dyDescent="0.25">
      <c r="A636" s="45">
        <v>42593</v>
      </c>
      <c r="B636" s="46" t="s">
        <v>378</v>
      </c>
      <c r="C636" s="45" t="s">
        <v>610</v>
      </c>
      <c r="D636" s="46" t="s">
        <v>1027</v>
      </c>
      <c r="E636" s="46" t="s">
        <v>588</v>
      </c>
      <c r="F636" s="47" t="s">
        <v>3346</v>
      </c>
      <c r="H636" s="48" t="s">
        <v>1774</v>
      </c>
      <c r="I636" s="46" t="s">
        <v>3347</v>
      </c>
      <c r="J636" s="49" t="s">
        <v>899</v>
      </c>
      <c r="L636" s="49">
        <v>5</v>
      </c>
      <c r="M636" s="50">
        <v>296000</v>
      </c>
      <c r="N636" s="51">
        <v>237096</v>
      </c>
      <c r="O636" s="50" t="s">
        <v>3348</v>
      </c>
      <c r="P636" s="65" t="s">
        <v>3349</v>
      </c>
      <c r="Q636" s="46" t="s">
        <v>1939</v>
      </c>
      <c r="R636" s="47" t="s">
        <v>3350</v>
      </c>
      <c r="S636" s="47" t="s">
        <v>3457</v>
      </c>
      <c r="U636" s="46" t="s">
        <v>491</v>
      </c>
    </row>
    <row r="637" spans="1:21" ht="45" x14ac:dyDescent="0.25">
      <c r="A637" s="45">
        <v>42593</v>
      </c>
      <c r="B637" s="46" t="s">
        <v>110</v>
      </c>
      <c r="D637" s="46" t="s">
        <v>715</v>
      </c>
      <c r="E637" s="46" t="s">
        <v>588</v>
      </c>
      <c r="F637" s="47" t="s">
        <v>3352</v>
      </c>
      <c r="H637" s="48" t="s">
        <v>607</v>
      </c>
      <c r="I637" s="46" t="s">
        <v>3353</v>
      </c>
      <c r="J637" s="49" t="s">
        <v>761</v>
      </c>
      <c r="L637" s="49">
        <v>9</v>
      </c>
      <c r="M637" s="50">
        <v>280000</v>
      </c>
      <c r="N637" s="51">
        <v>470000</v>
      </c>
      <c r="O637" s="50" t="s">
        <v>3354</v>
      </c>
      <c r="P637" s="65" t="s">
        <v>3355</v>
      </c>
      <c r="Q637" s="46" t="s">
        <v>620</v>
      </c>
      <c r="R637" s="47" t="s">
        <v>3356</v>
      </c>
      <c r="U637" s="46" t="s">
        <v>491</v>
      </c>
    </row>
    <row r="638" spans="1:21" ht="60" x14ac:dyDescent="0.25">
      <c r="A638" s="45">
        <v>42593</v>
      </c>
      <c r="B638" s="46" t="s">
        <v>320</v>
      </c>
      <c r="C638" s="45" t="s">
        <v>1228</v>
      </c>
      <c r="D638" s="46" t="s">
        <v>1229</v>
      </c>
      <c r="E638" s="46" t="s">
        <v>588</v>
      </c>
      <c r="F638" s="47" t="s">
        <v>3360</v>
      </c>
      <c r="H638" s="48" t="s">
        <v>607</v>
      </c>
      <c r="O638" s="50" t="s">
        <v>3361</v>
      </c>
      <c r="P638" s="65" t="s">
        <v>3362</v>
      </c>
      <c r="Q638" s="46" t="s">
        <v>1939</v>
      </c>
      <c r="R638" s="47" t="s">
        <v>3363</v>
      </c>
      <c r="U638" s="46" t="s">
        <v>491</v>
      </c>
    </row>
    <row r="639" spans="1:21" ht="45" x14ac:dyDescent="0.25">
      <c r="A639" s="45">
        <v>42593</v>
      </c>
      <c r="B639" s="46" t="s">
        <v>378</v>
      </c>
      <c r="C639" s="45" t="s">
        <v>623</v>
      </c>
      <c r="D639" s="46" t="s">
        <v>930</v>
      </c>
      <c r="E639" s="46" t="s">
        <v>821</v>
      </c>
      <c r="H639" s="48" t="s">
        <v>607</v>
      </c>
      <c r="J639" s="49" t="s">
        <v>899</v>
      </c>
      <c r="M639" s="50">
        <v>216000</v>
      </c>
      <c r="O639" s="50" t="s">
        <v>3375</v>
      </c>
      <c r="P639" s="65" t="s">
        <v>3376</v>
      </c>
      <c r="Q639" s="46" t="s">
        <v>29</v>
      </c>
      <c r="R639" s="47" t="s">
        <v>3377</v>
      </c>
      <c r="U639" s="46" t="s">
        <v>491</v>
      </c>
    </row>
    <row r="640" spans="1:21" ht="75" x14ac:dyDescent="0.25">
      <c r="A640" s="45">
        <v>42593</v>
      </c>
      <c r="B640" s="46" t="s">
        <v>378</v>
      </c>
      <c r="C640" s="45" t="s">
        <v>623</v>
      </c>
      <c r="D640" s="46" t="s">
        <v>930</v>
      </c>
      <c r="E640" s="46" t="s">
        <v>821</v>
      </c>
      <c r="F640" s="47" t="s">
        <v>3378</v>
      </c>
      <c r="H640" s="48" t="s">
        <v>607</v>
      </c>
      <c r="J640" s="49" t="s">
        <v>899</v>
      </c>
      <c r="N640" s="51">
        <v>525000</v>
      </c>
      <c r="O640" s="50" t="s">
        <v>3379</v>
      </c>
      <c r="P640" s="65" t="s">
        <v>3380</v>
      </c>
      <c r="Q640" s="46" t="s">
        <v>1939</v>
      </c>
      <c r="R640" s="47" t="s">
        <v>3381</v>
      </c>
      <c r="U640" s="46" t="s">
        <v>491</v>
      </c>
    </row>
    <row r="641" spans="1:21" ht="30" x14ac:dyDescent="0.25">
      <c r="A641" s="45">
        <v>42593</v>
      </c>
      <c r="B641" s="46" t="s">
        <v>378</v>
      </c>
      <c r="C641" s="45" t="s">
        <v>623</v>
      </c>
      <c r="D641" s="46" t="s">
        <v>625</v>
      </c>
      <c r="E641" s="46" t="s">
        <v>821</v>
      </c>
      <c r="H641" s="48" t="s">
        <v>607</v>
      </c>
      <c r="I641" s="46" t="s">
        <v>3382</v>
      </c>
      <c r="J641" s="49" t="s">
        <v>899</v>
      </c>
      <c r="O641" s="50" t="s">
        <v>2758</v>
      </c>
      <c r="P641" s="65" t="s">
        <v>3383</v>
      </c>
      <c r="Q641" s="46" t="s">
        <v>620</v>
      </c>
      <c r="R641" s="47" t="s">
        <v>3384</v>
      </c>
      <c r="U641" s="46" t="s">
        <v>491</v>
      </c>
    </row>
    <row r="642" spans="1:21" ht="30" x14ac:dyDescent="0.25">
      <c r="A642" s="45">
        <v>42593</v>
      </c>
      <c r="B642" s="46" t="s">
        <v>378</v>
      </c>
      <c r="C642" s="45" t="s">
        <v>623</v>
      </c>
      <c r="D642" s="46" t="s">
        <v>625</v>
      </c>
      <c r="E642" s="46" t="s">
        <v>821</v>
      </c>
      <c r="H642" s="48" t="s">
        <v>607</v>
      </c>
      <c r="J642" s="49" t="s">
        <v>899</v>
      </c>
      <c r="O642" s="50" t="s">
        <v>695</v>
      </c>
      <c r="P642" s="65" t="s">
        <v>3385</v>
      </c>
      <c r="Q642" s="46" t="s">
        <v>592</v>
      </c>
      <c r="R642" s="47" t="s">
        <v>3386</v>
      </c>
      <c r="U642" s="46" t="s">
        <v>491</v>
      </c>
    </row>
    <row r="643" spans="1:21" ht="30" x14ac:dyDescent="0.25">
      <c r="A643" s="45">
        <v>42593</v>
      </c>
      <c r="B643" s="46" t="s">
        <v>378</v>
      </c>
      <c r="C643" s="45" t="s">
        <v>623</v>
      </c>
      <c r="D643" s="46" t="s">
        <v>625</v>
      </c>
      <c r="E643" s="46" t="s">
        <v>588</v>
      </c>
      <c r="F643" s="47" t="s">
        <v>3387</v>
      </c>
      <c r="H643" s="48" t="s">
        <v>905</v>
      </c>
      <c r="I643" s="46" t="s">
        <v>3388</v>
      </c>
      <c r="J643" s="49" t="s">
        <v>899</v>
      </c>
      <c r="L643" s="49">
        <v>3</v>
      </c>
      <c r="M643" s="50">
        <v>2500000</v>
      </c>
      <c r="N643" s="51">
        <v>3500000</v>
      </c>
      <c r="O643" s="50" t="s">
        <v>560</v>
      </c>
      <c r="P643" s="65" t="s">
        <v>3389</v>
      </c>
      <c r="Q643" s="46" t="s">
        <v>1939</v>
      </c>
      <c r="R643" s="47" t="s">
        <v>3390</v>
      </c>
      <c r="U643" s="46" t="s">
        <v>491</v>
      </c>
    </row>
    <row r="644" spans="1:21" ht="30" x14ac:dyDescent="0.25">
      <c r="A644" s="45">
        <v>42592</v>
      </c>
      <c r="B644" s="46" t="s">
        <v>328</v>
      </c>
      <c r="C644" s="45" t="s">
        <v>603</v>
      </c>
      <c r="D644" s="46" t="s">
        <v>672</v>
      </c>
      <c r="E644" s="46" t="s">
        <v>588</v>
      </c>
      <c r="F644" s="47" t="s">
        <v>3338</v>
      </c>
      <c r="H644" s="47" t="s">
        <v>607</v>
      </c>
      <c r="I644" s="46" t="s">
        <v>3339</v>
      </c>
      <c r="J644" s="49" t="s">
        <v>3374</v>
      </c>
      <c r="L644" s="49">
        <v>6</v>
      </c>
      <c r="M644" s="50">
        <v>125000</v>
      </c>
      <c r="N644" s="51">
        <v>140000</v>
      </c>
      <c r="O644" s="50" t="s">
        <v>3340</v>
      </c>
      <c r="P644" s="65" t="s">
        <v>3341</v>
      </c>
      <c r="Q644" s="46" t="s">
        <v>29</v>
      </c>
      <c r="R644" s="47" t="s">
        <v>3342</v>
      </c>
      <c r="U644" s="46" t="s">
        <v>491</v>
      </c>
    </row>
    <row r="645" spans="1:21" ht="60" x14ac:dyDescent="0.25">
      <c r="A645" s="45">
        <v>42592</v>
      </c>
      <c r="B645" s="46" t="s">
        <v>328</v>
      </c>
      <c r="C645" s="45" t="s">
        <v>603</v>
      </c>
      <c r="D645" s="46" t="s">
        <v>1401</v>
      </c>
      <c r="E645" s="46" t="s">
        <v>588</v>
      </c>
      <c r="F645" s="47" t="s">
        <v>3326</v>
      </c>
      <c r="H645" s="47" t="s">
        <v>607</v>
      </c>
      <c r="I645" s="46" t="s">
        <v>3327</v>
      </c>
      <c r="J645" s="49" t="s">
        <v>3370</v>
      </c>
      <c r="L645" s="49">
        <v>2</v>
      </c>
      <c r="M645" s="50">
        <v>2600000</v>
      </c>
      <c r="N645" s="51">
        <v>4420000</v>
      </c>
      <c r="O645" s="50" t="s">
        <v>891</v>
      </c>
      <c r="P645" s="65" t="s">
        <v>3359</v>
      </c>
      <c r="Q645" s="46" t="s">
        <v>620</v>
      </c>
      <c r="R645" s="47" t="s">
        <v>3358</v>
      </c>
      <c r="S645" s="47" t="s">
        <v>3357</v>
      </c>
      <c r="U645" s="46" t="s">
        <v>491</v>
      </c>
    </row>
    <row r="646" spans="1:21" ht="60" x14ac:dyDescent="0.25">
      <c r="A646" s="45">
        <v>42594</v>
      </c>
      <c r="B646" s="46" t="s">
        <v>328</v>
      </c>
      <c r="C646" s="45" t="s">
        <v>603</v>
      </c>
      <c r="D646" s="46" t="s">
        <v>1471</v>
      </c>
      <c r="E646" s="46" t="s">
        <v>588</v>
      </c>
      <c r="F646" s="47" t="s">
        <v>3391</v>
      </c>
      <c r="H646" s="47" t="s">
        <v>607</v>
      </c>
      <c r="I646" s="46" t="s">
        <v>3392</v>
      </c>
      <c r="J646" s="49" t="s">
        <v>899</v>
      </c>
      <c r="L646" s="49">
        <v>9</v>
      </c>
      <c r="M646" s="50">
        <v>596000</v>
      </c>
      <c r="N646" s="51">
        <v>1013200</v>
      </c>
      <c r="O646" s="50" t="s">
        <v>3393</v>
      </c>
      <c r="P646" s="65" t="s">
        <v>3394</v>
      </c>
      <c r="Q646" s="46" t="s">
        <v>1939</v>
      </c>
      <c r="R646" s="47" t="s">
        <v>3395</v>
      </c>
      <c r="U646" s="46" t="s">
        <v>491</v>
      </c>
    </row>
    <row r="647" spans="1:21" ht="30" x14ac:dyDescent="0.25">
      <c r="A647" s="45">
        <v>42594</v>
      </c>
      <c r="B647" s="46" t="s">
        <v>328</v>
      </c>
      <c r="C647" s="45" t="s">
        <v>603</v>
      </c>
      <c r="D647" s="46" t="s">
        <v>3211</v>
      </c>
      <c r="E647" s="46" t="s">
        <v>588</v>
      </c>
      <c r="F647" s="47" t="s">
        <v>3396</v>
      </c>
      <c r="H647" s="47" t="s">
        <v>1890</v>
      </c>
      <c r="I647" s="46" t="s">
        <v>3397</v>
      </c>
      <c r="J647" s="49" t="s">
        <v>3398</v>
      </c>
      <c r="L647" s="49">
        <v>3</v>
      </c>
      <c r="M647" s="50">
        <v>660000</v>
      </c>
      <c r="N647" s="51">
        <v>941000</v>
      </c>
      <c r="O647" s="50" t="s">
        <v>1844</v>
      </c>
      <c r="P647" s="65" t="s">
        <v>3399</v>
      </c>
      <c r="Q647" s="46" t="s">
        <v>592</v>
      </c>
      <c r="U647" s="46" t="s">
        <v>491</v>
      </c>
    </row>
    <row r="648" spans="1:21" ht="60" x14ac:dyDescent="0.25">
      <c r="A648" s="45">
        <v>42594</v>
      </c>
      <c r="B648" s="46" t="s">
        <v>1486</v>
      </c>
      <c r="C648" s="45" t="s">
        <v>1363</v>
      </c>
      <c r="D648" s="46" t="s">
        <v>1495</v>
      </c>
      <c r="E648" s="46" t="s">
        <v>821</v>
      </c>
      <c r="H648" s="48" t="s">
        <v>886</v>
      </c>
      <c r="M648" s="50">
        <v>1000000</v>
      </c>
      <c r="O648" s="50" t="s">
        <v>2121</v>
      </c>
      <c r="P648" s="65" t="s">
        <v>3400</v>
      </c>
      <c r="Q648" s="46" t="s">
        <v>29</v>
      </c>
      <c r="R648" s="47" t="s">
        <v>3401</v>
      </c>
      <c r="U648" s="46" t="s">
        <v>491</v>
      </c>
    </row>
    <row r="649" spans="1:21" ht="75" x14ac:dyDescent="0.25">
      <c r="A649" s="45">
        <v>42594</v>
      </c>
      <c r="B649" s="46" t="s">
        <v>643</v>
      </c>
      <c r="C649" s="45" t="s">
        <v>644</v>
      </c>
      <c r="D649" s="46" t="s">
        <v>645</v>
      </c>
      <c r="E649" s="46" t="s">
        <v>588</v>
      </c>
      <c r="F649" s="47" t="s">
        <v>3402</v>
      </c>
      <c r="H649" s="48" t="s">
        <v>722</v>
      </c>
      <c r="J649" s="49" t="s">
        <v>644</v>
      </c>
      <c r="L649" s="49">
        <v>10</v>
      </c>
      <c r="M649" s="50">
        <v>125000</v>
      </c>
      <c r="N649" s="51">
        <v>172000</v>
      </c>
      <c r="O649" s="50" t="s">
        <v>3403</v>
      </c>
      <c r="P649" s="65" t="s">
        <v>3404</v>
      </c>
      <c r="Q649" s="46" t="s">
        <v>620</v>
      </c>
      <c r="R649" s="47" t="s">
        <v>3406</v>
      </c>
      <c r="U649" s="46" t="s">
        <v>491</v>
      </c>
    </row>
    <row r="650" spans="1:21" ht="60" x14ac:dyDescent="0.25">
      <c r="A650" s="45">
        <v>42594</v>
      </c>
      <c r="B650" s="46" t="s">
        <v>328</v>
      </c>
      <c r="C650" s="45" t="s">
        <v>603</v>
      </c>
      <c r="D650" s="46" t="s">
        <v>1401</v>
      </c>
      <c r="E650" s="46" t="s">
        <v>588</v>
      </c>
      <c r="F650" s="47" t="s">
        <v>3407</v>
      </c>
      <c r="H650" s="47" t="s">
        <v>607</v>
      </c>
      <c r="I650" s="46" t="s">
        <v>3408</v>
      </c>
      <c r="J650" s="49" t="s">
        <v>3371</v>
      </c>
      <c r="L650" s="49">
        <v>4</v>
      </c>
      <c r="M650" s="50">
        <v>194000</v>
      </c>
      <c r="N650" s="51">
        <v>388000</v>
      </c>
      <c r="O650" s="50" t="s">
        <v>3409</v>
      </c>
      <c r="P650" s="65" t="s">
        <v>3410</v>
      </c>
      <c r="Q650" s="46" t="s">
        <v>620</v>
      </c>
      <c r="R650" s="47" t="s">
        <v>3411</v>
      </c>
      <c r="U650" s="46" t="s">
        <v>491</v>
      </c>
    </row>
    <row r="651" spans="1:21" ht="60" x14ac:dyDescent="0.25">
      <c r="A651" s="45">
        <v>42594</v>
      </c>
      <c r="B651" s="46" t="s">
        <v>328</v>
      </c>
      <c r="C651" s="45" t="s">
        <v>603</v>
      </c>
      <c r="D651" s="46" t="s">
        <v>3455</v>
      </c>
      <c r="E651" s="46" t="s">
        <v>588</v>
      </c>
      <c r="F651" s="47" t="s">
        <v>3412</v>
      </c>
      <c r="H651" s="47" t="s">
        <v>722</v>
      </c>
      <c r="I651" s="46" t="s">
        <v>3413</v>
      </c>
      <c r="J651" s="49" t="s">
        <v>899</v>
      </c>
      <c r="L651" s="49">
        <v>4</v>
      </c>
      <c r="M651" s="50">
        <v>2500000</v>
      </c>
      <c r="N651" s="51">
        <v>4875000</v>
      </c>
      <c r="O651" s="50" t="s">
        <v>560</v>
      </c>
      <c r="P651" s="65" t="s">
        <v>3414</v>
      </c>
      <c r="Q651" s="46" t="s">
        <v>29</v>
      </c>
      <c r="R651" s="47" t="s">
        <v>3456</v>
      </c>
      <c r="U651" s="46" t="s">
        <v>491</v>
      </c>
    </row>
    <row r="652" spans="1:21" ht="45" x14ac:dyDescent="0.25">
      <c r="A652" s="45">
        <v>42597</v>
      </c>
      <c r="B652" s="46" t="s">
        <v>328</v>
      </c>
      <c r="C652" s="45" t="s">
        <v>603</v>
      </c>
      <c r="D652" s="46" t="s">
        <v>1471</v>
      </c>
      <c r="E652" s="46" t="s">
        <v>588</v>
      </c>
      <c r="F652" s="47" t="s">
        <v>3424</v>
      </c>
      <c r="H652" s="47" t="s">
        <v>905</v>
      </c>
      <c r="I652" s="46" t="s">
        <v>3425</v>
      </c>
      <c r="J652" s="49" t="s">
        <v>3426</v>
      </c>
      <c r="M652" s="50">
        <v>145000</v>
      </c>
      <c r="N652" s="51">
        <v>175000</v>
      </c>
      <c r="O652" s="50" t="s">
        <v>3427</v>
      </c>
      <c r="P652" s="65" t="s">
        <v>3428</v>
      </c>
      <c r="Q652" s="46" t="s">
        <v>29</v>
      </c>
      <c r="R652" s="47" t="s">
        <v>3429</v>
      </c>
      <c r="U652" s="46" t="s">
        <v>491</v>
      </c>
    </row>
    <row r="653" spans="1:21" ht="60" x14ac:dyDescent="0.25">
      <c r="A653" s="45">
        <v>42597</v>
      </c>
      <c r="B653" s="46" t="s">
        <v>378</v>
      </c>
      <c r="C653" s="45" t="s">
        <v>610</v>
      </c>
      <c r="D653" s="46" t="s">
        <v>732</v>
      </c>
      <c r="E653" s="46" t="s">
        <v>588</v>
      </c>
      <c r="F653" s="47" t="s">
        <v>3420</v>
      </c>
      <c r="H653" s="48" t="s">
        <v>2074</v>
      </c>
      <c r="I653" s="46" t="s">
        <v>3421</v>
      </c>
      <c r="J653" s="49" t="s">
        <v>899</v>
      </c>
      <c r="L653" s="49">
        <v>4</v>
      </c>
      <c r="M653" s="50">
        <v>600000</v>
      </c>
      <c r="N653" s="51">
        <v>930000</v>
      </c>
      <c r="O653" s="50" t="s">
        <v>35</v>
      </c>
      <c r="P653" s="65" t="s">
        <v>3422</v>
      </c>
      <c r="Q653" s="46" t="s">
        <v>1939</v>
      </c>
      <c r="R653" s="47" t="s">
        <v>3423</v>
      </c>
      <c r="S653" s="47" t="s">
        <v>3430</v>
      </c>
      <c r="U653" s="46" t="s">
        <v>491</v>
      </c>
    </row>
    <row r="654" spans="1:21" ht="45" x14ac:dyDescent="0.25">
      <c r="A654" s="45">
        <v>42597</v>
      </c>
      <c r="B654" s="46" t="s">
        <v>378</v>
      </c>
      <c r="C654" s="45" t="s">
        <v>610</v>
      </c>
      <c r="D654" s="46" t="s">
        <v>732</v>
      </c>
      <c r="E654" s="46" t="s">
        <v>588</v>
      </c>
      <c r="F654" s="47" t="s">
        <v>3431</v>
      </c>
      <c r="H654" s="48" t="s">
        <v>607</v>
      </c>
      <c r="I654" s="46" t="s">
        <v>3432</v>
      </c>
      <c r="J654" s="49" t="s">
        <v>899</v>
      </c>
      <c r="L654" s="49">
        <v>2</v>
      </c>
      <c r="O654" s="50" t="s">
        <v>3433</v>
      </c>
      <c r="P654" s="65" t="s">
        <v>3434</v>
      </c>
      <c r="Q654" s="46" t="s">
        <v>29</v>
      </c>
      <c r="R654" s="47" t="s">
        <v>3435</v>
      </c>
      <c r="U654" s="46" t="s">
        <v>491</v>
      </c>
    </row>
    <row r="655" spans="1:21" ht="90" x14ac:dyDescent="0.25">
      <c r="A655" s="45">
        <v>42597</v>
      </c>
      <c r="B655" s="46" t="s">
        <v>328</v>
      </c>
      <c r="C655" s="45" t="s">
        <v>603</v>
      </c>
      <c r="D655" s="46" t="s">
        <v>1471</v>
      </c>
      <c r="E655" s="46" t="s">
        <v>588</v>
      </c>
      <c r="F655" s="47" t="s">
        <v>3415</v>
      </c>
      <c r="H655" s="47" t="s">
        <v>607</v>
      </c>
      <c r="I655" s="46" t="s">
        <v>3416</v>
      </c>
      <c r="J655" s="49" t="s">
        <v>3373</v>
      </c>
      <c r="L655" s="49">
        <v>5</v>
      </c>
      <c r="M655" s="50">
        <v>951800</v>
      </c>
      <c r="N655" s="51">
        <v>2083650</v>
      </c>
      <c r="O655" s="50" t="s">
        <v>3417</v>
      </c>
      <c r="P655" s="65" t="s">
        <v>3418</v>
      </c>
      <c r="Q655" s="46" t="s">
        <v>620</v>
      </c>
      <c r="R655" s="47" t="s">
        <v>3419</v>
      </c>
      <c r="U655" s="46" t="s">
        <v>491</v>
      </c>
    </row>
    <row r="656" spans="1:21" ht="75" x14ac:dyDescent="0.25">
      <c r="A656" s="45">
        <v>42598</v>
      </c>
      <c r="B656" s="46" t="s">
        <v>110</v>
      </c>
      <c r="D656" s="46" t="s">
        <v>715</v>
      </c>
      <c r="E656" s="46" t="s">
        <v>588</v>
      </c>
      <c r="F656" s="47" t="s">
        <v>3436</v>
      </c>
      <c r="H656" s="48" t="s">
        <v>905</v>
      </c>
      <c r="I656" s="46" t="s">
        <v>3437</v>
      </c>
      <c r="J656" s="49" t="s">
        <v>761</v>
      </c>
      <c r="L656" s="49">
        <v>9</v>
      </c>
      <c r="M656" s="50">
        <v>300000</v>
      </c>
      <c r="N656" s="51">
        <v>360000</v>
      </c>
      <c r="O656" s="50" t="s">
        <v>840</v>
      </c>
      <c r="P656" s="65" t="s">
        <v>3438</v>
      </c>
      <c r="Q656" s="46" t="s">
        <v>620</v>
      </c>
      <c r="R656" s="47" t="s">
        <v>3356</v>
      </c>
      <c r="U656" s="46" t="s">
        <v>491</v>
      </c>
    </row>
    <row r="657" spans="1:21" ht="30" x14ac:dyDescent="0.25">
      <c r="A657" s="45">
        <v>42598</v>
      </c>
      <c r="B657" s="46" t="s">
        <v>378</v>
      </c>
      <c r="C657" s="45" t="s">
        <v>623</v>
      </c>
      <c r="D657" s="46" t="s">
        <v>930</v>
      </c>
      <c r="E657" s="46" t="s">
        <v>588</v>
      </c>
      <c r="F657" s="47" t="s">
        <v>3440</v>
      </c>
      <c r="H657" s="48" t="s">
        <v>607</v>
      </c>
      <c r="I657" s="46" t="s">
        <v>3441</v>
      </c>
      <c r="J657" s="49" t="s">
        <v>899</v>
      </c>
      <c r="L657" s="49">
        <v>3</v>
      </c>
      <c r="M657" s="50">
        <v>2150000</v>
      </c>
      <c r="N657" s="51">
        <v>4040000</v>
      </c>
      <c r="O657" s="50" t="s">
        <v>560</v>
      </c>
      <c r="P657" s="65" t="s">
        <v>3442</v>
      </c>
      <c r="Q657" s="46" t="s">
        <v>592</v>
      </c>
      <c r="U657" s="46" t="s">
        <v>491</v>
      </c>
    </row>
    <row r="658" spans="1:21" ht="60" x14ac:dyDescent="0.25">
      <c r="A658" s="45">
        <v>42598</v>
      </c>
      <c r="B658" s="46" t="s">
        <v>110</v>
      </c>
      <c r="D658" s="46" t="s">
        <v>715</v>
      </c>
      <c r="E658" s="46" t="s">
        <v>588</v>
      </c>
      <c r="F658" s="47" t="s">
        <v>3443</v>
      </c>
      <c r="H658" s="48" t="s">
        <v>607</v>
      </c>
      <c r="I658" s="46" t="s">
        <v>3444</v>
      </c>
      <c r="J658" s="49" t="s">
        <v>608</v>
      </c>
      <c r="L658" s="49">
        <v>5</v>
      </c>
      <c r="M658" s="50">
        <v>1259850</v>
      </c>
      <c r="N658" s="51">
        <v>1800000</v>
      </c>
      <c r="O658" s="50" t="s">
        <v>3445</v>
      </c>
      <c r="P658" s="65" t="s">
        <v>3446</v>
      </c>
      <c r="Q658" s="46" t="s">
        <v>29</v>
      </c>
      <c r="U658" s="46" t="s">
        <v>491</v>
      </c>
    </row>
    <row r="659" spans="1:21" ht="45" x14ac:dyDescent="0.25">
      <c r="A659" s="45">
        <v>42598</v>
      </c>
      <c r="B659" s="46" t="s">
        <v>378</v>
      </c>
      <c r="C659" s="45" t="s">
        <v>623</v>
      </c>
      <c r="D659" s="46" t="s">
        <v>625</v>
      </c>
      <c r="E659" s="46" t="s">
        <v>588</v>
      </c>
      <c r="F659" s="47" t="s">
        <v>3447</v>
      </c>
      <c r="H659" s="48" t="s">
        <v>1050</v>
      </c>
      <c r="I659" s="46" t="s">
        <v>3448</v>
      </c>
      <c r="J659" s="49" t="s">
        <v>899</v>
      </c>
      <c r="L659" s="49">
        <v>3</v>
      </c>
      <c r="M659" s="50">
        <v>1470000</v>
      </c>
      <c r="N659" s="51">
        <v>1470000</v>
      </c>
      <c r="O659" s="50" t="s">
        <v>2121</v>
      </c>
      <c r="P659" s="65" t="s">
        <v>3449</v>
      </c>
      <c r="Q659" s="46" t="s">
        <v>29</v>
      </c>
      <c r="R659" s="47" t="s">
        <v>3450</v>
      </c>
      <c r="U659" s="46" t="s">
        <v>491</v>
      </c>
    </row>
    <row r="660" spans="1:21" ht="45" x14ac:dyDescent="0.25">
      <c r="A660" s="45">
        <v>42598</v>
      </c>
      <c r="B660" s="46" t="s">
        <v>328</v>
      </c>
      <c r="C660" s="45" t="s">
        <v>603</v>
      </c>
      <c r="D660" s="46" t="s">
        <v>1471</v>
      </c>
      <c r="E660" s="46" t="s">
        <v>588</v>
      </c>
      <c r="F660" s="47" t="s">
        <v>3451</v>
      </c>
      <c r="H660" s="47" t="s">
        <v>607</v>
      </c>
      <c r="I660" s="46" t="s">
        <v>3452</v>
      </c>
      <c r="J660" s="49" t="s">
        <v>899</v>
      </c>
      <c r="L660" s="49">
        <v>10</v>
      </c>
      <c r="M660" s="50">
        <v>990000</v>
      </c>
      <c r="N660" s="51">
        <v>1980000</v>
      </c>
      <c r="O660" s="50" t="s">
        <v>764</v>
      </c>
      <c r="P660" s="65" t="s">
        <v>3453</v>
      </c>
      <c r="Q660" s="46" t="s">
        <v>1939</v>
      </c>
      <c r="R660" s="47" t="s">
        <v>3454</v>
      </c>
      <c r="U660" s="46" t="s">
        <v>491</v>
      </c>
    </row>
    <row r="661" spans="1:21" ht="90" x14ac:dyDescent="0.25">
      <c r="A661" s="45">
        <v>42599</v>
      </c>
      <c r="B661" s="46" t="s">
        <v>328</v>
      </c>
      <c r="C661" s="45" t="s">
        <v>603</v>
      </c>
      <c r="D661" s="46" t="s">
        <v>1401</v>
      </c>
      <c r="E661" s="46" t="s">
        <v>588</v>
      </c>
      <c r="F661" s="47" t="s">
        <v>3461</v>
      </c>
      <c r="H661" s="47" t="s">
        <v>607</v>
      </c>
      <c r="I661" s="46" t="s">
        <v>3462</v>
      </c>
      <c r="J661" s="49" t="s">
        <v>899</v>
      </c>
      <c r="L661" s="49">
        <v>5</v>
      </c>
      <c r="M661" s="50">
        <v>1477000</v>
      </c>
      <c r="N661" s="51">
        <v>3175550</v>
      </c>
      <c r="O661" s="50" t="s">
        <v>2545</v>
      </c>
      <c r="P661" s="65" t="s">
        <v>3464</v>
      </c>
      <c r="Q661" s="46" t="s">
        <v>1939</v>
      </c>
      <c r="R661" s="47" t="s">
        <v>3463</v>
      </c>
      <c r="U661" s="46" t="s">
        <v>491</v>
      </c>
    </row>
    <row r="662" spans="1:21" ht="30" x14ac:dyDescent="0.25">
      <c r="A662" s="45">
        <v>42599</v>
      </c>
      <c r="B662" s="46" t="s">
        <v>328</v>
      </c>
      <c r="C662" s="45" t="s">
        <v>603</v>
      </c>
      <c r="D662" s="46" t="s">
        <v>1471</v>
      </c>
      <c r="E662" s="46" t="s">
        <v>588</v>
      </c>
      <c r="F662" s="47" t="s">
        <v>3465</v>
      </c>
      <c r="H662" s="47" t="s">
        <v>607</v>
      </c>
      <c r="O662" s="50" t="s">
        <v>1539</v>
      </c>
      <c r="P662" s="65" t="s">
        <v>3466</v>
      </c>
      <c r="Q662" s="46" t="s">
        <v>592</v>
      </c>
      <c r="R662" s="47" t="s">
        <v>3467</v>
      </c>
      <c r="U662" s="46" t="s">
        <v>491</v>
      </c>
    </row>
    <row r="663" spans="1:21" ht="75" x14ac:dyDescent="0.25">
      <c r="A663" s="45">
        <v>42599</v>
      </c>
      <c r="B663" s="46" t="s">
        <v>378</v>
      </c>
      <c r="C663" s="45" t="s">
        <v>610</v>
      </c>
      <c r="D663" s="46" t="s">
        <v>1027</v>
      </c>
      <c r="E663" s="46" t="s">
        <v>692</v>
      </c>
      <c r="F663" s="47" t="s">
        <v>3458</v>
      </c>
      <c r="H663" s="48" t="s">
        <v>607</v>
      </c>
      <c r="J663" s="49" t="s">
        <v>899</v>
      </c>
      <c r="O663" s="50" t="s">
        <v>3459</v>
      </c>
      <c r="P663" s="65" t="s">
        <v>3460</v>
      </c>
      <c r="Q663" s="46" t="s">
        <v>592</v>
      </c>
      <c r="U663" s="46" t="s">
        <v>491</v>
      </c>
    </row>
    <row r="664" spans="1:21" ht="60" x14ac:dyDescent="0.25">
      <c r="A664" s="45">
        <v>42599</v>
      </c>
      <c r="B664" s="46" t="s">
        <v>378</v>
      </c>
      <c r="C664" s="45" t="s">
        <v>623</v>
      </c>
      <c r="D664" s="46" t="s">
        <v>625</v>
      </c>
      <c r="E664" s="46" t="s">
        <v>588</v>
      </c>
      <c r="H664" s="48" t="s">
        <v>607</v>
      </c>
      <c r="J664" s="49" t="s">
        <v>899</v>
      </c>
      <c r="O664" s="50" t="s">
        <v>3468</v>
      </c>
      <c r="P664" s="65" t="s">
        <v>3470</v>
      </c>
      <c r="Q664" s="46" t="s">
        <v>592</v>
      </c>
      <c r="R664" s="47" t="s">
        <v>3469</v>
      </c>
      <c r="U664" s="46" t="s">
        <v>491</v>
      </c>
    </row>
    <row r="665" spans="1:21" ht="75" x14ac:dyDescent="0.25">
      <c r="A665" s="45">
        <v>42599</v>
      </c>
      <c r="B665" s="46" t="s">
        <v>378</v>
      </c>
      <c r="C665" s="45" t="s">
        <v>623</v>
      </c>
      <c r="D665" s="46" t="s">
        <v>624</v>
      </c>
      <c r="E665" s="46" t="s">
        <v>588</v>
      </c>
      <c r="F665" s="47" t="s">
        <v>3471</v>
      </c>
      <c r="H665" s="48" t="s">
        <v>607</v>
      </c>
      <c r="J665" s="49" t="s">
        <v>899</v>
      </c>
      <c r="O665" s="50" t="s">
        <v>2612</v>
      </c>
      <c r="P665" s="65" t="s">
        <v>3472</v>
      </c>
      <c r="Q665" s="46" t="s">
        <v>592</v>
      </c>
      <c r="U665" s="46" t="s">
        <v>491</v>
      </c>
    </row>
    <row r="666" spans="1:21" ht="45" x14ac:dyDescent="0.25">
      <c r="A666" s="45">
        <v>42599</v>
      </c>
      <c r="B666" s="46" t="s">
        <v>328</v>
      </c>
      <c r="C666" s="45" t="s">
        <v>603</v>
      </c>
      <c r="D666" s="46" t="s">
        <v>1471</v>
      </c>
      <c r="E666" s="46" t="s">
        <v>588</v>
      </c>
      <c r="F666" s="47" t="s">
        <v>3473</v>
      </c>
      <c r="H666" s="47" t="s">
        <v>3095</v>
      </c>
      <c r="I666" s="46" t="s">
        <v>3477</v>
      </c>
      <c r="J666" s="49" t="s">
        <v>3373</v>
      </c>
      <c r="L666" s="49">
        <v>2</v>
      </c>
      <c r="M666" s="50">
        <v>75000</v>
      </c>
      <c r="N666" s="51">
        <v>90000</v>
      </c>
      <c r="O666" s="50" t="s">
        <v>2934</v>
      </c>
      <c r="P666" s="65" t="s">
        <v>3474</v>
      </c>
      <c r="Q666" s="46" t="s">
        <v>1939</v>
      </c>
      <c r="R666" s="47" t="s">
        <v>3475</v>
      </c>
      <c r="U666" s="46" t="s">
        <v>491</v>
      </c>
    </row>
    <row r="667" spans="1:21" ht="132.75" x14ac:dyDescent="0.25">
      <c r="A667" s="45">
        <v>42600</v>
      </c>
      <c r="B667" s="46" t="s">
        <v>328</v>
      </c>
      <c r="C667" s="45" t="s">
        <v>603</v>
      </c>
      <c r="D667" s="46" t="s">
        <v>1401</v>
      </c>
      <c r="E667" s="46" t="s">
        <v>588</v>
      </c>
      <c r="F667" s="47" t="s">
        <v>3487</v>
      </c>
      <c r="H667" s="47" t="s">
        <v>607</v>
      </c>
      <c r="I667" s="46" t="s">
        <v>3488</v>
      </c>
      <c r="J667" s="49" t="s">
        <v>899</v>
      </c>
      <c r="L667" s="49">
        <v>9</v>
      </c>
      <c r="M667" s="50">
        <v>1011000</v>
      </c>
      <c r="N667" s="51">
        <v>2022000</v>
      </c>
      <c r="O667" s="50" t="s">
        <v>907</v>
      </c>
      <c r="P667" s="65" t="s">
        <v>3489</v>
      </c>
      <c r="Q667" s="46" t="s">
        <v>1939</v>
      </c>
      <c r="R667" s="86" t="s">
        <v>3490</v>
      </c>
      <c r="U667" s="46" t="s">
        <v>491</v>
      </c>
    </row>
    <row r="668" spans="1:21" ht="75" x14ac:dyDescent="0.25">
      <c r="A668" s="45">
        <v>42600</v>
      </c>
      <c r="B668" s="46" t="s">
        <v>328</v>
      </c>
      <c r="C668" s="45" t="s">
        <v>603</v>
      </c>
      <c r="D668" s="46" t="s">
        <v>1471</v>
      </c>
      <c r="E668" s="46" t="s">
        <v>588</v>
      </c>
      <c r="F668" s="47" t="s">
        <v>3476</v>
      </c>
      <c r="H668" s="47" t="s">
        <v>905</v>
      </c>
      <c r="I668" s="46" t="s">
        <v>3478</v>
      </c>
      <c r="J668" s="49" t="s">
        <v>899</v>
      </c>
      <c r="L668" s="49">
        <v>10</v>
      </c>
      <c r="M668" s="50">
        <v>218900</v>
      </c>
      <c r="N668" s="51">
        <v>437620</v>
      </c>
      <c r="O668" s="50" t="s">
        <v>3479</v>
      </c>
      <c r="P668" s="65" t="s">
        <v>3480</v>
      </c>
      <c r="Q668" s="46" t="s">
        <v>29</v>
      </c>
      <c r="R668" s="47" t="s">
        <v>3481</v>
      </c>
      <c r="U668" s="46" t="s">
        <v>491</v>
      </c>
    </row>
    <row r="669" spans="1:21" ht="75" x14ac:dyDescent="0.25">
      <c r="A669" s="45">
        <v>42600</v>
      </c>
      <c r="B669" s="46" t="s">
        <v>378</v>
      </c>
      <c r="C669" s="45" t="s">
        <v>623</v>
      </c>
      <c r="D669" s="46" t="s">
        <v>625</v>
      </c>
      <c r="E669" s="46" t="s">
        <v>588</v>
      </c>
      <c r="F669" s="47" t="s">
        <v>3482</v>
      </c>
      <c r="H669" s="48" t="s">
        <v>607</v>
      </c>
      <c r="I669" s="46" t="s">
        <v>3382</v>
      </c>
      <c r="J669" s="49" t="s">
        <v>899</v>
      </c>
      <c r="L669" s="49">
        <v>3</v>
      </c>
      <c r="M669" s="50">
        <v>546000</v>
      </c>
      <c r="N669" s="51">
        <v>1077600</v>
      </c>
      <c r="O669" s="50" t="s">
        <v>2758</v>
      </c>
      <c r="P669" s="65" t="s">
        <v>3483</v>
      </c>
      <c r="Q669" s="46" t="s">
        <v>592</v>
      </c>
      <c r="R669" s="47" t="s">
        <v>3484</v>
      </c>
      <c r="U669" s="46" t="s">
        <v>491</v>
      </c>
    </row>
    <row r="670" spans="1:21" ht="90" x14ac:dyDescent="0.25">
      <c r="A670" s="45">
        <v>42600</v>
      </c>
      <c r="B670" s="46" t="s">
        <v>378</v>
      </c>
      <c r="C670" s="45" t="s">
        <v>623</v>
      </c>
      <c r="D670" s="46" t="s">
        <v>930</v>
      </c>
      <c r="E670" s="46" t="s">
        <v>588</v>
      </c>
      <c r="F670" s="47" t="s">
        <v>3485</v>
      </c>
      <c r="H670" s="48" t="s">
        <v>905</v>
      </c>
      <c r="O670" s="50" t="s">
        <v>2612</v>
      </c>
      <c r="P670" s="65" t="s">
        <v>3486</v>
      </c>
      <c r="Q670" s="46" t="s">
        <v>592</v>
      </c>
      <c r="U670" s="46" t="s">
        <v>491</v>
      </c>
    </row>
    <row r="671" spans="1:21" ht="60" x14ac:dyDescent="0.25">
      <c r="A671" s="45">
        <v>42600</v>
      </c>
      <c r="B671" s="46" t="s">
        <v>378</v>
      </c>
      <c r="C671" s="45" t="s">
        <v>623</v>
      </c>
      <c r="D671" s="46" t="s">
        <v>625</v>
      </c>
      <c r="E671" s="46" t="s">
        <v>588</v>
      </c>
      <c r="H671" s="48" t="s">
        <v>1626</v>
      </c>
      <c r="I671" s="46" t="s">
        <v>3497</v>
      </c>
      <c r="J671" s="49" t="s">
        <v>899</v>
      </c>
      <c r="L671" s="49">
        <v>4</v>
      </c>
      <c r="M671" s="50">
        <v>2000000</v>
      </c>
      <c r="N671" s="51">
        <v>2400000</v>
      </c>
      <c r="O671" s="50" t="s">
        <v>2941</v>
      </c>
      <c r="P671" s="65" t="s">
        <v>3498</v>
      </c>
      <c r="Q671" s="46" t="s">
        <v>1939</v>
      </c>
      <c r="R671" s="47" t="s">
        <v>3499</v>
      </c>
      <c r="U671" s="46" t="s">
        <v>491</v>
      </c>
    </row>
    <row r="672" spans="1:21" ht="30" x14ac:dyDescent="0.25">
      <c r="A672" s="45">
        <v>42600</v>
      </c>
      <c r="B672" s="46" t="s">
        <v>328</v>
      </c>
      <c r="C672" s="45" t="s">
        <v>603</v>
      </c>
      <c r="D672" s="46" t="s">
        <v>1471</v>
      </c>
      <c r="E672" s="46" t="s">
        <v>588</v>
      </c>
      <c r="F672" s="47" t="s">
        <v>3491</v>
      </c>
      <c r="H672" s="47" t="s">
        <v>3494</v>
      </c>
      <c r="I672" s="46" t="s">
        <v>3492</v>
      </c>
      <c r="J672" s="49" t="s">
        <v>899</v>
      </c>
      <c r="L672" s="49">
        <v>3</v>
      </c>
      <c r="M672" s="50">
        <v>250000</v>
      </c>
      <c r="N672" s="51">
        <v>296000</v>
      </c>
      <c r="O672" s="50" t="s">
        <v>3493</v>
      </c>
      <c r="P672" s="65" t="s">
        <v>3495</v>
      </c>
      <c r="Q672" s="46" t="s">
        <v>592</v>
      </c>
      <c r="R672" s="47" t="s">
        <v>3496</v>
      </c>
      <c r="U672" s="46" t="s">
        <v>491</v>
      </c>
    </row>
    <row r="673" spans="1:21" ht="30" x14ac:dyDescent="0.25">
      <c r="A673" s="45">
        <v>42601</v>
      </c>
      <c r="B673" s="46" t="s">
        <v>328</v>
      </c>
      <c r="C673" s="45" t="s">
        <v>603</v>
      </c>
      <c r="D673" s="46" t="s">
        <v>1471</v>
      </c>
      <c r="E673" s="46" t="s">
        <v>588</v>
      </c>
      <c r="F673" s="47" t="s">
        <v>3502</v>
      </c>
      <c r="H673" s="47" t="s">
        <v>722</v>
      </c>
      <c r="I673" s="46" t="s">
        <v>3500</v>
      </c>
      <c r="J673" s="49" t="s">
        <v>3501</v>
      </c>
      <c r="L673" s="49">
        <v>9</v>
      </c>
      <c r="M673" s="50">
        <v>1450000</v>
      </c>
      <c r="N673" s="51">
        <v>1840000</v>
      </c>
      <c r="O673" s="50" t="s">
        <v>907</v>
      </c>
      <c r="P673" s="65" t="s">
        <v>3503</v>
      </c>
      <c r="Q673" s="46" t="s">
        <v>1939</v>
      </c>
      <c r="R673" s="47" t="s">
        <v>3504</v>
      </c>
      <c r="U673" s="46" t="s">
        <v>491</v>
      </c>
    </row>
    <row r="674" spans="1:21" ht="105" x14ac:dyDescent="0.25">
      <c r="A674" s="45">
        <v>42601</v>
      </c>
      <c r="B674" s="46" t="s">
        <v>328</v>
      </c>
      <c r="C674" s="45" t="s">
        <v>603</v>
      </c>
      <c r="D674" s="46" t="s">
        <v>1471</v>
      </c>
      <c r="E674" s="46" t="s">
        <v>588</v>
      </c>
      <c r="F674" s="47" t="s">
        <v>3513</v>
      </c>
      <c r="H674" s="47" t="s">
        <v>607</v>
      </c>
      <c r="I674" s="46" t="s">
        <v>3452</v>
      </c>
      <c r="J674" s="49" t="s">
        <v>899</v>
      </c>
      <c r="L674" s="49">
        <v>9</v>
      </c>
      <c r="M674" s="50">
        <v>688000</v>
      </c>
      <c r="N674" s="51">
        <v>1237800</v>
      </c>
      <c r="O674" s="50" t="s">
        <v>3514</v>
      </c>
      <c r="P674" s="65" t="s">
        <v>3515</v>
      </c>
      <c r="Q674" s="46" t="s">
        <v>1939</v>
      </c>
      <c r="R674" s="47" t="s">
        <v>3516</v>
      </c>
      <c r="U674" s="46" t="s">
        <v>491</v>
      </c>
    </row>
    <row r="675" spans="1:21" ht="60" x14ac:dyDescent="0.25">
      <c r="A675" s="45">
        <v>42601</v>
      </c>
      <c r="B675" s="46" t="s">
        <v>378</v>
      </c>
      <c r="C675" s="45" t="s">
        <v>623</v>
      </c>
      <c r="D675" s="46" t="s">
        <v>3505</v>
      </c>
      <c r="E675" s="46" t="s">
        <v>588</v>
      </c>
      <c r="F675" s="47" t="s">
        <v>3506</v>
      </c>
      <c r="H675" s="48" t="s">
        <v>651</v>
      </c>
      <c r="J675" s="49" t="s">
        <v>899</v>
      </c>
      <c r="O675" s="50" t="s">
        <v>1539</v>
      </c>
      <c r="P675" s="65" t="s">
        <v>3507</v>
      </c>
      <c r="Q675" s="46" t="s">
        <v>1939</v>
      </c>
      <c r="R675" s="47" t="s">
        <v>3508</v>
      </c>
      <c r="U675" s="46" t="s">
        <v>491</v>
      </c>
    </row>
    <row r="676" spans="1:21" ht="30" x14ac:dyDescent="0.25">
      <c r="A676" s="45">
        <v>42601</v>
      </c>
      <c r="B676" s="46" t="s">
        <v>378</v>
      </c>
      <c r="C676" s="45" t="s">
        <v>623</v>
      </c>
      <c r="D676" s="46" t="s">
        <v>930</v>
      </c>
      <c r="E676" s="46" t="s">
        <v>588</v>
      </c>
      <c r="F676" s="47" t="s">
        <v>3509</v>
      </c>
      <c r="H676" s="48" t="s">
        <v>607</v>
      </c>
      <c r="I676" s="46" t="s">
        <v>3388</v>
      </c>
      <c r="J676" s="49" t="s">
        <v>899</v>
      </c>
      <c r="L676" s="49">
        <v>3</v>
      </c>
      <c r="M676" s="50">
        <v>1950000</v>
      </c>
      <c r="N676" s="51">
        <v>3510000</v>
      </c>
      <c r="O676" s="50" t="s">
        <v>3510</v>
      </c>
      <c r="P676" s="65" t="s">
        <v>3511</v>
      </c>
      <c r="Q676" s="46" t="s">
        <v>1939</v>
      </c>
      <c r="R676" s="47" t="s">
        <v>3512</v>
      </c>
      <c r="U676" s="46" t="s">
        <v>491</v>
      </c>
    </row>
    <row r="677" spans="1:21" ht="45" x14ac:dyDescent="0.25">
      <c r="A677" s="45">
        <v>42601</v>
      </c>
      <c r="B677" s="46" t="s">
        <v>378</v>
      </c>
      <c r="C677" s="45" t="s">
        <v>610</v>
      </c>
      <c r="D677" s="46" t="s">
        <v>732</v>
      </c>
      <c r="E677" s="46" t="s">
        <v>588</v>
      </c>
      <c r="F677" s="47" t="s">
        <v>3517</v>
      </c>
      <c r="H677" s="48" t="s">
        <v>905</v>
      </c>
      <c r="I677" s="46" t="s">
        <v>3518</v>
      </c>
      <c r="J677" s="49" t="s">
        <v>899</v>
      </c>
      <c r="L677" s="49">
        <v>9</v>
      </c>
      <c r="M677" s="50">
        <v>1300000</v>
      </c>
      <c r="N677" s="51">
        <v>1830000</v>
      </c>
      <c r="O677" s="50" t="s">
        <v>907</v>
      </c>
      <c r="P677" s="65" t="s">
        <v>3519</v>
      </c>
      <c r="Q677" s="46" t="s">
        <v>1612</v>
      </c>
      <c r="R677" s="47" t="s">
        <v>3520</v>
      </c>
      <c r="S677" s="47" t="s">
        <v>3544</v>
      </c>
      <c r="U677" s="46" t="s">
        <v>491</v>
      </c>
    </row>
    <row r="678" spans="1:21" ht="45" x14ac:dyDescent="0.25">
      <c r="A678" s="45">
        <v>42601</v>
      </c>
      <c r="B678" s="46" t="s">
        <v>328</v>
      </c>
      <c r="C678" s="45" t="s">
        <v>603</v>
      </c>
      <c r="D678" s="46" t="s">
        <v>1401</v>
      </c>
      <c r="E678" s="46" t="s">
        <v>588</v>
      </c>
      <c r="F678" s="47" t="s">
        <v>3526</v>
      </c>
      <c r="H678" s="47" t="s">
        <v>607</v>
      </c>
      <c r="I678" s="46" t="s">
        <v>3527</v>
      </c>
      <c r="J678" s="49" t="s">
        <v>3528</v>
      </c>
      <c r="L678" s="49">
        <v>10</v>
      </c>
      <c r="M678" s="50">
        <v>188000</v>
      </c>
      <c r="N678" s="51">
        <v>383600</v>
      </c>
      <c r="O678" s="50" t="s">
        <v>3529</v>
      </c>
      <c r="P678" s="65" t="s">
        <v>3531</v>
      </c>
      <c r="Q678" s="46" t="s">
        <v>29</v>
      </c>
      <c r="R678" s="47" t="s">
        <v>3530</v>
      </c>
      <c r="U678" s="46" t="s">
        <v>491</v>
      </c>
    </row>
    <row r="679" spans="1:21" ht="30" x14ac:dyDescent="0.25">
      <c r="A679" s="45">
        <v>42601</v>
      </c>
      <c r="B679" s="46" t="s">
        <v>328</v>
      </c>
      <c r="C679" s="45" t="s">
        <v>603</v>
      </c>
      <c r="D679" s="46" t="s">
        <v>1471</v>
      </c>
      <c r="E679" s="46" t="s">
        <v>588</v>
      </c>
      <c r="F679" s="47" t="s">
        <v>3521</v>
      </c>
      <c r="H679" s="47" t="s">
        <v>607</v>
      </c>
      <c r="I679" s="46" t="s">
        <v>3522</v>
      </c>
      <c r="J679" s="49" t="s">
        <v>3523</v>
      </c>
      <c r="L679" s="49">
        <v>4</v>
      </c>
      <c r="M679" s="50">
        <v>1833960</v>
      </c>
      <c r="N679" s="51">
        <v>3117732</v>
      </c>
      <c r="O679" s="50" t="s">
        <v>560</v>
      </c>
      <c r="P679" s="65" t="s">
        <v>3524</v>
      </c>
      <c r="Q679" s="46" t="s">
        <v>1939</v>
      </c>
      <c r="R679" s="47" t="s">
        <v>3525</v>
      </c>
      <c r="U679" s="46" t="s">
        <v>491</v>
      </c>
    </row>
    <row r="680" spans="1:21" ht="45" x14ac:dyDescent="0.25">
      <c r="A680" s="45">
        <v>42604</v>
      </c>
      <c r="B680" s="46" t="s">
        <v>378</v>
      </c>
      <c r="C680" s="45" t="s">
        <v>623</v>
      </c>
      <c r="D680" s="46" t="s">
        <v>625</v>
      </c>
      <c r="E680" s="46" t="s">
        <v>588</v>
      </c>
      <c r="F680" s="47" t="s">
        <v>3535</v>
      </c>
      <c r="H680" s="48" t="s">
        <v>607</v>
      </c>
      <c r="I680" s="46" t="s">
        <v>3536</v>
      </c>
      <c r="J680" s="49" t="s">
        <v>899</v>
      </c>
      <c r="L680" s="49">
        <v>3</v>
      </c>
      <c r="M680" s="50">
        <v>4000000</v>
      </c>
      <c r="N680" s="51">
        <v>4910000</v>
      </c>
      <c r="O680" s="50" t="s">
        <v>560</v>
      </c>
      <c r="P680" s="65" t="s">
        <v>3537</v>
      </c>
      <c r="Q680" s="46" t="s">
        <v>29</v>
      </c>
      <c r="R680" s="47" t="s">
        <v>3538</v>
      </c>
      <c r="U680" s="46" t="s">
        <v>491</v>
      </c>
    </row>
    <row r="681" spans="1:21" ht="60" x14ac:dyDescent="0.25">
      <c r="A681" s="45">
        <v>42604</v>
      </c>
      <c r="B681" s="46" t="s">
        <v>378</v>
      </c>
      <c r="C681" s="45" t="s">
        <v>623</v>
      </c>
      <c r="D681" s="46" t="s">
        <v>625</v>
      </c>
      <c r="E681" s="46" t="s">
        <v>588</v>
      </c>
      <c r="F681" s="47" t="s">
        <v>3539</v>
      </c>
      <c r="H681" s="48" t="s">
        <v>607</v>
      </c>
      <c r="I681" s="46" t="s">
        <v>3540</v>
      </c>
      <c r="J681" s="49" t="s">
        <v>899</v>
      </c>
      <c r="L681" s="49">
        <v>2</v>
      </c>
      <c r="M681" s="50">
        <v>1350000</v>
      </c>
      <c r="N681" s="51">
        <v>2430000</v>
      </c>
      <c r="O681" s="50" t="s">
        <v>3541</v>
      </c>
      <c r="P681" s="65" t="s">
        <v>3542</v>
      </c>
      <c r="Q681" s="46" t="s">
        <v>620</v>
      </c>
      <c r="R681" s="47" t="s">
        <v>3543</v>
      </c>
      <c r="U681" s="46" t="s">
        <v>491</v>
      </c>
    </row>
    <row r="682" spans="1:21" ht="45" x14ac:dyDescent="0.25">
      <c r="A682" s="45">
        <v>42604</v>
      </c>
      <c r="B682" s="46" t="s">
        <v>378</v>
      </c>
      <c r="C682" s="45" t="s">
        <v>623</v>
      </c>
      <c r="D682" s="46" t="s">
        <v>625</v>
      </c>
      <c r="E682" s="46" t="s">
        <v>588</v>
      </c>
      <c r="F682" s="47" t="s">
        <v>3545</v>
      </c>
      <c r="H682" s="48" t="s">
        <v>886</v>
      </c>
      <c r="I682" s="46" t="s">
        <v>3388</v>
      </c>
      <c r="J682" s="49" t="s">
        <v>3546</v>
      </c>
      <c r="L682" s="49">
        <v>1</v>
      </c>
      <c r="M682" s="50">
        <v>4900000</v>
      </c>
      <c r="N682" s="51">
        <v>5390000</v>
      </c>
      <c r="O682" s="50" t="s">
        <v>560</v>
      </c>
      <c r="P682" s="65" t="s">
        <v>3547</v>
      </c>
      <c r="Q682" s="46" t="s">
        <v>29</v>
      </c>
      <c r="R682" s="47" t="s">
        <v>3548</v>
      </c>
      <c r="U682" s="46" t="s">
        <v>491</v>
      </c>
    </row>
    <row r="683" spans="1:21" ht="30" x14ac:dyDescent="0.25">
      <c r="A683" s="45">
        <v>42604</v>
      </c>
      <c r="B683" s="46" t="s">
        <v>378</v>
      </c>
      <c r="C683" s="45" t="s">
        <v>610</v>
      </c>
      <c r="D683" s="46" t="s">
        <v>1027</v>
      </c>
      <c r="E683" s="46" t="s">
        <v>588</v>
      </c>
      <c r="F683" s="47" t="s">
        <v>3549</v>
      </c>
      <c r="H683" s="48" t="s">
        <v>607</v>
      </c>
      <c r="I683" s="46" t="s">
        <v>3462</v>
      </c>
      <c r="J683" s="49" t="s">
        <v>899</v>
      </c>
      <c r="L683" s="49">
        <v>4</v>
      </c>
      <c r="M683" s="50">
        <v>2000000</v>
      </c>
      <c r="N683" s="51">
        <v>3150000</v>
      </c>
      <c r="O683" s="50" t="s">
        <v>560</v>
      </c>
      <c r="P683" s="65" t="s">
        <v>3550</v>
      </c>
      <c r="Q683" s="46" t="s">
        <v>1939</v>
      </c>
      <c r="R683" s="47" t="s">
        <v>3551</v>
      </c>
      <c r="U683" s="46" t="s">
        <v>491</v>
      </c>
    </row>
    <row r="684" spans="1:21" ht="45" x14ac:dyDescent="0.25">
      <c r="A684" s="45">
        <v>42604</v>
      </c>
      <c r="B684" s="46" t="s">
        <v>378</v>
      </c>
      <c r="C684" s="45" t="s">
        <v>610</v>
      </c>
      <c r="D684" s="46" t="s">
        <v>732</v>
      </c>
      <c r="E684" s="46" t="s">
        <v>588</v>
      </c>
      <c r="F684" s="47" t="s">
        <v>3552</v>
      </c>
      <c r="H684" s="48" t="s">
        <v>607</v>
      </c>
      <c r="O684" s="50" t="s">
        <v>3553</v>
      </c>
      <c r="P684" s="65" t="s">
        <v>3554</v>
      </c>
      <c r="Q684" s="46" t="s">
        <v>592</v>
      </c>
      <c r="R684" s="47" t="s">
        <v>3555</v>
      </c>
      <c r="U684" s="46" t="s">
        <v>491</v>
      </c>
    </row>
    <row r="685" spans="1:21" ht="45" x14ac:dyDescent="0.25">
      <c r="A685" s="45">
        <v>42601</v>
      </c>
      <c r="B685" s="46" t="s">
        <v>328</v>
      </c>
      <c r="C685" s="45" t="s">
        <v>603</v>
      </c>
      <c r="D685" s="46" t="s">
        <v>1471</v>
      </c>
      <c r="E685" s="46" t="s">
        <v>588</v>
      </c>
      <c r="F685" s="47" t="s">
        <v>3534</v>
      </c>
      <c r="H685" s="47" t="s">
        <v>809</v>
      </c>
      <c r="I685" s="46" t="s">
        <v>3532</v>
      </c>
      <c r="J685" s="49" t="s">
        <v>3533</v>
      </c>
      <c r="L685" s="49">
        <v>8</v>
      </c>
      <c r="M685" s="50">
        <v>3113000</v>
      </c>
      <c r="N685" s="51">
        <v>3735600</v>
      </c>
      <c r="O685" s="50" t="s">
        <v>560</v>
      </c>
      <c r="P685" s="65" t="s">
        <v>3572</v>
      </c>
      <c r="Q685" s="46" t="s">
        <v>1612</v>
      </c>
      <c r="R685" s="47" t="s">
        <v>3571</v>
      </c>
      <c r="U685" s="46" t="s">
        <v>491</v>
      </c>
    </row>
    <row r="686" spans="1:21" ht="75" x14ac:dyDescent="0.25">
      <c r="A686" s="45">
        <v>42605</v>
      </c>
      <c r="B686" s="46" t="s">
        <v>328</v>
      </c>
      <c r="C686" s="45" t="s">
        <v>603</v>
      </c>
      <c r="D686" s="46" t="s">
        <v>1471</v>
      </c>
      <c r="E686" s="46" t="s">
        <v>588</v>
      </c>
      <c r="F686" s="47" t="s">
        <v>3561</v>
      </c>
      <c r="H686" s="47" t="s">
        <v>3562</v>
      </c>
      <c r="I686" s="46" t="s">
        <v>3563</v>
      </c>
      <c r="J686" s="49" t="s">
        <v>899</v>
      </c>
      <c r="L686" s="49">
        <v>10</v>
      </c>
      <c r="M686" s="50">
        <v>117000</v>
      </c>
      <c r="N686" s="51">
        <v>117000</v>
      </c>
      <c r="O686" s="50" t="s">
        <v>764</v>
      </c>
      <c r="P686" s="65" t="s">
        <v>3564</v>
      </c>
      <c r="Q686" s="46" t="s">
        <v>592</v>
      </c>
      <c r="R686" s="47" t="s">
        <v>3565</v>
      </c>
      <c r="U686" s="46" t="s">
        <v>491</v>
      </c>
    </row>
    <row r="687" spans="1:21" ht="90" x14ac:dyDescent="0.25">
      <c r="A687" s="45">
        <v>42605</v>
      </c>
      <c r="B687" s="46" t="s">
        <v>328</v>
      </c>
      <c r="C687" s="45" t="s">
        <v>603</v>
      </c>
      <c r="D687" s="46" t="s">
        <v>1471</v>
      </c>
      <c r="E687" s="46" t="s">
        <v>588</v>
      </c>
      <c r="F687" s="47" t="s">
        <v>3578</v>
      </c>
      <c r="H687" s="47" t="s">
        <v>607</v>
      </c>
      <c r="I687" s="46" t="s">
        <v>3579</v>
      </c>
      <c r="J687" s="49" t="s">
        <v>899</v>
      </c>
      <c r="L687" s="49">
        <v>10</v>
      </c>
      <c r="M687" s="50">
        <v>1457000</v>
      </c>
      <c r="N687" s="51">
        <v>2983200</v>
      </c>
      <c r="O687" s="50" t="s">
        <v>764</v>
      </c>
      <c r="P687" s="65" t="s">
        <v>3580</v>
      </c>
      <c r="Q687" s="46" t="s">
        <v>1612</v>
      </c>
      <c r="R687" s="47" t="s">
        <v>3597</v>
      </c>
      <c r="U687" s="46" t="s">
        <v>491</v>
      </c>
    </row>
    <row r="688" spans="1:21" ht="150" x14ac:dyDescent="0.25">
      <c r="A688" s="45">
        <v>42605</v>
      </c>
      <c r="B688" s="46" t="s">
        <v>378</v>
      </c>
      <c r="C688" s="45" t="s">
        <v>623</v>
      </c>
      <c r="D688" s="46" t="s">
        <v>625</v>
      </c>
      <c r="E688" s="46" t="s">
        <v>588</v>
      </c>
      <c r="F688" s="47" t="s">
        <v>3556</v>
      </c>
      <c r="H688" s="48" t="s">
        <v>1890</v>
      </c>
      <c r="I688" s="46" t="s">
        <v>3557</v>
      </c>
      <c r="J688" s="49" t="s">
        <v>899</v>
      </c>
      <c r="L688" s="49">
        <v>1</v>
      </c>
      <c r="M688" s="50">
        <v>1622000</v>
      </c>
      <c r="N688" s="51">
        <v>3451000</v>
      </c>
      <c r="O688" s="50" t="s">
        <v>3558</v>
      </c>
      <c r="P688" s="65" t="s">
        <v>3559</v>
      </c>
      <c r="Q688" s="46" t="s">
        <v>1939</v>
      </c>
      <c r="R688" s="47" t="s">
        <v>3560</v>
      </c>
      <c r="U688" s="46" t="s">
        <v>491</v>
      </c>
    </row>
    <row r="689" spans="1:21" ht="45" x14ac:dyDescent="0.25">
      <c r="A689" s="45">
        <v>42605</v>
      </c>
      <c r="B689" s="46" t="s">
        <v>1788</v>
      </c>
      <c r="D689" s="46" t="s">
        <v>2678</v>
      </c>
      <c r="E689" s="46" t="s">
        <v>588</v>
      </c>
      <c r="F689" s="47" t="s">
        <v>3566</v>
      </c>
      <c r="H689" s="48" t="s">
        <v>722</v>
      </c>
      <c r="I689" s="46" t="s">
        <v>3567</v>
      </c>
      <c r="J689" s="49" t="s">
        <v>3568</v>
      </c>
      <c r="L689" s="49">
        <v>4</v>
      </c>
      <c r="M689" s="50">
        <v>1350000</v>
      </c>
      <c r="N689" s="51">
        <v>1900000</v>
      </c>
      <c r="O689" s="50" t="s">
        <v>3569</v>
      </c>
      <c r="P689" s="65" t="s">
        <v>3570</v>
      </c>
      <c r="Q689" s="46" t="s">
        <v>592</v>
      </c>
      <c r="U689" s="46" t="s">
        <v>491</v>
      </c>
    </row>
    <row r="690" spans="1:21" ht="45" x14ac:dyDescent="0.25">
      <c r="A690" s="45">
        <v>42605</v>
      </c>
      <c r="B690" s="46" t="s">
        <v>378</v>
      </c>
      <c r="C690" s="45" t="s">
        <v>623</v>
      </c>
      <c r="D690" s="46" t="s">
        <v>624</v>
      </c>
      <c r="E690" s="46" t="s">
        <v>588</v>
      </c>
      <c r="F690" s="47" t="s">
        <v>3573</v>
      </c>
      <c r="H690" s="48" t="s">
        <v>905</v>
      </c>
      <c r="I690" s="46" t="s">
        <v>3574</v>
      </c>
      <c r="J690" s="49" t="s">
        <v>899</v>
      </c>
      <c r="M690" s="50">
        <v>285500</v>
      </c>
      <c r="N690" s="51">
        <v>290500</v>
      </c>
      <c r="O690" s="50" t="s">
        <v>3575</v>
      </c>
      <c r="P690" s="65" t="s">
        <v>3576</v>
      </c>
      <c r="Q690" s="46" t="s">
        <v>1939</v>
      </c>
      <c r="R690" s="47" t="s">
        <v>3577</v>
      </c>
      <c r="U690" s="46" t="s">
        <v>491</v>
      </c>
    </row>
    <row r="691" spans="1:21" ht="60" x14ac:dyDescent="0.25">
      <c r="A691" s="45">
        <v>42605</v>
      </c>
      <c r="B691" s="46" t="s">
        <v>378</v>
      </c>
      <c r="C691" s="45" t="s">
        <v>610</v>
      </c>
      <c r="D691" s="46" t="s">
        <v>1027</v>
      </c>
      <c r="E691" s="46" t="s">
        <v>588</v>
      </c>
      <c r="F691" s="47" t="s">
        <v>3585</v>
      </c>
      <c r="H691" s="48" t="s">
        <v>607</v>
      </c>
      <c r="I691" s="46" t="s">
        <v>3586</v>
      </c>
      <c r="J691" s="49" t="s">
        <v>899</v>
      </c>
      <c r="L691" s="49">
        <v>10</v>
      </c>
      <c r="M691" s="50">
        <v>3000000</v>
      </c>
      <c r="N691" s="51">
        <v>4400000</v>
      </c>
      <c r="O691" s="50" t="s">
        <v>764</v>
      </c>
      <c r="P691" s="65" t="s">
        <v>3587</v>
      </c>
      <c r="Q691" s="46" t="s">
        <v>1612</v>
      </c>
      <c r="R691" s="47" t="s">
        <v>3588</v>
      </c>
      <c r="S691" s="47" t="s">
        <v>3604</v>
      </c>
      <c r="U691" s="46" t="s">
        <v>491</v>
      </c>
    </row>
    <row r="692" spans="1:21" ht="60" x14ac:dyDescent="0.25">
      <c r="A692" s="45">
        <v>42605</v>
      </c>
      <c r="B692" s="46" t="s">
        <v>378</v>
      </c>
      <c r="C692" s="45" t="s">
        <v>623</v>
      </c>
      <c r="D692" s="46" t="s">
        <v>625</v>
      </c>
      <c r="E692" s="46" t="s">
        <v>588</v>
      </c>
      <c r="F692" s="47" t="s">
        <v>3589</v>
      </c>
      <c r="H692" s="48" t="s">
        <v>607</v>
      </c>
      <c r="I692" s="46" t="s">
        <v>3590</v>
      </c>
      <c r="J692" s="49" t="s">
        <v>899</v>
      </c>
      <c r="L692" s="49">
        <v>2</v>
      </c>
      <c r="M692" s="50">
        <v>1157000</v>
      </c>
      <c r="N692" s="51">
        <v>2082600</v>
      </c>
      <c r="O692" s="50" t="s">
        <v>768</v>
      </c>
      <c r="P692" s="65" t="s">
        <v>3591</v>
      </c>
      <c r="Q692" s="46" t="s">
        <v>1612</v>
      </c>
      <c r="R692" s="47" t="s">
        <v>3592</v>
      </c>
      <c r="S692" s="47" t="s">
        <v>3637</v>
      </c>
      <c r="U692" s="46" t="s">
        <v>491</v>
      </c>
    </row>
    <row r="693" spans="1:21" ht="75" x14ac:dyDescent="0.25">
      <c r="A693" s="45">
        <v>42605</v>
      </c>
      <c r="B693" s="46" t="s">
        <v>328</v>
      </c>
      <c r="C693" s="45" t="s">
        <v>603</v>
      </c>
      <c r="D693" s="46" t="s">
        <v>1401</v>
      </c>
      <c r="E693" s="46" t="s">
        <v>588</v>
      </c>
      <c r="F693" s="47" t="s">
        <v>3581</v>
      </c>
      <c r="H693" s="47" t="s">
        <v>607</v>
      </c>
      <c r="I693" s="46" t="s">
        <v>3582</v>
      </c>
      <c r="J693" s="49" t="s">
        <v>604</v>
      </c>
      <c r="L693" s="49">
        <v>10</v>
      </c>
      <c r="M693" s="50">
        <v>332000</v>
      </c>
      <c r="N693" s="51">
        <v>804100</v>
      </c>
      <c r="O693" s="50" t="s">
        <v>764</v>
      </c>
      <c r="P693" s="65" t="s">
        <v>3583</v>
      </c>
      <c r="Q693" s="46" t="s">
        <v>620</v>
      </c>
      <c r="R693" s="47" t="s">
        <v>3584</v>
      </c>
      <c r="U693" s="46" t="s">
        <v>491</v>
      </c>
    </row>
    <row r="694" spans="1:21" ht="75" x14ac:dyDescent="0.25">
      <c r="A694" s="45">
        <v>42606</v>
      </c>
      <c r="B694" s="46" t="s">
        <v>328</v>
      </c>
      <c r="C694" s="45" t="s">
        <v>603</v>
      </c>
      <c r="D694" s="46" t="s">
        <v>1471</v>
      </c>
      <c r="E694" s="46" t="s">
        <v>588</v>
      </c>
      <c r="F694" s="47" t="s">
        <v>3598</v>
      </c>
      <c r="H694" s="47" t="s">
        <v>3599</v>
      </c>
      <c r="I694" s="46" t="s">
        <v>3600</v>
      </c>
      <c r="J694" s="49" t="s">
        <v>899</v>
      </c>
      <c r="M694" s="50">
        <v>490000</v>
      </c>
      <c r="N694" s="51">
        <v>550000</v>
      </c>
      <c r="O694" s="50" t="s">
        <v>3601</v>
      </c>
      <c r="P694" s="65" t="s">
        <v>3602</v>
      </c>
      <c r="Q694" s="46" t="s">
        <v>29</v>
      </c>
      <c r="R694" s="47" t="s">
        <v>3603</v>
      </c>
      <c r="U694" s="46" t="s">
        <v>491</v>
      </c>
    </row>
    <row r="695" spans="1:21" ht="75" x14ac:dyDescent="0.25">
      <c r="A695" s="45">
        <v>42606</v>
      </c>
      <c r="B695" s="46" t="s">
        <v>378</v>
      </c>
      <c r="C695" s="45" t="s">
        <v>623</v>
      </c>
      <c r="D695" s="46" t="s">
        <v>930</v>
      </c>
      <c r="E695" s="46" t="s">
        <v>588</v>
      </c>
      <c r="F695" s="47" t="s">
        <v>3605</v>
      </c>
      <c r="H695" s="48" t="s">
        <v>886</v>
      </c>
      <c r="M695" s="50">
        <v>2100000</v>
      </c>
      <c r="O695" s="50" t="s">
        <v>1802</v>
      </c>
      <c r="P695" s="65" t="s">
        <v>3606</v>
      </c>
      <c r="Q695" s="46" t="s">
        <v>592</v>
      </c>
      <c r="U695" s="46" t="s">
        <v>491</v>
      </c>
    </row>
    <row r="696" spans="1:21" ht="60" x14ac:dyDescent="0.25">
      <c r="A696" s="45">
        <v>42606</v>
      </c>
      <c r="B696" s="46" t="s">
        <v>378</v>
      </c>
      <c r="C696" s="45" t="s">
        <v>623</v>
      </c>
      <c r="D696" s="46" t="s">
        <v>625</v>
      </c>
      <c r="E696" s="46" t="s">
        <v>588</v>
      </c>
      <c r="F696" s="47" t="s">
        <v>3607</v>
      </c>
      <c r="H696" s="48" t="s">
        <v>607</v>
      </c>
      <c r="I696" s="46" t="s">
        <v>2054</v>
      </c>
      <c r="J696" s="49" t="s">
        <v>899</v>
      </c>
      <c r="L696" s="49">
        <v>3</v>
      </c>
      <c r="O696" s="50" t="s">
        <v>3608</v>
      </c>
      <c r="P696" s="65" t="s">
        <v>3609</v>
      </c>
      <c r="Q696" s="46" t="s">
        <v>592</v>
      </c>
      <c r="R696" s="47" t="s">
        <v>3610</v>
      </c>
      <c r="U696" s="46" t="s">
        <v>491</v>
      </c>
    </row>
    <row r="697" spans="1:21" ht="75" x14ac:dyDescent="0.25">
      <c r="A697" s="45">
        <v>42606</v>
      </c>
      <c r="B697" s="46" t="s">
        <v>328</v>
      </c>
      <c r="C697" s="45" t="s">
        <v>603</v>
      </c>
      <c r="D697" s="46" t="s">
        <v>1471</v>
      </c>
      <c r="E697" s="46" t="s">
        <v>588</v>
      </c>
      <c r="F697" s="47" t="s">
        <v>1796</v>
      </c>
      <c r="H697" s="47" t="s">
        <v>607</v>
      </c>
      <c r="I697" s="46" t="s">
        <v>3593</v>
      </c>
      <c r="J697" s="49" t="s">
        <v>3373</v>
      </c>
      <c r="L697" s="49">
        <v>10</v>
      </c>
      <c r="O697" s="50" t="s">
        <v>3594</v>
      </c>
      <c r="P697" s="65" t="s">
        <v>3595</v>
      </c>
      <c r="Q697" s="46" t="s">
        <v>29</v>
      </c>
      <c r="R697" s="47" t="s">
        <v>3596</v>
      </c>
      <c r="U697" s="46" t="s">
        <v>491</v>
      </c>
    </row>
    <row r="698" spans="1:21" ht="30" x14ac:dyDescent="0.25">
      <c r="A698" s="45">
        <v>42607</v>
      </c>
      <c r="B698" s="46" t="s">
        <v>1486</v>
      </c>
      <c r="C698" s="45" t="s">
        <v>1883</v>
      </c>
      <c r="D698" s="46" t="s">
        <v>2454</v>
      </c>
      <c r="E698" s="46" t="s">
        <v>588</v>
      </c>
      <c r="F698" s="47" t="s">
        <v>3615</v>
      </c>
      <c r="H698" s="48" t="s">
        <v>905</v>
      </c>
      <c r="I698" s="46" t="s">
        <v>3616</v>
      </c>
      <c r="J698" s="49" t="s">
        <v>3617</v>
      </c>
      <c r="M698" s="50">
        <v>241000</v>
      </c>
      <c r="O698" s="50" t="s">
        <v>2392</v>
      </c>
      <c r="P698" s="65" t="s">
        <v>3618</v>
      </c>
      <c r="Q698" s="46" t="s">
        <v>620</v>
      </c>
      <c r="R698" s="47" t="s">
        <v>3633</v>
      </c>
      <c r="U698" s="46" t="s">
        <v>491</v>
      </c>
    </row>
    <row r="699" spans="1:21" ht="45" x14ac:dyDescent="0.25">
      <c r="A699" s="45">
        <v>42607</v>
      </c>
      <c r="B699" s="46" t="s">
        <v>643</v>
      </c>
      <c r="C699" s="45" t="s">
        <v>644</v>
      </c>
      <c r="D699" s="46" t="s">
        <v>3132</v>
      </c>
      <c r="E699" s="46" t="s">
        <v>588</v>
      </c>
      <c r="F699" s="47" t="s">
        <v>3623</v>
      </c>
      <c r="H699" s="48" t="s">
        <v>905</v>
      </c>
      <c r="I699" s="46" t="s">
        <v>3624</v>
      </c>
      <c r="J699" s="49" t="s">
        <v>644</v>
      </c>
      <c r="L699" s="49">
        <v>2</v>
      </c>
      <c r="M699" s="50">
        <v>413900</v>
      </c>
      <c r="N699" s="51">
        <v>506680</v>
      </c>
      <c r="O699" s="50" t="s">
        <v>3625</v>
      </c>
      <c r="P699" s="65" t="s">
        <v>3626</v>
      </c>
      <c r="Q699" s="46" t="s">
        <v>29</v>
      </c>
      <c r="R699" s="47" t="s">
        <v>3627</v>
      </c>
      <c r="U699" s="46" t="s">
        <v>491</v>
      </c>
    </row>
    <row r="700" spans="1:21" ht="60" x14ac:dyDescent="0.25">
      <c r="A700" s="45">
        <v>42607</v>
      </c>
      <c r="B700" s="46" t="s">
        <v>378</v>
      </c>
      <c r="C700" s="45" t="s">
        <v>623</v>
      </c>
      <c r="D700" s="46" t="s">
        <v>625</v>
      </c>
      <c r="E700" s="46" t="s">
        <v>588</v>
      </c>
      <c r="F700" s="47" t="s">
        <v>3628</v>
      </c>
      <c r="H700" s="48" t="s">
        <v>607</v>
      </c>
      <c r="I700" s="46" t="s">
        <v>3629</v>
      </c>
      <c r="J700" s="49" t="s">
        <v>899</v>
      </c>
      <c r="L700" s="49">
        <v>3</v>
      </c>
      <c r="M700" s="50">
        <v>1065000</v>
      </c>
      <c r="N700" s="51">
        <v>1917000</v>
      </c>
      <c r="O700" s="50" t="s">
        <v>3630</v>
      </c>
      <c r="P700" s="65" t="s">
        <v>3631</v>
      </c>
      <c r="Q700" s="46" t="s">
        <v>620</v>
      </c>
      <c r="R700" s="47" t="s">
        <v>3632</v>
      </c>
      <c r="U700" s="46" t="s">
        <v>491</v>
      </c>
    </row>
    <row r="701" spans="1:21" ht="45" x14ac:dyDescent="0.25">
      <c r="A701" s="45">
        <v>42607</v>
      </c>
      <c r="B701" s="46" t="s">
        <v>378</v>
      </c>
      <c r="C701" s="45" t="s">
        <v>610</v>
      </c>
      <c r="D701" s="46" t="s">
        <v>1027</v>
      </c>
      <c r="E701" s="46" t="s">
        <v>588</v>
      </c>
      <c r="F701" s="47" t="s">
        <v>3634</v>
      </c>
      <c r="H701" s="48" t="s">
        <v>722</v>
      </c>
      <c r="I701" s="46" t="s">
        <v>3635</v>
      </c>
      <c r="J701" s="49" t="s">
        <v>899</v>
      </c>
      <c r="L701" s="49">
        <v>5</v>
      </c>
      <c r="M701" s="50">
        <v>3000000</v>
      </c>
      <c r="N701" s="51">
        <v>3800000</v>
      </c>
      <c r="O701" s="50" t="s">
        <v>560</v>
      </c>
      <c r="P701" s="65" t="s">
        <v>3747</v>
      </c>
      <c r="Q701" s="46" t="s">
        <v>1939</v>
      </c>
      <c r="R701" s="47" t="s">
        <v>3636</v>
      </c>
      <c r="U701" s="46" t="s">
        <v>491</v>
      </c>
    </row>
    <row r="702" spans="1:21" ht="180" x14ac:dyDescent="0.25">
      <c r="A702" s="45">
        <v>42607</v>
      </c>
      <c r="B702" s="46" t="s">
        <v>1486</v>
      </c>
      <c r="C702" s="45" t="s">
        <v>1883</v>
      </c>
      <c r="D702" s="46" t="s">
        <v>595</v>
      </c>
      <c r="E702" s="46" t="s">
        <v>821</v>
      </c>
      <c r="H702" s="48" t="s">
        <v>607</v>
      </c>
      <c r="I702" s="46" t="s">
        <v>3639</v>
      </c>
      <c r="J702" s="49" t="s">
        <v>959</v>
      </c>
      <c r="M702" s="50">
        <v>528000</v>
      </c>
      <c r="O702" s="50" t="s">
        <v>1844</v>
      </c>
      <c r="P702" s="65" t="s">
        <v>3640</v>
      </c>
      <c r="Q702" s="46" t="s">
        <v>620</v>
      </c>
      <c r="R702" s="47" t="s">
        <v>3638</v>
      </c>
      <c r="U702" s="46" t="s">
        <v>491</v>
      </c>
    </row>
    <row r="703" spans="1:21" ht="105" x14ac:dyDescent="0.25">
      <c r="A703" s="45">
        <v>42607</v>
      </c>
      <c r="B703" s="46" t="s">
        <v>328</v>
      </c>
      <c r="C703" s="45" t="s">
        <v>603</v>
      </c>
      <c r="D703" s="46" t="s">
        <v>1401</v>
      </c>
      <c r="E703" s="46" t="s">
        <v>588</v>
      </c>
      <c r="F703" s="47" t="s">
        <v>3619</v>
      </c>
      <c r="H703" s="47" t="s">
        <v>607</v>
      </c>
      <c r="I703" s="46" t="s">
        <v>3620</v>
      </c>
      <c r="J703" s="49" t="s">
        <v>899</v>
      </c>
      <c r="L703" s="49">
        <v>10</v>
      </c>
      <c r="M703" s="50">
        <v>450000</v>
      </c>
      <c r="N703" s="51">
        <v>945000</v>
      </c>
      <c r="O703" s="50" t="s">
        <v>764</v>
      </c>
      <c r="P703" s="65" t="s">
        <v>3621</v>
      </c>
      <c r="Q703" s="46" t="s">
        <v>1939</v>
      </c>
      <c r="R703" s="47" t="s">
        <v>3622</v>
      </c>
      <c r="U703" s="46" t="s">
        <v>491</v>
      </c>
    </row>
    <row r="704" spans="1:21" ht="60" x14ac:dyDescent="0.25">
      <c r="A704" s="45">
        <v>42607</v>
      </c>
      <c r="B704" s="46" t="s">
        <v>328</v>
      </c>
      <c r="C704" s="45" t="s">
        <v>603</v>
      </c>
      <c r="D704" s="46" t="s">
        <v>672</v>
      </c>
      <c r="E704" s="46" t="s">
        <v>588</v>
      </c>
      <c r="F704" s="47" t="s">
        <v>3611</v>
      </c>
      <c r="H704" s="47" t="s">
        <v>905</v>
      </c>
      <c r="J704" s="49" t="s">
        <v>3612</v>
      </c>
      <c r="O704" s="50" t="s">
        <v>2392</v>
      </c>
      <c r="P704" s="65" t="s">
        <v>3613</v>
      </c>
      <c r="Q704" s="46" t="s">
        <v>29</v>
      </c>
      <c r="R704" s="47" t="s">
        <v>3614</v>
      </c>
      <c r="U704" s="46" t="s">
        <v>491</v>
      </c>
    </row>
    <row r="705" spans="1:21" ht="60" x14ac:dyDescent="0.25">
      <c r="A705" s="45">
        <v>42608</v>
      </c>
      <c r="B705" s="46" t="s">
        <v>378</v>
      </c>
      <c r="C705" s="45" t="s">
        <v>610</v>
      </c>
      <c r="D705" s="46" t="s">
        <v>1027</v>
      </c>
      <c r="E705" s="46" t="s">
        <v>588</v>
      </c>
      <c r="F705" s="47" t="s">
        <v>3641</v>
      </c>
      <c r="H705" s="48" t="s">
        <v>607</v>
      </c>
      <c r="I705" s="46" t="s">
        <v>3642</v>
      </c>
      <c r="J705" s="49" t="s">
        <v>899</v>
      </c>
      <c r="L705" s="49">
        <v>9</v>
      </c>
      <c r="M705" s="50">
        <v>2389596</v>
      </c>
      <c r="N705" s="51">
        <v>3579596</v>
      </c>
      <c r="O705" s="50" t="s">
        <v>560</v>
      </c>
      <c r="P705" s="65" t="s">
        <v>3643</v>
      </c>
      <c r="Q705" s="46" t="s">
        <v>1939</v>
      </c>
      <c r="R705" s="47" t="s">
        <v>3644</v>
      </c>
      <c r="U705" s="46" t="s">
        <v>491</v>
      </c>
    </row>
    <row r="706" spans="1:21" ht="105" x14ac:dyDescent="0.25">
      <c r="A706" s="45">
        <v>42608</v>
      </c>
      <c r="B706" s="46" t="s">
        <v>378</v>
      </c>
      <c r="C706" s="45" t="s">
        <v>623</v>
      </c>
      <c r="D706" s="46" t="s">
        <v>625</v>
      </c>
      <c r="E706" s="46" t="s">
        <v>588</v>
      </c>
      <c r="F706" s="47" t="s">
        <v>3656</v>
      </c>
      <c r="H706" s="48" t="s">
        <v>607</v>
      </c>
      <c r="I706" s="46" t="s">
        <v>2054</v>
      </c>
      <c r="J706" s="49" t="s">
        <v>899</v>
      </c>
      <c r="L706" s="49">
        <v>2</v>
      </c>
      <c r="M706" s="50">
        <v>2500000</v>
      </c>
      <c r="N706" s="51">
        <v>4500000</v>
      </c>
      <c r="O706" s="50" t="s">
        <v>560</v>
      </c>
      <c r="P706" s="65" t="s">
        <v>3657</v>
      </c>
      <c r="Q706" s="46" t="s">
        <v>1939</v>
      </c>
      <c r="R706" s="47" t="s">
        <v>3658</v>
      </c>
      <c r="U706" s="46" t="s">
        <v>491</v>
      </c>
    </row>
    <row r="707" spans="1:21" ht="90" x14ac:dyDescent="0.25">
      <c r="A707" s="45">
        <v>42608</v>
      </c>
      <c r="B707" s="46" t="s">
        <v>378</v>
      </c>
      <c r="C707" s="45" t="s">
        <v>610</v>
      </c>
      <c r="D707" s="46" t="s">
        <v>732</v>
      </c>
      <c r="E707" s="46" t="s">
        <v>588</v>
      </c>
      <c r="F707" s="47" t="s">
        <v>3659</v>
      </c>
      <c r="H707" s="48" t="s">
        <v>607</v>
      </c>
      <c r="I707" s="46" t="s">
        <v>3660</v>
      </c>
      <c r="J707" s="49" t="s">
        <v>899</v>
      </c>
      <c r="L707" s="49">
        <v>6</v>
      </c>
      <c r="M707" s="50">
        <v>284000</v>
      </c>
      <c r="N707" s="51">
        <v>503500</v>
      </c>
      <c r="O707" s="50" t="s">
        <v>2753</v>
      </c>
      <c r="P707" s="65" t="s">
        <v>3661</v>
      </c>
      <c r="Q707" s="46" t="s">
        <v>1939</v>
      </c>
      <c r="R707" s="47" t="s">
        <v>3662</v>
      </c>
      <c r="U707" s="46" t="s">
        <v>491</v>
      </c>
    </row>
    <row r="708" spans="1:21" ht="90" x14ac:dyDescent="0.25">
      <c r="A708" s="45">
        <v>42608</v>
      </c>
      <c r="B708" s="46" t="s">
        <v>328</v>
      </c>
      <c r="C708" s="45" t="s">
        <v>603</v>
      </c>
      <c r="D708" s="46" t="s">
        <v>1401</v>
      </c>
      <c r="E708" s="46" t="s">
        <v>588</v>
      </c>
      <c r="F708" s="47" t="s">
        <v>3654</v>
      </c>
      <c r="H708" s="47" t="s">
        <v>3095</v>
      </c>
      <c r="I708" s="46" t="s">
        <v>3652</v>
      </c>
      <c r="J708" s="49" t="s">
        <v>604</v>
      </c>
      <c r="M708" s="50">
        <v>90000</v>
      </c>
      <c r="N708" s="51">
        <v>94000</v>
      </c>
      <c r="O708" s="50" t="s">
        <v>3653</v>
      </c>
      <c r="P708" s="65" t="s">
        <v>3655</v>
      </c>
      <c r="Q708" s="46" t="s">
        <v>592</v>
      </c>
      <c r="U708" s="46" t="s">
        <v>491</v>
      </c>
    </row>
    <row r="709" spans="1:21" ht="45" x14ac:dyDescent="0.25">
      <c r="A709" s="45">
        <v>42608</v>
      </c>
      <c r="B709" s="46" t="s">
        <v>328</v>
      </c>
      <c r="C709" s="45" t="s">
        <v>603</v>
      </c>
      <c r="D709" s="46" t="s">
        <v>1401</v>
      </c>
      <c r="E709" s="46" t="s">
        <v>588</v>
      </c>
      <c r="F709" s="47" t="s">
        <v>3648</v>
      </c>
      <c r="H709" s="47" t="s">
        <v>607</v>
      </c>
      <c r="I709" s="46" t="s">
        <v>3649</v>
      </c>
      <c r="J709" s="49" t="s">
        <v>899</v>
      </c>
      <c r="L709" s="49">
        <v>4</v>
      </c>
      <c r="M709" s="50">
        <v>1670000</v>
      </c>
      <c r="N709" s="51">
        <v>3087000</v>
      </c>
      <c r="O709" s="50" t="s">
        <v>560</v>
      </c>
      <c r="P709" s="65" t="s">
        <v>3650</v>
      </c>
      <c r="Q709" s="46" t="s">
        <v>1939</v>
      </c>
      <c r="R709" s="47" t="s">
        <v>3651</v>
      </c>
      <c r="U709" s="46" t="s">
        <v>491</v>
      </c>
    </row>
    <row r="710" spans="1:21" ht="60" x14ac:dyDescent="0.25">
      <c r="A710" s="45">
        <v>42611</v>
      </c>
      <c r="B710" s="46" t="s">
        <v>328</v>
      </c>
      <c r="C710" s="45" t="s">
        <v>603</v>
      </c>
      <c r="D710" s="46" t="s">
        <v>1471</v>
      </c>
      <c r="E710" s="46" t="s">
        <v>588</v>
      </c>
      <c r="F710" s="47" t="s">
        <v>3675</v>
      </c>
      <c r="H710" s="47" t="s">
        <v>607</v>
      </c>
      <c r="I710" s="46" t="s">
        <v>3676</v>
      </c>
      <c r="J710" s="49" t="s">
        <v>899</v>
      </c>
      <c r="L710" s="49">
        <v>10</v>
      </c>
      <c r="M710" s="50">
        <v>360000</v>
      </c>
      <c r="N710" s="51">
        <v>738000</v>
      </c>
      <c r="O710" s="50" t="s">
        <v>3677</v>
      </c>
      <c r="P710" s="65" t="s">
        <v>3678</v>
      </c>
      <c r="Q710" s="46" t="s">
        <v>29</v>
      </c>
      <c r="R710" s="47" t="s">
        <v>3823</v>
      </c>
      <c r="U710" s="46" t="s">
        <v>491</v>
      </c>
    </row>
    <row r="711" spans="1:21" ht="45" x14ac:dyDescent="0.25">
      <c r="A711" s="45">
        <v>42611</v>
      </c>
      <c r="B711" s="46" t="s">
        <v>328</v>
      </c>
      <c r="C711" s="45" t="s">
        <v>603</v>
      </c>
      <c r="D711" s="46" t="s">
        <v>587</v>
      </c>
      <c r="E711" s="46" t="s">
        <v>588</v>
      </c>
      <c r="F711" s="47" t="s">
        <v>3663</v>
      </c>
      <c r="H711" s="47" t="s">
        <v>607</v>
      </c>
      <c r="I711" s="46" t="s">
        <v>3664</v>
      </c>
      <c r="J711" s="49" t="s">
        <v>608</v>
      </c>
      <c r="L711" s="49">
        <v>10</v>
      </c>
      <c r="M711" s="50">
        <v>1600000</v>
      </c>
      <c r="N711" s="51">
        <v>3360000</v>
      </c>
      <c r="O711" s="50" t="s">
        <v>3665</v>
      </c>
      <c r="P711" s="65" t="s">
        <v>3666</v>
      </c>
      <c r="Q711" s="46" t="s">
        <v>29</v>
      </c>
      <c r="R711" s="47" t="s">
        <v>3667</v>
      </c>
      <c r="U711" s="46" t="s">
        <v>491</v>
      </c>
    </row>
    <row r="712" spans="1:21" ht="30" x14ac:dyDescent="0.25">
      <c r="A712" s="45">
        <v>42611</v>
      </c>
      <c r="B712" s="46" t="s">
        <v>328</v>
      </c>
      <c r="C712" s="45" t="s">
        <v>603</v>
      </c>
      <c r="D712" s="46" t="s">
        <v>1471</v>
      </c>
      <c r="E712" s="46" t="s">
        <v>588</v>
      </c>
      <c r="F712" s="47" t="s">
        <v>3671</v>
      </c>
      <c r="H712" s="47" t="s">
        <v>607</v>
      </c>
      <c r="I712" s="46" t="s">
        <v>3672</v>
      </c>
      <c r="J712" s="49" t="s">
        <v>899</v>
      </c>
      <c r="L712" s="49">
        <v>5</v>
      </c>
      <c r="M712" s="50">
        <v>1690000</v>
      </c>
      <c r="N712" s="51">
        <v>3080400</v>
      </c>
      <c r="O712" s="50" t="s">
        <v>3673</v>
      </c>
      <c r="P712" s="65" t="s">
        <v>3674</v>
      </c>
      <c r="Q712" s="46" t="s">
        <v>592</v>
      </c>
      <c r="U712" s="46" t="s">
        <v>491</v>
      </c>
    </row>
    <row r="713" spans="1:21" ht="90" x14ac:dyDescent="0.25">
      <c r="A713" s="45">
        <v>42611</v>
      </c>
      <c r="B713" s="46" t="s">
        <v>378</v>
      </c>
      <c r="C713" s="45" t="s">
        <v>623</v>
      </c>
      <c r="D713" s="46" t="s">
        <v>930</v>
      </c>
      <c r="E713" s="46" t="s">
        <v>588</v>
      </c>
      <c r="F713" s="47" t="s">
        <v>3668</v>
      </c>
      <c r="H713" s="48" t="s">
        <v>886</v>
      </c>
      <c r="O713" s="50" t="s">
        <v>3669</v>
      </c>
      <c r="P713" s="65" t="s">
        <v>3670</v>
      </c>
      <c r="Q713" s="46" t="s">
        <v>592</v>
      </c>
      <c r="U713" s="46" t="s">
        <v>491</v>
      </c>
    </row>
    <row r="714" spans="1:21" ht="90" x14ac:dyDescent="0.25">
      <c r="A714" s="45">
        <v>42611</v>
      </c>
      <c r="B714" s="46" t="s">
        <v>378</v>
      </c>
      <c r="C714" s="45" t="s">
        <v>623</v>
      </c>
      <c r="D714" s="46" t="s">
        <v>930</v>
      </c>
      <c r="E714" s="46" t="s">
        <v>821</v>
      </c>
      <c r="F714" s="47" t="s">
        <v>3679</v>
      </c>
      <c r="H714" s="48" t="s">
        <v>607</v>
      </c>
      <c r="I714" s="46" t="s">
        <v>3680</v>
      </c>
      <c r="J714" s="49" t="s">
        <v>899</v>
      </c>
      <c r="O714" s="50" t="s">
        <v>3681</v>
      </c>
      <c r="P714" s="65" t="s">
        <v>3682</v>
      </c>
      <c r="Q714" s="46" t="s">
        <v>592</v>
      </c>
      <c r="U714" s="46" t="s">
        <v>491</v>
      </c>
    </row>
    <row r="715" spans="1:21" ht="45" x14ac:dyDescent="0.25">
      <c r="A715" s="45">
        <v>42611</v>
      </c>
      <c r="B715" s="46" t="s">
        <v>378</v>
      </c>
      <c r="C715" s="45" t="s">
        <v>623</v>
      </c>
      <c r="D715" s="46" t="s">
        <v>625</v>
      </c>
      <c r="E715" s="46" t="s">
        <v>588</v>
      </c>
      <c r="F715" s="47" t="s">
        <v>3683</v>
      </c>
      <c r="H715" s="48" t="s">
        <v>607</v>
      </c>
      <c r="I715" s="46" t="s">
        <v>2054</v>
      </c>
      <c r="J715" s="49" t="s">
        <v>899</v>
      </c>
      <c r="M715" s="50">
        <v>1417000</v>
      </c>
      <c r="N715" s="51">
        <v>2550100</v>
      </c>
      <c r="O715" s="50" t="s">
        <v>1844</v>
      </c>
      <c r="P715" s="65" t="s">
        <v>3684</v>
      </c>
      <c r="Q715" s="46" t="s">
        <v>29</v>
      </c>
      <c r="R715" s="47" t="s">
        <v>3685</v>
      </c>
      <c r="U715" s="46" t="s">
        <v>491</v>
      </c>
    </row>
    <row r="716" spans="1:21" ht="105" x14ac:dyDescent="0.25">
      <c r="A716" s="45">
        <v>42612</v>
      </c>
      <c r="B716" s="46" t="s">
        <v>328</v>
      </c>
      <c r="C716" s="45" t="s">
        <v>603</v>
      </c>
      <c r="D716" s="46" t="s">
        <v>587</v>
      </c>
      <c r="E716" s="46" t="s">
        <v>588</v>
      </c>
      <c r="F716" s="47" t="s">
        <v>8542</v>
      </c>
      <c r="H716" s="47" t="s">
        <v>607</v>
      </c>
      <c r="I716" s="46" t="s">
        <v>3691</v>
      </c>
      <c r="J716" s="49" t="s">
        <v>3612</v>
      </c>
      <c r="L716" s="63">
        <v>9</v>
      </c>
      <c r="M716" s="50">
        <v>590000</v>
      </c>
      <c r="N716" s="51">
        <v>1225000</v>
      </c>
      <c r="O716" s="50" t="s">
        <v>2596</v>
      </c>
      <c r="P716" s="65" t="s">
        <v>3692</v>
      </c>
      <c r="Q716" s="46" t="s">
        <v>620</v>
      </c>
      <c r="R716" s="47" t="s">
        <v>3693</v>
      </c>
      <c r="U716" s="46" t="s">
        <v>491</v>
      </c>
    </row>
    <row r="717" spans="1:21" ht="45" x14ac:dyDescent="0.25">
      <c r="A717" s="45">
        <v>42612</v>
      </c>
      <c r="B717" s="46" t="s">
        <v>378</v>
      </c>
      <c r="C717" s="45" t="s">
        <v>623</v>
      </c>
      <c r="D717" s="46" t="s">
        <v>625</v>
      </c>
      <c r="E717" s="46" t="s">
        <v>588</v>
      </c>
      <c r="F717" s="47" t="s">
        <v>3686</v>
      </c>
      <c r="H717" s="48" t="s">
        <v>607</v>
      </c>
      <c r="I717" s="46" t="s">
        <v>3462</v>
      </c>
      <c r="J717" s="49" t="s">
        <v>899</v>
      </c>
      <c r="M717" s="50">
        <v>800000</v>
      </c>
      <c r="N717" s="51">
        <v>1440000</v>
      </c>
      <c r="O717" s="50" t="s">
        <v>2612</v>
      </c>
      <c r="P717" s="65" t="s">
        <v>3687</v>
      </c>
      <c r="Q717" s="46" t="s">
        <v>1939</v>
      </c>
      <c r="R717" s="47" t="s">
        <v>3688</v>
      </c>
      <c r="U717" s="46" t="s">
        <v>491</v>
      </c>
    </row>
    <row r="718" spans="1:21" ht="30" x14ac:dyDescent="0.25">
      <c r="A718" s="45">
        <v>42612</v>
      </c>
      <c r="B718" s="46" t="s">
        <v>378</v>
      </c>
      <c r="C718" s="45" t="s">
        <v>623</v>
      </c>
      <c r="D718" s="46" t="s">
        <v>625</v>
      </c>
      <c r="E718" s="46" t="s">
        <v>588</v>
      </c>
      <c r="F718" s="47" t="s">
        <v>3689</v>
      </c>
      <c r="H718" s="48" t="s">
        <v>607</v>
      </c>
      <c r="I718" s="46" t="s">
        <v>2054</v>
      </c>
      <c r="J718" s="49" t="s">
        <v>899</v>
      </c>
      <c r="L718" s="49">
        <v>4</v>
      </c>
      <c r="M718" s="50">
        <v>2040000</v>
      </c>
      <c r="N718" s="51">
        <v>3672000</v>
      </c>
      <c r="O718" s="50" t="s">
        <v>560</v>
      </c>
      <c r="P718" s="65" t="s">
        <v>3690</v>
      </c>
      <c r="Q718" s="46" t="s">
        <v>592</v>
      </c>
      <c r="U718" s="46" t="s">
        <v>491</v>
      </c>
    </row>
    <row r="719" spans="1:21" ht="60" x14ac:dyDescent="0.25">
      <c r="A719" s="45">
        <v>42612</v>
      </c>
      <c r="B719" s="46" t="s">
        <v>378</v>
      </c>
      <c r="C719" s="45" t="s">
        <v>623</v>
      </c>
      <c r="D719" s="46" t="s">
        <v>625</v>
      </c>
      <c r="E719" s="46" t="s">
        <v>588</v>
      </c>
      <c r="F719" s="47" t="s">
        <v>3694</v>
      </c>
      <c r="H719" s="48" t="s">
        <v>607</v>
      </c>
      <c r="I719" s="46" t="s">
        <v>3388</v>
      </c>
      <c r="J719" s="49" t="s">
        <v>899</v>
      </c>
      <c r="L719" s="49">
        <v>3</v>
      </c>
      <c r="M719" s="50">
        <v>3011000</v>
      </c>
      <c r="N719" s="51">
        <v>4611000</v>
      </c>
      <c r="O719" s="50" t="s">
        <v>3695</v>
      </c>
      <c r="P719" s="65" t="s">
        <v>3696</v>
      </c>
      <c r="Q719" s="46" t="s">
        <v>620</v>
      </c>
      <c r="R719" s="47" t="s">
        <v>3697</v>
      </c>
      <c r="U719" s="46" t="s">
        <v>491</v>
      </c>
    </row>
    <row r="720" spans="1:21" ht="120" x14ac:dyDescent="0.25">
      <c r="A720" s="45">
        <v>42612</v>
      </c>
      <c r="B720" s="46" t="s">
        <v>378</v>
      </c>
      <c r="C720" s="45" t="s">
        <v>623</v>
      </c>
      <c r="D720" s="46" t="s">
        <v>930</v>
      </c>
      <c r="E720" s="46" t="s">
        <v>821</v>
      </c>
      <c r="H720" s="48" t="s">
        <v>905</v>
      </c>
      <c r="M720" s="50">
        <v>500000</v>
      </c>
      <c r="O720" s="50" t="s">
        <v>3717</v>
      </c>
      <c r="P720" s="65" t="s">
        <v>3718</v>
      </c>
      <c r="Q720" s="46" t="s">
        <v>1939</v>
      </c>
      <c r="R720" s="47" t="s">
        <v>3719</v>
      </c>
    </row>
    <row r="721" spans="1:21" ht="75" x14ac:dyDescent="0.25">
      <c r="A721" s="45">
        <v>42613</v>
      </c>
      <c r="B721" s="46" t="s">
        <v>328</v>
      </c>
      <c r="C721" s="45" t="s">
        <v>603</v>
      </c>
      <c r="D721" s="46" t="s">
        <v>1471</v>
      </c>
      <c r="E721" s="46" t="s">
        <v>588</v>
      </c>
      <c r="F721" s="47" t="s">
        <v>3709</v>
      </c>
      <c r="H721" s="47" t="s">
        <v>607</v>
      </c>
      <c r="I721" s="46" t="s">
        <v>3710</v>
      </c>
      <c r="J721" s="49" t="s">
        <v>899</v>
      </c>
      <c r="L721" s="49">
        <v>10</v>
      </c>
      <c r="M721" s="50">
        <v>400000</v>
      </c>
      <c r="N721" s="51">
        <v>490000</v>
      </c>
      <c r="O721" s="50" t="s">
        <v>764</v>
      </c>
      <c r="P721" s="65" t="s">
        <v>3711</v>
      </c>
      <c r="Q721" s="46" t="s">
        <v>1939</v>
      </c>
      <c r="R721" s="47" t="s">
        <v>3712</v>
      </c>
      <c r="U721" s="46" t="s">
        <v>491</v>
      </c>
    </row>
    <row r="722" spans="1:21" ht="135" x14ac:dyDescent="0.25">
      <c r="A722" s="45">
        <v>42613</v>
      </c>
      <c r="B722" s="46" t="s">
        <v>643</v>
      </c>
      <c r="C722" s="45" t="s">
        <v>644</v>
      </c>
      <c r="D722" s="46" t="s">
        <v>3132</v>
      </c>
      <c r="E722" s="46" t="s">
        <v>588</v>
      </c>
      <c r="F722" s="47" t="s">
        <v>3698</v>
      </c>
      <c r="H722" s="48" t="s">
        <v>607</v>
      </c>
      <c r="I722" s="46" t="s">
        <v>3699</v>
      </c>
      <c r="J722" s="49" t="s">
        <v>644</v>
      </c>
      <c r="L722" s="49">
        <v>4</v>
      </c>
      <c r="M722" s="50">
        <v>525000</v>
      </c>
      <c r="N722" s="51">
        <v>895000</v>
      </c>
      <c r="O722" s="50" t="s">
        <v>3107</v>
      </c>
      <c r="P722" s="65" t="s">
        <v>3700</v>
      </c>
      <c r="Q722" s="46" t="s">
        <v>620</v>
      </c>
      <c r="R722" s="47" t="s">
        <v>3701</v>
      </c>
      <c r="U722" s="46" t="s">
        <v>491</v>
      </c>
    </row>
    <row r="723" spans="1:21" ht="150" x14ac:dyDescent="0.25">
      <c r="A723" s="45">
        <v>42613</v>
      </c>
      <c r="B723" s="46" t="s">
        <v>328</v>
      </c>
      <c r="C723" s="45" t="s">
        <v>603</v>
      </c>
      <c r="D723" s="46" t="s">
        <v>2500</v>
      </c>
      <c r="E723" s="46" t="s">
        <v>692</v>
      </c>
      <c r="F723" s="47" t="s">
        <v>3702</v>
      </c>
      <c r="H723" s="47" t="s">
        <v>607</v>
      </c>
      <c r="I723" s="46" t="s">
        <v>3703</v>
      </c>
      <c r="J723" s="49" t="s">
        <v>604</v>
      </c>
      <c r="L723" s="49">
        <v>6</v>
      </c>
      <c r="M723" s="50">
        <v>161415</v>
      </c>
      <c r="N723" s="51">
        <v>270000</v>
      </c>
      <c r="O723" s="50" t="s">
        <v>3704</v>
      </c>
      <c r="P723" s="65" t="s">
        <v>3705</v>
      </c>
      <c r="Q723" s="46" t="s">
        <v>1939</v>
      </c>
      <c r="R723" s="47" t="s">
        <v>3706</v>
      </c>
      <c r="U723" s="46" t="s">
        <v>491</v>
      </c>
    </row>
    <row r="724" spans="1:21" ht="45" x14ac:dyDescent="0.25">
      <c r="A724" s="45">
        <v>42613</v>
      </c>
      <c r="B724" s="46" t="s">
        <v>378</v>
      </c>
      <c r="C724" s="45" t="s">
        <v>610</v>
      </c>
      <c r="D724" s="46" t="s">
        <v>611</v>
      </c>
      <c r="E724" s="46" t="s">
        <v>821</v>
      </c>
      <c r="H724" s="48"/>
      <c r="O724" s="50" t="s">
        <v>3510</v>
      </c>
      <c r="P724" s="65" t="s">
        <v>3707</v>
      </c>
      <c r="Q724" s="46" t="s">
        <v>592</v>
      </c>
      <c r="R724" s="47" t="s">
        <v>3708</v>
      </c>
      <c r="U724" s="46" t="s">
        <v>491</v>
      </c>
    </row>
    <row r="725" spans="1:21" ht="90" x14ac:dyDescent="0.25">
      <c r="A725" s="45">
        <v>42613</v>
      </c>
      <c r="B725" s="46" t="s">
        <v>110</v>
      </c>
      <c r="C725" s="45" t="s">
        <v>761</v>
      </c>
      <c r="D725" s="46" t="s">
        <v>3713</v>
      </c>
      <c r="E725" s="46" t="s">
        <v>588</v>
      </c>
      <c r="F725" s="47" t="s">
        <v>3714</v>
      </c>
      <c r="H725" s="48" t="s">
        <v>722</v>
      </c>
      <c r="I725" s="46" t="s">
        <v>3715</v>
      </c>
      <c r="J725" s="49" t="s">
        <v>761</v>
      </c>
      <c r="L725" s="49">
        <v>10</v>
      </c>
      <c r="M725" s="50">
        <v>194000</v>
      </c>
      <c r="N725" s="51">
        <v>329800</v>
      </c>
      <c r="O725" s="50" t="s">
        <v>764</v>
      </c>
      <c r="P725" s="65" t="s">
        <v>3716</v>
      </c>
      <c r="Q725" s="46" t="s">
        <v>592</v>
      </c>
      <c r="U725" s="46" t="s">
        <v>491</v>
      </c>
    </row>
    <row r="726" spans="1:21" x14ac:dyDescent="0.25">
      <c r="A726" s="45">
        <v>42613</v>
      </c>
      <c r="B726" s="46" t="s">
        <v>378</v>
      </c>
      <c r="C726" s="45" t="s">
        <v>623</v>
      </c>
      <c r="D726" s="46" t="s">
        <v>625</v>
      </c>
      <c r="E726" s="46" t="s">
        <v>588</v>
      </c>
      <c r="H726" s="48" t="s">
        <v>607</v>
      </c>
      <c r="I726" s="46" t="s">
        <v>3721</v>
      </c>
      <c r="J726" s="49" t="s">
        <v>899</v>
      </c>
      <c r="M726" s="50">
        <v>225000</v>
      </c>
      <c r="P726" s="65" t="s">
        <v>3722</v>
      </c>
      <c r="Q726" s="46" t="s">
        <v>29</v>
      </c>
      <c r="R726" s="47" t="s">
        <v>3723</v>
      </c>
      <c r="U726" s="46" t="s">
        <v>491</v>
      </c>
    </row>
    <row r="727" spans="1:21" ht="45" x14ac:dyDescent="0.25">
      <c r="A727" s="45">
        <v>42613</v>
      </c>
      <c r="B727" s="46" t="s">
        <v>378</v>
      </c>
      <c r="C727" s="45" t="s">
        <v>623</v>
      </c>
      <c r="D727" s="46" t="s">
        <v>625</v>
      </c>
      <c r="E727" s="46" t="s">
        <v>588</v>
      </c>
      <c r="F727" s="47" t="s">
        <v>3724</v>
      </c>
      <c r="H727" s="48" t="s">
        <v>809</v>
      </c>
      <c r="I727" s="46" t="s">
        <v>3388</v>
      </c>
      <c r="J727" s="49" t="s">
        <v>899</v>
      </c>
      <c r="L727" s="49">
        <v>3</v>
      </c>
      <c r="M727" s="50">
        <v>2038200</v>
      </c>
      <c r="N727" s="51">
        <v>2244000</v>
      </c>
      <c r="O727" s="50" t="s">
        <v>2117</v>
      </c>
      <c r="P727" s="65" t="s">
        <v>3725</v>
      </c>
      <c r="Q727" s="46" t="s">
        <v>592</v>
      </c>
      <c r="U727" s="46" t="s">
        <v>491</v>
      </c>
    </row>
    <row r="728" spans="1:21" ht="90" x14ac:dyDescent="0.25">
      <c r="A728" s="45">
        <v>42614</v>
      </c>
      <c r="B728" s="46" t="s">
        <v>328</v>
      </c>
      <c r="C728" s="45" t="s">
        <v>603</v>
      </c>
      <c r="D728" s="46" t="s">
        <v>2500</v>
      </c>
      <c r="E728" s="46" t="s">
        <v>588</v>
      </c>
      <c r="F728" s="47" t="s">
        <v>3619</v>
      </c>
      <c r="H728" s="47" t="s">
        <v>607</v>
      </c>
      <c r="I728" s="46" t="s">
        <v>3620</v>
      </c>
      <c r="J728" s="49" t="s">
        <v>899</v>
      </c>
      <c r="L728" s="49">
        <v>10</v>
      </c>
      <c r="M728" s="50">
        <v>450000</v>
      </c>
      <c r="N728" s="51">
        <v>1040000</v>
      </c>
      <c r="O728" s="50" t="s">
        <v>3734</v>
      </c>
      <c r="P728" s="65" t="s">
        <v>3729</v>
      </c>
      <c r="Q728" s="46" t="s">
        <v>1939</v>
      </c>
      <c r="R728" s="47" t="s">
        <v>3730</v>
      </c>
      <c r="U728" s="46" t="s">
        <v>491</v>
      </c>
    </row>
    <row r="729" spans="1:21" ht="60" x14ac:dyDescent="0.25">
      <c r="A729" s="45">
        <v>42614</v>
      </c>
      <c r="B729" s="46" t="s">
        <v>328</v>
      </c>
      <c r="C729" s="45" t="s">
        <v>603</v>
      </c>
      <c r="D729" s="46" t="s">
        <v>2500</v>
      </c>
      <c r="E729" s="46" t="s">
        <v>588</v>
      </c>
      <c r="F729" s="47" t="s">
        <v>3731</v>
      </c>
      <c r="H729" s="47" t="s">
        <v>722</v>
      </c>
      <c r="I729" s="46" t="s">
        <v>3732</v>
      </c>
      <c r="J729" s="49" t="s">
        <v>3733</v>
      </c>
      <c r="L729" s="49">
        <v>10</v>
      </c>
      <c r="M729" s="50">
        <v>131000</v>
      </c>
      <c r="N729" s="51">
        <v>230000</v>
      </c>
      <c r="O729" s="50" t="s">
        <v>2560</v>
      </c>
      <c r="P729" s="65" t="s">
        <v>3735</v>
      </c>
      <c r="Q729" s="46" t="s">
        <v>29</v>
      </c>
      <c r="R729" s="47" t="s">
        <v>3736</v>
      </c>
      <c r="U729" s="46" t="s">
        <v>491</v>
      </c>
    </row>
    <row r="730" spans="1:21" ht="45" x14ac:dyDescent="0.25">
      <c r="A730" s="45">
        <v>42614</v>
      </c>
      <c r="B730" s="46" t="s">
        <v>378</v>
      </c>
      <c r="C730" s="45" t="s">
        <v>623</v>
      </c>
      <c r="D730" s="46" t="s">
        <v>3726</v>
      </c>
      <c r="E730" s="46" t="s">
        <v>588</v>
      </c>
      <c r="H730" s="48"/>
      <c r="O730" s="50" t="s">
        <v>2612</v>
      </c>
      <c r="P730" s="65" t="s">
        <v>3727</v>
      </c>
      <c r="Q730" s="46" t="s">
        <v>29</v>
      </c>
      <c r="R730" s="47" t="s">
        <v>3728</v>
      </c>
      <c r="U730" s="46" t="s">
        <v>491</v>
      </c>
    </row>
    <row r="731" spans="1:21" ht="120" x14ac:dyDescent="0.25">
      <c r="A731" s="45">
        <v>42614</v>
      </c>
      <c r="B731" s="46" t="s">
        <v>378</v>
      </c>
      <c r="C731" s="45" t="s">
        <v>623</v>
      </c>
      <c r="D731" s="46" t="s">
        <v>930</v>
      </c>
      <c r="E731" s="46" t="s">
        <v>821</v>
      </c>
      <c r="F731" s="47" t="s">
        <v>3737</v>
      </c>
      <c r="H731" s="48" t="s">
        <v>607</v>
      </c>
      <c r="I731" s="46" t="s">
        <v>3388</v>
      </c>
      <c r="J731" s="49" t="s">
        <v>899</v>
      </c>
      <c r="M731" s="50">
        <v>1500000</v>
      </c>
      <c r="O731" s="50" t="s">
        <v>3738</v>
      </c>
      <c r="P731" s="65" t="s">
        <v>3739</v>
      </c>
      <c r="Q731" s="46" t="s">
        <v>592</v>
      </c>
      <c r="R731" s="47" t="s">
        <v>3740</v>
      </c>
      <c r="U731" s="46" t="s">
        <v>491</v>
      </c>
    </row>
    <row r="732" spans="1:21" ht="105" x14ac:dyDescent="0.25">
      <c r="A732" s="45">
        <v>42614</v>
      </c>
      <c r="B732" s="46" t="s">
        <v>328</v>
      </c>
      <c r="C732" s="45" t="s">
        <v>603</v>
      </c>
      <c r="D732" s="46" t="s">
        <v>1471</v>
      </c>
      <c r="E732" s="46" t="s">
        <v>588</v>
      </c>
      <c r="F732" s="47" t="s">
        <v>3741</v>
      </c>
      <c r="H732" s="47" t="s">
        <v>3742</v>
      </c>
      <c r="I732" s="46" t="s">
        <v>3743</v>
      </c>
      <c r="J732" s="49" t="s">
        <v>899</v>
      </c>
      <c r="L732" s="49">
        <v>2</v>
      </c>
      <c r="M732" s="50">
        <v>2500000</v>
      </c>
      <c r="N732" s="51">
        <v>4000000</v>
      </c>
      <c r="O732" s="50" t="s">
        <v>560</v>
      </c>
      <c r="P732" s="65" t="s">
        <v>3745</v>
      </c>
      <c r="Q732" s="46" t="s">
        <v>29</v>
      </c>
      <c r="R732" s="47" t="s">
        <v>3744</v>
      </c>
      <c r="U732" s="46" t="s">
        <v>491</v>
      </c>
    </row>
    <row r="733" spans="1:21" ht="135" x14ac:dyDescent="0.25">
      <c r="A733" s="45">
        <v>42615</v>
      </c>
      <c r="B733" s="46" t="s">
        <v>328</v>
      </c>
      <c r="C733" s="45" t="s">
        <v>603</v>
      </c>
      <c r="D733" s="46" t="s">
        <v>2500</v>
      </c>
      <c r="E733" s="46" t="s">
        <v>588</v>
      </c>
      <c r="F733" s="47" t="s">
        <v>3749</v>
      </c>
      <c r="H733" s="47" t="s">
        <v>3742</v>
      </c>
      <c r="I733" s="46" t="s">
        <v>3750</v>
      </c>
      <c r="J733" s="49" t="s">
        <v>3751</v>
      </c>
      <c r="L733" s="49">
        <v>4</v>
      </c>
      <c r="M733" s="50">
        <v>266305</v>
      </c>
      <c r="N733" s="51">
        <v>410000</v>
      </c>
      <c r="O733" s="50" t="s">
        <v>3752</v>
      </c>
      <c r="P733" s="65" t="s">
        <v>3753</v>
      </c>
      <c r="Q733" s="46" t="s">
        <v>1939</v>
      </c>
      <c r="R733" s="47" t="s">
        <v>3822</v>
      </c>
      <c r="U733" s="46" t="s">
        <v>491</v>
      </c>
    </row>
    <row r="734" spans="1:21" ht="75" x14ac:dyDescent="0.25">
      <c r="A734" s="45">
        <v>42615</v>
      </c>
      <c r="B734" s="46" t="s">
        <v>328</v>
      </c>
      <c r="C734" s="45" t="s">
        <v>603</v>
      </c>
      <c r="D734" s="46" t="s">
        <v>1471</v>
      </c>
      <c r="E734" s="46" t="s">
        <v>588</v>
      </c>
      <c r="F734" s="47" t="s">
        <v>3757</v>
      </c>
      <c r="H734" s="47" t="s">
        <v>607</v>
      </c>
      <c r="I734" s="46" t="s">
        <v>3758</v>
      </c>
      <c r="J734" s="49" t="s">
        <v>899</v>
      </c>
      <c r="L734" s="49">
        <v>10</v>
      </c>
      <c r="M734" s="50">
        <v>525000</v>
      </c>
      <c r="N734" s="51">
        <v>1152500</v>
      </c>
      <c r="O734" s="50" t="s">
        <v>3759</v>
      </c>
      <c r="P734" s="65" t="s">
        <v>3760</v>
      </c>
      <c r="Q734" s="46" t="s">
        <v>1939</v>
      </c>
      <c r="R734" s="47" t="s">
        <v>3761</v>
      </c>
      <c r="U734" s="46" t="s">
        <v>491</v>
      </c>
    </row>
    <row r="735" spans="1:21" ht="96.75" x14ac:dyDescent="0.25">
      <c r="A735" s="45">
        <v>42615</v>
      </c>
      <c r="B735" s="46" t="s">
        <v>328</v>
      </c>
      <c r="C735" s="45" t="s">
        <v>603</v>
      </c>
      <c r="D735" s="46" t="s">
        <v>1471</v>
      </c>
      <c r="E735" s="46" t="s">
        <v>588</v>
      </c>
      <c r="F735" s="47" t="s">
        <v>3754</v>
      </c>
      <c r="H735" s="47" t="s">
        <v>3742</v>
      </c>
      <c r="I735" s="46" t="s">
        <v>3755</v>
      </c>
      <c r="J735" s="49" t="s">
        <v>3373</v>
      </c>
      <c r="L735" s="49">
        <v>8</v>
      </c>
      <c r="M735" s="50">
        <v>173492</v>
      </c>
      <c r="N735" s="51">
        <v>294936</v>
      </c>
      <c r="O735" s="50" t="s">
        <v>3107</v>
      </c>
      <c r="P735" s="65" t="s">
        <v>3756</v>
      </c>
      <c r="Q735" s="46" t="s">
        <v>1939</v>
      </c>
      <c r="R735" s="86" t="s">
        <v>3782</v>
      </c>
      <c r="U735" s="46" t="s">
        <v>491</v>
      </c>
    </row>
    <row r="736" spans="1:21" ht="75" x14ac:dyDescent="0.25">
      <c r="A736" s="45">
        <v>42615</v>
      </c>
      <c r="B736" s="46" t="s">
        <v>1486</v>
      </c>
      <c r="C736" s="45" t="s">
        <v>1363</v>
      </c>
      <c r="D736" s="46" t="s">
        <v>2346</v>
      </c>
      <c r="E736" s="46" t="s">
        <v>588</v>
      </c>
      <c r="F736" s="47" t="s">
        <v>3762</v>
      </c>
      <c r="H736" s="47" t="s">
        <v>607</v>
      </c>
      <c r="I736" s="46" t="s">
        <v>3763</v>
      </c>
      <c r="J736" s="49" t="s">
        <v>602</v>
      </c>
      <c r="L736" s="49">
        <v>3</v>
      </c>
      <c r="M736" s="50">
        <v>448000</v>
      </c>
      <c r="N736" s="51">
        <v>473000</v>
      </c>
      <c r="O736" s="50" t="s">
        <v>3764</v>
      </c>
      <c r="P736" s="65" t="s">
        <v>3765</v>
      </c>
      <c r="Q736" s="46" t="s">
        <v>29</v>
      </c>
      <c r="R736" s="47" t="s">
        <v>3766</v>
      </c>
      <c r="U736" s="46" t="s">
        <v>491</v>
      </c>
    </row>
    <row r="737" spans="1:22" ht="75" x14ac:dyDescent="0.25">
      <c r="A737" s="45">
        <v>42619</v>
      </c>
      <c r="B737" s="46" t="s">
        <v>378</v>
      </c>
      <c r="C737" s="45" t="s">
        <v>610</v>
      </c>
      <c r="D737" s="46" t="s">
        <v>732</v>
      </c>
      <c r="E737" s="46" t="s">
        <v>588</v>
      </c>
      <c r="F737" s="47" t="s">
        <v>3767</v>
      </c>
      <c r="H737" s="47" t="s">
        <v>607</v>
      </c>
      <c r="I737" s="46" t="s">
        <v>3768</v>
      </c>
      <c r="J737" s="49" t="s">
        <v>899</v>
      </c>
      <c r="L737" s="49">
        <v>3</v>
      </c>
      <c r="M737" s="50">
        <v>406000</v>
      </c>
      <c r="N737" s="51">
        <v>731200</v>
      </c>
      <c r="O737" s="50" t="s">
        <v>3769</v>
      </c>
      <c r="P737" s="65" t="s">
        <v>3770</v>
      </c>
      <c r="Q737" s="46" t="s">
        <v>1939</v>
      </c>
      <c r="R737" s="47" t="s">
        <v>3771</v>
      </c>
      <c r="U737" s="46" t="s">
        <v>491</v>
      </c>
    </row>
    <row r="738" spans="1:22" ht="45" x14ac:dyDescent="0.25">
      <c r="A738" s="45">
        <v>42619</v>
      </c>
      <c r="B738" s="46" t="s">
        <v>378</v>
      </c>
      <c r="C738" s="45" t="s">
        <v>623</v>
      </c>
      <c r="D738" s="46" t="s">
        <v>625</v>
      </c>
      <c r="E738" s="46" t="s">
        <v>588</v>
      </c>
      <c r="F738" s="47" t="s">
        <v>3772</v>
      </c>
      <c r="H738" s="47" t="s">
        <v>905</v>
      </c>
      <c r="I738" s="46" t="s">
        <v>2054</v>
      </c>
      <c r="J738" s="49" t="s">
        <v>899</v>
      </c>
      <c r="L738" s="49">
        <v>2</v>
      </c>
      <c r="M738" s="50">
        <v>450000</v>
      </c>
      <c r="N738" s="51">
        <v>745000</v>
      </c>
      <c r="O738" s="50" t="s">
        <v>695</v>
      </c>
      <c r="P738" s="65" t="s">
        <v>3773</v>
      </c>
      <c r="Q738" s="46" t="s">
        <v>592</v>
      </c>
      <c r="R738" s="47" t="s">
        <v>3774</v>
      </c>
      <c r="U738" s="46" t="s">
        <v>491</v>
      </c>
    </row>
    <row r="739" spans="1:22" ht="105" x14ac:dyDescent="0.25">
      <c r="A739" s="45">
        <v>42620</v>
      </c>
      <c r="B739" s="46" t="s">
        <v>328</v>
      </c>
      <c r="C739" s="45" t="s">
        <v>603</v>
      </c>
      <c r="D739" s="46" t="s">
        <v>672</v>
      </c>
      <c r="E739" s="46" t="s">
        <v>588</v>
      </c>
      <c r="F739" s="47" t="s">
        <v>3775</v>
      </c>
      <c r="H739" s="47" t="s">
        <v>607</v>
      </c>
      <c r="I739" s="46" t="s">
        <v>3776</v>
      </c>
      <c r="J739" s="49" t="s">
        <v>3373</v>
      </c>
      <c r="L739" s="49">
        <v>10</v>
      </c>
      <c r="M739" s="50">
        <v>2250000</v>
      </c>
      <c r="N739" s="51">
        <v>4837500</v>
      </c>
      <c r="O739" s="50" t="s">
        <v>1111</v>
      </c>
      <c r="P739" s="65" t="s">
        <v>3777</v>
      </c>
      <c r="Q739" s="46" t="s">
        <v>592</v>
      </c>
      <c r="U739" s="46" t="s">
        <v>491</v>
      </c>
    </row>
    <row r="740" spans="1:22" ht="90" x14ac:dyDescent="0.25">
      <c r="A740" s="45">
        <v>42620</v>
      </c>
      <c r="B740" s="46" t="s">
        <v>328</v>
      </c>
      <c r="C740" s="45" t="s">
        <v>603</v>
      </c>
      <c r="D740" s="46" t="s">
        <v>1471</v>
      </c>
      <c r="E740" s="46" t="s">
        <v>588</v>
      </c>
      <c r="F740" s="47" t="s">
        <v>3798</v>
      </c>
      <c r="H740" s="47" t="s">
        <v>607</v>
      </c>
      <c r="I740" s="46" t="s">
        <v>3799</v>
      </c>
      <c r="J740" s="49" t="s">
        <v>899</v>
      </c>
      <c r="L740" s="49">
        <v>10</v>
      </c>
      <c r="M740" s="50">
        <v>300000</v>
      </c>
      <c r="N740" s="51">
        <v>555000</v>
      </c>
      <c r="O740" s="50" t="s">
        <v>3800</v>
      </c>
      <c r="P740" s="65" t="s">
        <v>3801</v>
      </c>
      <c r="Q740" s="46" t="s">
        <v>1939</v>
      </c>
      <c r="R740" s="47" t="s">
        <v>3802</v>
      </c>
      <c r="U740" s="46" t="s">
        <v>491</v>
      </c>
    </row>
    <row r="741" spans="1:22" ht="60" x14ac:dyDescent="0.25">
      <c r="A741" s="45">
        <v>42620</v>
      </c>
      <c r="B741" s="46" t="s">
        <v>328</v>
      </c>
      <c r="C741" s="45" t="s">
        <v>603</v>
      </c>
      <c r="D741" s="46" t="s">
        <v>1471</v>
      </c>
      <c r="E741" s="46" t="s">
        <v>588</v>
      </c>
      <c r="F741" s="47" t="s">
        <v>3792</v>
      </c>
      <c r="H741" s="47" t="s">
        <v>607</v>
      </c>
      <c r="I741" s="46" t="s">
        <v>3793</v>
      </c>
      <c r="J741" s="49" t="s">
        <v>899</v>
      </c>
      <c r="L741" s="49">
        <v>4</v>
      </c>
      <c r="M741" s="50">
        <v>1397000</v>
      </c>
      <c r="N741" s="51">
        <v>3003550</v>
      </c>
      <c r="O741" s="50" t="s">
        <v>3086</v>
      </c>
      <c r="P741" s="65" t="s">
        <v>3794</v>
      </c>
      <c r="Q741" s="46" t="s">
        <v>592</v>
      </c>
      <c r="U741" s="46" t="s">
        <v>491</v>
      </c>
    </row>
    <row r="742" spans="1:22" ht="75" x14ac:dyDescent="0.25">
      <c r="A742" s="45">
        <v>42620</v>
      </c>
      <c r="B742" s="46" t="s">
        <v>328</v>
      </c>
      <c r="C742" s="45" t="s">
        <v>603</v>
      </c>
      <c r="D742" s="46" t="s">
        <v>1471</v>
      </c>
      <c r="E742" s="46" t="s">
        <v>588</v>
      </c>
      <c r="F742" s="47" t="s">
        <v>3778</v>
      </c>
      <c r="H742" s="47" t="s">
        <v>607</v>
      </c>
      <c r="I742" s="46" t="s">
        <v>3779</v>
      </c>
      <c r="J742" s="49" t="s">
        <v>899</v>
      </c>
      <c r="L742" s="49">
        <v>10</v>
      </c>
      <c r="M742" s="50">
        <v>1633000</v>
      </c>
      <c r="N742" s="51">
        <v>2283000</v>
      </c>
      <c r="O742" s="50" t="s">
        <v>1111</v>
      </c>
      <c r="P742" s="65" t="s">
        <v>3781</v>
      </c>
      <c r="Q742" s="46" t="s">
        <v>29</v>
      </c>
      <c r="R742" s="47" t="s">
        <v>3780</v>
      </c>
      <c r="U742" s="46" t="s">
        <v>491</v>
      </c>
    </row>
    <row r="743" spans="1:22" ht="60" x14ac:dyDescent="0.25">
      <c r="A743" s="45">
        <v>42620</v>
      </c>
      <c r="B743" s="46" t="s">
        <v>1486</v>
      </c>
      <c r="C743" s="45" t="s">
        <v>1883</v>
      </c>
      <c r="D743" s="46" t="s">
        <v>595</v>
      </c>
      <c r="E743" s="46" t="s">
        <v>588</v>
      </c>
      <c r="F743" s="47" t="s">
        <v>3783</v>
      </c>
      <c r="H743" s="47" t="s">
        <v>607</v>
      </c>
      <c r="I743" s="46" t="s">
        <v>3784</v>
      </c>
      <c r="J743" s="49" t="s">
        <v>959</v>
      </c>
      <c r="M743" s="50">
        <v>350000</v>
      </c>
      <c r="N743" s="51">
        <v>595000</v>
      </c>
      <c r="O743" s="50" t="s">
        <v>3785</v>
      </c>
      <c r="P743" s="65" t="s">
        <v>3786</v>
      </c>
      <c r="Q743" s="46" t="s">
        <v>592</v>
      </c>
      <c r="R743" s="47" t="s">
        <v>3787</v>
      </c>
      <c r="U743" s="46" t="s">
        <v>491</v>
      </c>
    </row>
    <row r="744" spans="1:22" ht="60" x14ac:dyDescent="0.25">
      <c r="A744" s="45">
        <v>42620</v>
      </c>
      <c r="B744" s="46" t="s">
        <v>378</v>
      </c>
      <c r="C744" s="45" t="s">
        <v>623</v>
      </c>
      <c r="D744" s="46" t="s">
        <v>625</v>
      </c>
      <c r="E744" s="46" t="s">
        <v>588</v>
      </c>
      <c r="F744" s="47" t="s">
        <v>3788</v>
      </c>
      <c r="H744" s="47" t="s">
        <v>607</v>
      </c>
      <c r="I744" s="46" t="s">
        <v>3388</v>
      </c>
      <c r="J744" s="49" t="s">
        <v>899</v>
      </c>
      <c r="L744" s="49">
        <v>4</v>
      </c>
      <c r="M744" s="50">
        <v>1500000</v>
      </c>
      <c r="N744" s="51">
        <v>2700000</v>
      </c>
      <c r="O744" s="50" t="s">
        <v>695</v>
      </c>
      <c r="P744" s="65" t="s">
        <v>3789</v>
      </c>
      <c r="Q744" s="46" t="s">
        <v>592</v>
      </c>
      <c r="U744" s="46" t="s">
        <v>491</v>
      </c>
    </row>
    <row r="745" spans="1:22" ht="180" x14ac:dyDescent="0.25">
      <c r="A745" s="45">
        <v>42620</v>
      </c>
      <c r="B745" s="46" t="s">
        <v>378</v>
      </c>
      <c r="C745" s="45" t="s">
        <v>623</v>
      </c>
      <c r="D745" s="46" t="s">
        <v>624</v>
      </c>
      <c r="E745" s="46" t="s">
        <v>588</v>
      </c>
      <c r="F745" s="47" t="s">
        <v>3628</v>
      </c>
      <c r="H745" s="47" t="s">
        <v>607</v>
      </c>
      <c r="I745" s="46" t="s">
        <v>3790</v>
      </c>
      <c r="J745" s="49" t="s">
        <v>899</v>
      </c>
      <c r="M745" s="50">
        <v>1065000</v>
      </c>
      <c r="N745" s="51">
        <v>2000000</v>
      </c>
      <c r="O745" s="50" t="s">
        <v>1171</v>
      </c>
      <c r="P745" s="65" t="s">
        <v>3791</v>
      </c>
      <c r="Q745" s="46" t="s">
        <v>620</v>
      </c>
      <c r="R745" s="47" t="s">
        <v>3992</v>
      </c>
      <c r="U745" s="46" t="s">
        <v>491</v>
      </c>
      <c r="V745" s="49" t="s">
        <v>3985</v>
      </c>
    </row>
    <row r="746" spans="1:22" ht="45" x14ac:dyDescent="0.25">
      <c r="A746" s="45">
        <v>42620</v>
      </c>
      <c r="B746" s="46" t="s">
        <v>378</v>
      </c>
      <c r="C746" s="45" t="s">
        <v>610</v>
      </c>
      <c r="D746" s="46" t="s">
        <v>732</v>
      </c>
      <c r="E746" s="46" t="s">
        <v>588</v>
      </c>
      <c r="F746" s="47" t="s">
        <v>3795</v>
      </c>
      <c r="H746" s="47" t="s">
        <v>607</v>
      </c>
      <c r="O746" s="50" t="s">
        <v>3796</v>
      </c>
      <c r="P746" s="65" t="s">
        <v>3797</v>
      </c>
      <c r="Q746" s="46" t="s">
        <v>592</v>
      </c>
      <c r="U746" s="46" t="s">
        <v>491</v>
      </c>
    </row>
    <row r="747" spans="1:22" ht="30" x14ac:dyDescent="0.25">
      <c r="A747" s="45">
        <v>42621</v>
      </c>
      <c r="B747" s="46" t="s">
        <v>328</v>
      </c>
      <c r="C747" s="45" t="s">
        <v>603</v>
      </c>
      <c r="D747" s="46" t="s">
        <v>1471</v>
      </c>
      <c r="E747" s="46" t="s">
        <v>588</v>
      </c>
      <c r="F747" s="47" t="s">
        <v>3805</v>
      </c>
      <c r="H747" s="47" t="s">
        <v>607</v>
      </c>
      <c r="I747" s="46" t="s">
        <v>3803</v>
      </c>
      <c r="J747" s="49" t="s">
        <v>3804</v>
      </c>
      <c r="L747" s="49">
        <v>9</v>
      </c>
      <c r="M747" s="50">
        <v>110000</v>
      </c>
      <c r="N747" s="51">
        <v>286000</v>
      </c>
      <c r="O747" s="50" t="s">
        <v>3806</v>
      </c>
      <c r="P747" s="65" t="s">
        <v>3807</v>
      </c>
      <c r="Q747" s="46" t="s">
        <v>592</v>
      </c>
      <c r="U747" s="46" t="s">
        <v>491</v>
      </c>
    </row>
    <row r="748" spans="1:22" ht="75" x14ac:dyDescent="0.25">
      <c r="A748" s="45">
        <v>42621</v>
      </c>
      <c r="B748" s="46" t="s">
        <v>1486</v>
      </c>
      <c r="C748" s="45" t="s">
        <v>1363</v>
      </c>
      <c r="D748" s="46" t="s">
        <v>2346</v>
      </c>
      <c r="E748" s="46" t="s">
        <v>588</v>
      </c>
      <c r="F748" s="47" t="s">
        <v>3808</v>
      </c>
      <c r="H748" s="47" t="s">
        <v>886</v>
      </c>
      <c r="I748" s="46" t="s">
        <v>3809</v>
      </c>
      <c r="J748" s="49" t="s">
        <v>602</v>
      </c>
      <c r="L748" s="49">
        <v>3</v>
      </c>
      <c r="M748" s="50">
        <v>900000</v>
      </c>
      <c r="N748" s="51">
        <v>900000</v>
      </c>
      <c r="O748" s="50" t="s">
        <v>3810</v>
      </c>
      <c r="P748" s="65" t="s">
        <v>3811</v>
      </c>
      <c r="Q748" s="46" t="s">
        <v>29</v>
      </c>
      <c r="R748" s="47" t="s">
        <v>3812</v>
      </c>
      <c r="U748" s="46" t="s">
        <v>491</v>
      </c>
    </row>
    <row r="749" spans="1:22" ht="60" x14ac:dyDescent="0.25">
      <c r="A749" s="45">
        <v>42621</v>
      </c>
      <c r="B749" s="46" t="s">
        <v>643</v>
      </c>
      <c r="C749" s="45" t="s">
        <v>644</v>
      </c>
      <c r="D749" s="46" t="s">
        <v>3132</v>
      </c>
      <c r="E749" s="46" t="s">
        <v>588</v>
      </c>
      <c r="F749" s="47" t="s">
        <v>3813</v>
      </c>
      <c r="H749" s="47" t="s">
        <v>3815</v>
      </c>
      <c r="I749" s="46" t="s">
        <v>3814</v>
      </c>
      <c r="J749" s="49" t="s">
        <v>644</v>
      </c>
      <c r="L749" s="49">
        <v>3</v>
      </c>
      <c r="M749" s="50">
        <v>280000</v>
      </c>
      <c r="N749" s="51">
        <v>458000</v>
      </c>
      <c r="O749" s="50" t="s">
        <v>3816</v>
      </c>
      <c r="P749" s="65" t="s">
        <v>3817</v>
      </c>
      <c r="Q749" s="46" t="s">
        <v>592</v>
      </c>
      <c r="U749" s="46" t="s">
        <v>491</v>
      </c>
    </row>
    <row r="750" spans="1:22" ht="45" x14ac:dyDescent="0.25">
      <c r="A750" s="45">
        <v>42621</v>
      </c>
      <c r="B750" s="46" t="s">
        <v>378</v>
      </c>
      <c r="C750" s="45" t="s">
        <v>623</v>
      </c>
      <c r="D750" s="46" t="s">
        <v>930</v>
      </c>
      <c r="E750" s="46" t="s">
        <v>692</v>
      </c>
      <c r="F750" s="47" t="s">
        <v>3818</v>
      </c>
      <c r="H750" s="47" t="s">
        <v>1890</v>
      </c>
      <c r="I750" s="46" t="s">
        <v>3819</v>
      </c>
      <c r="J750" s="49" t="s">
        <v>899</v>
      </c>
      <c r="L750" s="49">
        <v>4</v>
      </c>
      <c r="M750" s="50">
        <v>2500000</v>
      </c>
      <c r="N750" s="51">
        <v>3800000</v>
      </c>
      <c r="O750" s="50" t="s">
        <v>3820</v>
      </c>
      <c r="P750" s="65" t="s">
        <v>3821</v>
      </c>
      <c r="Q750" s="46" t="s">
        <v>29</v>
      </c>
      <c r="U750" s="46" t="s">
        <v>491</v>
      </c>
    </row>
    <row r="751" spans="1:22" ht="90" x14ac:dyDescent="0.25">
      <c r="A751" s="45">
        <v>42621</v>
      </c>
      <c r="B751" s="46" t="s">
        <v>378</v>
      </c>
      <c r="C751" s="45" t="s">
        <v>623</v>
      </c>
      <c r="D751" s="46" t="s">
        <v>625</v>
      </c>
      <c r="E751" s="46" t="s">
        <v>588</v>
      </c>
      <c r="F751" s="47" t="s">
        <v>3556</v>
      </c>
      <c r="H751" s="47" t="s">
        <v>607</v>
      </c>
      <c r="I751" s="46" t="s">
        <v>3557</v>
      </c>
      <c r="J751" s="49" t="s">
        <v>899</v>
      </c>
      <c r="L751" s="49">
        <v>2</v>
      </c>
      <c r="M751" s="50">
        <v>1622000</v>
      </c>
      <c r="N751" s="51">
        <v>3370400</v>
      </c>
      <c r="O751" s="50" t="s">
        <v>3824</v>
      </c>
      <c r="P751" s="65" t="s">
        <v>3825</v>
      </c>
      <c r="Q751" s="46" t="s">
        <v>592</v>
      </c>
      <c r="U751" s="46" t="s">
        <v>491</v>
      </c>
    </row>
    <row r="752" spans="1:22" ht="75" x14ac:dyDescent="0.25">
      <c r="A752" s="45">
        <v>42621</v>
      </c>
      <c r="B752" s="46" t="s">
        <v>643</v>
      </c>
      <c r="C752" s="45" t="s">
        <v>644</v>
      </c>
      <c r="D752" s="46" t="s">
        <v>3132</v>
      </c>
      <c r="E752" s="46" t="s">
        <v>588</v>
      </c>
      <c r="F752" s="47" t="s">
        <v>3826</v>
      </c>
      <c r="H752" s="47" t="s">
        <v>3827</v>
      </c>
      <c r="I752" s="46" t="s">
        <v>3828</v>
      </c>
      <c r="J752" s="49" t="s">
        <v>644</v>
      </c>
      <c r="L752" s="49">
        <v>2</v>
      </c>
      <c r="M752" s="50">
        <v>100000</v>
      </c>
      <c r="N752" s="51">
        <v>197900</v>
      </c>
      <c r="O752" s="50" t="s">
        <v>3829</v>
      </c>
      <c r="P752" s="65" t="s">
        <v>3830</v>
      </c>
      <c r="Q752" s="46" t="s">
        <v>1939</v>
      </c>
      <c r="R752" s="47" t="s">
        <v>3831</v>
      </c>
      <c r="U752" s="46" t="s">
        <v>491</v>
      </c>
    </row>
    <row r="753" spans="1:21" ht="75" x14ac:dyDescent="0.25">
      <c r="A753" s="45">
        <v>42621</v>
      </c>
      <c r="B753" s="46" t="s">
        <v>378</v>
      </c>
      <c r="C753" s="45" t="s">
        <v>623</v>
      </c>
      <c r="D753" s="46" t="s">
        <v>625</v>
      </c>
      <c r="E753" s="46" t="s">
        <v>821</v>
      </c>
      <c r="O753" s="50" t="s">
        <v>3832</v>
      </c>
      <c r="P753" s="65" t="s">
        <v>3833</v>
      </c>
      <c r="Q753" s="46" t="s">
        <v>29</v>
      </c>
      <c r="R753" s="47" t="s">
        <v>3834</v>
      </c>
      <c r="U753" s="46" t="s">
        <v>491</v>
      </c>
    </row>
    <row r="754" spans="1:21" ht="45" x14ac:dyDescent="0.25">
      <c r="A754" s="45">
        <v>42622</v>
      </c>
      <c r="B754" s="46" t="s">
        <v>328</v>
      </c>
      <c r="C754" s="45" t="s">
        <v>603</v>
      </c>
      <c r="D754" s="46" t="s">
        <v>1401</v>
      </c>
      <c r="E754" s="46" t="s">
        <v>588</v>
      </c>
      <c r="F754" s="47" t="s">
        <v>3870</v>
      </c>
      <c r="H754" s="47" t="s">
        <v>607</v>
      </c>
      <c r="I754" s="46" t="s">
        <v>3875</v>
      </c>
      <c r="J754" s="49" t="s">
        <v>899</v>
      </c>
      <c r="L754" s="49">
        <v>9</v>
      </c>
      <c r="M754" s="50">
        <v>440000</v>
      </c>
      <c r="N754" s="51">
        <v>660000</v>
      </c>
      <c r="O754" s="50" t="s">
        <v>3871</v>
      </c>
      <c r="P754" s="65" t="s">
        <v>3872</v>
      </c>
      <c r="Q754" s="46" t="s">
        <v>29</v>
      </c>
      <c r="R754" s="47" t="s">
        <v>3873</v>
      </c>
      <c r="U754" s="46" t="s">
        <v>491</v>
      </c>
    </row>
    <row r="755" spans="1:21" ht="90" x14ac:dyDescent="0.25">
      <c r="A755" s="45">
        <v>42622</v>
      </c>
      <c r="B755" s="46" t="s">
        <v>378</v>
      </c>
      <c r="C755" s="45" t="s">
        <v>623</v>
      </c>
      <c r="D755" s="46" t="s">
        <v>625</v>
      </c>
      <c r="E755" s="46" t="s">
        <v>588</v>
      </c>
      <c r="F755" s="47" t="s">
        <v>3835</v>
      </c>
      <c r="H755" s="47" t="s">
        <v>607</v>
      </c>
      <c r="I755" s="46" t="s">
        <v>3837</v>
      </c>
      <c r="J755" s="49" t="s">
        <v>899</v>
      </c>
      <c r="L755" s="49">
        <v>4</v>
      </c>
      <c r="M755" s="50">
        <v>1333000</v>
      </c>
      <c r="N755" s="51">
        <v>2383000</v>
      </c>
      <c r="O755" s="50" t="s">
        <v>901</v>
      </c>
      <c r="P755" s="65" t="s">
        <v>3838</v>
      </c>
      <c r="Q755" s="46" t="s">
        <v>1939</v>
      </c>
      <c r="R755" s="47" t="s">
        <v>3836</v>
      </c>
      <c r="U755" s="46" t="s">
        <v>491</v>
      </c>
    </row>
    <row r="756" spans="1:21" ht="60" x14ac:dyDescent="0.25">
      <c r="A756" s="45">
        <v>42622</v>
      </c>
      <c r="B756" s="46" t="s">
        <v>378</v>
      </c>
      <c r="C756" s="45" t="s">
        <v>623</v>
      </c>
      <c r="D756" s="46" t="s">
        <v>625</v>
      </c>
      <c r="E756" s="46" t="s">
        <v>588</v>
      </c>
      <c r="F756" s="47" t="s">
        <v>3839</v>
      </c>
      <c r="H756" s="47" t="s">
        <v>607</v>
      </c>
      <c r="I756" s="46" t="s">
        <v>3840</v>
      </c>
      <c r="J756" s="49" t="s">
        <v>899</v>
      </c>
      <c r="L756" s="49">
        <v>2</v>
      </c>
      <c r="M756" s="50">
        <v>1000000</v>
      </c>
      <c r="N756" s="51">
        <v>2000000</v>
      </c>
      <c r="O756" s="50" t="s">
        <v>1059</v>
      </c>
      <c r="P756" s="65" t="s">
        <v>3841</v>
      </c>
      <c r="Q756" s="46" t="s">
        <v>1939</v>
      </c>
      <c r="R756" s="47" t="s">
        <v>3842</v>
      </c>
      <c r="U756" s="46" t="s">
        <v>491</v>
      </c>
    </row>
    <row r="757" spans="1:21" ht="75" x14ac:dyDescent="0.25">
      <c r="A757" s="45">
        <v>42622</v>
      </c>
      <c r="B757" s="46" t="s">
        <v>1486</v>
      </c>
      <c r="C757" s="45" t="s">
        <v>1363</v>
      </c>
      <c r="D757" s="46" t="s">
        <v>2340</v>
      </c>
      <c r="E757" s="46" t="s">
        <v>588</v>
      </c>
      <c r="F757" s="47" t="s">
        <v>3843</v>
      </c>
      <c r="H757" s="47" t="s">
        <v>886</v>
      </c>
      <c r="O757" s="50" t="s">
        <v>3844</v>
      </c>
      <c r="P757" s="65" t="s">
        <v>3845</v>
      </c>
      <c r="Q757" s="46" t="s">
        <v>592</v>
      </c>
      <c r="U757" s="46" t="s">
        <v>491</v>
      </c>
    </row>
    <row r="758" spans="1:21" ht="90" x14ac:dyDescent="0.25">
      <c r="A758" s="45">
        <v>42622</v>
      </c>
      <c r="B758" s="46" t="s">
        <v>378</v>
      </c>
      <c r="C758" s="45" t="s">
        <v>623</v>
      </c>
      <c r="D758" s="46" t="s">
        <v>625</v>
      </c>
      <c r="E758" s="46" t="s">
        <v>821</v>
      </c>
      <c r="H758" s="47" t="s">
        <v>3846</v>
      </c>
      <c r="I758" s="46" t="s">
        <v>3847</v>
      </c>
      <c r="J758" s="49" t="s">
        <v>899</v>
      </c>
      <c r="O758" s="50" t="s">
        <v>3848</v>
      </c>
      <c r="P758" s="65" t="s">
        <v>3849</v>
      </c>
      <c r="Q758" s="46" t="s">
        <v>1939</v>
      </c>
      <c r="R758" s="47" t="s">
        <v>3869</v>
      </c>
      <c r="U758" s="46" t="s">
        <v>491</v>
      </c>
    </row>
    <row r="759" spans="1:21" ht="75" x14ac:dyDescent="0.25">
      <c r="A759" s="45">
        <v>42622</v>
      </c>
      <c r="B759" s="46" t="s">
        <v>1486</v>
      </c>
      <c r="C759" s="45" t="s">
        <v>1883</v>
      </c>
      <c r="D759" s="46" t="s">
        <v>595</v>
      </c>
      <c r="E759" s="46" t="s">
        <v>1707</v>
      </c>
      <c r="F759" s="47" t="s">
        <v>3880</v>
      </c>
      <c r="H759" s="47" t="s">
        <v>1626</v>
      </c>
      <c r="I759" s="46" t="s">
        <v>1487</v>
      </c>
      <c r="J759" s="49" t="s">
        <v>604</v>
      </c>
      <c r="M759" s="50">
        <v>275000</v>
      </c>
      <c r="N759" s="51">
        <v>275000</v>
      </c>
      <c r="O759" s="50" t="s">
        <v>3850</v>
      </c>
      <c r="P759" s="65" t="s">
        <v>3864</v>
      </c>
      <c r="Q759" s="46" t="s">
        <v>620</v>
      </c>
      <c r="R759" s="47" t="s">
        <v>3881</v>
      </c>
      <c r="U759" s="46" t="s">
        <v>491</v>
      </c>
    </row>
    <row r="760" spans="1:21" ht="90" x14ac:dyDescent="0.25">
      <c r="A760" s="45">
        <v>42622</v>
      </c>
      <c r="B760" s="46" t="s">
        <v>378</v>
      </c>
      <c r="C760" s="45" t="s">
        <v>623</v>
      </c>
      <c r="D760" s="46" t="s">
        <v>625</v>
      </c>
      <c r="E760" s="46" t="s">
        <v>1707</v>
      </c>
      <c r="F760" s="47" t="s">
        <v>3860</v>
      </c>
      <c r="H760" s="47" t="s">
        <v>886</v>
      </c>
      <c r="I760" s="46" t="s">
        <v>3861</v>
      </c>
      <c r="J760" s="49" t="s">
        <v>899</v>
      </c>
      <c r="L760" s="49">
        <v>3</v>
      </c>
      <c r="M760" s="50">
        <v>221300</v>
      </c>
      <c r="N760" s="51">
        <v>398000</v>
      </c>
      <c r="O760" s="50" t="s">
        <v>3851</v>
      </c>
      <c r="P760" s="65" t="s">
        <v>3862</v>
      </c>
      <c r="Q760" s="46" t="s">
        <v>620</v>
      </c>
      <c r="R760" s="47" t="s">
        <v>3863</v>
      </c>
      <c r="U760" s="46" t="s">
        <v>491</v>
      </c>
    </row>
    <row r="761" spans="1:21" ht="105" x14ac:dyDescent="0.25">
      <c r="A761" s="45">
        <v>42622</v>
      </c>
      <c r="B761" s="46" t="s">
        <v>378</v>
      </c>
      <c r="C761" s="45" t="s">
        <v>623</v>
      </c>
      <c r="D761" s="46" t="s">
        <v>930</v>
      </c>
      <c r="E761" s="46" t="s">
        <v>821</v>
      </c>
      <c r="O761" s="50" t="s">
        <v>2547</v>
      </c>
      <c r="P761" s="65" t="s">
        <v>3852</v>
      </c>
      <c r="Q761" s="46" t="s">
        <v>620</v>
      </c>
      <c r="R761" s="47" t="s">
        <v>3853</v>
      </c>
      <c r="U761" s="46" t="s">
        <v>491</v>
      </c>
    </row>
    <row r="762" spans="1:21" ht="90" x14ac:dyDescent="0.25">
      <c r="A762" s="45">
        <v>42622</v>
      </c>
      <c r="B762" s="46" t="s">
        <v>320</v>
      </c>
      <c r="C762" s="45" t="s">
        <v>1228</v>
      </c>
      <c r="D762" s="46" t="s">
        <v>1229</v>
      </c>
      <c r="E762" s="46" t="s">
        <v>588</v>
      </c>
      <c r="F762" s="47" t="s">
        <v>3854</v>
      </c>
      <c r="H762" s="47" t="s">
        <v>607</v>
      </c>
      <c r="I762" s="46" t="s">
        <v>3855</v>
      </c>
      <c r="J762" s="49" t="s">
        <v>3856</v>
      </c>
      <c r="M762" s="50">
        <v>207000</v>
      </c>
      <c r="N762" s="51">
        <v>297000</v>
      </c>
      <c r="O762" s="50" t="s">
        <v>3857</v>
      </c>
      <c r="P762" s="65" t="s">
        <v>3858</v>
      </c>
      <c r="Q762" s="46" t="s">
        <v>592</v>
      </c>
      <c r="R762" s="47" t="s">
        <v>3859</v>
      </c>
      <c r="U762" s="46" t="s">
        <v>491</v>
      </c>
    </row>
    <row r="763" spans="1:21" ht="105" x14ac:dyDescent="0.25">
      <c r="A763" s="45">
        <v>42622</v>
      </c>
      <c r="B763" s="46" t="s">
        <v>1486</v>
      </c>
      <c r="C763" s="45" t="s">
        <v>1883</v>
      </c>
      <c r="D763" s="46" t="s">
        <v>727</v>
      </c>
      <c r="E763" s="46" t="s">
        <v>588</v>
      </c>
      <c r="F763" s="47" t="s">
        <v>3865</v>
      </c>
      <c r="H763" s="47" t="s">
        <v>1391</v>
      </c>
      <c r="I763" s="46" t="s">
        <v>1487</v>
      </c>
      <c r="J763" s="49" t="s">
        <v>604</v>
      </c>
      <c r="L763" s="49">
        <v>5</v>
      </c>
      <c r="M763" s="50">
        <v>2397000</v>
      </c>
      <c r="N763" s="51">
        <v>3955100</v>
      </c>
      <c r="O763" s="50" t="s">
        <v>3866</v>
      </c>
      <c r="P763" s="65" t="s">
        <v>3867</v>
      </c>
      <c r="Q763" s="46" t="s">
        <v>1939</v>
      </c>
      <c r="R763" s="47" t="s">
        <v>3868</v>
      </c>
      <c r="U763" s="46" t="s">
        <v>491</v>
      </c>
    </row>
    <row r="764" spans="1:21" ht="75" x14ac:dyDescent="0.25">
      <c r="A764" s="45">
        <v>42625</v>
      </c>
      <c r="B764" s="46" t="s">
        <v>328</v>
      </c>
      <c r="C764" s="45" t="s">
        <v>603</v>
      </c>
      <c r="D764" s="46" t="s">
        <v>649</v>
      </c>
      <c r="E764" s="46" t="s">
        <v>588</v>
      </c>
      <c r="H764" s="47" t="s">
        <v>3882</v>
      </c>
      <c r="O764" s="50" t="s">
        <v>3877</v>
      </c>
      <c r="P764" s="65" t="s">
        <v>3878</v>
      </c>
      <c r="Q764" s="46" t="s">
        <v>29</v>
      </c>
      <c r="R764" s="47" t="s">
        <v>3879</v>
      </c>
      <c r="U764" s="46" t="s">
        <v>491</v>
      </c>
    </row>
    <row r="765" spans="1:21" ht="60" x14ac:dyDescent="0.25">
      <c r="A765" s="45">
        <v>42625</v>
      </c>
      <c r="B765" s="46" t="s">
        <v>378</v>
      </c>
      <c r="C765" s="45" t="s">
        <v>623</v>
      </c>
      <c r="D765" s="46" t="s">
        <v>624</v>
      </c>
      <c r="E765" s="46" t="s">
        <v>588</v>
      </c>
      <c r="F765" s="47" t="s">
        <v>3874</v>
      </c>
      <c r="H765" s="47" t="s">
        <v>607</v>
      </c>
      <c r="I765" s="46" t="s">
        <v>3672</v>
      </c>
      <c r="J765" s="49" t="s">
        <v>899</v>
      </c>
      <c r="L765" s="49">
        <v>10</v>
      </c>
      <c r="O765" s="50" t="s">
        <v>3871</v>
      </c>
      <c r="P765" s="65" t="s">
        <v>3876</v>
      </c>
      <c r="Q765" s="46" t="s">
        <v>29</v>
      </c>
      <c r="U765" s="46" t="s">
        <v>491</v>
      </c>
    </row>
    <row r="766" spans="1:21" ht="90" x14ac:dyDescent="0.25">
      <c r="A766" s="45">
        <v>42625</v>
      </c>
      <c r="B766" s="46" t="s">
        <v>643</v>
      </c>
      <c r="C766" s="45" t="s">
        <v>644</v>
      </c>
      <c r="D766" s="46" t="s">
        <v>645</v>
      </c>
      <c r="E766" s="46" t="s">
        <v>588</v>
      </c>
      <c r="F766" s="47" t="s">
        <v>3883</v>
      </c>
      <c r="H766" s="47" t="s">
        <v>3882</v>
      </c>
      <c r="I766" s="46" t="s">
        <v>3884</v>
      </c>
      <c r="J766" s="49" t="s">
        <v>3885</v>
      </c>
      <c r="L766" s="49">
        <v>7</v>
      </c>
      <c r="M766" s="50">
        <v>150000</v>
      </c>
      <c r="N766" s="51">
        <v>160000</v>
      </c>
      <c r="O766" s="50" t="s">
        <v>3886</v>
      </c>
      <c r="P766" s="65" t="s">
        <v>3887</v>
      </c>
      <c r="Q766" s="46" t="s">
        <v>592</v>
      </c>
      <c r="U766" s="46" t="s">
        <v>491</v>
      </c>
    </row>
    <row r="767" spans="1:21" ht="90" x14ac:dyDescent="0.25">
      <c r="A767" s="45">
        <v>42625</v>
      </c>
      <c r="B767" s="46" t="s">
        <v>320</v>
      </c>
      <c r="C767" s="45" t="s">
        <v>3888</v>
      </c>
      <c r="D767" s="46" t="s">
        <v>1016</v>
      </c>
      <c r="E767" s="46" t="s">
        <v>588</v>
      </c>
      <c r="F767" s="47" t="s">
        <v>3889</v>
      </c>
      <c r="H767" s="47" t="s">
        <v>607</v>
      </c>
      <c r="I767" s="46" t="s">
        <v>3855</v>
      </c>
      <c r="J767" s="49" t="s">
        <v>3856</v>
      </c>
      <c r="M767" s="50">
        <v>100000</v>
      </c>
      <c r="N767" s="51">
        <v>130000</v>
      </c>
      <c r="O767" s="50" t="s">
        <v>1033</v>
      </c>
      <c r="P767" s="65" t="s">
        <v>3890</v>
      </c>
      <c r="Q767" s="46" t="s">
        <v>29</v>
      </c>
      <c r="R767" s="47" t="s">
        <v>3891</v>
      </c>
      <c r="U767" s="46" t="s">
        <v>491</v>
      </c>
    </row>
    <row r="768" spans="1:21" ht="90" x14ac:dyDescent="0.25">
      <c r="A768" s="45">
        <v>42625</v>
      </c>
      <c r="B768" s="46" t="s">
        <v>378</v>
      </c>
      <c r="C768" s="45" t="s">
        <v>610</v>
      </c>
      <c r="D768" s="46" t="s">
        <v>732</v>
      </c>
      <c r="E768" s="46" t="s">
        <v>821</v>
      </c>
      <c r="F768" s="47" t="s">
        <v>3892</v>
      </c>
      <c r="H768" s="47" t="s">
        <v>607</v>
      </c>
      <c r="O768" s="50" t="s">
        <v>3893</v>
      </c>
      <c r="P768" s="65" t="s">
        <v>3894</v>
      </c>
      <c r="Q768" s="46" t="s">
        <v>592</v>
      </c>
      <c r="U768" s="46" t="s">
        <v>491</v>
      </c>
    </row>
    <row r="769" spans="1:21" ht="45.75" customHeight="1" x14ac:dyDescent="0.25">
      <c r="A769" s="45">
        <v>42626</v>
      </c>
      <c r="B769" s="46" t="s">
        <v>328</v>
      </c>
      <c r="C769" s="45" t="s">
        <v>603</v>
      </c>
      <c r="D769" s="46" t="s">
        <v>2500</v>
      </c>
      <c r="E769" s="46" t="s">
        <v>588</v>
      </c>
      <c r="F769" s="47" t="s">
        <v>3895</v>
      </c>
      <c r="H769" s="47" t="s">
        <v>3896</v>
      </c>
      <c r="I769" s="46" t="s">
        <v>3897</v>
      </c>
      <c r="J769" s="49" t="s">
        <v>899</v>
      </c>
      <c r="M769" s="50">
        <v>144200</v>
      </c>
      <c r="N769" s="51">
        <v>2739000</v>
      </c>
      <c r="O769" s="50" t="s">
        <v>907</v>
      </c>
      <c r="P769" s="65" t="s">
        <v>3898</v>
      </c>
      <c r="Q769" s="46" t="s">
        <v>1939</v>
      </c>
      <c r="R769" s="47" t="s">
        <v>3899</v>
      </c>
      <c r="U769" s="46" t="s">
        <v>491</v>
      </c>
    </row>
    <row r="770" spans="1:21" ht="75" x14ac:dyDescent="0.25">
      <c r="A770" s="45">
        <v>42626</v>
      </c>
      <c r="B770" s="46" t="s">
        <v>378</v>
      </c>
      <c r="C770" s="45" t="s">
        <v>623</v>
      </c>
      <c r="D770" s="46" t="s">
        <v>625</v>
      </c>
      <c r="E770" s="46" t="s">
        <v>588</v>
      </c>
      <c r="F770" s="47" t="s">
        <v>3900</v>
      </c>
      <c r="H770" s="47" t="s">
        <v>3901</v>
      </c>
      <c r="I770" s="46" t="s">
        <v>3557</v>
      </c>
      <c r="J770" s="49" t="s">
        <v>899</v>
      </c>
      <c r="L770" s="49">
        <v>1</v>
      </c>
      <c r="M770" s="50">
        <v>3000000</v>
      </c>
      <c r="N770" s="51">
        <v>3620000</v>
      </c>
      <c r="O770" s="50" t="s">
        <v>3902</v>
      </c>
      <c r="P770" s="65" t="s">
        <v>3903</v>
      </c>
      <c r="Q770" s="46" t="s">
        <v>1612</v>
      </c>
      <c r="R770" s="47" t="s">
        <v>4009</v>
      </c>
      <c r="U770" s="46" t="s">
        <v>491</v>
      </c>
    </row>
    <row r="771" spans="1:21" ht="60" x14ac:dyDescent="0.25">
      <c r="A771" s="45">
        <v>42627</v>
      </c>
      <c r="B771" s="46" t="s">
        <v>378</v>
      </c>
      <c r="C771" s="45" t="s">
        <v>623</v>
      </c>
      <c r="D771" s="46" t="s">
        <v>624</v>
      </c>
      <c r="E771" s="46" t="s">
        <v>588</v>
      </c>
      <c r="F771" s="47" t="s">
        <v>3904</v>
      </c>
      <c r="H771" s="47" t="s">
        <v>886</v>
      </c>
      <c r="I771" s="46" t="s">
        <v>3905</v>
      </c>
      <c r="J771" s="49" t="s">
        <v>899</v>
      </c>
      <c r="L771" s="49">
        <v>5</v>
      </c>
      <c r="M771" s="50">
        <v>500000</v>
      </c>
      <c r="N771" s="51">
        <v>500000</v>
      </c>
      <c r="O771" s="50" t="s">
        <v>3906</v>
      </c>
      <c r="P771" s="65" t="s">
        <v>3907</v>
      </c>
      <c r="Q771" s="46" t="s">
        <v>29</v>
      </c>
      <c r="R771" s="47" t="s">
        <v>3908</v>
      </c>
      <c r="U771" s="46" t="s">
        <v>491</v>
      </c>
    </row>
    <row r="772" spans="1:21" ht="45" x14ac:dyDescent="0.25">
      <c r="A772" s="45">
        <v>42628</v>
      </c>
      <c r="B772" s="46" t="s">
        <v>378</v>
      </c>
      <c r="C772" s="45" t="s">
        <v>623</v>
      </c>
      <c r="D772" s="46" t="s">
        <v>930</v>
      </c>
      <c r="E772" s="46" t="s">
        <v>588</v>
      </c>
      <c r="F772" s="47" t="s">
        <v>3909</v>
      </c>
      <c r="H772" s="47" t="s">
        <v>607</v>
      </c>
      <c r="I772" s="46" t="s">
        <v>3388</v>
      </c>
      <c r="J772" s="49" t="s">
        <v>899</v>
      </c>
      <c r="L772" s="49">
        <v>4</v>
      </c>
      <c r="M772" s="50">
        <v>2474000</v>
      </c>
      <c r="N772" s="51">
        <v>4453200</v>
      </c>
      <c r="O772" s="50" t="s">
        <v>3910</v>
      </c>
      <c r="P772" s="65" t="s">
        <v>3911</v>
      </c>
      <c r="Q772" s="46" t="s">
        <v>1612</v>
      </c>
      <c r="R772" s="47" t="s">
        <v>4371</v>
      </c>
      <c r="U772" s="46" t="s">
        <v>491</v>
      </c>
    </row>
    <row r="773" spans="1:21" ht="75" x14ac:dyDescent="0.25">
      <c r="A773" s="45">
        <v>42628</v>
      </c>
      <c r="B773" s="46" t="s">
        <v>643</v>
      </c>
      <c r="C773" s="45" t="s">
        <v>644</v>
      </c>
      <c r="D773" s="46" t="s">
        <v>645</v>
      </c>
      <c r="E773" s="46" t="s">
        <v>588</v>
      </c>
      <c r="F773" s="47" t="s">
        <v>3912</v>
      </c>
      <c r="H773" s="47" t="s">
        <v>905</v>
      </c>
      <c r="I773" s="46" t="s">
        <v>3913</v>
      </c>
      <c r="J773" s="49" t="s">
        <v>644</v>
      </c>
      <c r="O773" s="50" t="s">
        <v>3914</v>
      </c>
      <c r="P773" s="65" t="s">
        <v>3915</v>
      </c>
      <c r="Q773" s="46" t="s">
        <v>1939</v>
      </c>
      <c r="R773" s="47" t="s">
        <v>3916</v>
      </c>
      <c r="U773" s="46" t="s">
        <v>491</v>
      </c>
    </row>
    <row r="774" spans="1:21" ht="105" x14ac:dyDescent="0.25">
      <c r="A774" s="45">
        <v>42628</v>
      </c>
      <c r="B774" s="46" t="s">
        <v>378</v>
      </c>
      <c r="C774" s="45" t="s">
        <v>623</v>
      </c>
      <c r="D774" s="46" t="s">
        <v>625</v>
      </c>
      <c r="E774" s="46" t="s">
        <v>1707</v>
      </c>
      <c r="F774" s="47" t="s">
        <v>3917</v>
      </c>
      <c r="H774" s="47" t="s">
        <v>843</v>
      </c>
      <c r="I774" s="46" t="s">
        <v>3918</v>
      </c>
      <c r="J774" s="49" t="s">
        <v>899</v>
      </c>
      <c r="M774" s="50">
        <v>630000</v>
      </c>
      <c r="O774" s="50" t="s">
        <v>3919</v>
      </c>
      <c r="P774" s="65" t="s">
        <v>3920</v>
      </c>
      <c r="Q774" s="46" t="s">
        <v>1939</v>
      </c>
      <c r="R774" s="47" t="s">
        <v>3921</v>
      </c>
      <c r="U774" s="46" t="s">
        <v>491</v>
      </c>
    </row>
    <row r="775" spans="1:21" ht="75" x14ac:dyDescent="0.25">
      <c r="A775" s="45">
        <v>42628</v>
      </c>
      <c r="B775" s="46" t="s">
        <v>378</v>
      </c>
      <c r="C775" s="45" t="s">
        <v>623</v>
      </c>
      <c r="D775" s="46" t="s">
        <v>930</v>
      </c>
      <c r="E775" s="46" t="s">
        <v>821</v>
      </c>
      <c r="H775" s="47" t="s">
        <v>607</v>
      </c>
      <c r="O775" s="50" t="s">
        <v>3625</v>
      </c>
      <c r="P775" s="65" t="s">
        <v>3922</v>
      </c>
      <c r="Q775" s="46" t="s">
        <v>29</v>
      </c>
      <c r="R775" s="47" t="s">
        <v>3923</v>
      </c>
      <c r="U775" s="46" t="s">
        <v>491</v>
      </c>
    </row>
    <row r="776" spans="1:21" ht="60" x14ac:dyDescent="0.25">
      <c r="A776" s="45">
        <v>42628</v>
      </c>
      <c r="B776" s="46" t="s">
        <v>378</v>
      </c>
      <c r="C776" s="45" t="s">
        <v>623</v>
      </c>
      <c r="D776" s="46" t="s">
        <v>624</v>
      </c>
      <c r="E776" s="46" t="s">
        <v>588</v>
      </c>
      <c r="F776" s="47" t="s">
        <v>3924</v>
      </c>
      <c r="H776" s="47" t="s">
        <v>722</v>
      </c>
      <c r="I776" s="46" t="s">
        <v>3925</v>
      </c>
      <c r="J776" s="49" t="s">
        <v>899</v>
      </c>
      <c r="M776" s="50">
        <v>304000</v>
      </c>
      <c r="O776" s="50" t="s">
        <v>3926</v>
      </c>
      <c r="P776" s="65" t="s">
        <v>3927</v>
      </c>
      <c r="Q776" s="46" t="s">
        <v>592</v>
      </c>
      <c r="U776" s="46" t="s">
        <v>491</v>
      </c>
    </row>
    <row r="777" spans="1:21" ht="30" x14ac:dyDescent="0.25">
      <c r="A777" s="45">
        <v>42629</v>
      </c>
      <c r="B777" s="46" t="s">
        <v>328</v>
      </c>
      <c r="C777" s="45" t="s">
        <v>603</v>
      </c>
      <c r="D777" s="46" t="s">
        <v>1471</v>
      </c>
      <c r="E777" s="46" t="s">
        <v>588</v>
      </c>
      <c r="F777" s="47" t="s">
        <v>3944</v>
      </c>
      <c r="H777" s="47" t="s">
        <v>607</v>
      </c>
      <c r="I777" s="46" t="s">
        <v>3492</v>
      </c>
      <c r="J777" s="49" t="s">
        <v>899</v>
      </c>
      <c r="L777" s="49">
        <v>4</v>
      </c>
      <c r="M777" s="50">
        <v>1750000</v>
      </c>
      <c r="N777" s="51">
        <v>3500000</v>
      </c>
      <c r="O777" s="50" t="s">
        <v>560</v>
      </c>
      <c r="P777" s="65" t="s">
        <v>3945</v>
      </c>
      <c r="Q777" s="46" t="s">
        <v>592</v>
      </c>
      <c r="U777" s="46" t="s">
        <v>491</v>
      </c>
    </row>
    <row r="778" spans="1:21" ht="90" x14ac:dyDescent="0.25">
      <c r="A778" s="45">
        <v>42629</v>
      </c>
      <c r="B778" s="46" t="s">
        <v>328</v>
      </c>
      <c r="C778" s="45" t="s">
        <v>603</v>
      </c>
      <c r="D778" s="46" t="s">
        <v>1471</v>
      </c>
      <c r="E778" s="46" t="s">
        <v>588</v>
      </c>
      <c r="F778" s="47" t="s">
        <v>3946</v>
      </c>
      <c r="H778" s="47" t="s">
        <v>607</v>
      </c>
      <c r="I778" s="46" t="s">
        <v>3947</v>
      </c>
      <c r="J778" s="49" t="s">
        <v>899</v>
      </c>
      <c r="L778" s="49">
        <v>2</v>
      </c>
      <c r="M778" s="50">
        <v>381900</v>
      </c>
      <c r="N778" s="51">
        <v>725610</v>
      </c>
      <c r="O778" s="50" t="s">
        <v>3948</v>
      </c>
      <c r="P778" s="65" t="s">
        <v>3949</v>
      </c>
      <c r="Q778" s="46" t="s">
        <v>592</v>
      </c>
      <c r="U778" s="46" t="s">
        <v>491</v>
      </c>
    </row>
    <row r="779" spans="1:21" ht="75" x14ac:dyDescent="0.25">
      <c r="A779" s="45">
        <v>42629</v>
      </c>
      <c r="B779" s="46" t="s">
        <v>328</v>
      </c>
      <c r="C779" s="45" t="s">
        <v>603</v>
      </c>
      <c r="D779" s="46" t="s">
        <v>1471</v>
      </c>
      <c r="E779" s="46" t="s">
        <v>588</v>
      </c>
      <c r="F779" s="47" t="s">
        <v>3931</v>
      </c>
      <c r="H779" s="47" t="s">
        <v>607</v>
      </c>
      <c r="I779" s="46" t="s">
        <v>3932</v>
      </c>
      <c r="J779" s="49" t="s">
        <v>3372</v>
      </c>
      <c r="L779" s="49">
        <v>3</v>
      </c>
      <c r="M779" s="50">
        <v>237000</v>
      </c>
      <c r="N779" s="51">
        <v>402900</v>
      </c>
      <c r="O779" s="50" t="s">
        <v>3933</v>
      </c>
      <c r="P779" s="65" t="s">
        <v>3934</v>
      </c>
      <c r="Q779" s="46" t="s">
        <v>29</v>
      </c>
      <c r="R779" s="47" t="s">
        <v>3935</v>
      </c>
      <c r="U779" s="46" t="s">
        <v>491</v>
      </c>
    </row>
    <row r="780" spans="1:21" ht="90" x14ac:dyDescent="0.25">
      <c r="A780" s="45">
        <v>42629</v>
      </c>
      <c r="B780" s="46" t="s">
        <v>328</v>
      </c>
      <c r="C780" s="45" t="s">
        <v>603</v>
      </c>
      <c r="D780" s="46" t="s">
        <v>1401</v>
      </c>
      <c r="E780" s="46" t="s">
        <v>588</v>
      </c>
      <c r="F780" s="47" t="s">
        <v>3950</v>
      </c>
      <c r="H780" s="47" t="s">
        <v>607</v>
      </c>
      <c r="I780" s="46" t="s">
        <v>3951</v>
      </c>
      <c r="J780" s="49" t="s">
        <v>3369</v>
      </c>
      <c r="M780" s="50">
        <v>431000</v>
      </c>
      <c r="N780" s="51">
        <v>732700</v>
      </c>
      <c r="O780" s="50" t="s">
        <v>3952</v>
      </c>
      <c r="P780" s="65" t="s">
        <v>3953</v>
      </c>
      <c r="Q780" s="46" t="s">
        <v>620</v>
      </c>
      <c r="R780" s="47" t="s">
        <v>3954</v>
      </c>
      <c r="U780" s="46" t="s">
        <v>491</v>
      </c>
    </row>
    <row r="781" spans="1:21" ht="90" x14ac:dyDescent="0.25">
      <c r="A781" s="45">
        <v>42629</v>
      </c>
      <c r="B781" s="46" t="s">
        <v>378</v>
      </c>
      <c r="C781" s="45" t="s">
        <v>610</v>
      </c>
      <c r="D781" s="46" t="s">
        <v>732</v>
      </c>
      <c r="E781" s="46" t="s">
        <v>692</v>
      </c>
      <c r="F781" s="47" t="s">
        <v>3928</v>
      </c>
      <c r="H781" s="47" t="s">
        <v>886</v>
      </c>
      <c r="I781" s="46" t="s">
        <v>3929</v>
      </c>
      <c r="J781" s="49" t="s">
        <v>899</v>
      </c>
      <c r="L781" s="49">
        <v>1</v>
      </c>
      <c r="M781" s="50">
        <v>4050000</v>
      </c>
      <c r="N781" s="51">
        <v>4050000</v>
      </c>
      <c r="O781" s="50" t="s">
        <v>560</v>
      </c>
      <c r="P781" s="65" t="s">
        <v>3930</v>
      </c>
      <c r="Q781" s="46" t="s">
        <v>592</v>
      </c>
      <c r="U781" s="46" t="s">
        <v>491</v>
      </c>
    </row>
    <row r="782" spans="1:21" ht="75" x14ac:dyDescent="0.25">
      <c r="A782" s="45">
        <v>42629</v>
      </c>
      <c r="B782" s="46" t="s">
        <v>320</v>
      </c>
      <c r="C782" s="45" t="s">
        <v>1228</v>
      </c>
      <c r="D782" s="46" t="s">
        <v>1229</v>
      </c>
      <c r="E782" s="46" t="s">
        <v>588</v>
      </c>
      <c r="F782" s="47" t="s">
        <v>3936</v>
      </c>
      <c r="H782" s="47" t="s">
        <v>607</v>
      </c>
      <c r="I782" s="46" t="s">
        <v>3937</v>
      </c>
      <c r="J782" s="49" t="s">
        <v>3856</v>
      </c>
      <c r="L782" s="49">
        <v>6</v>
      </c>
      <c r="M782" s="50">
        <v>250000</v>
      </c>
      <c r="N782" s="51">
        <v>320000</v>
      </c>
      <c r="O782" s="50" t="s">
        <v>1033</v>
      </c>
      <c r="P782" s="65" t="s">
        <v>3938</v>
      </c>
      <c r="Q782" s="46" t="s">
        <v>29</v>
      </c>
      <c r="R782" s="47" t="s">
        <v>3939</v>
      </c>
      <c r="U782" s="46" t="s">
        <v>491</v>
      </c>
    </row>
    <row r="783" spans="1:21" ht="60" x14ac:dyDescent="0.25">
      <c r="A783" s="45">
        <v>42629</v>
      </c>
      <c r="B783" s="46" t="s">
        <v>328</v>
      </c>
      <c r="C783" s="45" t="s">
        <v>603</v>
      </c>
      <c r="D783" s="46" t="s">
        <v>1471</v>
      </c>
      <c r="E783" s="46" t="s">
        <v>588</v>
      </c>
      <c r="F783" s="47" t="s">
        <v>3940</v>
      </c>
      <c r="H783" s="47" t="s">
        <v>607</v>
      </c>
      <c r="I783" s="46" t="s">
        <v>3941</v>
      </c>
      <c r="J783" s="49" t="s">
        <v>899</v>
      </c>
      <c r="L783" s="49">
        <v>4</v>
      </c>
      <c r="M783" s="50">
        <v>580000</v>
      </c>
      <c r="N783" s="51">
        <v>1044000</v>
      </c>
      <c r="O783" s="50" t="s">
        <v>3625</v>
      </c>
      <c r="P783" s="65" t="s">
        <v>3942</v>
      </c>
      <c r="Q783" s="46" t="s">
        <v>1939</v>
      </c>
      <c r="R783" s="47" t="s">
        <v>3943</v>
      </c>
      <c r="U783" s="46" t="s">
        <v>491</v>
      </c>
    </row>
    <row r="784" spans="1:21" ht="75" x14ac:dyDescent="0.25">
      <c r="A784" s="45">
        <v>42629</v>
      </c>
      <c r="B784" s="46" t="s">
        <v>378</v>
      </c>
      <c r="C784" s="45" t="s">
        <v>623</v>
      </c>
      <c r="D784" s="46" t="s">
        <v>625</v>
      </c>
      <c r="E784" s="46" t="s">
        <v>588</v>
      </c>
      <c r="F784" s="47" t="s">
        <v>3955</v>
      </c>
      <c r="H784" s="47" t="s">
        <v>886</v>
      </c>
      <c r="I784" s="46" t="s">
        <v>3956</v>
      </c>
      <c r="J784" s="49" t="s">
        <v>899</v>
      </c>
      <c r="L784" s="49">
        <v>3</v>
      </c>
      <c r="M784" s="50">
        <v>4600000</v>
      </c>
      <c r="N784" s="51">
        <v>4600000</v>
      </c>
      <c r="O784" s="50" t="s">
        <v>2527</v>
      </c>
      <c r="P784" s="65" t="s">
        <v>3957</v>
      </c>
      <c r="Q784" s="46" t="s">
        <v>592</v>
      </c>
      <c r="U784" s="46" t="s">
        <v>491</v>
      </c>
    </row>
    <row r="785" spans="1:21" ht="105" x14ac:dyDescent="0.25">
      <c r="A785" s="45">
        <v>42632</v>
      </c>
      <c r="B785" s="46" t="s">
        <v>378</v>
      </c>
      <c r="C785" s="45" t="s">
        <v>610</v>
      </c>
      <c r="D785" s="46" t="s">
        <v>732</v>
      </c>
      <c r="E785" s="46" t="s">
        <v>588</v>
      </c>
      <c r="F785" s="47" t="s">
        <v>3958</v>
      </c>
      <c r="H785" s="47" t="s">
        <v>607</v>
      </c>
      <c r="I785" s="46" t="s">
        <v>3959</v>
      </c>
      <c r="J785" s="49" t="s">
        <v>899</v>
      </c>
      <c r="L785" s="49">
        <v>3</v>
      </c>
      <c r="M785" s="50">
        <v>295000</v>
      </c>
      <c r="N785" s="51">
        <v>374500</v>
      </c>
      <c r="O785" s="50" t="s">
        <v>3960</v>
      </c>
      <c r="P785" s="65" t="s">
        <v>3961</v>
      </c>
      <c r="Q785" s="46" t="s">
        <v>1939</v>
      </c>
      <c r="R785" s="47" t="s">
        <v>3962</v>
      </c>
      <c r="U785" s="46" t="s">
        <v>491</v>
      </c>
    </row>
    <row r="786" spans="1:21" ht="45" x14ac:dyDescent="0.25">
      <c r="A786" s="45">
        <v>42632</v>
      </c>
      <c r="B786" s="46" t="s">
        <v>378</v>
      </c>
      <c r="C786" s="45" t="s">
        <v>623</v>
      </c>
      <c r="D786" s="46" t="s">
        <v>625</v>
      </c>
      <c r="E786" s="46" t="s">
        <v>588</v>
      </c>
      <c r="F786" s="47" t="s">
        <v>3963</v>
      </c>
      <c r="H786" s="47" t="s">
        <v>607</v>
      </c>
      <c r="I786" s="46" t="s">
        <v>2054</v>
      </c>
      <c r="J786" s="49" t="s">
        <v>899</v>
      </c>
      <c r="L786" s="49">
        <v>3</v>
      </c>
      <c r="M786" s="50">
        <v>2500000</v>
      </c>
      <c r="N786" s="51">
        <v>4150000</v>
      </c>
      <c r="O786" s="50" t="s">
        <v>3964</v>
      </c>
      <c r="P786" s="65" t="s">
        <v>3965</v>
      </c>
      <c r="Q786" s="46" t="s">
        <v>1939</v>
      </c>
      <c r="R786" s="47" t="s">
        <v>3966</v>
      </c>
      <c r="U786" s="46" t="s">
        <v>491</v>
      </c>
    </row>
    <row r="787" spans="1:21" ht="60" x14ac:dyDescent="0.25">
      <c r="A787" s="45">
        <v>42632</v>
      </c>
      <c r="B787" s="46" t="s">
        <v>378</v>
      </c>
      <c r="C787" s="45" t="s">
        <v>610</v>
      </c>
      <c r="D787" s="46" t="s">
        <v>1027</v>
      </c>
      <c r="E787" s="46" t="s">
        <v>821</v>
      </c>
      <c r="F787" s="47" t="s">
        <v>3967</v>
      </c>
      <c r="H787" s="47" t="s">
        <v>3968</v>
      </c>
      <c r="M787" s="50">
        <v>1700000</v>
      </c>
      <c r="O787" s="50" t="s">
        <v>3969</v>
      </c>
      <c r="P787" s="65" t="s">
        <v>3970</v>
      </c>
      <c r="Q787" s="46" t="s">
        <v>592</v>
      </c>
      <c r="U787" s="46" t="s">
        <v>491</v>
      </c>
    </row>
    <row r="788" spans="1:21" ht="90" x14ac:dyDescent="0.25">
      <c r="A788" s="45">
        <v>42632</v>
      </c>
      <c r="B788" s="46" t="s">
        <v>378</v>
      </c>
      <c r="C788" s="45" t="s">
        <v>623</v>
      </c>
      <c r="D788" s="46" t="s">
        <v>930</v>
      </c>
      <c r="E788" s="46" t="s">
        <v>821</v>
      </c>
      <c r="F788" s="47" t="s">
        <v>3971</v>
      </c>
      <c r="H788" s="47" t="s">
        <v>607</v>
      </c>
      <c r="O788" s="50" t="s">
        <v>3972</v>
      </c>
      <c r="P788" s="65" t="s">
        <v>3973</v>
      </c>
      <c r="Q788" s="46" t="s">
        <v>1939</v>
      </c>
      <c r="R788" s="47" t="s">
        <v>3974</v>
      </c>
      <c r="U788" s="46" t="s">
        <v>491</v>
      </c>
    </row>
    <row r="789" spans="1:21" ht="45" x14ac:dyDescent="0.25">
      <c r="A789" s="45">
        <v>42632</v>
      </c>
      <c r="B789" s="46" t="s">
        <v>378</v>
      </c>
      <c r="C789" s="45" t="s">
        <v>623</v>
      </c>
      <c r="D789" s="46" t="s">
        <v>625</v>
      </c>
      <c r="E789" s="46" t="s">
        <v>821</v>
      </c>
      <c r="F789" s="47" t="s">
        <v>3975</v>
      </c>
      <c r="H789" s="47" t="s">
        <v>905</v>
      </c>
      <c r="O789" s="50" t="s">
        <v>3976</v>
      </c>
      <c r="P789" s="65" t="s">
        <v>3977</v>
      </c>
      <c r="Q789" s="46" t="s">
        <v>29</v>
      </c>
      <c r="R789" s="47" t="s">
        <v>3978</v>
      </c>
      <c r="U789" s="46" t="s">
        <v>491</v>
      </c>
    </row>
    <row r="790" spans="1:21" ht="105" x14ac:dyDescent="0.25">
      <c r="A790" s="45">
        <v>42632</v>
      </c>
      <c r="B790" s="46" t="s">
        <v>643</v>
      </c>
      <c r="C790" s="45" t="s">
        <v>644</v>
      </c>
      <c r="D790" s="46" t="s">
        <v>645</v>
      </c>
      <c r="E790" s="46" t="s">
        <v>588</v>
      </c>
      <c r="F790" s="47" t="s">
        <v>3979</v>
      </c>
      <c r="H790" s="47" t="s">
        <v>607</v>
      </c>
      <c r="I790" s="46" t="s">
        <v>3980</v>
      </c>
      <c r="J790" s="49" t="s">
        <v>644</v>
      </c>
      <c r="L790" s="49">
        <v>10</v>
      </c>
      <c r="M790" s="50">
        <v>1411000</v>
      </c>
      <c r="N790" s="51">
        <v>2362100</v>
      </c>
      <c r="O790" s="50" t="s">
        <v>3981</v>
      </c>
      <c r="P790" s="65" t="s">
        <v>3982</v>
      </c>
      <c r="Q790" s="46" t="s">
        <v>1939</v>
      </c>
      <c r="R790" s="47" t="s">
        <v>3983</v>
      </c>
      <c r="U790" s="46" t="s">
        <v>491</v>
      </c>
    </row>
    <row r="791" spans="1:21" ht="60" x14ac:dyDescent="0.25">
      <c r="A791" s="45">
        <v>42633</v>
      </c>
      <c r="B791" s="46" t="s">
        <v>643</v>
      </c>
      <c r="C791" s="45" t="s">
        <v>644</v>
      </c>
      <c r="D791" s="46" t="s">
        <v>645</v>
      </c>
      <c r="E791" s="46" t="s">
        <v>588</v>
      </c>
      <c r="F791" s="47" t="s">
        <v>3986</v>
      </c>
      <c r="H791" s="47" t="s">
        <v>3987</v>
      </c>
      <c r="I791" s="46" t="s">
        <v>3988</v>
      </c>
      <c r="J791" s="49" t="s">
        <v>644</v>
      </c>
      <c r="L791" s="49">
        <v>10</v>
      </c>
      <c r="M791" s="50">
        <v>163200</v>
      </c>
      <c r="N791" s="51">
        <v>244800</v>
      </c>
      <c r="O791" s="50" t="s">
        <v>3886</v>
      </c>
      <c r="P791" s="65" t="s">
        <v>3989</v>
      </c>
      <c r="Q791" s="46" t="s">
        <v>592</v>
      </c>
      <c r="U791" s="46" t="s">
        <v>491</v>
      </c>
    </row>
    <row r="792" spans="1:21" ht="60" x14ac:dyDescent="0.25">
      <c r="A792" s="45">
        <v>42633</v>
      </c>
      <c r="B792" s="46" t="s">
        <v>378</v>
      </c>
      <c r="C792" s="45" t="s">
        <v>610</v>
      </c>
      <c r="D792" s="46" t="s">
        <v>732</v>
      </c>
      <c r="E792" s="46" t="s">
        <v>692</v>
      </c>
      <c r="F792" s="47" t="s">
        <v>3990</v>
      </c>
      <c r="H792" s="47" t="s">
        <v>905</v>
      </c>
      <c r="I792" s="46" t="s">
        <v>3649</v>
      </c>
      <c r="J792" s="49" t="s">
        <v>899</v>
      </c>
      <c r="L792" s="49">
        <v>4</v>
      </c>
      <c r="M792" s="50">
        <v>3500000</v>
      </c>
      <c r="N792" s="51">
        <v>4700000</v>
      </c>
      <c r="O792" s="50" t="s">
        <v>560</v>
      </c>
      <c r="P792" s="65" t="s">
        <v>3991</v>
      </c>
      <c r="Q792" s="46" t="s">
        <v>592</v>
      </c>
      <c r="U792" s="46" t="s">
        <v>491</v>
      </c>
    </row>
    <row r="793" spans="1:21" ht="90" x14ac:dyDescent="0.25">
      <c r="A793" s="45">
        <v>42633</v>
      </c>
      <c r="B793" s="46" t="s">
        <v>320</v>
      </c>
      <c r="C793" s="45" t="s">
        <v>1228</v>
      </c>
      <c r="D793" s="46" t="s">
        <v>1229</v>
      </c>
      <c r="E793" s="46" t="s">
        <v>588</v>
      </c>
      <c r="F793" s="47" t="s">
        <v>3993</v>
      </c>
      <c r="H793" s="47" t="s">
        <v>2021</v>
      </c>
      <c r="I793" s="46" t="s">
        <v>3855</v>
      </c>
      <c r="J793" s="49" t="s">
        <v>3856</v>
      </c>
      <c r="M793" s="50">
        <v>594150</v>
      </c>
      <c r="N793" s="51">
        <v>944150</v>
      </c>
      <c r="O793" s="50" t="s">
        <v>3994</v>
      </c>
      <c r="P793" s="65" t="s">
        <v>3995</v>
      </c>
      <c r="Q793" s="46" t="s">
        <v>620</v>
      </c>
      <c r="R793" s="47" t="s">
        <v>3996</v>
      </c>
      <c r="U793" s="46" t="s">
        <v>491</v>
      </c>
    </row>
    <row r="794" spans="1:21" ht="90" x14ac:dyDescent="0.25">
      <c r="A794" s="45">
        <v>42633</v>
      </c>
      <c r="B794" s="46" t="s">
        <v>378</v>
      </c>
      <c r="C794" s="45" t="s">
        <v>623</v>
      </c>
      <c r="D794" s="46" t="s">
        <v>930</v>
      </c>
      <c r="E794" s="46" t="s">
        <v>821</v>
      </c>
      <c r="F794" s="47" t="s">
        <v>3997</v>
      </c>
      <c r="H794" s="47" t="s">
        <v>607</v>
      </c>
      <c r="O794" s="50" t="s">
        <v>3998</v>
      </c>
      <c r="P794" s="65" t="s">
        <v>3999</v>
      </c>
      <c r="Q794" s="46" t="s">
        <v>592</v>
      </c>
      <c r="R794" s="47" t="s">
        <v>4000</v>
      </c>
      <c r="U794" s="46" t="s">
        <v>491</v>
      </c>
    </row>
    <row r="795" spans="1:21" ht="75" x14ac:dyDescent="0.25">
      <c r="A795" s="45">
        <v>42634</v>
      </c>
      <c r="B795" s="46" t="s">
        <v>643</v>
      </c>
      <c r="C795" s="45" t="s">
        <v>644</v>
      </c>
      <c r="D795" s="46" t="s">
        <v>645</v>
      </c>
      <c r="E795" s="46" t="s">
        <v>588</v>
      </c>
      <c r="F795" s="47" t="s">
        <v>4001</v>
      </c>
      <c r="H795" s="47" t="s">
        <v>722</v>
      </c>
      <c r="I795" s="46" t="s">
        <v>4002</v>
      </c>
      <c r="J795" s="49" t="s">
        <v>644</v>
      </c>
      <c r="L795" s="49">
        <v>10</v>
      </c>
      <c r="M795" s="50">
        <v>2000000</v>
      </c>
      <c r="N795" s="51">
        <v>4400000</v>
      </c>
      <c r="O795" s="50" t="s">
        <v>4003</v>
      </c>
      <c r="P795" s="65" t="s">
        <v>4004</v>
      </c>
      <c r="Q795" s="46" t="s">
        <v>1612</v>
      </c>
      <c r="R795" s="47" t="s">
        <v>4014</v>
      </c>
      <c r="U795" s="46" t="s">
        <v>491</v>
      </c>
    </row>
    <row r="796" spans="1:21" ht="30" x14ac:dyDescent="0.25">
      <c r="A796" s="45">
        <v>42634</v>
      </c>
      <c r="B796" s="46" t="s">
        <v>378</v>
      </c>
      <c r="C796" s="45" t="s">
        <v>623</v>
      </c>
      <c r="D796" s="46" t="s">
        <v>625</v>
      </c>
      <c r="E796" s="46" t="s">
        <v>821</v>
      </c>
      <c r="F796" s="47" t="s">
        <v>4005</v>
      </c>
      <c r="H796" s="47" t="s">
        <v>809</v>
      </c>
      <c r="M796" s="50">
        <v>600000</v>
      </c>
      <c r="O796" s="50" t="s">
        <v>4006</v>
      </c>
      <c r="P796" s="65" t="s">
        <v>4007</v>
      </c>
      <c r="Q796" s="46" t="s">
        <v>1939</v>
      </c>
      <c r="R796" s="47" t="s">
        <v>4008</v>
      </c>
      <c r="U796" s="46" t="s">
        <v>491</v>
      </c>
    </row>
    <row r="797" spans="1:21" ht="45" x14ac:dyDescent="0.25">
      <c r="A797" s="45">
        <v>42634</v>
      </c>
      <c r="B797" s="46" t="s">
        <v>378</v>
      </c>
      <c r="C797" s="45" t="s">
        <v>623</v>
      </c>
      <c r="D797" s="46" t="s">
        <v>625</v>
      </c>
      <c r="E797" s="46" t="s">
        <v>692</v>
      </c>
      <c r="F797" s="47" t="s">
        <v>4010</v>
      </c>
      <c r="H797" s="47" t="s">
        <v>809</v>
      </c>
      <c r="I797" s="46" t="s">
        <v>3536</v>
      </c>
      <c r="J797" s="49" t="s">
        <v>899</v>
      </c>
      <c r="L797" s="49">
        <v>3</v>
      </c>
      <c r="M797" s="50">
        <v>3500000</v>
      </c>
      <c r="N797" s="51">
        <v>3850000</v>
      </c>
      <c r="O797" s="50" t="s">
        <v>4011</v>
      </c>
      <c r="P797" s="65" t="s">
        <v>4012</v>
      </c>
      <c r="Q797" s="46" t="s">
        <v>592</v>
      </c>
      <c r="R797" s="47" t="s">
        <v>4013</v>
      </c>
      <c r="U797" s="46" t="s">
        <v>491</v>
      </c>
    </row>
    <row r="798" spans="1:21" ht="75" x14ac:dyDescent="0.25">
      <c r="A798" s="45">
        <v>42634</v>
      </c>
      <c r="B798" s="46" t="s">
        <v>328</v>
      </c>
      <c r="C798" s="45" t="s">
        <v>603</v>
      </c>
      <c r="D798" s="46" t="s">
        <v>1471</v>
      </c>
      <c r="E798" s="46" t="s">
        <v>588</v>
      </c>
      <c r="F798" s="47" t="s">
        <v>4015</v>
      </c>
      <c r="H798" s="47" t="s">
        <v>607</v>
      </c>
      <c r="I798" s="46" t="s">
        <v>4016</v>
      </c>
      <c r="J798" s="49" t="s">
        <v>3370</v>
      </c>
      <c r="L798" s="49">
        <v>2</v>
      </c>
      <c r="M798" s="50">
        <v>1735770</v>
      </c>
      <c r="N798" s="51">
        <v>3297963</v>
      </c>
      <c r="O798" s="50" t="s">
        <v>4017</v>
      </c>
      <c r="P798" s="65" t="s">
        <v>4018</v>
      </c>
      <c r="Q798" s="46" t="s">
        <v>1939</v>
      </c>
      <c r="R798" s="47" t="s">
        <v>4019</v>
      </c>
      <c r="U798" s="46" t="s">
        <v>491</v>
      </c>
    </row>
    <row r="799" spans="1:21" ht="75" x14ac:dyDescent="0.25">
      <c r="A799" s="45">
        <v>42635</v>
      </c>
      <c r="B799" s="46" t="s">
        <v>328</v>
      </c>
      <c r="C799" s="45" t="s">
        <v>603</v>
      </c>
      <c r="D799" s="46" t="s">
        <v>1471</v>
      </c>
      <c r="E799" s="46" t="s">
        <v>588</v>
      </c>
      <c r="F799" s="47" t="s">
        <v>4024</v>
      </c>
      <c r="H799" s="47" t="s">
        <v>607</v>
      </c>
      <c r="I799" s="46" t="s">
        <v>2054</v>
      </c>
      <c r="J799" s="49" t="s">
        <v>899</v>
      </c>
      <c r="L799" s="49">
        <v>2</v>
      </c>
      <c r="M799" s="50">
        <v>3000000</v>
      </c>
      <c r="N799" s="51">
        <v>4950000</v>
      </c>
      <c r="O799" s="50" t="s">
        <v>560</v>
      </c>
      <c r="P799" s="65" t="s">
        <v>4025</v>
      </c>
      <c r="Q799" s="46" t="s">
        <v>592</v>
      </c>
      <c r="U799" s="46" t="s">
        <v>491</v>
      </c>
    </row>
    <row r="800" spans="1:21" ht="45" x14ac:dyDescent="0.25">
      <c r="A800" s="45">
        <v>42635</v>
      </c>
      <c r="B800" s="46" t="s">
        <v>328</v>
      </c>
      <c r="C800" s="45" t="s">
        <v>603</v>
      </c>
      <c r="D800" s="46" t="s">
        <v>1401</v>
      </c>
      <c r="E800" s="46" t="s">
        <v>692</v>
      </c>
      <c r="F800" s="47" t="s">
        <v>4026</v>
      </c>
      <c r="H800" s="47" t="s">
        <v>607</v>
      </c>
      <c r="O800" s="50" t="s">
        <v>4027</v>
      </c>
      <c r="P800" s="65" t="s">
        <v>4028</v>
      </c>
      <c r="Q800" s="46" t="s">
        <v>592</v>
      </c>
      <c r="U800" s="46" t="s">
        <v>491</v>
      </c>
    </row>
    <row r="801" spans="1:23" ht="75" x14ac:dyDescent="0.25">
      <c r="A801" s="45">
        <v>42635</v>
      </c>
      <c r="B801" s="46" t="s">
        <v>328</v>
      </c>
      <c r="C801" s="45" t="s">
        <v>603</v>
      </c>
      <c r="D801" s="46" t="s">
        <v>1471</v>
      </c>
      <c r="E801" s="46" t="s">
        <v>588</v>
      </c>
      <c r="F801" s="47" t="s">
        <v>4020</v>
      </c>
      <c r="H801" s="47" t="s">
        <v>607</v>
      </c>
      <c r="I801" s="46" t="s">
        <v>4021</v>
      </c>
      <c r="J801" s="49" t="s">
        <v>899</v>
      </c>
      <c r="L801" s="49">
        <v>9</v>
      </c>
      <c r="M801" s="50">
        <v>370000</v>
      </c>
      <c r="N801" s="51">
        <v>519000</v>
      </c>
      <c r="O801" s="50" t="s">
        <v>2680</v>
      </c>
      <c r="P801" s="65" t="s">
        <v>4022</v>
      </c>
      <c r="Q801" s="46" t="s">
        <v>592</v>
      </c>
      <c r="R801" s="47" t="s">
        <v>4023</v>
      </c>
      <c r="U801" s="46" t="s">
        <v>491</v>
      </c>
    </row>
    <row r="802" spans="1:23" ht="75" x14ac:dyDescent="0.25">
      <c r="A802" s="45">
        <v>42636</v>
      </c>
      <c r="B802" s="46" t="s">
        <v>328</v>
      </c>
      <c r="C802" s="45" t="s">
        <v>603</v>
      </c>
      <c r="D802" s="46" t="s">
        <v>1471</v>
      </c>
      <c r="E802" s="46" t="s">
        <v>588</v>
      </c>
      <c r="F802" s="47" t="s">
        <v>4029</v>
      </c>
      <c r="H802" s="47" t="s">
        <v>607</v>
      </c>
      <c r="I802" s="46" t="s">
        <v>4030</v>
      </c>
      <c r="J802" s="49" t="s">
        <v>4031</v>
      </c>
      <c r="L802" s="49">
        <v>7</v>
      </c>
      <c r="M802" s="50">
        <v>615000</v>
      </c>
      <c r="N802" s="51">
        <v>1107000</v>
      </c>
      <c r="O802" s="50" t="s">
        <v>4032</v>
      </c>
      <c r="P802" s="65" t="s">
        <v>4033</v>
      </c>
      <c r="Q802" s="46" t="s">
        <v>1612</v>
      </c>
      <c r="R802" s="47" t="s">
        <v>4130</v>
      </c>
      <c r="U802" s="46" t="s">
        <v>491</v>
      </c>
    </row>
    <row r="803" spans="1:23" ht="45" x14ac:dyDescent="0.25">
      <c r="A803" s="45">
        <v>42636</v>
      </c>
      <c r="B803" s="46" t="s">
        <v>328</v>
      </c>
      <c r="C803" s="45" t="s">
        <v>603</v>
      </c>
      <c r="D803" s="46" t="s">
        <v>1471</v>
      </c>
      <c r="E803" s="46" t="s">
        <v>588</v>
      </c>
      <c r="F803" s="47" t="s">
        <v>4040</v>
      </c>
      <c r="H803" s="47" t="s">
        <v>4041</v>
      </c>
      <c r="I803" s="46" t="s">
        <v>4042</v>
      </c>
      <c r="J803" s="49" t="s">
        <v>899</v>
      </c>
      <c r="L803" s="49">
        <v>10</v>
      </c>
      <c r="M803" s="50">
        <v>322000</v>
      </c>
      <c r="N803" s="51">
        <v>400000</v>
      </c>
      <c r="O803" s="50" t="s">
        <v>4043</v>
      </c>
      <c r="P803" s="65" t="s">
        <v>4044</v>
      </c>
      <c r="Q803" s="46" t="s">
        <v>29</v>
      </c>
      <c r="R803" s="47" t="s">
        <v>4045</v>
      </c>
      <c r="U803" s="46" t="s">
        <v>1327</v>
      </c>
    </row>
    <row r="804" spans="1:23" ht="90" x14ac:dyDescent="0.25">
      <c r="A804" s="45">
        <v>42636</v>
      </c>
      <c r="B804" s="46" t="s">
        <v>328</v>
      </c>
      <c r="C804" s="45" t="s">
        <v>603</v>
      </c>
      <c r="D804" s="46" t="s">
        <v>1401</v>
      </c>
      <c r="E804" s="46" t="s">
        <v>588</v>
      </c>
      <c r="F804" s="47" t="s">
        <v>4039</v>
      </c>
      <c r="H804" s="47" t="s">
        <v>1391</v>
      </c>
      <c r="I804" s="46" t="s">
        <v>4038</v>
      </c>
      <c r="J804" s="49" t="s">
        <v>761</v>
      </c>
      <c r="L804" s="49" t="s">
        <v>4034</v>
      </c>
      <c r="M804" s="50">
        <v>365000</v>
      </c>
      <c r="N804" s="51">
        <v>499500</v>
      </c>
      <c r="O804" s="50" t="s">
        <v>4035</v>
      </c>
      <c r="P804" s="65" t="s">
        <v>4037</v>
      </c>
      <c r="Q804" s="46" t="s">
        <v>620</v>
      </c>
      <c r="R804" s="47" t="s">
        <v>4036</v>
      </c>
      <c r="U804" s="46" t="s">
        <v>1327</v>
      </c>
    </row>
    <row r="805" spans="1:23" ht="60" x14ac:dyDescent="0.25">
      <c r="A805" s="45">
        <v>42636</v>
      </c>
      <c r="B805" s="46" t="s">
        <v>328</v>
      </c>
      <c r="C805" s="45" t="s">
        <v>603</v>
      </c>
      <c r="D805" s="46" t="s">
        <v>1471</v>
      </c>
      <c r="E805" s="46" t="s">
        <v>588</v>
      </c>
      <c r="F805" s="47" t="s">
        <v>4046</v>
      </c>
      <c r="H805" s="47" t="s">
        <v>4041</v>
      </c>
      <c r="I805" s="46" t="s">
        <v>3710</v>
      </c>
      <c r="J805" s="49" t="s">
        <v>899</v>
      </c>
      <c r="L805" s="49">
        <v>10</v>
      </c>
      <c r="M805" s="50">
        <v>494000</v>
      </c>
      <c r="N805" s="51">
        <v>889200</v>
      </c>
      <c r="O805" s="50" t="s">
        <v>4047</v>
      </c>
      <c r="P805" s="65" t="s">
        <v>4048</v>
      </c>
      <c r="Q805" s="46" t="s">
        <v>29</v>
      </c>
      <c r="U805" s="46" t="s">
        <v>1327</v>
      </c>
    </row>
    <row r="806" spans="1:23" ht="30" x14ac:dyDescent="0.25">
      <c r="A806" s="45">
        <v>42636</v>
      </c>
      <c r="B806" s="46" t="s">
        <v>328</v>
      </c>
      <c r="C806" s="45" t="s">
        <v>603</v>
      </c>
      <c r="D806" s="46" t="s">
        <v>1471</v>
      </c>
      <c r="E806" s="46" t="s">
        <v>588</v>
      </c>
      <c r="F806" s="47" t="s">
        <v>4059</v>
      </c>
      <c r="H806" s="47" t="s">
        <v>710</v>
      </c>
      <c r="I806" s="46" t="s">
        <v>4060</v>
      </c>
      <c r="J806" s="49" t="s">
        <v>899</v>
      </c>
      <c r="L806" s="49">
        <v>10</v>
      </c>
      <c r="M806" s="50">
        <v>1000000</v>
      </c>
      <c r="N806" s="51">
        <v>1600000</v>
      </c>
      <c r="O806" s="50" t="s">
        <v>2886</v>
      </c>
      <c r="P806" s="65" t="s">
        <v>4061</v>
      </c>
      <c r="Q806" s="46" t="s">
        <v>29</v>
      </c>
      <c r="R806" s="47" t="s">
        <v>4062</v>
      </c>
      <c r="U806" s="46" t="s">
        <v>1327</v>
      </c>
    </row>
    <row r="807" spans="1:23" ht="60" x14ac:dyDescent="0.25">
      <c r="A807" s="45">
        <v>42636</v>
      </c>
      <c r="B807" s="46" t="s">
        <v>1486</v>
      </c>
      <c r="C807" s="45" t="s">
        <v>1363</v>
      </c>
      <c r="D807" s="46" t="s">
        <v>1495</v>
      </c>
      <c r="E807" s="46" t="s">
        <v>588</v>
      </c>
      <c r="F807" s="47" t="s">
        <v>4049</v>
      </c>
      <c r="H807" s="47" t="s">
        <v>4050</v>
      </c>
      <c r="I807" s="46" t="s">
        <v>4051</v>
      </c>
      <c r="J807" s="49" t="s">
        <v>602</v>
      </c>
      <c r="N807" s="51">
        <v>179000</v>
      </c>
      <c r="O807" s="50" t="s">
        <v>4052</v>
      </c>
      <c r="P807" s="65" t="s">
        <v>4053</v>
      </c>
      <c r="Q807" s="46" t="s">
        <v>592</v>
      </c>
      <c r="R807" s="47" t="s">
        <v>4054</v>
      </c>
      <c r="U807" s="46" t="s">
        <v>1327</v>
      </c>
    </row>
    <row r="808" spans="1:23" ht="135" x14ac:dyDescent="0.25">
      <c r="A808" s="45">
        <v>42636</v>
      </c>
      <c r="B808" s="46" t="s">
        <v>1486</v>
      </c>
      <c r="C808" s="45" t="s">
        <v>899</v>
      </c>
      <c r="D808" s="46" t="s">
        <v>624</v>
      </c>
      <c r="E808" s="46" t="s">
        <v>588</v>
      </c>
      <c r="F808" s="47" t="s">
        <v>4055</v>
      </c>
      <c r="H808" s="47" t="s">
        <v>4056</v>
      </c>
      <c r="I808" s="46" t="s">
        <v>4057</v>
      </c>
      <c r="J808" s="49" t="s">
        <v>899</v>
      </c>
      <c r="L808" s="49">
        <v>2</v>
      </c>
      <c r="M808" s="50">
        <v>2800000</v>
      </c>
      <c r="O808" s="50" t="s">
        <v>4058</v>
      </c>
      <c r="P808" s="65" t="s">
        <v>4074</v>
      </c>
      <c r="Q808" s="46" t="s">
        <v>1939</v>
      </c>
      <c r="R808" s="47" t="s">
        <v>4075</v>
      </c>
      <c r="S808" s="47" t="s">
        <v>4076</v>
      </c>
      <c r="U808" s="46" t="s">
        <v>1327</v>
      </c>
      <c r="V808" s="46" t="s">
        <v>3985</v>
      </c>
    </row>
    <row r="809" spans="1:23" ht="75" x14ac:dyDescent="0.25">
      <c r="A809" s="45">
        <v>42639</v>
      </c>
      <c r="B809" s="46" t="s">
        <v>1486</v>
      </c>
      <c r="C809" s="45" t="s">
        <v>899</v>
      </c>
      <c r="D809" s="46" t="s">
        <v>625</v>
      </c>
      <c r="E809" s="46" t="s">
        <v>588</v>
      </c>
      <c r="F809" s="47" t="s">
        <v>4063</v>
      </c>
      <c r="H809" s="47" t="s">
        <v>1119</v>
      </c>
      <c r="I809" s="46" t="s">
        <v>4064</v>
      </c>
      <c r="J809" s="49" t="s">
        <v>899</v>
      </c>
      <c r="L809" s="49">
        <v>3</v>
      </c>
      <c r="M809" s="50">
        <v>285000</v>
      </c>
      <c r="O809" s="50" t="s">
        <v>4065</v>
      </c>
      <c r="P809" s="65" t="s">
        <v>4066</v>
      </c>
      <c r="Q809" s="46" t="s">
        <v>1939</v>
      </c>
      <c r="R809" s="47" t="s">
        <v>4067</v>
      </c>
      <c r="U809" s="46" t="s">
        <v>1327</v>
      </c>
    </row>
    <row r="810" spans="1:23" ht="75" x14ac:dyDescent="0.25">
      <c r="A810" s="45">
        <v>42639</v>
      </c>
      <c r="B810" s="46" t="s">
        <v>1486</v>
      </c>
      <c r="C810" s="45" t="s">
        <v>899</v>
      </c>
      <c r="D810" s="46" t="s">
        <v>625</v>
      </c>
      <c r="E810" s="46" t="s">
        <v>588</v>
      </c>
      <c r="F810" s="47" t="s">
        <v>4068</v>
      </c>
      <c r="H810" s="47" t="s">
        <v>4069</v>
      </c>
      <c r="I810" s="46" t="s">
        <v>4070</v>
      </c>
      <c r="J810" s="49" t="s">
        <v>899</v>
      </c>
      <c r="M810" s="50">
        <v>1900000</v>
      </c>
      <c r="O810" s="50" t="s">
        <v>4071</v>
      </c>
      <c r="P810" s="65" t="s">
        <v>4072</v>
      </c>
      <c r="Q810" s="46" t="s">
        <v>29</v>
      </c>
      <c r="R810" s="47" t="s">
        <v>4073</v>
      </c>
      <c r="S810" s="47" t="s">
        <v>4090</v>
      </c>
      <c r="U810" s="46" t="s">
        <v>1327</v>
      </c>
    </row>
    <row r="811" spans="1:23" ht="60" x14ac:dyDescent="0.25">
      <c r="A811" s="45">
        <v>42639</v>
      </c>
      <c r="B811" s="46" t="s">
        <v>378</v>
      </c>
      <c r="C811" s="45" t="s">
        <v>899</v>
      </c>
      <c r="D811" s="46" t="s">
        <v>930</v>
      </c>
      <c r="E811" s="46" t="s">
        <v>588</v>
      </c>
      <c r="F811" s="47" t="s">
        <v>4077</v>
      </c>
      <c r="H811" s="47" t="s">
        <v>1119</v>
      </c>
      <c r="I811" s="46" t="s">
        <v>4078</v>
      </c>
      <c r="J811" s="49" t="s">
        <v>899</v>
      </c>
      <c r="L811" s="49">
        <v>3</v>
      </c>
      <c r="M811" s="50">
        <v>1680000</v>
      </c>
      <c r="N811" s="51">
        <v>3360000</v>
      </c>
      <c r="O811" s="50" t="s">
        <v>4079</v>
      </c>
      <c r="P811" s="65" t="s">
        <v>4080</v>
      </c>
      <c r="Q811" s="46" t="s">
        <v>620</v>
      </c>
      <c r="R811" s="47" t="s">
        <v>4081</v>
      </c>
      <c r="S811" s="47" t="s">
        <v>4082</v>
      </c>
      <c r="U811" s="46" t="s">
        <v>1327</v>
      </c>
    </row>
    <row r="812" spans="1:23" ht="90" x14ac:dyDescent="0.25">
      <c r="A812" s="45">
        <v>42639</v>
      </c>
      <c r="B812" s="46" t="s">
        <v>378</v>
      </c>
      <c r="C812" s="45" t="s">
        <v>899</v>
      </c>
      <c r="D812" s="46" t="s">
        <v>625</v>
      </c>
      <c r="E812" s="46" t="s">
        <v>588</v>
      </c>
      <c r="F812" s="47" t="s">
        <v>4083</v>
      </c>
      <c r="H812" s="47" t="s">
        <v>4084</v>
      </c>
      <c r="I812" s="46" t="s">
        <v>4085</v>
      </c>
      <c r="J812" s="49" t="s">
        <v>899</v>
      </c>
      <c r="L812" s="49">
        <v>2</v>
      </c>
      <c r="M812" s="50">
        <v>845000</v>
      </c>
      <c r="O812" s="50" t="s">
        <v>4086</v>
      </c>
      <c r="P812" s="65" t="s">
        <v>4087</v>
      </c>
      <c r="Q812" s="46" t="s">
        <v>1939</v>
      </c>
      <c r="R812" s="47" t="s">
        <v>4088</v>
      </c>
      <c r="U812" s="46" t="s">
        <v>4089</v>
      </c>
    </row>
    <row r="813" spans="1:23" ht="105" x14ac:dyDescent="0.25">
      <c r="A813" s="45">
        <v>42639</v>
      </c>
      <c r="B813" s="46" t="s">
        <v>328</v>
      </c>
      <c r="C813" s="45" t="s">
        <v>899</v>
      </c>
      <c r="D813" s="46" t="s">
        <v>2282</v>
      </c>
      <c r="E813" s="46" t="s">
        <v>588</v>
      </c>
      <c r="F813" s="47" t="s">
        <v>4091</v>
      </c>
      <c r="H813" s="47" t="s">
        <v>1119</v>
      </c>
      <c r="I813" s="46" t="s">
        <v>4016</v>
      </c>
      <c r="J813" s="49" t="s">
        <v>3370</v>
      </c>
      <c r="L813" s="49">
        <v>2</v>
      </c>
      <c r="M813" s="50">
        <v>2000000</v>
      </c>
      <c r="O813" s="50" t="s">
        <v>4079</v>
      </c>
      <c r="P813" s="65" t="s">
        <v>4092</v>
      </c>
      <c r="Q813" s="46" t="s">
        <v>592</v>
      </c>
      <c r="R813" s="47" t="s">
        <v>4093</v>
      </c>
      <c r="U813" s="46" t="s">
        <v>633</v>
      </c>
      <c r="V813" s="46" t="s">
        <v>3985</v>
      </c>
      <c r="W813" s="47" t="s">
        <v>4304</v>
      </c>
    </row>
    <row r="814" spans="1:23" ht="120" x14ac:dyDescent="0.25">
      <c r="A814" s="45">
        <v>42640</v>
      </c>
      <c r="B814" s="46" t="s">
        <v>328</v>
      </c>
      <c r="C814" s="45" t="s">
        <v>899</v>
      </c>
      <c r="D814" s="46" t="s">
        <v>2282</v>
      </c>
      <c r="E814" s="46" t="s">
        <v>588</v>
      </c>
      <c r="F814" s="47" t="s">
        <v>4094</v>
      </c>
      <c r="H814" s="47" t="s">
        <v>4041</v>
      </c>
      <c r="I814" s="46" t="s">
        <v>4095</v>
      </c>
      <c r="J814" s="49" t="s">
        <v>3523</v>
      </c>
      <c r="L814" s="49">
        <v>9</v>
      </c>
      <c r="M814" s="50">
        <v>250000</v>
      </c>
      <c r="N814" s="51">
        <v>345000</v>
      </c>
      <c r="O814" s="50" t="s">
        <v>4096</v>
      </c>
      <c r="P814" s="65" t="s">
        <v>4097</v>
      </c>
      <c r="Q814" s="46" t="s">
        <v>1939</v>
      </c>
      <c r="R814" s="47" t="s">
        <v>4098</v>
      </c>
      <c r="U814" s="46" t="s">
        <v>4089</v>
      </c>
    </row>
    <row r="815" spans="1:23" ht="45" x14ac:dyDescent="0.25">
      <c r="A815" s="45">
        <v>42641</v>
      </c>
      <c r="B815" s="46" t="s">
        <v>250</v>
      </c>
      <c r="D815" s="46" t="s">
        <v>4099</v>
      </c>
      <c r="E815" s="46" t="s">
        <v>588</v>
      </c>
      <c r="F815" s="47" t="s">
        <v>4100</v>
      </c>
      <c r="H815" s="47" t="s">
        <v>1119</v>
      </c>
      <c r="I815" s="46" t="s">
        <v>4101</v>
      </c>
      <c r="J815" s="49" t="s">
        <v>3856</v>
      </c>
      <c r="L815" s="49">
        <v>5</v>
      </c>
      <c r="M815" s="50">
        <v>1112196</v>
      </c>
      <c r="N815" s="51">
        <v>1752196</v>
      </c>
      <c r="O815" s="50" t="s">
        <v>560</v>
      </c>
      <c r="P815" s="65" t="s">
        <v>4102</v>
      </c>
      <c r="Q815" s="46" t="s">
        <v>592</v>
      </c>
      <c r="U815" s="46" t="s">
        <v>491</v>
      </c>
    </row>
    <row r="816" spans="1:23" ht="45" x14ac:dyDescent="0.25">
      <c r="A816" s="45">
        <v>42642</v>
      </c>
      <c r="B816" s="46" t="s">
        <v>1486</v>
      </c>
      <c r="C816" s="45" t="s">
        <v>1363</v>
      </c>
      <c r="D816" s="46" t="s">
        <v>1495</v>
      </c>
      <c r="E816" s="46" t="s">
        <v>588</v>
      </c>
      <c r="F816" s="47" t="s">
        <v>4103</v>
      </c>
      <c r="H816" s="47" t="s">
        <v>607</v>
      </c>
      <c r="I816" s="46" t="s">
        <v>4103</v>
      </c>
      <c r="J816" s="49" t="s">
        <v>602</v>
      </c>
      <c r="M816" s="50">
        <v>775000</v>
      </c>
      <c r="N816" s="51">
        <v>1025000</v>
      </c>
      <c r="O816" s="50" t="s">
        <v>4104</v>
      </c>
      <c r="P816" s="65" t="s">
        <v>4105</v>
      </c>
      <c r="Q816" s="46" t="s">
        <v>29</v>
      </c>
      <c r="R816" s="47" t="s">
        <v>4106</v>
      </c>
      <c r="U816" s="46" t="s">
        <v>491</v>
      </c>
    </row>
    <row r="817" spans="1:21" ht="60" x14ac:dyDescent="0.25">
      <c r="A817" s="45">
        <v>42642</v>
      </c>
      <c r="B817" s="46" t="s">
        <v>378</v>
      </c>
      <c r="C817" s="45" t="s">
        <v>623</v>
      </c>
      <c r="D817" s="46" t="s">
        <v>625</v>
      </c>
      <c r="E817" s="46" t="s">
        <v>588</v>
      </c>
      <c r="F817" s="47" t="s">
        <v>4107</v>
      </c>
      <c r="H817" s="47" t="s">
        <v>4108</v>
      </c>
      <c r="I817" s="46" t="s">
        <v>4109</v>
      </c>
      <c r="J817" s="49" t="s">
        <v>899</v>
      </c>
      <c r="L817" s="49">
        <v>4</v>
      </c>
      <c r="M817" s="50">
        <v>790000</v>
      </c>
      <c r="N817" s="51">
        <v>1422000</v>
      </c>
      <c r="O817" s="50" t="s">
        <v>4110</v>
      </c>
      <c r="P817" s="65" t="s">
        <v>4111</v>
      </c>
      <c r="Q817" s="46" t="s">
        <v>1939</v>
      </c>
      <c r="R817" s="47" t="s">
        <v>4112</v>
      </c>
      <c r="U817" s="46" t="s">
        <v>491</v>
      </c>
    </row>
    <row r="818" spans="1:21" ht="30" x14ac:dyDescent="0.25">
      <c r="A818" s="45">
        <v>42642</v>
      </c>
      <c r="B818" s="46" t="s">
        <v>378</v>
      </c>
      <c r="C818" s="45" t="s">
        <v>623</v>
      </c>
      <c r="D818" s="46" t="s">
        <v>625</v>
      </c>
      <c r="E818" s="46" t="s">
        <v>588</v>
      </c>
      <c r="F818" s="47" t="s">
        <v>4113</v>
      </c>
      <c r="H818" s="47" t="s">
        <v>607</v>
      </c>
      <c r="I818" s="46" t="s">
        <v>4114</v>
      </c>
      <c r="J818" s="49" t="s">
        <v>899</v>
      </c>
      <c r="L818" s="49">
        <v>8</v>
      </c>
      <c r="M818" s="50">
        <v>1078000</v>
      </c>
      <c r="N818" s="51">
        <v>1842770</v>
      </c>
      <c r="O818" s="50" t="s">
        <v>4115</v>
      </c>
      <c r="P818" s="65" t="s">
        <v>4116</v>
      </c>
      <c r="Q818" s="46" t="s">
        <v>1939</v>
      </c>
      <c r="R818" s="47" t="s">
        <v>4117</v>
      </c>
      <c r="U818" s="46" t="s">
        <v>491</v>
      </c>
    </row>
    <row r="819" spans="1:21" ht="45" x14ac:dyDescent="0.25">
      <c r="A819" s="45">
        <v>42642</v>
      </c>
      <c r="B819" s="46" t="s">
        <v>1788</v>
      </c>
      <c r="D819" s="46" t="s">
        <v>4118</v>
      </c>
      <c r="E819" s="46" t="s">
        <v>588</v>
      </c>
      <c r="F819" s="47" t="s">
        <v>4119</v>
      </c>
      <c r="H819" s="47" t="s">
        <v>607</v>
      </c>
      <c r="I819" s="46" t="s">
        <v>4120</v>
      </c>
      <c r="J819" s="49" t="s">
        <v>3369</v>
      </c>
      <c r="L819" s="49" t="s">
        <v>833</v>
      </c>
      <c r="M819" s="50">
        <v>300000</v>
      </c>
      <c r="N819" s="51">
        <v>540000</v>
      </c>
      <c r="O819" s="50" t="s">
        <v>3952</v>
      </c>
      <c r="P819" s="65" t="s">
        <v>4121</v>
      </c>
      <c r="Q819" s="46" t="s">
        <v>29</v>
      </c>
      <c r="R819" s="47" t="s">
        <v>4122</v>
      </c>
      <c r="U819" s="46" t="s">
        <v>491</v>
      </c>
    </row>
    <row r="820" spans="1:21" ht="45" x14ac:dyDescent="0.25">
      <c r="A820" s="45">
        <v>42642</v>
      </c>
      <c r="B820" s="46" t="s">
        <v>1486</v>
      </c>
      <c r="C820" s="45" t="s">
        <v>1363</v>
      </c>
      <c r="D820" s="46" t="s">
        <v>2346</v>
      </c>
      <c r="E820" s="46" t="s">
        <v>588</v>
      </c>
      <c r="F820" s="47" t="s">
        <v>4123</v>
      </c>
      <c r="H820" s="47" t="s">
        <v>886</v>
      </c>
      <c r="I820" s="46" t="s">
        <v>3809</v>
      </c>
      <c r="J820" s="49" t="s">
        <v>602</v>
      </c>
      <c r="L820" s="49">
        <v>1</v>
      </c>
      <c r="M820" s="50">
        <v>1750000</v>
      </c>
      <c r="N820" s="51">
        <v>2250000</v>
      </c>
      <c r="O820" s="50" t="s">
        <v>4104</v>
      </c>
      <c r="P820" s="65" t="s">
        <v>4124</v>
      </c>
      <c r="Q820" s="46" t="s">
        <v>29</v>
      </c>
      <c r="R820" s="47" t="s">
        <v>4125</v>
      </c>
      <c r="U820" s="46" t="s">
        <v>491</v>
      </c>
    </row>
    <row r="821" spans="1:21" ht="30" x14ac:dyDescent="0.25">
      <c r="A821" s="45">
        <v>42643</v>
      </c>
      <c r="B821" s="46" t="s">
        <v>328</v>
      </c>
      <c r="C821" s="45" t="s">
        <v>603</v>
      </c>
      <c r="D821" s="46" t="s">
        <v>1471</v>
      </c>
      <c r="E821" s="46" t="s">
        <v>588</v>
      </c>
      <c r="F821" s="47" t="s">
        <v>4137</v>
      </c>
      <c r="H821" s="47" t="s">
        <v>607</v>
      </c>
      <c r="L821" s="49">
        <v>10</v>
      </c>
      <c r="M821" s="50">
        <v>310000</v>
      </c>
      <c r="N821" s="51">
        <v>556000</v>
      </c>
      <c r="O821" s="50" t="s">
        <v>2680</v>
      </c>
      <c r="P821" s="65" t="s">
        <v>4138</v>
      </c>
      <c r="Q821" s="46" t="s">
        <v>29</v>
      </c>
      <c r="U821" s="46" t="s">
        <v>491</v>
      </c>
    </row>
    <row r="822" spans="1:21" ht="45" x14ac:dyDescent="0.25">
      <c r="A822" s="45">
        <v>42643</v>
      </c>
      <c r="B822" s="46" t="s">
        <v>378</v>
      </c>
      <c r="C822" s="45" t="s">
        <v>623</v>
      </c>
      <c r="D822" s="46" t="s">
        <v>624</v>
      </c>
      <c r="E822" s="46" t="s">
        <v>588</v>
      </c>
      <c r="F822" s="47" t="s">
        <v>4126</v>
      </c>
      <c r="H822" s="47" t="s">
        <v>607</v>
      </c>
      <c r="I822" s="46" t="s">
        <v>3649</v>
      </c>
      <c r="J822" s="49" t="s">
        <v>899</v>
      </c>
      <c r="M822" s="50">
        <v>450000</v>
      </c>
      <c r="O822" s="50" t="s">
        <v>4127</v>
      </c>
      <c r="P822" s="65" t="s">
        <v>4128</v>
      </c>
      <c r="Q822" s="46" t="s">
        <v>592</v>
      </c>
      <c r="R822" s="47" t="s">
        <v>4129</v>
      </c>
      <c r="U822" s="46" t="s">
        <v>491</v>
      </c>
    </row>
    <row r="823" spans="1:21" ht="90" x14ac:dyDescent="0.25">
      <c r="A823" s="45">
        <v>42643</v>
      </c>
      <c r="B823" s="46" t="s">
        <v>378</v>
      </c>
      <c r="C823" s="45" t="s">
        <v>623</v>
      </c>
      <c r="D823" s="46" t="s">
        <v>930</v>
      </c>
      <c r="E823" s="46" t="s">
        <v>588</v>
      </c>
      <c r="F823" s="47" t="s">
        <v>4131</v>
      </c>
      <c r="H823" s="47" t="s">
        <v>4132</v>
      </c>
      <c r="J823" s="49" t="s">
        <v>899</v>
      </c>
      <c r="O823" s="50" t="s">
        <v>4027</v>
      </c>
      <c r="P823" s="65" t="s">
        <v>4133</v>
      </c>
      <c r="Q823" s="46" t="s">
        <v>29</v>
      </c>
      <c r="R823" s="47" t="s">
        <v>4134</v>
      </c>
      <c r="U823" s="46" t="s">
        <v>491</v>
      </c>
    </row>
    <row r="824" spans="1:21" ht="45" x14ac:dyDescent="0.25">
      <c r="A824" s="45">
        <v>42643</v>
      </c>
      <c r="B824" s="46" t="s">
        <v>643</v>
      </c>
      <c r="C824" s="45" t="s">
        <v>644</v>
      </c>
      <c r="D824" s="46" t="s">
        <v>645</v>
      </c>
      <c r="E824" s="46" t="s">
        <v>588</v>
      </c>
      <c r="F824" s="47" t="s">
        <v>4135</v>
      </c>
      <c r="H824" s="47" t="s">
        <v>607</v>
      </c>
      <c r="I824" s="46" t="s">
        <v>3814</v>
      </c>
      <c r="J824" s="49" t="s">
        <v>644</v>
      </c>
      <c r="L824" s="49">
        <v>2</v>
      </c>
      <c r="M824" s="50">
        <v>1500000</v>
      </c>
      <c r="N824" s="51">
        <v>2800000</v>
      </c>
      <c r="O824" s="50" t="s">
        <v>1171</v>
      </c>
      <c r="P824" s="65" t="s">
        <v>4139</v>
      </c>
      <c r="Q824" s="46" t="s">
        <v>1939</v>
      </c>
      <c r="R824" s="47" t="s">
        <v>4136</v>
      </c>
      <c r="U824" s="46" t="s">
        <v>491</v>
      </c>
    </row>
    <row r="825" spans="1:21" ht="60" x14ac:dyDescent="0.25">
      <c r="A825" s="45">
        <v>42646</v>
      </c>
      <c r="B825" s="46" t="s">
        <v>378</v>
      </c>
      <c r="C825" s="45" t="s">
        <v>623</v>
      </c>
      <c r="D825" s="46" t="s">
        <v>930</v>
      </c>
      <c r="E825" s="46" t="s">
        <v>588</v>
      </c>
      <c r="F825" s="47" t="s">
        <v>4143</v>
      </c>
      <c r="H825" s="47" t="s">
        <v>607</v>
      </c>
      <c r="I825" s="46" t="s">
        <v>3452</v>
      </c>
      <c r="J825" s="49" t="s">
        <v>899</v>
      </c>
      <c r="L825" s="49">
        <v>4</v>
      </c>
      <c r="M825" s="50">
        <v>2000000</v>
      </c>
      <c r="N825" s="51">
        <v>3600000</v>
      </c>
      <c r="O825" s="50" t="s">
        <v>560</v>
      </c>
      <c r="P825" s="65" t="s">
        <v>4144</v>
      </c>
      <c r="Q825" s="46" t="s">
        <v>1939</v>
      </c>
      <c r="R825" s="47" t="s">
        <v>4145</v>
      </c>
      <c r="U825" s="46" t="s">
        <v>491</v>
      </c>
    </row>
    <row r="826" spans="1:21" ht="165" x14ac:dyDescent="0.25">
      <c r="A826" s="45">
        <v>42646</v>
      </c>
      <c r="B826" s="46" t="s">
        <v>378</v>
      </c>
      <c r="C826" s="45" t="s">
        <v>610</v>
      </c>
      <c r="D826" s="46" t="s">
        <v>1027</v>
      </c>
      <c r="E826" s="46" t="s">
        <v>588</v>
      </c>
      <c r="F826" s="47" t="s">
        <v>4146</v>
      </c>
      <c r="H826" s="47" t="s">
        <v>607</v>
      </c>
      <c r="I826" s="46" t="s">
        <v>3388</v>
      </c>
      <c r="J826" s="49" t="s">
        <v>899</v>
      </c>
      <c r="L826" s="49">
        <v>2</v>
      </c>
      <c r="M826" s="50">
        <v>2478000</v>
      </c>
      <c r="N826" s="51">
        <v>4460256</v>
      </c>
      <c r="O826" s="50" t="s">
        <v>560</v>
      </c>
      <c r="P826" s="65" t="s">
        <v>4148</v>
      </c>
      <c r="Q826" s="46" t="s">
        <v>1939</v>
      </c>
      <c r="R826" s="47" t="s">
        <v>4147</v>
      </c>
      <c r="U826" s="46" t="s">
        <v>491</v>
      </c>
    </row>
    <row r="827" spans="1:21" ht="30" x14ac:dyDescent="0.25">
      <c r="A827" s="45">
        <v>42646</v>
      </c>
      <c r="B827" s="46" t="s">
        <v>378</v>
      </c>
      <c r="C827" s="45" t="s">
        <v>623</v>
      </c>
      <c r="D827" s="46" t="s">
        <v>930</v>
      </c>
      <c r="E827" s="46" t="s">
        <v>821</v>
      </c>
      <c r="H827" s="47" t="s">
        <v>905</v>
      </c>
      <c r="O827" s="50" t="s">
        <v>4154</v>
      </c>
      <c r="P827" s="65" t="s">
        <v>4155</v>
      </c>
      <c r="Q827" s="46" t="s">
        <v>29</v>
      </c>
      <c r="R827" s="47" t="s">
        <v>4156</v>
      </c>
      <c r="U827" s="46" t="s">
        <v>491</v>
      </c>
    </row>
    <row r="828" spans="1:21" ht="75" x14ac:dyDescent="0.25">
      <c r="A828" s="45">
        <v>42646</v>
      </c>
      <c r="B828" s="46" t="s">
        <v>378</v>
      </c>
      <c r="C828" s="45" t="s">
        <v>623</v>
      </c>
      <c r="D828" s="46" t="s">
        <v>930</v>
      </c>
      <c r="E828" s="46" t="s">
        <v>1707</v>
      </c>
      <c r="F828" s="47" t="s">
        <v>4157</v>
      </c>
      <c r="H828" s="47" t="s">
        <v>886</v>
      </c>
      <c r="I828" s="46" t="s">
        <v>3929</v>
      </c>
      <c r="J828" s="49" t="s">
        <v>899</v>
      </c>
      <c r="M828" s="50">
        <v>600000</v>
      </c>
      <c r="O828" s="50" t="s">
        <v>4158</v>
      </c>
      <c r="P828" s="65" t="s">
        <v>4160</v>
      </c>
      <c r="Q828" s="46" t="s">
        <v>1939</v>
      </c>
      <c r="R828" s="47" t="s">
        <v>4159</v>
      </c>
      <c r="U828" s="46" t="s">
        <v>491</v>
      </c>
    </row>
    <row r="829" spans="1:21" ht="90" x14ac:dyDescent="0.25">
      <c r="A829" s="45">
        <v>42646</v>
      </c>
      <c r="B829" s="46" t="s">
        <v>328</v>
      </c>
      <c r="C829" s="45" t="s">
        <v>603</v>
      </c>
      <c r="D829" s="46" t="s">
        <v>649</v>
      </c>
      <c r="E829" s="46" t="s">
        <v>588</v>
      </c>
      <c r="F829" s="47" t="s">
        <v>4149</v>
      </c>
      <c r="H829" s="47" t="s">
        <v>607</v>
      </c>
      <c r="I829" s="46" t="s">
        <v>4150</v>
      </c>
      <c r="J829" s="49" t="s">
        <v>899</v>
      </c>
      <c r="M829" s="50">
        <v>566000</v>
      </c>
      <c r="N829" s="51">
        <v>722600</v>
      </c>
      <c r="O829" s="50" t="s">
        <v>4151</v>
      </c>
      <c r="P829" s="65" t="s">
        <v>4152</v>
      </c>
      <c r="Q829" s="46" t="s">
        <v>1939</v>
      </c>
      <c r="R829" s="47" t="s">
        <v>4153</v>
      </c>
      <c r="U829" s="46" t="s">
        <v>491</v>
      </c>
    </row>
    <row r="830" spans="1:21" ht="120" x14ac:dyDescent="0.25">
      <c r="A830" s="45">
        <v>42647</v>
      </c>
      <c r="B830" s="46" t="s">
        <v>328</v>
      </c>
      <c r="C830" s="45" t="s">
        <v>603</v>
      </c>
      <c r="D830" s="46" t="s">
        <v>1471</v>
      </c>
      <c r="E830" s="46" t="s">
        <v>588</v>
      </c>
      <c r="F830" s="47" t="s">
        <v>4171</v>
      </c>
      <c r="H830" s="47" t="s">
        <v>905</v>
      </c>
      <c r="I830" s="46" t="s">
        <v>4172</v>
      </c>
      <c r="J830" s="49" t="s">
        <v>3533</v>
      </c>
      <c r="L830" s="49">
        <v>3</v>
      </c>
      <c r="M830" s="50">
        <v>250000</v>
      </c>
      <c r="N830" s="51">
        <v>528000</v>
      </c>
      <c r="O830" s="50" t="s">
        <v>4175</v>
      </c>
      <c r="P830" s="65" t="s">
        <v>4174</v>
      </c>
      <c r="Q830" s="46" t="s">
        <v>1939</v>
      </c>
      <c r="R830" s="47" t="s">
        <v>4173</v>
      </c>
      <c r="U830" s="46" t="s">
        <v>491</v>
      </c>
    </row>
    <row r="831" spans="1:21" ht="105" x14ac:dyDescent="0.25">
      <c r="A831" s="45">
        <v>42647</v>
      </c>
      <c r="B831" s="46" t="s">
        <v>378</v>
      </c>
      <c r="C831" s="45" t="s">
        <v>623</v>
      </c>
      <c r="D831" s="46" t="s">
        <v>625</v>
      </c>
      <c r="E831" s="46" t="s">
        <v>588</v>
      </c>
      <c r="F831" s="47" t="s">
        <v>4161</v>
      </c>
      <c r="H831" s="47" t="s">
        <v>4162</v>
      </c>
      <c r="I831" s="46" t="s">
        <v>3925</v>
      </c>
      <c r="J831" s="49" t="s">
        <v>899</v>
      </c>
      <c r="M831" s="50">
        <v>300000</v>
      </c>
      <c r="N831" s="51">
        <v>480000</v>
      </c>
      <c r="O831" s="50" t="s">
        <v>3575</v>
      </c>
      <c r="P831" s="65" t="s">
        <v>4163</v>
      </c>
      <c r="Q831" s="46" t="s">
        <v>1612</v>
      </c>
      <c r="R831" s="47" t="s">
        <v>4164</v>
      </c>
      <c r="S831" s="47" t="s">
        <v>4333</v>
      </c>
      <c r="U831" s="46" t="s">
        <v>491</v>
      </c>
    </row>
    <row r="832" spans="1:21" ht="75" x14ac:dyDescent="0.25">
      <c r="A832" s="45">
        <v>42647</v>
      </c>
      <c r="B832" s="46" t="s">
        <v>378</v>
      </c>
      <c r="C832" s="45" t="s">
        <v>623</v>
      </c>
      <c r="D832" s="46" t="s">
        <v>930</v>
      </c>
      <c r="E832" s="46" t="s">
        <v>821</v>
      </c>
      <c r="F832" s="47" t="s">
        <v>4176</v>
      </c>
      <c r="H832" s="47" t="s">
        <v>905</v>
      </c>
      <c r="O832" s="50" t="s">
        <v>4165</v>
      </c>
      <c r="P832" s="65" t="s">
        <v>4166</v>
      </c>
      <c r="Q832" s="46" t="s">
        <v>1939</v>
      </c>
      <c r="R832" s="47" t="s">
        <v>4167</v>
      </c>
      <c r="S832" s="47" t="s">
        <v>4177</v>
      </c>
      <c r="U832" s="46" t="s">
        <v>491</v>
      </c>
    </row>
    <row r="833" spans="1:21" ht="45" x14ac:dyDescent="0.25">
      <c r="A833" s="45">
        <v>42647</v>
      </c>
      <c r="B833" s="46" t="s">
        <v>378</v>
      </c>
      <c r="C833" s="45" t="s">
        <v>623</v>
      </c>
      <c r="D833" s="46" t="s">
        <v>625</v>
      </c>
      <c r="E833" s="46" t="s">
        <v>588</v>
      </c>
      <c r="F833" s="47" t="s">
        <v>4168</v>
      </c>
      <c r="H833" s="47" t="s">
        <v>905</v>
      </c>
      <c r="I833" s="46" t="s">
        <v>4169</v>
      </c>
      <c r="J833" s="49" t="s">
        <v>899</v>
      </c>
      <c r="L833" s="49">
        <v>4</v>
      </c>
      <c r="M833" s="50">
        <v>3000000</v>
      </c>
      <c r="N833" s="51">
        <v>3450000</v>
      </c>
      <c r="O833" s="50" t="s">
        <v>560</v>
      </c>
      <c r="P833" s="65" t="s">
        <v>4170</v>
      </c>
      <c r="Q833" s="46" t="s">
        <v>592</v>
      </c>
      <c r="U833" s="46" t="s">
        <v>491</v>
      </c>
    </row>
    <row r="834" spans="1:21" ht="45" x14ac:dyDescent="0.25">
      <c r="A834" s="45">
        <v>42648</v>
      </c>
      <c r="B834" s="46" t="s">
        <v>378</v>
      </c>
      <c r="C834" s="45" t="s">
        <v>623</v>
      </c>
      <c r="D834" s="46" t="s">
        <v>611</v>
      </c>
      <c r="E834" s="46" t="s">
        <v>588</v>
      </c>
      <c r="H834" s="47" t="s">
        <v>607</v>
      </c>
      <c r="O834" s="50" t="s">
        <v>4178</v>
      </c>
      <c r="P834" s="65" t="s">
        <v>4179</v>
      </c>
      <c r="Q834" s="46" t="s">
        <v>592</v>
      </c>
      <c r="U834" s="46" t="s">
        <v>491</v>
      </c>
    </row>
    <row r="835" spans="1:21" ht="105" x14ac:dyDescent="0.25">
      <c r="A835" s="45">
        <v>42648</v>
      </c>
      <c r="B835" s="46" t="s">
        <v>378</v>
      </c>
      <c r="C835" s="45" t="s">
        <v>623</v>
      </c>
      <c r="D835" s="46" t="s">
        <v>930</v>
      </c>
      <c r="E835" s="46" t="s">
        <v>588</v>
      </c>
      <c r="F835" s="47" t="s">
        <v>4180</v>
      </c>
      <c r="H835" s="47" t="s">
        <v>886</v>
      </c>
      <c r="I835" s="46" t="s">
        <v>3837</v>
      </c>
      <c r="J835" s="49" t="s">
        <v>899</v>
      </c>
      <c r="L835" s="49">
        <v>4</v>
      </c>
      <c r="M835" s="50">
        <v>1500000</v>
      </c>
      <c r="N835" s="51">
        <v>1650000</v>
      </c>
      <c r="O835" s="50" t="s">
        <v>35</v>
      </c>
      <c r="P835" s="65" t="s">
        <v>4181</v>
      </c>
      <c r="Q835" s="46" t="s">
        <v>1612</v>
      </c>
      <c r="R835" s="47" t="s">
        <v>4469</v>
      </c>
      <c r="U835" s="46" t="s">
        <v>491</v>
      </c>
    </row>
    <row r="836" spans="1:21" ht="75" x14ac:dyDescent="0.25">
      <c r="A836" s="45">
        <v>42648</v>
      </c>
      <c r="B836" s="46" t="s">
        <v>643</v>
      </c>
      <c r="C836" s="45" t="s">
        <v>644</v>
      </c>
      <c r="D836" s="46" t="s">
        <v>3132</v>
      </c>
      <c r="E836" s="46" t="s">
        <v>588</v>
      </c>
      <c r="F836" s="47" t="s">
        <v>4182</v>
      </c>
      <c r="H836" s="47" t="s">
        <v>4183</v>
      </c>
      <c r="I836" s="46" t="s">
        <v>4184</v>
      </c>
      <c r="J836" s="49" t="s">
        <v>644</v>
      </c>
      <c r="L836" s="49">
        <v>2</v>
      </c>
      <c r="M836" s="50">
        <v>336000</v>
      </c>
      <c r="N836" s="51">
        <v>571200</v>
      </c>
      <c r="O836" s="50" t="s">
        <v>4185</v>
      </c>
      <c r="P836" s="65" t="s">
        <v>4186</v>
      </c>
      <c r="Q836" s="46" t="s">
        <v>1939</v>
      </c>
      <c r="R836" s="47" t="s">
        <v>4187</v>
      </c>
      <c r="U836" s="46" t="s">
        <v>1327</v>
      </c>
    </row>
    <row r="837" spans="1:21" ht="90" x14ac:dyDescent="0.25">
      <c r="A837" s="45">
        <v>42649</v>
      </c>
      <c r="B837" s="46" t="s">
        <v>328</v>
      </c>
      <c r="C837" s="45" t="s">
        <v>603</v>
      </c>
      <c r="D837" s="46" t="s">
        <v>1471</v>
      </c>
      <c r="E837" s="46" t="s">
        <v>588</v>
      </c>
      <c r="F837" s="47" t="s">
        <v>4191</v>
      </c>
      <c r="H837" s="47" t="s">
        <v>1057</v>
      </c>
      <c r="I837" s="46" t="s">
        <v>4192</v>
      </c>
      <c r="J837" s="49" t="s">
        <v>3398</v>
      </c>
      <c r="L837" s="49">
        <v>3</v>
      </c>
      <c r="M837" s="50">
        <v>60000</v>
      </c>
      <c r="N837" s="51">
        <v>100000</v>
      </c>
      <c r="O837" s="50" t="s">
        <v>4193</v>
      </c>
      <c r="P837" s="65" t="s">
        <v>4194</v>
      </c>
      <c r="Q837" s="46" t="s">
        <v>1939</v>
      </c>
      <c r="R837" s="47" t="s">
        <v>4289</v>
      </c>
      <c r="U837" s="46" t="s">
        <v>491</v>
      </c>
    </row>
    <row r="838" spans="1:21" ht="135" x14ac:dyDescent="0.25">
      <c r="A838" s="45">
        <v>42649</v>
      </c>
      <c r="B838" s="46" t="s">
        <v>378</v>
      </c>
      <c r="C838" s="45" t="s">
        <v>623</v>
      </c>
      <c r="D838" s="46" t="s">
        <v>625</v>
      </c>
      <c r="E838" s="46" t="s">
        <v>588</v>
      </c>
      <c r="F838" s="47" t="s">
        <v>4188</v>
      </c>
      <c r="H838" s="47" t="s">
        <v>4189</v>
      </c>
      <c r="I838" s="46" t="s">
        <v>3388</v>
      </c>
      <c r="J838" s="49" t="s">
        <v>899</v>
      </c>
      <c r="L838" s="49">
        <v>1</v>
      </c>
      <c r="M838" s="50">
        <v>2200000</v>
      </c>
      <c r="N838" s="51">
        <v>2420000</v>
      </c>
      <c r="O838" s="50" t="s">
        <v>695</v>
      </c>
      <c r="P838" s="65" t="s">
        <v>4190</v>
      </c>
      <c r="Q838" s="46" t="s">
        <v>592</v>
      </c>
      <c r="U838" s="46" t="s">
        <v>491</v>
      </c>
    </row>
    <row r="839" spans="1:21" ht="45" x14ac:dyDescent="0.25">
      <c r="A839" s="45">
        <v>42649</v>
      </c>
      <c r="B839" s="46" t="s">
        <v>1486</v>
      </c>
      <c r="C839" s="45" t="s">
        <v>1883</v>
      </c>
      <c r="D839" s="46" t="s">
        <v>595</v>
      </c>
      <c r="E839" s="46" t="s">
        <v>588</v>
      </c>
      <c r="F839" s="47" t="s">
        <v>4199</v>
      </c>
      <c r="H839" s="47" t="s">
        <v>886</v>
      </c>
      <c r="I839" s="46" t="s">
        <v>4200</v>
      </c>
      <c r="J839" s="49" t="s">
        <v>959</v>
      </c>
      <c r="L839" s="49">
        <v>4</v>
      </c>
      <c r="M839" s="50">
        <v>200000</v>
      </c>
      <c r="N839" s="51">
        <v>290000</v>
      </c>
      <c r="O839" s="50" t="s">
        <v>4201</v>
      </c>
      <c r="P839" s="65" t="s">
        <v>4202</v>
      </c>
      <c r="Q839" s="46" t="s">
        <v>592</v>
      </c>
      <c r="U839" s="46" t="s">
        <v>491</v>
      </c>
    </row>
    <row r="840" spans="1:21" ht="30" x14ac:dyDescent="0.25">
      <c r="A840" s="45">
        <v>42649</v>
      </c>
      <c r="B840" s="46" t="s">
        <v>320</v>
      </c>
      <c r="C840" s="45" t="s">
        <v>1228</v>
      </c>
      <c r="D840" s="46" t="s">
        <v>1229</v>
      </c>
      <c r="E840" s="46" t="s">
        <v>588</v>
      </c>
      <c r="F840" s="47" t="s">
        <v>4203</v>
      </c>
      <c r="H840" s="47" t="s">
        <v>607</v>
      </c>
      <c r="I840" s="46" t="s">
        <v>4101</v>
      </c>
      <c r="J840" s="49" t="s">
        <v>3856</v>
      </c>
      <c r="O840" s="50" t="s">
        <v>4204</v>
      </c>
      <c r="P840" s="65" t="s">
        <v>4206</v>
      </c>
      <c r="Q840" s="46" t="s">
        <v>29</v>
      </c>
      <c r="R840" s="47" t="s">
        <v>4205</v>
      </c>
      <c r="U840" s="46" t="s">
        <v>491</v>
      </c>
    </row>
    <row r="841" spans="1:21" ht="75" x14ac:dyDescent="0.25">
      <c r="A841" s="45">
        <v>42649</v>
      </c>
      <c r="B841" s="46" t="s">
        <v>328</v>
      </c>
      <c r="C841" s="45" t="s">
        <v>603</v>
      </c>
      <c r="D841" s="46" t="s">
        <v>1471</v>
      </c>
      <c r="E841" s="46" t="s">
        <v>588</v>
      </c>
      <c r="F841" s="47" t="s">
        <v>4195</v>
      </c>
      <c r="H841" s="47" t="s">
        <v>607</v>
      </c>
      <c r="I841" s="46" t="s">
        <v>3639</v>
      </c>
      <c r="J841" s="49" t="s">
        <v>3373</v>
      </c>
      <c r="L841" s="49">
        <v>6</v>
      </c>
      <c r="M841" s="50">
        <v>3300000</v>
      </c>
      <c r="N841" s="51">
        <v>3300000</v>
      </c>
      <c r="O841" s="50" t="s">
        <v>4196</v>
      </c>
      <c r="P841" s="65" t="s">
        <v>4197</v>
      </c>
      <c r="Q841" s="46" t="s">
        <v>1939</v>
      </c>
      <c r="R841" s="47" t="s">
        <v>4198</v>
      </c>
      <c r="U841" s="46" t="s">
        <v>491</v>
      </c>
    </row>
    <row r="842" spans="1:21" ht="75" x14ac:dyDescent="0.25">
      <c r="A842" s="45">
        <v>42650</v>
      </c>
      <c r="B842" s="46" t="s">
        <v>328</v>
      </c>
      <c r="C842" s="45" t="s">
        <v>603</v>
      </c>
      <c r="D842" s="46" t="s">
        <v>587</v>
      </c>
      <c r="E842" s="46" t="s">
        <v>692</v>
      </c>
      <c r="F842" s="47" t="s">
        <v>4212</v>
      </c>
      <c r="H842" s="47" t="s">
        <v>905</v>
      </c>
      <c r="I842" s="46" t="s">
        <v>4213</v>
      </c>
      <c r="J842" s="49" t="s">
        <v>3373</v>
      </c>
      <c r="M842" s="50">
        <v>560000</v>
      </c>
      <c r="N842" s="51">
        <v>605000</v>
      </c>
      <c r="O842" s="50" t="s">
        <v>4214</v>
      </c>
      <c r="P842" s="65" t="s">
        <v>4215</v>
      </c>
      <c r="Q842" s="46" t="s">
        <v>1939</v>
      </c>
      <c r="R842" s="47" t="s">
        <v>4216</v>
      </c>
      <c r="U842" s="46" t="s">
        <v>491</v>
      </c>
    </row>
    <row r="843" spans="1:21" ht="75" x14ac:dyDescent="0.25">
      <c r="A843" s="45">
        <v>42650</v>
      </c>
      <c r="B843" s="46" t="s">
        <v>643</v>
      </c>
      <c r="C843" s="45" t="s">
        <v>644</v>
      </c>
      <c r="D843" s="46" t="s">
        <v>3132</v>
      </c>
      <c r="E843" s="46" t="s">
        <v>588</v>
      </c>
      <c r="F843" s="47" t="s">
        <v>4207</v>
      </c>
      <c r="H843" s="47" t="s">
        <v>722</v>
      </c>
      <c r="I843" s="46" t="s">
        <v>4208</v>
      </c>
      <c r="J843" s="49" t="s">
        <v>644</v>
      </c>
      <c r="L843" s="49">
        <v>2</v>
      </c>
      <c r="M843" s="50">
        <v>1840000</v>
      </c>
      <c r="N843" s="51">
        <v>2364000</v>
      </c>
      <c r="O843" s="50" t="s">
        <v>4209</v>
      </c>
      <c r="P843" s="65" t="s">
        <v>4210</v>
      </c>
      <c r="Q843" s="46" t="s">
        <v>1939</v>
      </c>
      <c r="R843" s="47" t="s">
        <v>4211</v>
      </c>
      <c r="U843" s="46" t="s">
        <v>491</v>
      </c>
    </row>
    <row r="844" spans="1:21" ht="90" x14ac:dyDescent="0.25">
      <c r="A844" s="45">
        <v>42650</v>
      </c>
      <c r="B844" s="46" t="s">
        <v>328</v>
      </c>
      <c r="C844" s="45" t="s">
        <v>603</v>
      </c>
      <c r="D844" s="46" t="s">
        <v>1401</v>
      </c>
      <c r="E844" s="46" t="s">
        <v>588</v>
      </c>
      <c r="F844" s="47" t="s">
        <v>4217</v>
      </c>
      <c r="H844" s="47" t="s">
        <v>1119</v>
      </c>
      <c r="I844" s="46" t="s">
        <v>4218</v>
      </c>
      <c r="J844" s="49" t="s">
        <v>899</v>
      </c>
      <c r="L844" s="49">
        <v>10</v>
      </c>
      <c r="M844" s="50">
        <v>2500000</v>
      </c>
      <c r="N844" s="51">
        <v>5000000</v>
      </c>
      <c r="O844" s="50" t="s">
        <v>560</v>
      </c>
      <c r="P844" s="65" t="s">
        <v>4219</v>
      </c>
      <c r="Q844" s="46" t="s">
        <v>29</v>
      </c>
      <c r="R844" s="47" t="s">
        <v>4220</v>
      </c>
      <c r="U844" s="46" t="s">
        <v>1327</v>
      </c>
    </row>
    <row r="845" spans="1:21" ht="30" x14ac:dyDescent="0.25">
      <c r="A845" s="45">
        <v>42653</v>
      </c>
      <c r="B845" s="46" t="s">
        <v>378</v>
      </c>
      <c r="C845" s="45" t="s">
        <v>623</v>
      </c>
      <c r="D845" s="46" t="s">
        <v>930</v>
      </c>
      <c r="E845" s="46" t="s">
        <v>588</v>
      </c>
      <c r="F845" s="47" t="s">
        <v>4221</v>
      </c>
      <c r="H845" s="47" t="s">
        <v>2206</v>
      </c>
      <c r="I845" s="46" t="s">
        <v>4222</v>
      </c>
      <c r="J845" s="49" t="s">
        <v>899</v>
      </c>
      <c r="L845" s="49">
        <v>3</v>
      </c>
      <c r="M845" s="50">
        <v>2799000</v>
      </c>
      <c r="N845" s="51">
        <v>3500000</v>
      </c>
      <c r="O845" s="50" t="s">
        <v>560</v>
      </c>
      <c r="P845" s="65" t="s">
        <v>4223</v>
      </c>
      <c r="Q845" s="46" t="s">
        <v>592</v>
      </c>
      <c r="R845" s="47" t="s">
        <v>4224</v>
      </c>
      <c r="U845" s="46" t="s">
        <v>1327</v>
      </c>
    </row>
    <row r="846" spans="1:21" ht="75" x14ac:dyDescent="0.25">
      <c r="A846" s="45">
        <v>42653</v>
      </c>
      <c r="B846" s="46" t="s">
        <v>378</v>
      </c>
      <c r="C846" s="45" t="s">
        <v>623</v>
      </c>
      <c r="D846" s="46" t="s">
        <v>930</v>
      </c>
      <c r="E846" s="46" t="s">
        <v>588</v>
      </c>
      <c r="F846" s="47" t="s">
        <v>4225</v>
      </c>
      <c r="H846" s="47" t="s">
        <v>1119</v>
      </c>
      <c r="I846" s="46" t="s">
        <v>2054</v>
      </c>
      <c r="J846" s="49" t="s">
        <v>899</v>
      </c>
      <c r="L846" s="49">
        <v>2</v>
      </c>
      <c r="M846" s="50">
        <v>3044210</v>
      </c>
      <c r="O846" s="50" t="s">
        <v>3717</v>
      </c>
      <c r="P846" s="65" t="s">
        <v>4226</v>
      </c>
      <c r="Q846" s="46" t="s">
        <v>592</v>
      </c>
      <c r="R846" s="47" t="s">
        <v>4227</v>
      </c>
      <c r="U846" s="46" t="s">
        <v>1327</v>
      </c>
    </row>
    <row r="847" spans="1:21" ht="60" x14ac:dyDescent="0.25">
      <c r="A847" s="45">
        <v>42653</v>
      </c>
      <c r="B847" s="46" t="s">
        <v>643</v>
      </c>
      <c r="C847" s="45" t="s">
        <v>4228</v>
      </c>
      <c r="D847" s="46" t="s">
        <v>625</v>
      </c>
      <c r="E847" s="46" t="s">
        <v>588</v>
      </c>
      <c r="F847" s="47" t="s">
        <v>4229</v>
      </c>
      <c r="H847" s="47" t="s">
        <v>1119</v>
      </c>
      <c r="I847" s="46" t="s">
        <v>4230</v>
      </c>
      <c r="J847" s="49" t="s">
        <v>644</v>
      </c>
      <c r="L847" s="49">
        <v>4</v>
      </c>
      <c r="M847" s="50">
        <v>84000</v>
      </c>
      <c r="O847" s="50" t="s">
        <v>4231</v>
      </c>
      <c r="P847" s="65" t="s">
        <v>4232</v>
      </c>
      <c r="Q847" s="46" t="s">
        <v>29</v>
      </c>
      <c r="R847" s="47" t="s">
        <v>4233</v>
      </c>
      <c r="U847" s="46" t="s">
        <v>1327</v>
      </c>
    </row>
    <row r="848" spans="1:21" ht="75" x14ac:dyDescent="0.25">
      <c r="A848" s="45">
        <v>42654</v>
      </c>
      <c r="B848" s="46" t="s">
        <v>328</v>
      </c>
      <c r="C848" s="45" t="s">
        <v>603</v>
      </c>
      <c r="D848" s="46" t="s">
        <v>2397</v>
      </c>
      <c r="E848" s="46" t="s">
        <v>588</v>
      </c>
      <c r="F848" s="47" t="s">
        <v>4236</v>
      </c>
      <c r="H848" s="47" t="s">
        <v>1050</v>
      </c>
      <c r="I848" s="46" t="s">
        <v>4237</v>
      </c>
      <c r="J848" s="49" t="s">
        <v>899</v>
      </c>
      <c r="L848" s="49">
        <v>2</v>
      </c>
      <c r="M848" s="50">
        <v>3100000</v>
      </c>
      <c r="N848" s="51">
        <v>3125000</v>
      </c>
      <c r="O848" s="50" t="s">
        <v>560</v>
      </c>
      <c r="P848" s="65" t="s">
        <v>4238</v>
      </c>
      <c r="Q848" s="46" t="s">
        <v>1612</v>
      </c>
      <c r="R848" s="47" t="s">
        <v>4254</v>
      </c>
      <c r="U848" s="46" t="s">
        <v>491</v>
      </c>
    </row>
    <row r="849" spans="1:22" ht="108.75" x14ac:dyDescent="0.25">
      <c r="A849" s="45">
        <v>42654</v>
      </c>
      <c r="B849" s="46" t="s">
        <v>378</v>
      </c>
      <c r="C849" s="45" t="s">
        <v>623</v>
      </c>
      <c r="D849" s="46" t="s">
        <v>624</v>
      </c>
      <c r="E849" s="46" t="s">
        <v>588</v>
      </c>
      <c r="F849" s="47" t="s">
        <v>4234</v>
      </c>
      <c r="H849" s="47" t="s">
        <v>607</v>
      </c>
      <c r="I849" s="46" t="s">
        <v>3649</v>
      </c>
      <c r="J849" s="49" t="s">
        <v>899</v>
      </c>
      <c r="L849" s="49">
        <v>4</v>
      </c>
      <c r="M849" s="50">
        <v>1249301</v>
      </c>
      <c r="N849" s="51">
        <v>2169301</v>
      </c>
      <c r="O849" s="50" t="s">
        <v>1171</v>
      </c>
      <c r="P849" s="65" t="s">
        <v>4235</v>
      </c>
      <c r="Q849" s="46" t="s">
        <v>620</v>
      </c>
      <c r="R849" s="86" t="s">
        <v>4582</v>
      </c>
      <c r="U849" s="46" t="s">
        <v>491</v>
      </c>
    </row>
    <row r="850" spans="1:22" ht="75" x14ac:dyDescent="0.25">
      <c r="A850" s="45">
        <v>42654</v>
      </c>
      <c r="B850" s="46" t="s">
        <v>110</v>
      </c>
      <c r="C850" s="45" t="s">
        <v>761</v>
      </c>
      <c r="D850" s="46" t="s">
        <v>715</v>
      </c>
      <c r="E850" s="46" t="s">
        <v>588</v>
      </c>
      <c r="F850" s="47" t="s">
        <v>4239</v>
      </c>
      <c r="H850" s="47" t="s">
        <v>607</v>
      </c>
      <c r="I850" s="46" t="s">
        <v>4240</v>
      </c>
      <c r="J850" s="49" t="s">
        <v>761</v>
      </c>
      <c r="M850" s="50">
        <v>281000</v>
      </c>
      <c r="N850" s="51">
        <v>450000</v>
      </c>
      <c r="O850" s="50" t="s">
        <v>4241</v>
      </c>
      <c r="P850" s="65" t="s">
        <v>4242</v>
      </c>
      <c r="Q850" s="46" t="s">
        <v>1612</v>
      </c>
      <c r="R850" s="47" t="s">
        <v>4248</v>
      </c>
      <c r="U850" s="46" t="s">
        <v>491</v>
      </c>
    </row>
    <row r="851" spans="1:22" ht="60" x14ac:dyDescent="0.25">
      <c r="A851" s="45">
        <v>42654</v>
      </c>
      <c r="B851" s="46" t="s">
        <v>643</v>
      </c>
      <c r="C851" s="45" t="s">
        <v>644</v>
      </c>
      <c r="D851" s="46" t="s">
        <v>645</v>
      </c>
      <c r="E851" s="46" t="s">
        <v>588</v>
      </c>
      <c r="F851" s="47" t="s">
        <v>4243</v>
      </c>
      <c r="H851" s="47" t="s">
        <v>2711</v>
      </c>
      <c r="I851" s="46" t="s">
        <v>4244</v>
      </c>
      <c r="J851" s="49" t="s">
        <v>644</v>
      </c>
      <c r="O851" s="50" t="s">
        <v>4245</v>
      </c>
      <c r="P851" s="65" t="s">
        <v>4246</v>
      </c>
      <c r="Q851" s="46" t="s">
        <v>1939</v>
      </c>
      <c r="R851" s="47" t="s">
        <v>4247</v>
      </c>
      <c r="U851" s="46" t="s">
        <v>491</v>
      </c>
    </row>
    <row r="852" spans="1:22" ht="45" x14ac:dyDescent="0.25">
      <c r="A852" s="45">
        <v>42654</v>
      </c>
      <c r="B852" s="46" t="s">
        <v>1486</v>
      </c>
      <c r="C852" s="45" t="s">
        <v>1363</v>
      </c>
      <c r="D852" s="46" t="s">
        <v>1495</v>
      </c>
      <c r="E852" s="46" t="s">
        <v>588</v>
      </c>
      <c r="F852" s="47" t="s">
        <v>4249</v>
      </c>
      <c r="H852" s="47" t="s">
        <v>886</v>
      </c>
      <c r="I852" s="46" t="s">
        <v>4250</v>
      </c>
      <c r="J852" s="49" t="s">
        <v>608</v>
      </c>
      <c r="M852" s="50">
        <v>150000</v>
      </c>
      <c r="N852" s="51">
        <v>175000</v>
      </c>
      <c r="O852" s="50" t="s">
        <v>4251</v>
      </c>
      <c r="P852" s="65" t="s">
        <v>4252</v>
      </c>
      <c r="Q852" s="46" t="s">
        <v>1939</v>
      </c>
      <c r="R852" s="47" t="s">
        <v>4253</v>
      </c>
      <c r="U852" s="46" t="s">
        <v>491</v>
      </c>
    </row>
    <row r="853" spans="1:22" ht="60" x14ac:dyDescent="0.25">
      <c r="A853" s="45">
        <v>42654</v>
      </c>
      <c r="B853" s="46" t="s">
        <v>378</v>
      </c>
      <c r="C853" s="45" t="s">
        <v>610</v>
      </c>
      <c r="D853" s="46" t="s">
        <v>732</v>
      </c>
      <c r="E853" s="46" t="s">
        <v>588</v>
      </c>
      <c r="F853" s="47" t="s">
        <v>4255</v>
      </c>
      <c r="H853" s="47" t="s">
        <v>905</v>
      </c>
      <c r="I853" s="46" t="s">
        <v>4256</v>
      </c>
      <c r="J853" s="49" t="s">
        <v>899</v>
      </c>
      <c r="L853" s="49">
        <v>2</v>
      </c>
      <c r="M853" s="50">
        <v>1630000</v>
      </c>
      <c r="N853" s="51">
        <v>2169000</v>
      </c>
      <c r="O853" s="50" t="s">
        <v>4257</v>
      </c>
      <c r="P853" s="65" t="s">
        <v>4258</v>
      </c>
      <c r="Q853" s="46" t="s">
        <v>1939</v>
      </c>
      <c r="R853" s="47" t="s">
        <v>4259</v>
      </c>
      <c r="U853" s="46" t="s">
        <v>491</v>
      </c>
      <c r="V853" s="46" t="s">
        <v>3985</v>
      </c>
    </row>
    <row r="854" spans="1:22" ht="45" x14ac:dyDescent="0.25">
      <c r="A854" s="45">
        <v>42654</v>
      </c>
      <c r="B854" s="46" t="s">
        <v>643</v>
      </c>
      <c r="C854" s="45" t="s">
        <v>644</v>
      </c>
      <c r="D854" s="46" t="s">
        <v>645</v>
      </c>
      <c r="E854" s="46" t="s">
        <v>588</v>
      </c>
      <c r="F854" s="47" t="s">
        <v>4260</v>
      </c>
      <c r="H854" s="47" t="s">
        <v>4261</v>
      </c>
      <c r="I854" s="46" t="s">
        <v>3814</v>
      </c>
      <c r="J854" s="49" t="s">
        <v>644</v>
      </c>
      <c r="L854" s="49">
        <v>3</v>
      </c>
      <c r="M854" s="50">
        <v>230500</v>
      </c>
      <c r="N854" s="51">
        <v>419850</v>
      </c>
      <c r="O854" s="50" t="s">
        <v>3116</v>
      </c>
      <c r="P854" s="65" t="s">
        <v>4262</v>
      </c>
      <c r="Q854" s="46" t="s">
        <v>592</v>
      </c>
      <c r="U854" s="46" t="s">
        <v>491</v>
      </c>
    </row>
    <row r="855" spans="1:22" ht="45" x14ac:dyDescent="0.25">
      <c r="A855" s="45">
        <v>42654</v>
      </c>
      <c r="B855" s="46" t="s">
        <v>320</v>
      </c>
      <c r="C855" s="45" t="s">
        <v>1228</v>
      </c>
      <c r="D855" s="46" t="s">
        <v>1229</v>
      </c>
      <c r="E855" s="46" t="s">
        <v>588</v>
      </c>
      <c r="F855" s="47" t="s">
        <v>4263</v>
      </c>
      <c r="H855" s="47" t="s">
        <v>607</v>
      </c>
      <c r="I855" s="46" t="s">
        <v>4264</v>
      </c>
      <c r="J855" s="49" t="s">
        <v>3856</v>
      </c>
      <c r="M855" s="50">
        <v>156000</v>
      </c>
      <c r="N855" s="51">
        <v>180000</v>
      </c>
      <c r="O855" s="50" t="s">
        <v>4265</v>
      </c>
      <c r="P855" s="65" t="s">
        <v>4266</v>
      </c>
      <c r="Q855" s="46" t="s">
        <v>29</v>
      </c>
      <c r="R855" s="47" t="s">
        <v>4267</v>
      </c>
      <c r="U855" s="46" t="s">
        <v>491</v>
      </c>
    </row>
    <row r="856" spans="1:22" ht="60" x14ac:dyDescent="0.25">
      <c r="A856" s="45">
        <v>42655</v>
      </c>
      <c r="B856" s="46" t="s">
        <v>328</v>
      </c>
      <c r="C856" s="45" t="s">
        <v>603</v>
      </c>
      <c r="D856" s="46" t="s">
        <v>1471</v>
      </c>
      <c r="E856" s="46" t="s">
        <v>588</v>
      </c>
      <c r="F856" s="47" t="s">
        <v>4294</v>
      </c>
      <c r="H856" s="47" t="s">
        <v>722</v>
      </c>
      <c r="I856" s="46" t="s">
        <v>4295</v>
      </c>
      <c r="J856" s="49" t="s">
        <v>644</v>
      </c>
      <c r="L856" s="49">
        <v>10</v>
      </c>
      <c r="M856" s="50">
        <v>120000</v>
      </c>
      <c r="N856" s="51">
        <v>228000</v>
      </c>
      <c r="O856" s="50" t="s">
        <v>4296</v>
      </c>
      <c r="P856" s="65" t="s">
        <v>4297</v>
      </c>
      <c r="Q856" s="46" t="s">
        <v>1939</v>
      </c>
      <c r="R856" s="47" t="s">
        <v>4298</v>
      </c>
      <c r="U856" s="46" t="s">
        <v>491</v>
      </c>
    </row>
    <row r="857" spans="1:22" ht="168.75" x14ac:dyDescent="0.25">
      <c r="A857" s="45">
        <v>42655</v>
      </c>
      <c r="B857" s="46" t="s">
        <v>328</v>
      </c>
      <c r="C857" s="45" t="s">
        <v>603</v>
      </c>
      <c r="D857" s="46" t="s">
        <v>2397</v>
      </c>
      <c r="E857" s="46" t="s">
        <v>588</v>
      </c>
      <c r="F857" s="47" t="s">
        <v>4278</v>
      </c>
      <c r="H857" s="47" t="s">
        <v>607</v>
      </c>
      <c r="I857" s="46" t="s">
        <v>4279</v>
      </c>
      <c r="J857" s="49" t="s">
        <v>899</v>
      </c>
      <c r="L857" s="49">
        <v>9</v>
      </c>
      <c r="M857" s="50">
        <v>400000</v>
      </c>
      <c r="N857" s="51">
        <v>640000</v>
      </c>
      <c r="O857" s="50" t="s">
        <v>3107</v>
      </c>
      <c r="P857" s="65" t="s">
        <v>4280</v>
      </c>
      <c r="Q857" s="46" t="s">
        <v>1939</v>
      </c>
      <c r="R857" s="86" t="s">
        <v>4281</v>
      </c>
      <c r="U857" s="46" t="s">
        <v>491</v>
      </c>
    </row>
    <row r="858" spans="1:22" ht="75" x14ac:dyDescent="0.25">
      <c r="A858" s="45">
        <v>42655</v>
      </c>
      <c r="B858" s="46" t="s">
        <v>328</v>
      </c>
      <c r="C858" s="45" t="s">
        <v>603</v>
      </c>
      <c r="D858" s="46" t="s">
        <v>2397</v>
      </c>
      <c r="E858" s="46" t="s">
        <v>588</v>
      </c>
      <c r="F858" s="47" t="s">
        <v>4282</v>
      </c>
      <c r="H858" s="47" t="s">
        <v>607</v>
      </c>
      <c r="I858" s="46" t="s">
        <v>3639</v>
      </c>
      <c r="J858" s="49" t="s">
        <v>3373</v>
      </c>
      <c r="L858" s="49">
        <v>4</v>
      </c>
      <c r="M858" s="50">
        <v>565300</v>
      </c>
      <c r="N858" s="51">
        <v>975000</v>
      </c>
      <c r="O858" s="50" t="s">
        <v>3107</v>
      </c>
      <c r="P858" s="65" t="s">
        <v>4283</v>
      </c>
      <c r="Q858" s="46" t="s">
        <v>1939</v>
      </c>
      <c r="R858" s="47" t="s">
        <v>4308</v>
      </c>
      <c r="U858" s="46" t="s">
        <v>491</v>
      </c>
    </row>
    <row r="859" spans="1:22" ht="200.25" customHeight="1" x14ac:dyDescent="0.25">
      <c r="A859" s="45">
        <v>42655</v>
      </c>
      <c r="B859" s="46" t="s">
        <v>328</v>
      </c>
      <c r="C859" s="45" t="s">
        <v>603</v>
      </c>
      <c r="D859" s="46" t="s">
        <v>2397</v>
      </c>
      <c r="E859" s="46" t="s">
        <v>588</v>
      </c>
      <c r="F859" s="47" t="s">
        <v>4284</v>
      </c>
      <c r="H859" s="47" t="s">
        <v>607</v>
      </c>
      <c r="I859" s="46" t="s">
        <v>4285</v>
      </c>
      <c r="J859" s="49" t="s">
        <v>3426</v>
      </c>
      <c r="L859" s="49">
        <v>3</v>
      </c>
      <c r="M859" s="50">
        <v>356000</v>
      </c>
      <c r="N859" s="51">
        <v>840000</v>
      </c>
      <c r="O859" s="50" t="s">
        <v>4286</v>
      </c>
      <c r="P859" s="65" t="s">
        <v>4287</v>
      </c>
      <c r="Q859" s="46" t="s">
        <v>592</v>
      </c>
      <c r="R859" s="47" t="s">
        <v>4288</v>
      </c>
      <c r="U859" s="46" t="s">
        <v>491</v>
      </c>
    </row>
    <row r="860" spans="1:22" ht="45" x14ac:dyDescent="0.25">
      <c r="A860" s="45">
        <v>42655</v>
      </c>
      <c r="B860" s="46" t="s">
        <v>328</v>
      </c>
      <c r="C860" s="45" t="s">
        <v>603</v>
      </c>
      <c r="D860" s="46" t="s">
        <v>1471</v>
      </c>
      <c r="E860" s="46" t="s">
        <v>588</v>
      </c>
      <c r="F860" s="47" t="s">
        <v>4268</v>
      </c>
      <c r="H860" s="47" t="s">
        <v>607</v>
      </c>
      <c r="I860" s="46" t="s">
        <v>3721</v>
      </c>
      <c r="J860" s="49" t="s">
        <v>899</v>
      </c>
      <c r="L860" s="49">
        <v>2</v>
      </c>
      <c r="M860" s="50">
        <v>1036000</v>
      </c>
      <c r="N860" s="51">
        <v>1864800</v>
      </c>
      <c r="O860" s="50" t="s">
        <v>695</v>
      </c>
      <c r="P860" s="65" t="s">
        <v>4269</v>
      </c>
      <c r="Q860" s="46" t="s">
        <v>592</v>
      </c>
      <c r="R860" s="47" t="s">
        <v>3386</v>
      </c>
      <c r="U860" s="46" t="s">
        <v>491</v>
      </c>
    </row>
    <row r="861" spans="1:22" ht="30" x14ac:dyDescent="0.25">
      <c r="A861" s="45">
        <v>42655</v>
      </c>
      <c r="B861" s="46" t="s">
        <v>328</v>
      </c>
      <c r="C861" s="45" t="s">
        <v>603</v>
      </c>
      <c r="D861" s="46" t="s">
        <v>1471</v>
      </c>
      <c r="E861" s="46" t="s">
        <v>588</v>
      </c>
      <c r="F861" s="47" t="s">
        <v>4299</v>
      </c>
      <c r="H861" s="47" t="s">
        <v>607</v>
      </c>
      <c r="I861" s="46" t="s">
        <v>4300</v>
      </c>
      <c r="J861" s="49" t="s">
        <v>3370</v>
      </c>
      <c r="L861" s="49">
        <v>2</v>
      </c>
      <c r="M861" s="50">
        <v>1991000</v>
      </c>
      <c r="N861" s="51">
        <v>3782500</v>
      </c>
      <c r="O861" s="50" t="s">
        <v>4104</v>
      </c>
      <c r="P861" s="65" t="s">
        <v>4301</v>
      </c>
      <c r="Q861" s="46" t="s">
        <v>592</v>
      </c>
      <c r="R861" s="47" t="s">
        <v>4302</v>
      </c>
      <c r="U861" s="46" t="s">
        <v>491</v>
      </c>
    </row>
    <row r="862" spans="1:22" ht="75" x14ac:dyDescent="0.25">
      <c r="A862" s="45">
        <v>42655</v>
      </c>
      <c r="B862" s="46" t="s">
        <v>643</v>
      </c>
      <c r="C862" s="45" t="s">
        <v>644</v>
      </c>
      <c r="D862" s="46" t="s">
        <v>645</v>
      </c>
      <c r="E862" s="46" t="s">
        <v>588</v>
      </c>
      <c r="F862" s="47" t="s">
        <v>4270</v>
      </c>
      <c r="H862" s="47" t="s">
        <v>607</v>
      </c>
      <c r="I862" s="46" t="s">
        <v>4271</v>
      </c>
      <c r="J862" s="49" t="s">
        <v>644</v>
      </c>
      <c r="L862" s="49">
        <v>9</v>
      </c>
      <c r="M862" s="50">
        <v>150000</v>
      </c>
      <c r="N862" s="51">
        <v>261060</v>
      </c>
      <c r="O862" s="50" t="s">
        <v>4272</v>
      </c>
      <c r="P862" s="65" t="s">
        <v>4273</v>
      </c>
      <c r="Q862" s="46" t="s">
        <v>29</v>
      </c>
      <c r="R862" s="47" t="s">
        <v>4274</v>
      </c>
      <c r="U862" s="46" t="s">
        <v>491</v>
      </c>
    </row>
    <row r="863" spans="1:22" ht="30" x14ac:dyDescent="0.25">
      <c r="A863" s="45">
        <v>42655</v>
      </c>
      <c r="B863" s="46" t="s">
        <v>378</v>
      </c>
      <c r="C863" s="45" t="s">
        <v>623</v>
      </c>
      <c r="D863" s="46" t="s">
        <v>732</v>
      </c>
      <c r="E863" s="46" t="s">
        <v>588</v>
      </c>
      <c r="F863" s="47" t="s">
        <v>4275</v>
      </c>
      <c r="H863" s="47" t="s">
        <v>607</v>
      </c>
      <c r="I863" s="46" t="s">
        <v>4276</v>
      </c>
      <c r="J863" s="49" t="s">
        <v>899</v>
      </c>
      <c r="L863" s="49">
        <v>2</v>
      </c>
      <c r="M863" s="50">
        <v>1661919</v>
      </c>
      <c r="N863" s="51">
        <v>3323838</v>
      </c>
      <c r="O863" s="50" t="s">
        <v>560</v>
      </c>
      <c r="P863" s="65" t="s">
        <v>4277</v>
      </c>
      <c r="Q863" s="46" t="s">
        <v>592</v>
      </c>
      <c r="U863" s="46" t="s">
        <v>491</v>
      </c>
    </row>
    <row r="864" spans="1:22" ht="60" x14ac:dyDescent="0.25">
      <c r="A864" s="45">
        <v>42655</v>
      </c>
      <c r="B864" s="46" t="s">
        <v>378</v>
      </c>
      <c r="C864" s="45" t="s">
        <v>623</v>
      </c>
      <c r="D864" s="46" t="s">
        <v>930</v>
      </c>
      <c r="E864" s="46" t="s">
        <v>588</v>
      </c>
      <c r="F864" s="47" t="s">
        <v>4290</v>
      </c>
      <c r="H864" s="47" t="s">
        <v>886</v>
      </c>
      <c r="O864" s="50" t="s">
        <v>4291</v>
      </c>
      <c r="P864" s="65" t="s">
        <v>4292</v>
      </c>
      <c r="Q864" s="46" t="s">
        <v>592</v>
      </c>
      <c r="R864" s="47" t="s">
        <v>4293</v>
      </c>
      <c r="U864" s="46" t="s">
        <v>491</v>
      </c>
    </row>
    <row r="865" spans="1:21" ht="45" x14ac:dyDescent="0.25">
      <c r="A865" s="45">
        <v>42656</v>
      </c>
      <c r="B865" s="46" t="s">
        <v>328</v>
      </c>
      <c r="C865" s="45" t="s">
        <v>603</v>
      </c>
      <c r="D865" s="46" t="s">
        <v>2397</v>
      </c>
      <c r="E865" s="46" t="s">
        <v>588</v>
      </c>
      <c r="F865" s="47" t="s">
        <v>4305</v>
      </c>
      <c r="H865" s="47" t="s">
        <v>809</v>
      </c>
      <c r="I865" s="46" t="s">
        <v>3918</v>
      </c>
      <c r="J865" s="49" t="s">
        <v>899</v>
      </c>
      <c r="L865" s="49">
        <v>2</v>
      </c>
      <c r="M865" s="50">
        <v>3000000</v>
      </c>
      <c r="N865" s="51">
        <v>3300000</v>
      </c>
      <c r="O865" s="50" t="s">
        <v>560</v>
      </c>
      <c r="P865" s="65" t="s">
        <v>4306</v>
      </c>
      <c r="Q865" s="46" t="s">
        <v>1939</v>
      </c>
      <c r="R865" s="47" t="s">
        <v>4307</v>
      </c>
      <c r="U865" s="46" t="s">
        <v>491</v>
      </c>
    </row>
    <row r="866" spans="1:21" ht="90" x14ac:dyDescent="0.25">
      <c r="A866" s="45">
        <v>42656</v>
      </c>
      <c r="B866" s="46" t="s">
        <v>1486</v>
      </c>
      <c r="C866" s="45" t="s">
        <v>1883</v>
      </c>
      <c r="D866" s="46" t="s">
        <v>732</v>
      </c>
      <c r="E866" s="46" t="s">
        <v>588</v>
      </c>
      <c r="F866" s="47" t="s">
        <v>4309</v>
      </c>
      <c r="H866" s="47" t="s">
        <v>607</v>
      </c>
      <c r="J866" s="49" t="s">
        <v>959</v>
      </c>
      <c r="M866" s="50">
        <v>877000</v>
      </c>
      <c r="N866" s="51">
        <v>1326000</v>
      </c>
      <c r="O866" s="50" t="s">
        <v>4310</v>
      </c>
      <c r="P866" s="65" t="s">
        <v>4311</v>
      </c>
      <c r="Q866" s="46" t="s">
        <v>1939</v>
      </c>
      <c r="R866" s="47" t="s">
        <v>4314</v>
      </c>
      <c r="U866" s="46" t="s">
        <v>491</v>
      </c>
    </row>
    <row r="867" spans="1:21" ht="75" x14ac:dyDescent="0.25">
      <c r="A867" s="45">
        <v>42656</v>
      </c>
      <c r="B867" s="46" t="s">
        <v>378</v>
      </c>
      <c r="C867" s="45" t="s">
        <v>623</v>
      </c>
      <c r="D867" s="46" t="s">
        <v>625</v>
      </c>
      <c r="E867" s="46" t="s">
        <v>588</v>
      </c>
      <c r="F867" s="47" t="s">
        <v>4312</v>
      </c>
      <c r="H867" s="47" t="s">
        <v>607</v>
      </c>
      <c r="I867" s="46" t="s">
        <v>2054</v>
      </c>
      <c r="J867" s="49" t="s">
        <v>899</v>
      </c>
      <c r="L867" s="49">
        <v>2</v>
      </c>
      <c r="M867" s="50">
        <v>342800</v>
      </c>
      <c r="N867" s="51">
        <v>790000</v>
      </c>
      <c r="O867" s="50" t="s">
        <v>695</v>
      </c>
      <c r="P867" s="65" t="s">
        <v>4313</v>
      </c>
      <c r="Q867" s="46" t="s">
        <v>29</v>
      </c>
      <c r="R867" s="47" t="s">
        <v>4694</v>
      </c>
      <c r="U867" s="46" t="s">
        <v>491</v>
      </c>
    </row>
    <row r="868" spans="1:21" ht="30" x14ac:dyDescent="0.25">
      <c r="A868" s="45">
        <v>42657</v>
      </c>
      <c r="B868" s="46" t="s">
        <v>328</v>
      </c>
      <c r="C868" s="45" t="s">
        <v>603</v>
      </c>
      <c r="D868" s="46" t="s">
        <v>1471</v>
      </c>
      <c r="E868" s="46" t="s">
        <v>588</v>
      </c>
      <c r="F868" s="47" t="s">
        <v>4318</v>
      </c>
      <c r="H868" s="47" t="s">
        <v>607</v>
      </c>
      <c r="I868" s="46" t="s">
        <v>3536</v>
      </c>
      <c r="J868" s="49" t="s">
        <v>899</v>
      </c>
      <c r="L868" s="49">
        <v>4</v>
      </c>
      <c r="M868" s="50">
        <v>2013000</v>
      </c>
      <c r="N868" s="51">
        <v>3649600</v>
      </c>
      <c r="O868" s="50" t="s">
        <v>560</v>
      </c>
      <c r="P868" s="65" t="s">
        <v>4381</v>
      </c>
      <c r="Q868" s="46" t="s">
        <v>1939</v>
      </c>
      <c r="R868" s="47" t="s">
        <v>4319</v>
      </c>
      <c r="U868" s="46" t="s">
        <v>491</v>
      </c>
    </row>
    <row r="869" spans="1:21" ht="75" x14ac:dyDescent="0.25">
      <c r="A869" s="45">
        <v>42657</v>
      </c>
      <c r="B869" s="46" t="s">
        <v>328</v>
      </c>
      <c r="C869" s="45" t="s">
        <v>603</v>
      </c>
      <c r="D869" s="46" t="s">
        <v>2397</v>
      </c>
      <c r="E869" s="46" t="s">
        <v>588</v>
      </c>
      <c r="F869" s="47" t="s">
        <v>1895</v>
      </c>
      <c r="H869" s="47" t="s">
        <v>607</v>
      </c>
      <c r="I869" s="46" t="s">
        <v>3492</v>
      </c>
      <c r="J869" s="49" t="s">
        <v>899</v>
      </c>
      <c r="M869" s="50">
        <v>1059406</v>
      </c>
      <c r="N869" s="51">
        <v>2023562</v>
      </c>
      <c r="O869" s="50" t="s">
        <v>4330</v>
      </c>
      <c r="P869" s="65" t="s">
        <v>4331</v>
      </c>
      <c r="Q869" s="46" t="s">
        <v>1939</v>
      </c>
      <c r="R869" s="47" t="s">
        <v>4332</v>
      </c>
      <c r="U869" s="46" t="s">
        <v>491</v>
      </c>
    </row>
    <row r="870" spans="1:21" ht="60" x14ac:dyDescent="0.25">
      <c r="A870" s="45">
        <v>42657</v>
      </c>
      <c r="B870" s="46" t="s">
        <v>378</v>
      </c>
      <c r="C870" s="45" t="s">
        <v>623</v>
      </c>
      <c r="D870" s="46" t="s">
        <v>930</v>
      </c>
      <c r="E870" s="46" t="s">
        <v>588</v>
      </c>
      <c r="F870" s="47" t="s">
        <v>4315</v>
      </c>
      <c r="H870" s="47" t="s">
        <v>886</v>
      </c>
      <c r="I870" s="46" t="s">
        <v>3462</v>
      </c>
      <c r="J870" s="49" t="s">
        <v>899</v>
      </c>
      <c r="M870" s="50">
        <v>4500000</v>
      </c>
      <c r="N870" s="51">
        <v>4800000</v>
      </c>
      <c r="O870" s="50" t="s">
        <v>560</v>
      </c>
      <c r="P870" s="65" t="s">
        <v>4316</v>
      </c>
      <c r="Q870" s="46" t="s">
        <v>1939</v>
      </c>
      <c r="R870" s="47" t="s">
        <v>4317</v>
      </c>
      <c r="U870" s="46" t="s">
        <v>491</v>
      </c>
    </row>
    <row r="871" spans="1:21" ht="45" x14ac:dyDescent="0.25">
      <c r="A871" s="45">
        <v>42657</v>
      </c>
      <c r="B871" s="46" t="s">
        <v>378</v>
      </c>
      <c r="C871" s="45" t="s">
        <v>623</v>
      </c>
      <c r="D871" s="46" t="s">
        <v>930</v>
      </c>
      <c r="E871" s="46" t="s">
        <v>588</v>
      </c>
      <c r="F871" s="47" t="s">
        <v>4320</v>
      </c>
      <c r="H871" s="47" t="s">
        <v>607</v>
      </c>
      <c r="I871" s="46" t="s">
        <v>4321</v>
      </c>
      <c r="J871" s="49" t="s">
        <v>899</v>
      </c>
      <c r="M871" s="50">
        <v>2900000</v>
      </c>
      <c r="N871" s="51">
        <v>3450000</v>
      </c>
      <c r="O871" s="50" t="s">
        <v>560</v>
      </c>
      <c r="P871" s="65" t="s">
        <v>4322</v>
      </c>
      <c r="Q871" s="46" t="s">
        <v>29</v>
      </c>
      <c r="R871" s="47" t="s">
        <v>4323</v>
      </c>
      <c r="U871" s="46" t="s">
        <v>491</v>
      </c>
    </row>
    <row r="872" spans="1:21" ht="150" x14ac:dyDescent="0.25">
      <c r="A872" s="45">
        <v>42657</v>
      </c>
      <c r="B872" s="46" t="s">
        <v>378</v>
      </c>
      <c r="C872" s="45" t="s">
        <v>623</v>
      </c>
      <c r="D872" s="46" t="s">
        <v>625</v>
      </c>
      <c r="E872" s="46" t="s">
        <v>588</v>
      </c>
      <c r="F872" s="47" t="s">
        <v>4324</v>
      </c>
      <c r="H872" s="47" t="s">
        <v>905</v>
      </c>
      <c r="I872" s="46" t="s">
        <v>4169</v>
      </c>
      <c r="J872" s="49" t="s">
        <v>899</v>
      </c>
      <c r="L872" s="49">
        <v>1</v>
      </c>
      <c r="M872" s="50">
        <v>4100000</v>
      </c>
      <c r="N872" s="51">
        <v>4710000</v>
      </c>
      <c r="O872" s="50" t="s">
        <v>560</v>
      </c>
      <c r="P872" s="65" t="s">
        <v>4325</v>
      </c>
      <c r="Q872" s="46" t="s">
        <v>29</v>
      </c>
      <c r="R872" s="47" t="s">
        <v>4573</v>
      </c>
      <c r="U872" s="46" t="s">
        <v>491</v>
      </c>
    </row>
    <row r="873" spans="1:21" ht="30" x14ac:dyDescent="0.25">
      <c r="A873" s="45">
        <v>42657</v>
      </c>
      <c r="B873" s="46" t="s">
        <v>378</v>
      </c>
      <c r="C873" s="45" t="s">
        <v>623</v>
      </c>
      <c r="D873" s="46" t="s">
        <v>625</v>
      </c>
      <c r="E873" s="46" t="s">
        <v>588</v>
      </c>
      <c r="F873" s="47" t="s">
        <v>4326</v>
      </c>
      <c r="H873" s="47" t="s">
        <v>607</v>
      </c>
      <c r="I873" s="46" t="s">
        <v>4327</v>
      </c>
      <c r="J873" s="49" t="s">
        <v>899</v>
      </c>
      <c r="L873" s="49">
        <v>3</v>
      </c>
      <c r="M873" s="50">
        <v>542000</v>
      </c>
      <c r="N873" s="51">
        <v>1062000</v>
      </c>
      <c r="O873" s="50" t="s">
        <v>35</v>
      </c>
      <c r="P873" s="65" t="s">
        <v>4328</v>
      </c>
      <c r="Q873" s="46" t="s">
        <v>29</v>
      </c>
      <c r="R873" s="47" t="s">
        <v>4329</v>
      </c>
      <c r="U873" s="46" t="s">
        <v>491</v>
      </c>
    </row>
    <row r="874" spans="1:21" ht="60" x14ac:dyDescent="0.25">
      <c r="A874" s="45">
        <v>42657</v>
      </c>
      <c r="B874" s="46" t="s">
        <v>643</v>
      </c>
      <c r="C874" s="45" t="s">
        <v>644</v>
      </c>
      <c r="D874" s="46" t="s">
        <v>3132</v>
      </c>
      <c r="E874" s="46" t="s">
        <v>588</v>
      </c>
      <c r="F874" s="47" t="s">
        <v>4334</v>
      </c>
      <c r="H874" s="47" t="s">
        <v>607</v>
      </c>
      <c r="I874" s="46" t="s">
        <v>4335</v>
      </c>
      <c r="J874" s="49" t="s">
        <v>644</v>
      </c>
      <c r="L874" s="49">
        <v>5</v>
      </c>
      <c r="M874" s="50">
        <v>575000</v>
      </c>
      <c r="N874" s="51">
        <v>732500</v>
      </c>
      <c r="O874" s="50" t="s">
        <v>2744</v>
      </c>
      <c r="P874" s="65" t="s">
        <v>4336</v>
      </c>
      <c r="Q874" s="46" t="s">
        <v>29</v>
      </c>
      <c r="R874" s="47" t="s">
        <v>4337</v>
      </c>
      <c r="U874" s="46" t="s">
        <v>491</v>
      </c>
    </row>
    <row r="875" spans="1:21" ht="60" x14ac:dyDescent="0.25">
      <c r="A875" s="45">
        <v>42660</v>
      </c>
      <c r="B875" s="46" t="s">
        <v>328</v>
      </c>
      <c r="C875" s="45" t="s">
        <v>603</v>
      </c>
      <c r="D875" s="46" t="s">
        <v>2397</v>
      </c>
      <c r="E875" s="46" t="s">
        <v>588</v>
      </c>
      <c r="F875" s="47" t="s">
        <v>4343</v>
      </c>
      <c r="H875" s="47" t="s">
        <v>722</v>
      </c>
      <c r="I875" s="46" t="s">
        <v>3600</v>
      </c>
      <c r="J875" s="49" t="s">
        <v>899</v>
      </c>
      <c r="L875" s="49">
        <v>9</v>
      </c>
      <c r="M875" s="50">
        <v>900000</v>
      </c>
      <c r="N875" s="51">
        <v>1620000</v>
      </c>
      <c r="O875" s="50" t="s">
        <v>560</v>
      </c>
      <c r="P875" s="65" t="s">
        <v>4344</v>
      </c>
      <c r="Q875" s="46" t="s">
        <v>1939</v>
      </c>
      <c r="R875" s="47" t="s">
        <v>4345</v>
      </c>
      <c r="U875" s="46" t="s">
        <v>491</v>
      </c>
    </row>
    <row r="876" spans="1:21" ht="150" x14ac:dyDescent="0.25">
      <c r="A876" s="45">
        <v>42660</v>
      </c>
      <c r="B876" s="46" t="s">
        <v>328</v>
      </c>
      <c r="C876" s="45" t="s">
        <v>603</v>
      </c>
      <c r="D876" s="46" t="s">
        <v>2397</v>
      </c>
      <c r="E876" s="46" t="s">
        <v>588</v>
      </c>
      <c r="F876" s="47" t="s">
        <v>4353</v>
      </c>
      <c r="H876" s="47" t="s">
        <v>905</v>
      </c>
      <c r="I876" s="46" t="s">
        <v>4354</v>
      </c>
      <c r="J876" s="49" t="s">
        <v>604</v>
      </c>
      <c r="L876" s="49">
        <v>6</v>
      </c>
      <c r="M876" s="50">
        <v>91000</v>
      </c>
      <c r="N876" s="51">
        <v>96000</v>
      </c>
      <c r="O876" s="50" t="s">
        <v>3107</v>
      </c>
      <c r="P876" s="65" t="s">
        <v>4355</v>
      </c>
      <c r="Q876" s="46" t="s">
        <v>620</v>
      </c>
      <c r="R876" s="47" t="s">
        <v>4356</v>
      </c>
      <c r="U876" s="46" t="s">
        <v>491</v>
      </c>
    </row>
    <row r="877" spans="1:21" ht="60" x14ac:dyDescent="0.25">
      <c r="A877" s="45">
        <v>42660</v>
      </c>
      <c r="B877" s="46" t="s">
        <v>328</v>
      </c>
      <c r="C877" s="45" t="s">
        <v>603</v>
      </c>
      <c r="D877" s="46" t="s">
        <v>2397</v>
      </c>
      <c r="E877" s="46" t="s">
        <v>588</v>
      </c>
      <c r="F877" s="47" t="s">
        <v>4346</v>
      </c>
      <c r="H877" s="47" t="s">
        <v>607</v>
      </c>
      <c r="I877" s="46" t="s">
        <v>927</v>
      </c>
      <c r="J877" s="49" t="s">
        <v>899</v>
      </c>
      <c r="L877" s="49">
        <v>4</v>
      </c>
      <c r="M877" s="50">
        <v>650000</v>
      </c>
      <c r="N877" s="51">
        <v>1027000</v>
      </c>
      <c r="O877" s="50" t="s">
        <v>695</v>
      </c>
      <c r="P877" s="65" t="s">
        <v>4347</v>
      </c>
      <c r="Q877" s="46" t="s">
        <v>1939</v>
      </c>
      <c r="R877" s="47" t="s">
        <v>4348</v>
      </c>
      <c r="U877" s="46" t="s">
        <v>491</v>
      </c>
    </row>
    <row r="878" spans="1:21" ht="75" x14ac:dyDescent="0.25">
      <c r="A878" s="45">
        <v>42660</v>
      </c>
      <c r="B878" s="46" t="s">
        <v>378</v>
      </c>
      <c r="C878" s="45" t="s">
        <v>623</v>
      </c>
      <c r="D878" s="46" t="s">
        <v>930</v>
      </c>
      <c r="E878" s="46" t="s">
        <v>821</v>
      </c>
      <c r="O878" s="50" t="s">
        <v>4338</v>
      </c>
      <c r="P878" s="65" t="s">
        <v>4339</v>
      </c>
      <c r="Q878" s="46" t="s">
        <v>1939</v>
      </c>
      <c r="R878" s="47" t="s">
        <v>4340</v>
      </c>
      <c r="U878" s="46" t="s">
        <v>491</v>
      </c>
    </row>
    <row r="879" spans="1:21" x14ac:dyDescent="0.25">
      <c r="A879" s="45">
        <v>42660</v>
      </c>
      <c r="B879" s="46" t="s">
        <v>378</v>
      </c>
      <c r="C879" s="45" t="s">
        <v>623</v>
      </c>
      <c r="D879" s="46" t="s">
        <v>930</v>
      </c>
      <c r="E879" s="46" t="s">
        <v>588</v>
      </c>
      <c r="F879" s="47" t="s">
        <v>4341</v>
      </c>
      <c r="H879" s="47" t="s">
        <v>1050</v>
      </c>
      <c r="I879" s="46" t="s">
        <v>4342</v>
      </c>
      <c r="J879" s="49" t="s">
        <v>899</v>
      </c>
      <c r="L879" s="49">
        <v>4</v>
      </c>
      <c r="M879" s="50">
        <v>3500000</v>
      </c>
      <c r="N879" s="51">
        <v>3850000</v>
      </c>
      <c r="Q879" s="46" t="s">
        <v>1939</v>
      </c>
      <c r="U879" s="46" t="s">
        <v>491</v>
      </c>
    </row>
    <row r="880" spans="1:21" ht="45" x14ac:dyDescent="0.25">
      <c r="A880" s="45">
        <v>42660</v>
      </c>
      <c r="B880" s="46" t="s">
        <v>378</v>
      </c>
      <c r="C880" s="45" t="s">
        <v>899</v>
      </c>
      <c r="D880" s="46" t="s">
        <v>624</v>
      </c>
      <c r="E880" s="46" t="s">
        <v>588</v>
      </c>
      <c r="F880" s="47" t="s">
        <v>4349</v>
      </c>
      <c r="H880" s="47" t="s">
        <v>607</v>
      </c>
      <c r="I880" s="46" t="s">
        <v>2054</v>
      </c>
      <c r="J880" s="49" t="s">
        <v>899</v>
      </c>
      <c r="L880" s="49">
        <v>2</v>
      </c>
      <c r="M880" s="50">
        <v>2168024</v>
      </c>
      <c r="O880" s="50" t="s">
        <v>4350</v>
      </c>
      <c r="P880" s="65" t="s">
        <v>4351</v>
      </c>
      <c r="Q880" s="46" t="s">
        <v>592</v>
      </c>
      <c r="R880" s="47" t="s">
        <v>4352</v>
      </c>
      <c r="U880" s="46" t="s">
        <v>1327</v>
      </c>
    </row>
    <row r="881" spans="1:21" ht="60" x14ac:dyDescent="0.25">
      <c r="A881" s="45">
        <v>42661</v>
      </c>
      <c r="B881" s="46" t="s">
        <v>328</v>
      </c>
      <c r="C881" s="45" t="s">
        <v>603</v>
      </c>
      <c r="D881" s="46" t="s">
        <v>2397</v>
      </c>
      <c r="E881" s="46" t="s">
        <v>588</v>
      </c>
      <c r="F881" s="47" t="s">
        <v>4357</v>
      </c>
      <c r="H881" s="47" t="s">
        <v>607</v>
      </c>
      <c r="I881" s="46" t="s">
        <v>3649</v>
      </c>
      <c r="J881" s="49" t="s">
        <v>899</v>
      </c>
      <c r="L881" s="49">
        <v>4</v>
      </c>
      <c r="M881" s="50">
        <v>2031000</v>
      </c>
      <c r="N881" s="51">
        <v>3649600</v>
      </c>
      <c r="O881" s="50" t="s">
        <v>560</v>
      </c>
      <c r="P881" s="65" t="s">
        <v>4358</v>
      </c>
      <c r="Q881" s="46" t="s">
        <v>1939</v>
      </c>
      <c r="R881" s="47" t="s">
        <v>4359</v>
      </c>
      <c r="U881" s="46" t="s">
        <v>491</v>
      </c>
    </row>
    <row r="882" spans="1:21" ht="75" x14ac:dyDescent="0.25">
      <c r="A882" s="45">
        <v>42661</v>
      </c>
      <c r="B882" s="46" t="s">
        <v>328</v>
      </c>
      <c r="C882" s="45" t="s">
        <v>603</v>
      </c>
      <c r="D882" s="46" t="s">
        <v>2397</v>
      </c>
      <c r="E882" s="46" t="s">
        <v>588</v>
      </c>
      <c r="F882" s="47" t="s">
        <v>4360</v>
      </c>
      <c r="H882" s="47" t="s">
        <v>722</v>
      </c>
      <c r="I882" s="46" t="s">
        <v>4361</v>
      </c>
      <c r="J882" s="49" t="s">
        <v>899</v>
      </c>
      <c r="L882" s="49">
        <v>1</v>
      </c>
      <c r="M882" s="50">
        <v>2550000</v>
      </c>
      <c r="N882" s="51">
        <v>4843000</v>
      </c>
      <c r="O882" s="50" t="s">
        <v>560</v>
      </c>
      <c r="P882" s="65" t="s">
        <v>4362</v>
      </c>
      <c r="Q882" s="46" t="s">
        <v>1939</v>
      </c>
      <c r="R882" s="47" t="s">
        <v>4363</v>
      </c>
      <c r="U882" s="46" t="s">
        <v>491</v>
      </c>
    </row>
    <row r="883" spans="1:21" ht="45" x14ac:dyDescent="0.25">
      <c r="A883" s="45">
        <v>42661</v>
      </c>
      <c r="B883" s="46" t="s">
        <v>328</v>
      </c>
      <c r="C883" s="45" t="s">
        <v>603</v>
      </c>
      <c r="D883" s="46" t="s">
        <v>1471</v>
      </c>
      <c r="E883" s="46" t="s">
        <v>588</v>
      </c>
      <c r="F883" s="47" t="s">
        <v>4376</v>
      </c>
      <c r="H883" s="47" t="s">
        <v>4380</v>
      </c>
      <c r="I883" s="46" t="s">
        <v>4377</v>
      </c>
      <c r="J883" s="49" t="s">
        <v>604</v>
      </c>
      <c r="L883" s="49">
        <v>9</v>
      </c>
      <c r="M883" s="50">
        <v>178000</v>
      </c>
      <c r="N883" s="51">
        <v>337600</v>
      </c>
      <c r="O883" s="50" t="s">
        <v>4378</v>
      </c>
      <c r="P883" s="65" t="s">
        <v>4379</v>
      </c>
      <c r="Q883" s="46" t="s">
        <v>1939</v>
      </c>
      <c r="R883" s="47" t="s">
        <v>4393</v>
      </c>
      <c r="U883" s="46" t="s">
        <v>491</v>
      </c>
    </row>
    <row r="884" spans="1:21" ht="75" x14ac:dyDescent="0.25">
      <c r="A884" s="45">
        <v>42661</v>
      </c>
      <c r="B884" s="46" t="s">
        <v>643</v>
      </c>
      <c r="C884" s="45" t="s">
        <v>644</v>
      </c>
      <c r="D884" s="46" t="s">
        <v>3132</v>
      </c>
      <c r="E884" s="46" t="s">
        <v>588</v>
      </c>
      <c r="F884" s="47" t="s">
        <v>4364</v>
      </c>
      <c r="H884" s="47" t="s">
        <v>722</v>
      </c>
      <c r="I884" s="46" t="s">
        <v>4365</v>
      </c>
      <c r="J884" s="49" t="s">
        <v>644</v>
      </c>
      <c r="L884" s="49">
        <v>10</v>
      </c>
      <c r="M884" s="50">
        <v>200000</v>
      </c>
      <c r="N884" s="51">
        <v>320000</v>
      </c>
      <c r="O884" s="50" t="s">
        <v>4366</v>
      </c>
      <c r="P884" s="65" t="s">
        <v>4367</v>
      </c>
      <c r="Q884" s="46" t="s">
        <v>1939</v>
      </c>
      <c r="R884" s="47" t="s">
        <v>4422</v>
      </c>
      <c r="U884" s="46" t="s">
        <v>491</v>
      </c>
    </row>
    <row r="885" spans="1:21" ht="75" x14ac:dyDescent="0.25">
      <c r="A885" s="45">
        <v>42661</v>
      </c>
      <c r="B885" s="46" t="s">
        <v>378</v>
      </c>
      <c r="C885" s="45" t="s">
        <v>623</v>
      </c>
      <c r="D885" s="46" t="s">
        <v>930</v>
      </c>
      <c r="E885" s="46" t="s">
        <v>588</v>
      </c>
      <c r="F885" s="47" t="s">
        <v>4368</v>
      </c>
      <c r="H885" s="47" t="s">
        <v>607</v>
      </c>
      <c r="I885" s="46" t="s">
        <v>3441</v>
      </c>
      <c r="J885" s="49" t="s">
        <v>899</v>
      </c>
      <c r="L885" s="49">
        <v>3</v>
      </c>
      <c r="M885" s="50">
        <v>2004000</v>
      </c>
      <c r="N885" s="51">
        <v>4008000</v>
      </c>
      <c r="O885" s="50" t="s">
        <v>560</v>
      </c>
      <c r="P885" s="65" t="s">
        <v>4370</v>
      </c>
      <c r="Q885" s="46" t="s">
        <v>592</v>
      </c>
      <c r="U885" s="46" t="s">
        <v>491</v>
      </c>
    </row>
    <row r="886" spans="1:21" ht="45" x14ac:dyDescent="0.25">
      <c r="A886" s="45">
        <v>42661</v>
      </c>
      <c r="B886" s="46" t="s">
        <v>378</v>
      </c>
      <c r="C886" s="45" t="s">
        <v>623</v>
      </c>
      <c r="D886" s="46" t="s">
        <v>930</v>
      </c>
      <c r="E886" s="46" t="s">
        <v>588</v>
      </c>
      <c r="F886" s="47" t="s">
        <v>4372</v>
      </c>
      <c r="H886" s="47" t="s">
        <v>4369</v>
      </c>
      <c r="I886" s="46" t="s">
        <v>4373</v>
      </c>
      <c r="J886" s="49" t="s">
        <v>899</v>
      </c>
      <c r="L886" s="49">
        <v>4</v>
      </c>
      <c r="M886" s="50">
        <v>2750000</v>
      </c>
      <c r="N886" s="51">
        <v>4280000</v>
      </c>
      <c r="O886" s="50" t="s">
        <v>560</v>
      </c>
      <c r="P886" s="65" t="s">
        <v>4374</v>
      </c>
      <c r="Q886" s="46" t="s">
        <v>1939</v>
      </c>
      <c r="R886" s="47" t="s">
        <v>4375</v>
      </c>
      <c r="U886" s="46" t="s">
        <v>491</v>
      </c>
    </row>
    <row r="887" spans="1:21" ht="45" x14ac:dyDescent="0.25">
      <c r="A887" s="45">
        <v>42662</v>
      </c>
      <c r="B887" s="46" t="s">
        <v>328</v>
      </c>
      <c r="C887" s="45" t="s">
        <v>603</v>
      </c>
      <c r="D887" s="46" t="s">
        <v>2397</v>
      </c>
      <c r="E887" s="46" t="s">
        <v>588</v>
      </c>
      <c r="F887" s="47" t="s">
        <v>4389</v>
      </c>
      <c r="H887" s="47" t="s">
        <v>607</v>
      </c>
      <c r="I887" s="46" t="s">
        <v>4390</v>
      </c>
      <c r="J887" s="49" t="s">
        <v>899</v>
      </c>
      <c r="L887" s="49">
        <v>9</v>
      </c>
      <c r="M887" s="50">
        <v>360000</v>
      </c>
      <c r="N887" s="51">
        <v>601000</v>
      </c>
      <c r="O887" s="50" t="s">
        <v>2680</v>
      </c>
      <c r="P887" s="65" t="s">
        <v>4391</v>
      </c>
      <c r="Q887" s="46" t="s">
        <v>620</v>
      </c>
      <c r="R887" s="47" t="s">
        <v>4392</v>
      </c>
      <c r="U887" s="46" t="s">
        <v>491</v>
      </c>
    </row>
    <row r="888" spans="1:21" ht="60" x14ac:dyDescent="0.25">
      <c r="A888" s="45">
        <v>42662</v>
      </c>
      <c r="B888" s="46" t="s">
        <v>378</v>
      </c>
      <c r="C888" s="45" t="s">
        <v>623</v>
      </c>
      <c r="D888" s="46" t="s">
        <v>930</v>
      </c>
      <c r="E888" s="46" t="s">
        <v>588</v>
      </c>
      <c r="F888" s="47" t="s">
        <v>4382</v>
      </c>
      <c r="H888" s="47" t="s">
        <v>607</v>
      </c>
      <c r="I888" s="46" t="s">
        <v>4383</v>
      </c>
      <c r="J888" s="49" t="s">
        <v>899</v>
      </c>
      <c r="L888" s="49">
        <v>4</v>
      </c>
      <c r="M888" s="50">
        <v>400000</v>
      </c>
      <c r="N888" s="51">
        <v>720000</v>
      </c>
      <c r="O888" s="50" t="s">
        <v>4384</v>
      </c>
      <c r="P888" s="65" t="s">
        <v>4385</v>
      </c>
      <c r="Q888" s="46" t="s">
        <v>592</v>
      </c>
      <c r="U888" s="46" t="s">
        <v>491</v>
      </c>
    </row>
    <row r="889" spans="1:21" ht="75" x14ac:dyDescent="0.25">
      <c r="A889" s="45">
        <v>42662</v>
      </c>
      <c r="B889" s="46" t="s">
        <v>378</v>
      </c>
      <c r="C889" s="45" t="s">
        <v>623</v>
      </c>
      <c r="D889" s="46" t="s">
        <v>625</v>
      </c>
      <c r="E889" s="46" t="s">
        <v>588</v>
      </c>
      <c r="F889" s="47" t="s">
        <v>4386</v>
      </c>
      <c r="H889" s="47" t="s">
        <v>607</v>
      </c>
      <c r="I889" s="46" t="s">
        <v>4387</v>
      </c>
      <c r="J889" s="49" t="s">
        <v>899</v>
      </c>
      <c r="L889" s="49">
        <v>2</v>
      </c>
      <c r="M889" s="50">
        <v>1250000</v>
      </c>
      <c r="N889" s="51">
        <v>2498000</v>
      </c>
      <c r="O889" s="50" t="s">
        <v>1171</v>
      </c>
      <c r="P889" s="65" t="s">
        <v>4388</v>
      </c>
      <c r="Q889" s="46" t="s">
        <v>1939</v>
      </c>
      <c r="R889" s="47" t="s">
        <v>4453</v>
      </c>
      <c r="U889" s="46" t="s">
        <v>491</v>
      </c>
    </row>
    <row r="890" spans="1:21" ht="45" x14ac:dyDescent="0.25">
      <c r="A890" s="45">
        <v>42662</v>
      </c>
      <c r="B890" s="46" t="s">
        <v>378</v>
      </c>
      <c r="C890" s="45" t="s">
        <v>899</v>
      </c>
      <c r="D890" s="46" t="s">
        <v>624</v>
      </c>
      <c r="E890" s="46" t="s">
        <v>588</v>
      </c>
      <c r="F890" s="47" t="s">
        <v>4394</v>
      </c>
      <c r="H890" s="47" t="s">
        <v>607</v>
      </c>
      <c r="I890" s="46" t="s">
        <v>4395</v>
      </c>
      <c r="J890" s="49" t="s">
        <v>899</v>
      </c>
      <c r="L890" s="49">
        <v>2</v>
      </c>
      <c r="M890" s="50">
        <v>258500</v>
      </c>
      <c r="N890" s="51">
        <v>478000</v>
      </c>
      <c r="O890" s="50" t="s">
        <v>35</v>
      </c>
      <c r="P890" s="65" t="s">
        <v>4396</v>
      </c>
      <c r="Q890" s="46" t="s">
        <v>592</v>
      </c>
      <c r="R890" s="47" t="s">
        <v>4397</v>
      </c>
      <c r="U890" s="46" t="s">
        <v>1327</v>
      </c>
    </row>
    <row r="891" spans="1:21" ht="60" x14ac:dyDescent="0.25">
      <c r="A891" s="45">
        <v>42662</v>
      </c>
      <c r="B891" s="46" t="s">
        <v>643</v>
      </c>
      <c r="C891" s="45" t="s">
        <v>644</v>
      </c>
      <c r="D891" s="46" t="s">
        <v>3132</v>
      </c>
      <c r="E891" s="46" t="s">
        <v>588</v>
      </c>
      <c r="F891" s="47" t="s">
        <v>4398</v>
      </c>
      <c r="H891" s="47" t="s">
        <v>1057</v>
      </c>
      <c r="I891" s="46" t="s">
        <v>4399</v>
      </c>
      <c r="J891" s="49" t="s">
        <v>644</v>
      </c>
      <c r="L891" s="49">
        <v>5</v>
      </c>
      <c r="M891" s="50">
        <v>516000</v>
      </c>
      <c r="N891" s="51">
        <v>873000</v>
      </c>
      <c r="O891" s="50" t="s">
        <v>1171</v>
      </c>
      <c r="P891" s="65" t="s">
        <v>4400</v>
      </c>
      <c r="Q891" s="46" t="s">
        <v>1939</v>
      </c>
      <c r="R891" s="47" t="s">
        <v>4401</v>
      </c>
      <c r="U891" s="46" t="s">
        <v>491</v>
      </c>
    </row>
    <row r="892" spans="1:21" ht="45" x14ac:dyDescent="0.25">
      <c r="A892" s="45">
        <v>42662</v>
      </c>
      <c r="B892" s="46" t="s">
        <v>1486</v>
      </c>
      <c r="C892" s="45" t="s">
        <v>1883</v>
      </c>
      <c r="D892" s="46" t="s">
        <v>732</v>
      </c>
      <c r="E892" s="46" t="s">
        <v>588</v>
      </c>
      <c r="F892" s="47" t="s">
        <v>4402</v>
      </c>
      <c r="H892" s="47" t="s">
        <v>886</v>
      </c>
      <c r="I892" s="46" t="s">
        <v>4403</v>
      </c>
      <c r="J892" s="49" t="s">
        <v>959</v>
      </c>
      <c r="M892" s="50">
        <v>750000</v>
      </c>
      <c r="N892" s="51">
        <v>800000</v>
      </c>
      <c r="O892" s="50" t="s">
        <v>4404</v>
      </c>
      <c r="P892" s="65" t="s">
        <v>4405</v>
      </c>
      <c r="Q892" s="46" t="s">
        <v>29</v>
      </c>
      <c r="R892" s="47" t="s">
        <v>4406</v>
      </c>
      <c r="U892" s="46" t="s">
        <v>491</v>
      </c>
    </row>
    <row r="893" spans="1:21" ht="120" x14ac:dyDescent="0.25">
      <c r="A893" s="45">
        <v>42662</v>
      </c>
      <c r="B893" s="46" t="s">
        <v>378</v>
      </c>
      <c r="C893" s="45" t="s">
        <v>623</v>
      </c>
      <c r="D893" s="46" t="s">
        <v>930</v>
      </c>
      <c r="E893" s="46" t="s">
        <v>821</v>
      </c>
      <c r="F893" s="47" t="s">
        <v>4411</v>
      </c>
      <c r="H893" s="47" t="s">
        <v>886</v>
      </c>
      <c r="I893" s="46" t="s">
        <v>4412</v>
      </c>
      <c r="J893" s="49" t="s">
        <v>899</v>
      </c>
      <c r="L893" s="49">
        <v>2</v>
      </c>
      <c r="M893" s="50">
        <v>841000</v>
      </c>
      <c r="N893" s="51">
        <v>925100</v>
      </c>
      <c r="O893" s="50" t="s">
        <v>1171</v>
      </c>
      <c r="P893" s="65" t="s">
        <v>4413</v>
      </c>
      <c r="Q893" s="46" t="s">
        <v>592</v>
      </c>
      <c r="R893" s="47" t="s">
        <v>4410</v>
      </c>
      <c r="U893" s="46" t="s">
        <v>491</v>
      </c>
    </row>
    <row r="894" spans="1:21" ht="105" x14ac:dyDescent="0.25">
      <c r="A894" s="45">
        <v>42662</v>
      </c>
      <c r="B894" s="46" t="s">
        <v>643</v>
      </c>
      <c r="C894" s="45" t="s">
        <v>644</v>
      </c>
      <c r="D894" s="46" t="s">
        <v>3132</v>
      </c>
      <c r="E894" s="46" t="s">
        <v>588</v>
      </c>
      <c r="F894" s="47" t="s">
        <v>4407</v>
      </c>
      <c r="H894" s="47" t="s">
        <v>1050</v>
      </c>
      <c r="I894" s="46" t="s">
        <v>3814</v>
      </c>
      <c r="J894" s="49" t="s">
        <v>644</v>
      </c>
      <c r="L894" s="49">
        <v>5</v>
      </c>
      <c r="M894" s="50">
        <v>600000</v>
      </c>
      <c r="O894" s="50" t="s">
        <v>4408</v>
      </c>
      <c r="P894" s="65" t="s">
        <v>4409</v>
      </c>
      <c r="Q894" s="46" t="s">
        <v>1939</v>
      </c>
      <c r="R894" s="47" t="s">
        <v>4499</v>
      </c>
      <c r="U894" s="46" t="s">
        <v>491</v>
      </c>
    </row>
    <row r="895" spans="1:21" ht="90" x14ac:dyDescent="0.25">
      <c r="A895" s="45">
        <v>42663</v>
      </c>
      <c r="B895" s="46" t="s">
        <v>328</v>
      </c>
      <c r="C895" s="45" t="s">
        <v>603</v>
      </c>
      <c r="D895" s="46" t="s">
        <v>1471</v>
      </c>
      <c r="E895" s="46" t="s">
        <v>588</v>
      </c>
      <c r="F895" s="47" t="s">
        <v>4426</v>
      </c>
      <c r="H895" s="47" t="s">
        <v>607</v>
      </c>
      <c r="I895" s="46" t="s">
        <v>4427</v>
      </c>
      <c r="J895" s="49" t="s">
        <v>3501</v>
      </c>
      <c r="L895" s="49">
        <v>9</v>
      </c>
      <c r="M895" s="50">
        <v>150000</v>
      </c>
      <c r="N895" s="51">
        <v>210000</v>
      </c>
      <c r="O895" s="50" t="s">
        <v>4047</v>
      </c>
      <c r="P895" s="65" t="s">
        <v>4428</v>
      </c>
      <c r="Q895" s="46" t="s">
        <v>1612</v>
      </c>
      <c r="R895" s="47" t="s">
        <v>4447</v>
      </c>
      <c r="U895" s="46" t="s">
        <v>491</v>
      </c>
    </row>
    <row r="896" spans="1:21" ht="75" x14ac:dyDescent="0.25">
      <c r="A896" s="45">
        <v>42663</v>
      </c>
      <c r="B896" s="46" t="s">
        <v>378</v>
      </c>
      <c r="C896" s="45" t="s">
        <v>623</v>
      </c>
      <c r="D896" s="46" t="s">
        <v>625</v>
      </c>
      <c r="E896" s="46" t="s">
        <v>588</v>
      </c>
      <c r="F896" s="47" t="s">
        <v>4414</v>
      </c>
      <c r="H896" s="47" t="s">
        <v>905</v>
      </c>
      <c r="I896" s="46" t="s">
        <v>4415</v>
      </c>
      <c r="J896" s="49" t="s">
        <v>899</v>
      </c>
      <c r="L896" s="49">
        <v>3</v>
      </c>
      <c r="M896" s="50">
        <v>170000</v>
      </c>
      <c r="N896" s="51">
        <v>306000</v>
      </c>
      <c r="O896" s="50" t="s">
        <v>4416</v>
      </c>
      <c r="P896" s="65" t="s">
        <v>4417</v>
      </c>
      <c r="Q896" s="46" t="s">
        <v>1939</v>
      </c>
      <c r="R896" s="47" t="s">
        <v>4418</v>
      </c>
      <c r="U896" s="46" t="s">
        <v>491</v>
      </c>
    </row>
    <row r="897" spans="1:22" ht="120" x14ac:dyDescent="0.25">
      <c r="A897" s="45">
        <v>42663</v>
      </c>
      <c r="B897" s="46" t="s">
        <v>378</v>
      </c>
      <c r="C897" s="45" t="s">
        <v>623</v>
      </c>
      <c r="D897" s="46" t="s">
        <v>930</v>
      </c>
      <c r="E897" s="46" t="s">
        <v>821</v>
      </c>
      <c r="O897" s="50" t="s">
        <v>4419</v>
      </c>
      <c r="P897" s="65" t="s">
        <v>4420</v>
      </c>
      <c r="Q897" s="46" t="s">
        <v>620</v>
      </c>
      <c r="R897" s="47" t="s">
        <v>4421</v>
      </c>
      <c r="U897" s="46" t="s">
        <v>491</v>
      </c>
    </row>
    <row r="898" spans="1:22" ht="45" x14ac:dyDescent="0.25">
      <c r="A898" s="45">
        <v>42663</v>
      </c>
      <c r="B898" s="46" t="s">
        <v>378</v>
      </c>
      <c r="C898" s="45" t="s">
        <v>623</v>
      </c>
      <c r="D898" s="46" t="s">
        <v>3505</v>
      </c>
      <c r="E898" s="46" t="s">
        <v>588</v>
      </c>
      <c r="O898" s="50" t="s">
        <v>4423</v>
      </c>
      <c r="P898" s="65" t="s">
        <v>4424</v>
      </c>
      <c r="Q898" s="46" t="s">
        <v>620</v>
      </c>
      <c r="R898" s="47" t="s">
        <v>4425</v>
      </c>
      <c r="U898" s="46" t="s">
        <v>491</v>
      </c>
    </row>
    <row r="899" spans="1:22" ht="75" x14ac:dyDescent="0.25">
      <c r="A899" s="45">
        <v>42663</v>
      </c>
      <c r="B899" s="46" t="s">
        <v>643</v>
      </c>
      <c r="C899" s="45" t="s">
        <v>644</v>
      </c>
      <c r="D899" s="46" t="s">
        <v>645</v>
      </c>
      <c r="E899" s="46" t="s">
        <v>588</v>
      </c>
      <c r="F899" s="47" t="s">
        <v>4429</v>
      </c>
      <c r="H899" s="47" t="s">
        <v>722</v>
      </c>
      <c r="I899" s="46" t="s">
        <v>4430</v>
      </c>
      <c r="J899" s="49" t="s">
        <v>644</v>
      </c>
      <c r="L899" s="49">
        <v>10</v>
      </c>
      <c r="M899" s="50">
        <v>800000</v>
      </c>
      <c r="N899" s="51">
        <v>938850</v>
      </c>
      <c r="O899" s="50" t="s">
        <v>4047</v>
      </c>
      <c r="P899" s="65" t="s">
        <v>4431</v>
      </c>
      <c r="Q899" s="46" t="s">
        <v>29</v>
      </c>
      <c r="R899" s="47" t="s">
        <v>4547</v>
      </c>
      <c r="U899" s="46" t="s">
        <v>491</v>
      </c>
      <c r="V899" s="46" t="s">
        <v>833</v>
      </c>
    </row>
    <row r="900" spans="1:22" ht="150" x14ac:dyDescent="0.25">
      <c r="A900" s="45">
        <v>42664</v>
      </c>
      <c r="B900" s="46" t="s">
        <v>378</v>
      </c>
      <c r="C900" s="45" t="s">
        <v>623</v>
      </c>
      <c r="D900" s="46" t="s">
        <v>624</v>
      </c>
      <c r="E900" s="46" t="s">
        <v>588</v>
      </c>
      <c r="F900" s="47" t="s">
        <v>4432</v>
      </c>
      <c r="H900" s="47" t="s">
        <v>1050</v>
      </c>
      <c r="I900" s="46" t="s">
        <v>3649</v>
      </c>
      <c r="J900" s="49" t="s">
        <v>899</v>
      </c>
      <c r="L900" s="49">
        <v>4</v>
      </c>
      <c r="M900" s="50">
        <v>2500000</v>
      </c>
      <c r="N900" s="51">
        <v>2750000</v>
      </c>
      <c r="O900" s="50" t="s">
        <v>4433</v>
      </c>
      <c r="P900" s="65" t="s">
        <v>4434</v>
      </c>
      <c r="Q900" s="46" t="s">
        <v>620</v>
      </c>
      <c r="R900" s="47" t="s">
        <v>4435</v>
      </c>
      <c r="U900" s="46" t="s">
        <v>491</v>
      </c>
    </row>
    <row r="901" spans="1:22" ht="135" x14ac:dyDescent="0.25">
      <c r="A901" s="45">
        <v>42664</v>
      </c>
      <c r="B901" s="46" t="s">
        <v>378</v>
      </c>
      <c r="C901" s="45" t="s">
        <v>623</v>
      </c>
      <c r="D901" s="46" t="s">
        <v>930</v>
      </c>
      <c r="E901" s="46" t="s">
        <v>588</v>
      </c>
      <c r="F901" s="47" t="s">
        <v>4436</v>
      </c>
      <c r="H901" s="47" t="s">
        <v>607</v>
      </c>
      <c r="O901" s="50" t="s">
        <v>3107</v>
      </c>
      <c r="P901" s="65" t="s">
        <v>4472</v>
      </c>
      <c r="Q901" s="46" t="s">
        <v>1612</v>
      </c>
      <c r="R901" s="47" t="s">
        <v>4473</v>
      </c>
      <c r="U901" s="46" t="s">
        <v>491</v>
      </c>
    </row>
    <row r="902" spans="1:22" ht="45" x14ac:dyDescent="0.25">
      <c r="A902" s="45">
        <v>42664</v>
      </c>
      <c r="B902" s="46" t="s">
        <v>378</v>
      </c>
      <c r="C902" s="45" t="s">
        <v>623</v>
      </c>
      <c r="D902" s="46" t="s">
        <v>625</v>
      </c>
      <c r="E902" s="46" t="s">
        <v>588</v>
      </c>
      <c r="F902" s="47" t="s">
        <v>4437</v>
      </c>
      <c r="H902" s="47" t="s">
        <v>607</v>
      </c>
      <c r="I902" s="46" t="s">
        <v>4438</v>
      </c>
      <c r="M902" s="50">
        <v>1700000</v>
      </c>
      <c r="N902" s="51">
        <v>3050000</v>
      </c>
      <c r="O902" s="50" t="s">
        <v>560</v>
      </c>
      <c r="P902" s="65" t="s">
        <v>4439</v>
      </c>
      <c r="Q902" s="46" t="s">
        <v>592</v>
      </c>
      <c r="U902" s="46" t="s">
        <v>491</v>
      </c>
    </row>
    <row r="903" spans="1:22" ht="45" x14ac:dyDescent="0.25">
      <c r="A903" s="45">
        <v>42664</v>
      </c>
      <c r="B903" s="46" t="s">
        <v>378</v>
      </c>
      <c r="C903" s="45" t="s">
        <v>623</v>
      </c>
      <c r="D903" s="46" t="s">
        <v>624</v>
      </c>
      <c r="E903" s="46" t="s">
        <v>588</v>
      </c>
      <c r="F903" s="47" t="s">
        <v>4440</v>
      </c>
      <c r="H903" s="47" t="s">
        <v>607</v>
      </c>
      <c r="I903" s="46" t="s">
        <v>3672</v>
      </c>
      <c r="J903" s="49" t="s">
        <v>899</v>
      </c>
      <c r="L903" s="49">
        <v>5</v>
      </c>
      <c r="M903" s="50">
        <v>525000</v>
      </c>
      <c r="N903" s="51">
        <v>945000</v>
      </c>
      <c r="O903" s="50" t="s">
        <v>3107</v>
      </c>
      <c r="P903" s="65" t="s">
        <v>4441</v>
      </c>
      <c r="Q903" s="46" t="s">
        <v>620</v>
      </c>
      <c r="R903" s="47" t="s">
        <v>4442</v>
      </c>
      <c r="U903" s="46" t="s">
        <v>491</v>
      </c>
    </row>
    <row r="904" spans="1:22" ht="60" x14ac:dyDescent="0.25">
      <c r="A904" s="45">
        <v>42667</v>
      </c>
      <c r="B904" s="46" t="s">
        <v>328</v>
      </c>
      <c r="C904" s="45" t="s">
        <v>603</v>
      </c>
      <c r="D904" s="46" t="s">
        <v>672</v>
      </c>
      <c r="E904" s="46" t="s">
        <v>588</v>
      </c>
      <c r="F904" s="47" t="s">
        <v>4456</v>
      </c>
      <c r="H904" s="47" t="s">
        <v>722</v>
      </c>
      <c r="I904" s="46" t="s">
        <v>4457</v>
      </c>
      <c r="J904" s="49" t="s">
        <v>4458</v>
      </c>
      <c r="L904" s="49">
        <v>10</v>
      </c>
      <c r="M904" s="50">
        <v>1500000</v>
      </c>
      <c r="N904" s="51">
        <v>2400000</v>
      </c>
      <c r="O904" s="50" t="s">
        <v>560</v>
      </c>
      <c r="P904" s="65" t="s">
        <v>4459</v>
      </c>
      <c r="Q904" s="46" t="s">
        <v>1939</v>
      </c>
      <c r="R904" s="47" t="s">
        <v>4460</v>
      </c>
      <c r="U904" s="46" t="s">
        <v>491</v>
      </c>
    </row>
    <row r="905" spans="1:22" ht="60" x14ac:dyDescent="0.25">
      <c r="A905" s="45">
        <v>42667</v>
      </c>
      <c r="B905" s="46" t="s">
        <v>328</v>
      </c>
      <c r="C905" s="45" t="s">
        <v>603</v>
      </c>
      <c r="D905" s="46" t="s">
        <v>587</v>
      </c>
      <c r="E905" s="46" t="s">
        <v>692</v>
      </c>
      <c r="H905" s="47" t="s">
        <v>905</v>
      </c>
      <c r="O905" s="50" t="s">
        <v>4454</v>
      </c>
      <c r="P905" s="65" t="s">
        <v>4455</v>
      </c>
      <c r="Q905" s="46" t="s">
        <v>592</v>
      </c>
      <c r="U905" s="46" t="s">
        <v>491</v>
      </c>
    </row>
    <row r="906" spans="1:22" ht="75" x14ac:dyDescent="0.25">
      <c r="A906" s="45">
        <v>42667</v>
      </c>
      <c r="B906" s="46" t="s">
        <v>643</v>
      </c>
      <c r="C906" s="45" t="s">
        <v>644</v>
      </c>
      <c r="D906" s="46" t="s">
        <v>645</v>
      </c>
      <c r="E906" s="46" t="s">
        <v>588</v>
      </c>
      <c r="F906" s="47" t="s">
        <v>4443</v>
      </c>
      <c r="H906" s="47" t="s">
        <v>4445</v>
      </c>
      <c r="I906" s="46" t="s">
        <v>4444</v>
      </c>
      <c r="J906" s="49" t="s">
        <v>644</v>
      </c>
      <c r="L906" s="49">
        <v>4</v>
      </c>
      <c r="M906" s="50">
        <v>2000000</v>
      </c>
      <c r="N906" s="51">
        <v>3800000</v>
      </c>
      <c r="O906" s="50" t="s">
        <v>560</v>
      </c>
      <c r="P906" s="65" t="s">
        <v>4446</v>
      </c>
      <c r="Q906" s="46" t="s">
        <v>592</v>
      </c>
      <c r="U906" s="46" t="s">
        <v>491</v>
      </c>
    </row>
    <row r="907" spans="1:22" ht="75" x14ac:dyDescent="0.25">
      <c r="A907" s="45">
        <v>42667</v>
      </c>
      <c r="B907" s="46" t="s">
        <v>643</v>
      </c>
      <c r="C907" s="45" t="s">
        <v>644</v>
      </c>
      <c r="D907" s="46" t="s">
        <v>645</v>
      </c>
      <c r="E907" s="46" t="s">
        <v>588</v>
      </c>
      <c r="F907" s="47" t="s">
        <v>4448</v>
      </c>
      <c r="H907" s="47" t="s">
        <v>809</v>
      </c>
      <c r="I907" s="46" t="s">
        <v>4449</v>
      </c>
      <c r="J907" s="49" t="s">
        <v>644</v>
      </c>
      <c r="L907" s="49">
        <v>9</v>
      </c>
      <c r="M907" s="50">
        <v>300000</v>
      </c>
      <c r="N907" s="51">
        <v>462300</v>
      </c>
      <c r="O907" s="50" t="s">
        <v>4450</v>
      </c>
      <c r="P907" s="65" t="s">
        <v>4451</v>
      </c>
      <c r="Q907" s="46" t="s">
        <v>1939</v>
      </c>
      <c r="R907" s="47" t="s">
        <v>4452</v>
      </c>
      <c r="U907" s="46" t="s">
        <v>491</v>
      </c>
    </row>
    <row r="908" spans="1:22" ht="180" x14ac:dyDescent="0.25">
      <c r="A908" s="45">
        <v>42667</v>
      </c>
      <c r="B908" s="46" t="s">
        <v>378</v>
      </c>
      <c r="C908" s="45" t="s">
        <v>623</v>
      </c>
      <c r="D908" s="46" t="s">
        <v>930</v>
      </c>
      <c r="E908" s="46" t="s">
        <v>588</v>
      </c>
      <c r="F908" s="47" t="s">
        <v>4461</v>
      </c>
      <c r="H908" s="47" t="s">
        <v>607</v>
      </c>
      <c r="O908" s="50" t="s">
        <v>35</v>
      </c>
      <c r="P908" s="65" t="s">
        <v>4462</v>
      </c>
      <c r="Q908" s="46" t="s">
        <v>1939</v>
      </c>
      <c r="R908" s="47" t="s">
        <v>4463</v>
      </c>
      <c r="U908" s="46" t="s">
        <v>491</v>
      </c>
    </row>
    <row r="909" spans="1:22" ht="60" x14ac:dyDescent="0.25">
      <c r="A909" s="45">
        <v>42667</v>
      </c>
      <c r="B909" s="46" t="s">
        <v>1486</v>
      </c>
      <c r="C909" s="45" t="s">
        <v>1883</v>
      </c>
      <c r="D909" s="46" t="s">
        <v>595</v>
      </c>
      <c r="E909" s="46" t="s">
        <v>821</v>
      </c>
      <c r="F909" s="47" t="s">
        <v>4464</v>
      </c>
      <c r="H909" s="47" t="s">
        <v>886</v>
      </c>
      <c r="I909" s="46" t="s">
        <v>4465</v>
      </c>
      <c r="J909" s="49" t="s">
        <v>959</v>
      </c>
      <c r="O909" s="50" t="s">
        <v>4466</v>
      </c>
      <c r="P909" s="65" t="s">
        <v>4467</v>
      </c>
      <c r="Q909" s="46" t="s">
        <v>1939</v>
      </c>
      <c r="R909" s="47" t="s">
        <v>4468</v>
      </c>
      <c r="U909" s="46" t="s">
        <v>491</v>
      </c>
    </row>
    <row r="910" spans="1:22" ht="60" x14ac:dyDescent="0.25">
      <c r="A910" s="45">
        <v>42668</v>
      </c>
      <c r="B910" s="46" t="s">
        <v>328</v>
      </c>
      <c r="C910" s="45" t="s">
        <v>603</v>
      </c>
      <c r="D910" s="46" t="s">
        <v>2397</v>
      </c>
      <c r="E910" s="46" t="s">
        <v>588</v>
      </c>
      <c r="F910" s="47" t="s">
        <v>4470</v>
      </c>
      <c r="H910" s="47" t="s">
        <v>607</v>
      </c>
      <c r="I910" s="46" t="s">
        <v>3462</v>
      </c>
      <c r="J910" s="49" t="s">
        <v>899</v>
      </c>
      <c r="L910" s="49">
        <v>4</v>
      </c>
      <c r="M910" s="50">
        <v>800000</v>
      </c>
      <c r="N910" s="51">
        <v>1440000</v>
      </c>
      <c r="O910" s="50" t="s">
        <v>695</v>
      </c>
      <c r="P910" s="65" t="s">
        <v>4471</v>
      </c>
      <c r="Q910" s="46" t="s">
        <v>592</v>
      </c>
      <c r="R910" s="47" t="s">
        <v>3386</v>
      </c>
      <c r="U910" s="46" t="s">
        <v>491</v>
      </c>
    </row>
    <row r="911" spans="1:22" ht="75" x14ac:dyDescent="0.25">
      <c r="A911" s="45">
        <v>42669</v>
      </c>
      <c r="B911" s="46" t="s">
        <v>328</v>
      </c>
      <c r="C911" s="45" t="s">
        <v>603</v>
      </c>
      <c r="D911" s="46" t="s">
        <v>2397</v>
      </c>
      <c r="E911" s="46" t="s">
        <v>588</v>
      </c>
      <c r="F911" s="47" t="s">
        <v>4477</v>
      </c>
      <c r="H911" s="47" t="s">
        <v>607</v>
      </c>
      <c r="I911" s="46" t="s">
        <v>4478</v>
      </c>
      <c r="J911" s="49" t="s">
        <v>899</v>
      </c>
      <c r="L911" s="49">
        <v>2</v>
      </c>
      <c r="M911" s="50">
        <v>2750000</v>
      </c>
      <c r="N911" s="51">
        <v>4675000</v>
      </c>
      <c r="O911" s="50" t="s">
        <v>560</v>
      </c>
      <c r="P911" s="65" t="s">
        <v>4479</v>
      </c>
      <c r="Q911" s="46" t="s">
        <v>592</v>
      </c>
      <c r="R911" s="47" t="s">
        <v>4480</v>
      </c>
      <c r="U911" s="46" t="s">
        <v>491</v>
      </c>
    </row>
    <row r="912" spans="1:22" ht="90" x14ac:dyDescent="0.25">
      <c r="A912" s="45">
        <v>42669</v>
      </c>
      <c r="B912" s="46" t="s">
        <v>378</v>
      </c>
      <c r="C912" s="45" t="s">
        <v>623</v>
      </c>
      <c r="D912" s="46" t="s">
        <v>625</v>
      </c>
      <c r="E912" s="46" t="s">
        <v>588</v>
      </c>
      <c r="F912" s="47" t="s">
        <v>4474</v>
      </c>
      <c r="H912" s="47" t="s">
        <v>886</v>
      </c>
      <c r="I912" s="46" t="s">
        <v>3388</v>
      </c>
      <c r="J912" s="49" t="s">
        <v>899</v>
      </c>
      <c r="L912" s="49">
        <v>1</v>
      </c>
      <c r="M912" s="50">
        <v>2500000</v>
      </c>
      <c r="N912" s="51">
        <v>2600000</v>
      </c>
      <c r="O912" s="50" t="s">
        <v>4475</v>
      </c>
      <c r="P912" s="65" t="s">
        <v>4476</v>
      </c>
      <c r="Q912" s="46" t="s">
        <v>592</v>
      </c>
      <c r="U912" s="46" t="s">
        <v>491</v>
      </c>
    </row>
    <row r="913" spans="1:21" ht="30" x14ac:dyDescent="0.25">
      <c r="A913" s="45">
        <v>42669</v>
      </c>
      <c r="B913" s="46" t="s">
        <v>1486</v>
      </c>
      <c r="C913" s="45" t="s">
        <v>1363</v>
      </c>
      <c r="D913" s="46" t="s">
        <v>1495</v>
      </c>
      <c r="E913" s="46" t="s">
        <v>588</v>
      </c>
      <c r="O913" s="50" t="s">
        <v>4481</v>
      </c>
      <c r="P913" s="65" t="s">
        <v>4482</v>
      </c>
      <c r="Q913" s="46" t="s">
        <v>29</v>
      </c>
      <c r="U913" s="46" t="s">
        <v>491</v>
      </c>
    </row>
    <row r="914" spans="1:21" ht="90" x14ac:dyDescent="0.25">
      <c r="A914" s="45">
        <v>42669</v>
      </c>
      <c r="B914" s="46" t="s">
        <v>643</v>
      </c>
      <c r="C914" s="45" t="s">
        <v>644</v>
      </c>
      <c r="D914" s="46" t="s">
        <v>645</v>
      </c>
      <c r="E914" s="46" t="s">
        <v>588</v>
      </c>
      <c r="F914" s="47" t="s">
        <v>4483</v>
      </c>
      <c r="H914" s="47" t="s">
        <v>905</v>
      </c>
      <c r="I914" s="46" t="s">
        <v>4484</v>
      </c>
      <c r="J914" s="49" t="s">
        <v>644</v>
      </c>
      <c r="L914" s="49">
        <v>10</v>
      </c>
      <c r="M914" s="50">
        <v>227000</v>
      </c>
      <c r="N914" s="51">
        <v>272400</v>
      </c>
      <c r="O914" s="50" t="s">
        <v>4485</v>
      </c>
      <c r="P914" s="65" t="s">
        <v>4486</v>
      </c>
      <c r="Q914" s="46" t="s">
        <v>1939</v>
      </c>
      <c r="R914" s="47" t="s">
        <v>4487</v>
      </c>
      <c r="U914" s="46" t="s">
        <v>491</v>
      </c>
    </row>
    <row r="915" spans="1:21" ht="75" x14ac:dyDescent="0.25">
      <c r="A915" s="45">
        <v>42669</v>
      </c>
      <c r="B915" s="46" t="s">
        <v>378</v>
      </c>
      <c r="C915" s="45" t="s">
        <v>623</v>
      </c>
      <c r="D915" s="46" t="s">
        <v>930</v>
      </c>
      <c r="E915" s="46" t="s">
        <v>588</v>
      </c>
      <c r="F915" s="47" t="s">
        <v>4488</v>
      </c>
      <c r="H915" s="47" t="s">
        <v>607</v>
      </c>
      <c r="I915" s="46" t="s">
        <v>2054</v>
      </c>
      <c r="J915" s="49" t="s">
        <v>899</v>
      </c>
      <c r="L915" s="49">
        <v>2</v>
      </c>
      <c r="M915" s="50">
        <v>750000</v>
      </c>
      <c r="N915" s="51">
        <v>1500000</v>
      </c>
      <c r="O915" s="50" t="s">
        <v>695</v>
      </c>
      <c r="P915" s="65" t="s">
        <v>4489</v>
      </c>
      <c r="Q915" s="46" t="s">
        <v>592</v>
      </c>
      <c r="U915" s="46" t="s">
        <v>491</v>
      </c>
    </row>
    <row r="916" spans="1:21" ht="75" x14ac:dyDescent="0.25">
      <c r="A916" s="45">
        <v>42669</v>
      </c>
      <c r="B916" s="46" t="s">
        <v>378</v>
      </c>
      <c r="C916" s="45" t="s">
        <v>623</v>
      </c>
      <c r="D916" s="46" t="s">
        <v>1783</v>
      </c>
      <c r="E916" s="46" t="s">
        <v>588</v>
      </c>
      <c r="F916" s="47" t="s">
        <v>4490</v>
      </c>
      <c r="H916" s="47" t="s">
        <v>607</v>
      </c>
      <c r="I916" s="46" t="s">
        <v>4491</v>
      </c>
      <c r="J916" s="49" t="s">
        <v>899</v>
      </c>
      <c r="M916" s="50">
        <v>1550000</v>
      </c>
      <c r="N916" s="51">
        <v>2800000</v>
      </c>
      <c r="O916" s="50" t="s">
        <v>4492</v>
      </c>
      <c r="P916" s="65" t="s">
        <v>4493</v>
      </c>
      <c r="Q916" s="46" t="s">
        <v>592</v>
      </c>
      <c r="R916" s="47" t="s">
        <v>4494</v>
      </c>
      <c r="U916" s="46" t="s">
        <v>491</v>
      </c>
    </row>
    <row r="917" spans="1:21" ht="127.5" customHeight="1" x14ac:dyDescent="0.25">
      <c r="A917" s="45">
        <v>42670</v>
      </c>
      <c r="B917" s="46" t="s">
        <v>328</v>
      </c>
      <c r="C917" s="45" t="s">
        <v>4526</v>
      </c>
      <c r="D917" s="46" t="s">
        <v>2397</v>
      </c>
      <c r="E917" s="46" t="s">
        <v>588</v>
      </c>
      <c r="F917" s="47" t="s">
        <v>4527</v>
      </c>
      <c r="H917" s="47" t="s">
        <v>710</v>
      </c>
      <c r="I917" s="46" t="s">
        <v>4528</v>
      </c>
      <c r="J917" s="49" t="s">
        <v>899</v>
      </c>
      <c r="L917" s="49">
        <v>9</v>
      </c>
      <c r="M917" s="91">
        <v>753505</v>
      </c>
      <c r="N917" s="91">
        <v>1507010</v>
      </c>
      <c r="O917" s="50" t="s">
        <v>4529</v>
      </c>
      <c r="P917" s="65" t="s">
        <v>4530</v>
      </c>
      <c r="Q917" s="46" t="s">
        <v>592</v>
      </c>
      <c r="R917" s="47" t="s">
        <v>4531</v>
      </c>
      <c r="U917" s="46" t="s">
        <v>1327</v>
      </c>
    </row>
    <row r="918" spans="1:21" ht="195" x14ac:dyDescent="0.25">
      <c r="A918" s="45">
        <v>42670</v>
      </c>
      <c r="B918" s="46" t="s">
        <v>643</v>
      </c>
      <c r="C918" s="45" t="s">
        <v>644</v>
      </c>
      <c r="D918" s="46" t="s">
        <v>645</v>
      </c>
      <c r="E918" s="46" t="s">
        <v>588</v>
      </c>
      <c r="F918" s="47" t="s">
        <v>4495</v>
      </c>
      <c r="H918" s="47" t="s">
        <v>722</v>
      </c>
      <c r="I918" s="46" t="s">
        <v>4496</v>
      </c>
      <c r="J918" s="49" t="s">
        <v>644</v>
      </c>
      <c r="L918" s="49">
        <v>10</v>
      </c>
      <c r="M918" s="50">
        <v>975000</v>
      </c>
      <c r="N918" s="51">
        <v>1547500</v>
      </c>
      <c r="O918" s="50" t="s">
        <v>4497</v>
      </c>
      <c r="P918" s="65" t="s">
        <v>4498</v>
      </c>
      <c r="Q918" s="46" t="s">
        <v>29</v>
      </c>
      <c r="R918" s="47" t="s">
        <v>4511</v>
      </c>
      <c r="U918" s="46" t="s">
        <v>491</v>
      </c>
    </row>
    <row r="919" spans="1:21" ht="60" x14ac:dyDescent="0.25">
      <c r="A919" s="45">
        <v>42670</v>
      </c>
      <c r="B919" s="46" t="s">
        <v>378</v>
      </c>
      <c r="C919" s="45" t="s">
        <v>623</v>
      </c>
      <c r="D919" s="46" t="s">
        <v>625</v>
      </c>
      <c r="E919" s="46" t="s">
        <v>821</v>
      </c>
      <c r="F919" s="47" t="s">
        <v>4500</v>
      </c>
      <c r="H919" s="47" t="s">
        <v>607</v>
      </c>
      <c r="I919" s="46" t="s">
        <v>2054</v>
      </c>
      <c r="J919" s="49" t="s">
        <v>899</v>
      </c>
      <c r="O919" s="50" t="s">
        <v>695</v>
      </c>
      <c r="P919" s="65" t="s">
        <v>4501</v>
      </c>
      <c r="Q919" s="46" t="s">
        <v>620</v>
      </c>
      <c r="R919" s="47" t="s">
        <v>4502</v>
      </c>
      <c r="U919" s="46" t="s">
        <v>491</v>
      </c>
    </row>
    <row r="920" spans="1:21" ht="45" x14ac:dyDescent="0.25">
      <c r="A920" s="45">
        <v>42670</v>
      </c>
      <c r="B920" s="46" t="s">
        <v>378</v>
      </c>
      <c r="C920" s="45" t="s">
        <v>623</v>
      </c>
      <c r="D920" s="46" t="s">
        <v>625</v>
      </c>
      <c r="E920" s="46" t="s">
        <v>821</v>
      </c>
      <c r="H920" s="47" t="s">
        <v>905</v>
      </c>
      <c r="O920" s="50" t="s">
        <v>4503</v>
      </c>
      <c r="P920" s="65" t="s">
        <v>4504</v>
      </c>
      <c r="Q920" s="46" t="s">
        <v>620</v>
      </c>
      <c r="R920" s="47" t="s">
        <v>4505</v>
      </c>
      <c r="U920" s="46" t="s">
        <v>491</v>
      </c>
    </row>
    <row r="921" spans="1:21" ht="45" x14ac:dyDescent="0.25">
      <c r="A921" s="45">
        <v>42670</v>
      </c>
      <c r="B921" s="46" t="s">
        <v>378</v>
      </c>
      <c r="C921" s="45" t="s">
        <v>623</v>
      </c>
      <c r="D921" s="46" t="s">
        <v>625</v>
      </c>
      <c r="E921" s="46" t="s">
        <v>1707</v>
      </c>
      <c r="F921" s="47" t="s">
        <v>4506</v>
      </c>
      <c r="H921" s="47" t="s">
        <v>607</v>
      </c>
      <c r="I921" s="46" t="s">
        <v>4507</v>
      </c>
      <c r="J921" s="49" t="s">
        <v>899</v>
      </c>
      <c r="O921" s="50" t="s">
        <v>4508</v>
      </c>
      <c r="P921" s="65" t="s">
        <v>4509</v>
      </c>
      <c r="Q921" s="46" t="s">
        <v>592</v>
      </c>
      <c r="R921" s="47" t="s">
        <v>4510</v>
      </c>
      <c r="U921" s="46" t="s">
        <v>491</v>
      </c>
    </row>
    <row r="922" spans="1:21" ht="90" x14ac:dyDescent="0.25">
      <c r="A922" s="45">
        <v>42670</v>
      </c>
      <c r="B922" s="46" t="s">
        <v>378</v>
      </c>
      <c r="C922" s="45" t="s">
        <v>623</v>
      </c>
      <c r="D922" s="46" t="s">
        <v>930</v>
      </c>
      <c r="E922" s="46" t="s">
        <v>821</v>
      </c>
      <c r="H922" s="47" t="s">
        <v>886</v>
      </c>
      <c r="O922" s="50" t="s">
        <v>4512</v>
      </c>
      <c r="P922" s="65" t="s">
        <v>4513</v>
      </c>
      <c r="Q922" s="46" t="s">
        <v>592</v>
      </c>
      <c r="U922" s="46" t="s">
        <v>491</v>
      </c>
    </row>
    <row r="923" spans="1:21" ht="60" x14ac:dyDescent="0.25">
      <c r="A923" s="45">
        <v>42670</v>
      </c>
      <c r="B923" s="46" t="s">
        <v>1486</v>
      </c>
      <c r="C923" s="45" t="s">
        <v>1883</v>
      </c>
      <c r="D923" s="46" t="s">
        <v>727</v>
      </c>
      <c r="E923" s="46" t="s">
        <v>588</v>
      </c>
      <c r="F923" s="47" t="s">
        <v>4514</v>
      </c>
      <c r="H923" s="47" t="s">
        <v>722</v>
      </c>
      <c r="I923" s="46" t="s">
        <v>4515</v>
      </c>
      <c r="J923" s="49" t="s">
        <v>3369</v>
      </c>
      <c r="L923" s="49">
        <v>6</v>
      </c>
      <c r="M923" s="50">
        <v>700000</v>
      </c>
      <c r="N923" s="51">
        <v>100000</v>
      </c>
      <c r="O923" s="50" t="s">
        <v>4516</v>
      </c>
      <c r="P923" s="65" t="s">
        <v>4517</v>
      </c>
      <c r="Q923" s="46" t="s">
        <v>592</v>
      </c>
      <c r="U923" s="46" t="s">
        <v>491</v>
      </c>
    </row>
    <row r="924" spans="1:21" ht="45" x14ac:dyDescent="0.25">
      <c r="A924" s="45">
        <v>42670</v>
      </c>
      <c r="B924" s="46" t="s">
        <v>378</v>
      </c>
      <c r="C924" s="45" t="s">
        <v>623</v>
      </c>
      <c r="D924" s="46" t="s">
        <v>930</v>
      </c>
      <c r="E924" s="46" t="s">
        <v>588</v>
      </c>
      <c r="F924" s="47" t="s">
        <v>4518</v>
      </c>
      <c r="H924" s="47" t="s">
        <v>607</v>
      </c>
      <c r="I924" s="46" t="s">
        <v>4519</v>
      </c>
      <c r="J924" s="49" t="s">
        <v>899</v>
      </c>
      <c r="L924" s="49">
        <v>4</v>
      </c>
      <c r="M924" s="50">
        <v>2345000</v>
      </c>
      <c r="N924" s="51">
        <v>3986500</v>
      </c>
      <c r="O924" s="50" t="s">
        <v>560</v>
      </c>
      <c r="P924" s="65" t="s">
        <v>4520</v>
      </c>
      <c r="Q924" s="46" t="s">
        <v>592</v>
      </c>
      <c r="R924" s="47" t="s">
        <v>4521</v>
      </c>
      <c r="U924" s="46" t="s">
        <v>491</v>
      </c>
    </row>
    <row r="925" spans="1:21" ht="60" x14ac:dyDescent="0.25">
      <c r="A925" s="45">
        <v>42670</v>
      </c>
      <c r="B925" s="46" t="s">
        <v>1486</v>
      </c>
      <c r="C925" s="45" t="s">
        <v>1883</v>
      </c>
      <c r="D925" s="46" t="s">
        <v>595</v>
      </c>
      <c r="E925" s="46" t="s">
        <v>821</v>
      </c>
      <c r="F925" s="47" t="s">
        <v>4522</v>
      </c>
      <c r="H925" s="47" t="s">
        <v>722</v>
      </c>
      <c r="I925" s="46" t="s">
        <v>4523</v>
      </c>
      <c r="J925" s="49" t="s">
        <v>603</v>
      </c>
      <c r="M925" s="74">
        <v>80000</v>
      </c>
      <c r="N925" s="81"/>
      <c r="P925" s="65" t="s">
        <v>4524</v>
      </c>
      <c r="Q925" s="46" t="s">
        <v>620</v>
      </c>
      <c r="R925" s="47" t="s">
        <v>4525</v>
      </c>
      <c r="U925" s="46" t="s">
        <v>491</v>
      </c>
    </row>
    <row r="926" spans="1:21" ht="105" x14ac:dyDescent="0.25">
      <c r="A926" s="45">
        <v>42671</v>
      </c>
      <c r="B926" s="46" t="s">
        <v>328</v>
      </c>
      <c r="C926" s="45" t="s">
        <v>603</v>
      </c>
      <c r="D926" s="46" t="s">
        <v>1471</v>
      </c>
      <c r="E926" s="46" t="s">
        <v>588</v>
      </c>
      <c r="F926" s="47" t="s">
        <v>3775</v>
      </c>
      <c r="H926" s="47" t="s">
        <v>905</v>
      </c>
      <c r="I926" s="46" t="s">
        <v>3776</v>
      </c>
      <c r="J926" s="49" t="s">
        <v>3373</v>
      </c>
      <c r="L926" s="49">
        <v>10</v>
      </c>
      <c r="M926" s="50">
        <v>2250000</v>
      </c>
      <c r="N926" s="51">
        <v>4837500</v>
      </c>
      <c r="O926" s="50" t="s">
        <v>1111</v>
      </c>
      <c r="P926" s="65" t="s">
        <v>4539</v>
      </c>
      <c r="Q926" s="46" t="s">
        <v>1939</v>
      </c>
      <c r="R926" s="47" t="s">
        <v>4538</v>
      </c>
      <c r="U926" s="46" t="s">
        <v>491</v>
      </c>
    </row>
    <row r="927" spans="1:21" ht="45" x14ac:dyDescent="0.25">
      <c r="A927" s="45">
        <v>42671</v>
      </c>
      <c r="B927" s="46" t="s">
        <v>328</v>
      </c>
      <c r="C927" s="45" t="s">
        <v>603</v>
      </c>
      <c r="D927" s="46" t="s">
        <v>587</v>
      </c>
      <c r="E927" s="46" t="s">
        <v>588</v>
      </c>
      <c r="F927" s="47" t="s">
        <v>4534</v>
      </c>
      <c r="H927" s="47" t="s">
        <v>809</v>
      </c>
      <c r="I927" s="46" t="s">
        <v>4535</v>
      </c>
      <c r="J927" s="49" t="s">
        <v>3371</v>
      </c>
      <c r="M927" s="50">
        <v>20000</v>
      </c>
      <c r="N927" s="51">
        <v>50000</v>
      </c>
      <c r="O927" s="50" t="s">
        <v>2503</v>
      </c>
      <c r="P927" s="65" t="s">
        <v>4536</v>
      </c>
      <c r="Q927" s="46" t="s">
        <v>1939</v>
      </c>
      <c r="R927" s="47" t="s">
        <v>4537</v>
      </c>
      <c r="U927" s="46" t="s">
        <v>491</v>
      </c>
    </row>
    <row r="928" spans="1:21" ht="75" x14ac:dyDescent="0.25">
      <c r="A928" s="45">
        <v>42671</v>
      </c>
      <c r="B928" s="46" t="s">
        <v>328</v>
      </c>
      <c r="C928" s="45" t="s">
        <v>603</v>
      </c>
      <c r="D928" s="46" t="s">
        <v>2397</v>
      </c>
      <c r="E928" s="46" t="s">
        <v>588</v>
      </c>
      <c r="F928" s="47" t="s">
        <v>4540</v>
      </c>
      <c r="H928" s="47" t="s">
        <v>886</v>
      </c>
      <c r="I928" s="46" t="s">
        <v>4532</v>
      </c>
      <c r="J928" s="49" t="s">
        <v>3373</v>
      </c>
      <c r="L928" s="49">
        <v>6</v>
      </c>
      <c r="M928" s="50">
        <v>150000</v>
      </c>
      <c r="N928" s="51">
        <v>285000</v>
      </c>
      <c r="O928" s="50" t="s">
        <v>4533</v>
      </c>
      <c r="P928" s="65" t="s">
        <v>4541</v>
      </c>
      <c r="Q928" s="46" t="s">
        <v>1939</v>
      </c>
      <c r="R928" s="47" t="s">
        <v>4561</v>
      </c>
      <c r="U928" s="46" t="s">
        <v>491</v>
      </c>
    </row>
    <row r="929" spans="1:21" ht="45" x14ac:dyDescent="0.25">
      <c r="A929" s="45">
        <v>42674</v>
      </c>
      <c r="B929" s="46" t="s">
        <v>328</v>
      </c>
      <c r="C929" s="45" t="s">
        <v>603</v>
      </c>
      <c r="D929" s="46" t="s">
        <v>2397</v>
      </c>
      <c r="E929" s="46" t="s">
        <v>588</v>
      </c>
      <c r="F929" s="47" t="s">
        <v>4590</v>
      </c>
      <c r="H929" s="47" t="s">
        <v>710</v>
      </c>
      <c r="I929" s="46" t="s">
        <v>4300</v>
      </c>
      <c r="J929" s="49" t="s">
        <v>3370</v>
      </c>
      <c r="L929" s="49">
        <v>2</v>
      </c>
      <c r="M929" s="50">
        <v>2000000</v>
      </c>
      <c r="N929" s="51">
        <v>3400000</v>
      </c>
      <c r="O929" s="50" t="s">
        <v>560</v>
      </c>
      <c r="P929" s="65" t="s">
        <v>4592</v>
      </c>
      <c r="Q929" s="46" t="s">
        <v>592</v>
      </c>
      <c r="R929" s="47" t="s">
        <v>4593</v>
      </c>
      <c r="U929" s="46" t="s">
        <v>1327</v>
      </c>
    </row>
    <row r="930" spans="1:21" ht="75" x14ac:dyDescent="0.25">
      <c r="A930" s="45">
        <v>42674</v>
      </c>
      <c r="B930" s="46" t="s">
        <v>328</v>
      </c>
      <c r="C930" s="45" t="s">
        <v>603</v>
      </c>
      <c r="D930" s="46" t="s">
        <v>2397</v>
      </c>
      <c r="E930" s="46" t="s">
        <v>588</v>
      </c>
      <c r="F930" s="47" t="s">
        <v>4552</v>
      </c>
      <c r="H930" s="47" t="s">
        <v>905</v>
      </c>
      <c r="I930" s="46" t="s">
        <v>4553</v>
      </c>
      <c r="J930" s="49" t="s">
        <v>899</v>
      </c>
      <c r="L930" s="49">
        <v>3</v>
      </c>
      <c r="M930" s="50">
        <v>2100000</v>
      </c>
      <c r="N930" s="51">
        <v>2350000</v>
      </c>
      <c r="O930" s="50" t="s">
        <v>560</v>
      </c>
      <c r="P930" s="65" t="s">
        <v>4554</v>
      </c>
      <c r="Q930" s="46" t="s">
        <v>1939</v>
      </c>
      <c r="R930" s="47" t="s">
        <v>4555</v>
      </c>
      <c r="U930" s="46" t="s">
        <v>491</v>
      </c>
    </row>
    <row r="931" spans="1:21" ht="45" x14ac:dyDescent="0.25">
      <c r="A931" s="45">
        <v>42674</v>
      </c>
      <c r="B931" s="46" t="s">
        <v>328</v>
      </c>
      <c r="C931" s="45" t="s">
        <v>603</v>
      </c>
      <c r="D931" s="46" t="s">
        <v>1471</v>
      </c>
      <c r="E931" s="46" t="s">
        <v>588</v>
      </c>
      <c r="F931" s="47" t="s">
        <v>4556</v>
      </c>
      <c r="H931" s="47" t="s">
        <v>905</v>
      </c>
      <c r="J931" s="49" t="s">
        <v>4557</v>
      </c>
      <c r="L931" s="49">
        <v>10</v>
      </c>
      <c r="M931" s="50">
        <v>453934</v>
      </c>
      <c r="N931" s="51">
        <v>590113</v>
      </c>
      <c r="O931" s="50" t="s">
        <v>4558</v>
      </c>
      <c r="P931" s="65" t="s">
        <v>4559</v>
      </c>
      <c r="Q931" s="46" t="s">
        <v>29</v>
      </c>
      <c r="R931" s="47" t="s">
        <v>4560</v>
      </c>
      <c r="U931" s="46" t="s">
        <v>491</v>
      </c>
    </row>
    <row r="932" spans="1:21" ht="60" x14ac:dyDescent="0.25">
      <c r="A932" s="45">
        <v>42674</v>
      </c>
      <c r="B932" s="46" t="s">
        <v>643</v>
      </c>
      <c r="C932" s="45" t="s">
        <v>644</v>
      </c>
      <c r="D932" s="46" t="s">
        <v>645</v>
      </c>
      <c r="E932" s="46" t="s">
        <v>588</v>
      </c>
      <c r="F932" s="47" t="s">
        <v>4542</v>
      </c>
      <c r="H932" s="47" t="s">
        <v>4543</v>
      </c>
      <c r="I932" s="46" t="s">
        <v>4544</v>
      </c>
      <c r="J932" s="49" t="s">
        <v>644</v>
      </c>
      <c r="L932" s="49">
        <v>4</v>
      </c>
      <c r="M932" s="50">
        <v>475000</v>
      </c>
      <c r="N932" s="51">
        <v>1019800</v>
      </c>
      <c r="O932" s="50" t="s">
        <v>1171</v>
      </c>
      <c r="P932" s="65" t="s">
        <v>4545</v>
      </c>
      <c r="Q932" s="46" t="s">
        <v>29</v>
      </c>
      <c r="R932" s="47" t="s">
        <v>4546</v>
      </c>
      <c r="U932" s="46" t="s">
        <v>491</v>
      </c>
    </row>
    <row r="933" spans="1:21" ht="60" x14ac:dyDescent="0.25">
      <c r="A933" s="45">
        <v>42674</v>
      </c>
      <c r="B933" s="46" t="s">
        <v>1486</v>
      </c>
      <c r="C933" s="45" t="s">
        <v>1883</v>
      </c>
      <c r="D933" s="46" t="s">
        <v>2454</v>
      </c>
      <c r="E933" s="46" t="s">
        <v>588</v>
      </c>
      <c r="F933" s="47" t="s">
        <v>4548</v>
      </c>
      <c r="H933" s="47" t="s">
        <v>607</v>
      </c>
      <c r="I933" s="46" t="s">
        <v>4549</v>
      </c>
      <c r="J933" s="49" t="s">
        <v>3369</v>
      </c>
      <c r="L933" s="49">
        <v>3</v>
      </c>
      <c r="M933" s="50">
        <v>672000</v>
      </c>
      <c r="N933" s="51">
        <v>832000</v>
      </c>
      <c r="O933" s="50" t="s">
        <v>4550</v>
      </c>
      <c r="P933" s="65" t="s">
        <v>4551</v>
      </c>
      <c r="Q933" s="46" t="s">
        <v>1939</v>
      </c>
      <c r="R933" s="47" t="s">
        <v>4578</v>
      </c>
      <c r="U933" s="46" t="s">
        <v>491</v>
      </c>
    </row>
    <row r="934" spans="1:21" ht="30" x14ac:dyDescent="0.25">
      <c r="A934" s="45">
        <v>42674</v>
      </c>
      <c r="B934" s="46" t="s">
        <v>378</v>
      </c>
      <c r="C934" s="45" t="s">
        <v>899</v>
      </c>
      <c r="D934" s="46" t="s">
        <v>624</v>
      </c>
      <c r="E934" s="46" t="s">
        <v>588</v>
      </c>
      <c r="F934" s="47" t="s">
        <v>4591</v>
      </c>
      <c r="H934" s="47" t="s">
        <v>607</v>
      </c>
      <c r="I934" s="46" t="s">
        <v>2054</v>
      </c>
      <c r="J934" s="49" t="s">
        <v>899</v>
      </c>
      <c r="L934" s="49">
        <v>2</v>
      </c>
      <c r="M934" s="50">
        <v>1891080</v>
      </c>
      <c r="N934" s="51">
        <v>3000000</v>
      </c>
      <c r="O934" s="50" t="s">
        <v>560</v>
      </c>
      <c r="P934" s="65" t="s">
        <v>4594</v>
      </c>
      <c r="Q934" s="46" t="s">
        <v>592</v>
      </c>
      <c r="R934" s="92" t="s">
        <v>4595</v>
      </c>
      <c r="U934" s="46" t="s">
        <v>1327</v>
      </c>
    </row>
    <row r="935" spans="1:21" ht="45" x14ac:dyDescent="0.25">
      <c r="A935" s="45">
        <v>42676</v>
      </c>
      <c r="B935" s="46" t="s">
        <v>378</v>
      </c>
      <c r="C935" s="45" t="s">
        <v>623</v>
      </c>
      <c r="D935" s="46" t="s">
        <v>625</v>
      </c>
      <c r="E935" s="46" t="s">
        <v>588</v>
      </c>
      <c r="F935" s="47" t="s">
        <v>4562</v>
      </c>
      <c r="H935" s="47" t="s">
        <v>607</v>
      </c>
      <c r="I935" s="46" t="s">
        <v>4563</v>
      </c>
      <c r="J935" s="49" t="s">
        <v>899</v>
      </c>
      <c r="L935" s="49">
        <v>4</v>
      </c>
      <c r="M935" s="50">
        <v>2000000</v>
      </c>
      <c r="N935" s="51">
        <v>3600000</v>
      </c>
      <c r="P935" s="65" t="s">
        <v>4564</v>
      </c>
      <c r="Q935" s="46" t="s">
        <v>1939</v>
      </c>
      <c r="R935" s="47" t="s">
        <v>4565</v>
      </c>
      <c r="U935" s="46" t="s">
        <v>491</v>
      </c>
    </row>
    <row r="936" spans="1:21" ht="207" customHeight="1" x14ac:dyDescent="0.25">
      <c r="A936" s="45">
        <v>42676</v>
      </c>
      <c r="B936" s="46" t="s">
        <v>378</v>
      </c>
      <c r="C936" s="45" t="s">
        <v>610</v>
      </c>
      <c r="D936" s="46" t="s">
        <v>732</v>
      </c>
      <c r="E936" s="46" t="s">
        <v>588</v>
      </c>
      <c r="F936" s="47" t="s">
        <v>4566</v>
      </c>
      <c r="H936" s="47" t="s">
        <v>722</v>
      </c>
      <c r="I936" s="46" t="s">
        <v>610</v>
      </c>
      <c r="J936" s="49" t="s">
        <v>899</v>
      </c>
      <c r="L936" s="49">
        <v>3</v>
      </c>
      <c r="M936" s="50">
        <v>2255000</v>
      </c>
      <c r="N936" s="51">
        <v>3095000</v>
      </c>
      <c r="O936" s="50" t="s">
        <v>4567</v>
      </c>
      <c r="P936" s="65" t="s">
        <v>4568</v>
      </c>
      <c r="Q936" s="46" t="s">
        <v>620</v>
      </c>
      <c r="R936" s="89" t="s">
        <v>4569</v>
      </c>
      <c r="U936" s="46" t="s">
        <v>491</v>
      </c>
    </row>
    <row r="937" spans="1:21" ht="45" x14ac:dyDescent="0.25">
      <c r="A937" s="45">
        <v>42676</v>
      </c>
      <c r="B937" s="46" t="s">
        <v>378</v>
      </c>
      <c r="C937" s="45" t="s">
        <v>623</v>
      </c>
      <c r="D937" s="46" t="s">
        <v>625</v>
      </c>
      <c r="E937" s="46" t="s">
        <v>588</v>
      </c>
      <c r="F937" s="47" t="s">
        <v>4570</v>
      </c>
      <c r="H937" s="47" t="s">
        <v>722</v>
      </c>
      <c r="I937" s="46" t="s">
        <v>4571</v>
      </c>
      <c r="J937" s="49" t="s">
        <v>899</v>
      </c>
      <c r="L937" s="49">
        <v>1</v>
      </c>
      <c r="M937" s="50">
        <v>3365000</v>
      </c>
      <c r="N937" s="51">
        <v>4975000</v>
      </c>
      <c r="O937" s="50" t="s">
        <v>560</v>
      </c>
      <c r="P937" s="65" t="s">
        <v>4572</v>
      </c>
      <c r="Q937" s="46" t="s">
        <v>592</v>
      </c>
      <c r="U937" s="46" t="s">
        <v>491</v>
      </c>
    </row>
    <row r="938" spans="1:21" ht="45" x14ac:dyDescent="0.25">
      <c r="A938" s="45">
        <v>42676</v>
      </c>
      <c r="B938" s="46" t="s">
        <v>378</v>
      </c>
      <c r="C938" s="45" t="s">
        <v>623</v>
      </c>
      <c r="D938" s="46" t="s">
        <v>930</v>
      </c>
      <c r="E938" s="46" t="s">
        <v>1707</v>
      </c>
      <c r="F938" s="47" t="s">
        <v>4574</v>
      </c>
      <c r="H938" s="47" t="s">
        <v>607</v>
      </c>
      <c r="I938" s="46" t="s">
        <v>2054</v>
      </c>
      <c r="J938" s="49" t="s">
        <v>899</v>
      </c>
      <c r="M938" s="50">
        <v>350000</v>
      </c>
      <c r="N938" s="51">
        <v>630000</v>
      </c>
      <c r="O938" s="50" t="s">
        <v>4575</v>
      </c>
      <c r="P938" s="65" t="s">
        <v>4576</v>
      </c>
      <c r="Q938" s="46" t="s">
        <v>1939</v>
      </c>
      <c r="R938" s="47" t="s">
        <v>4577</v>
      </c>
      <c r="U938" s="46" t="s">
        <v>491</v>
      </c>
    </row>
    <row r="939" spans="1:21" ht="75" x14ac:dyDescent="0.25">
      <c r="A939" s="45">
        <v>42676</v>
      </c>
      <c r="B939" s="46" t="s">
        <v>378</v>
      </c>
      <c r="C939" s="45" t="s">
        <v>623</v>
      </c>
      <c r="D939" s="46" t="s">
        <v>624</v>
      </c>
      <c r="E939" s="46" t="s">
        <v>588</v>
      </c>
      <c r="F939" s="47" t="s">
        <v>4579</v>
      </c>
      <c r="H939" s="47" t="s">
        <v>1050</v>
      </c>
      <c r="O939" s="50" t="s">
        <v>4580</v>
      </c>
      <c r="P939" s="65" t="s">
        <v>4581</v>
      </c>
      <c r="Q939" s="46" t="s">
        <v>592</v>
      </c>
      <c r="U939" s="46" t="s">
        <v>491</v>
      </c>
    </row>
    <row r="940" spans="1:21" ht="246" customHeight="1" x14ac:dyDescent="0.25">
      <c r="A940" s="45">
        <v>42676</v>
      </c>
      <c r="B940" s="46" t="s">
        <v>1486</v>
      </c>
      <c r="C940" s="45" t="s">
        <v>1883</v>
      </c>
      <c r="D940" s="46" t="s">
        <v>727</v>
      </c>
      <c r="E940" s="46" t="s">
        <v>588</v>
      </c>
      <c r="F940" s="47" t="s">
        <v>4583</v>
      </c>
      <c r="H940" s="47" t="s">
        <v>886</v>
      </c>
      <c r="I940" s="46" t="s">
        <v>4584</v>
      </c>
      <c r="J940" s="49" t="s">
        <v>3369</v>
      </c>
      <c r="M940" s="50">
        <v>1711000</v>
      </c>
      <c r="N940" s="51">
        <v>3433200</v>
      </c>
      <c r="O940" s="50" t="s">
        <v>1171</v>
      </c>
      <c r="P940" s="65" t="s">
        <v>4586</v>
      </c>
      <c r="Q940" s="46" t="s">
        <v>620</v>
      </c>
      <c r="R940" s="89" t="s">
        <v>4585</v>
      </c>
      <c r="U940" s="46" t="s">
        <v>491</v>
      </c>
    </row>
    <row r="941" spans="1:21" ht="81" customHeight="1" x14ac:dyDescent="0.25">
      <c r="A941" s="45">
        <v>42677</v>
      </c>
      <c r="B941" s="46" t="s">
        <v>378</v>
      </c>
      <c r="C941" s="45" t="s">
        <v>610</v>
      </c>
      <c r="D941" s="46" t="s">
        <v>732</v>
      </c>
      <c r="E941" s="46" t="s">
        <v>588</v>
      </c>
      <c r="F941" s="47" t="s">
        <v>4587</v>
      </c>
      <c r="H941" s="47" t="s">
        <v>607</v>
      </c>
      <c r="I941" s="46" t="s">
        <v>3710</v>
      </c>
      <c r="J941" s="49" t="s">
        <v>899</v>
      </c>
      <c r="L941" s="49">
        <v>4</v>
      </c>
      <c r="M941" s="50">
        <v>240000</v>
      </c>
      <c r="N941" s="51">
        <v>408000</v>
      </c>
      <c r="O941" s="50" t="s">
        <v>4588</v>
      </c>
      <c r="P941" s="65" t="s">
        <v>4589</v>
      </c>
      <c r="Q941" s="46" t="s">
        <v>1939</v>
      </c>
      <c r="R941" s="89" t="s">
        <v>4631</v>
      </c>
      <c r="U941" s="46" t="s">
        <v>491</v>
      </c>
    </row>
    <row r="942" spans="1:21" ht="81" customHeight="1" x14ac:dyDescent="0.25">
      <c r="A942" s="45">
        <v>42677</v>
      </c>
      <c r="B942" s="46" t="s">
        <v>378</v>
      </c>
      <c r="C942" s="45" t="s">
        <v>623</v>
      </c>
      <c r="D942" s="46" t="s">
        <v>930</v>
      </c>
      <c r="E942" s="46" t="s">
        <v>821</v>
      </c>
      <c r="F942" s="47" t="s">
        <v>4615</v>
      </c>
      <c r="H942" s="47" t="s">
        <v>607</v>
      </c>
      <c r="O942" s="50" t="s">
        <v>4616</v>
      </c>
      <c r="P942" s="65" t="s">
        <v>4617</v>
      </c>
      <c r="Q942" s="46" t="s">
        <v>592</v>
      </c>
      <c r="R942" s="89"/>
      <c r="U942" s="46" t="s">
        <v>491</v>
      </c>
    </row>
    <row r="943" spans="1:21" ht="105" x14ac:dyDescent="0.25">
      <c r="A943" s="45">
        <v>42678</v>
      </c>
      <c r="B943" s="46" t="s">
        <v>328</v>
      </c>
      <c r="C943" s="45" t="s">
        <v>603</v>
      </c>
      <c r="D943" s="46" t="s">
        <v>2282</v>
      </c>
      <c r="E943" s="46" t="s">
        <v>588</v>
      </c>
      <c r="F943" s="47" t="s">
        <v>4604</v>
      </c>
      <c r="H943" s="47" t="s">
        <v>1391</v>
      </c>
      <c r="I943" s="46" t="s">
        <v>4605</v>
      </c>
      <c r="J943" s="49" t="s">
        <v>3533</v>
      </c>
      <c r="L943" s="49">
        <v>5</v>
      </c>
      <c r="M943" s="87">
        <v>1525250</v>
      </c>
      <c r="N943" s="87">
        <v>3050500</v>
      </c>
      <c r="O943" s="50" t="s">
        <v>560</v>
      </c>
      <c r="P943" s="65" t="s">
        <v>4606</v>
      </c>
      <c r="Q943" s="46" t="s">
        <v>1939</v>
      </c>
      <c r="R943" s="47" t="s">
        <v>4607</v>
      </c>
      <c r="S943" s="47" t="s">
        <v>4609</v>
      </c>
      <c r="U943" s="46" t="s">
        <v>1327</v>
      </c>
    </row>
    <row r="944" spans="1:21" ht="45" x14ac:dyDescent="0.25">
      <c r="A944" s="45">
        <v>42678</v>
      </c>
      <c r="B944" s="46" t="s">
        <v>328</v>
      </c>
      <c r="C944" s="45" t="s">
        <v>603</v>
      </c>
      <c r="D944" s="46" t="s">
        <v>2397</v>
      </c>
      <c r="E944" s="46" t="s">
        <v>588</v>
      </c>
      <c r="F944" s="47" t="s">
        <v>4597</v>
      </c>
      <c r="H944" s="47" t="s">
        <v>607</v>
      </c>
      <c r="I944" s="46" t="s">
        <v>4598</v>
      </c>
      <c r="J944" s="49" t="s">
        <v>3373</v>
      </c>
      <c r="L944" s="49">
        <v>10</v>
      </c>
      <c r="M944" s="50">
        <v>336000</v>
      </c>
      <c r="N944" s="51">
        <v>603200</v>
      </c>
      <c r="O944" s="50" t="s">
        <v>3107</v>
      </c>
      <c r="P944" s="65" t="s">
        <v>4599</v>
      </c>
      <c r="Q944" s="46" t="s">
        <v>592</v>
      </c>
      <c r="R944" s="47" t="s">
        <v>4608</v>
      </c>
      <c r="U944" s="46" t="s">
        <v>1327</v>
      </c>
    </row>
    <row r="945" spans="1:21" ht="60" x14ac:dyDescent="0.25">
      <c r="A945" s="45">
        <v>42678</v>
      </c>
      <c r="B945" s="46" t="s">
        <v>378</v>
      </c>
      <c r="C945" s="45" t="s">
        <v>899</v>
      </c>
      <c r="D945" s="46" t="s">
        <v>625</v>
      </c>
      <c r="E945" s="46" t="s">
        <v>588</v>
      </c>
      <c r="F945" s="47" t="s">
        <v>4603</v>
      </c>
      <c r="H945" s="47" t="s">
        <v>607</v>
      </c>
      <c r="I945" s="46" t="s">
        <v>2054</v>
      </c>
      <c r="J945" s="49" t="s">
        <v>899</v>
      </c>
      <c r="L945" s="49">
        <v>2</v>
      </c>
      <c r="M945" s="74">
        <v>1100000</v>
      </c>
      <c r="N945" s="81">
        <v>1457500</v>
      </c>
      <c r="O945" s="50" t="s">
        <v>4602</v>
      </c>
      <c r="P945" s="65" t="s">
        <v>4601</v>
      </c>
      <c r="Q945" s="46" t="s">
        <v>29</v>
      </c>
      <c r="R945" s="47" t="s">
        <v>4600</v>
      </c>
      <c r="U945" s="46" t="s">
        <v>1327</v>
      </c>
    </row>
    <row r="946" spans="1:21" ht="90" x14ac:dyDescent="0.25">
      <c r="A946" s="45">
        <v>42678</v>
      </c>
      <c r="B946" s="46" t="s">
        <v>110</v>
      </c>
      <c r="C946" s="45" t="s">
        <v>761</v>
      </c>
      <c r="D946" s="46" t="s">
        <v>715</v>
      </c>
      <c r="E946" s="46" t="s">
        <v>588</v>
      </c>
      <c r="F946" s="47" t="s">
        <v>4610</v>
      </c>
      <c r="H946" s="47" t="s">
        <v>607</v>
      </c>
      <c r="I946" s="46" t="s">
        <v>4611</v>
      </c>
      <c r="J946" s="49" t="s">
        <v>761</v>
      </c>
      <c r="L946" s="49">
        <v>9</v>
      </c>
      <c r="M946" s="50">
        <v>300000</v>
      </c>
      <c r="N946" s="51">
        <v>510000</v>
      </c>
      <c r="O946" s="50" t="s">
        <v>4612</v>
      </c>
      <c r="P946" s="65" t="s">
        <v>4613</v>
      </c>
      <c r="Q946" s="46" t="s">
        <v>620</v>
      </c>
      <c r="R946" s="47" t="s">
        <v>4614</v>
      </c>
      <c r="U946" s="46" t="s">
        <v>1327</v>
      </c>
    </row>
    <row r="947" spans="1:21" ht="124.5" x14ac:dyDescent="0.25">
      <c r="A947" s="45">
        <v>42681</v>
      </c>
      <c r="B947" s="46" t="s">
        <v>328</v>
      </c>
      <c r="C947" s="45" t="s">
        <v>603</v>
      </c>
      <c r="D947" s="46" t="s">
        <v>2397</v>
      </c>
      <c r="E947" s="46" t="s">
        <v>588</v>
      </c>
      <c r="F947" s="47" t="s">
        <v>4618</v>
      </c>
      <c r="H947" s="47" t="s">
        <v>607</v>
      </c>
      <c r="J947" s="49" t="s">
        <v>644</v>
      </c>
      <c r="L947" s="49">
        <v>8</v>
      </c>
      <c r="M947" s="50">
        <v>100000</v>
      </c>
      <c r="N947" s="51">
        <v>125000</v>
      </c>
      <c r="O947" s="50" t="s">
        <v>4619</v>
      </c>
      <c r="P947" s="65" t="s">
        <v>4620</v>
      </c>
      <c r="Q947" s="46" t="s">
        <v>620</v>
      </c>
      <c r="R947" s="89" t="s">
        <v>4621</v>
      </c>
      <c r="U947" s="46" t="s">
        <v>491</v>
      </c>
    </row>
    <row r="948" spans="1:21" ht="60" x14ac:dyDescent="0.25">
      <c r="A948" s="45">
        <v>42681</v>
      </c>
      <c r="B948" s="46" t="s">
        <v>378</v>
      </c>
      <c r="C948" s="45" t="s">
        <v>623</v>
      </c>
      <c r="D948" s="46" t="s">
        <v>625</v>
      </c>
      <c r="E948" s="46" t="s">
        <v>821</v>
      </c>
      <c r="H948" s="47" t="s">
        <v>809</v>
      </c>
      <c r="O948" s="50" t="s">
        <v>2799</v>
      </c>
      <c r="P948" s="65" t="s">
        <v>4627</v>
      </c>
      <c r="Q948" s="46" t="s">
        <v>29</v>
      </c>
      <c r="R948" s="47" t="s">
        <v>4628</v>
      </c>
      <c r="U948" s="46" t="s">
        <v>491</v>
      </c>
    </row>
    <row r="949" spans="1:21" ht="45" x14ac:dyDescent="0.25">
      <c r="A949" s="45">
        <v>42681</v>
      </c>
      <c r="B949" s="46" t="s">
        <v>378</v>
      </c>
      <c r="C949" s="45" t="s">
        <v>623</v>
      </c>
      <c r="D949" s="46" t="s">
        <v>625</v>
      </c>
      <c r="E949" s="46" t="s">
        <v>821</v>
      </c>
      <c r="F949" s="47" t="s">
        <v>4762</v>
      </c>
      <c r="H949" s="47" t="s">
        <v>607</v>
      </c>
      <c r="I949" s="46" t="s">
        <v>4763</v>
      </c>
      <c r="J949" s="49" t="s">
        <v>899</v>
      </c>
      <c r="L949" s="49">
        <v>5</v>
      </c>
      <c r="M949" s="50">
        <v>530000</v>
      </c>
      <c r="O949" s="50" t="s">
        <v>4626</v>
      </c>
      <c r="P949" s="65" t="s">
        <v>4629</v>
      </c>
      <c r="Q949" s="46" t="s">
        <v>592</v>
      </c>
      <c r="R949" s="47" t="s">
        <v>4630</v>
      </c>
      <c r="S949" s="47" t="s">
        <v>4776</v>
      </c>
      <c r="U949" s="46" t="s">
        <v>4764</v>
      </c>
    </row>
    <row r="950" spans="1:21" ht="225" x14ac:dyDescent="0.25">
      <c r="A950" s="45">
        <v>42681</v>
      </c>
      <c r="B950" s="46" t="s">
        <v>328</v>
      </c>
      <c r="C950" s="45" t="s">
        <v>603</v>
      </c>
      <c r="D950" s="46" t="s">
        <v>2397</v>
      </c>
      <c r="E950" s="46" t="s">
        <v>588</v>
      </c>
      <c r="F950" s="47" t="s">
        <v>4622</v>
      </c>
      <c r="H950" s="47" t="s">
        <v>607</v>
      </c>
      <c r="I950" s="46" t="s">
        <v>4623</v>
      </c>
      <c r="J950" s="49" t="s">
        <v>899</v>
      </c>
      <c r="L950" s="49">
        <v>9</v>
      </c>
      <c r="M950" s="50">
        <v>1000000</v>
      </c>
      <c r="N950" s="51">
        <v>1700000</v>
      </c>
      <c r="O950" s="50" t="s">
        <v>4624</v>
      </c>
      <c r="P950" s="65" t="s">
        <v>4625</v>
      </c>
      <c r="Q950" s="46" t="s">
        <v>1612</v>
      </c>
      <c r="R950" s="47" t="s">
        <v>4654</v>
      </c>
      <c r="U950" s="46" t="s">
        <v>491</v>
      </c>
    </row>
    <row r="951" spans="1:21" ht="45" x14ac:dyDescent="0.25">
      <c r="A951" s="45">
        <v>42682</v>
      </c>
      <c r="B951" s="46" t="s">
        <v>328</v>
      </c>
      <c r="C951" s="45" t="s">
        <v>603</v>
      </c>
      <c r="D951" s="46" t="s">
        <v>2397</v>
      </c>
      <c r="E951" s="46" t="s">
        <v>588</v>
      </c>
      <c r="F951" s="47" t="s">
        <v>4632</v>
      </c>
      <c r="H951" s="47" t="s">
        <v>905</v>
      </c>
      <c r="I951" s="46" t="s">
        <v>4633</v>
      </c>
      <c r="J951" s="49" t="s">
        <v>899</v>
      </c>
      <c r="L951" s="49">
        <v>3</v>
      </c>
      <c r="M951" s="50">
        <v>2081000</v>
      </c>
      <c r="N951" s="51">
        <v>2381000</v>
      </c>
      <c r="O951" s="50" t="s">
        <v>560</v>
      </c>
      <c r="P951" s="65" t="s">
        <v>4634</v>
      </c>
      <c r="Q951" s="46" t="s">
        <v>1939</v>
      </c>
      <c r="R951" s="47" t="s">
        <v>4635</v>
      </c>
      <c r="U951" s="46" t="s">
        <v>491</v>
      </c>
    </row>
    <row r="952" spans="1:21" ht="195" x14ac:dyDescent="0.25">
      <c r="A952" s="45">
        <v>42682</v>
      </c>
      <c r="B952" s="46" t="s">
        <v>328</v>
      </c>
      <c r="C952" s="45" t="s">
        <v>603</v>
      </c>
      <c r="D952" s="46" t="s">
        <v>2397</v>
      </c>
      <c r="E952" s="46" t="s">
        <v>588</v>
      </c>
      <c r="F952" s="47" t="s">
        <v>4636</v>
      </c>
      <c r="H952" s="47" t="s">
        <v>607</v>
      </c>
      <c r="I952" s="46" t="s">
        <v>4641</v>
      </c>
      <c r="J952" s="49" t="s">
        <v>899</v>
      </c>
      <c r="L952" s="49">
        <v>3</v>
      </c>
      <c r="M952" s="50">
        <v>2200000</v>
      </c>
      <c r="N952" s="51">
        <v>3140000</v>
      </c>
      <c r="O952" s="50" t="s">
        <v>560</v>
      </c>
      <c r="P952" s="65" t="s">
        <v>4637</v>
      </c>
      <c r="Q952" s="46" t="s">
        <v>1939</v>
      </c>
      <c r="R952" s="47" t="s">
        <v>4638</v>
      </c>
      <c r="S952" s="47" t="s">
        <v>4765</v>
      </c>
      <c r="U952" s="46" t="s">
        <v>491</v>
      </c>
    </row>
    <row r="953" spans="1:21" ht="105" x14ac:dyDescent="0.25">
      <c r="A953" s="45">
        <v>42682</v>
      </c>
      <c r="B953" s="46" t="s">
        <v>643</v>
      </c>
      <c r="C953" s="45" t="s">
        <v>644</v>
      </c>
      <c r="D953" s="46" t="s">
        <v>645</v>
      </c>
      <c r="E953" s="46" t="s">
        <v>588</v>
      </c>
      <c r="F953" s="47" t="s">
        <v>4639</v>
      </c>
      <c r="H953" s="47" t="s">
        <v>3987</v>
      </c>
      <c r="I953" s="46" t="s">
        <v>4640</v>
      </c>
      <c r="J953" s="49" t="s">
        <v>644</v>
      </c>
      <c r="L953" s="49">
        <v>10</v>
      </c>
      <c r="M953" s="50">
        <v>150000</v>
      </c>
      <c r="N953" s="51">
        <v>177000</v>
      </c>
      <c r="O953" s="50" t="s">
        <v>4642</v>
      </c>
      <c r="P953" s="65" t="s">
        <v>4643</v>
      </c>
      <c r="Q953" s="46" t="s">
        <v>1939</v>
      </c>
      <c r="R953" s="47" t="s">
        <v>4644</v>
      </c>
      <c r="U953" s="46" t="s">
        <v>491</v>
      </c>
    </row>
    <row r="954" spans="1:21" ht="45" x14ac:dyDescent="0.25">
      <c r="A954" s="45">
        <v>42682</v>
      </c>
      <c r="B954" s="46" t="s">
        <v>1486</v>
      </c>
      <c r="C954" s="45" t="s">
        <v>1883</v>
      </c>
      <c r="D954" s="46" t="s">
        <v>727</v>
      </c>
      <c r="E954" s="46" t="s">
        <v>588</v>
      </c>
      <c r="F954" s="47" t="s">
        <v>4645</v>
      </c>
      <c r="H954" s="47" t="s">
        <v>905</v>
      </c>
      <c r="I954" s="46" t="s">
        <v>4646</v>
      </c>
      <c r="J954" s="49" t="s">
        <v>3369</v>
      </c>
      <c r="L954" s="49">
        <v>5</v>
      </c>
      <c r="M954" s="50">
        <v>324000</v>
      </c>
      <c r="O954" s="50" t="s">
        <v>4647</v>
      </c>
      <c r="P954" s="65" t="s">
        <v>4648</v>
      </c>
      <c r="Q954" s="46" t="s">
        <v>1939</v>
      </c>
      <c r="R954" s="47" t="s">
        <v>4649</v>
      </c>
      <c r="U954" s="46" t="s">
        <v>491</v>
      </c>
    </row>
    <row r="955" spans="1:21" ht="90" x14ac:dyDescent="0.25">
      <c r="A955" s="45">
        <v>42682</v>
      </c>
      <c r="B955" s="46" t="s">
        <v>378</v>
      </c>
      <c r="C955" s="45" t="s">
        <v>623</v>
      </c>
      <c r="D955" s="46" t="s">
        <v>624</v>
      </c>
      <c r="E955" s="46" t="s">
        <v>588</v>
      </c>
      <c r="F955" s="47" t="s">
        <v>4650</v>
      </c>
      <c r="H955" s="47" t="s">
        <v>607</v>
      </c>
      <c r="I955" s="46" t="s">
        <v>3672</v>
      </c>
      <c r="J955" s="49" t="s">
        <v>899</v>
      </c>
      <c r="L955" s="49">
        <v>3</v>
      </c>
      <c r="M955" s="50">
        <v>911000</v>
      </c>
      <c r="N955" s="51">
        <v>1057000</v>
      </c>
      <c r="O955" s="50" t="s">
        <v>4651</v>
      </c>
      <c r="P955" s="65" t="s">
        <v>4652</v>
      </c>
      <c r="Q955" s="46" t="s">
        <v>1939</v>
      </c>
      <c r="R955" s="47" t="s">
        <v>4653</v>
      </c>
      <c r="U955" s="46" t="s">
        <v>491</v>
      </c>
    </row>
    <row r="956" spans="1:21" ht="45" x14ac:dyDescent="0.25">
      <c r="A956" s="45">
        <v>42683</v>
      </c>
      <c r="B956" s="46" t="s">
        <v>1486</v>
      </c>
      <c r="C956" s="45" t="s">
        <v>1363</v>
      </c>
      <c r="D956" s="46" t="s">
        <v>4655</v>
      </c>
      <c r="E956" s="46" t="s">
        <v>588</v>
      </c>
      <c r="F956" s="47" t="s">
        <v>4656</v>
      </c>
      <c r="H956" s="47" t="s">
        <v>607</v>
      </c>
      <c r="I956" s="46" t="s">
        <v>3809</v>
      </c>
      <c r="J956" s="49" t="s">
        <v>602</v>
      </c>
      <c r="M956" s="50">
        <v>520050</v>
      </c>
      <c r="O956" s="50" t="s">
        <v>4657</v>
      </c>
      <c r="P956" s="65" t="s">
        <v>4658</v>
      </c>
      <c r="Q956" s="46" t="s">
        <v>29</v>
      </c>
      <c r="R956" s="47" t="s">
        <v>4659</v>
      </c>
      <c r="U956" s="46" t="s">
        <v>491</v>
      </c>
    </row>
    <row r="957" spans="1:21" ht="60" x14ac:dyDescent="0.25">
      <c r="A957" s="45">
        <v>42684</v>
      </c>
      <c r="B957" s="46" t="s">
        <v>378</v>
      </c>
      <c r="C957" s="45" t="s">
        <v>623</v>
      </c>
      <c r="D957" s="46" t="s">
        <v>930</v>
      </c>
      <c r="E957" s="46" t="s">
        <v>821</v>
      </c>
      <c r="F957" s="47" t="s">
        <v>4660</v>
      </c>
      <c r="O957" s="50" t="s">
        <v>35</v>
      </c>
      <c r="P957" s="65" t="s">
        <v>4661</v>
      </c>
      <c r="Q957" s="46" t="s">
        <v>592</v>
      </c>
      <c r="U957" s="46" t="s">
        <v>491</v>
      </c>
    </row>
    <row r="958" spans="1:21" ht="60" x14ac:dyDescent="0.25">
      <c r="A958" s="45">
        <v>42684</v>
      </c>
      <c r="B958" s="46" t="s">
        <v>378</v>
      </c>
      <c r="C958" s="45" t="s">
        <v>610</v>
      </c>
      <c r="D958" s="46" t="s">
        <v>732</v>
      </c>
      <c r="E958" s="46" t="s">
        <v>588</v>
      </c>
      <c r="F958" s="47" t="s">
        <v>4320</v>
      </c>
      <c r="H958" s="47" t="s">
        <v>607</v>
      </c>
      <c r="I958" s="46" t="s">
        <v>4321</v>
      </c>
      <c r="J958" s="49" t="s">
        <v>899</v>
      </c>
      <c r="M958" s="50">
        <v>2900000</v>
      </c>
      <c r="N958" s="51">
        <v>3450000</v>
      </c>
      <c r="O958" s="50" t="s">
        <v>560</v>
      </c>
      <c r="P958" s="65" t="s">
        <v>4322</v>
      </c>
      <c r="Q958" s="46" t="s">
        <v>29</v>
      </c>
      <c r="R958" s="47" t="s">
        <v>4662</v>
      </c>
      <c r="U958" s="46" t="s">
        <v>491</v>
      </c>
    </row>
    <row r="959" spans="1:21" ht="90" x14ac:dyDescent="0.25">
      <c r="A959" s="45">
        <v>42685</v>
      </c>
      <c r="B959" s="46" t="s">
        <v>328</v>
      </c>
      <c r="C959" s="45" t="s">
        <v>603</v>
      </c>
      <c r="D959" s="46" t="s">
        <v>2397</v>
      </c>
      <c r="E959" s="46" t="s">
        <v>588</v>
      </c>
      <c r="F959" s="47" t="s">
        <v>4663</v>
      </c>
      <c r="H959" s="47" t="s">
        <v>607</v>
      </c>
      <c r="I959" s="46" t="s">
        <v>3768</v>
      </c>
      <c r="J959" s="49" t="s">
        <v>899</v>
      </c>
      <c r="L959" s="49">
        <v>10</v>
      </c>
      <c r="M959" s="50">
        <v>362000</v>
      </c>
      <c r="N959" s="51">
        <v>715400</v>
      </c>
      <c r="O959" s="50" t="s">
        <v>4664</v>
      </c>
      <c r="P959" s="65" t="s">
        <v>4665</v>
      </c>
      <c r="Q959" s="46" t="s">
        <v>1939</v>
      </c>
      <c r="R959" s="47" t="s">
        <v>4666</v>
      </c>
      <c r="U959" s="46" t="s">
        <v>491</v>
      </c>
    </row>
    <row r="960" spans="1:21" ht="135" x14ac:dyDescent="0.25">
      <c r="A960" s="45">
        <v>42685</v>
      </c>
      <c r="B960" s="46" t="s">
        <v>328</v>
      </c>
      <c r="C960" s="45" t="s">
        <v>603</v>
      </c>
      <c r="D960" s="46" t="s">
        <v>2397</v>
      </c>
      <c r="E960" s="46" t="s">
        <v>821</v>
      </c>
      <c r="I960" s="46" t="s">
        <v>4674</v>
      </c>
      <c r="J960" s="49" t="s">
        <v>899</v>
      </c>
      <c r="O960" s="50" t="s">
        <v>4671</v>
      </c>
      <c r="P960" s="65" t="s">
        <v>4672</v>
      </c>
      <c r="Q960" s="46" t="s">
        <v>620</v>
      </c>
      <c r="R960" s="47" t="s">
        <v>4673</v>
      </c>
      <c r="U960" s="46" t="s">
        <v>491</v>
      </c>
    </row>
    <row r="961" spans="1:21" ht="60" x14ac:dyDescent="0.25">
      <c r="A961" s="45">
        <v>42685</v>
      </c>
      <c r="B961" s="46" t="s">
        <v>328</v>
      </c>
      <c r="C961" s="45" t="s">
        <v>603</v>
      </c>
      <c r="D961" s="46" t="s">
        <v>2397</v>
      </c>
      <c r="E961" s="46" t="s">
        <v>588</v>
      </c>
      <c r="F961" s="47" t="s">
        <v>4675</v>
      </c>
      <c r="H961" s="47" t="s">
        <v>722</v>
      </c>
      <c r="I961" s="46" t="s">
        <v>4676</v>
      </c>
      <c r="J961" s="49" t="s">
        <v>3373</v>
      </c>
      <c r="L961" s="49">
        <v>9</v>
      </c>
      <c r="M961" s="50">
        <v>110000</v>
      </c>
      <c r="N961" s="51">
        <v>214280</v>
      </c>
      <c r="O961" s="50" t="s">
        <v>1120</v>
      </c>
      <c r="P961" s="65" t="s">
        <v>4677</v>
      </c>
      <c r="Q961" s="46" t="s">
        <v>620</v>
      </c>
      <c r="R961" s="47" t="s">
        <v>4678</v>
      </c>
      <c r="U961" s="46" t="s">
        <v>491</v>
      </c>
    </row>
    <row r="962" spans="1:21" ht="90" x14ac:dyDescent="0.25">
      <c r="A962" s="45">
        <v>42685</v>
      </c>
      <c r="B962" s="46" t="s">
        <v>1486</v>
      </c>
      <c r="C962" s="45" t="s">
        <v>1883</v>
      </c>
      <c r="D962" s="46" t="s">
        <v>2454</v>
      </c>
      <c r="E962" s="46" t="s">
        <v>588</v>
      </c>
      <c r="F962" s="47" t="s">
        <v>4667</v>
      </c>
      <c r="H962" s="47" t="s">
        <v>809</v>
      </c>
      <c r="I962" s="46" t="s">
        <v>4668</v>
      </c>
      <c r="J962" s="49" t="s">
        <v>3617</v>
      </c>
      <c r="L962" s="49">
        <v>4</v>
      </c>
      <c r="M962" s="50">
        <v>865000</v>
      </c>
      <c r="N962" s="51">
        <v>1030000</v>
      </c>
      <c r="O962" s="50" t="s">
        <v>4669</v>
      </c>
      <c r="P962" s="65" t="s">
        <v>4670</v>
      </c>
      <c r="Q962" s="46" t="s">
        <v>1939</v>
      </c>
      <c r="R962" s="47" t="s">
        <v>4828</v>
      </c>
      <c r="U962" s="46" t="s">
        <v>491</v>
      </c>
    </row>
    <row r="963" spans="1:21" ht="45" x14ac:dyDescent="0.25">
      <c r="A963" s="45">
        <v>42688</v>
      </c>
      <c r="B963" s="46" t="s">
        <v>328</v>
      </c>
      <c r="C963" s="45" t="s">
        <v>603</v>
      </c>
      <c r="D963" s="46" t="s">
        <v>1471</v>
      </c>
      <c r="E963" s="46" t="s">
        <v>588</v>
      </c>
      <c r="F963" s="47" t="s">
        <v>4679</v>
      </c>
      <c r="H963" s="47" t="s">
        <v>607</v>
      </c>
      <c r="I963" s="46" t="s">
        <v>4535</v>
      </c>
      <c r="J963" s="49" t="s">
        <v>3373</v>
      </c>
      <c r="L963" s="49">
        <v>5</v>
      </c>
      <c r="M963" s="50">
        <v>626000</v>
      </c>
      <c r="N963" s="51">
        <v>1064200</v>
      </c>
      <c r="O963" s="50" t="s">
        <v>695</v>
      </c>
      <c r="P963" s="65" t="s">
        <v>4680</v>
      </c>
      <c r="Q963" s="46" t="s">
        <v>1939</v>
      </c>
      <c r="R963" s="47" t="s">
        <v>4681</v>
      </c>
      <c r="U963" s="46" t="s">
        <v>491</v>
      </c>
    </row>
    <row r="964" spans="1:21" ht="108.75" x14ac:dyDescent="0.25">
      <c r="A964" s="45">
        <v>42688</v>
      </c>
      <c r="B964" s="46" t="s">
        <v>1486</v>
      </c>
      <c r="C964" s="45" t="s">
        <v>1883</v>
      </c>
      <c r="D964" s="46" t="s">
        <v>595</v>
      </c>
      <c r="E964" s="46" t="s">
        <v>588</v>
      </c>
      <c r="F964" s="47" t="s">
        <v>4682</v>
      </c>
      <c r="H964" s="47" t="s">
        <v>607</v>
      </c>
      <c r="I964" s="46" t="s">
        <v>4683</v>
      </c>
      <c r="J964" s="49" t="s">
        <v>4684</v>
      </c>
      <c r="L964" s="49">
        <v>2</v>
      </c>
      <c r="M964" s="50">
        <v>370000</v>
      </c>
      <c r="N964" s="51">
        <v>703000</v>
      </c>
      <c r="O964" s="50" t="s">
        <v>4685</v>
      </c>
      <c r="P964" s="65" t="s">
        <v>4686</v>
      </c>
      <c r="Q964" s="46" t="s">
        <v>1939</v>
      </c>
      <c r="R964" s="86" t="s">
        <v>4687</v>
      </c>
      <c r="U964" s="46" t="s">
        <v>491</v>
      </c>
    </row>
    <row r="965" spans="1:21" ht="60" x14ac:dyDescent="0.25">
      <c r="A965" s="45">
        <v>42688</v>
      </c>
      <c r="B965" s="46" t="s">
        <v>378</v>
      </c>
      <c r="C965" s="45" t="s">
        <v>610</v>
      </c>
      <c r="D965" s="46" t="s">
        <v>732</v>
      </c>
      <c r="E965" s="46" t="s">
        <v>588</v>
      </c>
      <c r="F965" s="47" t="s">
        <v>4688</v>
      </c>
      <c r="H965" s="47" t="s">
        <v>607</v>
      </c>
      <c r="I965" s="46" t="s">
        <v>4689</v>
      </c>
      <c r="J965" s="49" t="s">
        <v>899</v>
      </c>
      <c r="L965" s="49">
        <v>5</v>
      </c>
      <c r="M965" s="50">
        <v>2111804</v>
      </c>
      <c r="N965" s="51">
        <v>4300804</v>
      </c>
      <c r="O965" s="50" t="s">
        <v>560</v>
      </c>
      <c r="P965" s="65" t="s">
        <v>4690</v>
      </c>
      <c r="Q965" s="46" t="s">
        <v>1939</v>
      </c>
      <c r="R965" s="47" t="s">
        <v>4693</v>
      </c>
      <c r="U965" s="46" t="s">
        <v>491</v>
      </c>
    </row>
    <row r="966" spans="1:21" ht="120" x14ac:dyDescent="0.25">
      <c r="A966" s="45">
        <v>42688</v>
      </c>
      <c r="B966" s="46" t="s">
        <v>378</v>
      </c>
      <c r="C966" s="45" t="s">
        <v>623</v>
      </c>
      <c r="D966" s="46" t="s">
        <v>930</v>
      </c>
      <c r="E966" s="46" t="s">
        <v>1707</v>
      </c>
      <c r="F966" s="47" t="s">
        <v>4691</v>
      </c>
      <c r="H966" s="47" t="s">
        <v>905</v>
      </c>
      <c r="O966" s="50" t="s">
        <v>35</v>
      </c>
      <c r="P966" s="65" t="s">
        <v>4692</v>
      </c>
      <c r="Q966" s="46" t="s">
        <v>592</v>
      </c>
      <c r="U966" s="46" t="s">
        <v>491</v>
      </c>
    </row>
    <row r="967" spans="1:21" ht="75" x14ac:dyDescent="0.25">
      <c r="A967" s="45">
        <v>42689</v>
      </c>
      <c r="B967" s="46" t="s">
        <v>328</v>
      </c>
      <c r="C967" s="45" t="s">
        <v>603</v>
      </c>
      <c r="D967" s="46" t="s">
        <v>1471</v>
      </c>
      <c r="E967" s="46" t="s">
        <v>588</v>
      </c>
      <c r="F967" s="47" t="s">
        <v>4695</v>
      </c>
      <c r="H967" s="47" t="s">
        <v>1044</v>
      </c>
      <c r="I967" s="46" t="s">
        <v>4696</v>
      </c>
      <c r="J967" s="49" t="s">
        <v>899</v>
      </c>
      <c r="L967" s="49">
        <v>9</v>
      </c>
      <c r="M967" s="50">
        <v>1545125</v>
      </c>
      <c r="N967" s="51">
        <v>1954149</v>
      </c>
      <c r="O967" s="50" t="s">
        <v>560</v>
      </c>
      <c r="P967" s="65" t="s">
        <v>4697</v>
      </c>
      <c r="Q967" s="46" t="s">
        <v>1939</v>
      </c>
      <c r="R967" s="47" t="s">
        <v>4698</v>
      </c>
      <c r="S967" s="47" t="s">
        <v>9456</v>
      </c>
      <c r="U967" s="46" t="s">
        <v>491</v>
      </c>
    </row>
    <row r="968" spans="1:21" ht="60" x14ac:dyDescent="0.25">
      <c r="A968" s="45">
        <v>42689</v>
      </c>
      <c r="B968" s="46" t="s">
        <v>378</v>
      </c>
      <c r="C968" s="45" t="s">
        <v>623</v>
      </c>
      <c r="D968" s="46" t="s">
        <v>625</v>
      </c>
      <c r="E968" s="46" t="s">
        <v>588</v>
      </c>
      <c r="F968" s="47" t="s">
        <v>4699</v>
      </c>
      <c r="H968" s="47" t="s">
        <v>607</v>
      </c>
      <c r="I968" s="46" t="s">
        <v>4700</v>
      </c>
      <c r="J968" s="49" t="s">
        <v>899</v>
      </c>
      <c r="L968" s="49">
        <v>10</v>
      </c>
      <c r="M968" s="50">
        <v>1600000</v>
      </c>
      <c r="N968" s="51">
        <v>2880000</v>
      </c>
      <c r="O968" s="50" t="s">
        <v>1111</v>
      </c>
      <c r="P968" s="65" t="s">
        <v>4701</v>
      </c>
      <c r="Q968" s="46" t="s">
        <v>592</v>
      </c>
      <c r="U968" s="46" t="s">
        <v>491</v>
      </c>
    </row>
    <row r="969" spans="1:21" ht="120" x14ac:dyDescent="0.25">
      <c r="A969" s="45">
        <v>42689</v>
      </c>
      <c r="B969" s="46" t="s">
        <v>378</v>
      </c>
      <c r="C969" s="45" t="s">
        <v>623</v>
      </c>
      <c r="D969" s="46" t="s">
        <v>930</v>
      </c>
      <c r="E969" s="46" t="s">
        <v>821</v>
      </c>
      <c r="F969" s="47" t="s">
        <v>351</v>
      </c>
      <c r="H969" s="47" t="s">
        <v>886</v>
      </c>
      <c r="I969" s="46" t="s">
        <v>3462</v>
      </c>
      <c r="J969" s="49" t="s">
        <v>899</v>
      </c>
      <c r="L969" s="49">
        <v>4</v>
      </c>
      <c r="M969" s="50">
        <v>1500000</v>
      </c>
      <c r="N969" s="51">
        <v>1500000</v>
      </c>
      <c r="O969" s="50" t="s">
        <v>2121</v>
      </c>
      <c r="P969" s="65" t="s">
        <v>4702</v>
      </c>
      <c r="Q969" s="46" t="s">
        <v>592</v>
      </c>
      <c r="U969" s="46" t="s">
        <v>491</v>
      </c>
    </row>
    <row r="970" spans="1:21" ht="105" x14ac:dyDescent="0.25">
      <c r="A970" s="45">
        <v>42689</v>
      </c>
      <c r="B970" s="46" t="s">
        <v>643</v>
      </c>
      <c r="C970" s="45" t="s">
        <v>644</v>
      </c>
      <c r="D970" s="46" t="s">
        <v>645</v>
      </c>
      <c r="E970" s="46" t="s">
        <v>588</v>
      </c>
      <c r="F970" s="47" t="s">
        <v>4703</v>
      </c>
      <c r="H970" s="47" t="s">
        <v>722</v>
      </c>
      <c r="I970" s="46" t="s">
        <v>4704</v>
      </c>
      <c r="J970" s="49" t="s">
        <v>644</v>
      </c>
      <c r="L970" s="49">
        <v>10</v>
      </c>
      <c r="M970" s="50">
        <v>302100</v>
      </c>
      <c r="N970" s="51">
        <v>382310</v>
      </c>
      <c r="O970" s="50" t="s">
        <v>4705</v>
      </c>
      <c r="P970" s="65" t="s">
        <v>4706</v>
      </c>
      <c r="Q970" s="46" t="s">
        <v>1939</v>
      </c>
      <c r="R970" s="47" t="s">
        <v>4707</v>
      </c>
      <c r="U970" s="46" t="s">
        <v>491</v>
      </c>
    </row>
    <row r="971" spans="1:21" ht="105" x14ac:dyDescent="0.25">
      <c r="A971" s="45">
        <v>42689</v>
      </c>
      <c r="B971" s="46" t="s">
        <v>378</v>
      </c>
      <c r="C971" s="45" t="s">
        <v>623</v>
      </c>
      <c r="D971" s="46" t="s">
        <v>930</v>
      </c>
      <c r="E971" s="46" t="s">
        <v>588</v>
      </c>
      <c r="F971" s="47" t="s">
        <v>4708</v>
      </c>
      <c r="H971" s="47" t="s">
        <v>607</v>
      </c>
      <c r="I971" s="46" t="s">
        <v>4709</v>
      </c>
      <c r="J971" s="49" t="s">
        <v>899</v>
      </c>
      <c r="L971" s="49">
        <v>4</v>
      </c>
      <c r="M971" s="50">
        <v>1170000</v>
      </c>
      <c r="N971" s="51">
        <v>2189000</v>
      </c>
      <c r="O971" s="50" t="s">
        <v>4710</v>
      </c>
      <c r="P971" s="65" t="s">
        <v>4711</v>
      </c>
      <c r="Q971" s="46" t="s">
        <v>620</v>
      </c>
      <c r="R971" s="47" t="s">
        <v>4712</v>
      </c>
      <c r="U971" s="46" t="s">
        <v>491</v>
      </c>
    </row>
    <row r="972" spans="1:21" ht="75" x14ac:dyDescent="0.25">
      <c r="A972" s="45">
        <v>42689</v>
      </c>
      <c r="B972" s="46" t="s">
        <v>378</v>
      </c>
      <c r="C972" s="45" t="s">
        <v>623</v>
      </c>
      <c r="D972" s="46" t="s">
        <v>732</v>
      </c>
      <c r="E972" s="46" t="s">
        <v>821</v>
      </c>
      <c r="F972" s="47" t="s">
        <v>4713</v>
      </c>
      <c r="H972" s="47" t="s">
        <v>886</v>
      </c>
      <c r="O972" s="50" t="s">
        <v>4714</v>
      </c>
      <c r="P972" s="65" t="s">
        <v>4715</v>
      </c>
      <c r="Q972" s="46" t="s">
        <v>1939</v>
      </c>
      <c r="R972" s="47" t="s">
        <v>4716</v>
      </c>
      <c r="U972" s="46" t="s">
        <v>491</v>
      </c>
    </row>
    <row r="973" spans="1:21" ht="60" x14ac:dyDescent="0.25">
      <c r="A973" s="45">
        <v>42690</v>
      </c>
      <c r="B973" s="46" t="s">
        <v>328</v>
      </c>
      <c r="C973" s="45" t="s">
        <v>603</v>
      </c>
      <c r="D973" s="46" t="s">
        <v>1471</v>
      </c>
      <c r="E973" s="46" t="s">
        <v>588</v>
      </c>
      <c r="F973" s="47" t="s">
        <v>4717</v>
      </c>
      <c r="H973" s="47" t="s">
        <v>905</v>
      </c>
      <c r="I973" s="46" t="s">
        <v>3388</v>
      </c>
      <c r="J973" s="49" t="s">
        <v>899</v>
      </c>
      <c r="L973" s="49">
        <v>1</v>
      </c>
      <c r="M973" s="50">
        <v>1600000</v>
      </c>
      <c r="N973" s="51">
        <v>2095000</v>
      </c>
      <c r="O973" s="50" t="s">
        <v>560</v>
      </c>
      <c r="P973" s="65" t="s">
        <v>4718</v>
      </c>
      <c r="Q973" s="46" t="s">
        <v>592</v>
      </c>
      <c r="U973" s="46" t="s">
        <v>491</v>
      </c>
    </row>
    <row r="974" spans="1:21" ht="75" x14ac:dyDescent="0.25">
      <c r="A974" s="45">
        <v>42690</v>
      </c>
      <c r="B974" s="46" t="s">
        <v>328</v>
      </c>
      <c r="C974" s="45" t="s">
        <v>603</v>
      </c>
      <c r="D974" s="46" t="s">
        <v>1471</v>
      </c>
      <c r="E974" s="46" t="s">
        <v>588</v>
      </c>
      <c r="F974" s="47" t="s">
        <v>4722</v>
      </c>
      <c r="H974" s="47" t="s">
        <v>710</v>
      </c>
      <c r="I974" s="46" t="s">
        <v>3478</v>
      </c>
      <c r="J974" s="49" t="s">
        <v>899</v>
      </c>
      <c r="L974" s="49">
        <v>9</v>
      </c>
      <c r="M974" s="87">
        <v>925000</v>
      </c>
      <c r="N974" s="51">
        <v>1630000</v>
      </c>
      <c r="O974" s="50" t="s">
        <v>560</v>
      </c>
      <c r="P974" s="65" t="s">
        <v>4723</v>
      </c>
      <c r="Q974" s="46" t="s">
        <v>592</v>
      </c>
      <c r="R974" s="47" t="s">
        <v>4724</v>
      </c>
      <c r="U974" s="46" t="s">
        <v>2227</v>
      </c>
    </row>
    <row r="975" spans="1:21" ht="45" x14ac:dyDescent="0.25">
      <c r="A975" s="45">
        <v>42690</v>
      </c>
      <c r="B975" s="46" t="s">
        <v>378</v>
      </c>
      <c r="C975" s="45" t="s">
        <v>623</v>
      </c>
      <c r="D975" s="46" t="s">
        <v>1783</v>
      </c>
      <c r="E975" s="46" t="s">
        <v>588</v>
      </c>
      <c r="F975" s="47" t="s">
        <v>4719</v>
      </c>
      <c r="H975" s="47" t="s">
        <v>722</v>
      </c>
      <c r="I975" s="46" t="s">
        <v>2054</v>
      </c>
      <c r="J975" s="49" t="s">
        <v>899</v>
      </c>
      <c r="M975" s="74">
        <v>2300300</v>
      </c>
      <c r="N975" s="51">
        <v>3130300</v>
      </c>
      <c r="O975" s="50" t="s">
        <v>560</v>
      </c>
      <c r="P975" s="65" t="s">
        <v>4720</v>
      </c>
      <c r="Q975" s="46" t="s">
        <v>1939</v>
      </c>
      <c r="R975" s="47" t="s">
        <v>4721</v>
      </c>
      <c r="U975" s="46" t="s">
        <v>491</v>
      </c>
    </row>
    <row r="976" spans="1:21" ht="90" x14ac:dyDescent="0.25">
      <c r="A976" s="45">
        <v>42691</v>
      </c>
      <c r="B976" s="46" t="s">
        <v>378</v>
      </c>
      <c r="C976" s="45" t="s">
        <v>623</v>
      </c>
      <c r="D976" s="46" t="s">
        <v>625</v>
      </c>
      <c r="E976" s="46" t="s">
        <v>588</v>
      </c>
      <c r="F976" s="47" t="s">
        <v>4725</v>
      </c>
      <c r="H976" s="47" t="s">
        <v>905</v>
      </c>
      <c r="O976" s="50" t="s">
        <v>35</v>
      </c>
      <c r="P976" s="65" t="s">
        <v>4726</v>
      </c>
      <c r="Q976" s="46" t="s">
        <v>29</v>
      </c>
      <c r="R976" s="47" t="s">
        <v>4727</v>
      </c>
      <c r="S976" s="47" t="s">
        <v>4781</v>
      </c>
      <c r="U976" s="46" t="s">
        <v>491</v>
      </c>
    </row>
    <row r="977" spans="1:21" ht="60" x14ac:dyDescent="0.25">
      <c r="A977" s="45">
        <v>42691</v>
      </c>
      <c r="B977" s="46" t="s">
        <v>378</v>
      </c>
      <c r="C977" s="45" t="s">
        <v>623</v>
      </c>
      <c r="D977" s="46" t="s">
        <v>624</v>
      </c>
      <c r="E977" s="46" t="s">
        <v>588</v>
      </c>
      <c r="F977" s="47" t="s">
        <v>4650</v>
      </c>
      <c r="H977" s="47" t="s">
        <v>607</v>
      </c>
      <c r="O977" s="50" t="s">
        <v>4728</v>
      </c>
      <c r="P977" s="65" t="s">
        <v>4729</v>
      </c>
      <c r="Q977" s="46" t="s">
        <v>1939</v>
      </c>
      <c r="R977" s="47" t="s">
        <v>4730</v>
      </c>
      <c r="U977" s="46" t="s">
        <v>491</v>
      </c>
    </row>
    <row r="978" spans="1:21" ht="75" x14ac:dyDescent="0.25">
      <c r="A978" s="45">
        <v>42691</v>
      </c>
      <c r="B978" s="46" t="s">
        <v>378</v>
      </c>
      <c r="C978" s="45" t="s">
        <v>623</v>
      </c>
      <c r="D978" s="46" t="s">
        <v>624</v>
      </c>
      <c r="E978" s="46" t="s">
        <v>588</v>
      </c>
      <c r="F978" s="47" t="s">
        <v>4731</v>
      </c>
      <c r="H978" s="47" t="s">
        <v>607</v>
      </c>
      <c r="O978" s="50" t="s">
        <v>4732</v>
      </c>
      <c r="P978" s="65" t="s">
        <v>4733</v>
      </c>
      <c r="Q978" s="46" t="s">
        <v>1939</v>
      </c>
      <c r="R978" s="47" t="s">
        <v>4734</v>
      </c>
      <c r="U978" s="46" t="s">
        <v>491</v>
      </c>
    </row>
    <row r="979" spans="1:21" ht="45" x14ac:dyDescent="0.25">
      <c r="A979" s="45">
        <v>42691</v>
      </c>
      <c r="B979" s="46" t="s">
        <v>110</v>
      </c>
      <c r="D979" s="46" t="s">
        <v>1070</v>
      </c>
      <c r="E979" s="46" t="s">
        <v>588</v>
      </c>
      <c r="F979" s="47" t="s">
        <v>4735</v>
      </c>
      <c r="H979" s="47" t="s">
        <v>722</v>
      </c>
      <c r="I979" s="46" t="s">
        <v>4736</v>
      </c>
      <c r="J979" s="49" t="s">
        <v>761</v>
      </c>
      <c r="L979" s="49">
        <v>10</v>
      </c>
      <c r="M979" s="50">
        <v>153500</v>
      </c>
      <c r="N979" s="51">
        <v>260950</v>
      </c>
      <c r="O979" s="50" t="s">
        <v>764</v>
      </c>
      <c r="P979" s="65" t="s">
        <v>4737</v>
      </c>
      <c r="Q979" s="46" t="s">
        <v>1939</v>
      </c>
      <c r="R979" s="47" t="s">
        <v>4738</v>
      </c>
      <c r="U979" s="46" t="s">
        <v>491</v>
      </c>
    </row>
    <row r="980" spans="1:21" ht="90" x14ac:dyDescent="0.25">
      <c r="A980" s="45">
        <v>42691</v>
      </c>
      <c r="B980" s="46" t="s">
        <v>643</v>
      </c>
      <c r="C980" s="45" t="s">
        <v>644</v>
      </c>
      <c r="D980" s="46" t="s">
        <v>645</v>
      </c>
      <c r="E980" s="46" t="s">
        <v>588</v>
      </c>
      <c r="F980" s="47" t="s">
        <v>4739</v>
      </c>
      <c r="H980" s="47" t="s">
        <v>905</v>
      </c>
      <c r="I980" s="46" t="s">
        <v>4740</v>
      </c>
      <c r="J980" s="49" t="s">
        <v>644</v>
      </c>
      <c r="L980" s="49">
        <v>4</v>
      </c>
      <c r="M980" s="50">
        <v>2000000</v>
      </c>
      <c r="N980" s="51">
        <v>2076000</v>
      </c>
      <c r="O980" s="50" t="s">
        <v>4741</v>
      </c>
      <c r="P980" s="65" t="s">
        <v>4742</v>
      </c>
      <c r="Q980" s="46" t="s">
        <v>1939</v>
      </c>
      <c r="R980" s="47" t="s">
        <v>4743</v>
      </c>
      <c r="S980" s="47" t="s">
        <v>4744</v>
      </c>
      <c r="U980" s="46" t="s">
        <v>491</v>
      </c>
    </row>
    <row r="981" spans="1:21" ht="90" x14ac:dyDescent="0.25">
      <c r="A981" s="45">
        <v>42692</v>
      </c>
      <c r="B981" s="46" t="s">
        <v>328</v>
      </c>
      <c r="C981" s="45" t="s">
        <v>603</v>
      </c>
      <c r="D981" s="46" t="s">
        <v>1471</v>
      </c>
      <c r="E981" s="46" t="s">
        <v>588</v>
      </c>
      <c r="F981" s="47" t="s">
        <v>4755</v>
      </c>
      <c r="H981" s="47" t="s">
        <v>2884</v>
      </c>
      <c r="I981" s="46" t="s">
        <v>4754</v>
      </c>
      <c r="J981" s="49" t="s">
        <v>899</v>
      </c>
      <c r="L981" s="49">
        <v>10</v>
      </c>
      <c r="M981" s="50">
        <v>760000</v>
      </c>
      <c r="N981" s="51">
        <v>1000000</v>
      </c>
      <c r="O981" s="50" t="s">
        <v>3871</v>
      </c>
      <c r="P981" s="93" t="s">
        <v>4756</v>
      </c>
      <c r="Q981" s="46" t="s">
        <v>1939</v>
      </c>
      <c r="R981" s="47" t="s">
        <v>4757</v>
      </c>
    </row>
    <row r="982" spans="1:21" ht="60" x14ac:dyDescent="0.25">
      <c r="A982" s="45">
        <v>42692</v>
      </c>
      <c r="B982" s="46" t="s">
        <v>1486</v>
      </c>
      <c r="C982" s="45" t="s">
        <v>959</v>
      </c>
      <c r="D982" s="46" t="s">
        <v>732</v>
      </c>
      <c r="E982" s="46" t="s">
        <v>588</v>
      </c>
      <c r="F982" s="47" t="s">
        <v>4745</v>
      </c>
      <c r="H982" s="47" t="s">
        <v>886</v>
      </c>
      <c r="I982" s="46" t="s">
        <v>4746</v>
      </c>
      <c r="J982" s="49" t="s">
        <v>959</v>
      </c>
      <c r="M982" s="50">
        <v>800000</v>
      </c>
      <c r="N982" s="51">
        <v>800000</v>
      </c>
      <c r="O982" s="50" t="s">
        <v>2295</v>
      </c>
      <c r="P982" s="65" t="s">
        <v>4747</v>
      </c>
      <c r="Q982" s="46" t="s">
        <v>1939</v>
      </c>
      <c r="R982" s="47" t="s">
        <v>4748</v>
      </c>
      <c r="U982" s="46" t="s">
        <v>1327</v>
      </c>
    </row>
    <row r="983" spans="1:21" ht="60" x14ac:dyDescent="0.25">
      <c r="A983" s="45">
        <v>42692</v>
      </c>
      <c r="B983" s="46" t="s">
        <v>1486</v>
      </c>
      <c r="C983" s="45" t="s">
        <v>604</v>
      </c>
      <c r="D983" s="46" t="s">
        <v>727</v>
      </c>
      <c r="E983" s="46" t="s">
        <v>588</v>
      </c>
      <c r="F983" s="47" t="s">
        <v>4750</v>
      </c>
      <c r="H983" s="47" t="s">
        <v>809</v>
      </c>
      <c r="I983" s="46" t="s">
        <v>4749</v>
      </c>
      <c r="J983" s="49" t="s">
        <v>4684</v>
      </c>
      <c r="L983" s="49">
        <v>7</v>
      </c>
      <c r="M983" s="50">
        <v>305000</v>
      </c>
      <c r="N983" s="51">
        <v>353000</v>
      </c>
      <c r="O983" s="50" t="s">
        <v>4751</v>
      </c>
      <c r="P983" s="65" t="s">
        <v>4752</v>
      </c>
      <c r="Q983" s="46" t="s">
        <v>1939</v>
      </c>
      <c r="R983" s="47" t="s">
        <v>4753</v>
      </c>
    </row>
    <row r="984" spans="1:21" ht="135" x14ac:dyDescent="0.25">
      <c r="A984" s="45">
        <v>42695</v>
      </c>
      <c r="B984" s="46" t="s">
        <v>378</v>
      </c>
      <c r="C984" s="45" t="s">
        <v>899</v>
      </c>
      <c r="D984" s="46" t="s">
        <v>625</v>
      </c>
      <c r="E984" s="46" t="s">
        <v>588</v>
      </c>
      <c r="F984" s="47" t="s">
        <v>4758</v>
      </c>
      <c r="H984" s="47" t="s">
        <v>886</v>
      </c>
      <c r="I984" s="46" t="s">
        <v>4759</v>
      </c>
      <c r="J984" s="49" t="s">
        <v>899</v>
      </c>
      <c r="L984" s="49">
        <v>3</v>
      </c>
      <c r="M984" s="50">
        <v>778000</v>
      </c>
      <c r="O984" s="50" t="s">
        <v>2295</v>
      </c>
      <c r="P984" s="94" t="s">
        <v>4760</v>
      </c>
      <c r="Q984" s="46" t="s">
        <v>29</v>
      </c>
      <c r="R984" s="47" t="s">
        <v>4761</v>
      </c>
      <c r="U984" s="46" t="s">
        <v>2227</v>
      </c>
    </row>
    <row r="985" spans="1:21" ht="135" x14ac:dyDescent="0.25">
      <c r="A985" s="45">
        <v>42695</v>
      </c>
      <c r="B985" s="46" t="s">
        <v>1486</v>
      </c>
      <c r="C985" s="45" t="s">
        <v>959</v>
      </c>
      <c r="D985" s="46" t="s">
        <v>732</v>
      </c>
      <c r="E985" s="46" t="s">
        <v>588</v>
      </c>
      <c r="F985" s="47" t="s">
        <v>4770</v>
      </c>
      <c r="H985" s="47" t="s">
        <v>1391</v>
      </c>
      <c r="I985" s="46" t="s">
        <v>4766</v>
      </c>
      <c r="J985" s="49" t="s">
        <v>602</v>
      </c>
      <c r="M985" s="50">
        <v>1723000</v>
      </c>
      <c r="O985" s="50" t="s">
        <v>4767</v>
      </c>
      <c r="P985" s="65" t="s">
        <v>4768</v>
      </c>
      <c r="Q985" s="46" t="s">
        <v>620</v>
      </c>
      <c r="R985" s="47" t="s">
        <v>4769</v>
      </c>
      <c r="U985" s="46" t="s">
        <v>1327</v>
      </c>
    </row>
    <row r="986" spans="1:21" ht="165" x14ac:dyDescent="0.25">
      <c r="A986" s="45">
        <v>42695</v>
      </c>
      <c r="B986" s="46" t="s">
        <v>643</v>
      </c>
      <c r="C986" s="45" t="s">
        <v>644</v>
      </c>
      <c r="D986" s="46" t="s">
        <v>645</v>
      </c>
      <c r="E986" s="46" t="s">
        <v>588</v>
      </c>
      <c r="F986" s="47" t="s">
        <v>4771</v>
      </c>
      <c r="H986" s="47" t="s">
        <v>1391</v>
      </c>
      <c r="I986" s="46" t="s">
        <v>4772</v>
      </c>
      <c r="J986" s="49" t="s">
        <v>644</v>
      </c>
      <c r="L986" s="49">
        <v>10</v>
      </c>
      <c r="N986" s="51">
        <v>110000</v>
      </c>
      <c r="O986" s="50" t="s">
        <v>4773</v>
      </c>
      <c r="P986" s="94" t="s">
        <v>4774</v>
      </c>
      <c r="Q986" s="46" t="s">
        <v>29</v>
      </c>
      <c r="R986" s="47" t="s">
        <v>4775</v>
      </c>
      <c r="U986" s="46" t="s">
        <v>1327</v>
      </c>
    </row>
    <row r="987" spans="1:21" ht="90" x14ac:dyDescent="0.25">
      <c r="A987" s="45">
        <v>42695</v>
      </c>
      <c r="B987" s="46" t="s">
        <v>378</v>
      </c>
      <c r="C987" s="45" t="s">
        <v>899</v>
      </c>
      <c r="D987" s="46" t="s">
        <v>625</v>
      </c>
      <c r="E987" s="46" t="s">
        <v>588</v>
      </c>
      <c r="F987" s="47" t="s">
        <v>4777</v>
      </c>
      <c r="H987" s="47" t="s">
        <v>4162</v>
      </c>
      <c r="I987" s="46" t="s">
        <v>4754</v>
      </c>
      <c r="J987" s="49" t="s">
        <v>899</v>
      </c>
      <c r="L987" s="49">
        <v>4</v>
      </c>
      <c r="M987" s="50">
        <v>873000</v>
      </c>
      <c r="N987" s="51">
        <v>1500000</v>
      </c>
      <c r="O987" s="50" t="s">
        <v>4778</v>
      </c>
      <c r="P987" s="95" t="s">
        <v>4779</v>
      </c>
      <c r="Q987" s="46" t="s">
        <v>1939</v>
      </c>
      <c r="R987" s="47" t="s">
        <v>4780</v>
      </c>
      <c r="U987" s="46" t="s">
        <v>1327</v>
      </c>
    </row>
    <row r="988" spans="1:21" ht="45" x14ac:dyDescent="0.25">
      <c r="A988" s="45">
        <v>42695</v>
      </c>
      <c r="B988" s="46" t="s">
        <v>110</v>
      </c>
      <c r="C988" s="45" t="s">
        <v>761</v>
      </c>
      <c r="D988" s="46" t="s">
        <v>4782</v>
      </c>
      <c r="E988" s="46" t="s">
        <v>588</v>
      </c>
      <c r="F988" s="47" t="s">
        <v>4783</v>
      </c>
      <c r="H988" s="47" t="s">
        <v>4056</v>
      </c>
      <c r="I988" s="46" t="s">
        <v>4784</v>
      </c>
      <c r="J988" s="49" t="s">
        <v>4785</v>
      </c>
      <c r="L988" s="96">
        <v>5</v>
      </c>
      <c r="M988" s="50">
        <v>253000</v>
      </c>
      <c r="O988" s="50" t="s">
        <v>4786</v>
      </c>
      <c r="P988" s="97" t="s">
        <v>4787</v>
      </c>
      <c r="Q988" s="46" t="s">
        <v>592</v>
      </c>
      <c r="R988" s="47" t="s">
        <v>4788</v>
      </c>
      <c r="U988" s="46" t="s">
        <v>1327</v>
      </c>
    </row>
    <row r="989" spans="1:21" ht="60" x14ac:dyDescent="0.25">
      <c r="A989" s="45">
        <v>42695</v>
      </c>
      <c r="B989" s="46" t="s">
        <v>378</v>
      </c>
      <c r="C989" s="45" t="s">
        <v>899</v>
      </c>
      <c r="D989" s="46" t="s">
        <v>930</v>
      </c>
      <c r="E989" s="46" t="s">
        <v>2333</v>
      </c>
      <c r="F989" s="47" t="s">
        <v>4790</v>
      </c>
      <c r="H989" s="47" t="s">
        <v>905</v>
      </c>
      <c r="O989" s="50" t="s">
        <v>4791</v>
      </c>
      <c r="P989" s="90" t="s">
        <v>4792</v>
      </c>
      <c r="Q989" s="46" t="s">
        <v>1939</v>
      </c>
      <c r="R989" s="47" t="s">
        <v>4789</v>
      </c>
      <c r="U989" s="46" t="s">
        <v>1327</v>
      </c>
    </row>
    <row r="990" spans="1:21" ht="45" x14ac:dyDescent="0.25">
      <c r="A990" s="45">
        <v>42696</v>
      </c>
      <c r="B990" s="46" t="s">
        <v>328</v>
      </c>
      <c r="C990" s="45" t="s">
        <v>603</v>
      </c>
      <c r="D990" s="46" t="s">
        <v>1471</v>
      </c>
      <c r="E990" s="46" t="s">
        <v>588</v>
      </c>
      <c r="F990" s="47" t="s">
        <v>4793</v>
      </c>
      <c r="H990" s="47" t="s">
        <v>710</v>
      </c>
      <c r="I990" s="46" t="s">
        <v>4794</v>
      </c>
      <c r="J990" s="49" t="s">
        <v>899</v>
      </c>
      <c r="L990" s="49">
        <v>4</v>
      </c>
      <c r="M990" s="50">
        <v>1750000</v>
      </c>
      <c r="N990" s="79">
        <v>3325000</v>
      </c>
      <c r="O990" s="50" t="s">
        <v>560</v>
      </c>
      <c r="P990" s="98" t="s">
        <v>4795</v>
      </c>
      <c r="Q990" s="46" t="s">
        <v>592</v>
      </c>
      <c r="R990" s="47" t="s">
        <v>4796</v>
      </c>
      <c r="U990" s="46" t="s">
        <v>1327</v>
      </c>
    </row>
    <row r="991" spans="1:21" ht="75" x14ac:dyDescent="0.25">
      <c r="A991" s="45">
        <v>42696</v>
      </c>
      <c r="B991" s="46" t="s">
        <v>328</v>
      </c>
      <c r="C991" s="45" t="s">
        <v>603</v>
      </c>
      <c r="D991" s="46" t="s">
        <v>1471</v>
      </c>
      <c r="E991" s="46" t="s">
        <v>588</v>
      </c>
      <c r="F991" s="47" t="s">
        <v>4803</v>
      </c>
      <c r="H991" s="47" t="s">
        <v>809</v>
      </c>
      <c r="I991" s="46" t="s">
        <v>4800</v>
      </c>
      <c r="J991" s="49" t="s">
        <v>603</v>
      </c>
      <c r="L991" s="49">
        <v>5</v>
      </c>
      <c r="M991" s="50">
        <v>2563000</v>
      </c>
      <c r="N991" s="87">
        <v>4741550</v>
      </c>
      <c r="O991" s="50" t="s">
        <v>560</v>
      </c>
      <c r="P991" s="47" t="s">
        <v>4802</v>
      </c>
      <c r="Q991" s="46" t="s">
        <v>592</v>
      </c>
      <c r="R991" s="47" t="s">
        <v>4801</v>
      </c>
      <c r="U991" s="46" t="s">
        <v>1327</v>
      </c>
    </row>
    <row r="992" spans="1:21" ht="45" x14ac:dyDescent="0.25">
      <c r="A992" s="45">
        <v>42696</v>
      </c>
      <c r="B992" s="46" t="s">
        <v>328</v>
      </c>
      <c r="C992" s="45" t="s">
        <v>603</v>
      </c>
      <c r="D992" s="46" t="s">
        <v>1471</v>
      </c>
      <c r="E992" s="46" t="s">
        <v>588</v>
      </c>
      <c r="F992" s="47" t="s">
        <v>4808</v>
      </c>
      <c r="H992" s="47" t="s">
        <v>905</v>
      </c>
      <c r="I992" s="46" t="s">
        <v>4807</v>
      </c>
      <c r="J992" s="49" t="s">
        <v>644</v>
      </c>
      <c r="L992" s="49">
        <v>10</v>
      </c>
      <c r="M992" s="50">
        <v>1100000</v>
      </c>
      <c r="N992" s="81">
        <v>1930000</v>
      </c>
      <c r="O992" s="50" t="s">
        <v>2680</v>
      </c>
      <c r="P992" s="90" t="s">
        <v>4805</v>
      </c>
      <c r="Q992" s="46" t="s">
        <v>29</v>
      </c>
      <c r="R992" s="47" t="s">
        <v>4806</v>
      </c>
      <c r="U992" s="46" t="s">
        <v>1327</v>
      </c>
    </row>
    <row r="993" spans="1:22" ht="60" x14ac:dyDescent="0.25">
      <c r="A993" s="45">
        <v>42696</v>
      </c>
      <c r="B993" s="46" t="s">
        <v>378</v>
      </c>
      <c r="C993" s="45" t="s">
        <v>899</v>
      </c>
      <c r="D993" s="46" t="s">
        <v>625</v>
      </c>
      <c r="E993" s="46" t="s">
        <v>588</v>
      </c>
      <c r="F993" s="47" t="s">
        <v>4797</v>
      </c>
      <c r="H993" s="47" t="s">
        <v>2884</v>
      </c>
      <c r="I993" s="46" t="s">
        <v>4060</v>
      </c>
      <c r="J993" s="49" t="s">
        <v>899</v>
      </c>
      <c r="L993" s="49">
        <v>10</v>
      </c>
      <c r="M993" s="50">
        <v>2056000</v>
      </c>
      <c r="N993" s="51">
        <v>3167120</v>
      </c>
      <c r="O993" s="50" t="s">
        <v>4798</v>
      </c>
      <c r="P993" s="65" t="s">
        <v>4804</v>
      </c>
      <c r="Q993" s="46" t="s">
        <v>29</v>
      </c>
      <c r="R993" s="47" t="s">
        <v>4799</v>
      </c>
      <c r="U993" s="46" t="s">
        <v>1327</v>
      </c>
    </row>
    <row r="994" spans="1:22" ht="90" x14ac:dyDescent="0.25">
      <c r="A994" s="45">
        <v>42697</v>
      </c>
      <c r="B994" s="46" t="s">
        <v>328</v>
      </c>
      <c r="C994" s="45" t="s">
        <v>603</v>
      </c>
      <c r="D994" s="46" t="s">
        <v>1471</v>
      </c>
      <c r="E994" s="46" t="s">
        <v>588</v>
      </c>
      <c r="F994" s="47" t="s">
        <v>4813</v>
      </c>
      <c r="H994" s="47" t="s">
        <v>1119</v>
      </c>
      <c r="I994" s="46" t="s">
        <v>3540</v>
      </c>
      <c r="J994" s="49" t="s">
        <v>899</v>
      </c>
      <c r="L994" s="49">
        <v>1</v>
      </c>
      <c r="M994" s="50">
        <v>2372691</v>
      </c>
      <c r="N994" s="51">
        <v>3205091</v>
      </c>
      <c r="O994" s="50" t="s">
        <v>560</v>
      </c>
      <c r="P994" s="90" t="s">
        <v>4814</v>
      </c>
      <c r="Q994" s="46" t="s">
        <v>1939</v>
      </c>
      <c r="R994" s="47" t="s">
        <v>4874</v>
      </c>
      <c r="U994" s="46" t="s">
        <v>1327</v>
      </c>
    </row>
    <row r="995" spans="1:22" ht="90" x14ac:dyDescent="0.25">
      <c r="A995" s="45">
        <v>42697</v>
      </c>
      <c r="B995" s="46" t="s">
        <v>328</v>
      </c>
      <c r="C995" s="45" t="s">
        <v>603</v>
      </c>
      <c r="D995" s="46" t="s">
        <v>1471</v>
      </c>
      <c r="E995" s="46" t="s">
        <v>588</v>
      </c>
      <c r="F995" s="47" t="s">
        <v>4819</v>
      </c>
      <c r="H995" s="47" t="s">
        <v>1119</v>
      </c>
      <c r="I995" s="46" t="s">
        <v>4818</v>
      </c>
      <c r="J995" s="49" t="s">
        <v>3888</v>
      </c>
      <c r="L995" s="49">
        <v>10</v>
      </c>
      <c r="M995" s="50">
        <v>441500</v>
      </c>
      <c r="N995" s="51">
        <v>485650</v>
      </c>
      <c r="O995" s="50" t="s">
        <v>4817</v>
      </c>
      <c r="P995" s="98" t="s">
        <v>4815</v>
      </c>
      <c r="Q995" s="46" t="s">
        <v>29</v>
      </c>
      <c r="R995" s="47" t="s">
        <v>4816</v>
      </c>
      <c r="U995" s="46" t="s">
        <v>1327</v>
      </c>
    </row>
    <row r="996" spans="1:22" ht="30" x14ac:dyDescent="0.25">
      <c r="A996" s="45">
        <v>42697</v>
      </c>
      <c r="B996" s="46" t="s">
        <v>110</v>
      </c>
      <c r="C996" s="45" t="s">
        <v>761</v>
      </c>
      <c r="D996" s="46" t="s">
        <v>4782</v>
      </c>
      <c r="E996" s="46" t="s">
        <v>588</v>
      </c>
      <c r="F996" s="47" t="s">
        <v>4812</v>
      </c>
      <c r="H996" s="47" t="s">
        <v>2884</v>
      </c>
      <c r="I996" s="46" t="s">
        <v>4809</v>
      </c>
      <c r="J996" s="49" t="s">
        <v>4785</v>
      </c>
      <c r="L996" s="49">
        <v>10</v>
      </c>
      <c r="M996" s="50">
        <v>776000</v>
      </c>
      <c r="N996" s="51">
        <v>1315000</v>
      </c>
      <c r="O996" s="50" t="s">
        <v>2680</v>
      </c>
      <c r="P996" s="99" t="s">
        <v>4810</v>
      </c>
      <c r="Q996" s="46" t="s">
        <v>592</v>
      </c>
      <c r="R996" s="47" t="s">
        <v>4811</v>
      </c>
      <c r="U996" s="46" t="s">
        <v>1327</v>
      </c>
    </row>
    <row r="997" spans="1:22" ht="60" x14ac:dyDescent="0.25">
      <c r="A997" s="45">
        <v>42702</v>
      </c>
      <c r="B997" s="46" t="s">
        <v>328</v>
      </c>
      <c r="C997" s="45" t="s">
        <v>603</v>
      </c>
      <c r="D997" s="46" t="s">
        <v>2397</v>
      </c>
      <c r="E997" s="46" t="s">
        <v>588</v>
      </c>
      <c r="F997" s="47" t="s">
        <v>4835</v>
      </c>
      <c r="H997" s="47" t="s">
        <v>4132</v>
      </c>
      <c r="I997" s="46" t="s">
        <v>4836</v>
      </c>
      <c r="J997" s="49" t="s">
        <v>644</v>
      </c>
      <c r="L997" s="49">
        <v>10</v>
      </c>
      <c r="M997" s="50">
        <v>2200000</v>
      </c>
      <c r="N997" s="51">
        <v>3420000</v>
      </c>
      <c r="O997" s="50" t="s">
        <v>4837</v>
      </c>
      <c r="P997" s="65" t="s">
        <v>4838</v>
      </c>
      <c r="Q997" s="46" t="s">
        <v>29</v>
      </c>
      <c r="R997" s="47" t="s">
        <v>4839</v>
      </c>
      <c r="U997" s="46" t="s">
        <v>491</v>
      </c>
    </row>
    <row r="998" spans="1:22" ht="75" x14ac:dyDescent="0.25">
      <c r="A998" s="45">
        <v>42702</v>
      </c>
      <c r="B998" s="46" t="s">
        <v>1486</v>
      </c>
      <c r="C998" s="45" t="s">
        <v>1883</v>
      </c>
      <c r="D998" s="46" t="s">
        <v>727</v>
      </c>
      <c r="E998" s="46" t="s">
        <v>588</v>
      </c>
      <c r="F998" s="47" t="s">
        <v>4820</v>
      </c>
      <c r="H998" s="47" t="s">
        <v>809</v>
      </c>
      <c r="I998" s="46" t="s">
        <v>1487</v>
      </c>
      <c r="J998" s="49" t="s">
        <v>604</v>
      </c>
      <c r="L998" s="49">
        <v>5</v>
      </c>
      <c r="M998" s="50">
        <v>345145</v>
      </c>
      <c r="N998" s="51">
        <v>379290</v>
      </c>
      <c r="O998" s="50" t="s">
        <v>4821</v>
      </c>
      <c r="P998" s="65" t="s">
        <v>4822</v>
      </c>
      <c r="Q998" s="46" t="s">
        <v>592</v>
      </c>
      <c r="U998" s="46" t="s">
        <v>491</v>
      </c>
    </row>
    <row r="999" spans="1:22" ht="90" x14ac:dyDescent="0.25">
      <c r="A999" s="45">
        <v>42702</v>
      </c>
      <c r="B999" s="46" t="s">
        <v>1486</v>
      </c>
      <c r="C999" s="45" t="s">
        <v>1883</v>
      </c>
      <c r="D999" s="46" t="s">
        <v>2454</v>
      </c>
      <c r="E999" s="46" t="s">
        <v>588</v>
      </c>
      <c r="F999" s="47" t="s">
        <v>4823</v>
      </c>
      <c r="H999" s="47" t="s">
        <v>809</v>
      </c>
      <c r="I999" s="46" t="s">
        <v>4824</v>
      </c>
      <c r="J999" s="49" t="s">
        <v>4825</v>
      </c>
      <c r="M999" s="50">
        <v>228000</v>
      </c>
      <c r="O999" s="50" t="s">
        <v>4826</v>
      </c>
      <c r="P999" s="65" t="s">
        <v>4827</v>
      </c>
      <c r="Q999" s="46" t="s">
        <v>1939</v>
      </c>
      <c r="R999" s="47" t="s">
        <v>4924</v>
      </c>
      <c r="U999" s="46" t="s">
        <v>491</v>
      </c>
      <c r="V999" s="46" t="s">
        <v>3985</v>
      </c>
    </row>
    <row r="1000" spans="1:22" ht="75" x14ac:dyDescent="0.25">
      <c r="A1000" s="45">
        <v>42702</v>
      </c>
      <c r="B1000" s="46" t="s">
        <v>378</v>
      </c>
      <c r="C1000" s="45" t="s">
        <v>623</v>
      </c>
      <c r="D1000" s="46" t="s">
        <v>930</v>
      </c>
      <c r="E1000" s="46" t="s">
        <v>821</v>
      </c>
      <c r="F1000" s="47" t="s">
        <v>4829</v>
      </c>
      <c r="H1000" s="47" t="s">
        <v>905</v>
      </c>
      <c r="O1000" s="50" t="s">
        <v>4830</v>
      </c>
      <c r="P1000" s="65" t="s">
        <v>4831</v>
      </c>
      <c r="Q1000" s="46" t="s">
        <v>1939</v>
      </c>
      <c r="R1000" s="47" t="s">
        <v>4832</v>
      </c>
      <c r="U1000" s="46" t="s">
        <v>491</v>
      </c>
    </row>
    <row r="1001" spans="1:22" ht="90" x14ac:dyDescent="0.25">
      <c r="A1001" s="45">
        <v>42702</v>
      </c>
      <c r="B1001" s="46" t="s">
        <v>643</v>
      </c>
      <c r="C1001" s="45" t="s">
        <v>644</v>
      </c>
      <c r="D1001" s="46" t="s">
        <v>645</v>
      </c>
      <c r="E1001" s="46" t="s">
        <v>588</v>
      </c>
      <c r="F1001" s="47" t="s">
        <v>4833</v>
      </c>
      <c r="H1001" s="47" t="s">
        <v>1391</v>
      </c>
      <c r="I1001" s="46" t="s">
        <v>2397</v>
      </c>
      <c r="J1001" s="49" t="s">
        <v>644</v>
      </c>
      <c r="L1001" s="49">
        <v>9</v>
      </c>
      <c r="M1001" s="50">
        <v>813000</v>
      </c>
      <c r="N1001" s="51">
        <v>2289200</v>
      </c>
      <c r="O1001" s="50" t="s">
        <v>4529</v>
      </c>
      <c r="P1001" s="65" t="s">
        <v>4834</v>
      </c>
      <c r="Q1001" s="46" t="s">
        <v>592</v>
      </c>
      <c r="U1001" s="46" t="s">
        <v>491</v>
      </c>
    </row>
    <row r="1002" spans="1:22" ht="75" x14ac:dyDescent="0.25">
      <c r="A1002" s="45">
        <v>42703</v>
      </c>
      <c r="B1002" s="46" t="s">
        <v>643</v>
      </c>
      <c r="C1002" s="45" t="s">
        <v>644</v>
      </c>
      <c r="D1002" s="46" t="s">
        <v>645</v>
      </c>
      <c r="E1002" s="46" t="s">
        <v>588</v>
      </c>
      <c r="F1002" s="47" t="s">
        <v>4840</v>
      </c>
      <c r="H1002" s="47" t="s">
        <v>607</v>
      </c>
      <c r="I1002" s="46" t="s">
        <v>3814</v>
      </c>
      <c r="J1002" s="49" t="s">
        <v>644</v>
      </c>
      <c r="L1002" s="49">
        <v>2</v>
      </c>
      <c r="M1002" s="50">
        <v>150000</v>
      </c>
      <c r="N1002" s="51">
        <v>264000</v>
      </c>
      <c r="O1002" s="50" t="s">
        <v>4841</v>
      </c>
      <c r="P1002" s="65" t="s">
        <v>4842</v>
      </c>
      <c r="Q1002" s="46" t="s">
        <v>29</v>
      </c>
      <c r="R1002" s="47" t="s">
        <v>4843</v>
      </c>
      <c r="U1002" s="46" t="s">
        <v>491</v>
      </c>
    </row>
    <row r="1003" spans="1:22" ht="45" x14ac:dyDescent="0.25">
      <c r="A1003" s="45">
        <v>42703</v>
      </c>
      <c r="B1003" s="46" t="s">
        <v>378</v>
      </c>
      <c r="C1003" s="45" t="s">
        <v>623</v>
      </c>
      <c r="D1003" s="46" t="s">
        <v>930</v>
      </c>
      <c r="E1003" s="46" t="s">
        <v>588</v>
      </c>
      <c r="F1003" s="47" t="s">
        <v>4844</v>
      </c>
      <c r="H1003" s="47" t="s">
        <v>886</v>
      </c>
      <c r="I1003" s="46" t="s">
        <v>4845</v>
      </c>
      <c r="J1003" s="49" t="s">
        <v>899</v>
      </c>
      <c r="L1003" s="49">
        <v>4</v>
      </c>
      <c r="M1003" s="50">
        <v>1719000</v>
      </c>
      <c r="N1003" s="51">
        <v>3094200</v>
      </c>
      <c r="O1003" s="50" t="s">
        <v>560</v>
      </c>
      <c r="P1003" s="65" t="s">
        <v>4846</v>
      </c>
      <c r="Q1003" s="46" t="s">
        <v>1939</v>
      </c>
      <c r="R1003" s="47" t="s">
        <v>4847</v>
      </c>
      <c r="U1003" s="46" t="s">
        <v>491</v>
      </c>
    </row>
    <row r="1004" spans="1:22" ht="60" x14ac:dyDescent="0.25">
      <c r="A1004" s="45">
        <v>42703</v>
      </c>
      <c r="B1004" s="46" t="s">
        <v>378</v>
      </c>
      <c r="C1004" s="45" t="s">
        <v>623</v>
      </c>
      <c r="D1004" s="46" t="s">
        <v>624</v>
      </c>
      <c r="E1004" s="46" t="s">
        <v>588</v>
      </c>
      <c r="F1004" s="47" t="s">
        <v>4848</v>
      </c>
      <c r="H1004" s="47" t="s">
        <v>905</v>
      </c>
      <c r="I1004" s="46" t="s">
        <v>3388</v>
      </c>
      <c r="J1004" s="49" t="s">
        <v>899</v>
      </c>
      <c r="L1004" s="49">
        <v>2</v>
      </c>
      <c r="M1004" s="50">
        <v>2709000</v>
      </c>
      <c r="N1004" s="51">
        <v>3222000</v>
      </c>
      <c r="O1004" s="50" t="s">
        <v>560</v>
      </c>
      <c r="P1004" s="65" t="s">
        <v>4849</v>
      </c>
      <c r="Q1004" s="46" t="s">
        <v>592</v>
      </c>
      <c r="U1004" s="46" t="s">
        <v>491</v>
      </c>
    </row>
    <row r="1005" spans="1:22" ht="30" x14ac:dyDescent="0.25">
      <c r="A1005" s="45">
        <v>42703</v>
      </c>
      <c r="B1005" s="46" t="s">
        <v>378</v>
      </c>
      <c r="C1005" s="45" t="s">
        <v>623</v>
      </c>
      <c r="D1005" s="46" t="s">
        <v>624</v>
      </c>
      <c r="E1005" s="46" t="s">
        <v>588</v>
      </c>
      <c r="F1005" s="47" t="s">
        <v>4850</v>
      </c>
      <c r="H1005" s="47" t="s">
        <v>607</v>
      </c>
      <c r="I1005" s="46" t="s">
        <v>2054</v>
      </c>
      <c r="J1005" s="49" t="s">
        <v>899</v>
      </c>
      <c r="L1005" s="49">
        <v>2</v>
      </c>
      <c r="M1005" s="50">
        <v>2601000</v>
      </c>
      <c r="N1005" s="51">
        <v>3801000</v>
      </c>
      <c r="O1005" s="50" t="s">
        <v>560</v>
      </c>
      <c r="P1005" s="65" t="s">
        <v>4851</v>
      </c>
      <c r="Q1005" s="46" t="s">
        <v>592</v>
      </c>
      <c r="U1005" s="46" t="s">
        <v>491</v>
      </c>
    </row>
    <row r="1006" spans="1:22" ht="45" x14ac:dyDescent="0.25">
      <c r="A1006" s="45">
        <v>42704</v>
      </c>
      <c r="B1006" s="46" t="s">
        <v>328</v>
      </c>
      <c r="C1006" s="45" t="s">
        <v>603</v>
      </c>
      <c r="D1006" s="46" t="s">
        <v>2397</v>
      </c>
      <c r="E1006" s="46" t="s">
        <v>588</v>
      </c>
      <c r="F1006" s="47" t="s">
        <v>4860</v>
      </c>
      <c r="H1006" s="47" t="s">
        <v>2912</v>
      </c>
      <c r="I1006" s="46" t="s">
        <v>4861</v>
      </c>
      <c r="J1006" s="49" t="s">
        <v>644</v>
      </c>
      <c r="L1006" s="49">
        <v>5</v>
      </c>
      <c r="M1006" s="50">
        <v>2500000</v>
      </c>
      <c r="N1006" s="51">
        <v>2500000</v>
      </c>
      <c r="O1006" s="50" t="s">
        <v>560</v>
      </c>
      <c r="P1006" s="65" t="s">
        <v>4862</v>
      </c>
      <c r="Q1006" s="46" t="s">
        <v>1939</v>
      </c>
      <c r="R1006" s="47" t="s">
        <v>4872</v>
      </c>
      <c r="U1006" s="46" t="s">
        <v>491</v>
      </c>
    </row>
    <row r="1007" spans="1:22" ht="30" x14ac:dyDescent="0.25">
      <c r="A1007" s="45">
        <v>42704</v>
      </c>
      <c r="B1007" s="46" t="s">
        <v>328</v>
      </c>
      <c r="C1007" s="45" t="s">
        <v>603</v>
      </c>
      <c r="D1007" s="46" t="s">
        <v>2397</v>
      </c>
      <c r="E1007" s="46" t="s">
        <v>588</v>
      </c>
      <c r="F1007" s="47" t="s">
        <v>4863</v>
      </c>
      <c r="H1007" s="47" t="s">
        <v>905</v>
      </c>
      <c r="I1007" s="46" t="s">
        <v>4864</v>
      </c>
      <c r="J1007" s="49" t="s">
        <v>899</v>
      </c>
      <c r="L1007" s="49">
        <v>4</v>
      </c>
      <c r="M1007" s="50">
        <v>219561</v>
      </c>
      <c r="N1007" s="51">
        <v>265000</v>
      </c>
      <c r="O1007" s="50" t="s">
        <v>4865</v>
      </c>
      <c r="P1007" s="65" t="s">
        <v>4866</v>
      </c>
      <c r="Q1007" s="46" t="s">
        <v>592</v>
      </c>
      <c r="U1007" s="46" t="s">
        <v>491</v>
      </c>
    </row>
    <row r="1008" spans="1:22" ht="90" x14ac:dyDescent="0.25">
      <c r="A1008" s="45">
        <v>42704</v>
      </c>
      <c r="B1008" s="46" t="s">
        <v>328</v>
      </c>
      <c r="C1008" s="45" t="s">
        <v>603</v>
      </c>
      <c r="D1008" s="46" t="s">
        <v>2397</v>
      </c>
      <c r="E1008" s="46" t="s">
        <v>588</v>
      </c>
      <c r="F1008" s="47" t="s">
        <v>4856</v>
      </c>
      <c r="H1008" s="47" t="s">
        <v>1391</v>
      </c>
      <c r="I1008" s="46" t="s">
        <v>4857</v>
      </c>
      <c r="J1008" s="49" t="s">
        <v>3533</v>
      </c>
      <c r="L1008" s="49">
        <v>10</v>
      </c>
      <c r="M1008" s="50">
        <v>1200000</v>
      </c>
      <c r="N1008" s="51">
        <v>1820000</v>
      </c>
      <c r="O1008" s="50" t="s">
        <v>4837</v>
      </c>
      <c r="P1008" s="65" t="s">
        <v>4858</v>
      </c>
      <c r="Q1008" s="46" t="s">
        <v>1939</v>
      </c>
      <c r="R1008" s="47" t="s">
        <v>4859</v>
      </c>
      <c r="U1008" s="46" t="s">
        <v>491</v>
      </c>
    </row>
    <row r="1009" spans="1:21" ht="45" x14ac:dyDescent="0.25">
      <c r="A1009" s="45">
        <v>42704</v>
      </c>
      <c r="B1009" s="46" t="s">
        <v>378</v>
      </c>
      <c r="C1009" s="45" t="s">
        <v>623</v>
      </c>
      <c r="D1009" s="46" t="s">
        <v>625</v>
      </c>
      <c r="E1009" s="46" t="s">
        <v>588</v>
      </c>
      <c r="F1009" s="47" t="s">
        <v>4852</v>
      </c>
      <c r="H1009" s="47" t="s">
        <v>4132</v>
      </c>
      <c r="I1009" s="46" t="s">
        <v>4853</v>
      </c>
      <c r="J1009" s="49" t="s">
        <v>899</v>
      </c>
      <c r="L1009" s="49">
        <v>3</v>
      </c>
      <c r="M1009" s="50">
        <v>1600000</v>
      </c>
      <c r="N1009" s="51">
        <v>2460000</v>
      </c>
      <c r="O1009" s="50" t="s">
        <v>4732</v>
      </c>
      <c r="P1009" s="65" t="s">
        <v>4854</v>
      </c>
      <c r="Q1009" s="46" t="s">
        <v>1939</v>
      </c>
      <c r="R1009" s="47" t="s">
        <v>4855</v>
      </c>
      <c r="U1009" s="46" t="s">
        <v>491</v>
      </c>
    </row>
    <row r="1010" spans="1:21" ht="75" x14ac:dyDescent="0.25">
      <c r="A1010" s="45">
        <v>42704</v>
      </c>
      <c r="B1010" s="46" t="s">
        <v>378</v>
      </c>
      <c r="C1010" s="45" t="s">
        <v>623</v>
      </c>
      <c r="D1010" s="46" t="s">
        <v>624</v>
      </c>
      <c r="E1010" s="46" t="s">
        <v>588</v>
      </c>
      <c r="F1010" s="47" t="s">
        <v>4867</v>
      </c>
      <c r="H1010" s="47" t="s">
        <v>607</v>
      </c>
      <c r="I1010" s="46" t="s">
        <v>4237</v>
      </c>
      <c r="J1010" s="49" t="s">
        <v>899</v>
      </c>
      <c r="L1010" s="49">
        <v>2</v>
      </c>
      <c r="M1010" s="50">
        <v>875000</v>
      </c>
      <c r="N1010" s="51">
        <v>1457500</v>
      </c>
      <c r="O1010" s="50" t="s">
        <v>1171</v>
      </c>
      <c r="P1010" s="65" t="s">
        <v>4868</v>
      </c>
      <c r="Q1010" s="46" t="s">
        <v>1612</v>
      </c>
      <c r="R1010" s="47" t="s">
        <v>4923</v>
      </c>
      <c r="U1010" s="46" t="s">
        <v>491</v>
      </c>
    </row>
    <row r="1011" spans="1:21" ht="45" x14ac:dyDescent="0.25">
      <c r="A1011" s="45">
        <v>42704</v>
      </c>
      <c r="B1011" s="46" t="s">
        <v>643</v>
      </c>
      <c r="C1011" s="45" t="s">
        <v>644</v>
      </c>
      <c r="D1011" s="46" t="s">
        <v>645</v>
      </c>
      <c r="E1011" s="46" t="s">
        <v>588</v>
      </c>
      <c r="F1011" s="47" t="s">
        <v>4869</v>
      </c>
      <c r="H1011" s="47" t="s">
        <v>4870</v>
      </c>
      <c r="I1011" s="46" t="s">
        <v>3814</v>
      </c>
      <c r="J1011" s="49" t="s">
        <v>644</v>
      </c>
      <c r="L1011" s="49">
        <v>6</v>
      </c>
      <c r="M1011" s="50">
        <v>13368000</v>
      </c>
      <c r="N1011" s="51">
        <v>17530000</v>
      </c>
      <c r="O1011" s="50" t="s">
        <v>4871</v>
      </c>
      <c r="P1011" s="65" t="s">
        <v>4873</v>
      </c>
      <c r="Q1011" s="46" t="s">
        <v>1939</v>
      </c>
      <c r="U1011" s="46" t="s">
        <v>491</v>
      </c>
    </row>
    <row r="1012" spans="1:21" ht="60" x14ac:dyDescent="0.25">
      <c r="A1012" s="45">
        <v>42705</v>
      </c>
      <c r="B1012" s="46" t="s">
        <v>328</v>
      </c>
      <c r="C1012" s="45" t="s">
        <v>603</v>
      </c>
      <c r="D1012" s="46" t="s">
        <v>2397</v>
      </c>
      <c r="E1012" s="46" t="s">
        <v>588</v>
      </c>
      <c r="F1012" s="47" t="s">
        <v>4879</v>
      </c>
      <c r="H1012" s="47" t="s">
        <v>607</v>
      </c>
      <c r="I1012" s="46" t="s">
        <v>4880</v>
      </c>
      <c r="J1012" s="49" t="s">
        <v>899</v>
      </c>
      <c r="L1012" s="49">
        <v>10</v>
      </c>
      <c r="M1012" s="50">
        <v>850000</v>
      </c>
      <c r="N1012" s="51">
        <v>1670000</v>
      </c>
      <c r="O1012" s="50" t="s">
        <v>764</v>
      </c>
      <c r="P1012" s="65" t="s">
        <v>4881</v>
      </c>
      <c r="Q1012" s="46" t="s">
        <v>1939</v>
      </c>
      <c r="R1012" s="47" t="s">
        <v>4910</v>
      </c>
      <c r="U1012" s="46" t="s">
        <v>491</v>
      </c>
    </row>
    <row r="1013" spans="1:21" ht="90" x14ac:dyDescent="0.25">
      <c r="A1013" s="45">
        <v>42705</v>
      </c>
      <c r="B1013" s="46" t="s">
        <v>378</v>
      </c>
      <c r="C1013" s="45" t="s">
        <v>623</v>
      </c>
      <c r="D1013" s="46" t="s">
        <v>611</v>
      </c>
      <c r="E1013" s="46" t="s">
        <v>588</v>
      </c>
      <c r="F1013" s="47" t="s">
        <v>4875</v>
      </c>
      <c r="H1013" s="47" t="s">
        <v>809</v>
      </c>
      <c r="I1013" s="46" t="s">
        <v>3388</v>
      </c>
      <c r="J1013" s="49" t="s">
        <v>899</v>
      </c>
      <c r="L1013" s="49">
        <v>2</v>
      </c>
      <c r="M1013" s="50">
        <v>1910174</v>
      </c>
      <c r="N1013" s="51">
        <v>2090174</v>
      </c>
      <c r="O1013" s="50" t="s">
        <v>35</v>
      </c>
      <c r="P1013" s="65" t="s">
        <v>4876</v>
      </c>
      <c r="Q1013" s="46" t="s">
        <v>1612</v>
      </c>
      <c r="R1013" s="47" t="s">
        <v>4877</v>
      </c>
      <c r="S1013" s="47" t="s">
        <v>5121</v>
      </c>
      <c r="U1013" s="46" t="s">
        <v>5122</v>
      </c>
    </row>
    <row r="1014" spans="1:21" ht="75" x14ac:dyDescent="0.25">
      <c r="A1014" s="45">
        <v>42706</v>
      </c>
      <c r="B1014" s="46" t="s">
        <v>328</v>
      </c>
      <c r="C1014" s="45" t="s">
        <v>603</v>
      </c>
      <c r="D1014" s="46" t="s">
        <v>2397</v>
      </c>
      <c r="E1014" s="46" t="s">
        <v>588</v>
      </c>
      <c r="F1014" s="47" t="s">
        <v>4884</v>
      </c>
      <c r="H1014" s="47" t="s">
        <v>607</v>
      </c>
      <c r="I1014" s="46" t="s">
        <v>4885</v>
      </c>
      <c r="J1014" s="49" t="s">
        <v>899</v>
      </c>
      <c r="O1014" s="50" t="s">
        <v>3192</v>
      </c>
      <c r="P1014" s="65" t="s">
        <v>4886</v>
      </c>
      <c r="Q1014" s="46" t="s">
        <v>1939</v>
      </c>
      <c r="R1014" s="47" t="s">
        <v>4887</v>
      </c>
      <c r="U1014" s="46" t="s">
        <v>491</v>
      </c>
    </row>
    <row r="1015" spans="1:21" ht="90" x14ac:dyDescent="0.25">
      <c r="A1015" s="45">
        <v>42706</v>
      </c>
      <c r="B1015" s="46" t="s">
        <v>328</v>
      </c>
      <c r="C1015" s="45" t="s">
        <v>603</v>
      </c>
      <c r="D1015" s="46" t="s">
        <v>1401</v>
      </c>
      <c r="E1015" s="46" t="s">
        <v>588</v>
      </c>
      <c r="F1015" s="47" t="s">
        <v>3792</v>
      </c>
      <c r="H1015" s="47" t="s">
        <v>5046</v>
      </c>
      <c r="I1015" s="46" t="s">
        <v>3793</v>
      </c>
      <c r="J1015" s="49" t="s">
        <v>899</v>
      </c>
      <c r="O1015" s="50" t="s">
        <v>2928</v>
      </c>
      <c r="P1015" s="65" t="s">
        <v>4882</v>
      </c>
      <c r="Q1015" s="46" t="s">
        <v>29</v>
      </c>
      <c r="R1015" s="47" t="s">
        <v>4883</v>
      </c>
      <c r="U1015" s="46" t="s">
        <v>491</v>
      </c>
    </row>
    <row r="1016" spans="1:21" ht="75" x14ac:dyDescent="0.25">
      <c r="A1016" s="45">
        <v>42706</v>
      </c>
      <c r="B1016" s="46" t="s">
        <v>328</v>
      </c>
      <c r="C1016" s="45" t="s">
        <v>603</v>
      </c>
      <c r="D1016" s="46" t="s">
        <v>2397</v>
      </c>
      <c r="E1016" s="46" t="s">
        <v>588</v>
      </c>
      <c r="F1016" s="47" t="s">
        <v>4888</v>
      </c>
      <c r="H1016" s="47" t="s">
        <v>607</v>
      </c>
      <c r="I1016" s="46" t="s">
        <v>2054</v>
      </c>
      <c r="J1016" s="49" t="s">
        <v>899</v>
      </c>
      <c r="L1016" s="49">
        <v>2</v>
      </c>
      <c r="M1016" s="50">
        <v>1500000</v>
      </c>
      <c r="N1016" s="51">
        <v>2600000</v>
      </c>
      <c r="O1016" s="50" t="s">
        <v>695</v>
      </c>
      <c r="P1016" s="65" t="s">
        <v>4889</v>
      </c>
      <c r="Q1016" s="46" t="s">
        <v>1939</v>
      </c>
      <c r="R1016" s="47" t="s">
        <v>5047</v>
      </c>
      <c r="U1016" s="46" t="s">
        <v>491</v>
      </c>
    </row>
    <row r="1017" spans="1:21" ht="60" x14ac:dyDescent="0.25">
      <c r="A1017" s="45">
        <v>42706</v>
      </c>
      <c r="B1017" s="46" t="s">
        <v>378</v>
      </c>
      <c r="C1017" s="45" t="s">
        <v>623</v>
      </c>
      <c r="D1017" s="46" t="s">
        <v>930</v>
      </c>
      <c r="E1017" s="46" t="s">
        <v>588</v>
      </c>
      <c r="F1017" s="47" t="s">
        <v>4890</v>
      </c>
      <c r="H1017" s="47" t="s">
        <v>607</v>
      </c>
      <c r="O1017" s="50" t="s">
        <v>3952</v>
      </c>
      <c r="P1017" s="65" t="s">
        <v>4891</v>
      </c>
      <c r="Q1017" s="46" t="s">
        <v>1939</v>
      </c>
      <c r="R1017" s="47" t="s">
        <v>4892</v>
      </c>
      <c r="U1017" s="46" t="s">
        <v>491</v>
      </c>
    </row>
    <row r="1018" spans="1:21" ht="45" x14ac:dyDescent="0.25">
      <c r="A1018" s="45">
        <v>42706</v>
      </c>
      <c r="B1018" s="46" t="s">
        <v>1486</v>
      </c>
      <c r="C1018" s="45" t="s">
        <v>1883</v>
      </c>
      <c r="D1018" s="46" t="s">
        <v>595</v>
      </c>
      <c r="E1018" s="46" t="s">
        <v>588</v>
      </c>
      <c r="F1018" s="47" t="s">
        <v>4893</v>
      </c>
      <c r="H1018" s="47" t="s">
        <v>905</v>
      </c>
      <c r="J1018" s="49" t="s">
        <v>604</v>
      </c>
      <c r="O1018" s="50" t="s">
        <v>2392</v>
      </c>
      <c r="P1018" s="65" t="s">
        <v>4894</v>
      </c>
      <c r="Q1018" s="46" t="s">
        <v>29</v>
      </c>
      <c r="R1018" s="47" t="s">
        <v>4895</v>
      </c>
      <c r="U1018" s="46" t="s">
        <v>491</v>
      </c>
    </row>
    <row r="1019" spans="1:21" ht="45" x14ac:dyDescent="0.25">
      <c r="A1019" s="45">
        <v>42706</v>
      </c>
      <c r="B1019" s="46" t="s">
        <v>378</v>
      </c>
      <c r="C1019" s="45" t="s">
        <v>623</v>
      </c>
      <c r="D1019" s="46" t="s">
        <v>611</v>
      </c>
      <c r="E1019" s="46" t="s">
        <v>588</v>
      </c>
      <c r="F1019" s="47" t="s">
        <v>4896</v>
      </c>
      <c r="H1019" s="47" t="s">
        <v>886</v>
      </c>
      <c r="O1019" s="50" t="s">
        <v>4897</v>
      </c>
      <c r="P1019" s="65" t="s">
        <v>4898</v>
      </c>
      <c r="Q1019" s="46" t="s">
        <v>592</v>
      </c>
      <c r="U1019" s="46" t="s">
        <v>491</v>
      </c>
    </row>
    <row r="1020" spans="1:21" ht="45" x14ac:dyDescent="0.25">
      <c r="A1020" s="45">
        <v>42706</v>
      </c>
      <c r="B1020" s="46" t="s">
        <v>378</v>
      </c>
      <c r="C1020" s="45" t="s">
        <v>623</v>
      </c>
      <c r="D1020" s="46" t="s">
        <v>625</v>
      </c>
      <c r="E1020" s="46" t="s">
        <v>588</v>
      </c>
      <c r="F1020" s="47" t="s">
        <v>4899</v>
      </c>
      <c r="H1020" s="47" t="s">
        <v>886</v>
      </c>
      <c r="J1020" s="49" t="s">
        <v>899</v>
      </c>
      <c r="O1020" s="50" t="s">
        <v>4900</v>
      </c>
      <c r="P1020" s="65" t="s">
        <v>4901</v>
      </c>
      <c r="Q1020" s="46" t="s">
        <v>620</v>
      </c>
      <c r="R1020" s="47" t="s">
        <v>4902</v>
      </c>
      <c r="U1020" s="46" t="s">
        <v>491</v>
      </c>
    </row>
    <row r="1021" spans="1:21" ht="105" x14ac:dyDescent="0.25">
      <c r="A1021" s="45">
        <v>42706</v>
      </c>
      <c r="B1021" s="46" t="s">
        <v>378</v>
      </c>
      <c r="C1021" s="45" t="s">
        <v>623</v>
      </c>
      <c r="D1021" s="46" t="s">
        <v>930</v>
      </c>
      <c r="E1021" s="46" t="s">
        <v>588</v>
      </c>
      <c r="F1021" s="47" t="s">
        <v>4903</v>
      </c>
      <c r="H1021" s="47" t="s">
        <v>607</v>
      </c>
      <c r="I1021" s="46" t="s">
        <v>3452</v>
      </c>
      <c r="J1021" s="49" t="s">
        <v>899</v>
      </c>
      <c r="L1021" s="49">
        <v>4</v>
      </c>
      <c r="M1021" s="50">
        <v>1121000</v>
      </c>
      <c r="N1021" s="51">
        <v>2185900</v>
      </c>
      <c r="O1021" s="50" t="s">
        <v>1171</v>
      </c>
      <c r="P1021" s="65" t="s">
        <v>4904</v>
      </c>
      <c r="Q1021" s="46" t="s">
        <v>620</v>
      </c>
      <c r="R1021" s="47" t="s">
        <v>4905</v>
      </c>
      <c r="U1021" s="46" t="s">
        <v>491</v>
      </c>
    </row>
    <row r="1022" spans="1:21" ht="30" x14ac:dyDescent="0.25">
      <c r="A1022" s="45">
        <v>42706</v>
      </c>
      <c r="B1022" s="46" t="s">
        <v>110</v>
      </c>
      <c r="D1022" s="46" t="s">
        <v>715</v>
      </c>
      <c r="E1022" s="46" t="s">
        <v>588</v>
      </c>
      <c r="F1022" s="47" t="s">
        <v>4906</v>
      </c>
      <c r="H1022" s="47" t="s">
        <v>607</v>
      </c>
      <c r="I1022" s="46" t="s">
        <v>4907</v>
      </c>
      <c r="J1022" s="49" t="s">
        <v>761</v>
      </c>
      <c r="L1022" s="49">
        <v>5</v>
      </c>
      <c r="M1022" s="50">
        <v>182000</v>
      </c>
      <c r="N1022" s="51">
        <v>309400</v>
      </c>
      <c r="O1022" s="50" t="s">
        <v>2837</v>
      </c>
      <c r="P1022" s="65" t="s">
        <v>4908</v>
      </c>
      <c r="Q1022" s="46" t="s">
        <v>29</v>
      </c>
      <c r="R1022" s="47" t="s">
        <v>4909</v>
      </c>
      <c r="U1022" s="46" t="s">
        <v>491</v>
      </c>
    </row>
    <row r="1023" spans="1:21" ht="60" x14ac:dyDescent="0.25">
      <c r="A1023" s="45">
        <v>42706</v>
      </c>
      <c r="B1023" s="46" t="s">
        <v>378</v>
      </c>
      <c r="C1023" s="45" t="s">
        <v>623</v>
      </c>
      <c r="D1023" s="46" t="s">
        <v>624</v>
      </c>
      <c r="E1023" s="46" t="s">
        <v>588</v>
      </c>
      <c r="F1023" s="47" t="s">
        <v>4911</v>
      </c>
      <c r="H1023" s="47" t="s">
        <v>905</v>
      </c>
      <c r="I1023" s="46" t="s">
        <v>2054</v>
      </c>
      <c r="J1023" s="49" t="s">
        <v>899</v>
      </c>
      <c r="L1023" s="49">
        <v>3</v>
      </c>
      <c r="M1023" s="50">
        <v>430000</v>
      </c>
      <c r="N1023" s="51">
        <v>455000</v>
      </c>
      <c r="O1023" s="50" t="s">
        <v>666</v>
      </c>
      <c r="P1023" s="65" t="s">
        <v>4912</v>
      </c>
      <c r="Q1023" s="46" t="s">
        <v>1939</v>
      </c>
      <c r="R1023" s="47" t="s">
        <v>4913</v>
      </c>
      <c r="U1023" s="46" t="s">
        <v>491</v>
      </c>
    </row>
    <row r="1024" spans="1:21" ht="45" x14ac:dyDescent="0.25">
      <c r="A1024" s="45">
        <v>42709</v>
      </c>
      <c r="B1024" s="46" t="s">
        <v>643</v>
      </c>
      <c r="C1024" s="45" t="s">
        <v>644</v>
      </c>
      <c r="D1024" s="46" t="s">
        <v>645</v>
      </c>
      <c r="E1024" s="46" t="s">
        <v>588</v>
      </c>
      <c r="F1024" s="47" t="s">
        <v>4914</v>
      </c>
      <c r="H1024" s="47" t="s">
        <v>905</v>
      </c>
      <c r="I1024" s="46" t="s">
        <v>4915</v>
      </c>
      <c r="J1024" s="49" t="s">
        <v>899</v>
      </c>
      <c r="L1024" s="49">
        <v>2</v>
      </c>
      <c r="M1024" s="50">
        <v>1975000</v>
      </c>
      <c r="N1024" s="51">
        <v>2617500</v>
      </c>
      <c r="O1024" s="50" t="s">
        <v>560</v>
      </c>
      <c r="P1024" s="65" t="s">
        <v>4916</v>
      </c>
      <c r="Q1024" s="46" t="s">
        <v>592</v>
      </c>
      <c r="U1024" s="46" t="s">
        <v>491</v>
      </c>
    </row>
    <row r="1025" spans="1:21" ht="105" x14ac:dyDescent="0.25">
      <c r="A1025" s="45">
        <v>42709</v>
      </c>
      <c r="B1025" s="46" t="s">
        <v>643</v>
      </c>
      <c r="C1025" s="45" t="s">
        <v>644</v>
      </c>
      <c r="D1025" s="46" t="s">
        <v>645</v>
      </c>
      <c r="E1025" s="46" t="s">
        <v>588</v>
      </c>
      <c r="F1025" s="47" t="s">
        <v>4917</v>
      </c>
      <c r="H1025" s="47" t="s">
        <v>607</v>
      </c>
      <c r="I1025" s="46" t="s">
        <v>4918</v>
      </c>
      <c r="J1025" s="49" t="s">
        <v>3885</v>
      </c>
      <c r="M1025" s="50">
        <v>696000</v>
      </c>
      <c r="N1025" s="51">
        <v>1360000</v>
      </c>
      <c r="O1025" s="50" t="s">
        <v>4919</v>
      </c>
      <c r="P1025" s="65" t="s">
        <v>4920</v>
      </c>
      <c r="Q1025" s="46" t="s">
        <v>1939</v>
      </c>
      <c r="R1025" s="47" t="s">
        <v>4940</v>
      </c>
      <c r="U1025" s="46" t="s">
        <v>491</v>
      </c>
    </row>
    <row r="1026" spans="1:21" ht="45" x14ac:dyDescent="0.25">
      <c r="A1026" s="45">
        <v>42709</v>
      </c>
      <c r="B1026" s="46" t="s">
        <v>1486</v>
      </c>
      <c r="C1026" s="45" t="s">
        <v>1883</v>
      </c>
      <c r="D1026" s="46" t="s">
        <v>732</v>
      </c>
      <c r="E1026" s="46" t="s">
        <v>588</v>
      </c>
      <c r="O1026" s="50" t="s">
        <v>1013</v>
      </c>
      <c r="P1026" s="65" t="s">
        <v>4921</v>
      </c>
      <c r="Q1026" s="46" t="s">
        <v>1939</v>
      </c>
      <c r="R1026" s="47" t="s">
        <v>4922</v>
      </c>
      <c r="U1026" s="46" t="s">
        <v>491</v>
      </c>
    </row>
    <row r="1027" spans="1:21" ht="30" x14ac:dyDescent="0.25">
      <c r="A1027" s="45">
        <v>42710</v>
      </c>
      <c r="B1027" s="46" t="s">
        <v>328</v>
      </c>
      <c r="C1027" s="45" t="s">
        <v>603</v>
      </c>
      <c r="D1027" s="46" t="s">
        <v>1401</v>
      </c>
      <c r="E1027" s="46" t="s">
        <v>588</v>
      </c>
      <c r="F1027" s="47" t="s">
        <v>4925</v>
      </c>
      <c r="H1027" s="47" t="s">
        <v>607</v>
      </c>
      <c r="I1027" s="46" t="s">
        <v>4926</v>
      </c>
      <c r="J1027" s="49" t="s">
        <v>644</v>
      </c>
      <c r="L1027" s="49">
        <v>9</v>
      </c>
      <c r="M1027" s="50">
        <v>975000</v>
      </c>
      <c r="N1027" s="51">
        <v>1746250</v>
      </c>
      <c r="O1027" s="50" t="s">
        <v>560</v>
      </c>
      <c r="P1027" s="65" t="s">
        <v>4927</v>
      </c>
      <c r="Q1027" s="46" t="s">
        <v>592</v>
      </c>
      <c r="U1027" s="46" t="s">
        <v>491</v>
      </c>
    </row>
    <row r="1028" spans="1:21" ht="30" x14ac:dyDescent="0.25">
      <c r="A1028" s="45">
        <v>42710</v>
      </c>
      <c r="B1028" s="46" t="s">
        <v>328</v>
      </c>
      <c r="C1028" s="45" t="s">
        <v>603</v>
      </c>
      <c r="D1028" s="46" t="s">
        <v>1401</v>
      </c>
      <c r="E1028" s="46" t="s">
        <v>588</v>
      </c>
      <c r="F1028" s="47" t="s">
        <v>4931</v>
      </c>
      <c r="H1028" s="47" t="s">
        <v>1050</v>
      </c>
      <c r="I1028" s="46" t="s">
        <v>4060</v>
      </c>
      <c r="J1028" s="49" t="s">
        <v>899</v>
      </c>
      <c r="L1028" s="49">
        <v>2</v>
      </c>
      <c r="M1028" s="50">
        <v>3700000</v>
      </c>
      <c r="N1028" s="51">
        <v>3710000</v>
      </c>
      <c r="O1028" s="50" t="s">
        <v>560</v>
      </c>
      <c r="P1028" s="65" t="s">
        <v>4932</v>
      </c>
      <c r="Q1028" s="46" t="s">
        <v>592</v>
      </c>
      <c r="U1028" s="46" t="s">
        <v>491</v>
      </c>
    </row>
    <row r="1029" spans="1:21" ht="102.75" customHeight="1" x14ac:dyDescent="0.25">
      <c r="A1029" s="45">
        <v>42710</v>
      </c>
      <c r="B1029" s="46" t="s">
        <v>328</v>
      </c>
      <c r="C1029" s="45" t="s">
        <v>603</v>
      </c>
      <c r="D1029" s="46" t="s">
        <v>1401</v>
      </c>
      <c r="E1029" s="46" t="s">
        <v>588</v>
      </c>
      <c r="F1029" s="47" t="s">
        <v>4933</v>
      </c>
      <c r="H1029" s="47" t="s">
        <v>607</v>
      </c>
      <c r="I1029" s="46" t="s">
        <v>3837</v>
      </c>
      <c r="J1029" s="49" t="s">
        <v>899</v>
      </c>
      <c r="L1029" s="49">
        <v>4</v>
      </c>
      <c r="M1029" s="50">
        <v>1047000</v>
      </c>
      <c r="N1029" s="51">
        <v>2331000</v>
      </c>
      <c r="O1029" s="50" t="s">
        <v>695</v>
      </c>
      <c r="P1029" s="65" t="s">
        <v>4934</v>
      </c>
      <c r="Q1029" s="46" t="s">
        <v>1939</v>
      </c>
      <c r="R1029" s="47" t="s">
        <v>4935</v>
      </c>
      <c r="U1029" s="46" t="s">
        <v>491</v>
      </c>
    </row>
    <row r="1030" spans="1:21" ht="30" x14ac:dyDescent="0.25">
      <c r="A1030" s="45">
        <v>42710</v>
      </c>
      <c r="B1030" s="46" t="s">
        <v>378</v>
      </c>
      <c r="C1030" s="45" t="s">
        <v>623</v>
      </c>
      <c r="D1030" s="46" t="s">
        <v>625</v>
      </c>
      <c r="E1030" s="46" t="s">
        <v>588</v>
      </c>
      <c r="F1030" s="47" t="s">
        <v>4928</v>
      </c>
      <c r="H1030" s="47" t="s">
        <v>607</v>
      </c>
      <c r="I1030" s="46" t="s">
        <v>3649</v>
      </c>
      <c r="J1030" s="49" t="s">
        <v>899</v>
      </c>
      <c r="L1030" s="49">
        <v>4</v>
      </c>
      <c r="M1030" s="50">
        <v>750000</v>
      </c>
      <c r="N1030" s="51">
        <v>1505000</v>
      </c>
      <c r="O1030" s="50" t="s">
        <v>4929</v>
      </c>
      <c r="P1030" s="65" t="s">
        <v>4930</v>
      </c>
      <c r="Q1030" s="46" t="s">
        <v>1939</v>
      </c>
      <c r="R1030" s="47" t="s">
        <v>4117</v>
      </c>
      <c r="U1030" s="46" t="s">
        <v>491</v>
      </c>
    </row>
    <row r="1031" spans="1:21" ht="45" x14ac:dyDescent="0.25">
      <c r="A1031" s="45">
        <v>42710</v>
      </c>
      <c r="B1031" s="46" t="s">
        <v>1486</v>
      </c>
      <c r="C1031" s="45" t="s">
        <v>1883</v>
      </c>
      <c r="D1031" s="46" t="s">
        <v>595</v>
      </c>
      <c r="E1031" s="46" t="s">
        <v>588</v>
      </c>
      <c r="F1031" s="47" t="s">
        <v>4936</v>
      </c>
      <c r="H1031" s="47" t="s">
        <v>607</v>
      </c>
      <c r="O1031" s="50" t="s">
        <v>4937</v>
      </c>
      <c r="P1031" s="65" t="s">
        <v>4938</v>
      </c>
      <c r="Q1031" s="46" t="s">
        <v>29</v>
      </c>
      <c r="R1031" s="47" t="s">
        <v>4939</v>
      </c>
      <c r="U1031" s="46" t="s">
        <v>491</v>
      </c>
    </row>
    <row r="1032" spans="1:21" ht="30" x14ac:dyDescent="0.25">
      <c r="A1032" s="45">
        <v>42711</v>
      </c>
      <c r="B1032" s="46" t="s">
        <v>328</v>
      </c>
      <c r="C1032" s="45" t="s">
        <v>603</v>
      </c>
      <c r="D1032" s="46" t="s">
        <v>1471</v>
      </c>
      <c r="E1032" s="46" t="s">
        <v>588</v>
      </c>
      <c r="F1032" s="47" t="s">
        <v>4946</v>
      </c>
      <c r="H1032" s="47" t="s">
        <v>607</v>
      </c>
      <c r="I1032" s="46" t="s">
        <v>3941</v>
      </c>
      <c r="J1032" s="49" t="s">
        <v>899</v>
      </c>
      <c r="L1032" s="49">
        <v>4</v>
      </c>
      <c r="M1032" s="50">
        <v>2500000</v>
      </c>
      <c r="N1032" s="51">
        <v>4500000</v>
      </c>
      <c r="O1032" s="50" t="s">
        <v>560</v>
      </c>
      <c r="P1032" s="65" t="s">
        <v>4947</v>
      </c>
      <c r="Q1032" s="46" t="s">
        <v>1939</v>
      </c>
      <c r="R1032" s="47" t="s">
        <v>4948</v>
      </c>
      <c r="S1032" s="47" t="s">
        <v>4950</v>
      </c>
      <c r="U1032" s="46" t="s">
        <v>491</v>
      </c>
    </row>
    <row r="1033" spans="1:21" ht="105" x14ac:dyDescent="0.25">
      <c r="A1033" s="45">
        <v>42711</v>
      </c>
      <c r="B1033" s="46" t="s">
        <v>328</v>
      </c>
      <c r="C1033" s="45" t="s">
        <v>603</v>
      </c>
      <c r="D1033" s="46" t="s">
        <v>1471</v>
      </c>
      <c r="E1033" s="46" t="s">
        <v>588</v>
      </c>
      <c r="F1033" s="47" t="s">
        <v>4951</v>
      </c>
      <c r="H1033" s="47" t="s">
        <v>4952</v>
      </c>
      <c r="I1033" s="46" t="s">
        <v>4953</v>
      </c>
      <c r="J1033" s="49" t="s">
        <v>3888</v>
      </c>
      <c r="M1033" s="50">
        <v>455000</v>
      </c>
      <c r="N1033" s="51">
        <v>695500</v>
      </c>
      <c r="O1033" s="50" t="s">
        <v>3952</v>
      </c>
      <c r="P1033" s="65" t="s">
        <v>4954</v>
      </c>
      <c r="Q1033" s="46" t="s">
        <v>29</v>
      </c>
      <c r="R1033" s="47" t="s">
        <v>4955</v>
      </c>
      <c r="U1033" s="46" t="s">
        <v>491</v>
      </c>
    </row>
    <row r="1034" spans="1:21" ht="60" x14ac:dyDescent="0.25">
      <c r="A1034" s="45">
        <v>42711</v>
      </c>
      <c r="B1034" s="46" t="s">
        <v>328</v>
      </c>
      <c r="C1034" s="45" t="s">
        <v>603</v>
      </c>
      <c r="D1034" s="46" t="s">
        <v>1471</v>
      </c>
      <c r="E1034" s="46" t="s">
        <v>588</v>
      </c>
      <c r="F1034" s="47" t="s">
        <v>4957</v>
      </c>
      <c r="H1034" s="47" t="s">
        <v>607</v>
      </c>
      <c r="I1034" s="46" t="s">
        <v>4958</v>
      </c>
      <c r="J1034" s="49" t="s">
        <v>3373</v>
      </c>
      <c r="M1034" s="50">
        <v>450000</v>
      </c>
      <c r="N1034" s="51">
        <v>765000</v>
      </c>
      <c r="O1034" s="50" t="s">
        <v>4959</v>
      </c>
      <c r="P1034" s="65" t="s">
        <v>4960</v>
      </c>
      <c r="Q1034" s="46" t="s">
        <v>1939</v>
      </c>
      <c r="R1034" s="47" t="s">
        <v>4961</v>
      </c>
      <c r="U1034" s="46" t="s">
        <v>491</v>
      </c>
    </row>
    <row r="1035" spans="1:21" ht="90" x14ac:dyDescent="0.25">
      <c r="A1035" s="45">
        <v>42711</v>
      </c>
      <c r="B1035" s="46" t="s">
        <v>328</v>
      </c>
      <c r="C1035" s="45" t="s">
        <v>603</v>
      </c>
      <c r="D1035" s="46" t="s">
        <v>2397</v>
      </c>
      <c r="E1035" s="46" t="s">
        <v>588</v>
      </c>
      <c r="F1035" s="47" t="s">
        <v>4941</v>
      </c>
      <c r="H1035" s="47" t="s">
        <v>2074</v>
      </c>
      <c r="I1035" s="46" t="s">
        <v>4942</v>
      </c>
      <c r="J1035" s="49" t="s">
        <v>3373</v>
      </c>
      <c r="L1035" s="49">
        <v>9</v>
      </c>
      <c r="M1035" s="50">
        <v>1487498</v>
      </c>
      <c r="N1035" s="51">
        <v>3049371</v>
      </c>
      <c r="O1035" s="50" t="s">
        <v>4943</v>
      </c>
      <c r="P1035" s="65" t="s">
        <v>4944</v>
      </c>
      <c r="Q1035" s="46" t="s">
        <v>1939</v>
      </c>
      <c r="R1035" s="47" t="s">
        <v>4945</v>
      </c>
      <c r="U1035" s="46" t="s">
        <v>491</v>
      </c>
    </row>
    <row r="1036" spans="1:21" ht="60" x14ac:dyDescent="0.25">
      <c r="A1036" s="45">
        <v>42711</v>
      </c>
      <c r="B1036" s="46" t="s">
        <v>378</v>
      </c>
      <c r="C1036" s="45" t="s">
        <v>623</v>
      </c>
      <c r="D1036" s="46" t="s">
        <v>611</v>
      </c>
      <c r="E1036" s="46" t="s">
        <v>588</v>
      </c>
      <c r="F1036" s="47" t="s">
        <v>4946</v>
      </c>
      <c r="H1036" s="47" t="s">
        <v>607</v>
      </c>
      <c r="I1036" s="46" t="s">
        <v>3941</v>
      </c>
      <c r="J1036" s="49" t="s">
        <v>899</v>
      </c>
      <c r="L1036" s="49">
        <v>4</v>
      </c>
      <c r="M1036" s="50">
        <v>2500000</v>
      </c>
      <c r="N1036" s="51">
        <v>4500000</v>
      </c>
      <c r="O1036" s="50" t="s">
        <v>560</v>
      </c>
      <c r="P1036" s="65" t="s">
        <v>4949</v>
      </c>
      <c r="Q1036" s="46" t="s">
        <v>1939</v>
      </c>
      <c r="R1036" s="47" t="s">
        <v>4948</v>
      </c>
      <c r="S1036" s="47" t="s">
        <v>4956</v>
      </c>
      <c r="U1036" s="46" t="s">
        <v>491</v>
      </c>
    </row>
    <row r="1037" spans="1:21" ht="207" customHeight="1" x14ac:dyDescent="0.25">
      <c r="A1037" s="45">
        <v>42712</v>
      </c>
      <c r="B1037" s="46" t="s">
        <v>1486</v>
      </c>
      <c r="C1037" s="45" t="s">
        <v>1883</v>
      </c>
      <c r="D1037" s="46" t="s">
        <v>2454</v>
      </c>
      <c r="E1037" s="46" t="s">
        <v>588</v>
      </c>
      <c r="F1037" s="47" t="s">
        <v>4962</v>
      </c>
      <c r="H1037" s="47" t="s">
        <v>4132</v>
      </c>
      <c r="I1037" s="46" t="s">
        <v>15</v>
      </c>
      <c r="J1037" s="49" t="s">
        <v>4684</v>
      </c>
      <c r="L1037" s="49">
        <v>7</v>
      </c>
      <c r="M1037" s="50">
        <v>175000</v>
      </c>
      <c r="N1037" s="51">
        <v>236000</v>
      </c>
      <c r="O1037" s="50" t="s">
        <v>4963</v>
      </c>
      <c r="P1037" s="65" t="s">
        <v>4964</v>
      </c>
      <c r="Q1037" s="46" t="s">
        <v>1612</v>
      </c>
      <c r="R1037" s="89" t="s">
        <v>4965</v>
      </c>
      <c r="S1037" s="47" t="s">
        <v>5022</v>
      </c>
      <c r="U1037" s="46" t="s">
        <v>491</v>
      </c>
    </row>
    <row r="1038" spans="1:21" ht="90" x14ac:dyDescent="0.25">
      <c r="A1038" s="45">
        <v>42712</v>
      </c>
      <c r="B1038" s="46" t="s">
        <v>378</v>
      </c>
      <c r="C1038" s="45" t="s">
        <v>610</v>
      </c>
      <c r="D1038" s="46" t="s">
        <v>611</v>
      </c>
      <c r="E1038" s="46" t="s">
        <v>588</v>
      </c>
      <c r="F1038" s="47" t="s">
        <v>4966</v>
      </c>
      <c r="H1038" s="47" t="s">
        <v>607</v>
      </c>
      <c r="I1038" s="46" t="s">
        <v>4967</v>
      </c>
      <c r="J1038" s="49" t="s">
        <v>899</v>
      </c>
      <c r="L1038" s="49">
        <v>5</v>
      </c>
      <c r="M1038" s="50">
        <v>953500</v>
      </c>
      <c r="N1038" s="51">
        <v>1700000</v>
      </c>
      <c r="O1038" s="50" t="s">
        <v>666</v>
      </c>
      <c r="P1038" s="65" t="s">
        <v>4968</v>
      </c>
      <c r="Q1038" s="46" t="s">
        <v>29</v>
      </c>
      <c r="R1038" s="47" t="s">
        <v>4969</v>
      </c>
      <c r="U1038" s="46" t="s">
        <v>491</v>
      </c>
    </row>
    <row r="1039" spans="1:21" ht="60" x14ac:dyDescent="0.25">
      <c r="A1039" s="45">
        <v>42712</v>
      </c>
      <c r="B1039" s="46" t="s">
        <v>378</v>
      </c>
      <c r="C1039" s="45" t="s">
        <v>623</v>
      </c>
      <c r="D1039" s="46" t="s">
        <v>930</v>
      </c>
      <c r="E1039" s="46" t="s">
        <v>588</v>
      </c>
      <c r="F1039" s="47" t="s">
        <v>4970</v>
      </c>
      <c r="H1039" s="47" t="s">
        <v>886</v>
      </c>
      <c r="I1039" s="46" t="s">
        <v>2054</v>
      </c>
      <c r="J1039" s="49" t="s">
        <v>899</v>
      </c>
      <c r="L1039" s="49">
        <v>4</v>
      </c>
      <c r="M1039" s="50">
        <v>3000000</v>
      </c>
      <c r="N1039" s="51">
        <v>3850000</v>
      </c>
      <c r="O1039" s="50" t="s">
        <v>560</v>
      </c>
      <c r="P1039" s="65" t="s">
        <v>4971</v>
      </c>
      <c r="Q1039" s="46" t="s">
        <v>592</v>
      </c>
      <c r="U1039" s="46" t="s">
        <v>491</v>
      </c>
    </row>
    <row r="1040" spans="1:21" ht="60" x14ac:dyDescent="0.25">
      <c r="A1040" s="45">
        <v>42713</v>
      </c>
      <c r="B1040" s="46" t="s">
        <v>328</v>
      </c>
      <c r="C1040" s="45" t="s">
        <v>603</v>
      </c>
      <c r="D1040" s="46" t="s">
        <v>1471</v>
      </c>
      <c r="E1040" s="46" t="s">
        <v>588</v>
      </c>
      <c r="F1040" s="47" t="s">
        <v>4976</v>
      </c>
      <c r="H1040" s="47" t="s">
        <v>722</v>
      </c>
      <c r="I1040" s="46" t="s">
        <v>4977</v>
      </c>
      <c r="J1040" s="49" t="s">
        <v>3885</v>
      </c>
      <c r="L1040" s="49">
        <v>9</v>
      </c>
      <c r="M1040" s="50">
        <v>1200000</v>
      </c>
      <c r="N1040" s="51">
        <v>2160000</v>
      </c>
      <c r="O1040" s="50" t="s">
        <v>666</v>
      </c>
      <c r="P1040" s="65" t="s">
        <v>4978</v>
      </c>
      <c r="Q1040" s="46" t="s">
        <v>592</v>
      </c>
      <c r="R1040" s="47" t="s">
        <v>4979</v>
      </c>
      <c r="U1040" s="46" t="s">
        <v>491</v>
      </c>
    </row>
    <row r="1041" spans="1:21" ht="120" x14ac:dyDescent="0.25">
      <c r="A1041" s="45">
        <v>42713</v>
      </c>
      <c r="B1041" s="46" t="s">
        <v>378</v>
      </c>
      <c r="C1041" s="45" t="s">
        <v>623</v>
      </c>
      <c r="D1041" s="46" t="s">
        <v>930</v>
      </c>
      <c r="E1041" s="46" t="s">
        <v>588</v>
      </c>
      <c r="F1041" s="47" t="s">
        <v>4972</v>
      </c>
      <c r="H1041" s="47" t="s">
        <v>607</v>
      </c>
      <c r="I1041" s="46" t="s">
        <v>4973</v>
      </c>
      <c r="J1041" s="49" t="s">
        <v>899</v>
      </c>
      <c r="L1041" s="49">
        <v>4</v>
      </c>
      <c r="M1041" s="50">
        <v>400000</v>
      </c>
      <c r="N1041" s="51">
        <v>690000</v>
      </c>
      <c r="O1041" s="50" t="s">
        <v>4974</v>
      </c>
      <c r="P1041" s="65" t="s">
        <v>4975</v>
      </c>
      <c r="Q1041" s="46" t="s">
        <v>1939</v>
      </c>
      <c r="R1041" s="47" t="s">
        <v>4980</v>
      </c>
      <c r="U1041" s="46" t="s">
        <v>491</v>
      </c>
    </row>
    <row r="1042" spans="1:21" ht="105" x14ac:dyDescent="0.25">
      <c r="A1042" s="45">
        <v>42716</v>
      </c>
      <c r="B1042" s="46" t="s">
        <v>328</v>
      </c>
      <c r="C1042" s="45" t="s">
        <v>603</v>
      </c>
      <c r="D1042" s="46" t="s">
        <v>1471</v>
      </c>
      <c r="E1042" s="46" t="s">
        <v>588</v>
      </c>
      <c r="F1042" s="47" t="s">
        <v>4981</v>
      </c>
      <c r="H1042" s="47" t="s">
        <v>1044</v>
      </c>
      <c r="I1042" s="46" t="s">
        <v>126</v>
      </c>
      <c r="J1042" s="49" t="s">
        <v>3371</v>
      </c>
      <c r="L1042" s="49">
        <v>10</v>
      </c>
      <c r="M1042" s="50">
        <v>720000</v>
      </c>
      <c r="N1042" s="51">
        <v>1372000</v>
      </c>
      <c r="O1042" s="50" t="s">
        <v>1111</v>
      </c>
      <c r="P1042" s="65" t="s">
        <v>4982</v>
      </c>
      <c r="Q1042" s="46" t="s">
        <v>1939</v>
      </c>
      <c r="R1042" s="47" t="s">
        <v>4983</v>
      </c>
      <c r="U1042" s="46" t="s">
        <v>491</v>
      </c>
    </row>
    <row r="1043" spans="1:21" ht="60" x14ac:dyDescent="0.25">
      <c r="A1043" s="45">
        <v>42716</v>
      </c>
      <c r="B1043" s="46" t="s">
        <v>1486</v>
      </c>
      <c r="C1043" s="45" t="s">
        <v>1883</v>
      </c>
      <c r="D1043" s="46" t="s">
        <v>732</v>
      </c>
      <c r="E1043" s="46" t="s">
        <v>588</v>
      </c>
      <c r="F1043" s="47" t="s">
        <v>4984</v>
      </c>
      <c r="H1043" s="47" t="s">
        <v>905</v>
      </c>
      <c r="O1043" s="50" t="s">
        <v>4985</v>
      </c>
      <c r="P1043" s="65" t="s">
        <v>4986</v>
      </c>
      <c r="Q1043" s="46" t="s">
        <v>29</v>
      </c>
      <c r="R1043" s="47" t="s">
        <v>4987</v>
      </c>
      <c r="U1043" s="46" t="s">
        <v>491</v>
      </c>
    </row>
    <row r="1044" spans="1:21" ht="45" x14ac:dyDescent="0.25">
      <c r="A1044" s="45">
        <v>42716</v>
      </c>
      <c r="B1044" s="46" t="s">
        <v>1486</v>
      </c>
      <c r="C1044" s="45" t="s">
        <v>1883</v>
      </c>
      <c r="D1044" s="46" t="s">
        <v>2454</v>
      </c>
      <c r="E1044" s="46" t="s">
        <v>588</v>
      </c>
      <c r="F1044" s="47" t="s">
        <v>4988</v>
      </c>
      <c r="H1044" s="47" t="s">
        <v>809</v>
      </c>
      <c r="O1044" s="50" t="s">
        <v>4989</v>
      </c>
      <c r="P1044" s="65" t="s">
        <v>4990</v>
      </c>
      <c r="Q1044" s="46" t="s">
        <v>592</v>
      </c>
      <c r="R1044" s="47" t="s">
        <v>4991</v>
      </c>
      <c r="U1044" s="46" t="s">
        <v>491</v>
      </c>
    </row>
    <row r="1045" spans="1:21" ht="135.75" x14ac:dyDescent="0.25">
      <c r="A1045" s="45">
        <v>42717</v>
      </c>
      <c r="B1045" s="46" t="s">
        <v>328</v>
      </c>
      <c r="C1045" s="45" t="s">
        <v>603</v>
      </c>
      <c r="D1045" s="46" t="s">
        <v>1471</v>
      </c>
      <c r="E1045" s="46" t="s">
        <v>588</v>
      </c>
      <c r="F1045" s="47" t="s">
        <v>5015</v>
      </c>
      <c r="H1045" s="47" t="s">
        <v>607</v>
      </c>
      <c r="I1045" s="46" t="s">
        <v>5016</v>
      </c>
      <c r="J1045" s="49" t="s">
        <v>3368</v>
      </c>
      <c r="L1045" s="49">
        <v>2</v>
      </c>
      <c r="M1045" s="50">
        <v>75000</v>
      </c>
      <c r="N1045" s="51">
        <v>112500</v>
      </c>
      <c r="O1045" s="50" t="s">
        <v>3107</v>
      </c>
      <c r="P1045" s="65" t="s">
        <v>5017</v>
      </c>
      <c r="Q1045" s="46" t="s">
        <v>1612</v>
      </c>
      <c r="R1045" s="89" t="s">
        <v>5018</v>
      </c>
      <c r="S1045" s="47" t="s">
        <v>5026</v>
      </c>
    </row>
    <row r="1046" spans="1:21" ht="75" x14ac:dyDescent="0.25">
      <c r="A1046" s="45">
        <v>42717</v>
      </c>
      <c r="B1046" s="46" t="s">
        <v>378</v>
      </c>
      <c r="C1046" s="45" t="s">
        <v>899</v>
      </c>
      <c r="D1046" s="46" t="s">
        <v>624</v>
      </c>
      <c r="E1046" s="46" t="s">
        <v>588</v>
      </c>
      <c r="F1046" s="47" t="s">
        <v>4995</v>
      </c>
      <c r="H1046" s="47" t="s">
        <v>607</v>
      </c>
      <c r="I1046" s="46" t="s">
        <v>2054</v>
      </c>
      <c r="J1046" s="49" t="s">
        <v>899</v>
      </c>
      <c r="L1046" s="49">
        <v>2</v>
      </c>
      <c r="M1046" s="50">
        <v>1100000</v>
      </c>
      <c r="N1046" s="51">
        <v>1600000</v>
      </c>
      <c r="O1046" s="50" t="s">
        <v>4994</v>
      </c>
      <c r="P1046" s="65" t="s">
        <v>4992</v>
      </c>
      <c r="Q1046" s="46" t="s">
        <v>1939</v>
      </c>
      <c r="R1046" s="47" t="s">
        <v>4993</v>
      </c>
      <c r="U1046" s="46" t="s">
        <v>1327</v>
      </c>
    </row>
    <row r="1047" spans="1:21" ht="45" x14ac:dyDescent="0.25">
      <c r="A1047" s="45">
        <v>42717</v>
      </c>
      <c r="B1047" s="46" t="s">
        <v>1486</v>
      </c>
      <c r="C1047" s="45" t="s">
        <v>1883</v>
      </c>
      <c r="D1047" s="46" t="s">
        <v>732</v>
      </c>
      <c r="E1047" s="46" t="s">
        <v>588</v>
      </c>
      <c r="F1047" s="47" t="s">
        <v>4996</v>
      </c>
      <c r="H1047" s="47" t="s">
        <v>607</v>
      </c>
      <c r="I1047" s="46" t="s">
        <v>4997</v>
      </c>
      <c r="J1047" s="49" t="s">
        <v>959</v>
      </c>
      <c r="M1047" s="50">
        <v>326000</v>
      </c>
      <c r="N1047" s="51">
        <v>554200</v>
      </c>
      <c r="O1047" s="50" t="s">
        <v>35</v>
      </c>
      <c r="P1047" s="65" t="s">
        <v>4999</v>
      </c>
      <c r="Q1047" s="46" t="s">
        <v>1939</v>
      </c>
      <c r="R1047" s="47" t="s">
        <v>4998</v>
      </c>
      <c r="U1047" s="46" t="s">
        <v>833</v>
      </c>
    </row>
    <row r="1048" spans="1:21" ht="45" x14ac:dyDescent="0.25">
      <c r="A1048" s="45">
        <v>42717</v>
      </c>
      <c r="B1048" s="46" t="s">
        <v>378</v>
      </c>
      <c r="C1048" s="45" t="s">
        <v>623</v>
      </c>
      <c r="D1048" s="46" t="s">
        <v>3505</v>
      </c>
      <c r="E1048" s="46" t="s">
        <v>588</v>
      </c>
      <c r="F1048" s="47" t="s">
        <v>5000</v>
      </c>
      <c r="O1048" s="50" t="s">
        <v>5001</v>
      </c>
      <c r="P1048" s="65" t="s">
        <v>5002</v>
      </c>
      <c r="Q1048" s="46" t="s">
        <v>29</v>
      </c>
      <c r="R1048" s="47" t="s">
        <v>5003</v>
      </c>
    </row>
    <row r="1049" spans="1:21" ht="45" x14ac:dyDescent="0.25">
      <c r="A1049" s="45">
        <v>42717</v>
      </c>
      <c r="B1049" s="46" t="s">
        <v>378</v>
      </c>
      <c r="C1049" s="45" t="s">
        <v>623</v>
      </c>
      <c r="D1049" s="46" t="s">
        <v>625</v>
      </c>
      <c r="E1049" s="46" t="s">
        <v>588</v>
      </c>
      <c r="F1049" s="47" t="s">
        <v>5004</v>
      </c>
      <c r="H1049" s="47" t="s">
        <v>607</v>
      </c>
      <c r="I1049" s="46" t="s">
        <v>2054</v>
      </c>
      <c r="J1049" s="49" t="s">
        <v>899</v>
      </c>
      <c r="M1049" s="50">
        <v>500225</v>
      </c>
      <c r="N1049" s="51">
        <v>892225</v>
      </c>
      <c r="O1049" s="50" t="s">
        <v>4104</v>
      </c>
      <c r="P1049" s="65" t="s">
        <v>5005</v>
      </c>
      <c r="Q1049" s="46" t="s">
        <v>1939</v>
      </c>
      <c r="R1049" s="47" t="s">
        <v>5006</v>
      </c>
    </row>
    <row r="1050" spans="1:21" ht="60" x14ac:dyDescent="0.25">
      <c r="A1050" s="45">
        <v>42717</v>
      </c>
      <c r="B1050" s="46" t="s">
        <v>378</v>
      </c>
      <c r="C1050" s="45" t="s">
        <v>623</v>
      </c>
      <c r="D1050" s="46" t="s">
        <v>625</v>
      </c>
      <c r="E1050" s="46" t="s">
        <v>588</v>
      </c>
      <c r="F1050" s="47" t="s">
        <v>5007</v>
      </c>
      <c r="H1050" s="47" t="s">
        <v>607</v>
      </c>
      <c r="I1050" s="46" t="s">
        <v>4169</v>
      </c>
      <c r="J1050" s="49" t="s">
        <v>899</v>
      </c>
      <c r="L1050" s="49">
        <v>3</v>
      </c>
      <c r="M1050" s="50">
        <v>910000</v>
      </c>
      <c r="N1050" s="51">
        <v>1638000</v>
      </c>
      <c r="O1050" s="50" t="s">
        <v>3952</v>
      </c>
      <c r="P1050" s="65" t="s">
        <v>5009</v>
      </c>
      <c r="Q1050" s="46" t="s">
        <v>1939</v>
      </c>
      <c r="R1050" s="47" t="s">
        <v>5008</v>
      </c>
    </row>
    <row r="1051" spans="1:21" ht="141" x14ac:dyDescent="0.25">
      <c r="A1051" s="45">
        <v>42717</v>
      </c>
      <c r="B1051" s="46" t="s">
        <v>378</v>
      </c>
      <c r="C1051" s="45" t="s">
        <v>623</v>
      </c>
      <c r="D1051" s="46" t="s">
        <v>930</v>
      </c>
      <c r="E1051" s="46" t="s">
        <v>588</v>
      </c>
      <c r="F1051" s="47" t="s">
        <v>5010</v>
      </c>
      <c r="H1051" s="47" t="s">
        <v>722</v>
      </c>
      <c r="I1051" s="46" t="s">
        <v>3452</v>
      </c>
      <c r="J1051" s="49" t="s">
        <v>899</v>
      </c>
      <c r="L1051" s="49">
        <v>8</v>
      </c>
      <c r="M1051" s="50">
        <v>448000</v>
      </c>
      <c r="N1051" s="51">
        <v>797800</v>
      </c>
      <c r="O1051" s="50" t="s">
        <v>35</v>
      </c>
      <c r="P1051" s="65" t="s">
        <v>5012</v>
      </c>
      <c r="Q1051" s="46" t="s">
        <v>1939</v>
      </c>
      <c r="R1051" s="86" t="s">
        <v>5011</v>
      </c>
      <c r="S1051" s="88" t="s">
        <v>5108</v>
      </c>
      <c r="T1051" s="88"/>
    </row>
    <row r="1052" spans="1:21" ht="154.5" customHeight="1" x14ac:dyDescent="0.25">
      <c r="A1052" s="45">
        <v>42717</v>
      </c>
      <c r="B1052" s="46" t="s">
        <v>378</v>
      </c>
      <c r="C1052" s="45" t="s">
        <v>623</v>
      </c>
      <c r="D1052" s="46" t="s">
        <v>930</v>
      </c>
      <c r="E1052" s="46" t="s">
        <v>821</v>
      </c>
      <c r="F1052" s="47" t="s">
        <v>5013</v>
      </c>
      <c r="H1052" s="47" t="s">
        <v>607</v>
      </c>
      <c r="O1052" s="50" t="s">
        <v>3952</v>
      </c>
      <c r="P1052" s="65" t="s">
        <v>5014</v>
      </c>
      <c r="Q1052" s="46" t="s">
        <v>592</v>
      </c>
    </row>
    <row r="1053" spans="1:21" ht="60" x14ac:dyDescent="0.25">
      <c r="A1053" s="45">
        <v>42718</v>
      </c>
      <c r="B1053" s="46" t="s">
        <v>328</v>
      </c>
      <c r="C1053" s="45" t="s">
        <v>603</v>
      </c>
      <c r="D1053" s="46" t="s">
        <v>1471</v>
      </c>
      <c r="E1053" s="46" t="s">
        <v>588</v>
      </c>
      <c r="F1053" s="47" t="s">
        <v>5023</v>
      </c>
      <c r="H1053" s="47" t="s">
        <v>607</v>
      </c>
      <c r="I1053" s="46" t="s">
        <v>2054</v>
      </c>
      <c r="J1053" s="49" t="s">
        <v>899</v>
      </c>
      <c r="L1053" s="49">
        <v>1</v>
      </c>
      <c r="M1053" s="50">
        <v>430000</v>
      </c>
      <c r="N1053" s="51">
        <v>903000</v>
      </c>
      <c r="O1053" s="50" t="s">
        <v>4575</v>
      </c>
      <c r="P1053" s="65" t="s">
        <v>5024</v>
      </c>
      <c r="Q1053" s="46" t="s">
        <v>1939</v>
      </c>
      <c r="R1053" s="47" t="s">
        <v>5025</v>
      </c>
      <c r="U1053" s="46" t="s">
        <v>491</v>
      </c>
    </row>
    <row r="1054" spans="1:21" ht="75" x14ac:dyDescent="0.25">
      <c r="A1054" s="45">
        <v>42718</v>
      </c>
      <c r="B1054" s="46" t="s">
        <v>378</v>
      </c>
      <c r="C1054" s="45" t="s">
        <v>623</v>
      </c>
      <c r="D1054" s="46" t="s">
        <v>624</v>
      </c>
      <c r="E1054" s="46" t="s">
        <v>588</v>
      </c>
      <c r="F1054" s="47" t="s">
        <v>5019</v>
      </c>
      <c r="H1054" s="47" t="s">
        <v>905</v>
      </c>
      <c r="I1054" s="46" t="s">
        <v>2054</v>
      </c>
      <c r="J1054" s="49" t="s">
        <v>899</v>
      </c>
      <c r="L1054" s="49">
        <v>2</v>
      </c>
      <c r="M1054" s="50">
        <v>3138540</v>
      </c>
      <c r="N1054" s="51">
        <v>3828540</v>
      </c>
      <c r="O1054" s="50" t="s">
        <v>560</v>
      </c>
      <c r="P1054" s="65" t="s">
        <v>5020</v>
      </c>
      <c r="Q1054" s="46" t="s">
        <v>592</v>
      </c>
      <c r="R1054" s="47" t="s">
        <v>5021</v>
      </c>
      <c r="U1054" s="46" t="s">
        <v>2227</v>
      </c>
    </row>
    <row r="1055" spans="1:21" ht="45" x14ac:dyDescent="0.25">
      <c r="A1055" s="45">
        <v>42718</v>
      </c>
      <c r="B1055" s="46" t="s">
        <v>378</v>
      </c>
      <c r="C1055" s="45" t="s">
        <v>623</v>
      </c>
      <c r="D1055" s="46" t="s">
        <v>930</v>
      </c>
      <c r="E1055" s="46" t="s">
        <v>821</v>
      </c>
      <c r="O1055" s="50" t="s">
        <v>5027</v>
      </c>
      <c r="P1055" s="65" t="s">
        <v>5028</v>
      </c>
      <c r="Q1055" s="46" t="s">
        <v>592</v>
      </c>
      <c r="R1055" s="47" t="s">
        <v>5029</v>
      </c>
      <c r="U1055" s="46" t="s">
        <v>491</v>
      </c>
    </row>
    <row r="1056" spans="1:21" ht="45" x14ac:dyDescent="0.25">
      <c r="A1056" s="45">
        <v>42719</v>
      </c>
      <c r="B1056" s="46" t="s">
        <v>378</v>
      </c>
      <c r="C1056" s="45" t="s">
        <v>610</v>
      </c>
      <c r="D1056" s="46" t="s">
        <v>611</v>
      </c>
      <c r="E1056" s="46" t="s">
        <v>588</v>
      </c>
      <c r="F1056" s="47" t="s">
        <v>5034</v>
      </c>
      <c r="H1056" s="47" t="s">
        <v>5033</v>
      </c>
      <c r="O1056" s="50" t="s">
        <v>5032</v>
      </c>
      <c r="P1056" s="65" t="s">
        <v>5030</v>
      </c>
      <c r="Q1056" s="46" t="s">
        <v>592</v>
      </c>
      <c r="R1056" s="47" t="s">
        <v>5031</v>
      </c>
      <c r="U1056" s="46" t="s">
        <v>2227</v>
      </c>
    </row>
    <row r="1057" spans="1:21" ht="75" x14ac:dyDescent="0.25">
      <c r="A1057" s="45">
        <v>42719</v>
      </c>
      <c r="B1057" s="46" t="s">
        <v>378</v>
      </c>
      <c r="C1057" s="45" t="s">
        <v>623</v>
      </c>
      <c r="D1057" s="46" t="s">
        <v>625</v>
      </c>
      <c r="E1057" s="46" t="s">
        <v>588</v>
      </c>
      <c r="F1057" s="47" t="s">
        <v>5035</v>
      </c>
      <c r="H1057" s="47" t="s">
        <v>5036</v>
      </c>
      <c r="J1057" s="49" t="s">
        <v>899</v>
      </c>
      <c r="O1057" s="50" t="s">
        <v>5037</v>
      </c>
      <c r="P1057" s="65" t="s">
        <v>5038</v>
      </c>
      <c r="Q1057" s="46" t="s">
        <v>1612</v>
      </c>
      <c r="R1057" s="47" t="s">
        <v>5039</v>
      </c>
      <c r="S1057" s="47" t="s">
        <v>5061</v>
      </c>
      <c r="U1057" s="46" t="s">
        <v>2227</v>
      </c>
    </row>
    <row r="1058" spans="1:21" ht="75" x14ac:dyDescent="0.25">
      <c r="A1058" s="45">
        <v>42719</v>
      </c>
      <c r="B1058" s="46" t="s">
        <v>378</v>
      </c>
      <c r="C1058" s="45" t="s">
        <v>623</v>
      </c>
      <c r="D1058" s="46" t="s">
        <v>625</v>
      </c>
      <c r="E1058" s="46" t="s">
        <v>588</v>
      </c>
      <c r="F1058" s="47" t="s">
        <v>5040</v>
      </c>
      <c r="H1058" s="47" t="s">
        <v>607</v>
      </c>
      <c r="I1058" s="46" t="s">
        <v>2054</v>
      </c>
      <c r="J1058" s="49" t="s">
        <v>899</v>
      </c>
      <c r="L1058" s="49">
        <v>4</v>
      </c>
      <c r="M1058" s="50">
        <v>1298000</v>
      </c>
      <c r="N1058" s="51">
        <v>2336400</v>
      </c>
      <c r="O1058" s="50" t="s">
        <v>695</v>
      </c>
      <c r="P1058" s="65" t="s">
        <v>5041</v>
      </c>
      <c r="Q1058" s="46" t="s">
        <v>29</v>
      </c>
      <c r="R1058" s="47" t="s">
        <v>5042</v>
      </c>
      <c r="U1058" s="46" t="s">
        <v>491</v>
      </c>
    </row>
    <row r="1059" spans="1:21" ht="45" x14ac:dyDescent="0.25">
      <c r="A1059" s="45">
        <v>42719</v>
      </c>
      <c r="B1059" s="46" t="s">
        <v>1486</v>
      </c>
      <c r="C1059" s="45" t="s">
        <v>1883</v>
      </c>
      <c r="D1059" s="46" t="s">
        <v>2186</v>
      </c>
      <c r="E1059" s="46" t="s">
        <v>588</v>
      </c>
      <c r="F1059" s="47" t="s">
        <v>5043</v>
      </c>
      <c r="H1059" s="47" t="s">
        <v>905</v>
      </c>
      <c r="O1059" s="50" t="s">
        <v>5044</v>
      </c>
      <c r="P1059" s="65" t="s">
        <v>5045</v>
      </c>
      <c r="Q1059" s="46" t="s">
        <v>592</v>
      </c>
      <c r="U1059" s="46" t="s">
        <v>491</v>
      </c>
    </row>
    <row r="1060" spans="1:21" ht="90" x14ac:dyDescent="0.25">
      <c r="A1060" s="45">
        <v>42723</v>
      </c>
      <c r="B1060" s="46" t="s">
        <v>643</v>
      </c>
      <c r="C1060" s="45" t="s">
        <v>644</v>
      </c>
      <c r="D1060" s="46" t="s">
        <v>645</v>
      </c>
      <c r="E1060" s="46" t="s">
        <v>588</v>
      </c>
      <c r="F1060" s="47" t="s">
        <v>5048</v>
      </c>
      <c r="H1060" s="47" t="s">
        <v>722</v>
      </c>
      <c r="I1060" s="46" t="s">
        <v>5049</v>
      </c>
      <c r="J1060" s="49" t="s">
        <v>644</v>
      </c>
      <c r="L1060" s="49">
        <v>10</v>
      </c>
      <c r="M1060" s="50">
        <v>335000</v>
      </c>
      <c r="N1060" s="51">
        <v>380000</v>
      </c>
      <c r="O1060" s="50" t="s">
        <v>2680</v>
      </c>
      <c r="P1060" s="65" t="s">
        <v>5050</v>
      </c>
      <c r="Q1060" s="46" t="s">
        <v>1939</v>
      </c>
      <c r="R1060" s="47" t="s">
        <v>5090</v>
      </c>
      <c r="U1060" s="46" t="s">
        <v>491</v>
      </c>
    </row>
    <row r="1061" spans="1:21" ht="75" x14ac:dyDescent="0.25">
      <c r="A1061" s="45">
        <v>42723</v>
      </c>
      <c r="B1061" s="46" t="s">
        <v>378</v>
      </c>
      <c r="C1061" s="45" t="s">
        <v>623</v>
      </c>
      <c r="D1061" s="46" t="s">
        <v>625</v>
      </c>
      <c r="E1061" s="46" t="s">
        <v>588</v>
      </c>
      <c r="F1061" s="47" t="s">
        <v>5051</v>
      </c>
      <c r="H1061" s="47" t="s">
        <v>1890</v>
      </c>
      <c r="I1061" s="46" t="s">
        <v>3388</v>
      </c>
      <c r="J1061" s="49" t="s">
        <v>899</v>
      </c>
      <c r="L1061" s="49">
        <v>2</v>
      </c>
      <c r="M1061" s="50">
        <v>1060000</v>
      </c>
      <c r="N1061" s="51">
        <v>1372000</v>
      </c>
      <c r="O1061" s="50" t="s">
        <v>5052</v>
      </c>
      <c r="P1061" s="65" t="s">
        <v>5053</v>
      </c>
      <c r="Q1061" s="46" t="s">
        <v>1939</v>
      </c>
      <c r="R1061" s="47" t="s">
        <v>5054</v>
      </c>
      <c r="U1061" s="46" t="s">
        <v>491</v>
      </c>
    </row>
    <row r="1062" spans="1:21" ht="60" x14ac:dyDescent="0.25">
      <c r="A1062" s="45">
        <v>42723</v>
      </c>
      <c r="B1062" s="46" t="s">
        <v>378</v>
      </c>
      <c r="C1062" s="45" t="s">
        <v>623</v>
      </c>
      <c r="D1062" s="46" t="s">
        <v>611</v>
      </c>
      <c r="E1062" s="46" t="s">
        <v>588</v>
      </c>
      <c r="F1062" s="100" t="s">
        <v>5055</v>
      </c>
      <c r="G1062" s="100"/>
      <c r="H1062" s="47" t="s">
        <v>607</v>
      </c>
      <c r="O1062" s="50" t="s">
        <v>5056</v>
      </c>
      <c r="P1062" s="65" t="s">
        <v>5058</v>
      </c>
      <c r="Q1062" s="46" t="s">
        <v>592</v>
      </c>
      <c r="R1062" s="47" t="s">
        <v>5057</v>
      </c>
      <c r="U1062" s="46" t="s">
        <v>491</v>
      </c>
    </row>
    <row r="1063" spans="1:21" ht="45" x14ac:dyDescent="0.25">
      <c r="A1063" s="45">
        <v>42723</v>
      </c>
      <c r="B1063" s="46" t="s">
        <v>378</v>
      </c>
      <c r="C1063" s="45" t="s">
        <v>623</v>
      </c>
      <c r="D1063" s="46" t="s">
        <v>930</v>
      </c>
      <c r="E1063" s="46" t="s">
        <v>588</v>
      </c>
      <c r="F1063" s="47" t="s">
        <v>5059</v>
      </c>
      <c r="H1063" s="47" t="s">
        <v>607</v>
      </c>
      <c r="I1063" s="46" t="s">
        <v>4342</v>
      </c>
      <c r="J1063" s="49" t="s">
        <v>899</v>
      </c>
      <c r="L1063" s="49">
        <v>4</v>
      </c>
      <c r="M1063" s="50">
        <v>850000</v>
      </c>
      <c r="N1063" s="51">
        <v>1530000</v>
      </c>
      <c r="O1063" s="50" t="s">
        <v>4330</v>
      </c>
      <c r="P1063" s="65" t="s">
        <v>5060</v>
      </c>
      <c r="Q1063" s="46" t="s">
        <v>592</v>
      </c>
      <c r="U1063" s="46" t="s">
        <v>491</v>
      </c>
    </row>
    <row r="1064" spans="1:21" ht="60" x14ac:dyDescent="0.25">
      <c r="A1064" s="45">
        <v>42724</v>
      </c>
      <c r="B1064" s="46" t="s">
        <v>328</v>
      </c>
      <c r="C1064" s="45" t="s">
        <v>603</v>
      </c>
      <c r="D1064" s="46" t="s">
        <v>2397</v>
      </c>
      <c r="E1064" s="46" t="s">
        <v>588</v>
      </c>
      <c r="F1064" s="128" t="s">
        <v>5062</v>
      </c>
      <c r="G1064" s="128"/>
      <c r="H1064" s="47" t="s">
        <v>5063</v>
      </c>
      <c r="I1064" s="46" t="s">
        <v>3875</v>
      </c>
      <c r="J1064" s="49" t="s">
        <v>899</v>
      </c>
      <c r="L1064" s="49">
        <v>10</v>
      </c>
      <c r="M1064" s="50">
        <v>1200000</v>
      </c>
      <c r="N1064" s="51">
        <v>1250000</v>
      </c>
      <c r="O1064" s="50" t="s">
        <v>5064</v>
      </c>
      <c r="P1064" s="65" t="s">
        <v>5065</v>
      </c>
      <c r="Q1064" s="46" t="s">
        <v>1939</v>
      </c>
      <c r="R1064" s="47" t="s">
        <v>5066</v>
      </c>
      <c r="U1064" s="46" t="s">
        <v>1327</v>
      </c>
    </row>
    <row r="1065" spans="1:21" ht="30" x14ac:dyDescent="0.25">
      <c r="A1065" s="45">
        <v>42725</v>
      </c>
      <c r="B1065" s="46" t="s">
        <v>328</v>
      </c>
      <c r="C1065" s="45" t="s">
        <v>603</v>
      </c>
      <c r="D1065" s="46" t="s">
        <v>1471</v>
      </c>
      <c r="E1065" s="46" t="s">
        <v>588</v>
      </c>
      <c r="F1065" s="47" t="s">
        <v>5080</v>
      </c>
      <c r="H1065" s="47" t="s">
        <v>905</v>
      </c>
      <c r="I1065" s="46" t="s">
        <v>3918</v>
      </c>
      <c r="J1065" s="49" t="s">
        <v>899</v>
      </c>
      <c r="L1065" s="49">
        <v>1</v>
      </c>
      <c r="M1065" s="50">
        <v>1105000</v>
      </c>
      <c r="N1065" s="51">
        <v>2375750</v>
      </c>
      <c r="O1065" s="50" t="s">
        <v>560</v>
      </c>
      <c r="P1065" s="65" t="s">
        <v>5081</v>
      </c>
      <c r="Q1065" s="46" t="s">
        <v>592</v>
      </c>
      <c r="U1065" s="46" t="s">
        <v>491</v>
      </c>
    </row>
    <row r="1066" spans="1:21" ht="45" x14ac:dyDescent="0.25">
      <c r="A1066" s="45">
        <v>42725</v>
      </c>
      <c r="B1066" s="46" t="s">
        <v>328</v>
      </c>
      <c r="C1066" s="45" t="s">
        <v>603</v>
      </c>
      <c r="D1066" s="46" t="s">
        <v>2397</v>
      </c>
      <c r="E1066" s="46" t="s">
        <v>588</v>
      </c>
      <c r="F1066" s="47" t="s">
        <v>5071</v>
      </c>
      <c r="H1066" s="47" t="s">
        <v>607</v>
      </c>
      <c r="I1066" s="46" t="s">
        <v>5072</v>
      </c>
      <c r="J1066" s="49" t="s">
        <v>899</v>
      </c>
      <c r="L1066" s="49">
        <v>10</v>
      </c>
      <c r="M1066" s="50">
        <v>907000</v>
      </c>
      <c r="N1066" s="51">
        <v>1814000</v>
      </c>
      <c r="O1066" s="50" t="s">
        <v>764</v>
      </c>
      <c r="P1066" s="65" t="s">
        <v>5073</v>
      </c>
      <c r="Q1066" s="46" t="s">
        <v>1939</v>
      </c>
      <c r="R1066" s="47" t="s">
        <v>5074</v>
      </c>
      <c r="U1066" s="46" t="s">
        <v>491</v>
      </c>
    </row>
    <row r="1067" spans="1:21" ht="121.5" customHeight="1" x14ac:dyDescent="0.25">
      <c r="A1067" s="45">
        <v>42725</v>
      </c>
      <c r="B1067" s="46" t="s">
        <v>328</v>
      </c>
      <c r="C1067" s="45" t="s">
        <v>603</v>
      </c>
      <c r="D1067" s="46" t="s">
        <v>1471</v>
      </c>
      <c r="E1067" s="46" t="s">
        <v>588</v>
      </c>
      <c r="F1067" s="47" t="s">
        <v>5082</v>
      </c>
      <c r="H1067" s="47" t="s">
        <v>607</v>
      </c>
      <c r="I1067" s="46" t="s">
        <v>5083</v>
      </c>
      <c r="J1067" s="49" t="s">
        <v>899</v>
      </c>
      <c r="L1067" s="49">
        <v>4</v>
      </c>
      <c r="M1067" s="50">
        <v>1680000</v>
      </c>
      <c r="N1067" s="51">
        <v>3130000</v>
      </c>
      <c r="O1067" s="50" t="s">
        <v>560</v>
      </c>
      <c r="P1067" s="65" t="s">
        <v>5084</v>
      </c>
      <c r="Q1067" s="46" t="s">
        <v>1939</v>
      </c>
      <c r="R1067" s="47" t="s">
        <v>5085</v>
      </c>
      <c r="U1067" s="46" t="s">
        <v>491</v>
      </c>
    </row>
    <row r="1068" spans="1:21" ht="90" x14ac:dyDescent="0.25">
      <c r="A1068" s="45">
        <v>42725</v>
      </c>
      <c r="B1068" s="46" t="s">
        <v>328</v>
      </c>
      <c r="C1068" s="45" t="s">
        <v>603</v>
      </c>
      <c r="D1068" s="46" t="s">
        <v>2397</v>
      </c>
      <c r="E1068" s="46" t="s">
        <v>588</v>
      </c>
      <c r="F1068" s="47" t="s">
        <v>5067</v>
      </c>
      <c r="H1068" s="47" t="s">
        <v>5063</v>
      </c>
      <c r="I1068" s="46" t="s">
        <v>4880</v>
      </c>
      <c r="J1068" s="49" t="s">
        <v>899</v>
      </c>
      <c r="L1068" s="49">
        <v>4</v>
      </c>
      <c r="M1068" s="50">
        <v>1972000</v>
      </c>
      <c r="N1068" s="51">
        <v>2569000</v>
      </c>
      <c r="O1068" s="50" t="s">
        <v>5068</v>
      </c>
      <c r="P1068" s="65" t="s">
        <v>5069</v>
      </c>
      <c r="Q1068" s="46" t="s">
        <v>620</v>
      </c>
      <c r="R1068" s="47" t="s">
        <v>5070</v>
      </c>
      <c r="U1068" s="46" t="s">
        <v>491</v>
      </c>
    </row>
    <row r="1069" spans="1:21" ht="113.25" x14ac:dyDescent="0.25">
      <c r="A1069" s="45">
        <v>42725</v>
      </c>
      <c r="B1069" s="46" t="s">
        <v>328</v>
      </c>
      <c r="C1069" s="45" t="s">
        <v>603</v>
      </c>
      <c r="D1069" s="46" t="s">
        <v>1471</v>
      </c>
      <c r="E1069" s="46" t="s">
        <v>588</v>
      </c>
      <c r="F1069" s="47" t="s">
        <v>5075</v>
      </c>
      <c r="H1069" s="47" t="s">
        <v>722</v>
      </c>
      <c r="I1069" s="46" t="s">
        <v>5076</v>
      </c>
      <c r="J1069" s="49" t="s">
        <v>644</v>
      </c>
      <c r="L1069" s="49">
        <v>10</v>
      </c>
      <c r="M1069" s="50">
        <v>150000</v>
      </c>
      <c r="N1069" s="51">
        <v>155000</v>
      </c>
      <c r="O1069" s="50" t="s">
        <v>5077</v>
      </c>
      <c r="P1069" s="65" t="s">
        <v>5078</v>
      </c>
      <c r="Q1069" s="46" t="s">
        <v>620</v>
      </c>
      <c r="R1069" s="89" t="s">
        <v>5079</v>
      </c>
      <c r="U1069" s="46" t="s">
        <v>491</v>
      </c>
    </row>
    <row r="1070" spans="1:21" ht="45" x14ac:dyDescent="0.25">
      <c r="A1070" s="45">
        <v>42726</v>
      </c>
      <c r="B1070" s="46" t="s">
        <v>328</v>
      </c>
      <c r="C1070" s="45" t="s">
        <v>603</v>
      </c>
      <c r="D1070" s="46" t="s">
        <v>2397</v>
      </c>
      <c r="E1070" s="46" t="s">
        <v>588</v>
      </c>
      <c r="F1070" s="47" t="s">
        <v>5100</v>
      </c>
      <c r="H1070" s="47" t="s">
        <v>607</v>
      </c>
      <c r="I1070" s="46" t="s">
        <v>2054</v>
      </c>
      <c r="J1070" s="49" t="s">
        <v>899</v>
      </c>
      <c r="L1070" s="49">
        <v>1</v>
      </c>
      <c r="M1070" s="50">
        <v>1628000</v>
      </c>
      <c r="N1070" s="51">
        <v>3337400</v>
      </c>
      <c r="O1070" s="50" t="s">
        <v>560</v>
      </c>
      <c r="P1070" s="65" t="s">
        <v>5101</v>
      </c>
      <c r="Q1070" s="46" t="s">
        <v>1939</v>
      </c>
      <c r="R1070" s="47" t="s">
        <v>5102</v>
      </c>
      <c r="U1070" s="46" t="s">
        <v>491</v>
      </c>
    </row>
    <row r="1071" spans="1:21" ht="60" x14ac:dyDescent="0.25">
      <c r="A1071" s="45">
        <v>42726</v>
      </c>
      <c r="B1071" s="46" t="s">
        <v>328</v>
      </c>
      <c r="C1071" s="45" t="s">
        <v>603</v>
      </c>
      <c r="D1071" s="46" t="s">
        <v>672</v>
      </c>
      <c r="E1071" s="46" t="s">
        <v>588</v>
      </c>
      <c r="F1071" s="47" t="s">
        <v>5118</v>
      </c>
      <c r="H1071" s="47" t="s">
        <v>1057</v>
      </c>
      <c r="I1071" s="46" t="s">
        <v>3557</v>
      </c>
      <c r="J1071" s="49" t="s">
        <v>899</v>
      </c>
      <c r="L1071" s="49">
        <v>3</v>
      </c>
      <c r="M1071" s="50">
        <v>75000</v>
      </c>
      <c r="N1071" s="51">
        <v>195000</v>
      </c>
      <c r="O1071" s="50" t="s">
        <v>695</v>
      </c>
      <c r="P1071" s="65" t="s">
        <v>5119</v>
      </c>
      <c r="Q1071" s="46" t="s">
        <v>1939</v>
      </c>
      <c r="R1071" s="47" t="s">
        <v>5120</v>
      </c>
      <c r="U1071" s="46" t="s">
        <v>491</v>
      </c>
    </row>
    <row r="1072" spans="1:21" ht="90" x14ac:dyDescent="0.25">
      <c r="A1072" s="45">
        <v>42726</v>
      </c>
      <c r="B1072" s="46" t="s">
        <v>378</v>
      </c>
      <c r="C1072" s="45" t="s">
        <v>610</v>
      </c>
      <c r="D1072" s="46" t="s">
        <v>732</v>
      </c>
      <c r="E1072" s="46" t="s">
        <v>588</v>
      </c>
      <c r="F1072" s="47" t="s">
        <v>5086</v>
      </c>
      <c r="H1072" s="47" t="s">
        <v>607</v>
      </c>
      <c r="I1072" s="46" t="s">
        <v>5087</v>
      </c>
      <c r="J1072" s="49" t="s">
        <v>899</v>
      </c>
      <c r="L1072" s="49">
        <v>1</v>
      </c>
      <c r="M1072" s="50">
        <v>1781000</v>
      </c>
      <c r="N1072" s="51">
        <v>3562000</v>
      </c>
      <c r="O1072" s="50" t="s">
        <v>560</v>
      </c>
      <c r="P1072" s="65" t="s">
        <v>5088</v>
      </c>
      <c r="Q1072" s="46" t="s">
        <v>29</v>
      </c>
      <c r="R1072" s="47" t="s">
        <v>5089</v>
      </c>
      <c r="U1072" s="46" t="s">
        <v>491</v>
      </c>
    </row>
    <row r="1073" spans="1:21" ht="90" x14ac:dyDescent="0.25">
      <c r="A1073" s="45">
        <v>42726</v>
      </c>
      <c r="B1073" s="46" t="s">
        <v>643</v>
      </c>
      <c r="C1073" s="45" t="s">
        <v>644</v>
      </c>
      <c r="D1073" s="46" t="s">
        <v>3132</v>
      </c>
      <c r="E1073" s="46" t="s">
        <v>588</v>
      </c>
      <c r="F1073" s="47" t="s">
        <v>5091</v>
      </c>
      <c r="H1073" s="47" t="s">
        <v>3277</v>
      </c>
      <c r="I1073" s="46" t="s">
        <v>5092</v>
      </c>
      <c r="J1073" s="49" t="s">
        <v>959</v>
      </c>
      <c r="L1073" s="49">
        <v>10</v>
      </c>
      <c r="M1073" s="50">
        <v>180000</v>
      </c>
      <c r="N1073" s="51">
        <v>236000</v>
      </c>
      <c r="O1073" s="50" t="s">
        <v>5093</v>
      </c>
      <c r="P1073" s="65" t="s">
        <v>5094</v>
      </c>
      <c r="Q1073" s="46" t="s">
        <v>1939</v>
      </c>
      <c r="R1073" s="47" t="s">
        <v>5095</v>
      </c>
      <c r="U1073" s="46" t="s">
        <v>491</v>
      </c>
    </row>
    <row r="1074" spans="1:21" ht="90" x14ac:dyDescent="0.25">
      <c r="A1074" s="45">
        <v>42726</v>
      </c>
      <c r="B1074" s="46" t="s">
        <v>1486</v>
      </c>
      <c r="C1074" s="45" t="s">
        <v>1363</v>
      </c>
      <c r="D1074" s="46" t="s">
        <v>1495</v>
      </c>
      <c r="E1074" s="46" t="s">
        <v>588</v>
      </c>
      <c r="F1074" s="47" t="s">
        <v>5096</v>
      </c>
      <c r="H1074" s="47" t="s">
        <v>886</v>
      </c>
      <c r="I1074" s="46" t="s">
        <v>5097</v>
      </c>
      <c r="J1074" s="49" t="s">
        <v>602</v>
      </c>
      <c r="L1074" s="49">
        <v>3</v>
      </c>
      <c r="M1074" s="50">
        <v>760000</v>
      </c>
      <c r="N1074" s="51">
        <v>775200</v>
      </c>
      <c r="O1074" s="50" t="s">
        <v>3844</v>
      </c>
      <c r="P1074" s="65" t="s">
        <v>5098</v>
      </c>
      <c r="Q1074" s="46" t="s">
        <v>1939</v>
      </c>
      <c r="R1074" s="47" t="s">
        <v>5099</v>
      </c>
      <c r="U1074" s="46" t="s">
        <v>491</v>
      </c>
    </row>
    <row r="1075" spans="1:21" ht="45" x14ac:dyDescent="0.25">
      <c r="A1075" s="45">
        <v>42726</v>
      </c>
      <c r="B1075" s="46" t="s">
        <v>320</v>
      </c>
      <c r="C1075" s="45" t="s">
        <v>1228</v>
      </c>
      <c r="D1075" s="46" t="s">
        <v>1229</v>
      </c>
      <c r="E1075" s="46" t="s">
        <v>588</v>
      </c>
      <c r="F1075" s="47" t="s">
        <v>5103</v>
      </c>
      <c r="H1075" s="47" t="s">
        <v>607</v>
      </c>
      <c r="I1075" s="46" t="s">
        <v>5104</v>
      </c>
      <c r="J1075" s="49" t="s">
        <v>3856</v>
      </c>
      <c r="L1075" s="49">
        <v>5</v>
      </c>
      <c r="M1075" s="50">
        <v>800000</v>
      </c>
      <c r="N1075" s="51">
        <v>920000</v>
      </c>
      <c r="O1075" s="50" t="s">
        <v>5105</v>
      </c>
      <c r="P1075" s="65" t="s">
        <v>5106</v>
      </c>
      <c r="Q1075" s="46" t="s">
        <v>592</v>
      </c>
      <c r="R1075" s="47" t="s">
        <v>5107</v>
      </c>
      <c r="U1075" s="46" t="s">
        <v>491</v>
      </c>
    </row>
    <row r="1076" spans="1:21" ht="60" x14ac:dyDescent="0.25">
      <c r="A1076" s="45">
        <v>42726</v>
      </c>
      <c r="B1076" s="46" t="s">
        <v>378</v>
      </c>
      <c r="C1076" s="45" t="s">
        <v>623</v>
      </c>
      <c r="D1076" s="46" t="s">
        <v>624</v>
      </c>
      <c r="E1076" s="46" t="s">
        <v>821</v>
      </c>
      <c r="F1076" s="47" t="s">
        <v>5109</v>
      </c>
      <c r="H1076" s="47" t="s">
        <v>607</v>
      </c>
      <c r="O1076" s="50" t="s">
        <v>35</v>
      </c>
      <c r="P1076" s="65" t="s">
        <v>5110</v>
      </c>
      <c r="Q1076" s="46" t="s">
        <v>592</v>
      </c>
      <c r="U1076" s="46" t="s">
        <v>491</v>
      </c>
    </row>
    <row r="1077" spans="1:21" ht="90" x14ac:dyDescent="0.25">
      <c r="A1077" s="45">
        <v>42726</v>
      </c>
      <c r="B1077" s="46" t="s">
        <v>378</v>
      </c>
      <c r="C1077" s="45" t="s">
        <v>623</v>
      </c>
      <c r="D1077" s="46" t="s">
        <v>625</v>
      </c>
      <c r="E1077" s="46" t="s">
        <v>821</v>
      </c>
      <c r="M1077" s="50">
        <v>3000000</v>
      </c>
      <c r="O1077" s="50" t="s">
        <v>5111</v>
      </c>
      <c r="P1077" s="65" t="s">
        <v>5112</v>
      </c>
      <c r="Q1077" s="46" t="s">
        <v>29</v>
      </c>
      <c r="R1077" s="47" t="s">
        <v>5113</v>
      </c>
      <c r="U1077" s="46" t="s">
        <v>491</v>
      </c>
    </row>
    <row r="1078" spans="1:21" ht="60" x14ac:dyDescent="0.25">
      <c r="A1078" s="45">
        <v>42726</v>
      </c>
      <c r="B1078" s="46" t="s">
        <v>1486</v>
      </c>
      <c r="C1078" s="45" t="s">
        <v>1883</v>
      </c>
      <c r="D1078" s="46" t="s">
        <v>2454</v>
      </c>
      <c r="E1078" s="46" t="s">
        <v>588</v>
      </c>
      <c r="F1078" s="47" t="s">
        <v>5114</v>
      </c>
      <c r="H1078" s="47" t="s">
        <v>809</v>
      </c>
      <c r="M1078" s="50">
        <v>261100</v>
      </c>
      <c r="N1078" s="51">
        <v>288200</v>
      </c>
      <c r="O1078" s="50" t="s">
        <v>5115</v>
      </c>
      <c r="P1078" s="65" t="s">
        <v>5116</v>
      </c>
      <c r="Q1078" s="46" t="s">
        <v>1939</v>
      </c>
      <c r="R1078" s="47" t="s">
        <v>5117</v>
      </c>
      <c r="U1078" s="46" t="s">
        <v>491</v>
      </c>
    </row>
    <row r="1079" spans="1:21" ht="105" x14ac:dyDescent="0.25">
      <c r="A1079" s="45">
        <v>42731</v>
      </c>
      <c r="B1079" s="46" t="s">
        <v>328</v>
      </c>
      <c r="C1079" s="45" t="s">
        <v>603</v>
      </c>
      <c r="D1079" s="46" t="s">
        <v>2282</v>
      </c>
      <c r="E1079" s="46" t="s">
        <v>588</v>
      </c>
      <c r="F1079" s="47" t="s">
        <v>5123</v>
      </c>
      <c r="H1079" s="47" t="s">
        <v>1057</v>
      </c>
      <c r="I1079" s="46" t="s">
        <v>5124</v>
      </c>
      <c r="J1079" s="49" t="s">
        <v>3373</v>
      </c>
      <c r="L1079" s="49">
        <v>6</v>
      </c>
      <c r="M1079" s="50">
        <v>450000</v>
      </c>
      <c r="N1079" s="51">
        <v>765000</v>
      </c>
      <c r="O1079" s="50" t="s">
        <v>5125</v>
      </c>
      <c r="P1079" s="65" t="s">
        <v>5126</v>
      </c>
      <c r="Q1079" s="46" t="s">
        <v>1939</v>
      </c>
      <c r="R1079" s="47" t="s">
        <v>5127</v>
      </c>
      <c r="U1079" s="46" t="s">
        <v>1327</v>
      </c>
    </row>
    <row r="1080" spans="1:21" ht="60" x14ac:dyDescent="0.25">
      <c r="A1080" s="45">
        <v>42731</v>
      </c>
      <c r="B1080" s="46" t="s">
        <v>378</v>
      </c>
      <c r="C1080" s="45" t="s">
        <v>899</v>
      </c>
      <c r="D1080" s="46" t="s">
        <v>3505</v>
      </c>
      <c r="E1080" s="46" t="s">
        <v>588</v>
      </c>
      <c r="F1080" s="47" t="s">
        <v>5136</v>
      </c>
      <c r="O1080" s="50" t="s">
        <v>5137</v>
      </c>
      <c r="P1080" s="65" t="s">
        <v>5138</v>
      </c>
      <c r="Q1080" s="46" t="s">
        <v>1939</v>
      </c>
      <c r="R1080" s="47" t="s">
        <v>5139</v>
      </c>
      <c r="U1080" s="46" t="s">
        <v>1327</v>
      </c>
    </row>
    <row r="1081" spans="1:21" ht="75" x14ac:dyDescent="0.25">
      <c r="A1081" s="45">
        <v>42732</v>
      </c>
      <c r="B1081" s="46" t="s">
        <v>328</v>
      </c>
      <c r="C1081" s="45" t="s">
        <v>603</v>
      </c>
      <c r="D1081" s="46" t="s">
        <v>1471</v>
      </c>
      <c r="E1081" s="46" t="s">
        <v>588</v>
      </c>
      <c r="F1081" s="47" t="s">
        <v>5140</v>
      </c>
      <c r="H1081" s="47" t="s">
        <v>1057</v>
      </c>
      <c r="I1081" s="46" t="s">
        <v>5141</v>
      </c>
      <c r="J1081" s="49" t="s">
        <v>644</v>
      </c>
      <c r="L1081" s="49">
        <v>4</v>
      </c>
      <c r="M1081" s="50">
        <v>220000</v>
      </c>
      <c r="N1081" s="51">
        <v>282000</v>
      </c>
      <c r="O1081" s="50" t="s">
        <v>5142</v>
      </c>
      <c r="P1081" s="65" t="s">
        <v>5143</v>
      </c>
      <c r="Q1081" s="46" t="s">
        <v>1939</v>
      </c>
      <c r="R1081" s="47" t="s">
        <v>5144</v>
      </c>
      <c r="U1081" s="46" t="s">
        <v>1327</v>
      </c>
    </row>
    <row r="1082" spans="1:21" ht="45" x14ac:dyDescent="0.25">
      <c r="A1082" s="45">
        <v>42732</v>
      </c>
      <c r="B1082" s="46" t="s">
        <v>378</v>
      </c>
      <c r="C1082" s="45" t="s">
        <v>899</v>
      </c>
      <c r="D1082" s="46" t="s">
        <v>625</v>
      </c>
      <c r="E1082" s="46" t="s">
        <v>588</v>
      </c>
      <c r="F1082" s="47" t="s">
        <v>5128</v>
      </c>
      <c r="H1082" s="47" t="s">
        <v>1057</v>
      </c>
      <c r="J1082" s="49" t="s">
        <v>899</v>
      </c>
      <c r="O1082" s="50" t="s">
        <v>695</v>
      </c>
      <c r="P1082" s="65" t="s">
        <v>5130</v>
      </c>
      <c r="Q1082" s="46" t="s">
        <v>29</v>
      </c>
      <c r="R1082" s="47" t="s">
        <v>5129</v>
      </c>
      <c r="U1082" s="46" t="s">
        <v>1327</v>
      </c>
    </row>
    <row r="1083" spans="1:21" ht="75" x14ac:dyDescent="0.25">
      <c r="A1083" s="45">
        <v>42732</v>
      </c>
      <c r="B1083" s="46" t="s">
        <v>378</v>
      </c>
      <c r="C1083" s="45" t="s">
        <v>899</v>
      </c>
      <c r="D1083" s="46" t="s">
        <v>611</v>
      </c>
      <c r="E1083" s="46" t="s">
        <v>588</v>
      </c>
      <c r="F1083" s="47" t="s">
        <v>5131</v>
      </c>
      <c r="H1083" s="47" t="s">
        <v>1057</v>
      </c>
      <c r="I1083" s="46" t="s">
        <v>5132</v>
      </c>
      <c r="J1083" s="49" t="s">
        <v>899</v>
      </c>
      <c r="L1083" s="49">
        <v>3</v>
      </c>
      <c r="M1083" s="50">
        <v>1866614</v>
      </c>
      <c r="O1083" s="50" t="s">
        <v>5133</v>
      </c>
      <c r="P1083" s="65" t="s">
        <v>5134</v>
      </c>
      <c r="Q1083" s="46" t="s">
        <v>592</v>
      </c>
      <c r="R1083" s="47" t="s">
        <v>5135</v>
      </c>
      <c r="U1083" s="46" t="s">
        <v>1327</v>
      </c>
    </row>
    <row r="1084" spans="1:21" ht="105" x14ac:dyDescent="0.25">
      <c r="A1084" s="45">
        <v>42732</v>
      </c>
      <c r="B1084" s="46" t="s">
        <v>643</v>
      </c>
      <c r="C1084" s="45" t="s">
        <v>644</v>
      </c>
      <c r="D1084" s="46" t="s">
        <v>645</v>
      </c>
      <c r="E1084" s="46" t="s">
        <v>588</v>
      </c>
      <c r="F1084" s="47" t="s">
        <v>5145</v>
      </c>
      <c r="H1084" s="47" t="s">
        <v>5147</v>
      </c>
      <c r="I1084" s="46" t="s">
        <v>4244</v>
      </c>
      <c r="J1084" s="49" t="s">
        <v>644</v>
      </c>
      <c r="L1084" s="49">
        <v>6</v>
      </c>
      <c r="M1084" s="50" t="s">
        <v>5148</v>
      </c>
      <c r="N1084" s="51" t="s">
        <v>5149</v>
      </c>
      <c r="O1084" s="50" t="s">
        <v>3886</v>
      </c>
      <c r="P1084" s="65" t="s">
        <v>5150</v>
      </c>
      <c r="Q1084" s="46" t="s">
        <v>592</v>
      </c>
      <c r="R1084" s="47" t="s">
        <v>5151</v>
      </c>
      <c r="U1084" s="46" t="s">
        <v>1327</v>
      </c>
    </row>
    <row r="1085" spans="1:21" ht="75" x14ac:dyDescent="0.25">
      <c r="A1085" s="45">
        <v>42733</v>
      </c>
      <c r="B1085" s="46" t="s">
        <v>378</v>
      </c>
      <c r="C1085" s="45" t="s">
        <v>899</v>
      </c>
      <c r="D1085" s="46" t="s">
        <v>624</v>
      </c>
      <c r="E1085" s="46" t="s">
        <v>588</v>
      </c>
      <c r="F1085" s="47" t="s">
        <v>5152</v>
      </c>
      <c r="H1085" s="47" t="s">
        <v>5146</v>
      </c>
      <c r="I1085" s="46" t="s">
        <v>5153</v>
      </c>
      <c r="J1085" s="49" t="s">
        <v>899</v>
      </c>
      <c r="L1085" s="49">
        <v>3</v>
      </c>
      <c r="M1085" s="50">
        <v>477200</v>
      </c>
      <c r="N1085" s="51">
        <v>552640</v>
      </c>
      <c r="O1085" s="50" t="s">
        <v>5154</v>
      </c>
      <c r="P1085" s="101" t="s">
        <v>5155</v>
      </c>
      <c r="Q1085" s="46" t="s">
        <v>1939</v>
      </c>
      <c r="R1085" s="47" t="s">
        <v>5156</v>
      </c>
      <c r="U1085" s="46" t="s">
        <v>1327</v>
      </c>
    </row>
    <row r="1086" spans="1:21" ht="90" x14ac:dyDescent="0.25">
      <c r="A1086" s="45">
        <v>42733</v>
      </c>
      <c r="B1086" s="46" t="s">
        <v>378</v>
      </c>
      <c r="C1086" s="45" t="s">
        <v>899</v>
      </c>
      <c r="D1086" s="46" t="s">
        <v>625</v>
      </c>
      <c r="E1086" s="46" t="s">
        <v>1707</v>
      </c>
      <c r="F1086" s="47" t="s">
        <v>5159</v>
      </c>
      <c r="J1086" s="49" t="s">
        <v>899</v>
      </c>
      <c r="O1086" s="50" t="s">
        <v>695</v>
      </c>
      <c r="P1086" s="65" t="s">
        <v>5160</v>
      </c>
      <c r="Q1086" s="46" t="s">
        <v>1612</v>
      </c>
      <c r="R1086" s="47" t="s">
        <v>5157</v>
      </c>
      <c r="S1086" s="47" t="s">
        <v>5158</v>
      </c>
      <c r="U1086" s="46" t="s">
        <v>1327</v>
      </c>
    </row>
  </sheetData>
  <sortState ref="A2:T1085">
    <sortCondition ref="A2:A1085"/>
  </sortState>
  <dataConsolidate/>
  <dataValidations count="7">
    <dataValidation type="list" allowBlank="1" showInputMessage="1" showErrorMessage="1" sqref="U4:U8">
      <formula1>"Patterson"</formula1>
    </dataValidation>
    <dataValidation type="list" allowBlank="1" showInputMessage="1" showErrorMessage="1" sqref="E3:E8">
      <formula1>"Call, Email"</formula1>
    </dataValidation>
    <dataValidation type="list" allowBlank="1" showInputMessage="1" showErrorMessage="1" sqref="U3">
      <formula1>"Patterson, Burdine, Trott, May"</formula1>
    </dataValidation>
    <dataValidation type="custom" allowBlank="1" showInputMessage="1" showErrorMessage="1" sqref="U64">
      <formula1>"May, Trott, Patterson"</formula1>
    </dataValidation>
    <dataValidation type="list" allowBlank="1" showInputMessage="1" showErrorMessage="1" sqref="B2:B1048576">
      <formula1>"ASL, All Risks, Bolton, Burns, Hull Co, Hull CA, J &amp; J, Jimcor, Quaker, RPS Cov, RPS Scotts, SCU, TPI"</formula1>
    </dataValidation>
    <dataValidation type="list" allowBlank="1" showInputMessage="1" showErrorMessage="1" sqref="Q2:Q1048576 Q1">
      <formula1>"Approve, Approve/Subj, Converted, Pend, Decline"</formula1>
    </dataValidation>
    <dataValidation type="list" allowBlank="1" showInputMessage="1" showErrorMessage="1" sqref="B1">
      <formula1>"ASL, All Risks, Bolton, Burns, Burns NC, Hull Horsham, Hull Charlotte, Hull Irvine, Hull Stockton, JM Wilson, J &amp; J, Jimcor, Quaker, RPS Covington, RPS Scottsdale, SCU, TPI, XS Brokers"</formula1>
    </dataValidation>
  </dataValidations>
  <pageMargins left="0.7" right="0.7" top="0.75" bottom="0.75" header="0.3" footer="0.3"/>
  <pageSetup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65"/>
  <sheetViews>
    <sheetView workbookViewId="0">
      <pane ySplit="1" topLeftCell="A2" activePane="bottomLeft" state="frozen"/>
      <selection pane="bottomLeft" activeCell="D12" sqref="D12"/>
    </sheetView>
  </sheetViews>
  <sheetFormatPr defaultRowHeight="12.75" x14ac:dyDescent="0.2"/>
  <cols>
    <col min="1" max="1" width="9.28515625" style="15" customWidth="1"/>
    <col min="2" max="2" width="11.28515625" style="22" customWidth="1"/>
    <col min="3" max="3" width="5.85546875" style="15" hidden="1" customWidth="1"/>
    <col min="4" max="4" width="12.42578125" style="15" bestFit="1" customWidth="1"/>
    <col min="5" max="5" width="45" style="15" customWidth="1"/>
    <col min="6" max="6" width="9.28515625" style="15" customWidth="1"/>
    <col min="7" max="7" width="39" style="15" bestFit="1" customWidth="1"/>
    <col min="8" max="8" width="13.28515625" style="15" bestFit="1" customWidth="1"/>
    <col min="9" max="16384" width="9.140625" style="15"/>
  </cols>
  <sheetData>
    <row r="1" spans="1:8" ht="39" thickBot="1" x14ac:dyDescent="0.25">
      <c r="A1" s="13" t="s">
        <v>23</v>
      </c>
      <c r="B1" s="14" t="s">
        <v>24</v>
      </c>
      <c r="C1" s="13" t="s">
        <v>61</v>
      </c>
      <c r="D1" s="13" t="s">
        <v>25</v>
      </c>
      <c r="E1" s="13" t="s">
        <v>26</v>
      </c>
      <c r="F1" s="13" t="s">
        <v>27</v>
      </c>
      <c r="G1" s="13" t="s">
        <v>28</v>
      </c>
      <c r="H1" s="13" t="s">
        <v>64</v>
      </c>
    </row>
    <row r="2" spans="1:8" ht="25.5" x14ac:dyDescent="0.2">
      <c r="A2" s="16" t="s">
        <v>110</v>
      </c>
      <c r="B2" s="17">
        <v>42005</v>
      </c>
      <c r="C2" s="16"/>
      <c r="D2" s="16" t="s">
        <v>113</v>
      </c>
      <c r="E2" s="18" t="s">
        <v>114</v>
      </c>
      <c r="F2" s="16" t="s">
        <v>68</v>
      </c>
      <c r="G2" s="18"/>
      <c r="H2" s="16" t="s">
        <v>65</v>
      </c>
    </row>
    <row r="3" spans="1:8" x14ac:dyDescent="0.2">
      <c r="A3" s="16" t="s">
        <v>110</v>
      </c>
      <c r="B3" s="17">
        <v>42005</v>
      </c>
      <c r="C3" s="16"/>
      <c r="D3" s="16" t="s">
        <v>115</v>
      </c>
      <c r="E3" s="18" t="s">
        <v>116</v>
      </c>
      <c r="F3" s="16" t="s">
        <v>29</v>
      </c>
      <c r="G3" s="18" t="s">
        <v>182</v>
      </c>
      <c r="H3" s="16" t="s">
        <v>65</v>
      </c>
    </row>
    <row r="4" spans="1:8" x14ac:dyDescent="0.2">
      <c r="A4" s="16" t="s">
        <v>117</v>
      </c>
      <c r="B4" s="17">
        <v>42036</v>
      </c>
      <c r="C4" s="16"/>
      <c r="D4" s="16" t="s">
        <v>118</v>
      </c>
      <c r="E4" s="18" t="s">
        <v>119</v>
      </c>
      <c r="F4" s="16" t="s">
        <v>68</v>
      </c>
      <c r="G4" s="18"/>
      <c r="H4" s="16" t="s">
        <v>65</v>
      </c>
    </row>
    <row r="5" spans="1:8" ht="25.5" x14ac:dyDescent="0.2">
      <c r="A5" s="16" t="s">
        <v>110</v>
      </c>
      <c r="B5" s="17">
        <v>42036</v>
      </c>
      <c r="C5" s="16"/>
      <c r="D5" s="16" t="s">
        <v>120</v>
      </c>
      <c r="E5" s="18" t="s">
        <v>123</v>
      </c>
      <c r="F5" s="16" t="s">
        <v>29</v>
      </c>
      <c r="G5" s="18" t="s">
        <v>183</v>
      </c>
      <c r="H5" s="16" t="s">
        <v>65</v>
      </c>
    </row>
    <row r="6" spans="1:8" ht="25.5" x14ac:dyDescent="0.2">
      <c r="A6" s="16" t="s">
        <v>110</v>
      </c>
      <c r="B6" s="17">
        <v>42036</v>
      </c>
      <c r="C6" s="16"/>
      <c r="D6" s="16" t="s">
        <v>121</v>
      </c>
      <c r="E6" s="18" t="s">
        <v>122</v>
      </c>
      <c r="F6" s="16" t="s">
        <v>68</v>
      </c>
      <c r="G6" s="18"/>
      <c r="H6" s="16" t="s">
        <v>65</v>
      </c>
    </row>
    <row r="7" spans="1:8" ht="25.5" x14ac:dyDescent="0.2">
      <c r="A7" s="16" t="s">
        <v>117</v>
      </c>
      <c r="B7" s="17">
        <v>42036</v>
      </c>
      <c r="C7" s="16"/>
      <c r="D7" s="16" t="s">
        <v>124</v>
      </c>
      <c r="E7" s="18" t="s">
        <v>125</v>
      </c>
      <c r="F7" s="16" t="s">
        <v>68</v>
      </c>
      <c r="G7" s="18"/>
      <c r="H7" s="16" t="s">
        <v>65</v>
      </c>
    </row>
    <row r="8" spans="1:8" ht="25.5" x14ac:dyDescent="0.2">
      <c r="A8" s="16" t="s">
        <v>117</v>
      </c>
      <c r="B8" s="17">
        <v>42036</v>
      </c>
      <c r="C8" s="16"/>
      <c r="D8" s="16" t="s">
        <v>126</v>
      </c>
      <c r="E8" s="18" t="s">
        <v>127</v>
      </c>
      <c r="F8" s="16" t="s">
        <v>29</v>
      </c>
      <c r="G8" s="18" t="s">
        <v>184</v>
      </c>
      <c r="H8" s="16" t="s">
        <v>65</v>
      </c>
    </row>
    <row r="9" spans="1:8" ht="25.5" x14ac:dyDescent="0.2">
      <c r="A9" s="16" t="s">
        <v>62</v>
      </c>
      <c r="B9" s="17">
        <v>42036</v>
      </c>
      <c r="C9" s="16"/>
      <c r="D9" s="16" t="s">
        <v>128</v>
      </c>
      <c r="E9" s="18" t="s">
        <v>129</v>
      </c>
      <c r="F9" s="16" t="s">
        <v>29</v>
      </c>
      <c r="G9" s="18" t="s">
        <v>185</v>
      </c>
      <c r="H9" s="16" t="s">
        <v>65</v>
      </c>
    </row>
    <row r="10" spans="1:8" x14ac:dyDescent="0.2">
      <c r="A10" s="16" t="s">
        <v>110</v>
      </c>
      <c r="B10" s="17">
        <v>42036</v>
      </c>
      <c r="C10" s="16"/>
      <c r="D10" s="16" t="s">
        <v>130</v>
      </c>
      <c r="E10" s="18" t="s">
        <v>131</v>
      </c>
      <c r="F10" s="16" t="s">
        <v>29</v>
      </c>
      <c r="G10" s="18" t="s">
        <v>186</v>
      </c>
      <c r="H10" s="16" t="s">
        <v>65</v>
      </c>
    </row>
    <row r="11" spans="1:8" x14ac:dyDescent="0.2">
      <c r="A11" s="16" t="s">
        <v>117</v>
      </c>
      <c r="B11" s="17">
        <v>42036</v>
      </c>
      <c r="C11" s="16"/>
      <c r="D11" s="16" t="s">
        <v>132</v>
      </c>
      <c r="E11" s="18" t="s">
        <v>133</v>
      </c>
      <c r="F11" s="16" t="s">
        <v>68</v>
      </c>
      <c r="G11" s="18"/>
      <c r="H11" s="16" t="s">
        <v>65</v>
      </c>
    </row>
    <row r="12" spans="1:8" ht="25.5" x14ac:dyDescent="0.2">
      <c r="A12" s="16" t="s">
        <v>110</v>
      </c>
      <c r="B12" s="17">
        <v>42036</v>
      </c>
      <c r="C12" s="16"/>
      <c r="D12" s="16" t="s">
        <v>134</v>
      </c>
      <c r="E12" s="18" t="s">
        <v>136</v>
      </c>
      <c r="F12" s="16" t="s">
        <v>135</v>
      </c>
      <c r="G12" s="18" t="s">
        <v>187</v>
      </c>
      <c r="H12" s="16" t="s">
        <v>65</v>
      </c>
    </row>
    <row r="13" spans="1:8" ht="25.5" x14ac:dyDescent="0.2">
      <c r="A13" s="16" t="s">
        <v>110</v>
      </c>
      <c r="B13" s="17">
        <v>42036</v>
      </c>
      <c r="C13" s="16"/>
      <c r="D13" s="16" t="s">
        <v>137</v>
      </c>
      <c r="E13" s="18" t="s">
        <v>138</v>
      </c>
      <c r="F13" s="16" t="s">
        <v>29</v>
      </c>
      <c r="G13" s="18" t="s">
        <v>188</v>
      </c>
      <c r="H13" s="16" t="s">
        <v>65</v>
      </c>
    </row>
    <row r="14" spans="1:8" ht="25.5" x14ac:dyDescent="0.2">
      <c r="A14" s="16" t="s">
        <v>110</v>
      </c>
      <c r="B14" s="17">
        <v>42064</v>
      </c>
      <c r="C14" s="16"/>
      <c r="D14" s="16" t="s">
        <v>139</v>
      </c>
      <c r="E14" s="18" t="s">
        <v>140</v>
      </c>
      <c r="F14" s="16" t="s">
        <v>29</v>
      </c>
      <c r="G14" s="18" t="s">
        <v>189</v>
      </c>
      <c r="H14" s="16" t="s">
        <v>65</v>
      </c>
    </row>
    <row r="15" spans="1:8" ht="25.5" x14ac:dyDescent="0.2">
      <c r="A15" s="16" t="s">
        <v>110</v>
      </c>
      <c r="B15" s="17">
        <v>42064</v>
      </c>
      <c r="C15" s="16"/>
      <c r="D15" s="16" t="s">
        <v>141</v>
      </c>
      <c r="E15" s="18" t="s">
        <v>142</v>
      </c>
      <c r="F15" s="16" t="s">
        <v>99</v>
      </c>
      <c r="G15" s="18" t="s">
        <v>187</v>
      </c>
      <c r="H15" s="16" t="s">
        <v>65</v>
      </c>
    </row>
    <row r="16" spans="1:8" x14ac:dyDescent="0.2">
      <c r="A16" s="16" t="s">
        <v>110</v>
      </c>
      <c r="B16" s="17">
        <v>42064</v>
      </c>
      <c r="C16" s="16"/>
      <c r="D16" s="16" t="s">
        <v>143</v>
      </c>
      <c r="E16" s="18" t="s">
        <v>144</v>
      </c>
      <c r="F16" s="16" t="s">
        <v>68</v>
      </c>
      <c r="G16" s="18"/>
      <c r="H16" s="16" t="s">
        <v>65</v>
      </c>
    </row>
    <row r="17" spans="1:8" ht="25.5" x14ac:dyDescent="0.2">
      <c r="A17" s="16" t="s">
        <v>117</v>
      </c>
      <c r="B17" s="17">
        <v>42064</v>
      </c>
      <c r="C17" s="16"/>
      <c r="D17" s="16" t="s">
        <v>145</v>
      </c>
      <c r="E17" s="18" t="s">
        <v>146</v>
      </c>
      <c r="F17" s="16" t="s">
        <v>99</v>
      </c>
      <c r="G17" s="18" t="s">
        <v>190</v>
      </c>
      <c r="H17" s="16" t="s">
        <v>65</v>
      </c>
    </row>
    <row r="18" spans="1:8" ht="25.5" x14ac:dyDescent="0.2">
      <c r="A18" s="16" t="s">
        <v>110</v>
      </c>
      <c r="B18" s="17">
        <v>42064</v>
      </c>
      <c r="C18" s="16"/>
      <c r="D18" s="16" t="s">
        <v>147</v>
      </c>
      <c r="E18" s="18" t="s">
        <v>148</v>
      </c>
      <c r="F18" s="16" t="s">
        <v>29</v>
      </c>
      <c r="G18" s="18" t="s">
        <v>191</v>
      </c>
      <c r="H18" s="16" t="s">
        <v>65</v>
      </c>
    </row>
    <row r="19" spans="1:8" x14ac:dyDescent="0.2">
      <c r="A19" s="16" t="s">
        <v>110</v>
      </c>
      <c r="B19" s="17">
        <v>42064</v>
      </c>
      <c r="C19" s="16"/>
      <c r="D19" s="16" t="s">
        <v>149</v>
      </c>
      <c r="E19" s="18" t="s">
        <v>150</v>
      </c>
      <c r="F19" s="16" t="s">
        <v>68</v>
      </c>
      <c r="G19" s="18"/>
      <c r="H19" s="16" t="s">
        <v>65</v>
      </c>
    </row>
    <row r="20" spans="1:8" ht="25.5" x14ac:dyDescent="0.2">
      <c r="A20" s="16" t="s">
        <v>117</v>
      </c>
      <c r="B20" s="17">
        <v>42064</v>
      </c>
      <c r="C20" s="16"/>
      <c r="D20" s="16" t="s">
        <v>151</v>
      </c>
      <c r="E20" s="18" t="s">
        <v>153</v>
      </c>
      <c r="F20" s="16" t="s">
        <v>68</v>
      </c>
      <c r="G20" s="18"/>
      <c r="H20" s="16" t="s">
        <v>65</v>
      </c>
    </row>
    <row r="21" spans="1:8" x14ac:dyDescent="0.2">
      <c r="A21" s="16" t="s">
        <v>110</v>
      </c>
      <c r="B21" s="17">
        <v>42064</v>
      </c>
      <c r="C21" s="16"/>
      <c r="D21" s="16" t="s">
        <v>108</v>
      </c>
      <c r="E21" s="18" t="s">
        <v>152</v>
      </c>
      <c r="F21" s="16" t="s">
        <v>68</v>
      </c>
      <c r="G21" s="18"/>
      <c r="H21" s="16" t="s">
        <v>65</v>
      </c>
    </row>
    <row r="22" spans="1:8" x14ac:dyDescent="0.2">
      <c r="A22" s="16" t="s">
        <v>117</v>
      </c>
      <c r="B22" s="17">
        <v>42064</v>
      </c>
      <c r="C22" s="16"/>
      <c r="D22" s="16" t="s">
        <v>154</v>
      </c>
      <c r="E22" s="18" t="s">
        <v>155</v>
      </c>
      <c r="F22" s="16" t="s">
        <v>68</v>
      </c>
      <c r="G22" s="18"/>
      <c r="H22" s="16" t="s">
        <v>65</v>
      </c>
    </row>
    <row r="23" spans="1:8" x14ac:dyDescent="0.2">
      <c r="A23" s="16" t="s">
        <v>110</v>
      </c>
      <c r="B23" s="17">
        <v>42064</v>
      </c>
      <c r="C23" s="16"/>
      <c r="D23" s="16" t="s">
        <v>156</v>
      </c>
      <c r="E23" s="18" t="s">
        <v>157</v>
      </c>
      <c r="F23" s="16" t="s">
        <v>68</v>
      </c>
      <c r="G23" s="18"/>
      <c r="H23" s="16" t="s">
        <v>65</v>
      </c>
    </row>
    <row r="24" spans="1:8" ht="25.5" x14ac:dyDescent="0.2">
      <c r="A24" s="16" t="s">
        <v>117</v>
      </c>
      <c r="B24" s="17">
        <v>42064</v>
      </c>
      <c r="C24" s="16"/>
      <c r="D24" s="16" t="s">
        <v>158</v>
      </c>
      <c r="E24" s="18" t="s">
        <v>159</v>
      </c>
      <c r="F24" s="16" t="s">
        <v>160</v>
      </c>
      <c r="G24" s="18" t="s">
        <v>192</v>
      </c>
      <c r="H24" s="16" t="s">
        <v>65</v>
      </c>
    </row>
    <row r="25" spans="1:8" x14ac:dyDescent="0.2">
      <c r="A25" s="16" t="s">
        <v>117</v>
      </c>
      <c r="B25" s="17">
        <v>42064</v>
      </c>
      <c r="C25" s="16"/>
      <c r="D25" s="16" t="s">
        <v>161</v>
      </c>
      <c r="E25" s="18" t="s">
        <v>162</v>
      </c>
      <c r="F25" s="16" t="s">
        <v>68</v>
      </c>
      <c r="G25" s="18"/>
      <c r="H25" s="16" t="s">
        <v>65</v>
      </c>
    </row>
    <row r="26" spans="1:8" x14ac:dyDescent="0.2">
      <c r="A26" s="16" t="s">
        <v>62</v>
      </c>
      <c r="B26" s="17">
        <v>42064</v>
      </c>
      <c r="C26" s="16"/>
      <c r="D26" s="16" t="s">
        <v>163</v>
      </c>
      <c r="E26" s="18" t="s">
        <v>164</v>
      </c>
      <c r="F26" s="16" t="s">
        <v>160</v>
      </c>
      <c r="G26" s="18" t="s">
        <v>34</v>
      </c>
      <c r="H26" s="16" t="s">
        <v>65</v>
      </c>
    </row>
    <row r="27" spans="1:8" x14ac:dyDescent="0.2">
      <c r="A27" s="16" t="s">
        <v>110</v>
      </c>
      <c r="B27" s="17">
        <v>42064</v>
      </c>
      <c r="C27" s="16"/>
      <c r="D27" s="16" t="s">
        <v>165</v>
      </c>
      <c r="E27" s="18" t="s">
        <v>166</v>
      </c>
      <c r="F27" s="16" t="s">
        <v>68</v>
      </c>
      <c r="G27" s="18"/>
      <c r="H27" s="16" t="s">
        <v>65</v>
      </c>
    </row>
    <row r="28" spans="1:8" ht="25.5" x14ac:dyDescent="0.2">
      <c r="A28" s="16" t="s">
        <v>62</v>
      </c>
      <c r="B28" s="17">
        <v>42095</v>
      </c>
      <c r="C28" s="16"/>
      <c r="D28" s="16" t="s">
        <v>167</v>
      </c>
      <c r="E28" s="18" t="s">
        <v>168</v>
      </c>
      <c r="F28" s="16" t="s">
        <v>160</v>
      </c>
      <c r="G28" s="18" t="s">
        <v>193</v>
      </c>
      <c r="H28" s="16" t="s">
        <v>65</v>
      </c>
    </row>
    <row r="29" spans="1:8" x14ac:dyDescent="0.2">
      <c r="A29" s="16" t="s">
        <v>110</v>
      </c>
      <c r="B29" s="17">
        <v>42095</v>
      </c>
      <c r="C29" s="16"/>
      <c r="D29" s="16" t="s">
        <v>169</v>
      </c>
      <c r="E29" s="18" t="s">
        <v>200</v>
      </c>
      <c r="F29" s="16" t="s">
        <v>68</v>
      </c>
      <c r="G29" s="18"/>
      <c r="H29" s="16" t="s">
        <v>65</v>
      </c>
    </row>
    <row r="30" spans="1:8" x14ac:dyDescent="0.2">
      <c r="A30" s="16" t="s">
        <v>117</v>
      </c>
      <c r="B30" s="17">
        <v>42095</v>
      </c>
      <c r="C30" s="16"/>
      <c r="D30" s="16" t="s">
        <v>170</v>
      </c>
      <c r="E30" s="18" t="s">
        <v>199</v>
      </c>
      <c r="F30" s="16" t="s">
        <v>29</v>
      </c>
      <c r="G30" s="18"/>
      <c r="H30" s="16" t="s">
        <v>65</v>
      </c>
    </row>
    <row r="31" spans="1:8" ht="25.5" x14ac:dyDescent="0.2">
      <c r="A31" s="16" t="s">
        <v>110</v>
      </c>
      <c r="B31" s="17">
        <v>38459</v>
      </c>
      <c r="C31" s="16"/>
      <c r="D31" s="16" t="s">
        <v>195</v>
      </c>
      <c r="E31" s="18" t="s">
        <v>196</v>
      </c>
      <c r="F31" s="16" t="s">
        <v>29</v>
      </c>
      <c r="G31" s="18" t="s">
        <v>197</v>
      </c>
      <c r="H31" s="16" t="s">
        <v>65</v>
      </c>
    </row>
    <row r="32" spans="1:8" x14ac:dyDescent="0.2">
      <c r="A32" s="16" t="s">
        <v>110</v>
      </c>
      <c r="B32" s="17">
        <v>42111</v>
      </c>
      <c r="C32" s="16"/>
      <c r="D32" s="16" t="s">
        <v>198</v>
      </c>
      <c r="E32" s="18" t="s">
        <v>201</v>
      </c>
      <c r="F32" s="16" t="s">
        <v>29</v>
      </c>
      <c r="G32" s="18" t="s">
        <v>202</v>
      </c>
      <c r="H32" s="16" t="s">
        <v>65</v>
      </c>
    </row>
    <row r="33" spans="1:8" x14ac:dyDescent="0.2">
      <c r="A33" s="16" t="s">
        <v>110</v>
      </c>
      <c r="B33" s="17">
        <v>42111</v>
      </c>
      <c r="C33" s="16"/>
      <c r="D33" s="16" t="s">
        <v>203</v>
      </c>
      <c r="E33" s="18" t="s">
        <v>204</v>
      </c>
      <c r="F33" s="16" t="s">
        <v>68</v>
      </c>
      <c r="G33" s="18"/>
      <c r="H33" s="16" t="s">
        <v>65</v>
      </c>
    </row>
    <row r="34" spans="1:8" x14ac:dyDescent="0.2">
      <c r="A34" s="16" t="s">
        <v>62</v>
      </c>
      <c r="B34" s="17">
        <v>42111</v>
      </c>
      <c r="C34" s="16"/>
      <c r="D34" s="16" t="s">
        <v>205</v>
      </c>
      <c r="E34" s="18" t="s">
        <v>206</v>
      </c>
      <c r="F34" s="16" t="s">
        <v>29</v>
      </c>
      <c r="G34" s="18" t="s">
        <v>207</v>
      </c>
      <c r="H34" s="16" t="s">
        <v>65</v>
      </c>
    </row>
    <row r="35" spans="1:8" ht="25.5" x14ac:dyDescent="0.2">
      <c r="A35" s="16" t="s">
        <v>62</v>
      </c>
      <c r="B35" s="17">
        <v>42111</v>
      </c>
      <c r="C35" s="16"/>
      <c r="D35" s="16" t="s">
        <v>208</v>
      </c>
      <c r="E35" s="18" t="s">
        <v>209</v>
      </c>
      <c r="F35" s="16" t="s">
        <v>29</v>
      </c>
      <c r="G35" s="18" t="s">
        <v>220</v>
      </c>
      <c r="H35" s="16" t="s">
        <v>65</v>
      </c>
    </row>
    <row r="36" spans="1:8" x14ac:dyDescent="0.2">
      <c r="A36" s="16" t="s">
        <v>110</v>
      </c>
      <c r="B36" s="17">
        <v>42114</v>
      </c>
      <c r="C36" s="16"/>
      <c r="D36" s="16" t="s">
        <v>210</v>
      </c>
      <c r="E36" s="18" t="s">
        <v>211</v>
      </c>
      <c r="F36" s="16" t="s">
        <v>29</v>
      </c>
      <c r="G36" s="18" t="s">
        <v>212</v>
      </c>
      <c r="H36" s="16" t="s">
        <v>65</v>
      </c>
    </row>
    <row r="37" spans="1:8" ht="25.5" x14ac:dyDescent="0.2">
      <c r="A37" s="19" t="s">
        <v>110</v>
      </c>
      <c r="B37" s="17">
        <v>42115</v>
      </c>
      <c r="C37" s="16"/>
      <c r="D37" s="16" t="s">
        <v>213</v>
      </c>
      <c r="E37" s="18" t="s">
        <v>221</v>
      </c>
      <c r="F37" s="16" t="s">
        <v>29</v>
      </c>
      <c r="G37" s="18" t="s">
        <v>214</v>
      </c>
      <c r="H37" s="16" t="s">
        <v>65</v>
      </c>
    </row>
    <row r="38" spans="1:8" x14ac:dyDescent="0.2">
      <c r="A38" s="16" t="s">
        <v>110</v>
      </c>
      <c r="B38" s="17">
        <v>42115</v>
      </c>
      <c r="C38" s="16"/>
      <c r="D38" s="16" t="s">
        <v>215</v>
      </c>
      <c r="E38" s="18" t="s">
        <v>222</v>
      </c>
      <c r="F38" s="16" t="s">
        <v>68</v>
      </c>
      <c r="G38" s="18" t="s">
        <v>216</v>
      </c>
      <c r="H38" s="16" t="s">
        <v>65</v>
      </c>
    </row>
    <row r="39" spans="1:8" x14ac:dyDescent="0.2">
      <c r="A39" s="16" t="s">
        <v>62</v>
      </c>
      <c r="B39" s="17">
        <v>42116</v>
      </c>
      <c r="C39" s="16"/>
      <c r="D39" s="16" t="s">
        <v>217</v>
      </c>
      <c r="E39" s="18" t="s">
        <v>218</v>
      </c>
      <c r="F39" s="16" t="s">
        <v>29</v>
      </c>
      <c r="G39" s="18" t="s">
        <v>219</v>
      </c>
      <c r="H39" s="16" t="s">
        <v>65</v>
      </c>
    </row>
    <row r="40" spans="1:8" x14ac:dyDescent="0.2">
      <c r="A40" s="16" t="s">
        <v>62</v>
      </c>
      <c r="B40" s="17">
        <v>42121</v>
      </c>
      <c r="C40" s="16"/>
      <c r="D40" s="16" t="s">
        <v>223</v>
      </c>
      <c r="E40" s="18" t="s">
        <v>224</v>
      </c>
      <c r="F40" s="16" t="s">
        <v>68</v>
      </c>
      <c r="G40" s="18" t="s">
        <v>225</v>
      </c>
      <c r="H40" s="16" t="s">
        <v>65</v>
      </c>
    </row>
    <row r="41" spans="1:8" x14ac:dyDescent="0.2">
      <c r="A41" s="16" t="s">
        <v>110</v>
      </c>
      <c r="B41" s="17">
        <v>42121</v>
      </c>
      <c r="C41" s="16"/>
      <c r="D41" s="16" t="s">
        <v>226</v>
      </c>
      <c r="E41" s="18" t="s">
        <v>227</v>
      </c>
      <c r="F41" s="16" t="s">
        <v>68</v>
      </c>
      <c r="G41" s="18"/>
      <c r="H41" s="16" t="s">
        <v>65</v>
      </c>
    </row>
    <row r="42" spans="1:8" x14ac:dyDescent="0.2">
      <c r="A42" s="16" t="s">
        <v>110</v>
      </c>
      <c r="B42" s="17">
        <v>42122</v>
      </c>
      <c r="C42" s="16"/>
      <c r="D42" s="16" t="s">
        <v>228</v>
      </c>
      <c r="E42" s="18" t="s">
        <v>229</v>
      </c>
      <c r="F42" s="16" t="s">
        <v>160</v>
      </c>
      <c r="G42" s="18" t="s">
        <v>230</v>
      </c>
      <c r="H42" s="16" t="s">
        <v>65</v>
      </c>
    </row>
    <row r="43" spans="1:8" x14ac:dyDescent="0.2">
      <c r="A43" s="16" t="s">
        <v>62</v>
      </c>
      <c r="B43" s="17">
        <v>42125</v>
      </c>
      <c r="C43" s="16"/>
      <c r="D43" s="16" t="s">
        <v>232</v>
      </c>
      <c r="E43" s="18" t="s">
        <v>233</v>
      </c>
      <c r="F43" s="16" t="s">
        <v>160</v>
      </c>
      <c r="G43" s="18" t="s">
        <v>234</v>
      </c>
      <c r="H43" s="16" t="s">
        <v>65</v>
      </c>
    </row>
    <row r="44" spans="1:8" x14ac:dyDescent="0.2">
      <c r="A44" s="16" t="s">
        <v>235</v>
      </c>
      <c r="B44" s="17">
        <v>42127</v>
      </c>
      <c r="C44" s="16"/>
      <c r="D44" s="16" t="s">
        <v>86</v>
      </c>
      <c r="E44" s="18" t="s">
        <v>236</v>
      </c>
      <c r="F44" s="16" t="s">
        <v>37</v>
      </c>
      <c r="G44" s="18"/>
      <c r="H44" s="16" t="s">
        <v>65</v>
      </c>
    </row>
    <row r="45" spans="1:8" x14ac:dyDescent="0.2">
      <c r="A45" s="16" t="s">
        <v>235</v>
      </c>
      <c r="B45" s="17">
        <v>42127</v>
      </c>
      <c r="C45" s="16"/>
      <c r="D45" s="16" t="s">
        <v>237</v>
      </c>
      <c r="E45" s="18" t="s">
        <v>238</v>
      </c>
      <c r="F45" s="16" t="s">
        <v>160</v>
      </c>
      <c r="G45" s="18" t="s">
        <v>239</v>
      </c>
      <c r="H45" s="16" t="s">
        <v>65</v>
      </c>
    </row>
    <row r="46" spans="1:8" x14ac:dyDescent="0.2">
      <c r="A46" s="16" t="s">
        <v>235</v>
      </c>
      <c r="B46" s="17">
        <v>42129</v>
      </c>
      <c r="C46" s="16"/>
      <c r="D46" s="16" t="s">
        <v>240</v>
      </c>
      <c r="E46" s="18" t="s">
        <v>241</v>
      </c>
      <c r="F46" s="16" t="s">
        <v>37</v>
      </c>
      <c r="G46" s="18"/>
      <c r="H46" s="16" t="s">
        <v>65</v>
      </c>
    </row>
    <row r="47" spans="1:8" x14ac:dyDescent="0.2">
      <c r="A47" s="16" t="s">
        <v>62</v>
      </c>
      <c r="B47" s="17">
        <v>42137</v>
      </c>
      <c r="C47" s="16"/>
      <c r="D47" s="16" t="s">
        <v>242</v>
      </c>
      <c r="E47" s="18" t="s">
        <v>243</v>
      </c>
      <c r="F47" s="16" t="s">
        <v>37</v>
      </c>
      <c r="G47" s="18" t="s">
        <v>244</v>
      </c>
      <c r="H47" s="16" t="s">
        <v>65</v>
      </c>
    </row>
    <row r="48" spans="1:8" x14ac:dyDescent="0.2">
      <c r="A48" s="16" t="s">
        <v>110</v>
      </c>
      <c r="B48" s="17">
        <v>42137</v>
      </c>
      <c r="C48" s="16"/>
      <c r="D48" s="16" t="s">
        <v>245</v>
      </c>
      <c r="E48" s="18" t="s">
        <v>246</v>
      </c>
      <c r="F48" s="16" t="s">
        <v>37</v>
      </c>
      <c r="G48" s="18" t="s">
        <v>247</v>
      </c>
      <c r="H48" s="16" t="s">
        <v>65</v>
      </c>
    </row>
    <row r="49" spans="1:8" x14ac:dyDescent="0.2">
      <c r="A49" s="16" t="s">
        <v>62</v>
      </c>
      <c r="B49" s="17">
        <v>42157</v>
      </c>
      <c r="C49" s="16"/>
      <c r="D49" s="16" t="s">
        <v>251</v>
      </c>
      <c r="E49" s="18" t="s">
        <v>248</v>
      </c>
      <c r="F49" s="16" t="s">
        <v>37</v>
      </c>
      <c r="G49" s="18" t="s">
        <v>249</v>
      </c>
      <c r="H49" s="16" t="s">
        <v>65</v>
      </c>
    </row>
    <row r="50" spans="1:8" x14ac:dyDescent="0.2">
      <c r="A50" s="16" t="s">
        <v>250</v>
      </c>
      <c r="B50" s="17">
        <v>42158</v>
      </c>
      <c r="C50" s="16"/>
      <c r="D50" s="16" t="s">
        <v>252</v>
      </c>
      <c r="E50" s="18" t="s">
        <v>253</v>
      </c>
      <c r="F50" s="16" t="s">
        <v>37</v>
      </c>
      <c r="G50" s="18" t="s">
        <v>254</v>
      </c>
      <c r="H50" s="16" t="s">
        <v>65</v>
      </c>
    </row>
    <row r="51" spans="1:8" x14ac:dyDescent="0.2">
      <c r="A51" s="16" t="s">
        <v>255</v>
      </c>
      <c r="B51" s="17">
        <v>42166</v>
      </c>
      <c r="C51" s="16"/>
      <c r="D51" s="16" t="s">
        <v>256</v>
      </c>
      <c r="E51" s="18" t="s">
        <v>257</v>
      </c>
      <c r="F51" s="16" t="s">
        <v>160</v>
      </c>
      <c r="G51" s="18" t="s">
        <v>176</v>
      </c>
      <c r="H51" s="16" t="s">
        <v>65</v>
      </c>
    </row>
    <row r="52" spans="1:8" x14ac:dyDescent="0.2">
      <c r="A52" s="16" t="s">
        <v>62</v>
      </c>
      <c r="B52" s="17">
        <v>42167</v>
      </c>
      <c r="C52" s="16"/>
      <c r="D52" s="16" t="s">
        <v>258</v>
      </c>
      <c r="E52" s="18" t="s">
        <v>259</v>
      </c>
      <c r="F52" s="16" t="s">
        <v>160</v>
      </c>
      <c r="G52" s="18" t="s">
        <v>260</v>
      </c>
      <c r="H52" s="16" t="s">
        <v>65</v>
      </c>
    </row>
    <row r="53" spans="1:8" x14ac:dyDescent="0.2">
      <c r="A53" s="16" t="s">
        <v>261</v>
      </c>
      <c r="B53" s="17">
        <v>42172</v>
      </c>
      <c r="C53" s="16"/>
      <c r="D53" s="16" t="s">
        <v>262</v>
      </c>
      <c r="E53" s="18" t="s">
        <v>263</v>
      </c>
      <c r="F53" s="16" t="s">
        <v>160</v>
      </c>
      <c r="G53" s="18" t="s">
        <v>194</v>
      </c>
      <c r="H53" s="16" t="s">
        <v>65</v>
      </c>
    </row>
    <row r="54" spans="1:8" x14ac:dyDescent="0.2">
      <c r="A54" s="16" t="s">
        <v>261</v>
      </c>
      <c r="B54" s="17">
        <v>42177</v>
      </c>
      <c r="C54" s="16"/>
      <c r="D54" s="16" t="s">
        <v>264</v>
      </c>
      <c r="E54" s="18" t="s">
        <v>265</v>
      </c>
      <c r="F54" s="16" t="s">
        <v>68</v>
      </c>
      <c r="G54" s="18"/>
      <c r="H54" s="16" t="s">
        <v>65</v>
      </c>
    </row>
    <row r="55" spans="1:8" x14ac:dyDescent="0.2">
      <c r="A55" s="16" t="s">
        <v>110</v>
      </c>
      <c r="B55" s="17">
        <v>42178</v>
      </c>
      <c r="C55" s="16"/>
      <c r="D55" s="16" t="s">
        <v>266</v>
      </c>
      <c r="E55" s="18" t="s">
        <v>267</v>
      </c>
      <c r="F55" s="16" t="s">
        <v>37</v>
      </c>
      <c r="G55" s="18" t="s">
        <v>268</v>
      </c>
      <c r="H55" s="16" t="s">
        <v>65</v>
      </c>
    </row>
    <row r="56" spans="1:8" x14ac:dyDescent="0.2">
      <c r="A56" s="16" t="s">
        <v>261</v>
      </c>
      <c r="B56" s="17">
        <v>42181</v>
      </c>
      <c r="C56" s="16"/>
      <c r="D56" s="16" t="s">
        <v>269</v>
      </c>
      <c r="E56" s="18" t="s">
        <v>270</v>
      </c>
      <c r="F56" s="16" t="s">
        <v>29</v>
      </c>
      <c r="G56" s="18" t="s">
        <v>271</v>
      </c>
      <c r="H56" s="16" t="s">
        <v>65</v>
      </c>
    </row>
    <row r="57" spans="1:8" x14ac:dyDescent="0.2">
      <c r="A57" s="16" t="s">
        <v>110</v>
      </c>
      <c r="B57" s="17">
        <v>42184</v>
      </c>
      <c r="C57" s="16"/>
      <c r="D57" s="16" t="s">
        <v>272</v>
      </c>
      <c r="E57" s="18" t="s">
        <v>273</v>
      </c>
      <c r="F57" s="16" t="s">
        <v>37</v>
      </c>
      <c r="G57" s="18" t="s">
        <v>274</v>
      </c>
      <c r="H57" s="16" t="s">
        <v>65</v>
      </c>
    </row>
    <row r="58" spans="1:8" x14ac:dyDescent="0.2">
      <c r="A58" s="16" t="s">
        <v>62</v>
      </c>
      <c r="B58" s="17">
        <v>42186</v>
      </c>
      <c r="C58" s="16"/>
      <c r="D58" s="16" t="s">
        <v>275</v>
      </c>
      <c r="E58" s="18" t="s">
        <v>276</v>
      </c>
      <c r="F58" s="16" t="s">
        <v>37</v>
      </c>
      <c r="G58" s="18"/>
      <c r="H58" s="16" t="s">
        <v>65</v>
      </c>
    </row>
    <row r="59" spans="1:8" x14ac:dyDescent="0.2">
      <c r="A59" s="16" t="s">
        <v>277</v>
      </c>
      <c r="B59" s="17">
        <v>42187</v>
      </c>
      <c r="C59" s="16"/>
      <c r="D59" s="16" t="s">
        <v>278</v>
      </c>
      <c r="E59" s="18" t="s">
        <v>279</v>
      </c>
      <c r="F59" s="16" t="s">
        <v>37</v>
      </c>
      <c r="G59" s="18"/>
      <c r="H59" s="16" t="s">
        <v>65</v>
      </c>
    </row>
    <row r="60" spans="1:8" x14ac:dyDescent="0.2">
      <c r="A60" s="16" t="s">
        <v>110</v>
      </c>
      <c r="B60" s="17">
        <v>42192</v>
      </c>
      <c r="C60" s="16"/>
      <c r="D60" s="16" t="s">
        <v>280</v>
      </c>
      <c r="E60" s="18" t="s">
        <v>281</v>
      </c>
      <c r="F60" s="16" t="s">
        <v>29</v>
      </c>
      <c r="G60" s="18" t="s">
        <v>282</v>
      </c>
      <c r="H60" s="16" t="s">
        <v>65</v>
      </c>
    </row>
    <row r="61" spans="1:8" x14ac:dyDescent="0.2">
      <c r="A61" s="16" t="s">
        <v>73</v>
      </c>
      <c r="B61" s="17">
        <v>42195</v>
      </c>
      <c r="C61" s="16"/>
      <c r="D61" s="16" t="s">
        <v>284</v>
      </c>
      <c r="E61" s="18" t="s">
        <v>283</v>
      </c>
      <c r="F61" s="16" t="s">
        <v>29</v>
      </c>
      <c r="G61" s="18" t="s">
        <v>285</v>
      </c>
      <c r="H61" s="16" t="s">
        <v>65</v>
      </c>
    </row>
    <row r="62" spans="1:8" ht="25.5" x14ac:dyDescent="0.2">
      <c r="A62" s="16" t="s">
        <v>286</v>
      </c>
      <c r="B62" s="17">
        <v>42209</v>
      </c>
      <c r="C62" s="16"/>
      <c r="D62" s="16" t="s">
        <v>287</v>
      </c>
      <c r="E62" s="18" t="s">
        <v>290</v>
      </c>
      <c r="F62" s="16" t="s">
        <v>37</v>
      </c>
      <c r="G62" s="18" t="s">
        <v>288</v>
      </c>
      <c r="H62" s="16" t="s">
        <v>289</v>
      </c>
    </row>
    <row r="63" spans="1:8" x14ac:dyDescent="0.2">
      <c r="A63" s="16" t="s">
        <v>110</v>
      </c>
      <c r="B63" s="17">
        <v>42209</v>
      </c>
      <c r="C63" s="16"/>
      <c r="D63" s="16" t="s">
        <v>291</v>
      </c>
      <c r="E63" s="18" t="s">
        <v>292</v>
      </c>
      <c r="F63" s="16" t="s">
        <v>37</v>
      </c>
      <c r="G63" s="18" t="s">
        <v>293</v>
      </c>
      <c r="H63" s="16" t="s">
        <v>65</v>
      </c>
    </row>
    <row r="64" spans="1:8" x14ac:dyDescent="0.2">
      <c r="A64" s="16" t="s">
        <v>294</v>
      </c>
      <c r="B64" s="17">
        <v>42209</v>
      </c>
      <c r="C64" s="16"/>
      <c r="D64" s="16" t="s">
        <v>295</v>
      </c>
      <c r="E64" s="18" t="s">
        <v>296</v>
      </c>
      <c r="F64" s="16" t="s">
        <v>29</v>
      </c>
      <c r="G64" s="18" t="s">
        <v>297</v>
      </c>
      <c r="H64" s="16" t="s">
        <v>65</v>
      </c>
    </row>
    <row r="65" spans="1:8" x14ac:dyDescent="0.2">
      <c r="A65" s="16" t="s">
        <v>110</v>
      </c>
      <c r="B65" s="17">
        <v>42212</v>
      </c>
      <c r="C65" s="16"/>
      <c r="D65" s="16" t="s">
        <v>298</v>
      </c>
      <c r="E65" s="18" t="s">
        <v>299</v>
      </c>
      <c r="F65" s="16" t="s">
        <v>37</v>
      </c>
      <c r="G65" s="18"/>
      <c r="H65" s="16" t="s">
        <v>65</v>
      </c>
    </row>
    <row r="66" spans="1:8" x14ac:dyDescent="0.2">
      <c r="A66" s="16" t="s">
        <v>286</v>
      </c>
      <c r="B66" s="17">
        <v>42212</v>
      </c>
      <c r="C66" s="16"/>
      <c r="D66" s="16" t="s">
        <v>300</v>
      </c>
      <c r="E66" s="18" t="s">
        <v>301</v>
      </c>
      <c r="F66" s="16" t="s">
        <v>37</v>
      </c>
      <c r="G66" s="18"/>
      <c r="H66" s="16" t="s">
        <v>65</v>
      </c>
    </row>
    <row r="67" spans="1:8" x14ac:dyDescent="0.2">
      <c r="A67" s="16" t="s">
        <v>286</v>
      </c>
      <c r="B67" s="17">
        <v>42220</v>
      </c>
      <c r="C67" s="16"/>
      <c r="D67" s="16" t="s">
        <v>139</v>
      </c>
      <c r="E67" s="18" t="s">
        <v>302</v>
      </c>
      <c r="F67" s="16" t="s">
        <v>160</v>
      </c>
      <c r="G67" s="18" t="s">
        <v>194</v>
      </c>
      <c r="H67" s="16" t="s">
        <v>65</v>
      </c>
    </row>
    <row r="68" spans="1:8" ht="25.5" x14ac:dyDescent="0.2">
      <c r="A68" s="16" t="s">
        <v>286</v>
      </c>
      <c r="B68" s="17">
        <v>42220</v>
      </c>
      <c r="C68" s="16"/>
      <c r="D68" s="16" t="s">
        <v>303</v>
      </c>
      <c r="E68" s="18" t="s">
        <v>304</v>
      </c>
      <c r="F68" s="16" t="s">
        <v>37</v>
      </c>
      <c r="G68" s="18"/>
      <c r="H68" s="16" t="s">
        <v>65</v>
      </c>
    </row>
    <row r="69" spans="1:8" x14ac:dyDescent="0.2">
      <c r="A69" s="16" t="s">
        <v>305</v>
      </c>
      <c r="B69" s="17">
        <v>42221</v>
      </c>
      <c r="C69" s="16"/>
      <c r="D69" s="16" t="s">
        <v>306</v>
      </c>
      <c r="E69" s="18" t="s">
        <v>307</v>
      </c>
      <c r="F69" s="16" t="s">
        <v>160</v>
      </c>
      <c r="G69" s="18" t="s">
        <v>308</v>
      </c>
      <c r="H69" s="16" t="s">
        <v>65</v>
      </c>
    </row>
    <row r="70" spans="1:8" x14ac:dyDescent="0.2">
      <c r="A70" s="16" t="s">
        <v>286</v>
      </c>
      <c r="B70" s="17">
        <v>42223</v>
      </c>
      <c r="C70" s="16"/>
      <c r="D70" s="16" t="s">
        <v>309</v>
      </c>
      <c r="E70" s="18" t="s">
        <v>310</v>
      </c>
      <c r="F70" s="16" t="s">
        <v>160</v>
      </c>
      <c r="G70" s="18" t="s">
        <v>311</v>
      </c>
      <c r="H70" s="16" t="s">
        <v>65</v>
      </c>
    </row>
    <row r="71" spans="1:8" x14ac:dyDescent="0.2">
      <c r="A71" s="16" t="s">
        <v>286</v>
      </c>
      <c r="B71" s="17">
        <v>42236</v>
      </c>
      <c r="C71" s="16"/>
      <c r="D71" s="16" t="s">
        <v>132</v>
      </c>
      <c r="E71" s="18" t="s">
        <v>312</v>
      </c>
      <c r="F71" s="16" t="s">
        <v>160</v>
      </c>
      <c r="G71" s="18" t="s">
        <v>313</v>
      </c>
      <c r="H71" s="16" t="s">
        <v>65</v>
      </c>
    </row>
    <row r="72" spans="1:8" x14ac:dyDescent="0.2">
      <c r="A72" s="16" t="s">
        <v>110</v>
      </c>
      <c r="B72" s="17">
        <v>42236</v>
      </c>
      <c r="C72" s="16"/>
      <c r="D72" s="16" t="s">
        <v>314</v>
      </c>
      <c r="E72" s="18" t="s">
        <v>315</v>
      </c>
      <c r="F72" s="16" t="s">
        <v>37</v>
      </c>
      <c r="G72" s="18"/>
      <c r="H72" s="16" t="s">
        <v>65</v>
      </c>
    </row>
    <row r="73" spans="1:8" ht="25.5" x14ac:dyDescent="0.2">
      <c r="A73" s="16" t="s">
        <v>286</v>
      </c>
      <c r="B73" s="17">
        <v>42237</v>
      </c>
      <c r="C73" s="16"/>
      <c r="D73" s="16" t="s">
        <v>316</v>
      </c>
      <c r="E73" s="18" t="s">
        <v>317</v>
      </c>
      <c r="F73" s="16" t="s">
        <v>160</v>
      </c>
      <c r="G73" s="18" t="s">
        <v>318</v>
      </c>
      <c r="H73" s="16" t="s">
        <v>65</v>
      </c>
    </row>
    <row r="74" spans="1:8" x14ac:dyDescent="0.2">
      <c r="A74" s="16" t="s">
        <v>319</v>
      </c>
      <c r="B74" s="17">
        <v>42244</v>
      </c>
      <c r="C74" s="16"/>
      <c r="D74" s="16" t="s">
        <v>320</v>
      </c>
      <c r="E74" s="18" t="s">
        <v>322</v>
      </c>
      <c r="F74" s="16" t="s">
        <v>160</v>
      </c>
      <c r="G74" s="18" t="s">
        <v>321</v>
      </c>
      <c r="H74" s="16" t="s">
        <v>65</v>
      </c>
    </row>
    <row r="75" spans="1:8" x14ac:dyDescent="0.2">
      <c r="A75" s="16" t="s">
        <v>286</v>
      </c>
      <c r="B75" s="17">
        <v>42244</v>
      </c>
      <c r="C75" s="16"/>
      <c r="D75" s="16" t="s">
        <v>323</v>
      </c>
      <c r="E75" s="18" t="s">
        <v>324</v>
      </c>
      <c r="F75" s="16" t="s">
        <v>160</v>
      </c>
      <c r="G75" s="18" t="s">
        <v>325</v>
      </c>
      <c r="H75" s="16" t="s">
        <v>65</v>
      </c>
    </row>
    <row r="76" spans="1:8" x14ac:dyDescent="0.2">
      <c r="A76" s="16" t="s">
        <v>286</v>
      </c>
      <c r="B76" s="17">
        <v>42247</v>
      </c>
      <c r="C76" s="16"/>
      <c r="D76" s="16" t="s">
        <v>326</v>
      </c>
      <c r="E76" s="18" t="s">
        <v>327</v>
      </c>
      <c r="F76" s="16" t="s">
        <v>37</v>
      </c>
      <c r="G76" s="18"/>
      <c r="H76" s="16" t="s">
        <v>65</v>
      </c>
    </row>
    <row r="77" spans="1:8" x14ac:dyDescent="0.2">
      <c r="A77" s="16" t="s">
        <v>328</v>
      </c>
      <c r="B77" s="17">
        <v>42250</v>
      </c>
      <c r="C77" s="16"/>
      <c r="D77" s="16" t="s">
        <v>329</v>
      </c>
      <c r="E77" s="18" t="s">
        <v>330</v>
      </c>
      <c r="F77" s="16" t="s">
        <v>37</v>
      </c>
      <c r="G77" s="18"/>
      <c r="H77" s="16" t="s">
        <v>65</v>
      </c>
    </row>
    <row r="78" spans="1:8" x14ac:dyDescent="0.2">
      <c r="A78" s="16" t="s">
        <v>110</v>
      </c>
      <c r="B78" s="17">
        <v>42250</v>
      </c>
      <c r="C78" s="16"/>
      <c r="D78" s="16" t="s">
        <v>331</v>
      </c>
      <c r="E78" s="18" t="s">
        <v>332</v>
      </c>
      <c r="F78" s="16" t="s">
        <v>37</v>
      </c>
      <c r="G78" s="18"/>
      <c r="H78" s="16" t="s">
        <v>65</v>
      </c>
    </row>
    <row r="79" spans="1:8" x14ac:dyDescent="0.2">
      <c r="A79" s="16" t="s">
        <v>328</v>
      </c>
      <c r="B79" s="17">
        <v>42250</v>
      </c>
      <c r="C79" s="16"/>
      <c r="D79" s="16" t="s">
        <v>333</v>
      </c>
      <c r="E79" s="18" t="s">
        <v>334</v>
      </c>
      <c r="F79" s="16" t="s">
        <v>160</v>
      </c>
      <c r="G79" s="18" t="s">
        <v>335</v>
      </c>
      <c r="H79" s="16" t="s">
        <v>65</v>
      </c>
    </row>
    <row r="80" spans="1:8" x14ac:dyDescent="0.2">
      <c r="A80" s="16" t="s">
        <v>110</v>
      </c>
      <c r="B80" s="17">
        <v>42255</v>
      </c>
      <c r="C80" s="16"/>
      <c r="D80" s="16" t="s">
        <v>336</v>
      </c>
      <c r="E80" s="18" t="s">
        <v>337</v>
      </c>
      <c r="F80" s="16" t="s">
        <v>37</v>
      </c>
      <c r="G80" s="18"/>
      <c r="H80" s="16" t="s">
        <v>65</v>
      </c>
    </row>
    <row r="81" spans="1:8" x14ac:dyDescent="0.2">
      <c r="A81" s="16" t="s">
        <v>286</v>
      </c>
      <c r="B81" s="17">
        <v>42255</v>
      </c>
      <c r="C81" s="16"/>
      <c r="D81" s="16" t="s">
        <v>338</v>
      </c>
      <c r="E81" s="18" t="s">
        <v>339</v>
      </c>
      <c r="F81" s="16" t="s">
        <v>37</v>
      </c>
      <c r="G81" s="18"/>
      <c r="H81" s="16" t="s">
        <v>65</v>
      </c>
    </row>
    <row r="82" spans="1:8" x14ac:dyDescent="0.2">
      <c r="A82" s="16" t="s">
        <v>328</v>
      </c>
      <c r="B82" s="17">
        <v>42255</v>
      </c>
      <c r="C82" s="16"/>
      <c r="D82" s="16" t="s">
        <v>340</v>
      </c>
      <c r="E82" s="18" t="s">
        <v>341</v>
      </c>
      <c r="F82" s="16" t="s">
        <v>160</v>
      </c>
      <c r="G82" s="18" t="s">
        <v>342</v>
      </c>
      <c r="H82" s="16" t="s">
        <v>65</v>
      </c>
    </row>
    <row r="83" spans="1:8" x14ac:dyDescent="0.2">
      <c r="A83" s="16" t="s">
        <v>305</v>
      </c>
      <c r="B83" s="17">
        <v>42255</v>
      </c>
      <c r="C83" s="16"/>
      <c r="D83" s="16" t="s">
        <v>343</v>
      </c>
      <c r="E83" s="18" t="s">
        <v>344</v>
      </c>
      <c r="F83" s="16" t="s">
        <v>160</v>
      </c>
      <c r="G83" s="18" t="s">
        <v>345</v>
      </c>
      <c r="H83" s="16" t="s">
        <v>65</v>
      </c>
    </row>
    <row r="84" spans="1:8" x14ac:dyDescent="0.2">
      <c r="A84" s="16" t="s">
        <v>328</v>
      </c>
      <c r="B84" s="17">
        <v>42256</v>
      </c>
      <c r="C84" s="16"/>
      <c r="D84" s="16" t="s">
        <v>346</v>
      </c>
      <c r="E84" s="18" t="s">
        <v>347</v>
      </c>
      <c r="F84" s="16" t="s">
        <v>37</v>
      </c>
      <c r="G84" s="18"/>
      <c r="H84" s="16" t="s">
        <v>65</v>
      </c>
    </row>
    <row r="85" spans="1:8" x14ac:dyDescent="0.2">
      <c r="A85" s="16" t="s">
        <v>328</v>
      </c>
      <c r="B85" s="17">
        <v>42256</v>
      </c>
      <c r="C85" s="16"/>
      <c r="D85" s="16" t="s">
        <v>348</v>
      </c>
      <c r="E85" s="18" t="s">
        <v>349</v>
      </c>
      <c r="F85" s="16" t="s">
        <v>160</v>
      </c>
      <c r="G85" s="18" t="s">
        <v>350</v>
      </c>
      <c r="H85" s="16" t="s">
        <v>65</v>
      </c>
    </row>
    <row r="86" spans="1:8" x14ac:dyDescent="0.2">
      <c r="A86" s="16" t="s">
        <v>110</v>
      </c>
      <c r="B86" s="17">
        <v>42258</v>
      </c>
      <c r="C86" s="16"/>
      <c r="D86" s="16" t="s">
        <v>351</v>
      </c>
      <c r="E86" s="18" t="s">
        <v>352</v>
      </c>
      <c r="F86" s="16" t="s">
        <v>37</v>
      </c>
      <c r="G86" s="18"/>
      <c r="H86" s="16" t="s">
        <v>65</v>
      </c>
    </row>
    <row r="87" spans="1:8" x14ac:dyDescent="0.2">
      <c r="A87" s="16" t="s">
        <v>353</v>
      </c>
      <c r="B87" s="17">
        <v>42262</v>
      </c>
      <c r="C87" s="16"/>
      <c r="D87" s="16" t="s">
        <v>354</v>
      </c>
      <c r="E87" s="18" t="s">
        <v>355</v>
      </c>
      <c r="F87" s="16" t="s">
        <v>37</v>
      </c>
      <c r="G87" s="18"/>
      <c r="H87" s="16" t="s">
        <v>65</v>
      </c>
    </row>
    <row r="88" spans="1:8" x14ac:dyDescent="0.2">
      <c r="A88" s="16" t="s">
        <v>356</v>
      </c>
      <c r="B88" s="17">
        <v>42262</v>
      </c>
      <c r="C88" s="16"/>
      <c r="D88" s="16" t="s">
        <v>357</v>
      </c>
      <c r="E88" s="18" t="s">
        <v>358</v>
      </c>
      <c r="F88" s="16" t="s">
        <v>29</v>
      </c>
      <c r="G88" s="18" t="s">
        <v>359</v>
      </c>
      <c r="H88" s="16" t="s">
        <v>65</v>
      </c>
    </row>
    <row r="89" spans="1:8" x14ac:dyDescent="0.2">
      <c r="A89" s="16" t="s">
        <v>328</v>
      </c>
      <c r="B89" s="17">
        <v>42262</v>
      </c>
      <c r="C89" s="16"/>
      <c r="D89" s="16" t="s">
        <v>360</v>
      </c>
      <c r="E89" s="18" t="s">
        <v>361</v>
      </c>
      <c r="F89" s="16" t="s">
        <v>37</v>
      </c>
      <c r="G89" s="18" t="s">
        <v>362</v>
      </c>
      <c r="H89" s="16" t="s">
        <v>65</v>
      </c>
    </row>
    <row r="90" spans="1:8" x14ac:dyDescent="0.2">
      <c r="A90" s="16" t="s">
        <v>356</v>
      </c>
      <c r="B90" s="17">
        <v>42264</v>
      </c>
      <c r="C90" s="16"/>
      <c r="D90" s="16" t="s">
        <v>363</v>
      </c>
      <c r="E90" s="18" t="s">
        <v>364</v>
      </c>
      <c r="F90" s="16" t="s">
        <v>37</v>
      </c>
      <c r="G90" s="18" t="s">
        <v>365</v>
      </c>
      <c r="H90" s="16" t="s">
        <v>65</v>
      </c>
    </row>
    <row r="91" spans="1:8" ht="25.5" x14ac:dyDescent="0.2">
      <c r="A91" s="16" t="s">
        <v>366</v>
      </c>
      <c r="B91" s="17">
        <v>42269</v>
      </c>
      <c r="C91" s="16"/>
      <c r="D91" s="16" t="s">
        <v>367</v>
      </c>
      <c r="E91" s="18" t="s">
        <v>368</v>
      </c>
      <c r="F91" s="16" t="s">
        <v>160</v>
      </c>
      <c r="G91" s="18" t="s">
        <v>369</v>
      </c>
      <c r="H91" s="16" t="s">
        <v>65</v>
      </c>
    </row>
    <row r="92" spans="1:8" x14ac:dyDescent="0.2">
      <c r="A92" s="16" t="s">
        <v>62</v>
      </c>
      <c r="B92" s="17">
        <v>42271</v>
      </c>
      <c r="C92" s="16"/>
      <c r="D92" s="16" t="s">
        <v>370</v>
      </c>
      <c r="E92" s="18" t="s">
        <v>372</v>
      </c>
      <c r="F92" s="16" t="s">
        <v>160</v>
      </c>
      <c r="G92" s="18" t="s">
        <v>371</v>
      </c>
      <c r="H92" s="16" t="s">
        <v>65</v>
      </c>
    </row>
    <row r="93" spans="1:8" x14ac:dyDescent="0.2">
      <c r="A93" s="16" t="s">
        <v>328</v>
      </c>
      <c r="B93" s="17">
        <v>42275</v>
      </c>
      <c r="C93" s="16"/>
      <c r="D93" s="16" t="s">
        <v>373</v>
      </c>
      <c r="E93" s="18" t="s">
        <v>374</v>
      </c>
      <c r="F93" s="16" t="s">
        <v>37</v>
      </c>
      <c r="G93" s="18"/>
      <c r="H93" s="16" t="s">
        <v>65</v>
      </c>
    </row>
    <row r="94" spans="1:8" x14ac:dyDescent="0.2">
      <c r="A94" s="16" t="s">
        <v>110</v>
      </c>
      <c r="B94" s="17">
        <v>42278</v>
      </c>
      <c r="C94" s="16"/>
      <c r="D94" s="16" t="s">
        <v>375</v>
      </c>
      <c r="E94" s="18" t="s">
        <v>376</v>
      </c>
      <c r="F94" s="16" t="s">
        <v>37</v>
      </c>
      <c r="G94" s="18"/>
      <c r="H94" s="16" t="s">
        <v>65</v>
      </c>
    </row>
    <row r="95" spans="1:8" x14ac:dyDescent="0.2">
      <c r="A95" s="16" t="s">
        <v>110</v>
      </c>
      <c r="B95" s="17">
        <v>42282</v>
      </c>
      <c r="C95" s="16"/>
      <c r="D95" s="16" t="s">
        <v>377</v>
      </c>
      <c r="E95" s="18" t="s">
        <v>382</v>
      </c>
      <c r="F95" s="16" t="s">
        <v>37</v>
      </c>
      <c r="G95" s="18"/>
      <c r="H95" s="16" t="s">
        <v>65</v>
      </c>
    </row>
    <row r="96" spans="1:8" x14ac:dyDescent="0.2">
      <c r="A96" s="16" t="s">
        <v>378</v>
      </c>
      <c r="B96" s="17">
        <v>42282</v>
      </c>
      <c r="C96" s="16"/>
      <c r="D96" s="16" t="s">
        <v>379</v>
      </c>
      <c r="E96" s="18" t="s">
        <v>381</v>
      </c>
      <c r="F96" s="16" t="s">
        <v>160</v>
      </c>
      <c r="G96" s="18" t="s">
        <v>380</v>
      </c>
      <c r="H96" s="16" t="s">
        <v>65</v>
      </c>
    </row>
    <row r="97" spans="1:8" x14ac:dyDescent="0.2">
      <c r="A97" s="16" t="s">
        <v>110</v>
      </c>
      <c r="B97" s="17">
        <v>42282</v>
      </c>
      <c r="C97" s="16"/>
      <c r="D97" s="16" t="s">
        <v>377</v>
      </c>
      <c r="E97" s="18" t="s">
        <v>383</v>
      </c>
      <c r="F97" s="16" t="s">
        <v>37</v>
      </c>
      <c r="G97" s="18"/>
      <c r="H97" s="16" t="s">
        <v>65</v>
      </c>
    </row>
    <row r="98" spans="1:8" x14ac:dyDescent="0.2">
      <c r="A98" s="16" t="s">
        <v>356</v>
      </c>
      <c r="B98" s="17">
        <v>42283</v>
      </c>
      <c r="C98" s="16"/>
      <c r="D98" s="16" t="s">
        <v>384</v>
      </c>
      <c r="E98" s="18" t="s">
        <v>385</v>
      </c>
      <c r="F98" s="16" t="s">
        <v>160</v>
      </c>
      <c r="G98" s="18" t="s">
        <v>386</v>
      </c>
      <c r="H98" s="16" t="s">
        <v>65</v>
      </c>
    </row>
    <row r="99" spans="1:8" x14ac:dyDescent="0.2">
      <c r="A99" s="16" t="s">
        <v>328</v>
      </c>
      <c r="B99" s="17" t="s">
        <v>387</v>
      </c>
      <c r="C99" s="16"/>
      <c r="D99" s="16" t="s">
        <v>388</v>
      </c>
      <c r="E99" s="18" t="s">
        <v>389</v>
      </c>
      <c r="F99" s="16" t="s">
        <v>37</v>
      </c>
      <c r="G99" s="18"/>
      <c r="H99" s="16" t="s">
        <v>65</v>
      </c>
    </row>
    <row r="100" spans="1:8" x14ac:dyDescent="0.2">
      <c r="A100" s="16" t="s">
        <v>328</v>
      </c>
      <c r="B100" s="17">
        <v>42285</v>
      </c>
      <c r="C100" s="16"/>
      <c r="D100" s="16" t="s">
        <v>390</v>
      </c>
      <c r="E100" s="18" t="s">
        <v>391</v>
      </c>
      <c r="F100" s="16" t="s">
        <v>160</v>
      </c>
      <c r="G100" s="18" t="s">
        <v>392</v>
      </c>
      <c r="H100" s="16" t="s">
        <v>65</v>
      </c>
    </row>
    <row r="101" spans="1:8" x14ac:dyDescent="0.2">
      <c r="A101" s="16" t="s">
        <v>356</v>
      </c>
      <c r="B101" s="17">
        <v>42286</v>
      </c>
      <c r="C101" s="16"/>
      <c r="D101" s="16" t="s">
        <v>393</v>
      </c>
      <c r="E101" s="18" t="s">
        <v>394</v>
      </c>
      <c r="F101" s="16" t="s">
        <v>29</v>
      </c>
      <c r="G101" s="18" t="s">
        <v>395</v>
      </c>
      <c r="H101" s="16" t="s">
        <v>65</v>
      </c>
    </row>
    <row r="102" spans="1:8" x14ac:dyDescent="0.2">
      <c r="A102" s="16" t="s">
        <v>356</v>
      </c>
      <c r="B102" s="17">
        <v>42290</v>
      </c>
      <c r="C102" s="16"/>
      <c r="D102" s="16" t="s">
        <v>396</v>
      </c>
      <c r="E102" s="18" t="s">
        <v>397</v>
      </c>
      <c r="F102" s="16" t="s">
        <v>37</v>
      </c>
      <c r="G102" s="18"/>
      <c r="H102" s="16" t="s">
        <v>398</v>
      </c>
    </row>
    <row r="103" spans="1:8" x14ac:dyDescent="0.2">
      <c r="A103" s="16" t="s">
        <v>356</v>
      </c>
      <c r="B103" s="17">
        <v>42293</v>
      </c>
      <c r="C103" s="16"/>
      <c r="D103" s="16" t="s">
        <v>399</v>
      </c>
      <c r="E103" s="18" t="s">
        <v>400</v>
      </c>
      <c r="F103" s="16" t="s">
        <v>37</v>
      </c>
      <c r="G103" s="18"/>
      <c r="H103" s="16" t="s">
        <v>65</v>
      </c>
    </row>
    <row r="104" spans="1:8" x14ac:dyDescent="0.2">
      <c r="A104" s="16" t="s">
        <v>401</v>
      </c>
      <c r="B104" s="20">
        <v>42293</v>
      </c>
      <c r="D104" s="16" t="s">
        <v>402</v>
      </c>
      <c r="E104" s="18" t="s">
        <v>403</v>
      </c>
      <c r="F104" s="16" t="s">
        <v>29</v>
      </c>
      <c r="G104" s="15" t="s">
        <v>492</v>
      </c>
      <c r="H104" s="16" t="s">
        <v>65</v>
      </c>
    </row>
    <row r="105" spans="1:8" x14ac:dyDescent="0.2">
      <c r="A105" s="21" t="s">
        <v>406</v>
      </c>
      <c r="B105" s="22">
        <v>42293</v>
      </c>
      <c r="D105" s="15" t="s">
        <v>404</v>
      </c>
      <c r="E105" s="18" t="s">
        <v>405</v>
      </c>
      <c r="F105" s="16" t="s">
        <v>29</v>
      </c>
      <c r="G105" s="15" t="s">
        <v>407</v>
      </c>
      <c r="H105" s="16" t="s">
        <v>65</v>
      </c>
    </row>
    <row r="106" spans="1:8" x14ac:dyDescent="0.2">
      <c r="A106" s="16" t="s">
        <v>250</v>
      </c>
      <c r="B106" s="22">
        <v>42297</v>
      </c>
      <c r="D106" s="15" t="s">
        <v>408</v>
      </c>
      <c r="E106" s="15" t="s">
        <v>409</v>
      </c>
      <c r="F106" s="16" t="s">
        <v>37</v>
      </c>
      <c r="H106" s="16" t="s">
        <v>398</v>
      </c>
    </row>
    <row r="107" spans="1:8" x14ac:dyDescent="0.2">
      <c r="A107" s="15" t="s">
        <v>277</v>
      </c>
      <c r="B107" s="22">
        <v>42297</v>
      </c>
      <c r="D107" s="15" t="s">
        <v>410</v>
      </c>
      <c r="E107" s="15" t="s">
        <v>411</v>
      </c>
      <c r="F107" s="16" t="s">
        <v>37</v>
      </c>
      <c r="G107" s="15" t="s">
        <v>412</v>
      </c>
      <c r="H107" s="15" t="s">
        <v>398</v>
      </c>
    </row>
    <row r="108" spans="1:8" x14ac:dyDescent="0.2">
      <c r="A108" s="16" t="s">
        <v>250</v>
      </c>
      <c r="B108" s="22">
        <v>42299</v>
      </c>
      <c r="D108" s="15" t="s">
        <v>413</v>
      </c>
      <c r="E108" s="18" t="s">
        <v>414</v>
      </c>
      <c r="F108" s="15" t="s">
        <v>37</v>
      </c>
      <c r="G108" s="15" t="s">
        <v>493</v>
      </c>
      <c r="H108" s="15" t="s">
        <v>65</v>
      </c>
    </row>
    <row r="109" spans="1:8" x14ac:dyDescent="0.2">
      <c r="A109" s="15" t="s">
        <v>378</v>
      </c>
      <c r="B109" s="22">
        <v>42299</v>
      </c>
      <c r="D109" s="15" t="s">
        <v>415</v>
      </c>
      <c r="E109" s="18" t="s">
        <v>416</v>
      </c>
      <c r="F109" s="15" t="s">
        <v>37</v>
      </c>
      <c r="H109" s="15" t="s">
        <v>65</v>
      </c>
    </row>
    <row r="110" spans="1:8" x14ac:dyDescent="0.2">
      <c r="A110" s="15" t="s">
        <v>378</v>
      </c>
      <c r="B110" s="22">
        <v>42299</v>
      </c>
      <c r="D110" s="15" t="s">
        <v>417</v>
      </c>
      <c r="E110" s="15" t="s">
        <v>418</v>
      </c>
      <c r="F110" s="15" t="s">
        <v>29</v>
      </c>
      <c r="G110" s="15" t="s">
        <v>419</v>
      </c>
      <c r="H110" s="15" t="s">
        <v>65</v>
      </c>
    </row>
    <row r="111" spans="1:8" x14ac:dyDescent="0.2">
      <c r="A111" s="15" t="s">
        <v>328</v>
      </c>
      <c r="B111" s="22">
        <v>42299</v>
      </c>
      <c r="D111" s="15" t="s">
        <v>420</v>
      </c>
      <c r="E111" s="15" t="s">
        <v>421</v>
      </c>
      <c r="F111" s="15" t="s">
        <v>37</v>
      </c>
      <c r="G111" s="15" t="s">
        <v>422</v>
      </c>
      <c r="H111" s="15" t="s">
        <v>65</v>
      </c>
    </row>
    <row r="112" spans="1:8" x14ac:dyDescent="0.2">
      <c r="A112" s="15" t="s">
        <v>378</v>
      </c>
      <c r="B112" s="22">
        <v>42299</v>
      </c>
      <c r="D112" s="15" t="s">
        <v>423</v>
      </c>
      <c r="E112" s="15" t="s">
        <v>424</v>
      </c>
      <c r="F112" s="15" t="s">
        <v>29</v>
      </c>
      <c r="G112" s="15" t="s">
        <v>425</v>
      </c>
      <c r="H112" s="15" t="s">
        <v>65</v>
      </c>
    </row>
    <row r="113" spans="1:8" x14ac:dyDescent="0.2">
      <c r="A113" s="15" t="s">
        <v>426</v>
      </c>
      <c r="B113" s="22">
        <v>42299</v>
      </c>
      <c r="D113" s="15" t="s">
        <v>427</v>
      </c>
      <c r="E113" s="15" t="s">
        <v>428</v>
      </c>
      <c r="F113" s="15" t="s">
        <v>37</v>
      </c>
      <c r="H113" s="15" t="s">
        <v>65</v>
      </c>
    </row>
    <row r="114" spans="1:8" x14ac:dyDescent="0.2">
      <c r="A114" s="15" t="s">
        <v>429</v>
      </c>
      <c r="B114" s="22">
        <v>42303</v>
      </c>
      <c r="D114" s="15" t="s">
        <v>430</v>
      </c>
      <c r="E114" s="15" t="s">
        <v>431</v>
      </c>
      <c r="F114" s="15" t="s">
        <v>29</v>
      </c>
      <c r="G114" s="15" t="s">
        <v>432</v>
      </c>
      <c r="H114" s="15" t="s">
        <v>65</v>
      </c>
    </row>
    <row r="115" spans="1:8" x14ac:dyDescent="0.2">
      <c r="A115" s="15" t="s">
        <v>433</v>
      </c>
      <c r="B115" s="22">
        <v>42303</v>
      </c>
      <c r="D115" s="15" t="s">
        <v>434</v>
      </c>
      <c r="E115" s="15" t="s">
        <v>435</v>
      </c>
      <c r="F115" s="15" t="s">
        <v>37</v>
      </c>
      <c r="H115" s="15" t="s">
        <v>65</v>
      </c>
    </row>
    <row r="116" spans="1:8" x14ac:dyDescent="0.2">
      <c r="A116" s="15" t="s">
        <v>261</v>
      </c>
      <c r="B116" s="22">
        <v>42304</v>
      </c>
      <c r="D116" s="15" t="s">
        <v>436</v>
      </c>
      <c r="E116" s="15" t="s">
        <v>437</v>
      </c>
      <c r="F116" s="15" t="s">
        <v>160</v>
      </c>
      <c r="G116" s="15" t="s">
        <v>438</v>
      </c>
      <c r="H116" s="15" t="s">
        <v>65</v>
      </c>
    </row>
    <row r="117" spans="1:8" x14ac:dyDescent="0.2">
      <c r="A117" s="15" t="s">
        <v>439</v>
      </c>
      <c r="B117" s="22">
        <v>42305</v>
      </c>
      <c r="D117" s="15" t="s">
        <v>440</v>
      </c>
      <c r="E117" s="15" t="s">
        <v>441</v>
      </c>
      <c r="F117" s="15" t="s">
        <v>160</v>
      </c>
      <c r="G117" s="15" t="s">
        <v>442</v>
      </c>
      <c r="H117" s="15" t="s">
        <v>65</v>
      </c>
    </row>
    <row r="118" spans="1:8" x14ac:dyDescent="0.2">
      <c r="A118" s="15" t="s">
        <v>110</v>
      </c>
      <c r="B118" s="22">
        <v>42307</v>
      </c>
      <c r="D118" s="15" t="s">
        <v>443</v>
      </c>
      <c r="E118" s="15" t="s">
        <v>444</v>
      </c>
      <c r="F118" s="15" t="s">
        <v>37</v>
      </c>
      <c r="G118" s="15" t="s">
        <v>445</v>
      </c>
      <c r="H118" s="15" t="s">
        <v>65</v>
      </c>
    </row>
    <row r="119" spans="1:8" x14ac:dyDescent="0.2">
      <c r="A119" s="15" t="s">
        <v>328</v>
      </c>
      <c r="B119" s="22">
        <v>42311</v>
      </c>
      <c r="D119" s="15" t="s">
        <v>446</v>
      </c>
      <c r="E119" s="23" t="s">
        <v>447</v>
      </c>
      <c r="F119" s="15" t="s">
        <v>37</v>
      </c>
      <c r="H119" s="15" t="s">
        <v>65</v>
      </c>
    </row>
    <row r="120" spans="1:8" x14ac:dyDescent="0.2">
      <c r="A120" s="15" t="s">
        <v>328</v>
      </c>
      <c r="B120" s="22">
        <v>42312</v>
      </c>
      <c r="D120" s="15" t="s">
        <v>448</v>
      </c>
      <c r="E120" s="15" t="s">
        <v>449</v>
      </c>
      <c r="F120" s="15" t="s">
        <v>37</v>
      </c>
      <c r="H120" s="15" t="s">
        <v>65</v>
      </c>
    </row>
    <row r="121" spans="1:8" x14ac:dyDescent="0.2">
      <c r="A121" s="15" t="s">
        <v>328</v>
      </c>
      <c r="B121" s="22">
        <v>42313</v>
      </c>
      <c r="D121" s="15" t="s">
        <v>450</v>
      </c>
      <c r="E121" s="15" t="s">
        <v>451</v>
      </c>
      <c r="F121" s="15" t="s">
        <v>160</v>
      </c>
      <c r="G121" s="15" t="s">
        <v>452</v>
      </c>
      <c r="H121" s="15" t="s">
        <v>65</v>
      </c>
    </row>
    <row r="122" spans="1:8" x14ac:dyDescent="0.2">
      <c r="A122" s="15" t="s">
        <v>328</v>
      </c>
      <c r="B122" s="22">
        <v>42313</v>
      </c>
      <c r="D122" s="15" t="s">
        <v>453</v>
      </c>
      <c r="E122" s="15" t="s">
        <v>454</v>
      </c>
      <c r="F122" s="15" t="s">
        <v>455</v>
      </c>
      <c r="G122" s="15" t="s">
        <v>456</v>
      </c>
      <c r="H122" s="15" t="s">
        <v>65</v>
      </c>
    </row>
    <row r="123" spans="1:8" x14ac:dyDescent="0.2">
      <c r="A123" s="15" t="s">
        <v>328</v>
      </c>
      <c r="B123" s="22">
        <v>42313</v>
      </c>
      <c r="D123" s="15" t="s">
        <v>440</v>
      </c>
      <c r="E123" s="15" t="s">
        <v>457</v>
      </c>
      <c r="F123" s="15" t="s">
        <v>160</v>
      </c>
      <c r="G123" s="15" t="s">
        <v>458</v>
      </c>
      <c r="H123" s="15" t="s">
        <v>65</v>
      </c>
    </row>
    <row r="124" spans="1:8" x14ac:dyDescent="0.2">
      <c r="A124" s="15" t="s">
        <v>328</v>
      </c>
      <c r="B124" s="22">
        <v>42313</v>
      </c>
      <c r="D124" s="15" t="s">
        <v>459</v>
      </c>
      <c r="E124" s="15" t="s">
        <v>460</v>
      </c>
      <c r="F124" s="15" t="s">
        <v>37</v>
      </c>
      <c r="H124" s="15" t="s">
        <v>65</v>
      </c>
    </row>
    <row r="125" spans="1:8" x14ac:dyDescent="0.2">
      <c r="A125" s="15" t="s">
        <v>328</v>
      </c>
      <c r="B125" s="22">
        <v>42314</v>
      </c>
      <c r="D125" s="15" t="s">
        <v>461</v>
      </c>
      <c r="E125" s="15" t="s">
        <v>462</v>
      </c>
      <c r="F125" s="15" t="s">
        <v>160</v>
      </c>
      <c r="G125" s="15" t="s">
        <v>463</v>
      </c>
      <c r="H125" s="15" t="s">
        <v>65</v>
      </c>
    </row>
    <row r="126" spans="1:8" x14ac:dyDescent="0.2">
      <c r="A126" s="15" t="s">
        <v>110</v>
      </c>
      <c r="B126" s="22">
        <v>42314</v>
      </c>
      <c r="D126" s="15" t="s">
        <v>443</v>
      </c>
      <c r="E126" s="15" t="s">
        <v>464</v>
      </c>
      <c r="F126" s="15" t="s">
        <v>37</v>
      </c>
      <c r="H126" s="15" t="s">
        <v>65</v>
      </c>
    </row>
    <row r="127" spans="1:8" x14ac:dyDescent="0.2">
      <c r="A127" s="15" t="s">
        <v>110</v>
      </c>
      <c r="B127" s="22">
        <v>42314</v>
      </c>
      <c r="D127" s="15" t="s">
        <v>465</v>
      </c>
      <c r="E127" s="15" t="s">
        <v>466</v>
      </c>
      <c r="F127" s="15" t="s">
        <v>37</v>
      </c>
      <c r="H127" s="15" t="s">
        <v>65</v>
      </c>
    </row>
    <row r="128" spans="1:8" x14ac:dyDescent="0.2">
      <c r="A128" s="15" t="s">
        <v>110</v>
      </c>
      <c r="B128" s="22">
        <v>42314</v>
      </c>
      <c r="D128" s="15" t="s">
        <v>467</v>
      </c>
      <c r="E128" s="15" t="s">
        <v>468</v>
      </c>
      <c r="F128" s="15" t="s">
        <v>160</v>
      </c>
      <c r="G128" s="15" t="s">
        <v>469</v>
      </c>
      <c r="H128" s="15" t="s">
        <v>65</v>
      </c>
    </row>
    <row r="129" spans="1:8" x14ac:dyDescent="0.2">
      <c r="A129" s="15" t="s">
        <v>250</v>
      </c>
      <c r="B129" s="22">
        <v>42312</v>
      </c>
      <c r="D129" s="15" t="s">
        <v>470</v>
      </c>
      <c r="E129" s="15" t="s">
        <v>471</v>
      </c>
      <c r="F129" s="15" t="s">
        <v>37</v>
      </c>
      <c r="G129" s="15" t="s">
        <v>472</v>
      </c>
      <c r="H129" s="15" t="s">
        <v>65</v>
      </c>
    </row>
    <row r="130" spans="1:8" x14ac:dyDescent="0.2">
      <c r="A130" s="15" t="s">
        <v>62</v>
      </c>
      <c r="B130" s="22">
        <v>42312</v>
      </c>
      <c r="D130" s="15" t="s">
        <v>473</v>
      </c>
      <c r="E130" s="15" t="s">
        <v>474</v>
      </c>
      <c r="F130" s="15" t="s">
        <v>37</v>
      </c>
      <c r="H130" s="15" t="s">
        <v>65</v>
      </c>
    </row>
    <row r="131" spans="1:8" x14ac:dyDescent="0.2">
      <c r="A131" s="15" t="s">
        <v>62</v>
      </c>
      <c r="B131" s="22">
        <v>42313</v>
      </c>
      <c r="D131" s="15" t="s">
        <v>475</v>
      </c>
      <c r="E131" s="15" t="s">
        <v>476</v>
      </c>
      <c r="F131" s="15" t="s">
        <v>37</v>
      </c>
      <c r="H131" s="15" t="s">
        <v>65</v>
      </c>
    </row>
    <row r="132" spans="1:8" x14ac:dyDescent="0.2">
      <c r="A132" s="15" t="s">
        <v>255</v>
      </c>
      <c r="B132" s="22">
        <v>42314</v>
      </c>
      <c r="D132" s="15" t="s">
        <v>477</v>
      </c>
      <c r="E132" s="15" t="s">
        <v>478</v>
      </c>
      <c r="F132" s="15" t="s">
        <v>160</v>
      </c>
      <c r="G132" s="15" t="s">
        <v>479</v>
      </c>
      <c r="H132" s="15" t="s">
        <v>65</v>
      </c>
    </row>
    <row r="133" spans="1:8" x14ac:dyDescent="0.2">
      <c r="A133" s="15" t="s">
        <v>255</v>
      </c>
      <c r="B133" s="22">
        <v>42314</v>
      </c>
      <c r="D133" s="15" t="s">
        <v>480</v>
      </c>
      <c r="E133" s="15" t="s">
        <v>481</v>
      </c>
      <c r="F133" s="15" t="s">
        <v>160</v>
      </c>
      <c r="G133" s="15" t="s">
        <v>482</v>
      </c>
      <c r="H133" s="15" t="s">
        <v>65</v>
      </c>
    </row>
    <row r="134" spans="1:8" x14ac:dyDescent="0.2">
      <c r="A134" s="15" t="s">
        <v>62</v>
      </c>
      <c r="B134" s="22">
        <v>42318</v>
      </c>
      <c r="D134" s="15" t="s">
        <v>483</v>
      </c>
      <c r="E134" s="15" t="s">
        <v>484</v>
      </c>
      <c r="F134" s="15" t="s">
        <v>37</v>
      </c>
      <c r="H134" s="15" t="s">
        <v>65</v>
      </c>
    </row>
    <row r="135" spans="1:8" x14ac:dyDescent="0.2">
      <c r="A135" s="15" t="s">
        <v>353</v>
      </c>
      <c r="B135" s="22">
        <v>42317</v>
      </c>
      <c r="D135" s="15" t="s">
        <v>485</v>
      </c>
      <c r="E135" s="15" t="s">
        <v>486</v>
      </c>
      <c r="F135" s="15" t="s">
        <v>160</v>
      </c>
      <c r="G135" s="15" t="s">
        <v>487</v>
      </c>
      <c r="H135" s="15" t="s">
        <v>65</v>
      </c>
    </row>
    <row r="136" spans="1:8" x14ac:dyDescent="0.2">
      <c r="A136" s="15" t="s">
        <v>356</v>
      </c>
      <c r="B136" s="22">
        <v>42318</v>
      </c>
      <c r="D136" s="15" t="s">
        <v>488</v>
      </c>
      <c r="E136" s="15" t="s">
        <v>489</v>
      </c>
      <c r="F136" s="15" t="s">
        <v>37</v>
      </c>
      <c r="G136" s="15" t="s">
        <v>490</v>
      </c>
      <c r="H136" s="15" t="s">
        <v>491</v>
      </c>
    </row>
    <row r="137" spans="1:8" x14ac:dyDescent="0.2">
      <c r="A137" s="15" t="s">
        <v>356</v>
      </c>
      <c r="B137" s="22">
        <v>42325</v>
      </c>
      <c r="D137" s="15" t="s">
        <v>494</v>
      </c>
      <c r="E137" s="15" t="s">
        <v>495</v>
      </c>
      <c r="F137" s="15" t="s">
        <v>37</v>
      </c>
      <c r="G137" s="15" t="s">
        <v>496</v>
      </c>
      <c r="H137" s="15" t="s">
        <v>491</v>
      </c>
    </row>
    <row r="138" spans="1:8" x14ac:dyDescent="0.2">
      <c r="A138" s="15" t="s">
        <v>366</v>
      </c>
      <c r="B138" s="22">
        <v>42326</v>
      </c>
      <c r="D138" s="15" t="s">
        <v>497</v>
      </c>
      <c r="E138" s="15" t="s">
        <v>498</v>
      </c>
      <c r="F138" s="15" t="s">
        <v>160</v>
      </c>
      <c r="G138" s="15" t="s">
        <v>499</v>
      </c>
      <c r="H138" s="15" t="s">
        <v>491</v>
      </c>
    </row>
    <row r="139" spans="1:8" x14ac:dyDescent="0.2">
      <c r="A139" s="15" t="s">
        <v>366</v>
      </c>
      <c r="B139" s="22">
        <v>42326</v>
      </c>
      <c r="D139" s="15" t="s">
        <v>500</v>
      </c>
      <c r="E139" s="15" t="s">
        <v>501</v>
      </c>
      <c r="F139" s="15" t="s">
        <v>37</v>
      </c>
      <c r="G139" s="15" t="s">
        <v>502</v>
      </c>
      <c r="H139" s="15" t="s">
        <v>491</v>
      </c>
    </row>
    <row r="140" spans="1:8" x14ac:dyDescent="0.2">
      <c r="A140" s="15" t="s">
        <v>506</v>
      </c>
      <c r="B140" s="22">
        <v>42327</v>
      </c>
      <c r="D140" s="15" t="s">
        <v>503</v>
      </c>
      <c r="E140" s="15" t="s">
        <v>505</v>
      </c>
      <c r="F140" s="15" t="s">
        <v>37</v>
      </c>
      <c r="G140" s="15" t="s">
        <v>504</v>
      </c>
      <c r="H140" s="15" t="s">
        <v>491</v>
      </c>
    </row>
    <row r="141" spans="1:8" x14ac:dyDescent="0.2">
      <c r="A141" s="15" t="s">
        <v>533</v>
      </c>
      <c r="B141" s="22">
        <v>42327</v>
      </c>
      <c r="D141" s="15" t="s">
        <v>507</v>
      </c>
      <c r="E141" s="15" t="s">
        <v>510</v>
      </c>
      <c r="F141" s="15" t="s">
        <v>508</v>
      </c>
      <c r="G141" s="15" t="s">
        <v>509</v>
      </c>
      <c r="H141" s="15" t="s">
        <v>491</v>
      </c>
    </row>
    <row r="142" spans="1:8" x14ac:dyDescent="0.2">
      <c r="A142" s="15" t="s">
        <v>366</v>
      </c>
      <c r="B142" s="22">
        <v>42328</v>
      </c>
      <c r="D142" s="15" t="s">
        <v>511</v>
      </c>
      <c r="E142" s="24" t="s">
        <v>512</v>
      </c>
      <c r="F142" s="15" t="s">
        <v>37</v>
      </c>
      <c r="G142" s="15" t="s">
        <v>514</v>
      </c>
      <c r="H142" s="15" t="s">
        <v>491</v>
      </c>
    </row>
    <row r="143" spans="1:8" x14ac:dyDescent="0.2">
      <c r="A143" s="15" t="s">
        <v>366</v>
      </c>
      <c r="B143" s="22">
        <v>42331</v>
      </c>
      <c r="D143" s="15" t="s">
        <v>513</v>
      </c>
      <c r="E143" s="15" t="s">
        <v>523</v>
      </c>
      <c r="F143" s="15" t="s">
        <v>37</v>
      </c>
      <c r="G143" s="15" t="s">
        <v>524</v>
      </c>
      <c r="H143" s="15" t="s">
        <v>491</v>
      </c>
    </row>
    <row r="144" spans="1:8" x14ac:dyDescent="0.2">
      <c r="A144" s="15" t="s">
        <v>533</v>
      </c>
      <c r="B144" s="22">
        <v>42331</v>
      </c>
      <c r="D144" s="15" t="s">
        <v>515</v>
      </c>
      <c r="E144" s="15" t="s">
        <v>517</v>
      </c>
      <c r="F144" s="15" t="s">
        <v>508</v>
      </c>
      <c r="G144" s="15" t="s">
        <v>516</v>
      </c>
      <c r="H144" s="15" t="s">
        <v>491</v>
      </c>
    </row>
    <row r="145" spans="1:8" x14ac:dyDescent="0.2">
      <c r="A145" s="15" t="s">
        <v>366</v>
      </c>
      <c r="B145" s="22">
        <v>42331</v>
      </c>
      <c r="D145" s="15" t="s">
        <v>518</v>
      </c>
      <c r="E145" s="15" t="s">
        <v>519</v>
      </c>
      <c r="F145" s="15" t="s">
        <v>160</v>
      </c>
      <c r="G145" s="15" t="s">
        <v>520</v>
      </c>
      <c r="H145" s="15" t="s">
        <v>491</v>
      </c>
    </row>
    <row r="146" spans="1:8" x14ac:dyDescent="0.2">
      <c r="A146" s="15" t="s">
        <v>366</v>
      </c>
      <c r="B146" s="22">
        <v>42332</v>
      </c>
      <c r="D146" s="15" t="s">
        <v>521</v>
      </c>
      <c r="E146" s="15" t="s">
        <v>525</v>
      </c>
      <c r="F146" s="15" t="s">
        <v>508</v>
      </c>
      <c r="G146" s="15" t="s">
        <v>522</v>
      </c>
      <c r="H146" s="15" t="s">
        <v>491</v>
      </c>
    </row>
    <row r="147" spans="1:8" x14ac:dyDescent="0.2">
      <c r="A147" s="15" t="s">
        <v>366</v>
      </c>
      <c r="B147" s="22">
        <v>42332</v>
      </c>
      <c r="D147" s="15" t="s">
        <v>526</v>
      </c>
      <c r="E147" s="15" t="s">
        <v>527</v>
      </c>
      <c r="F147" s="15" t="s">
        <v>37</v>
      </c>
      <c r="G147" s="15" t="s">
        <v>528</v>
      </c>
      <c r="H147" s="15" t="s">
        <v>65</v>
      </c>
    </row>
    <row r="148" spans="1:8" x14ac:dyDescent="0.2">
      <c r="A148" s="27" t="s">
        <v>506</v>
      </c>
      <c r="B148" s="28">
        <v>42346</v>
      </c>
      <c r="C148" s="27"/>
      <c r="D148" s="27" t="s">
        <v>529</v>
      </c>
      <c r="E148" s="27" t="s">
        <v>530</v>
      </c>
      <c r="F148" s="27" t="s">
        <v>37</v>
      </c>
      <c r="G148" s="27" t="s">
        <v>531</v>
      </c>
      <c r="H148" s="27" t="s">
        <v>491</v>
      </c>
    </row>
    <row r="149" spans="1:8" x14ac:dyDescent="0.2">
      <c r="A149" s="27" t="s">
        <v>532</v>
      </c>
      <c r="B149" s="28">
        <v>42349</v>
      </c>
      <c r="C149" s="27"/>
      <c r="D149" s="27" t="s">
        <v>534</v>
      </c>
      <c r="E149" s="27" t="s">
        <v>535</v>
      </c>
      <c r="F149" s="27" t="s">
        <v>160</v>
      </c>
      <c r="G149" s="27" t="s">
        <v>536</v>
      </c>
      <c r="H149" s="27" t="s">
        <v>491</v>
      </c>
    </row>
    <row r="150" spans="1:8" x14ac:dyDescent="0.2">
      <c r="A150" s="27" t="s">
        <v>328</v>
      </c>
      <c r="B150" s="28">
        <v>42349</v>
      </c>
      <c r="C150" s="27"/>
      <c r="D150" s="27" t="s">
        <v>543</v>
      </c>
      <c r="E150" s="27" t="s">
        <v>544</v>
      </c>
      <c r="F150" s="27" t="s">
        <v>160</v>
      </c>
      <c r="G150" s="27" t="s">
        <v>545</v>
      </c>
      <c r="H150" s="27" t="s">
        <v>491</v>
      </c>
    </row>
    <row r="151" spans="1:8" x14ac:dyDescent="0.2">
      <c r="A151" s="25" t="s">
        <v>110</v>
      </c>
      <c r="B151" s="26">
        <v>42352</v>
      </c>
      <c r="C151" s="25"/>
      <c r="D151" s="25" t="s">
        <v>537</v>
      </c>
      <c r="E151" s="25" t="s">
        <v>539</v>
      </c>
      <c r="F151" s="25" t="s">
        <v>160</v>
      </c>
      <c r="G151" s="25" t="s">
        <v>541</v>
      </c>
      <c r="H151" s="25" t="s">
        <v>491</v>
      </c>
    </row>
    <row r="152" spans="1:8" x14ac:dyDescent="0.2">
      <c r="A152" s="25" t="s">
        <v>110</v>
      </c>
      <c r="B152" s="26">
        <v>42352</v>
      </c>
      <c r="C152" s="25"/>
      <c r="D152" s="25" t="s">
        <v>538</v>
      </c>
      <c r="E152" s="25" t="s">
        <v>540</v>
      </c>
      <c r="F152" s="25" t="s">
        <v>160</v>
      </c>
      <c r="G152" s="25" t="s">
        <v>542</v>
      </c>
      <c r="H152" s="25" t="s">
        <v>491</v>
      </c>
    </row>
    <row r="153" spans="1:8" x14ac:dyDescent="0.2">
      <c r="A153" s="25" t="s">
        <v>328</v>
      </c>
      <c r="B153" s="26">
        <v>42353</v>
      </c>
      <c r="C153" s="25"/>
      <c r="D153" s="25" t="s">
        <v>546</v>
      </c>
      <c r="E153" s="25" t="s">
        <v>547</v>
      </c>
      <c r="F153" s="25" t="s">
        <v>37</v>
      </c>
      <c r="G153" s="25" t="s">
        <v>548</v>
      </c>
      <c r="H153" s="25" t="s">
        <v>491</v>
      </c>
    </row>
    <row r="154" spans="1:8" x14ac:dyDescent="0.2">
      <c r="A154" s="25" t="s">
        <v>328</v>
      </c>
      <c r="B154" s="26">
        <v>42353</v>
      </c>
      <c r="C154" s="25"/>
      <c r="D154" s="25" t="s">
        <v>549</v>
      </c>
      <c r="E154" s="25" t="s">
        <v>550</v>
      </c>
      <c r="F154" s="25" t="s">
        <v>37</v>
      </c>
      <c r="G154" s="25" t="s">
        <v>551</v>
      </c>
      <c r="H154" s="25" t="s">
        <v>491</v>
      </c>
    </row>
    <row r="155" spans="1:8" x14ac:dyDescent="0.2">
      <c r="A155" s="25" t="s">
        <v>506</v>
      </c>
      <c r="B155" s="26">
        <v>42353</v>
      </c>
      <c r="C155" s="25"/>
      <c r="D155" s="25" t="s">
        <v>552</v>
      </c>
      <c r="E155" s="25" t="s">
        <v>554</v>
      </c>
      <c r="F155" s="25" t="s">
        <v>37</v>
      </c>
      <c r="G155" s="25" t="s">
        <v>553</v>
      </c>
      <c r="H155" s="25" t="s">
        <v>491</v>
      </c>
    </row>
    <row r="156" spans="1:8" x14ac:dyDescent="0.2">
      <c r="A156" s="25" t="s">
        <v>366</v>
      </c>
      <c r="B156" s="26">
        <v>42354</v>
      </c>
      <c r="C156" s="25"/>
      <c r="D156" s="25" t="s">
        <v>563</v>
      </c>
      <c r="E156" s="25" t="s">
        <v>564</v>
      </c>
      <c r="F156" s="25" t="s">
        <v>37</v>
      </c>
      <c r="G156" s="25" t="s">
        <v>565</v>
      </c>
      <c r="H156" s="25" t="s">
        <v>491</v>
      </c>
    </row>
    <row r="157" spans="1:8" x14ac:dyDescent="0.2">
      <c r="A157" s="25" t="s">
        <v>569</v>
      </c>
      <c r="B157" s="26">
        <v>42354</v>
      </c>
      <c r="C157" s="25"/>
      <c r="D157" s="25" t="s">
        <v>566</v>
      </c>
      <c r="E157" s="25" t="s">
        <v>568</v>
      </c>
      <c r="F157" s="25" t="s">
        <v>37</v>
      </c>
      <c r="G157" s="25" t="s">
        <v>567</v>
      </c>
      <c r="H157" s="25" t="s">
        <v>491</v>
      </c>
    </row>
    <row r="158" spans="1:8" x14ac:dyDescent="0.2">
      <c r="A158" s="27" t="s">
        <v>366</v>
      </c>
      <c r="B158" s="28">
        <v>42359</v>
      </c>
      <c r="C158" s="27"/>
      <c r="D158" s="27"/>
      <c r="E158" s="27" t="s">
        <v>570</v>
      </c>
      <c r="F158" s="27" t="s">
        <v>508</v>
      </c>
      <c r="G158" s="27" t="s">
        <v>571</v>
      </c>
      <c r="H158" s="27" t="s">
        <v>491</v>
      </c>
    </row>
    <row r="159" spans="1:8" x14ac:dyDescent="0.2">
      <c r="A159" s="27" t="s">
        <v>533</v>
      </c>
      <c r="B159" s="28">
        <v>42359</v>
      </c>
      <c r="C159" s="27"/>
      <c r="D159" s="27" t="s">
        <v>572</v>
      </c>
      <c r="E159" s="27" t="s">
        <v>573</v>
      </c>
      <c r="F159" s="27" t="s">
        <v>160</v>
      </c>
      <c r="G159" s="27" t="s">
        <v>234</v>
      </c>
      <c r="H159" s="27" t="s">
        <v>491</v>
      </c>
    </row>
    <row r="160" spans="1:8" x14ac:dyDescent="0.2">
      <c r="A160" s="27"/>
      <c r="B160" s="28">
        <v>42359</v>
      </c>
      <c r="C160" s="27"/>
      <c r="D160" s="27" t="s">
        <v>574</v>
      </c>
      <c r="E160" s="27" t="s">
        <v>575</v>
      </c>
      <c r="F160" s="27" t="s">
        <v>642</v>
      </c>
      <c r="G160" s="27" t="s">
        <v>576</v>
      </c>
      <c r="H160" s="27" t="s">
        <v>491</v>
      </c>
    </row>
    <row r="161" spans="1:8" x14ac:dyDescent="0.2">
      <c r="A161" s="27"/>
      <c r="B161" s="28">
        <v>42360</v>
      </c>
      <c r="C161" s="27"/>
      <c r="D161" s="27" t="s">
        <v>577</v>
      </c>
      <c r="E161" s="27" t="s">
        <v>578</v>
      </c>
      <c r="F161" s="27" t="s">
        <v>37</v>
      </c>
      <c r="G161" s="27" t="s">
        <v>579</v>
      </c>
      <c r="H161" s="27" t="s">
        <v>491</v>
      </c>
    </row>
    <row r="162" spans="1:8" x14ac:dyDescent="0.2">
      <c r="A162" s="27"/>
      <c r="B162" s="28">
        <v>42360</v>
      </c>
      <c r="C162" s="27"/>
      <c r="D162" s="27" t="s">
        <v>580</v>
      </c>
      <c r="E162" s="27" t="s">
        <v>581</v>
      </c>
      <c r="F162" s="27" t="s">
        <v>37</v>
      </c>
      <c r="G162" s="27" t="s">
        <v>582</v>
      </c>
      <c r="H162" s="27" t="s">
        <v>491</v>
      </c>
    </row>
    <row r="163" spans="1:8" x14ac:dyDescent="0.2">
      <c r="B163" s="28">
        <v>42360</v>
      </c>
      <c r="C163" s="27"/>
      <c r="D163" s="27" t="s">
        <v>583</v>
      </c>
      <c r="E163" s="27" t="s">
        <v>584</v>
      </c>
      <c r="F163" s="27" t="s">
        <v>37</v>
      </c>
      <c r="G163" s="27" t="s">
        <v>585</v>
      </c>
      <c r="H163" s="27" t="s">
        <v>491</v>
      </c>
    </row>
    <row r="164" spans="1:8" x14ac:dyDescent="0.2">
      <c r="B164" s="28"/>
      <c r="C164" s="27"/>
      <c r="D164" s="27"/>
      <c r="E164" s="27"/>
      <c r="F164" s="27"/>
      <c r="G164" s="27"/>
      <c r="H164" s="27"/>
    </row>
    <row r="165" spans="1:8" x14ac:dyDescent="0.2">
      <c r="B165" s="28"/>
      <c r="C165" s="27"/>
      <c r="D165" s="27"/>
      <c r="E165" s="27"/>
      <c r="F165" s="27"/>
      <c r="G165" s="27"/>
      <c r="H165" s="27"/>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87"/>
  <sheetViews>
    <sheetView topLeftCell="A22" workbookViewId="0">
      <selection activeCell="E42" sqref="E42"/>
    </sheetView>
  </sheetViews>
  <sheetFormatPr defaultRowHeight="12" x14ac:dyDescent="0.2"/>
  <cols>
    <col min="1" max="1" width="9.140625" style="1"/>
    <col min="2" max="2" width="14" style="1" customWidth="1"/>
    <col min="3" max="3" width="6.42578125" style="1" hidden="1" customWidth="1"/>
    <col min="4" max="4" width="13.5703125" style="1" bestFit="1" customWidth="1"/>
    <col min="5" max="5" width="50" style="2" customWidth="1"/>
    <col min="6" max="6" width="9.140625" style="1"/>
    <col min="7" max="7" width="19.85546875" style="2" customWidth="1"/>
    <col min="8" max="8" width="10.7109375" style="1" customWidth="1"/>
    <col min="9" max="16384" width="9.140625" style="1"/>
  </cols>
  <sheetData>
    <row r="1" spans="1:8" ht="12.75" x14ac:dyDescent="0.2">
      <c r="A1" s="3" t="s">
        <v>231</v>
      </c>
    </row>
    <row r="2" spans="1:8" ht="12.75" thickBot="1" x14ac:dyDescent="0.25"/>
    <row r="3" spans="1:8" ht="24.75" customHeight="1" thickBot="1" x14ac:dyDescent="0.25">
      <c r="A3" s="12" t="s">
        <v>23</v>
      </c>
      <c r="B3" s="12" t="s">
        <v>24</v>
      </c>
      <c r="C3" s="12" t="s">
        <v>61</v>
      </c>
      <c r="D3" s="12" t="s">
        <v>25</v>
      </c>
      <c r="E3" s="12" t="s">
        <v>26</v>
      </c>
      <c r="F3" s="12" t="s">
        <v>27</v>
      </c>
      <c r="G3" s="12" t="s">
        <v>28</v>
      </c>
      <c r="H3" s="12" t="s">
        <v>64</v>
      </c>
    </row>
    <row r="4" spans="1:8" ht="24" x14ac:dyDescent="0.2">
      <c r="A4" s="8" t="s">
        <v>62</v>
      </c>
      <c r="B4" s="9">
        <v>41699</v>
      </c>
      <c r="C4" s="8"/>
      <c r="D4" s="8" t="s">
        <v>0</v>
      </c>
      <c r="E4" s="7" t="s">
        <v>38</v>
      </c>
      <c r="F4" s="8" t="s">
        <v>29</v>
      </c>
      <c r="G4" s="7" t="s">
        <v>34</v>
      </c>
      <c r="H4" s="8" t="s">
        <v>65</v>
      </c>
    </row>
    <row r="5" spans="1:8" x14ac:dyDescent="0.2">
      <c r="A5" s="8" t="s">
        <v>62</v>
      </c>
      <c r="B5" s="9">
        <v>41699</v>
      </c>
      <c r="C5" s="8"/>
      <c r="D5" s="8" t="s">
        <v>1</v>
      </c>
      <c r="E5" s="7" t="s">
        <v>39</v>
      </c>
      <c r="F5" s="8" t="s">
        <v>29</v>
      </c>
      <c r="G5" s="7" t="s">
        <v>30</v>
      </c>
      <c r="H5" s="8" t="s">
        <v>65</v>
      </c>
    </row>
    <row r="6" spans="1:8" ht="36" x14ac:dyDescent="0.2">
      <c r="A6" s="8" t="s">
        <v>62</v>
      </c>
      <c r="B6" s="9">
        <v>41699</v>
      </c>
      <c r="C6" s="8"/>
      <c r="D6" s="8" t="s">
        <v>2</v>
      </c>
      <c r="E6" s="7" t="s">
        <v>40</v>
      </c>
      <c r="F6" s="8" t="s">
        <v>29</v>
      </c>
      <c r="G6" s="7" t="s">
        <v>31</v>
      </c>
      <c r="H6" s="8" t="s">
        <v>65</v>
      </c>
    </row>
    <row r="7" spans="1:8" ht="24" x14ac:dyDescent="0.2">
      <c r="A7" s="8" t="s">
        <v>62</v>
      </c>
      <c r="B7" s="9">
        <v>41671</v>
      </c>
      <c r="C7" s="8"/>
      <c r="D7" s="8" t="s">
        <v>3</v>
      </c>
      <c r="E7" s="7" t="s">
        <v>41</v>
      </c>
      <c r="F7" s="8" t="s">
        <v>29</v>
      </c>
      <c r="G7" s="7" t="s">
        <v>194</v>
      </c>
      <c r="H7" s="8" t="s">
        <v>65</v>
      </c>
    </row>
    <row r="8" spans="1:8" ht="36" x14ac:dyDescent="0.2">
      <c r="A8" s="8" t="s">
        <v>62</v>
      </c>
      <c r="B8" s="9">
        <v>41671</v>
      </c>
      <c r="C8" s="8"/>
      <c r="D8" s="8" t="s">
        <v>4</v>
      </c>
      <c r="E8" s="7" t="s">
        <v>42</v>
      </c>
      <c r="F8" s="8" t="s">
        <v>29</v>
      </c>
      <c r="G8" s="7" t="s">
        <v>32</v>
      </c>
      <c r="H8" s="8" t="s">
        <v>65</v>
      </c>
    </row>
    <row r="9" spans="1:8" ht="24" x14ac:dyDescent="0.2">
      <c r="A9" s="8" t="s">
        <v>62</v>
      </c>
      <c r="B9" s="9">
        <v>41640</v>
      </c>
      <c r="C9" s="8"/>
      <c r="D9" s="8" t="s">
        <v>5</v>
      </c>
      <c r="E9" s="7" t="s">
        <v>43</v>
      </c>
      <c r="F9" s="8" t="s">
        <v>29</v>
      </c>
      <c r="G9" s="7" t="s">
        <v>30</v>
      </c>
      <c r="H9" s="8" t="s">
        <v>65</v>
      </c>
    </row>
    <row r="10" spans="1:8" ht="36" x14ac:dyDescent="0.2">
      <c r="A10" s="8" t="s">
        <v>62</v>
      </c>
      <c r="B10" s="9">
        <v>41760</v>
      </c>
      <c r="C10" s="8"/>
      <c r="D10" s="8" t="s">
        <v>6</v>
      </c>
      <c r="E10" s="7" t="s">
        <v>44</v>
      </c>
      <c r="F10" s="8" t="s">
        <v>29</v>
      </c>
      <c r="G10" s="7" t="s">
        <v>33</v>
      </c>
      <c r="H10" s="8" t="s">
        <v>65</v>
      </c>
    </row>
    <row r="11" spans="1:8" ht="36" x14ac:dyDescent="0.2">
      <c r="A11" s="8" t="s">
        <v>62</v>
      </c>
      <c r="B11" s="9">
        <v>41699</v>
      </c>
      <c r="C11" s="8"/>
      <c r="D11" s="8" t="s">
        <v>7</v>
      </c>
      <c r="E11" s="7" t="s">
        <v>45</v>
      </c>
      <c r="F11" s="8" t="s">
        <v>29</v>
      </c>
      <c r="G11" s="7" t="s">
        <v>34</v>
      </c>
      <c r="H11" s="8" t="s">
        <v>65</v>
      </c>
    </row>
    <row r="12" spans="1:8" ht="24" x14ac:dyDescent="0.2">
      <c r="A12" s="8" t="s">
        <v>62</v>
      </c>
      <c r="B12" s="9">
        <v>41699</v>
      </c>
      <c r="C12" s="8"/>
      <c r="D12" s="8" t="s">
        <v>8</v>
      </c>
      <c r="E12" s="7" t="s">
        <v>46</v>
      </c>
      <c r="F12" s="8" t="s">
        <v>29</v>
      </c>
      <c r="G12" s="7" t="s">
        <v>33</v>
      </c>
      <c r="H12" s="8" t="s">
        <v>65</v>
      </c>
    </row>
    <row r="13" spans="1:8" ht="24" x14ac:dyDescent="0.2">
      <c r="A13" s="8" t="s">
        <v>62</v>
      </c>
      <c r="B13" s="9">
        <v>41760</v>
      </c>
      <c r="C13" s="8"/>
      <c r="D13" s="8" t="s">
        <v>9</v>
      </c>
      <c r="E13" s="7" t="s">
        <v>48</v>
      </c>
      <c r="F13" s="8" t="s">
        <v>29</v>
      </c>
      <c r="G13" s="7" t="s">
        <v>49</v>
      </c>
      <c r="H13" s="8" t="s">
        <v>65</v>
      </c>
    </row>
    <row r="14" spans="1:8" ht="24" x14ac:dyDescent="0.2">
      <c r="A14" s="8" t="s">
        <v>62</v>
      </c>
      <c r="B14" s="9"/>
      <c r="C14" s="8"/>
      <c r="D14" s="8" t="s">
        <v>10</v>
      </c>
      <c r="E14" s="7" t="s">
        <v>47</v>
      </c>
      <c r="F14" s="8" t="s">
        <v>29</v>
      </c>
      <c r="G14" s="7" t="s">
        <v>35</v>
      </c>
      <c r="H14" s="8" t="s">
        <v>65</v>
      </c>
    </row>
    <row r="15" spans="1:8" ht="24" x14ac:dyDescent="0.2">
      <c r="A15" s="8" t="s">
        <v>62</v>
      </c>
      <c r="B15" s="9"/>
      <c r="C15" s="8"/>
      <c r="D15" s="8" t="s">
        <v>22</v>
      </c>
      <c r="E15" s="7" t="s">
        <v>21</v>
      </c>
      <c r="F15" s="8" t="s">
        <v>29</v>
      </c>
      <c r="G15" s="7" t="s">
        <v>36</v>
      </c>
      <c r="H15" s="8" t="s">
        <v>65</v>
      </c>
    </row>
    <row r="16" spans="1:8" x14ac:dyDescent="0.2">
      <c r="A16" s="8" t="s">
        <v>62</v>
      </c>
      <c r="B16" s="9">
        <v>41579</v>
      </c>
      <c r="C16" s="8"/>
      <c r="D16" s="8" t="s">
        <v>11</v>
      </c>
      <c r="E16" s="7" t="s">
        <v>50</v>
      </c>
      <c r="F16" s="8" t="s">
        <v>37</v>
      </c>
      <c r="G16" s="7"/>
      <c r="H16" s="8" t="s">
        <v>65</v>
      </c>
    </row>
    <row r="17" spans="1:8" x14ac:dyDescent="0.2">
      <c r="A17" s="8" t="s">
        <v>62</v>
      </c>
      <c r="B17" s="9">
        <v>41548</v>
      </c>
      <c r="C17" s="8"/>
      <c r="D17" s="8" t="s">
        <v>13</v>
      </c>
      <c r="E17" s="7" t="s">
        <v>51</v>
      </c>
      <c r="F17" s="8" t="s">
        <v>37</v>
      </c>
      <c r="G17" s="7"/>
      <c r="H17" s="8" t="s">
        <v>65</v>
      </c>
    </row>
    <row r="18" spans="1:8" ht="24" x14ac:dyDescent="0.2">
      <c r="A18" s="8" t="s">
        <v>62</v>
      </c>
      <c r="B18" s="9">
        <v>41548</v>
      </c>
      <c r="C18" s="8"/>
      <c r="D18" s="8" t="s">
        <v>12</v>
      </c>
      <c r="E18" s="7" t="s">
        <v>52</v>
      </c>
      <c r="F18" s="8" t="s">
        <v>37</v>
      </c>
      <c r="G18" s="7" t="s">
        <v>53</v>
      </c>
      <c r="H18" s="8" t="s">
        <v>65</v>
      </c>
    </row>
    <row r="19" spans="1:8" x14ac:dyDescent="0.2">
      <c r="A19" s="8" t="s">
        <v>62</v>
      </c>
      <c r="B19" s="9">
        <v>41640</v>
      </c>
      <c r="C19" s="8"/>
      <c r="D19" s="8" t="s">
        <v>14</v>
      </c>
      <c r="E19" s="7" t="s">
        <v>54</v>
      </c>
      <c r="F19" s="8" t="s">
        <v>37</v>
      </c>
      <c r="G19" s="7"/>
      <c r="H19" s="8" t="s">
        <v>65</v>
      </c>
    </row>
    <row r="20" spans="1:8" ht="24" x14ac:dyDescent="0.2">
      <c r="A20" s="8" t="s">
        <v>62</v>
      </c>
      <c r="B20" s="9">
        <v>41640</v>
      </c>
      <c r="C20" s="8"/>
      <c r="D20" s="8" t="s">
        <v>15</v>
      </c>
      <c r="E20" s="7" t="s">
        <v>55</v>
      </c>
      <c r="F20" s="8" t="s">
        <v>37</v>
      </c>
      <c r="G20" s="7" t="s">
        <v>53</v>
      </c>
      <c r="H20" s="8" t="s">
        <v>65</v>
      </c>
    </row>
    <row r="21" spans="1:8" x14ac:dyDescent="0.2">
      <c r="A21" s="8" t="s">
        <v>62</v>
      </c>
      <c r="B21" s="9">
        <v>41640</v>
      </c>
      <c r="C21" s="8"/>
      <c r="D21" s="8" t="s">
        <v>16</v>
      </c>
      <c r="E21" s="7" t="s">
        <v>56</v>
      </c>
      <c r="F21" s="8" t="s">
        <v>37</v>
      </c>
      <c r="G21" s="7"/>
      <c r="H21" s="8" t="s">
        <v>65</v>
      </c>
    </row>
    <row r="22" spans="1:8" x14ac:dyDescent="0.2">
      <c r="A22" s="8" t="s">
        <v>62</v>
      </c>
      <c r="B22" s="9">
        <v>41609</v>
      </c>
      <c r="C22" s="8"/>
      <c r="D22" s="8" t="s">
        <v>17</v>
      </c>
      <c r="E22" s="7" t="s">
        <v>57</v>
      </c>
      <c r="F22" s="8" t="s">
        <v>37</v>
      </c>
      <c r="G22" s="7"/>
      <c r="H22" s="8" t="s">
        <v>65</v>
      </c>
    </row>
    <row r="23" spans="1:8" x14ac:dyDescent="0.2">
      <c r="A23" s="8" t="s">
        <v>62</v>
      </c>
      <c r="B23" s="9">
        <v>41699</v>
      </c>
      <c r="C23" s="8"/>
      <c r="D23" s="8" t="s">
        <v>18</v>
      </c>
      <c r="E23" s="7" t="s">
        <v>58</v>
      </c>
      <c r="F23" s="8" t="s">
        <v>37</v>
      </c>
      <c r="G23" s="7"/>
      <c r="H23" s="8" t="s">
        <v>65</v>
      </c>
    </row>
    <row r="24" spans="1:8" x14ac:dyDescent="0.2">
      <c r="A24" s="8" t="s">
        <v>62</v>
      </c>
      <c r="B24" s="9">
        <v>41791</v>
      </c>
      <c r="C24" s="8"/>
      <c r="D24" s="8" t="s">
        <v>19</v>
      </c>
      <c r="E24" s="7" t="s">
        <v>59</v>
      </c>
      <c r="F24" s="8" t="s">
        <v>37</v>
      </c>
      <c r="G24" s="7" t="s">
        <v>63</v>
      </c>
      <c r="H24" s="8" t="s">
        <v>65</v>
      </c>
    </row>
    <row r="25" spans="1:8" x14ac:dyDescent="0.2">
      <c r="A25" s="8" t="s">
        <v>62</v>
      </c>
      <c r="B25" s="9">
        <v>41791</v>
      </c>
      <c r="C25" s="8"/>
      <c r="D25" s="8" t="s">
        <v>20</v>
      </c>
      <c r="E25" s="7" t="s">
        <v>60</v>
      </c>
      <c r="F25" s="8" t="s">
        <v>37</v>
      </c>
      <c r="G25" s="7"/>
      <c r="H25" s="8" t="s">
        <v>65</v>
      </c>
    </row>
    <row r="26" spans="1:8" x14ac:dyDescent="0.2">
      <c r="A26" s="8" t="s">
        <v>62</v>
      </c>
      <c r="B26" s="9">
        <v>41821</v>
      </c>
      <c r="C26" s="8"/>
      <c r="D26" s="8" t="s">
        <v>66</v>
      </c>
      <c r="E26" s="7" t="s">
        <v>67</v>
      </c>
      <c r="F26" s="8" t="s">
        <v>68</v>
      </c>
      <c r="G26" s="7"/>
      <c r="H26" s="8" t="s">
        <v>65</v>
      </c>
    </row>
    <row r="27" spans="1:8" x14ac:dyDescent="0.2">
      <c r="A27" s="8" t="s">
        <v>62</v>
      </c>
      <c r="B27" s="9">
        <v>41821</v>
      </c>
      <c r="C27" s="8"/>
      <c r="D27" s="8" t="s">
        <v>69</v>
      </c>
      <c r="E27" s="7" t="s">
        <v>70</v>
      </c>
      <c r="F27" s="8" t="s">
        <v>29</v>
      </c>
      <c r="G27" s="7" t="s">
        <v>171</v>
      </c>
      <c r="H27" s="8" t="s">
        <v>65</v>
      </c>
    </row>
    <row r="28" spans="1:8" x14ac:dyDescent="0.2">
      <c r="A28" s="8" t="s">
        <v>62</v>
      </c>
      <c r="B28" s="9">
        <v>41821</v>
      </c>
      <c r="C28" s="8"/>
      <c r="D28" s="8" t="s">
        <v>71</v>
      </c>
      <c r="E28" s="7" t="s">
        <v>72</v>
      </c>
      <c r="F28" s="8" t="s">
        <v>29</v>
      </c>
      <c r="G28" s="7" t="s">
        <v>172</v>
      </c>
      <c r="H28" s="8" t="s">
        <v>65</v>
      </c>
    </row>
    <row r="29" spans="1:8" x14ac:dyDescent="0.2">
      <c r="A29" s="8" t="s">
        <v>62</v>
      </c>
      <c r="B29" s="9">
        <v>41852</v>
      </c>
      <c r="C29" s="8"/>
      <c r="D29" s="8" t="s">
        <v>74</v>
      </c>
      <c r="E29" s="7" t="s">
        <v>75</v>
      </c>
      <c r="F29" s="8" t="s">
        <v>29</v>
      </c>
      <c r="G29" s="7" t="s">
        <v>173</v>
      </c>
      <c r="H29" s="8" t="s">
        <v>65</v>
      </c>
    </row>
    <row r="30" spans="1:8" x14ac:dyDescent="0.2">
      <c r="A30" s="8" t="s">
        <v>73</v>
      </c>
      <c r="B30" s="9">
        <v>41852</v>
      </c>
      <c r="C30" s="8"/>
      <c r="D30" s="8" t="s">
        <v>76</v>
      </c>
      <c r="E30" s="7" t="s">
        <v>77</v>
      </c>
      <c r="F30" s="8" t="s">
        <v>68</v>
      </c>
      <c r="G30" s="7"/>
      <c r="H30" s="8" t="s">
        <v>65</v>
      </c>
    </row>
    <row r="31" spans="1:8" x14ac:dyDescent="0.2">
      <c r="A31" s="8" t="s">
        <v>73</v>
      </c>
      <c r="B31" s="9">
        <v>41883</v>
      </c>
      <c r="C31" s="8"/>
      <c r="D31" s="8" t="s">
        <v>78</v>
      </c>
      <c r="E31" s="7" t="s">
        <v>79</v>
      </c>
      <c r="F31" s="8" t="s">
        <v>29</v>
      </c>
      <c r="G31" s="7" t="s">
        <v>174</v>
      </c>
      <c r="H31" s="8" t="s">
        <v>65</v>
      </c>
    </row>
    <row r="32" spans="1:8" x14ac:dyDescent="0.2">
      <c r="A32" s="8" t="s">
        <v>62</v>
      </c>
      <c r="B32" s="9">
        <v>41883</v>
      </c>
      <c r="C32" s="8"/>
      <c r="D32" s="8" t="s">
        <v>80</v>
      </c>
      <c r="E32" s="7" t="s">
        <v>81</v>
      </c>
      <c r="F32" s="8" t="s">
        <v>29</v>
      </c>
      <c r="G32" s="7" t="s">
        <v>175</v>
      </c>
      <c r="H32" s="8" t="s">
        <v>65</v>
      </c>
    </row>
    <row r="33" spans="1:8" x14ac:dyDescent="0.2">
      <c r="A33" s="8" t="s">
        <v>62</v>
      </c>
      <c r="B33" s="10">
        <v>41852</v>
      </c>
      <c r="C33" s="8"/>
      <c r="D33" s="8" t="s">
        <v>82</v>
      </c>
      <c r="E33" s="7" t="s">
        <v>83</v>
      </c>
      <c r="F33" s="8" t="s">
        <v>68</v>
      </c>
      <c r="G33" s="7"/>
      <c r="H33" s="8" t="s">
        <v>65</v>
      </c>
    </row>
    <row r="34" spans="1:8" x14ac:dyDescent="0.2">
      <c r="A34" s="8" t="s">
        <v>62</v>
      </c>
      <c r="B34" s="10">
        <v>41852</v>
      </c>
      <c r="C34" s="8"/>
      <c r="D34" s="8" t="s">
        <v>84</v>
      </c>
      <c r="E34" s="7" t="s">
        <v>85</v>
      </c>
      <c r="F34" s="8" t="s">
        <v>68</v>
      </c>
      <c r="G34" s="7"/>
      <c r="H34" s="8" t="s">
        <v>65</v>
      </c>
    </row>
    <row r="35" spans="1:8" x14ac:dyDescent="0.2">
      <c r="A35" s="8" t="s">
        <v>62</v>
      </c>
      <c r="B35" s="10">
        <v>41883</v>
      </c>
      <c r="C35" s="8"/>
      <c r="D35" s="8" t="s">
        <v>86</v>
      </c>
      <c r="E35" s="7" t="s">
        <v>87</v>
      </c>
      <c r="F35" s="8" t="s">
        <v>68</v>
      </c>
      <c r="G35" s="7"/>
      <c r="H35" s="8" t="s">
        <v>65</v>
      </c>
    </row>
    <row r="36" spans="1:8" ht="24" x14ac:dyDescent="0.2">
      <c r="A36" s="8" t="s">
        <v>62</v>
      </c>
      <c r="B36" s="10">
        <v>41791</v>
      </c>
      <c r="C36" s="8"/>
      <c r="D36" s="8" t="s">
        <v>88</v>
      </c>
      <c r="E36" s="7" t="s">
        <v>89</v>
      </c>
      <c r="F36" s="8" t="s">
        <v>68</v>
      </c>
      <c r="G36" s="7"/>
      <c r="H36" s="8" t="s">
        <v>65</v>
      </c>
    </row>
    <row r="37" spans="1:8" ht="24" x14ac:dyDescent="0.2">
      <c r="A37" s="8" t="s">
        <v>62</v>
      </c>
      <c r="B37" s="11">
        <v>41883</v>
      </c>
      <c r="C37" s="8"/>
      <c r="D37" s="8" t="s">
        <v>90</v>
      </c>
      <c r="E37" s="7" t="s">
        <v>91</v>
      </c>
      <c r="F37" s="8" t="s">
        <v>68</v>
      </c>
      <c r="G37" s="7"/>
      <c r="H37" s="8" t="s">
        <v>65</v>
      </c>
    </row>
    <row r="38" spans="1:8" x14ac:dyDescent="0.2">
      <c r="A38" s="8" t="s">
        <v>62</v>
      </c>
      <c r="B38" s="10">
        <v>41913</v>
      </c>
      <c r="C38" s="8"/>
      <c r="D38" s="8" t="s">
        <v>92</v>
      </c>
      <c r="E38" s="7" t="s">
        <v>93</v>
      </c>
      <c r="F38" s="8" t="s">
        <v>94</v>
      </c>
      <c r="G38" s="7" t="s">
        <v>176</v>
      </c>
      <c r="H38" s="8" t="s">
        <v>65</v>
      </c>
    </row>
    <row r="39" spans="1:8" ht="24" x14ac:dyDescent="0.2">
      <c r="A39" s="10" t="s">
        <v>62</v>
      </c>
      <c r="B39" s="10"/>
      <c r="C39" s="8"/>
      <c r="D39" s="8" t="s">
        <v>95</v>
      </c>
      <c r="E39" s="7" t="s">
        <v>96</v>
      </c>
      <c r="F39" s="8" t="s">
        <v>29</v>
      </c>
      <c r="G39" s="7" t="s">
        <v>177</v>
      </c>
      <c r="H39" s="8" t="s">
        <v>65</v>
      </c>
    </row>
    <row r="40" spans="1:8" ht="24" x14ac:dyDescent="0.2">
      <c r="A40" s="8" t="s">
        <v>73</v>
      </c>
      <c r="B40" s="10">
        <v>41974</v>
      </c>
      <c r="C40" s="8"/>
      <c r="D40" s="8" t="s">
        <v>97</v>
      </c>
      <c r="E40" s="7" t="s">
        <v>98</v>
      </c>
      <c r="F40" s="8" t="s">
        <v>99</v>
      </c>
      <c r="G40" s="7" t="s">
        <v>178</v>
      </c>
      <c r="H40" s="8" t="s">
        <v>65</v>
      </c>
    </row>
    <row r="41" spans="1:8" x14ac:dyDescent="0.2">
      <c r="A41" s="8" t="s">
        <v>62</v>
      </c>
      <c r="B41" s="10">
        <v>41944</v>
      </c>
      <c r="C41" s="8"/>
      <c r="D41" s="8" t="s">
        <v>100</v>
      </c>
      <c r="E41" s="7" t="s">
        <v>101</v>
      </c>
      <c r="F41" s="8" t="s">
        <v>68</v>
      </c>
      <c r="G41" s="7"/>
      <c r="H41" s="8" t="s">
        <v>65</v>
      </c>
    </row>
    <row r="42" spans="1:8" x14ac:dyDescent="0.2">
      <c r="A42" s="8" t="s">
        <v>62</v>
      </c>
      <c r="B42" s="10">
        <v>42278</v>
      </c>
      <c r="C42" s="8"/>
      <c r="D42" s="8" t="s">
        <v>102</v>
      </c>
      <c r="E42" s="7" t="s">
        <v>103</v>
      </c>
      <c r="F42" s="8" t="s">
        <v>29</v>
      </c>
      <c r="G42" s="7" t="s">
        <v>179</v>
      </c>
      <c r="H42" s="8" t="s">
        <v>65</v>
      </c>
    </row>
    <row r="43" spans="1:8" ht="24" x14ac:dyDescent="0.2">
      <c r="A43" s="8" t="s">
        <v>62</v>
      </c>
      <c r="B43" s="10">
        <v>41913</v>
      </c>
      <c r="C43" s="8"/>
      <c r="D43" s="8" t="s">
        <v>104</v>
      </c>
      <c r="E43" s="7" t="s">
        <v>105</v>
      </c>
      <c r="F43" s="8" t="s">
        <v>29</v>
      </c>
      <c r="G43" s="7" t="s">
        <v>180</v>
      </c>
      <c r="H43" s="8" t="s">
        <v>65</v>
      </c>
    </row>
    <row r="44" spans="1:8" x14ac:dyDescent="0.2">
      <c r="A44" s="8" t="s">
        <v>62</v>
      </c>
      <c r="B44" s="10">
        <v>41883</v>
      </c>
      <c r="C44" s="8"/>
      <c r="D44" s="8" t="s">
        <v>106</v>
      </c>
      <c r="E44" s="7" t="s">
        <v>107</v>
      </c>
      <c r="F44" s="8" t="s">
        <v>29</v>
      </c>
      <c r="G44" s="7" t="s">
        <v>181</v>
      </c>
      <c r="H44" s="8" t="s">
        <v>65</v>
      </c>
    </row>
    <row r="45" spans="1:8" ht="24" x14ac:dyDescent="0.2">
      <c r="A45" s="8" t="s">
        <v>73</v>
      </c>
      <c r="B45" s="10">
        <v>41883</v>
      </c>
      <c r="C45" s="8"/>
      <c r="D45" s="8" t="s">
        <v>108</v>
      </c>
      <c r="E45" s="7" t="s">
        <v>109</v>
      </c>
      <c r="F45" s="8" t="s">
        <v>68</v>
      </c>
      <c r="G45" s="7"/>
      <c r="H45" s="8" t="s">
        <v>65</v>
      </c>
    </row>
    <row r="46" spans="1:8" x14ac:dyDescent="0.2">
      <c r="A46" s="8" t="s">
        <v>110</v>
      </c>
      <c r="B46" s="9">
        <v>41974</v>
      </c>
      <c r="C46" s="8"/>
      <c r="D46" s="8" t="s">
        <v>111</v>
      </c>
      <c r="E46" s="7" t="s">
        <v>112</v>
      </c>
      <c r="F46" s="8" t="s">
        <v>68</v>
      </c>
      <c r="G46" s="7"/>
      <c r="H46" s="8" t="s">
        <v>65</v>
      </c>
    </row>
    <row r="47" spans="1:8" x14ac:dyDescent="0.2">
      <c r="B47" s="4"/>
    </row>
    <row r="48" spans="1:8" x14ac:dyDescent="0.2">
      <c r="B48" s="4"/>
    </row>
    <row r="49" spans="2:2" x14ac:dyDescent="0.2">
      <c r="B49" s="4"/>
    </row>
    <row r="50" spans="2:2" x14ac:dyDescent="0.2">
      <c r="B50" s="4"/>
    </row>
    <row r="51" spans="2:2" x14ac:dyDescent="0.2">
      <c r="B51" s="4"/>
    </row>
    <row r="52" spans="2:2" x14ac:dyDescent="0.2">
      <c r="B52" s="4"/>
    </row>
    <row r="53" spans="2:2" x14ac:dyDescent="0.2">
      <c r="B53" s="4"/>
    </row>
    <row r="54" spans="2:2" x14ac:dyDescent="0.2">
      <c r="B54" s="4"/>
    </row>
    <row r="55" spans="2:2" x14ac:dyDescent="0.2">
      <c r="B55" s="4"/>
    </row>
    <row r="56" spans="2:2" x14ac:dyDescent="0.2">
      <c r="B56" s="4"/>
    </row>
    <row r="57" spans="2:2" x14ac:dyDescent="0.2">
      <c r="B57" s="4"/>
    </row>
    <row r="58" spans="2:2" x14ac:dyDescent="0.2">
      <c r="B58" s="4"/>
    </row>
    <row r="59" spans="2:2" x14ac:dyDescent="0.2">
      <c r="B59" s="4"/>
    </row>
    <row r="60" spans="2:2" x14ac:dyDescent="0.2">
      <c r="B60" s="4"/>
    </row>
    <row r="61" spans="2:2" x14ac:dyDescent="0.2">
      <c r="B61" s="4"/>
    </row>
    <row r="62" spans="2:2" x14ac:dyDescent="0.2">
      <c r="B62" s="4"/>
    </row>
    <row r="63" spans="2:2" x14ac:dyDescent="0.2">
      <c r="B63" s="4"/>
    </row>
    <row r="64" spans="2:2" x14ac:dyDescent="0.2">
      <c r="B64" s="4"/>
    </row>
    <row r="65" spans="2:2" x14ac:dyDescent="0.2">
      <c r="B65" s="4"/>
    </row>
    <row r="66" spans="2:2" x14ac:dyDescent="0.2">
      <c r="B66" s="4"/>
    </row>
    <row r="67" spans="2:2" x14ac:dyDescent="0.2">
      <c r="B67" s="4"/>
    </row>
    <row r="68" spans="2:2" x14ac:dyDescent="0.2">
      <c r="B68" s="4"/>
    </row>
    <row r="69" spans="2:2" x14ac:dyDescent="0.2">
      <c r="B69" s="4"/>
    </row>
    <row r="70" spans="2:2" x14ac:dyDescent="0.2">
      <c r="B70" s="4"/>
    </row>
    <row r="71" spans="2:2" x14ac:dyDescent="0.2">
      <c r="B71" s="4"/>
    </row>
    <row r="72" spans="2:2" x14ac:dyDescent="0.2">
      <c r="B72" s="4"/>
    </row>
    <row r="73" spans="2:2" x14ac:dyDescent="0.2">
      <c r="B73" s="4"/>
    </row>
    <row r="74" spans="2:2" x14ac:dyDescent="0.2">
      <c r="B74" s="4"/>
    </row>
    <row r="75" spans="2:2" x14ac:dyDescent="0.2">
      <c r="B75" s="4"/>
    </row>
    <row r="76" spans="2:2" x14ac:dyDescent="0.2">
      <c r="B76" s="5"/>
    </row>
    <row r="77" spans="2:2" x14ac:dyDescent="0.2">
      <c r="B77" s="5"/>
    </row>
    <row r="78" spans="2:2" x14ac:dyDescent="0.2">
      <c r="B78" s="5"/>
    </row>
    <row r="79" spans="2:2" x14ac:dyDescent="0.2">
      <c r="B79" s="5"/>
    </row>
    <row r="80" spans="2:2" x14ac:dyDescent="0.2">
      <c r="B80" s="6"/>
    </row>
    <row r="81" spans="1:2" x14ac:dyDescent="0.2">
      <c r="B81" s="5"/>
    </row>
    <row r="82" spans="1:2" x14ac:dyDescent="0.2">
      <c r="A82" s="5"/>
      <c r="B82" s="5"/>
    </row>
    <row r="83" spans="1:2" x14ac:dyDescent="0.2">
      <c r="B83" s="5"/>
    </row>
    <row r="84" spans="1:2" x14ac:dyDescent="0.2">
      <c r="B84" s="5"/>
    </row>
    <row r="85" spans="1:2" x14ac:dyDescent="0.2">
      <c r="B85" s="5"/>
    </row>
    <row r="86" spans="1:2" x14ac:dyDescent="0.2">
      <c r="B86" s="5"/>
    </row>
    <row r="87" spans="1:2" x14ac:dyDescent="0.2">
      <c r="B87" s="5"/>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H302"/>
  <sheetViews>
    <sheetView workbookViewId="0">
      <selection activeCell="M12" sqref="M12"/>
    </sheetView>
  </sheetViews>
  <sheetFormatPr defaultRowHeight="15" x14ac:dyDescent="0.25"/>
  <cols>
    <col min="1" max="1" width="26" customWidth="1"/>
    <col min="2" max="2" width="3.85546875" customWidth="1"/>
    <col min="3" max="3" width="4.28515625" style="34" customWidth="1"/>
    <col min="4" max="4" width="4.5703125" customWidth="1"/>
    <col min="5" max="5" width="4.140625" customWidth="1"/>
    <col min="6" max="6" width="4.85546875" customWidth="1"/>
    <col min="7" max="7" width="5.42578125" customWidth="1"/>
    <col min="8" max="8" width="3.42578125" customWidth="1"/>
    <col min="9" max="9" width="4.42578125" customWidth="1"/>
    <col min="10" max="10" width="4.28515625" customWidth="1"/>
    <col min="11" max="11" width="4" customWidth="1"/>
    <col min="12" max="12" width="4.5703125" customWidth="1"/>
    <col min="13" max="13" width="4.28515625" customWidth="1"/>
    <col min="14" max="14" width="5.42578125" customWidth="1"/>
    <col min="15" max="21" width="8.7109375" customWidth="1"/>
    <col min="22" max="22" width="5.42578125" customWidth="1"/>
    <col min="23" max="187" width="8.7109375" customWidth="1"/>
    <col min="188" max="189" width="11.28515625" customWidth="1"/>
    <col min="190" max="190" width="11.28515625" bestFit="1" customWidth="1"/>
  </cols>
  <sheetData>
    <row r="1" spans="1:190" ht="45" customHeight="1" x14ac:dyDescent="0.25">
      <c r="A1" s="250" t="s">
        <v>15917</v>
      </c>
      <c r="B1" s="251"/>
      <c r="C1" s="251"/>
      <c r="D1" s="251"/>
      <c r="E1" s="251"/>
      <c r="F1" s="251"/>
      <c r="G1" s="251"/>
      <c r="H1" s="223"/>
      <c r="I1" s="223"/>
      <c r="J1" s="223"/>
      <c r="K1" s="223"/>
      <c r="L1" s="223"/>
      <c r="M1" s="223"/>
      <c r="N1" s="223"/>
      <c r="O1" s="59"/>
    </row>
    <row r="2" spans="1:190" ht="77.25" hidden="1" x14ac:dyDescent="0.25">
      <c r="A2" s="248" t="s">
        <v>864</v>
      </c>
      <c r="B2" s="249"/>
      <c r="C2" s="249"/>
      <c r="D2" s="249"/>
      <c r="E2" s="180" t="s">
        <v>10220</v>
      </c>
      <c r="F2" s="181" t="s">
        <v>10221</v>
      </c>
      <c r="G2" s="180" t="s">
        <v>10222</v>
      </c>
      <c r="H2" s="60"/>
      <c r="I2" s="60"/>
      <c r="J2" s="60"/>
      <c r="K2" s="60"/>
      <c r="L2" s="60"/>
      <c r="M2" s="60"/>
      <c r="N2" s="60"/>
      <c r="O2" s="60"/>
    </row>
    <row r="3" spans="1:190" s="32" customFormat="1" hidden="1" x14ac:dyDescent="0.25">
      <c r="A3" s="116" t="s">
        <v>2783</v>
      </c>
      <c r="B3" s="29"/>
      <c r="C3" s="29"/>
      <c r="D3" s="29"/>
      <c r="E3" s="29"/>
      <c r="F3" s="29"/>
      <c r="G3" s="29"/>
      <c r="H3"/>
      <c r="I3"/>
      <c r="J3"/>
      <c r="K3"/>
      <c r="L3"/>
      <c r="M3"/>
      <c r="N3"/>
      <c r="O3"/>
      <c r="P3"/>
      <c r="Q3"/>
      <c r="R3"/>
      <c r="S3"/>
      <c r="T3"/>
      <c r="U3"/>
      <c r="V3"/>
      <c r="W3"/>
      <c r="X3"/>
      <c r="Y3"/>
      <c r="Z3"/>
      <c r="AA3"/>
      <c r="AB3"/>
      <c r="AC3"/>
      <c r="AD3"/>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c r="DC3"/>
      <c r="DD3"/>
      <c r="DE3"/>
      <c r="DF3"/>
      <c r="DG3"/>
      <c r="DH3"/>
      <c r="DI3"/>
      <c r="DJ3"/>
      <c r="DK3"/>
      <c r="DL3"/>
      <c r="DM3"/>
      <c r="DN3"/>
      <c r="DO3"/>
      <c r="DP3"/>
      <c r="DQ3"/>
      <c r="DR3"/>
      <c r="DS3"/>
      <c r="DT3"/>
      <c r="DU3"/>
      <c r="DV3"/>
      <c r="DW3"/>
      <c r="DX3"/>
      <c r="DY3"/>
      <c r="DZ3"/>
      <c r="EA3"/>
      <c r="EB3"/>
      <c r="EC3"/>
      <c r="ED3"/>
      <c r="EE3"/>
      <c r="EF3"/>
      <c r="EG3"/>
      <c r="EH3"/>
      <c r="EI3"/>
      <c r="EJ3"/>
      <c r="EK3"/>
      <c r="EL3"/>
      <c r="EM3"/>
      <c r="EN3"/>
      <c r="EO3"/>
      <c r="EP3"/>
      <c r="EQ3"/>
      <c r="ER3"/>
      <c r="ES3"/>
      <c r="ET3"/>
      <c r="EU3"/>
      <c r="EV3"/>
      <c r="EW3"/>
      <c r="EX3"/>
      <c r="EY3"/>
      <c r="EZ3"/>
      <c r="FA3"/>
      <c r="FB3"/>
      <c r="FC3"/>
      <c r="FD3"/>
      <c r="FE3"/>
      <c r="FF3"/>
      <c r="FG3"/>
      <c r="FH3"/>
      <c r="FI3"/>
      <c r="FJ3"/>
      <c r="FK3"/>
      <c r="FL3"/>
      <c r="FM3"/>
      <c r="FN3"/>
      <c r="FO3"/>
      <c r="FP3"/>
      <c r="FQ3"/>
      <c r="FR3"/>
      <c r="FS3"/>
      <c r="FT3"/>
      <c r="FU3"/>
      <c r="FV3"/>
      <c r="FW3"/>
      <c r="FX3"/>
      <c r="FY3"/>
      <c r="FZ3"/>
      <c r="GA3"/>
      <c r="GB3"/>
      <c r="GC3"/>
      <c r="GD3"/>
      <c r="GE3"/>
      <c r="GF3"/>
      <c r="GG3"/>
      <c r="GH3"/>
    </row>
    <row r="4" spans="1:190" s="38" customFormat="1" x14ac:dyDescent="0.25">
      <c r="A4" s="29"/>
      <c r="B4" s="52" t="s">
        <v>1195</v>
      </c>
      <c r="C4" s="52" t="s">
        <v>1196</v>
      </c>
      <c r="D4" s="52" t="s">
        <v>1485</v>
      </c>
      <c r="E4" s="52" t="s">
        <v>1905</v>
      </c>
      <c r="F4" s="52" t="s">
        <v>289</v>
      </c>
      <c r="G4" s="52" t="s">
        <v>5828</v>
      </c>
      <c r="H4"/>
      <c r="I4"/>
      <c r="J4"/>
      <c r="K4"/>
      <c r="L4"/>
      <c r="M4"/>
      <c r="N4"/>
      <c r="O4"/>
      <c r="P4"/>
      <c r="Q4"/>
      <c r="R4"/>
      <c r="S4"/>
      <c r="T4"/>
      <c r="U4"/>
      <c r="V4"/>
      <c r="W4"/>
      <c r="X4"/>
      <c r="Y4"/>
      <c r="Z4"/>
      <c r="AA4"/>
      <c r="AB4"/>
      <c r="AC4"/>
      <c r="AD4"/>
      <c r="AE4"/>
      <c r="AF4"/>
      <c r="AG4"/>
      <c r="AH4"/>
      <c r="AI4"/>
      <c r="AJ4"/>
      <c r="AK4"/>
      <c r="AL4"/>
      <c r="AM4"/>
      <c r="AN4"/>
      <c r="AO4"/>
      <c r="AP4"/>
      <c r="AQ4"/>
      <c r="AR4"/>
      <c r="AS4"/>
      <c r="AT4"/>
      <c r="AU4"/>
      <c r="AV4"/>
      <c r="AW4"/>
      <c r="AX4"/>
      <c r="AY4"/>
      <c r="AZ4"/>
      <c r="BA4"/>
      <c r="BB4"/>
      <c r="BC4"/>
      <c r="BD4"/>
      <c r="BE4"/>
      <c r="BF4"/>
      <c r="BG4"/>
      <c r="BH4"/>
      <c r="BI4"/>
      <c r="BJ4"/>
      <c r="BK4"/>
      <c r="BL4"/>
      <c r="BM4"/>
      <c r="BN4"/>
      <c r="BO4"/>
      <c r="BP4"/>
      <c r="BQ4"/>
      <c r="BR4"/>
      <c r="BS4"/>
      <c r="BT4"/>
      <c r="BU4"/>
      <c r="BV4"/>
      <c r="BW4"/>
      <c r="BX4"/>
      <c r="BY4"/>
      <c r="BZ4"/>
      <c r="CA4"/>
      <c r="CB4"/>
      <c r="CC4"/>
      <c r="CD4"/>
      <c r="CE4"/>
      <c r="CF4"/>
      <c r="CG4"/>
      <c r="CH4"/>
      <c r="CI4"/>
      <c r="CJ4"/>
      <c r="CK4"/>
      <c r="CL4"/>
      <c r="CM4"/>
      <c r="CN4"/>
      <c r="CO4"/>
      <c r="CP4"/>
      <c r="CQ4"/>
      <c r="CR4"/>
      <c r="CS4"/>
      <c r="CT4"/>
      <c r="CU4"/>
      <c r="CV4"/>
      <c r="CW4"/>
      <c r="CX4"/>
      <c r="CY4"/>
      <c r="CZ4"/>
      <c r="DA4"/>
      <c r="DB4"/>
      <c r="DC4"/>
      <c r="DD4"/>
      <c r="DE4"/>
      <c r="DF4"/>
      <c r="DG4"/>
      <c r="DH4"/>
      <c r="DI4"/>
      <c r="DJ4"/>
      <c r="DK4"/>
      <c r="DL4"/>
      <c r="DM4"/>
      <c r="DN4"/>
      <c r="DO4"/>
      <c r="DP4"/>
      <c r="DQ4"/>
      <c r="DR4"/>
      <c r="DS4"/>
      <c r="DT4"/>
      <c r="DU4"/>
      <c r="DV4"/>
      <c r="DW4"/>
      <c r="DX4"/>
      <c r="DY4"/>
      <c r="DZ4"/>
      <c r="EA4"/>
      <c r="EB4"/>
      <c r="EC4"/>
      <c r="ED4"/>
      <c r="EE4"/>
      <c r="EF4"/>
      <c r="EG4"/>
      <c r="EH4"/>
      <c r="EI4"/>
      <c r="EJ4"/>
      <c r="EK4"/>
      <c r="EL4"/>
      <c r="EM4"/>
      <c r="EN4"/>
      <c r="EO4"/>
      <c r="EP4"/>
      <c r="EQ4"/>
      <c r="ER4"/>
      <c r="ES4"/>
      <c r="ET4"/>
      <c r="EU4"/>
      <c r="EV4"/>
      <c r="EW4"/>
      <c r="EX4"/>
      <c r="EY4"/>
      <c r="EZ4"/>
      <c r="FA4"/>
      <c r="FB4"/>
      <c r="FC4"/>
      <c r="FD4"/>
      <c r="FE4"/>
      <c r="FF4"/>
      <c r="FG4"/>
      <c r="FH4"/>
      <c r="FI4"/>
      <c r="FJ4"/>
      <c r="FK4"/>
      <c r="FL4"/>
      <c r="FM4"/>
      <c r="FN4"/>
      <c r="FO4"/>
      <c r="FP4"/>
      <c r="FQ4"/>
      <c r="FR4"/>
      <c r="FS4"/>
      <c r="FT4"/>
      <c r="FU4"/>
      <c r="FV4"/>
      <c r="FW4"/>
      <c r="FX4"/>
      <c r="FY4"/>
      <c r="FZ4"/>
      <c r="GA4"/>
      <c r="GB4"/>
      <c r="GC4"/>
      <c r="GD4"/>
      <c r="GE4"/>
      <c r="GF4"/>
      <c r="GG4"/>
      <c r="GH4"/>
    </row>
    <row r="5" spans="1:190" x14ac:dyDescent="0.25">
      <c r="A5" s="35" t="s">
        <v>328</v>
      </c>
      <c r="B5" s="36">
        <v>38</v>
      </c>
      <c r="C5" s="36">
        <v>25</v>
      </c>
      <c r="D5" s="36">
        <v>35</v>
      </c>
      <c r="E5" s="36">
        <v>39</v>
      </c>
      <c r="F5" s="36">
        <v>47</v>
      </c>
      <c r="G5" s="36">
        <v>184</v>
      </c>
    </row>
    <row r="6" spans="1:190" x14ac:dyDescent="0.25">
      <c r="A6" s="35" t="s">
        <v>569</v>
      </c>
      <c r="B6" s="36">
        <v>15</v>
      </c>
      <c r="C6" s="36">
        <v>11</v>
      </c>
      <c r="D6" s="36">
        <v>8</v>
      </c>
      <c r="E6" s="36">
        <v>2</v>
      </c>
      <c r="F6" s="36">
        <v>6</v>
      </c>
      <c r="G6" s="36">
        <v>42</v>
      </c>
    </row>
    <row r="7" spans="1:190" x14ac:dyDescent="0.25">
      <c r="A7" s="35" t="s">
        <v>5956</v>
      </c>
      <c r="B7" s="36">
        <v>11</v>
      </c>
      <c r="C7" s="36">
        <v>10</v>
      </c>
      <c r="D7" s="36">
        <v>9</v>
      </c>
      <c r="E7" s="36">
        <v>3</v>
      </c>
      <c r="F7" s="36">
        <v>7</v>
      </c>
      <c r="G7" s="36">
        <v>40</v>
      </c>
    </row>
    <row r="8" spans="1:190" x14ac:dyDescent="0.25">
      <c r="A8" s="35" t="s">
        <v>1788</v>
      </c>
      <c r="B8" s="36">
        <v>1</v>
      </c>
      <c r="C8" s="36">
        <v>1</v>
      </c>
      <c r="D8" s="36"/>
      <c r="E8" s="36">
        <v>1</v>
      </c>
      <c r="F8" s="36">
        <v>2</v>
      </c>
      <c r="G8" s="36">
        <v>5</v>
      </c>
    </row>
    <row r="9" spans="1:190" x14ac:dyDescent="0.25">
      <c r="A9" s="35" t="s">
        <v>5176</v>
      </c>
      <c r="B9" s="36">
        <v>4</v>
      </c>
      <c r="C9" s="36"/>
      <c r="D9" s="36"/>
      <c r="E9" s="36"/>
      <c r="F9" s="36"/>
      <c r="G9" s="36">
        <v>4</v>
      </c>
    </row>
    <row r="10" spans="1:190" x14ac:dyDescent="0.25">
      <c r="A10" s="35" t="s">
        <v>643</v>
      </c>
      <c r="B10" s="36">
        <v>8</v>
      </c>
      <c r="C10" s="36">
        <v>7</v>
      </c>
      <c r="D10" s="36">
        <v>3</v>
      </c>
      <c r="E10" s="36">
        <v>6</v>
      </c>
      <c r="F10" s="36">
        <v>14</v>
      </c>
      <c r="G10" s="36">
        <v>38</v>
      </c>
    </row>
    <row r="11" spans="1:190" x14ac:dyDescent="0.25">
      <c r="A11" s="35" t="s">
        <v>9240</v>
      </c>
      <c r="B11" s="36">
        <v>8</v>
      </c>
      <c r="C11" s="36">
        <v>5</v>
      </c>
      <c r="D11" s="36">
        <v>4</v>
      </c>
      <c r="E11" s="36">
        <v>2</v>
      </c>
      <c r="F11" s="36">
        <v>5</v>
      </c>
      <c r="G11" s="36">
        <v>24</v>
      </c>
    </row>
    <row r="12" spans="1:190" x14ac:dyDescent="0.25">
      <c r="A12" s="35" t="s">
        <v>5360</v>
      </c>
      <c r="B12" s="36">
        <v>4</v>
      </c>
      <c r="C12" s="36"/>
      <c r="D12" s="36"/>
      <c r="E12" s="36"/>
      <c r="F12" s="36"/>
      <c r="G12" s="36">
        <v>4</v>
      </c>
    </row>
    <row r="13" spans="1:190" x14ac:dyDescent="0.25">
      <c r="A13" s="35" t="s">
        <v>6076</v>
      </c>
      <c r="B13" s="36">
        <v>1</v>
      </c>
      <c r="C13" s="36"/>
      <c r="D13" s="36">
        <v>1</v>
      </c>
      <c r="E13" s="36">
        <v>1</v>
      </c>
      <c r="F13" s="36">
        <v>2</v>
      </c>
      <c r="G13" s="36">
        <v>5</v>
      </c>
    </row>
    <row r="14" spans="1:190" x14ac:dyDescent="0.25">
      <c r="A14" s="35" t="s">
        <v>250</v>
      </c>
      <c r="B14" s="36">
        <v>2</v>
      </c>
      <c r="C14" s="36"/>
      <c r="D14" s="36"/>
      <c r="E14" s="36"/>
      <c r="F14" s="36"/>
      <c r="G14" s="36">
        <v>2</v>
      </c>
    </row>
    <row r="15" spans="1:190" x14ac:dyDescent="0.25">
      <c r="A15" s="35" t="s">
        <v>12367</v>
      </c>
      <c r="B15" s="36">
        <v>3</v>
      </c>
      <c r="C15" s="36">
        <v>1</v>
      </c>
      <c r="D15" s="36">
        <v>5</v>
      </c>
      <c r="E15" s="36">
        <v>1</v>
      </c>
      <c r="F15" s="36"/>
      <c r="G15" s="36">
        <v>10</v>
      </c>
    </row>
    <row r="16" spans="1:190" x14ac:dyDescent="0.25">
      <c r="A16" s="35" t="s">
        <v>13559</v>
      </c>
      <c r="B16" s="36">
        <v>4</v>
      </c>
      <c r="C16" s="36">
        <v>12</v>
      </c>
      <c r="D16" s="36">
        <v>13</v>
      </c>
      <c r="E16" s="36">
        <v>17</v>
      </c>
      <c r="F16" s="36">
        <v>18</v>
      </c>
      <c r="G16" s="36">
        <v>64</v>
      </c>
    </row>
    <row r="17" spans="1:7" x14ac:dyDescent="0.25">
      <c r="A17" s="37" t="s">
        <v>1939</v>
      </c>
      <c r="B17" s="36">
        <v>3</v>
      </c>
      <c r="C17" s="36">
        <v>5</v>
      </c>
      <c r="D17" s="36">
        <v>6</v>
      </c>
      <c r="E17" s="36">
        <v>6</v>
      </c>
      <c r="F17" s="36">
        <v>4</v>
      </c>
      <c r="G17" s="36">
        <v>24</v>
      </c>
    </row>
    <row r="18" spans="1:7" x14ac:dyDescent="0.25">
      <c r="A18" s="224" t="s">
        <v>10879</v>
      </c>
      <c r="B18" s="36"/>
      <c r="C18" s="36"/>
      <c r="D18" s="36">
        <v>1</v>
      </c>
      <c r="E18" s="36"/>
      <c r="F18" s="36"/>
      <c r="G18" s="36">
        <v>1</v>
      </c>
    </row>
    <row r="19" spans="1:7" x14ac:dyDescent="0.25">
      <c r="A19" s="224" t="s">
        <v>4533</v>
      </c>
      <c r="B19" s="36"/>
      <c r="C19" s="36"/>
      <c r="D19" s="36">
        <v>1</v>
      </c>
      <c r="E19" s="36"/>
      <c r="F19" s="36"/>
      <c r="G19" s="36">
        <v>1</v>
      </c>
    </row>
    <row r="20" spans="1:7" x14ac:dyDescent="0.25">
      <c r="A20" s="224" t="s">
        <v>6745</v>
      </c>
      <c r="B20" s="36"/>
      <c r="C20" s="36"/>
      <c r="D20" s="36">
        <v>2</v>
      </c>
      <c r="E20" s="36">
        <v>1</v>
      </c>
      <c r="F20" s="36">
        <v>1</v>
      </c>
      <c r="G20" s="36">
        <v>4</v>
      </c>
    </row>
    <row r="21" spans="1:7" x14ac:dyDescent="0.25">
      <c r="A21" s="224" t="s">
        <v>7564</v>
      </c>
      <c r="B21" s="36"/>
      <c r="C21" s="36"/>
      <c r="D21" s="36"/>
      <c r="E21" s="36">
        <v>1</v>
      </c>
      <c r="F21" s="36"/>
      <c r="G21" s="36">
        <v>1</v>
      </c>
    </row>
    <row r="22" spans="1:7" x14ac:dyDescent="0.25">
      <c r="A22" s="224" t="s">
        <v>10766</v>
      </c>
      <c r="B22" s="36"/>
      <c r="C22" s="36"/>
      <c r="D22" s="36">
        <v>1</v>
      </c>
      <c r="E22" s="36"/>
      <c r="F22" s="36"/>
      <c r="G22" s="36">
        <v>1</v>
      </c>
    </row>
    <row r="23" spans="1:7" x14ac:dyDescent="0.25">
      <c r="A23" s="224" t="s">
        <v>10762</v>
      </c>
      <c r="B23" s="36">
        <v>1</v>
      </c>
      <c r="C23" s="36"/>
      <c r="D23" s="36"/>
      <c r="E23" s="36"/>
      <c r="F23" s="36">
        <v>1</v>
      </c>
      <c r="G23" s="36">
        <v>2</v>
      </c>
    </row>
    <row r="24" spans="1:7" x14ac:dyDescent="0.25">
      <c r="A24" s="224" t="s">
        <v>10763</v>
      </c>
      <c r="B24" s="36"/>
      <c r="C24" s="36">
        <v>4</v>
      </c>
      <c r="D24" s="36"/>
      <c r="E24" s="36"/>
      <c r="F24" s="36">
        <v>1</v>
      </c>
      <c r="G24" s="36">
        <v>5</v>
      </c>
    </row>
    <row r="25" spans="1:7" x14ac:dyDescent="0.25">
      <c r="A25" s="224" t="s">
        <v>7124</v>
      </c>
      <c r="B25" s="36">
        <v>1</v>
      </c>
      <c r="C25" s="36"/>
      <c r="D25" s="36"/>
      <c r="E25" s="36"/>
      <c r="F25" s="36"/>
      <c r="G25" s="36">
        <v>1</v>
      </c>
    </row>
    <row r="26" spans="1:7" x14ac:dyDescent="0.25">
      <c r="A26" s="224" t="s">
        <v>10765</v>
      </c>
      <c r="B26" s="36"/>
      <c r="C26" s="36"/>
      <c r="D26" s="36"/>
      <c r="E26" s="36">
        <v>1</v>
      </c>
      <c r="F26" s="36">
        <v>1</v>
      </c>
      <c r="G26" s="36">
        <v>2</v>
      </c>
    </row>
    <row r="27" spans="1:7" x14ac:dyDescent="0.25">
      <c r="A27" s="224" t="s">
        <v>560</v>
      </c>
      <c r="B27" s="36">
        <v>1</v>
      </c>
      <c r="C27" s="36">
        <v>1</v>
      </c>
      <c r="D27" s="36">
        <v>1</v>
      </c>
      <c r="E27" s="36">
        <v>3</v>
      </c>
      <c r="F27" s="36"/>
      <c r="G27" s="36">
        <v>6</v>
      </c>
    </row>
    <row r="28" spans="1:7" x14ac:dyDescent="0.25">
      <c r="A28" s="37" t="s">
        <v>592</v>
      </c>
      <c r="B28" s="36"/>
      <c r="C28" s="36">
        <v>1</v>
      </c>
      <c r="D28" s="36">
        <v>2</v>
      </c>
      <c r="E28" s="36"/>
      <c r="F28" s="36">
        <v>3</v>
      </c>
      <c r="G28" s="36">
        <v>6</v>
      </c>
    </row>
    <row r="29" spans="1:7" x14ac:dyDescent="0.25">
      <c r="A29" s="224" t="s">
        <v>10762</v>
      </c>
      <c r="B29" s="36"/>
      <c r="C29" s="36"/>
      <c r="D29" s="36"/>
      <c r="E29" s="36"/>
      <c r="F29" s="36">
        <v>1</v>
      </c>
      <c r="G29" s="36">
        <v>1</v>
      </c>
    </row>
    <row r="30" spans="1:7" x14ac:dyDescent="0.25">
      <c r="A30" s="224" t="s">
        <v>10763</v>
      </c>
      <c r="B30" s="36"/>
      <c r="C30" s="36"/>
      <c r="D30" s="36">
        <v>2</v>
      </c>
      <c r="E30" s="36"/>
      <c r="F30" s="36"/>
      <c r="G30" s="36">
        <v>2</v>
      </c>
    </row>
    <row r="31" spans="1:7" x14ac:dyDescent="0.25">
      <c r="A31" s="224" t="s">
        <v>7124</v>
      </c>
      <c r="B31" s="36"/>
      <c r="C31" s="36"/>
      <c r="D31" s="36"/>
      <c r="E31" s="36"/>
      <c r="F31" s="36">
        <v>1</v>
      </c>
      <c r="G31" s="36">
        <v>1</v>
      </c>
    </row>
    <row r="32" spans="1:7" x14ac:dyDescent="0.25">
      <c r="A32" s="224" t="s">
        <v>49</v>
      </c>
      <c r="B32" s="36"/>
      <c r="C32" s="36"/>
      <c r="D32" s="36"/>
      <c r="E32" s="36"/>
      <c r="F32" s="36">
        <v>1</v>
      </c>
      <c r="G32" s="36">
        <v>1</v>
      </c>
    </row>
    <row r="33" spans="1:7" x14ac:dyDescent="0.25">
      <c r="A33" s="224" t="s">
        <v>560</v>
      </c>
      <c r="B33" s="36"/>
      <c r="C33" s="36">
        <v>1</v>
      </c>
      <c r="D33" s="36"/>
      <c r="E33" s="36"/>
      <c r="F33" s="36"/>
      <c r="G33" s="36">
        <v>1</v>
      </c>
    </row>
    <row r="34" spans="1:7" x14ac:dyDescent="0.25">
      <c r="A34" s="37" t="s">
        <v>29</v>
      </c>
      <c r="B34" s="36"/>
      <c r="C34" s="36">
        <v>4</v>
      </c>
      <c r="D34" s="36">
        <v>5</v>
      </c>
      <c r="E34" s="36">
        <v>2</v>
      </c>
      <c r="F34" s="36">
        <v>4</v>
      </c>
      <c r="G34" s="36">
        <v>15</v>
      </c>
    </row>
    <row r="35" spans="1:7" x14ac:dyDescent="0.25">
      <c r="A35" s="224" t="s">
        <v>4533</v>
      </c>
      <c r="B35" s="36"/>
      <c r="C35" s="36"/>
      <c r="D35" s="36">
        <v>1</v>
      </c>
      <c r="E35" s="36"/>
      <c r="F35" s="36">
        <v>1</v>
      </c>
      <c r="G35" s="36">
        <v>2</v>
      </c>
    </row>
    <row r="36" spans="1:7" x14ac:dyDescent="0.25">
      <c r="A36" s="224" t="s">
        <v>6745</v>
      </c>
      <c r="B36" s="36"/>
      <c r="C36" s="36">
        <v>1</v>
      </c>
      <c r="D36" s="36"/>
      <c r="E36" s="36"/>
      <c r="F36" s="36"/>
      <c r="G36" s="36">
        <v>1</v>
      </c>
    </row>
    <row r="37" spans="1:7" x14ac:dyDescent="0.25">
      <c r="A37" s="224" t="s">
        <v>10766</v>
      </c>
      <c r="B37" s="36"/>
      <c r="C37" s="36">
        <v>1</v>
      </c>
      <c r="D37" s="36">
        <v>2</v>
      </c>
      <c r="E37" s="36">
        <v>2</v>
      </c>
      <c r="F37" s="36">
        <v>1</v>
      </c>
      <c r="G37" s="36">
        <v>6</v>
      </c>
    </row>
    <row r="38" spans="1:7" x14ac:dyDescent="0.25">
      <c r="A38" s="224" t="s">
        <v>7124</v>
      </c>
      <c r="B38" s="36"/>
      <c r="C38" s="36">
        <v>1</v>
      </c>
      <c r="D38" s="36"/>
      <c r="E38" s="36"/>
      <c r="F38" s="36"/>
      <c r="G38" s="36">
        <v>1</v>
      </c>
    </row>
    <row r="39" spans="1:7" x14ac:dyDescent="0.25">
      <c r="A39" s="224" t="s">
        <v>10765</v>
      </c>
      <c r="B39" s="36"/>
      <c r="C39" s="36"/>
      <c r="D39" s="36">
        <v>2</v>
      </c>
      <c r="E39" s="36"/>
      <c r="F39" s="36">
        <v>2</v>
      </c>
      <c r="G39" s="36">
        <v>4</v>
      </c>
    </row>
    <row r="40" spans="1:7" x14ac:dyDescent="0.25">
      <c r="A40" s="224" t="s">
        <v>560</v>
      </c>
      <c r="B40" s="36"/>
      <c r="C40" s="36">
        <v>1</v>
      </c>
      <c r="D40" s="36"/>
      <c r="E40" s="36"/>
      <c r="F40" s="36"/>
      <c r="G40" s="36">
        <v>1</v>
      </c>
    </row>
    <row r="41" spans="1:7" x14ac:dyDescent="0.25">
      <c r="A41" s="37" t="s">
        <v>1612</v>
      </c>
      <c r="B41" s="36"/>
      <c r="C41" s="36">
        <v>2</v>
      </c>
      <c r="D41" s="36"/>
      <c r="E41" s="36">
        <v>7</v>
      </c>
      <c r="F41" s="36">
        <v>1</v>
      </c>
      <c r="G41" s="36">
        <v>10</v>
      </c>
    </row>
    <row r="42" spans="1:7" x14ac:dyDescent="0.25">
      <c r="A42" s="224" t="s">
        <v>4533</v>
      </c>
      <c r="B42" s="36"/>
      <c r="C42" s="36"/>
      <c r="D42" s="36"/>
      <c r="E42" s="36">
        <v>1</v>
      </c>
      <c r="F42" s="36"/>
      <c r="G42" s="36">
        <v>1</v>
      </c>
    </row>
    <row r="43" spans="1:7" x14ac:dyDescent="0.25">
      <c r="A43" s="224" t="s">
        <v>7564</v>
      </c>
      <c r="B43" s="36"/>
      <c r="C43" s="36">
        <v>1</v>
      </c>
      <c r="D43" s="36"/>
      <c r="E43" s="36"/>
      <c r="F43" s="36"/>
      <c r="G43" s="36">
        <v>1</v>
      </c>
    </row>
    <row r="44" spans="1:7" x14ac:dyDescent="0.25">
      <c r="A44" s="224" t="s">
        <v>10766</v>
      </c>
      <c r="B44" s="36"/>
      <c r="C44" s="36"/>
      <c r="D44" s="36"/>
      <c r="E44" s="36">
        <v>4</v>
      </c>
      <c r="F44" s="36"/>
      <c r="G44" s="36">
        <v>4</v>
      </c>
    </row>
    <row r="45" spans="1:7" x14ac:dyDescent="0.25">
      <c r="A45" s="224" t="s">
        <v>10765</v>
      </c>
      <c r="B45" s="36"/>
      <c r="C45" s="36"/>
      <c r="D45" s="36"/>
      <c r="E45" s="36">
        <v>2</v>
      </c>
      <c r="F45" s="36">
        <v>1</v>
      </c>
      <c r="G45" s="36">
        <v>3</v>
      </c>
    </row>
    <row r="46" spans="1:7" x14ac:dyDescent="0.25">
      <c r="A46" s="224" t="s">
        <v>560</v>
      </c>
      <c r="B46" s="36"/>
      <c r="C46" s="36">
        <v>1</v>
      </c>
      <c r="D46" s="36"/>
      <c r="E46" s="36"/>
      <c r="F46" s="36"/>
      <c r="G46" s="36">
        <v>1</v>
      </c>
    </row>
    <row r="47" spans="1:7" x14ac:dyDescent="0.25">
      <c r="A47" s="37" t="s">
        <v>620</v>
      </c>
      <c r="B47" s="36">
        <v>1</v>
      </c>
      <c r="C47" s="36"/>
      <c r="D47" s="36"/>
      <c r="E47" s="36">
        <v>2</v>
      </c>
      <c r="F47" s="36">
        <v>6</v>
      </c>
      <c r="G47" s="36">
        <v>9</v>
      </c>
    </row>
    <row r="48" spans="1:7" x14ac:dyDescent="0.25">
      <c r="A48" s="224" t="s">
        <v>7564</v>
      </c>
      <c r="B48" s="36"/>
      <c r="C48" s="36"/>
      <c r="D48" s="36"/>
      <c r="E48" s="36"/>
      <c r="F48" s="36">
        <v>1</v>
      </c>
      <c r="G48" s="36">
        <v>1</v>
      </c>
    </row>
    <row r="49" spans="1:7" x14ac:dyDescent="0.25">
      <c r="A49" s="224" t="s">
        <v>10766</v>
      </c>
      <c r="B49" s="36">
        <v>1</v>
      </c>
      <c r="C49" s="36"/>
      <c r="D49" s="36"/>
      <c r="E49" s="36"/>
      <c r="F49" s="36">
        <v>2</v>
      </c>
      <c r="G49" s="36">
        <v>3</v>
      </c>
    </row>
    <row r="50" spans="1:7" x14ac:dyDescent="0.25">
      <c r="A50" s="224" t="s">
        <v>10763</v>
      </c>
      <c r="B50" s="36"/>
      <c r="C50" s="36"/>
      <c r="D50" s="36"/>
      <c r="E50" s="36">
        <v>1</v>
      </c>
      <c r="F50" s="36">
        <v>1</v>
      </c>
      <c r="G50" s="36">
        <v>2</v>
      </c>
    </row>
    <row r="51" spans="1:7" x14ac:dyDescent="0.25">
      <c r="A51" s="224" t="s">
        <v>10765</v>
      </c>
      <c r="B51" s="36"/>
      <c r="C51" s="36"/>
      <c r="D51" s="36"/>
      <c r="E51" s="36"/>
      <c r="F51" s="36">
        <v>1</v>
      </c>
      <c r="G51" s="36">
        <v>1</v>
      </c>
    </row>
    <row r="52" spans="1:7" x14ac:dyDescent="0.25">
      <c r="A52" s="224" t="s">
        <v>560</v>
      </c>
      <c r="B52" s="36"/>
      <c r="C52" s="36"/>
      <c r="D52" s="36"/>
      <c r="E52" s="36">
        <v>1</v>
      </c>
      <c r="F52" s="36">
        <v>1</v>
      </c>
      <c r="G52" s="36">
        <v>2</v>
      </c>
    </row>
    <row r="53" spans="1:7" x14ac:dyDescent="0.25">
      <c r="A53" s="35" t="s">
        <v>110</v>
      </c>
      <c r="B53" s="36"/>
      <c r="C53" s="36">
        <v>1</v>
      </c>
      <c r="D53" s="36"/>
      <c r="E53" s="36"/>
      <c r="F53" s="36"/>
      <c r="G53" s="36">
        <v>1</v>
      </c>
    </row>
    <row r="54" spans="1:7" x14ac:dyDescent="0.25">
      <c r="A54" s="35" t="s">
        <v>5473</v>
      </c>
      <c r="B54" s="36"/>
      <c r="C54" s="36">
        <v>1</v>
      </c>
      <c r="D54" s="36">
        <v>2</v>
      </c>
      <c r="E54" s="36">
        <v>1</v>
      </c>
      <c r="F54" s="36">
        <v>3</v>
      </c>
      <c r="G54" s="36">
        <v>7</v>
      </c>
    </row>
    <row r="55" spans="1:7" x14ac:dyDescent="0.25">
      <c r="A55" s="35" t="s">
        <v>5828</v>
      </c>
      <c r="B55" s="36">
        <v>99</v>
      </c>
      <c r="C55" s="36">
        <v>74</v>
      </c>
      <c r="D55" s="36">
        <v>80</v>
      </c>
      <c r="E55" s="36">
        <v>73</v>
      </c>
      <c r="F55" s="36">
        <v>104</v>
      </c>
      <c r="G55" s="36">
        <v>430</v>
      </c>
    </row>
    <row r="56" spans="1:7" x14ac:dyDescent="0.25">
      <c r="C56"/>
    </row>
    <row r="57" spans="1:7" x14ac:dyDescent="0.25">
      <c r="C57"/>
    </row>
    <row r="58" spans="1:7" x14ac:dyDescent="0.25">
      <c r="C58"/>
    </row>
    <row r="59" spans="1:7" x14ac:dyDescent="0.25">
      <c r="C59"/>
    </row>
    <row r="60" spans="1:7" x14ac:dyDescent="0.25">
      <c r="C60"/>
    </row>
    <row r="61" spans="1:7" x14ac:dyDescent="0.25">
      <c r="C61"/>
    </row>
    <row r="62" spans="1:7" x14ac:dyDescent="0.25">
      <c r="C62"/>
    </row>
    <row r="63" spans="1:7" x14ac:dyDescent="0.25">
      <c r="C63"/>
    </row>
    <row r="64" spans="1:7" x14ac:dyDescent="0.25">
      <c r="C64"/>
    </row>
    <row r="65" spans="3:3" x14ac:dyDescent="0.25">
      <c r="C65"/>
    </row>
    <row r="66" spans="3:3" x14ac:dyDescent="0.25">
      <c r="C66"/>
    </row>
    <row r="67" spans="3:3" x14ac:dyDescent="0.25">
      <c r="C67"/>
    </row>
    <row r="68" spans="3:3" x14ac:dyDescent="0.25">
      <c r="C68"/>
    </row>
    <row r="69" spans="3:3" x14ac:dyDescent="0.25">
      <c r="C69"/>
    </row>
    <row r="70" spans="3:3" x14ac:dyDescent="0.25">
      <c r="C70"/>
    </row>
    <row r="71" spans="3:3" x14ac:dyDescent="0.25">
      <c r="C71"/>
    </row>
    <row r="72" spans="3:3" x14ac:dyDescent="0.25">
      <c r="C72"/>
    </row>
    <row r="73" spans="3:3" x14ac:dyDescent="0.25">
      <c r="C73"/>
    </row>
    <row r="74" spans="3:3" x14ac:dyDescent="0.25">
      <c r="C74"/>
    </row>
    <row r="75" spans="3:3" x14ac:dyDescent="0.25">
      <c r="C75"/>
    </row>
    <row r="76" spans="3:3" x14ac:dyDescent="0.25">
      <c r="C76"/>
    </row>
    <row r="77" spans="3:3" x14ac:dyDescent="0.25">
      <c r="C77"/>
    </row>
    <row r="78" spans="3:3" x14ac:dyDescent="0.25">
      <c r="C78"/>
    </row>
    <row r="79" spans="3:3" x14ac:dyDescent="0.25">
      <c r="C79"/>
    </row>
    <row r="80" spans="3:3" x14ac:dyDescent="0.25">
      <c r="C80"/>
    </row>
    <row r="81" spans="3:3" x14ac:dyDescent="0.25">
      <c r="C81"/>
    </row>
    <row r="82" spans="3:3" x14ac:dyDescent="0.25">
      <c r="C82"/>
    </row>
    <row r="83" spans="3:3" x14ac:dyDescent="0.25">
      <c r="C83"/>
    </row>
    <row r="84" spans="3:3" x14ac:dyDescent="0.25">
      <c r="C84"/>
    </row>
    <row r="85" spans="3:3" x14ac:dyDescent="0.25">
      <c r="C85"/>
    </row>
    <row r="86" spans="3:3" x14ac:dyDescent="0.25">
      <c r="C86"/>
    </row>
    <row r="87" spans="3:3" x14ac:dyDescent="0.25">
      <c r="C87"/>
    </row>
    <row r="88" spans="3:3" x14ac:dyDescent="0.25">
      <c r="C88"/>
    </row>
    <row r="89" spans="3:3" x14ac:dyDescent="0.25">
      <c r="C89"/>
    </row>
    <row r="90" spans="3:3" x14ac:dyDescent="0.25">
      <c r="C90"/>
    </row>
    <row r="91" spans="3:3" x14ac:dyDescent="0.25">
      <c r="C91"/>
    </row>
    <row r="92" spans="3:3" x14ac:dyDescent="0.25">
      <c r="C92"/>
    </row>
    <row r="93" spans="3:3" x14ac:dyDescent="0.25">
      <c r="C93"/>
    </row>
    <row r="94" spans="3:3" x14ac:dyDescent="0.25">
      <c r="C94"/>
    </row>
    <row r="95" spans="3:3" x14ac:dyDescent="0.25">
      <c r="C95"/>
    </row>
    <row r="96" spans="3:3" x14ac:dyDescent="0.25">
      <c r="C96"/>
    </row>
    <row r="97" spans="3:3" x14ac:dyDescent="0.25">
      <c r="C97"/>
    </row>
    <row r="98" spans="3:3" x14ac:dyDescent="0.25">
      <c r="C98"/>
    </row>
    <row r="99" spans="3:3" x14ac:dyDescent="0.25">
      <c r="C99"/>
    </row>
    <row r="100" spans="3:3" x14ac:dyDescent="0.25">
      <c r="C100"/>
    </row>
    <row r="101" spans="3:3" x14ac:dyDescent="0.25">
      <c r="C101"/>
    </row>
    <row r="102" spans="3:3" x14ac:dyDescent="0.25">
      <c r="C102"/>
    </row>
    <row r="103" spans="3:3" x14ac:dyDescent="0.25">
      <c r="C103"/>
    </row>
    <row r="104" spans="3:3" x14ac:dyDescent="0.25">
      <c r="C104"/>
    </row>
    <row r="105" spans="3:3" x14ac:dyDescent="0.25">
      <c r="C105"/>
    </row>
    <row r="106" spans="3:3" x14ac:dyDescent="0.25">
      <c r="C106"/>
    </row>
    <row r="107" spans="3:3" x14ac:dyDescent="0.25">
      <c r="C107"/>
    </row>
    <row r="108" spans="3:3" x14ac:dyDescent="0.25">
      <c r="C108"/>
    </row>
    <row r="109" spans="3:3" x14ac:dyDescent="0.25">
      <c r="C109"/>
    </row>
    <row r="110" spans="3:3" x14ac:dyDescent="0.25">
      <c r="C110"/>
    </row>
    <row r="111" spans="3:3" x14ac:dyDescent="0.25">
      <c r="C111"/>
    </row>
    <row r="112" spans="3:3" x14ac:dyDescent="0.25">
      <c r="C112"/>
    </row>
    <row r="113" spans="3:3" x14ac:dyDescent="0.25">
      <c r="C113"/>
    </row>
    <row r="114" spans="3:3" x14ac:dyDescent="0.25">
      <c r="C114"/>
    </row>
    <row r="115" spans="3:3" x14ac:dyDescent="0.25">
      <c r="C115"/>
    </row>
    <row r="116" spans="3:3" x14ac:dyDescent="0.25">
      <c r="C116"/>
    </row>
    <row r="117" spans="3:3" x14ac:dyDescent="0.25">
      <c r="C117"/>
    </row>
    <row r="118" spans="3:3" x14ac:dyDescent="0.25">
      <c r="C118"/>
    </row>
    <row r="119" spans="3:3" x14ac:dyDescent="0.25">
      <c r="C119"/>
    </row>
    <row r="120" spans="3:3" x14ac:dyDescent="0.25">
      <c r="C120"/>
    </row>
    <row r="121" spans="3:3" x14ac:dyDescent="0.25">
      <c r="C121"/>
    </row>
    <row r="122" spans="3:3" x14ac:dyDescent="0.25">
      <c r="C122"/>
    </row>
    <row r="123" spans="3:3" x14ac:dyDescent="0.25">
      <c r="C123"/>
    </row>
    <row r="124" spans="3:3" x14ac:dyDescent="0.25">
      <c r="C124"/>
    </row>
    <row r="125" spans="3:3" x14ac:dyDescent="0.25">
      <c r="C125"/>
    </row>
    <row r="126" spans="3:3" x14ac:dyDescent="0.25">
      <c r="C126"/>
    </row>
    <row r="127" spans="3:3" x14ac:dyDescent="0.25">
      <c r="C127"/>
    </row>
    <row r="128" spans="3:3" x14ac:dyDescent="0.25">
      <c r="C128"/>
    </row>
    <row r="129" spans="3:3" x14ac:dyDescent="0.25">
      <c r="C129"/>
    </row>
    <row r="130" spans="3:3" x14ac:dyDescent="0.25">
      <c r="C130"/>
    </row>
    <row r="131" spans="3:3" x14ac:dyDescent="0.25">
      <c r="C131"/>
    </row>
    <row r="132" spans="3:3" x14ac:dyDescent="0.25">
      <c r="C132"/>
    </row>
    <row r="133" spans="3:3" x14ac:dyDescent="0.25">
      <c r="C133"/>
    </row>
    <row r="134" spans="3:3" x14ac:dyDescent="0.25">
      <c r="C134"/>
    </row>
    <row r="135" spans="3:3" x14ac:dyDescent="0.25">
      <c r="C135"/>
    </row>
    <row r="136" spans="3:3" x14ac:dyDescent="0.25">
      <c r="C136"/>
    </row>
    <row r="137" spans="3:3" x14ac:dyDescent="0.25">
      <c r="C137"/>
    </row>
    <row r="138" spans="3:3" x14ac:dyDescent="0.25">
      <c r="C138"/>
    </row>
    <row r="139" spans="3:3" x14ac:dyDescent="0.25">
      <c r="C139"/>
    </row>
    <row r="140" spans="3:3" x14ac:dyDescent="0.25">
      <c r="C140"/>
    </row>
    <row r="141" spans="3:3" x14ac:dyDescent="0.25">
      <c r="C141"/>
    </row>
    <row r="142" spans="3:3" x14ac:dyDescent="0.25">
      <c r="C142"/>
    </row>
    <row r="143" spans="3:3" x14ac:dyDescent="0.25">
      <c r="C143"/>
    </row>
    <row r="144" spans="3:3" x14ac:dyDescent="0.25">
      <c r="C144"/>
    </row>
    <row r="145" spans="3:3" x14ac:dyDescent="0.25">
      <c r="C145"/>
    </row>
    <row r="146" spans="3:3" x14ac:dyDescent="0.25">
      <c r="C146"/>
    </row>
    <row r="147" spans="3:3" x14ac:dyDescent="0.25">
      <c r="C147"/>
    </row>
    <row r="148" spans="3:3" x14ac:dyDescent="0.25">
      <c r="C148"/>
    </row>
    <row r="149" spans="3:3" x14ac:dyDescent="0.25">
      <c r="C149"/>
    </row>
    <row r="150" spans="3:3" x14ac:dyDescent="0.25">
      <c r="C150"/>
    </row>
    <row r="151" spans="3:3" x14ac:dyDescent="0.25">
      <c r="C151"/>
    </row>
    <row r="152" spans="3:3" x14ac:dyDescent="0.25">
      <c r="C152"/>
    </row>
    <row r="153" spans="3:3" x14ac:dyDescent="0.25">
      <c r="C153"/>
    </row>
    <row r="154" spans="3:3" x14ac:dyDescent="0.25">
      <c r="C154"/>
    </row>
    <row r="155" spans="3:3" x14ac:dyDescent="0.25">
      <c r="C155"/>
    </row>
    <row r="156" spans="3:3" x14ac:dyDescent="0.25">
      <c r="C156"/>
    </row>
    <row r="157" spans="3:3" x14ac:dyDescent="0.25">
      <c r="C157"/>
    </row>
    <row r="158" spans="3:3" x14ac:dyDescent="0.25">
      <c r="C158"/>
    </row>
    <row r="159" spans="3:3" x14ac:dyDescent="0.25">
      <c r="C159"/>
    </row>
    <row r="160" spans="3:3" x14ac:dyDescent="0.25">
      <c r="C160"/>
    </row>
    <row r="161" spans="3:3" x14ac:dyDescent="0.25">
      <c r="C161"/>
    </row>
    <row r="162" spans="3:3" x14ac:dyDescent="0.25">
      <c r="C162"/>
    </row>
    <row r="163" spans="3:3" x14ac:dyDescent="0.25">
      <c r="C163"/>
    </row>
    <row r="164" spans="3:3" x14ac:dyDescent="0.25">
      <c r="C164"/>
    </row>
    <row r="165" spans="3:3" x14ac:dyDescent="0.25">
      <c r="C165"/>
    </row>
    <row r="166" spans="3:3" x14ac:dyDescent="0.25">
      <c r="C166"/>
    </row>
    <row r="167" spans="3:3" x14ac:dyDescent="0.25">
      <c r="C167"/>
    </row>
    <row r="168" spans="3:3" x14ac:dyDescent="0.25">
      <c r="C168"/>
    </row>
    <row r="169" spans="3:3" x14ac:dyDescent="0.25">
      <c r="C169"/>
    </row>
    <row r="170" spans="3:3" x14ac:dyDescent="0.25">
      <c r="C170"/>
    </row>
    <row r="171" spans="3:3" x14ac:dyDescent="0.25">
      <c r="C171"/>
    </row>
    <row r="172" spans="3:3" x14ac:dyDescent="0.25">
      <c r="C172"/>
    </row>
    <row r="173" spans="3:3" x14ac:dyDescent="0.25">
      <c r="C173"/>
    </row>
    <row r="174" spans="3:3" x14ac:dyDescent="0.25">
      <c r="C174"/>
    </row>
    <row r="175" spans="3:3" x14ac:dyDescent="0.25">
      <c r="C175"/>
    </row>
    <row r="176" spans="3:3" x14ac:dyDescent="0.25">
      <c r="C176"/>
    </row>
    <row r="177" spans="3:3" x14ac:dyDescent="0.25">
      <c r="C177"/>
    </row>
    <row r="178" spans="3:3" x14ac:dyDescent="0.25">
      <c r="C178"/>
    </row>
    <row r="179" spans="3:3" x14ac:dyDescent="0.25">
      <c r="C179"/>
    </row>
    <row r="180" spans="3:3" x14ac:dyDescent="0.25">
      <c r="C180"/>
    </row>
    <row r="181" spans="3:3" x14ac:dyDescent="0.25">
      <c r="C181"/>
    </row>
    <row r="182" spans="3:3" x14ac:dyDescent="0.25">
      <c r="C182"/>
    </row>
    <row r="183" spans="3:3" x14ac:dyDescent="0.25">
      <c r="C183"/>
    </row>
    <row r="184" spans="3:3" x14ac:dyDescent="0.25">
      <c r="C184"/>
    </row>
    <row r="185" spans="3:3" x14ac:dyDescent="0.25">
      <c r="C185"/>
    </row>
    <row r="186" spans="3:3" x14ac:dyDescent="0.25">
      <c r="C186"/>
    </row>
    <row r="187" spans="3:3" x14ac:dyDescent="0.25">
      <c r="C187"/>
    </row>
    <row r="188" spans="3:3" x14ac:dyDescent="0.25">
      <c r="C188"/>
    </row>
    <row r="189" spans="3:3" x14ac:dyDescent="0.25">
      <c r="C189"/>
    </row>
    <row r="190" spans="3:3" x14ac:dyDescent="0.25">
      <c r="C190"/>
    </row>
    <row r="191" spans="3:3" x14ac:dyDescent="0.25">
      <c r="C191"/>
    </row>
    <row r="192" spans="3:3" x14ac:dyDescent="0.25">
      <c r="C192"/>
    </row>
    <row r="193" spans="3:3" x14ac:dyDescent="0.25">
      <c r="C193"/>
    </row>
    <row r="194" spans="3:3" x14ac:dyDescent="0.25">
      <c r="C194"/>
    </row>
    <row r="195" spans="3:3" x14ac:dyDescent="0.25">
      <c r="C195"/>
    </row>
    <row r="196" spans="3:3" x14ac:dyDescent="0.25">
      <c r="C196"/>
    </row>
    <row r="197" spans="3:3" x14ac:dyDescent="0.25">
      <c r="C197"/>
    </row>
    <row r="198" spans="3:3" x14ac:dyDescent="0.25">
      <c r="C198"/>
    </row>
    <row r="199" spans="3:3" x14ac:dyDescent="0.25">
      <c r="C199"/>
    </row>
    <row r="200" spans="3:3" x14ac:dyDescent="0.25">
      <c r="C200"/>
    </row>
    <row r="201" spans="3:3" x14ac:dyDescent="0.25">
      <c r="C201"/>
    </row>
    <row r="202" spans="3:3" x14ac:dyDescent="0.25">
      <c r="C202"/>
    </row>
    <row r="203" spans="3:3" x14ac:dyDescent="0.25">
      <c r="C203"/>
    </row>
    <row r="204" spans="3:3" x14ac:dyDescent="0.25">
      <c r="C204"/>
    </row>
    <row r="205" spans="3:3" x14ac:dyDescent="0.25">
      <c r="C205"/>
    </row>
    <row r="206" spans="3:3" x14ac:dyDescent="0.25">
      <c r="C206"/>
    </row>
    <row r="207" spans="3:3" x14ac:dyDescent="0.25">
      <c r="C207"/>
    </row>
    <row r="208" spans="3:3" x14ac:dyDescent="0.25">
      <c r="C208"/>
    </row>
    <row r="209" spans="3:3" x14ac:dyDescent="0.25">
      <c r="C209"/>
    </row>
    <row r="210" spans="3:3" x14ac:dyDescent="0.25">
      <c r="C210"/>
    </row>
    <row r="211" spans="3:3" x14ac:dyDescent="0.25">
      <c r="C211"/>
    </row>
    <row r="212" spans="3:3" x14ac:dyDescent="0.25">
      <c r="C212"/>
    </row>
    <row r="213" spans="3:3" x14ac:dyDescent="0.25">
      <c r="C213"/>
    </row>
    <row r="214" spans="3:3" x14ac:dyDescent="0.25">
      <c r="C214"/>
    </row>
    <row r="215" spans="3:3" x14ac:dyDescent="0.25">
      <c r="C215"/>
    </row>
    <row r="216" spans="3:3" x14ac:dyDescent="0.25">
      <c r="C216"/>
    </row>
    <row r="217" spans="3:3" x14ac:dyDescent="0.25">
      <c r="C217"/>
    </row>
    <row r="218" spans="3:3" x14ac:dyDescent="0.25">
      <c r="C218"/>
    </row>
    <row r="219" spans="3:3" x14ac:dyDescent="0.25">
      <c r="C219"/>
    </row>
    <row r="220" spans="3:3" x14ac:dyDescent="0.25">
      <c r="C220"/>
    </row>
    <row r="221" spans="3:3" x14ac:dyDescent="0.25">
      <c r="C221"/>
    </row>
    <row r="222" spans="3:3" x14ac:dyDescent="0.25">
      <c r="C222"/>
    </row>
    <row r="223" spans="3:3" x14ac:dyDescent="0.25">
      <c r="C223"/>
    </row>
    <row r="224" spans="3:3" x14ac:dyDescent="0.25">
      <c r="C224"/>
    </row>
    <row r="225" spans="3:3" x14ac:dyDescent="0.25">
      <c r="C225"/>
    </row>
    <row r="226" spans="3:3" x14ac:dyDescent="0.25">
      <c r="C226"/>
    </row>
    <row r="227" spans="3:3" x14ac:dyDescent="0.25">
      <c r="C227"/>
    </row>
    <row r="228" spans="3:3" x14ac:dyDescent="0.25">
      <c r="C228"/>
    </row>
    <row r="229" spans="3:3" x14ac:dyDescent="0.25">
      <c r="C229"/>
    </row>
    <row r="230" spans="3:3" x14ac:dyDescent="0.25">
      <c r="C230"/>
    </row>
    <row r="231" spans="3:3" x14ac:dyDescent="0.25">
      <c r="C231"/>
    </row>
    <row r="232" spans="3:3" x14ac:dyDescent="0.25">
      <c r="C232"/>
    </row>
    <row r="233" spans="3:3" x14ac:dyDescent="0.25">
      <c r="C233"/>
    </row>
    <row r="234" spans="3:3" x14ac:dyDescent="0.25">
      <c r="C234"/>
    </row>
    <row r="235" spans="3:3" x14ac:dyDescent="0.25">
      <c r="C235"/>
    </row>
    <row r="236" spans="3:3" x14ac:dyDescent="0.25">
      <c r="C236"/>
    </row>
    <row r="237" spans="3:3" x14ac:dyDescent="0.25">
      <c r="C237"/>
    </row>
    <row r="238" spans="3:3" x14ac:dyDescent="0.25">
      <c r="C238"/>
    </row>
    <row r="239" spans="3:3" x14ac:dyDescent="0.25">
      <c r="C239"/>
    </row>
    <row r="240" spans="3:3" x14ac:dyDescent="0.25">
      <c r="C240"/>
    </row>
    <row r="241" spans="3:3" x14ac:dyDescent="0.25">
      <c r="C241"/>
    </row>
    <row r="242" spans="3:3" x14ac:dyDescent="0.25">
      <c r="C242"/>
    </row>
    <row r="243" spans="3:3" x14ac:dyDescent="0.25">
      <c r="C243"/>
    </row>
    <row r="244" spans="3:3" x14ac:dyDescent="0.25">
      <c r="C244"/>
    </row>
    <row r="245" spans="3:3" x14ac:dyDescent="0.25">
      <c r="C245"/>
    </row>
    <row r="246" spans="3:3" x14ac:dyDescent="0.25">
      <c r="C246"/>
    </row>
    <row r="247" spans="3:3" x14ac:dyDescent="0.25">
      <c r="C247"/>
    </row>
    <row r="248" spans="3:3" x14ac:dyDescent="0.25">
      <c r="C248"/>
    </row>
    <row r="249" spans="3:3" x14ac:dyDescent="0.25">
      <c r="C249"/>
    </row>
    <row r="250" spans="3:3" x14ac:dyDescent="0.25">
      <c r="C250"/>
    </row>
    <row r="251" spans="3:3" x14ac:dyDescent="0.25">
      <c r="C251"/>
    </row>
    <row r="252" spans="3:3" x14ac:dyDescent="0.25">
      <c r="C252"/>
    </row>
    <row r="253" spans="3:3" x14ac:dyDescent="0.25">
      <c r="C253"/>
    </row>
    <row r="254" spans="3:3" x14ac:dyDescent="0.25">
      <c r="C254"/>
    </row>
    <row r="255" spans="3:3" x14ac:dyDescent="0.25">
      <c r="C255"/>
    </row>
    <row r="256" spans="3:3" x14ac:dyDescent="0.25">
      <c r="C256"/>
    </row>
    <row r="257" spans="3:3" x14ac:dyDescent="0.25">
      <c r="C257"/>
    </row>
    <row r="258" spans="3:3" x14ac:dyDescent="0.25">
      <c r="C258"/>
    </row>
    <row r="259" spans="3:3" x14ac:dyDescent="0.25">
      <c r="C259"/>
    </row>
    <row r="260" spans="3:3" x14ac:dyDescent="0.25">
      <c r="C260"/>
    </row>
    <row r="261" spans="3:3" x14ac:dyDescent="0.25">
      <c r="C261"/>
    </row>
    <row r="262" spans="3:3" x14ac:dyDescent="0.25">
      <c r="C262"/>
    </row>
    <row r="263" spans="3:3" x14ac:dyDescent="0.25">
      <c r="C263"/>
    </row>
    <row r="264" spans="3:3" x14ac:dyDescent="0.25">
      <c r="C264"/>
    </row>
    <row r="265" spans="3:3" x14ac:dyDescent="0.25">
      <c r="C265"/>
    </row>
    <row r="266" spans="3:3" x14ac:dyDescent="0.25">
      <c r="C266"/>
    </row>
    <row r="267" spans="3:3" x14ac:dyDescent="0.25">
      <c r="C267"/>
    </row>
    <row r="268" spans="3:3" x14ac:dyDescent="0.25">
      <c r="C268"/>
    </row>
    <row r="269" spans="3:3" x14ac:dyDescent="0.25">
      <c r="C269"/>
    </row>
    <row r="270" spans="3:3" x14ac:dyDescent="0.25">
      <c r="C270"/>
    </row>
    <row r="271" spans="3:3" x14ac:dyDescent="0.25">
      <c r="C271"/>
    </row>
    <row r="272" spans="3:3" x14ac:dyDescent="0.25">
      <c r="C272"/>
    </row>
    <row r="273" spans="3:3" x14ac:dyDescent="0.25">
      <c r="C273"/>
    </row>
    <row r="274" spans="3:3" x14ac:dyDescent="0.25">
      <c r="C274"/>
    </row>
    <row r="275" spans="3:3" x14ac:dyDescent="0.25">
      <c r="C275"/>
    </row>
    <row r="276" spans="3:3" x14ac:dyDescent="0.25">
      <c r="C276"/>
    </row>
    <row r="277" spans="3:3" x14ac:dyDescent="0.25">
      <c r="C277"/>
    </row>
    <row r="278" spans="3:3" x14ac:dyDescent="0.25">
      <c r="C278"/>
    </row>
    <row r="279" spans="3:3" x14ac:dyDescent="0.25">
      <c r="C279"/>
    </row>
    <row r="280" spans="3:3" x14ac:dyDescent="0.25">
      <c r="C280"/>
    </row>
    <row r="281" spans="3:3" x14ac:dyDescent="0.25">
      <c r="C281"/>
    </row>
    <row r="282" spans="3:3" x14ac:dyDescent="0.25">
      <c r="C282"/>
    </row>
    <row r="283" spans="3:3" x14ac:dyDescent="0.25">
      <c r="C283"/>
    </row>
    <row r="284" spans="3:3" x14ac:dyDescent="0.25">
      <c r="C284"/>
    </row>
    <row r="285" spans="3:3" x14ac:dyDescent="0.25">
      <c r="C285"/>
    </row>
    <row r="286" spans="3:3" x14ac:dyDescent="0.25">
      <c r="C286"/>
    </row>
    <row r="287" spans="3:3" x14ac:dyDescent="0.25">
      <c r="C287"/>
    </row>
    <row r="288" spans="3:3" x14ac:dyDescent="0.25">
      <c r="C288"/>
    </row>
    <row r="289" spans="3:3" x14ac:dyDescent="0.25">
      <c r="C289"/>
    </row>
    <row r="290" spans="3:3" x14ac:dyDescent="0.25">
      <c r="C290"/>
    </row>
    <row r="291" spans="3:3" x14ac:dyDescent="0.25">
      <c r="C291"/>
    </row>
    <row r="292" spans="3:3" x14ac:dyDescent="0.25">
      <c r="C292"/>
    </row>
    <row r="293" spans="3:3" x14ac:dyDescent="0.25">
      <c r="C293"/>
    </row>
    <row r="294" spans="3:3" x14ac:dyDescent="0.25">
      <c r="C294"/>
    </row>
    <row r="295" spans="3:3" x14ac:dyDescent="0.25">
      <c r="C295"/>
    </row>
    <row r="296" spans="3:3" x14ac:dyDescent="0.25">
      <c r="C296"/>
    </row>
    <row r="297" spans="3:3" x14ac:dyDescent="0.25">
      <c r="C297"/>
    </row>
    <row r="298" spans="3:3" x14ac:dyDescent="0.25">
      <c r="C298"/>
    </row>
    <row r="299" spans="3:3" x14ac:dyDescent="0.25">
      <c r="C299"/>
    </row>
    <row r="300" spans="3:3" x14ac:dyDescent="0.25">
      <c r="C300"/>
    </row>
    <row r="301" spans="3:3" x14ac:dyDescent="0.25">
      <c r="C301"/>
    </row>
    <row r="302" spans="3:3" x14ac:dyDescent="0.25">
      <c r="C302"/>
    </row>
  </sheetData>
  <mergeCells count="2">
    <mergeCell ref="A2:D2"/>
    <mergeCell ref="A1:G1"/>
  </mergeCells>
  <pageMargins left="0.7" right="0.7" top="0.75" bottom="0.75" header="0.3" footer="0.3"/>
  <pageSetup orientation="portrait"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H302"/>
  <sheetViews>
    <sheetView workbookViewId="0">
      <selection activeCell="B5" sqref="B5:M5"/>
    </sheetView>
  </sheetViews>
  <sheetFormatPr defaultRowHeight="15" x14ac:dyDescent="0.25"/>
  <cols>
    <col min="1" max="1" width="26" customWidth="1"/>
    <col min="2" max="2" width="3.85546875" customWidth="1"/>
    <col min="3" max="3" width="4.28515625" style="34" customWidth="1"/>
    <col min="4" max="4" width="4.5703125" customWidth="1"/>
    <col min="5" max="5" width="4.140625" customWidth="1"/>
    <col min="6" max="6" width="4.85546875" customWidth="1"/>
    <col min="7" max="7" width="4" customWidth="1"/>
    <col min="8" max="8" width="3.42578125" customWidth="1"/>
    <col min="9" max="9" width="4.42578125" customWidth="1"/>
    <col min="10" max="10" width="4.28515625" customWidth="1"/>
    <col min="11" max="11" width="4" customWidth="1"/>
    <col min="12" max="12" width="4.5703125" customWidth="1"/>
    <col min="13" max="13" width="4.28515625" customWidth="1"/>
    <col min="14" max="14" width="5.42578125" customWidth="1"/>
    <col min="15" max="21" width="8.7109375" customWidth="1"/>
    <col min="22" max="22" width="5.42578125" customWidth="1"/>
    <col min="23" max="187" width="8.7109375" customWidth="1"/>
    <col min="188" max="189" width="11.28515625" customWidth="1"/>
    <col min="190" max="190" width="11.28515625" bestFit="1" customWidth="1"/>
  </cols>
  <sheetData>
    <row r="1" spans="1:190" ht="45" customHeight="1" x14ac:dyDescent="0.25">
      <c r="A1" s="252" t="s">
        <v>13768</v>
      </c>
      <c r="B1" s="253"/>
      <c r="C1" s="253"/>
      <c r="D1" s="253"/>
      <c r="E1" s="253"/>
      <c r="F1" s="253"/>
      <c r="G1" s="253"/>
      <c r="H1" s="253"/>
      <c r="I1" s="253"/>
      <c r="J1" s="253"/>
      <c r="K1" s="253"/>
      <c r="L1" s="253"/>
      <c r="M1" s="253"/>
      <c r="N1" s="253"/>
      <c r="O1" s="59"/>
    </row>
    <row r="2" spans="1:190" ht="77.25" hidden="1" x14ac:dyDescent="0.25">
      <c r="A2" s="248" t="s">
        <v>864</v>
      </c>
      <c r="B2" s="249"/>
      <c r="C2" s="249"/>
      <c r="D2" s="249"/>
      <c r="E2" s="180" t="s">
        <v>10220</v>
      </c>
      <c r="F2" s="181" t="s">
        <v>10221</v>
      </c>
      <c r="G2" s="180" t="s">
        <v>10222</v>
      </c>
      <c r="H2" s="60"/>
      <c r="I2" s="60"/>
      <c r="J2" s="60"/>
      <c r="K2" s="60"/>
      <c r="L2" s="60"/>
      <c r="M2" s="60"/>
      <c r="N2" s="60"/>
      <c r="O2" s="60"/>
    </row>
    <row r="3" spans="1:190" s="32" customFormat="1" hidden="1" x14ac:dyDescent="0.25">
      <c r="A3" s="116" t="s">
        <v>2783</v>
      </c>
      <c r="B3" s="29"/>
      <c r="C3" s="29"/>
      <c r="D3" s="29"/>
      <c r="E3" s="29"/>
      <c r="F3" s="29"/>
      <c r="G3" s="29"/>
      <c r="H3" s="29"/>
      <c r="I3" s="29"/>
      <c r="J3" s="29"/>
      <c r="K3" s="29"/>
      <c r="L3" s="29"/>
      <c r="M3" s="29"/>
      <c r="N3" s="29"/>
      <c r="O3"/>
      <c r="P3"/>
      <c r="Q3"/>
      <c r="R3"/>
      <c r="S3"/>
      <c r="T3"/>
      <c r="U3"/>
      <c r="V3"/>
      <c r="W3"/>
      <c r="X3"/>
      <c r="Y3"/>
      <c r="Z3"/>
      <c r="AA3"/>
      <c r="AB3"/>
      <c r="AC3"/>
      <c r="AD3"/>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c r="DC3"/>
      <c r="DD3"/>
      <c r="DE3"/>
      <c r="DF3"/>
      <c r="DG3"/>
      <c r="DH3"/>
      <c r="DI3"/>
      <c r="DJ3"/>
      <c r="DK3"/>
      <c r="DL3"/>
      <c r="DM3"/>
      <c r="DN3"/>
      <c r="DO3"/>
      <c r="DP3"/>
      <c r="DQ3"/>
      <c r="DR3"/>
      <c r="DS3"/>
      <c r="DT3"/>
      <c r="DU3"/>
      <c r="DV3"/>
      <c r="DW3"/>
      <c r="DX3"/>
      <c r="DY3"/>
      <c r="DZ3"/>
      <c r="EA3"/>
      <c r="EB3"/>
      <c r="EC3"/>
      <c r="ED3"/>
      <c r="EE3"/>
      <c r="EF3"/>
      <c r="EG3"/>
      <c r="EH3"/>
      <c r="EI3"/>
      <c r="EJ3"/>
      <c r="EK3"/>
      <c r="EL3"/>
      <c r="EM3"/>
      <c r="EN3"/>
      <c r="EO3"/>
      <c r="EP3"/>
      <c r="EQ3"/>
      <c r="ER3"/>
      <c r="ES3"/>
      <c r="ET3"/>
      <c r="EU3"/>
      <c r="EV3"/>
      <c r="EW3"/>
      <c r="EX3"/>
      <c r="EY3"/>
      <c r="EZ3"/>
      <c r="FA3"/>
      <c r="FB3"/>
      <c r="FC3"/>
      <c r="FD3"/>
      <c r="FE3"/>
      <c r="FF3"/>
      <c r="FG3"/>
      <c r="FH3"/>
      <c r="FI3"/>
      <c r="FJ3"/>
      <c r="FK3"/>
      <c r="FL3"/>
      <c r="FM3"/>
      <c r="FN3"/>
      <c r="FO3"/>
      <c r="FP3"/>
      <c r="FQ3"/>
      <c r="FR3"/>
      <c r="FS3"/>
      <c r="FT3"/>
      <c r="FU3"/>
      <c r="FV3"/>
      <c r="FW3"/>
      <c r="FX3"/>
      <c r="FY3"/>
      <c r="FZ3"/>
      <c r="GA3"/>
      <c r="GB3"/>
      <c r="GC3"/>
      <c r="GD3"/>
      <c r="GE3"/>
      <c r="GF3"/>
      <c r="GG3"/>
      <c r="GH3"/>
    </row>
    <row r="4" spans="1:190" s="38" customFormat="1" x14ac:dyDescent="0.25">
      <c r="A4" s="29"/>
      <c r="B4" s="52" t="s">
        <v>1195</v>
      </c>
      <c r="C4" s="52" t="s">
        <v>1196</v>
      </c>
      <c r="D4" s="52" t="s">
        <v>1485</v>
      </c>
      <c r="E4" s="52" t="s">
        <v>1905</v>
      </c>
      <c r="F4" s="52" t="s">
        <v>289</v>
      </c>
      <c r="G4" s="52" t="s">
        <v>2782</v>
      </c>
      <c r="H4" s="52" t="s">
        <v>3164</v>
      </c>
      <c r="I4" s="52" t="s">
        <v>3746</v>
      </c>
      <c r="J4" s="52" t="s">
        <v>4141</v>
      </c>
      <c r="K4" s="52" t="s">
        <v>4596</v>
      </c>
      <c r="L4" s="52" t="s">
        <v>4878</v>
      </c>
      <c r="M4" s="52" t="s">
        <v>5203</v>
      </c>
      <c r="N4" s="52" t="s">
        <v>5828</v>
      </c>
      <c r="O4"/>
      <c r="P4"/>
      <c r="Q4"/>
      <c r="R4"/>
      <c r="S4"/>
      <c r="T4"/>
      <c r="U4"/>
      <c r="V4"/>
      <c r="W4"/>
      <c r="X4"/>
      <c r="Y4"/>
      <c r="Z4"/>
      <c r="AA4"/>
      <c r="AB4"/>
      <c r="AC4"/>
      <c r="AD4"/>
      <c r="AE4"/>
      <c r="AF4"/>
      <c r="AG4"/>
      <c r="AH4"/>
      <c r="AI4"/>
      <c r="AJ4"/>
      <c r="AK4"/>
      <c r="AL4"/>
      <c r="AM4"/>
      <c r="AN4"/>
      <c r="AO4"/>
      <c r="AP4"/>
      <c r="AQ4"/>
      <c r="AR4"/>
      <c r="AS4"/>
      <c r="AT4"/>
      <c r="AU4"/>
      <c r="AV4"/>
      <c r="AW4"/>
      <c r="AX4"/>
      <c r="AY4"/>
      <c r="AZ4"/>
      <c r="BA4"/>
      <c r="BB4"/>
      <c r="BC4"/>
      <c r="BD4"/>
      <c r="BE4"/>
      <c r="BF4"/>
      <c r="BG4"/>
      <c r="BH4"/>
      <c r="BI4"/>
      <c r="BJ4"/>
      <c r="BK4"/>
      <c r="BL4"/>
      <c r="BM4"/>
      <c r="BN4"/>
      <c r="BO4"/>
      <c r="BP4"/>
      <c r="BQ4"/>
      <c r="BR4"/>
      <c r="BS4"/>
      <c r="BT4"/>
      <c r="BU4"/>
      <c r="BV4"/>
      <c r="BW4"/>
      <c r="BX4"/>
      <c r="BY4"/>
      <c r="BZ4"/>
      <c r="CA4"/>
      <c r="CB4"/>
      <c r="CC4"/>
      <c r="CD4"/>
      <c r="CE4"/>
      <c r="CF4"/>
      <c r="CG4"/>
      <c r="CH4"/>
      <c r="CI4"/>
      <c r="CJ4"/>
      <c r="CK4"/>
      <c r="CL4"/>
      <c r="CM4"/>
      <c r="CN4"/>
      <c r="CO4"/>
      <c r="CP4"/>
      <c r="CQ4"/>
      <c r="CR4"/>
      <c r="CS4"/>
      <c r="CT4"/>
      <c r="CU4"/>
      <c r="CV4"/>
      <c r="CW4"/>
      <c r="CX4"/>
      <c r="CY4"/>
      <c r="CZ4"/>
      <c r="DA4"/>
      <c r="DB4"/>
      <c r="DC4"/>
      <c r="DD4"/>
      <c r="DE4"/>
      <c r="DF4"/>
      <c r="DG4"/>
      <c r="DH4"/>
      <c r="DI4"/>
      <c r="DJ4"/>
      <c r="DK4"/>
      <c r="DL4"/>
      <c r="DM4"/>
      <c r="DN4"/>
      <c r="DO4"/>
      <c r="DP4"/>
      <c r="DQ4"/>
      <c r="DR4"/>
      <c r="DS4"/>
      <c r="DT4"/>
      <c r="DU4"/>
      <c r="DV4"/>
      <c r="DW4"/>
      <c r="DX4"/>
      <c r="DY4"/>
      <c r="DZ4"/>
      <c r="EA4"/>
      <c r="EB4"/>
      <c r="EC4"/>
      <c r="ED4"/>
      <c r="EE4"/>
      <c r="EF4"/>
      <c r="EG4"/>
      <c r="EH4"/>
      <c r="EI4"/>
      <c r="EJ4"/>
      <c r="EK4"/>
      <c r="EL4"/>
      <c r="EM4"/>
      <c r="EN4"/>
      <c r="EO4"/>
      <c r="EP4"/>
      <c r="EQ4"/>
      <c r="ER4"/>
      <c r="ES4"/>
      <c r="ET4"/>
      <c r="EU4"/>
      <c r="EV4"/>
      <c r="EW4"/>
      <c r="EX4"/>
      <c r="EY4"/>
      <c r="EZ4"/>
      <c r="FA4"/>
      <c r="FB4"/>
      <c r="FC4"/>
      <c r="FD4"/>
      <c r="FE4"/>
      <c r="FF4"/>
      <c r="FG4"/>
      <c r="FH4"/>
      <c r="FI4"/>
      <c r="FJ4"/>
      <c r="FK4"/>
      <c r="FL4"/>
      <c r="FM4"/>
      <c r="FN4"/>
      <c r="FO4"/>
      <c r="FP4"/>
      <c r="FQ4"/>
      <c r="FR4"/>
      <c r="FS4"/>
      <c r="FT4"/>
      <c r="FU4"/>
      <c r="FV4"/>
      <c r="FW4"/>
      <c r="FX4"/>
      <c r="FY4"/>
      <c r="FZ4"/>
      <c r="GA4"/>
      <c r="GB4"/>
      <c r="GC4"/>
      <c r="GD4"/>
      <c r="GE4"/>
      <c r="GF4"/>
      <c r="GG4"/>
      <c r="GH4"/>
    </row>
    <row r="5" spans="1:190" x14ac:dyDescent="0.25">
      <c r="A5" s="35" t="s">
        <v>328</v>
      </c>
      <c r="B5" s="36">
        <v>35</v>
      </c>
      <c r="C5" s="36">
        <v>31</v>
      </c>
      <c r="D5" s="36">
        <v>27</v>
      </c>
      <c r="E5" s="36">
        <v>31</v>
      </c>
      <c r="F5" s="36">
        <v>36</v>
      </c>
      <c r="G5" s="36">
        <v>29</v>
      </c>
      <c r="H5" s="36">
        <v>34</v>
      </c>
      <c r="I5" s="36">
        <v>58</v>
      </c>
      <c r="J5" s="36">
        <v>35</v>
      </c>
      <c r="K5" s="36">
        <v>47</v>
      </c>
      <c r="L5" s="36">
        <v>18</v>
      </c>
      <c r="M5" s="36">
        <v>18</v>
      </c>
      <c r="N5" s="36">
        <v>399</v>
      </c>
    </row>
    <row r="6" spans="1:190" x14ac:dyDescent="0.25">
      <c r="A6" s="37" t="s">
        <v>1939</v>
      </c>
      <c r="B6" s="36">
        <v>20</v>
      </c>
      <c r="C6" s="36">
        <v>18</v>
      </c>
      <c r="D6" s="36">
        <v>18</v>
      </c>
      <c r="E6" s="36">
        <v>14</v>
      </c>
      <c r="F6" s="36">
        <v>17</v>
      </c>
      <c r="G6" s="36">
        <v>19</v>
      </c>
      <c r="H6" s="36">
        <v>23</v>
      </c>
      <c r="I6" s="36">
        <v>27</v>
      </c>
      <c r="J6" s="36">
        <v>21</v>
      </c>
      <c r="K6" s="36">
        <v>23</v>
      </c>
      <c r="L6" s="36">
        <v>7</v>
      </c>
      <c r="M6" s="36">
        <v>9</v>
      </c>
      <c r="N6" s="36">
        <v>216</v>
      </c>
    </row>
    <row r="7" spans="1:190" x14ac:dyDescent="0.25">
      <c r="A7" s="224" t="s">
        <v>2295</v>
      </c>
      <c r="B7" s="36"/>
      <c r="C7" s="36"/>
      <c r="D7" s="36"/>
      <c r="E7" s="36">
        <v>1</v>
      </c>
      <c r="F7" s="36"/>
      <c r="G7" s="36"/>
      <c r="H7" s="36">
        <v>1</v>
      </c>
      <c r="I7" s="36">
        <v>1</v>
      </c>
      <c r="J7" s="36"/>
      <c r="K7" s="36"/>
      <c r="L7" s="36"/>
      <c r="M7" s="36"/>
      <c r="N7" s="36">
        <v>3</v>
      </c>
    </row>
    <row r="8" spans="1:190" x14ac:dyDescent="0.25">
      <c r="A8" s="224" t="s">
        <v>4533</v>
      </c>
      <c r="B8" s="36">
        <v>10</v>
      </c>
      <c r="C8" s="36">
        <v>8</v>
      </c>
      <c r="D8" s="36">
        <v>7</v>
      </c>
      <c r="E8" s="36">
        <v>2</v>
      </c>
      <c r="F8" s="36">
        <v>9</v>
      </c>
      <c r="G8" s="36">
        <v>7</v>
      </c>
      <c r="H8" s="36">
        <v>8</v>
      </c>
      <c r="I8" s="36">
        <v>4</v>
      </c>
      <c r="J8" s="36">
        <v>2</v>
      </c>
      <c r="K8" s="36">
        <v>3</v>
      </c>
      <c r="L8" s="36"/>
      <c r="M8" s="36">
        <v>2</v>
      </c>
      <c r="N8" s="36">
        <v>62</v>
      </c>
    </row>
    <row r="9" spans="1:190" x14ac:dyDescent="0.25">
      <c r="A9" s="224" t="s">
        <v>6745</v>
      </c>
      <c r="B9" s="36"/>
      <c r="C9" s="36"/>
      <c r="D9" s="36">
        <v>2</v>
      </c>
      <c r="E9" s="36"/>
      <c r="F9" s="36"/>
      <c r="G9" s="36"/>
      <c r="H9" s="36"/>
      <c r="I9" s="36">
        <v>1</v>
      </c>
      <c r="J9" s="36">
        <v>1</v>
      </c>
      <c r="K9" s="36"/>
      <c r="L9" s="36"/>
      <c r="M9" s="36"/>
      <c r="N9" s="36">
        <v>4</v>
      </c>
    </row>
    <row r="10" spans="1:190" x14ac:dyDescent="0.25">
      <c r="A10" s="224" t="s">
        <v>10764</v>
      </c>
      <c r="B10" s="36"/>
      <c r="C10" s="36">
        <v>1</v>
      </c>
      <c r="D10" s="36">
        <v>1</v>
      </c>
      <c r="E10" s="36"/>
      <c r="F10" s="36"/>
      <c r="G10" s="36"/>
      <c r="H10" s="36"/>
      <c r="I10" s="36">
        <v>4</v>
      </c>
      <c r="J10" s="36">
        <v>1</v>
      </c>
      <c r="K10" s="36"/>
      <c r="L10" s="36"/>
      <c r="M10" s="36"/>
      <c r="N10" s="36">
        <v>7</v>
      </c>
    </row>
    <row r="11" spans="1:190" x14ac:dyDescent="0.25">
      <c r="A11" s="224" t="s">
        <v>7564</v>
      </c>
      <c r="B11" s="36"/>
      <c r="C11" s="36"/>
      <c r="D11" s="36">
        <v>1</v>
      </c>
      <c r="E11" s="36">
        <v>2</v>
      </c>
      <c r="F11" s="36"/>
      <c r="G11" s="36">
        <v>1</v>
      </c>
      <c r="H11" s="36">
        <v>2</v>
      </c>
      <c r="I11" s="36">
        <v>1</v>
      </c>
      <c r="J11" s="36">
        <v>1</v>
      </c>
      <c r="K11" s="36"/>
      <c r="L11" s="36">
        <v>3</v>
      </c>
      <c r="M11" s="36">
        <v>3</v>
      </c>
      <c r="N11" s="36">
        <v>14</v>
      </c>
    </row>
    <row r="12" spans="1:190" x14ac:dyDescent="0.25">
      <c r="A12" s="224" t="s">
        <v>10766</v>
      </c>
      <c r="B12" s="36"/>
      <c r="C12" s="36">
        <v>1</v>
      </c>
      <c r="D12" s="36"/>
      <c r="E12" s="36">
        <v>2</v>
      </c>
      <c r="F12" s="36">
        <v>2</v>
      </c>
      <c r="G12" s="36">
        <v>5</v>
      </c>
      <c r="H12" s="36">
        <v>6</v>
      </c>
      <c r="I12" s="36">
        <v>9</v>
      </c>
      <c r="J12" s="36">
        <v>9</v>
      </c>
      <c r="K12" s="36">
        <v>5</v>
      </c>
      <c r="L12" s="36">
        <v>1</v>
      </c>
      <c r="M12" s="36">
        <v>1</v>
      </c>
      <c r="N12" s="36">
        <v>41</v>
      </c>
    </row>
    <row r="13" spans="1:190" x14ac:dyDescent="0.25">
      <c r="A13" s="224" t="s">
        <v>10762</v>
      </c>
      <c r="B13" s="36">
        <v>1</v>
      </c>
      <c r="C13" s="36">
        <v>1</v>
      </c>
      <c r="D13" s="36">
        <v>2</v>
      </c>
      <c r="E13" s="36">
        <v>1</v>
      </c>
      <c r="F13" s="36">
        <v>2</v>
      </c>
      <c r="G13" s="36"/>
      <c r="H13" s="36"/>
      <c r="I13" s="36">
        <v>1</v>
      </c>
      <c r="J13" s="36">
        <v>2</v>
      </c>
      <c r="K13" s="36"/>
      <c r="L13" s="36">
        <v>1</v>
      </c>
      <c r="M13" s="36">
        <v>2</v>
      </c>
      <c r="N13" s="36">
        <v>13</v>
      </c>
    </row>
    <row r="14" spans="1:190" x14ac:dyDescent="0.25">
      <c r="A14" s="224" t="s">
        <v>10763</v>
      </c>
      <c r="B14" s="36">
        <v>1</v>
      </c>
      <c r="C14" s="36"/>
      <c r="D14" s="36"/>
      <c r="E14" s="36"/>
      <c r="F14" s="36"/>
      <c r="G14" s="36"/>
      <c r="H14" s="36"/>
      <c r="I14" s="36"/>
      <c r="J14" s="36">
        <v>1</v>
      </c>
      <c r="K14" s="36">
        <v>4</v>
      </c>
      <c r="L14" s="36"/>
      <c r="M14" s="36"/>
      <c r="N14" s="36">
        <v>6</v>
      </c>
    </row>
    <row r="15" spans="1:190" x14ac:dyDescent="0.25">
      <c r="A15" s="224" t="s">
        <v>7124</v>
      </c>
      <c r="B15" s="36">
        <v>4</v>
      </c>
      <c r="C15" s="36">
        <v>3</v>
      </c>
      <c r="D15" s="36">
        <v>4</v>
      </c>
      <c r="E15" s="36">
        <v>2</v>
      </c>
      <c r="F15" s="36">
        <v>2</v>
      </c>
      <c r="G15" s="36">
        <v>5</v>
      </c>
      <c r="H15" s="36">
        <v>6</v>
      </c>
      <c r="I15" s="36">
        <v>4</v>
      </c>
      <c r="J15" s="36">
        <v>3</v>
      </c>
      <c r="K15" s="36">
        <v>7</v>
      </c>
      <c r="L15" s="36"/>
      <c r="M15" s="36"/>
      <c r="N15" s="36">
        <v>40</v>
      </c>
    </row>
    <row r="16" spans="1:190" x14ac:dyDescent="0.25">
      <c r="A16" s="224" t="s">
        <v>10765</v>
      </c>
      <c r="B16" s="36"/>
      <c r="C16" s="36"/>
      <c r="D16" s="36"/>
      <c r="E16" s="36"/>
      <c r="F16" s="36"/>
      <c r="G16" s="36"/>
      <c r="H16" s="36"/>
      <c r="I16" s="36"/>
      <c r="J16" s="36"/>
      <c r="K16" s="36"/>
      <c r="L16" s="36">
        <v>1</v>
      </c>
      <c r="M16" s="36">
        <v>1</v>
      </c>
      <c r="N16" s="36">
        <v>2</v>
      </c>
    </row>
    <row r="17" spans="1:14" x14ac:dyDescent="0.25">
      <c r="A17" s="224" t="s">
        <v>49</v>
      </c>
      <c r="B17" s="36"/>
      <c r="C17" s="36">
        <v>2</v>
      </c>
      <c r="D17" s="36"/>
      <c r="E17" s="36">
        <v>1</v>
      </c>
      <c r="F17" s="36"/>
      <c r="G17" s="36"/>
      <c r="H17" s="36"/>
      <c r="I17" s="36">
        <v>1</v>
      </c>
      <c r="J17" s="36"/>
      <c r="K17" s="36"/>
      <c r="L17" s="36"/>
      <c r="M17" s="36"/>
      <c r="N17" s="36">
        <v>4</v>
      </c>
    </row>
    <row r="18" spans="1:14" x14ac:dyDescent="0.25">
      <c r="A18" s="224" t="s">
        <v>560</v>
      </c>
      <c r="B18" s="36">
        <v>4</v>
      </c>
      <c r="C18" s="36">
        <v>2</v>
      </c>
      <c r="D18" s="36">
        <v>1</v>
      </c>
      <c r="E18" s="36">
        <v>2</v>
      </c>
      <c r="F18" s="36">
        <v>2</v>
      </c>
      <c r="G18" s="36">
        <v>1</v>
      </c>
      <c r="H18" s="36"/>
      <c r="I18" s="36"/>
      <c r="J18" s="36">
        <v>1</v>
      </c>
      <c r="K18" s="36">
        <v>1</v>
      </c>
      <c r="L18" s="36">
        <v>1</v>
      </c>
      <c r="M18" s="36"/>
      <c r="N18" s="36">
        <v>15</v>
      </c>
    </row>
    <row r="19" spans="1:14" x14ac:dyDescent="0.25">
      <c r="A19" s="224" t="s">
        <v>10879</v>
      </c>
      <c r="B19" s="36"/>
      <c r="C19" s="36"/>
      <c r="D19" s="36"/>
      <c r="E19" s="36">
        <v>1</v>
      </c>
      <c r="F19" s="36"/>
      <c r="G19" s="36"/>
      <c r="H19" s="36"/>
      <c r="I19" s="36"/>
      <c r="J19" s="36"/>
      <c r="K19" s="36">
        <v>1</v>
      </c>
      <c r="L19" s="36"/>
      <c r="M19" s="36"/>
      <c r="N19" s="36">
        <v>2</v>
      </c>
    </row>
    <row r="20" spans="1:14" x14ac:dyDescent="0.25">
      <c r="A20" s="224" t="s">
        <v>15918</v>
      </c>
      <c r="B20" s="36"/>
      <c r="C20" s="36"/>
      <c r="D20" s="36"/>
      <c r="E20" s="36"/>
      <c r="F20" s="36"/>
      <c r="G20" s="36"/>
      <c r="H20" s="36"/>
      <c r="I20" s="36">
        <v>1</v>
      </c>
      <c r="J20" s="36"/>
      <c r="K20" s="36">
        <v>2</v>
      </c>
      <c r="L20" s="36"/>
      <c r="M20" s="36"/>
      <c r="N20" s="36">
        <v>3</v>
      </c>
    </row>
    <row r="21" spans="1:14" x14ac:dyDescent="0.25">
      <c r="A21" s="37" t="s">
        <v>592</v>
      </c>
      <c r="B21" s="36">
        <v>10</v>
      </c>
      <c r="C21" s="36">
        <v>8</v>
      </c>
      <c r="D21" s="36">
        <v>8</v>
      </c>
      <c r="E21" s="36">
        <v>8</v>
      </c>
      <c r="F21" s="36">
        <v>10</v>
      </c>
      <c r="G21" s="36">
        <v>7</v>
      </c>
      <c r="H21" s="36">
        <v>7</v>
      </c>
      <c r="I21" s="36">
        <v>17</v>
      </c>
      <c r="J21" s="36">
        <v>7</v>
      </c>
      <c r="K21" s="36">
        <v>5</v>
      </c>
      <c r="L21" s="36">
        <v>2</v>
      </c>
      <c r="M21" s="36">
        <v>2</v>
      </c>
      <c r="N21" s="36">
        <v>91</v>
      </c>
    </row>
    <row r="22" spans="1:14" x14ac:dyDescent="0.25">
      <c r="A22" s="224" t="s">
        <v>2295</v>
      </c>
      <c r="B22" s="36"/>
      <c r="C22" s="36"/>
      <c r="D22" s="36"/>
      <c r="E22" s="36"/>
      <c r="F22" s="36"/>
      <c r="G22" s="36"/>
      <c r="H22" s="36"/>
      <c r="I22" s="36">
        <v>2</v>
      </c>
      <c r="J22" s="36"/>
      <c r="K22" s="36"/>
      <c r="L22" s="36"/>
      <c r="M22" s="36"/>
      <c r="N22" s="36">
        <v>2</v>
      </c>
    </row>
    <row r="23" spans="1:14" x14ac:dyDescent="0.25">
      <c r="A23" s="224" t="s">
        <v>4533</v>
      </c>
      <c r="B23" s="36"/>
      <c r="C23" s="36">
        <v>1</v>
      </c>
      <c r="D23" s="36">
        <v>2</v>
      </c>
      <c r="E23" s="36">
        <v>1</v>
      </c>
      <c r="F23" s="36">
        <v>2</v>
      </c>
      <c r="G23" s="36">
        <v>1</v>
      </c>
      <c r="H23" s="36">
        <v>1</v>
      </c>
      <c r="I23" s="36">
        <v>3</v>
      </c>
      <c r="J23" s="36"/>
      <c r="K23" s="36"/>
      <c r="L23" s="36">
        <v>2</v>
      </c>
      <c r="M23" s="36">
        <v>1</v>
      </c>
      <c r="N23" s="36">
        <v>14</v>
      </c>
    </row>
    <row r="24" spans="1:14" x14ac:dyDescent="0.25">
      <c r="A24" s="224" t="s">
        <v>7564</v>
      </c>
      <c r="B24" s="36">
        <v>1</v>
      </c>
      <c r="C24" s="36"/>
      <c r="D24" s="36">
        <v>2</v>
      </c>
      <c r="E24" s="36">
        <v>4</v>
      </c>
      <c r="F24" s="36">
        <v>2</v>
      </c>
      <c r="G24" s="36">
        <v>1</v>
      </c>
      <c r="H24" s="36"/>
      <c r="I24" s="36">
        <v>1</v>
      </c>
      <c r="J24" s="36"/>
      <c r="K24" s="36">
        <v>1</v>
      </c>
      <c r="L24" s="36"/>
      <c r="M24" s="36"/>
      <c r="N24" s="36">
        <v>12</v>
      </c>
    </row>
    <row r="25" spans="1:14" x14ac:dyDescent="0.25">
      <c r="A25" s="224" t="s">
        <v>10766</v>
      </c>
      <c r="B25" s="36"/>
      <c r="C25" s="36"/>
      <c r="D25" s="36">
        <v>1</v>
      </c>
      <c r="E25" s="36"/>
      <c r="F25" s="36"/>
      <c r="G25" s="36">
        <v>3</v>
      </c>
      <c r="H25" s="36">
        <v>3</v>
      </c>
      <c r="I25" s="36">
        <v>5</v>
      </c>
      <c r="J25" s="36">
        <v>4</v>
      </c>
      <c r="K25" s="36"/>
      <c r="L25" s="36"/>
      <c r="M25" s="36"/>
      <c r="N25" s="36">
        <v>16</v>
      </c>
    </row>
    <row r="26" spans="1:14" x14ac:dyDescent="0.25">
      <c r="A26" s="224" t="s">
        <v>10762</v>
      </c>
      <c r="B26" s="36"/>
      <c r="C26" s="36"/>
      <c r="D26" s="36">
        <v>1</v>
      </c>
      <c r="E26" s="36">
        <v>2</v>
      </c>
      <c r="F26" s="36"/>
      <c r="G26" s="36">
        <v>1</v>
      </c>
      <c r="H26" s="36">
        <v>1</v>
      </c>
      <c r="I26" s="36"/>
      <c r="J26" s="36"/>
      <c r="K26" s="36"/>
      <c r="L26" s="36"/>
      <c r="M26" s="36"/>
      <c r="N26" s="36">
        <v>5</v>
      </c>
    </row>
    <row r="27" spans="1:14" x14ac:dyDescent="0.25">
      <c r="A27" s="224" t="s">
        <v>10763</v>
      </c>
      <c r="B27" s="36"/>
      <c r="C27" s="36"/>
      <c r="D27" s="36"/>
      <c r="E27" s="36"/>
      <c r="F27" s="36"/>
      <c r="G27" s="36"/>
      <c r="H27" s="36"/>
      <c r="I27" s="36"/>
      <c r="J27" s="36">
        <v>1</v>
      </c>
      <c r="K27" s="36">
        <v>2</v>
      </c>
      <c r="L27" s="36"/>
      <c r="M27" s="36"/>
      <c r="N27" s="36">
        <v>3</v>
      </c>
    </row>
    <row r="28" spans="1:14" x14ac:dyDescent="0.25">
      <c r="A28" s="224" t="s">
        <v>7124</v>
      </c>
      <c r="B28" s="36">
        <v>1</v>
      </c>
      <c r="C28" s="36">
        <v>2</v>
      </c>
      <c r="D28" s="36">
        <v>1</v>
      </c>
      <c r="E28" s="36">
        <v>1</v>
      </c>
      <c r="F28" s="36">
        <v>3</v>
      </c>
      <c r="G28" s="36">
        <v>1</v>
      </c>
      <c r="H28" s="36"/>
      <c r="I28" s="36">
        <v>4</v>
      </c>
      <c r="J28" s="36">
        <v>1</v>
      </c>
      <c r="K28" s="36">
        <v>2</v>
      </c>
      <c r="L28" s="36"/>
      <c r="M28" s="36"/>
      <c r="N28" s="36">
        <v>16</v>
      </c>
    </row>
    <row r="29" spans="1:14" x14ac:dyDescent="0.25">
      <c r="A29" s="224" t="s">
        <v>10765</v>
      </c>
      <c r="B29" s="36">
        <v>1</v>
      </c>
      <c r="C29" s="36"/>
      <c r="D29" s="36"/>
      <c r="E29" s="36"/>
      <c r="F29" s="36"/>
      <c r="G29" s="36"/>
      <c r="H29" s="36"/>
      <c r="I29" s="36">
        <v>1</v>
      </c>
      <c r="J29" s="36"/>
      <c r="K29" s="36"/>
      <c r="L29" s="36"/>
      <c r="M29" s="36"/>
      <c r="N29" s="36">
        <v>2</v>
      </c>
    </row>
    <row r="30" spans="1:14" x14ac:dyDescent="0.25">
      <c r="A30" s="224" t="s">
        <v>49</v>
      </c>
      <c r="B30" s="36">
        <v>1</v>
      </c>
      <c r="C30" s="36"/>
      <c r="D30" s="36"/>
      <c r="E30" s="36"/>
      <c r="F30" s="36"/>
      <c r="G30" s="36"/>
      <c r="H30" s="36"/>
      <c r="I30" s="36"/>
      <c r="J30" s="36"/>
      <c r="K30" s="36"/>
      <c r="L30" s="36"/>
      <c r="M30" s="36"/>
      <c r="N30" s="36">
        <v>1</v>
      </c>
    </row>
    <row r="31" spans="1:14" x14ac:dyDescent="0.25">
      <c r="A31" s="224" t="s">
        <v>560</v>
      </c>
      <c r="B31" s="36">
        <v>6</v>
      </c>
      <c r="C31" s="36">
        <v>5</v>
      </c>
      <c r="D31" s="36">
        <v>1</v>
      </c>
      <c r="E31" s="36"/>
      <c r="F31" s="36">
        <v>3</v>
      </c>
      <c r="G31" s="36"/>
      <c r="H31" s="36">
        <v>2</v>
      </c>
      <c r="I31" s="36">
        <v>1</v>
      </c>
      <c r="J31" s="36">
        <v>1</v>
      </c>
      <c r="K31" s="36"/>
      <c r="L31" s="36"/>
      <c r="M31" s="36">
        <v>1</v>
      </c>
      <c r="N31" s="36">
        <v>20</v>
      </c>
    </row>
    <row r="32" spans="1:14" x14ac:dyDescent="0.25">
      <c r="A32" s="37" t="s">
        <v>29</v>
      </c>
      <c r="B32" s="36">
        <v>3</v>
      </c>
      <c r="C32" s="36">
        <v>2</v>
      </c>
      <c r="D32" s="36"/>
      <c r="E32" s="36">
        <v>7</v>
      </c>
      <c r="F32" s="36">
        <v>6</v>
      </c>
      <c r="G32" s="36">
        <v>1</v>
      </c>
      <c r="H32" s="36">
        <v>4</v>
      </c>
      <c r="I32" s="36">
        <v>11</v>
      </c>
      <c r="J32" s="36">
        <v>5</v>
      </c>
      <c r="K32" s="36">
        <v>15</v>
      </c>
      <c r="L32" s="36">
        <v>3</v>
      </c>
      <c r="M32" s="36">
        <v>5</v>
      </c>
      <c r="N32" s="36">
        <v>62</v>
      </c>
    </row>
    <row r="33" spans="1:14" x14ac:dyDescent="0.25">
      <c r="A33" s="224" t="s">
        <v>2295</v>
      </c>
      <c r="B33" s="36"/>
      <c r="C33" s="36"/>
      <c r="D33" s="36"/>
      <c r="E33" s="36"/>
      <c r="F33" s="36"/>
      <c r="G33" s="36"/>
      <c r="H33" s="36"/>
      <c r="I33" s="36"/>
      <c r="J33" s="36"/>
      <c r="K33" s="36"/>
      <c r="L33" s="36"/>
      <c r="M33" s="36">
        <v>1</v>
      </c>
      <c r="N33" s="36">
        <v>1</v>
      </c>
    </row>
    <row r="34" spans="1:14" x14ac:dyDescent="0.25">
      <c r="A34" s="224" t="s">
        <v>4533</v>
      </c>
      <c r="B34" s="36">
        <v>1</v>
      </c>
      <c r="C34" s="36"/>
      <c r="D34" s="36"/>
      <c r="E34" s="36">
        <v>1</v>
      </c>
      <c r="F34" s="36">
        <v>3</v>
      </c>
      <c r="G34" s="36"/>
      <c r="H34" s="36"/>
      <c r="I34" s="36">
        <v>2</v>
      </c>
      <c r="J34" s="36">
        <v>2</v>
      </c>
      <c r="K34" s="36">
        <v>2</v>
      </c>
      <c r="L34" s="36">
        <v>1</v>
      </c>
      <c r="M34" s="36"/>
      <c r="N34" s="36">
        <v>12</v>
      </c>
    </row>
    <row r="35" spans="1:14" x14ac:dyDescent="0.25">
      <c r="A35" s="224" t="s">
        <v>6745</v>
      </c>
      <c r="B35" s="36"/>
      <c r="C35" s="36"/>
      <c r="D35" s="36"/>
      <c r="E35" s="36"/>
      <c r="F35" s="36"/>
      <c r="G35" s="36">
        <v>1</v>
      </c>
      <c r="H35" s="36"/>
      <c r="I35" s="36"/>
      <c r="J35" s="36"/>
      <c r="K35" s="36"/>
      <c r="L35" s="36"/>
      <c r="M35" s="36"/>
      <c r="N35" s="36">
        <v>1</v>
      </c>
    </row>
    <row r="36" spans="1:14" x14ac:dyDescent="0.25">
      <c r="A36" s="224" t="s">
        <v>10764</v>
      </c>
      <c r="B36" s="36"/>
      <c r="C36" s="36"/>
      <c r="D36" s="36"/>
      <c r="E36" s="36">
        <v>2</v>
      </c>
      <c r="F36" s="36"/>
      <c r="G36" s="36"/>
      <c r="H36" s="36"/>
      <c r="I36" s="36"/>
      <c r="J36" s="36"/>
      <c r="K36" s="36"/>
      <c r="L36" s="36"/>
      <c r="M36" s="36"/>
      <c r="N36" s="36">
        <v>2</v>
      </c>
    </row>
    <row r="37" spans="1:14" x14ac:dyDescent="0.25">
      <c r="A37" s="224" t="s">
        <v>7564</v>
      </c>
      <c r="B37" s="36"/>
      <c r="C37" s="36"/>
      <c r="D37" s="36"/>
      <c r="E37" s="36">
        <v>1</v>
      </c>
      <c r="F37" s="36">
        <v>1</v>
      </c>
      <c r="G37" s="36"/>
      <c r="H37" s="36"/>
      <c r="I37" s="36"/>
      <c r="J37" s="36"/>
      <c r="K37" s="36"/>
      <c r="L37" s="36"/>
      <c r="M37" s="36">
        <v>1</v>
      </c>
      <c r="N37" s="36">
        <v>3</v>
      </c>
    </row>
    <row r="38" spans="1:14" x14ac:dyDescent="0.25">
      <c r="A38" s="224" t="s">
        <v>10766</v>
      </c>
      <c r="B38" s="36"/>
      <c r="C38" s="36"/>
      <c r="D38" s="36"/>
      <c r="E38" s="36">
        <v>1</v>
      </c>
      <c r="F38" s="36"/>
      <c r="G38" s="36"/>
      <c r="H38" s="36"/>
      <c r="I38" s="36">
        <v>4</v>
      </c>
      <c r="J38" s="36"/>
      <c r="K38" s="36">
        <v>5</v>
      </c>
      <c r="L38" s="36"/>
      <c r="M38" s="36"/>
      <c r="N38" s="36">
        <v>10</v>
      </c>
    </row>
    <row r="39" spans="1:14" x14ac:dyDescent="0.25">
      <c r="A39" s="224" t="s">
        <v>10762</v>
      </c>
      <c r="B39" s="36"/>
      <c r="C39" s="36">
        <v>1</v>
      </c>
      <c r="D39" s="36"/>
      <c r="E39" s="36"/>
      <c r="F39" s="36"/>
      <c r="G39" s="36"/>
      <c r="H39" s="36"/>
      <c r="I39" s="36">
        <v>1</v>
      </c>
      <c r="J39" s="36"/>
      <c r="K39" s="36"/>
      <c r="L39" s="36"/>
      <c r="M39" s="36"/>
      <c r="N39" s="36">
        <v>2</v>
      </c>
    </row>
    <row r="40" spans="1:14" x14ac:dyDescent="0.25">
      <c r="A40" s="224" t="s">
        <v>10763</v>
      </c>
      <c r="B40" s="36"/>
      <c r="C40" s="36"/>
      <c r="D40" s="36"/>
      <c r="E40" s="36"/>
      <c r="F40" s="36">
        <v>1</v>
      </c>
      <c r="G40" s="36"/>
      <c r="H40" s="36">
        <v>1</v>
      </c>
      <c r="I40" s="36"/>
      <c r="J40" s="36"/>
      <c r="K40" s="36">
        <v>1</v>
      </c>
      <c r="L40" s="36">
        <v>1</v>
      </c>
      <c r="M40" s="36">
        <v>1</v>
      </c>
      <c r="N40" s="36">
        <v>5</v>
      </c>
    </row>
    <row r="41" spans="1:14" x14ac:dyDescent="0.25">
      <c r="A41" s="224" t="s">
        <v>7124</v>
      </c>
      <c r="B41" s="36"/>
      <c r="C41" s="36">
        <v>1</v>
      </c>
      <c r="D41" s="36"/>
      <c r="E41" s="36">
        <v>1</v>
      </c>
      <c r="F41" s="36"/>
      <c r="G41" s="36"/>
      <c r="H41" s="36">
        <v>2</v>
      </c>
      <c r="I41" s="36">
        <v>1</v>
      </c>
      <c r="J41" s="36">
        <v>3</v>
      </c>
      <c r="K41" s="36">
        <v>5</v>
      </c>
      <c r="L41" s="36"/>
      <c r="M41" s="36"/>
      <c r="N41" s="36">
        <v>13</v>
      </c>
    </row>
    <row r="42" spans="1:14" x14ac:dyDescent="0.25">
      <c r="A42" s="224" t="s">
        <v>10765</v>
      </c>
      <c r="B42" s="36">
        <v>1</v>
      </c>
      <c r="C42" s="36"/>
      <c r="D42" s="36"/>
      <c r="E42" s="36"/>
      <c r="F42" s="36"/>
      <c r="G42" s="36"/>
      <c r="H42" s="36">
        <v>1</v>
      </c>
      <c r="I42" s="36">
        <v>2</v>
      </c>
      <c r="J42" s="36"/>
      <c r="K42" s="36">
        <v>1</v>
      </c>
      <c r="L42" s="36"/>
      <c r="M42" s="36">
        <v>1</v>
      </c>
      <c r="N42" s="36">
        <v>6</v>
      </c>
    </row>
    <row r="43" spans="1:14" x14ac:dyDescent="0.25">
      <c r="A43" s="224" t="s">
        <v>49</v>
      </c>
      <c r="B43" s="36"/>
      <c r="C43" s="36"/>
      <c r="D43" s="36"/>
      <c r="E43" s="36"/>
      <c r="F43" s="36"/>
      <c r="G43" s="36"/>
      <c r="H43" s="36"/>
      <c r="I43" s="36">
        <v>1</v>
      </c>
      <c r="J43" s="36"/>
      <c r="K43" s="36"/>
      <c r="L43" s="36"/>
      <c r="M43" s="36"/>
      <c r="N43" s="36">
        <v>1</v>
      </c>
    </row>
    <row r="44" spans="1:14" x14ac:dyDescent="0.25">
      <c r="A44" s="224" t="s">
        <v>560</v>
      </c>
      <c r="B44" s="36">
        <v>1</v>
      </c>
      <c r="C44" s="36"/>
      <c r="D44" s="36"/>
      <c r="E44" s="36">
        <v>1</v>
      </c>
      <c r="F44" s="36">
        <v>1</v>
      </c>
      <c r="G44" s="36"/>
      <c r="H44" s="36"/>
      <c r="I44" s="36"/>
      <c r="J44" s="36"/>
      <c r="K44" s="36">
        <v>1</v>
      </c>
      <c r="L44" s="36">
        <v>1</v>
      </c>
      <c r="M44" s="36">
        <v>1</v>
      </c>
      <c r="N44" s="36">
        <v>6</v>
      </c>
    </row>
    <row r="45" spans="1:14" x14ac:dyDescent="0.25">
      <c r="A45" s="37" t="s">
        <v>1612</v>
      </c>
      <c r="B45" s="36"/>
      <c r="C45" s="36"/>
      <c r="D45" s="36"/>
      <c r="E45" s="36">
        <v>1</v>
      </c>
      <c r="F45" s="36">
        <v>3</v>
      </c>
      <c r="G45" s="36">
        <v>1</v>
      </c>
      <c r="H45" s="36"/>
      <c r="I45" s="36">
        <v>1</v>
      </c>
      <c r="J45" s="36">
        <v>1</v>
      </c>
      <c r="K45" s="36">
        <v>4</v>
      </c>
      <c r="L45" s="36">
        <v>5</v>
      </c>
      <c r="M45" s="36"/>
      <c r="N45" s="36">
        <v>16</v>
      </c>
    </row>
    <row r="46" spans="1:14" x14ac:dyDescent="0.25">
      <c r="A46" s="37" t="s">
        <v>620</v>
      </c>
      <c r="B46" s="36">
        <v>2</v>
      </c>
      <c r="C46" s="36">
        <v>3</v>
      </c>
      <c r="D46" s="36">
        <v>1</v>
      </c>
      <c r="E46" s="36">
        <v>1</v>
      </c>
      <c r="F46" s="36"/>
      <c r="G46" s="36">
        <v>1</v>
      </c>
      <c r="H46" s="36"/>
      <c r="I46" s="36">
        <v>2</v>
      </c>
      <c r="J46" s="36">
        <v>1</v>
      </c>
      <c r="K46" s="36"/>
      <c r="L46" s="36">
        <v>1</v>
      </c>
      <c r="M46" s="36">
        <v>2</v>
      </c>
      <c r="N46" s="36">
        <v>14</v>
      </c>
    </row>
    <row r="47" spans="1:14" x14ac:dyDescent="0.25">
      <c r="A47" s="35" t="s">
        <v>110</v>
      </c>
      <c r="B47" s="36">
        <v>4</v>
      </c>
      <c r="C47" s="36"/>
      <c r="D47" s="36"/>
      <c r="E47" s="36"/>
      <c r="F47" s="36"/>
      <c r="G47" s="36">
        <v>1</v>
      </c>
      <c r="H47" s="36"/>
      <c r="I47" s="36">
        <v>1</v>
      </c>
      <c r="J47" s="36"/>
      <c r="K47" s="36">
        <v>1</v>
      </c>
      <c r="L47" s="36">
        <v>1</v>
      </c>
      <c r="M47" s="36"/>
      <c r="N47" s="36">
        <v>8</v>
      </c>
    </row>
    <row r="48" spans="1:14" x14ac:dyDescent="0.25">
      <c r="A48" s="35" t="s">
        <v>569</v>
      </c>
      <c r="B48" s="36">
        <v>18</v>
      </c>
      <c r="C48" s="36">
        <v>11</v>
      </c>
      <c r="D48" s="36">
        <v>28</v>
      </c>
      <c r="E48" s="36">
        <v>24</v>
      </c>
      <c r="F48" s="36">
        <v>29</v>
      </c>
      <c r="G48" s="36">
        <v>25</v>
      </c>
      <c r="H48" s="36">
        <v>24</v>
      </c>
      <c r="I48" s="36">
        <v>40</v>
      </c>
      <c r="J48" s="36">
        <v>29</v>
      </c>
      <c r="K48" s="36">
        <v>33</v>
      </c>
      <c r="L48" s="36">
        <v>24</v>
      </c>
      <c r="M48" s="36">
        <v>22</v>
      </c>
      <c r="N48" s="36">
        <v>307</v>
      </c>
    </row>
    <row r="49" spans="1:14" x14ac:dyDescent="0.25">
      <c r="A49" s="35" t="s">
        <v>5956</v>
      </c>
      <c r="B49" s="36">
        <v>4</v>
      </c>
      <c r="C49" s="36">
        <v>1</v>
      </c>
      <c r="D49" s="36">
        <v>1</v>
      </c>
      <c r="E49" s="36">
        <v>1</v>
      </c>
      <c r="F49" s="36"/>
      <c r="G49" s="36">
        <v>1</v>
      </c>
      <c r="H49" s="36">
        <v>2</v>
      </c>
      <c r="I49" s="36">
        <v>8</v>
      </c>
      <c r="J49" s="36">
        <v>3</v>
      </c>
      <c r="K49" s="36">
        <v>2</v>
      </c>
      <c r="L49" s="36">
        <v>2</v>
      </c>
      <c r="M49" s="36">
        <v>4</v>
      </c>
      <c r="N49" s="36">
        <v>29</v>
      </c>
    </row>
    <row r="50" spans="1:14" x14ac:dyDescent="0.25">
      <c r="A50" s="35" t="s">
        <v>1788</v>
      </c>
      <c r="B50" s="36">
        <v>3</v>
      </c>
      <c r="C50" s="36"/>
      <c r="D50" s="36">
        <v>1</v>
      </c>
      <c r="E50" s="36"/>
      <c r="F50" s="36">
        <v>1</v>
      </c>
      <c r="G50" s="36">
        <v>2</v>
      </c>
      <c r="H50" s="36">
        <v>1</v>
      </c>
      <c r="I50" s="36"/>
      <c r="J50" s="36"/>
      <c r="K50" s="36"/>
      <c r="L50" s="36">
        <v>1</v>
      </c>
      <c r="M50" s="36"/>
      <c r="N50" s="36">
        <v>9</v>
      </c>
    </row>
    <row r="51" spans="1:14" x14ac:dyDescent="0.25">
      <c r="A51" s="35" t="s">
        <v>5176</v>
      </c>
      <c r="B51" s="36">
        <v>4</v>
      </c>
      <c r="C51" s="36">
        <v>6</v>
      </c>
      <c r="D51" s="36">
        <v>4</v>
      </c>
      <c r="E51" s="36">
        <v>3</v>
      </c>
      <c r="F51" s="36">
        <v>2</v>
      </c>
      <c r="G51" s="36">
        <v>4</v>
      </c>
      <c r="H51" s="36">
        <v>1</v>
      </c>
      <c r="I51" s="36">
        <v>1</v>
      </c>
      <c r="J51" s="36">
        <v>2</v>
      </c>
      <c r="K51" s="36">
        <v>3</v>
      </c>
      <c r="L51" s="36"/>
      <c r="M51" s="36">
        <v>2</v>
      </c>
      <c r="N51" s="36">
        <v>32</v>
      </c>
    </row>
    <row r="52" spans="1:14" x14ac:dyDescent="0.25">
      <c r="A52" s="35" t="s">
        <v>643</v>
      </c>
      <c r="B52" s="36">
        <v>5</v>
      </c>
      <c r="C52" s="36">
        <v>2</v>
      </c>
      <c r="D52" s="36">
        <v>5</v>
      </c>
      <c r="E52" s="36">
        <v>6</v>
      </c>
      <c r="F52" s="36">
        <v>6</v>
      </c>
      <c r="G52" s="36"/>
      <c r="H52" s="36">
        <v>3</v>
      </c>
      <c r="I52" s="36">
        <v>7</v>
      </c>
      <c r="J52" s="36">
        <v>1</v>
      </c>
      <c r="K52" s="36">
        <v>8</v>
      </c>
      <c r="L52" s="36">
        <v>8</v>
      </c>
      <c r="M52" s="36">
        <v>4</v>
      </c>
      <c r="N52" s="36">
        <v>55</v>
      </c>
    </row>
    <row r="53" spans="1:14" x14ac:dyDescent="0.25">
      <c r="A53" s="35" t="s">
        <v>9240</v>
      </c>
      <c r="B53" s="36">
        <v>3</v>
      </c>
      <c r="C53" s="36">
        <v>7</v>
      </c>
      <c r="D53" s="36">
        <v>9</v>
      </c>
      <c r="E53" s="36">
        <v>10</v>
      </c>
      <c r="F53" s="36">
        <v>7</v>
      </c>
      <c r="G53" s="36">
        <v>6</v>
      </c>
      <c r="H53" s="36">
        <v>7</v>
      </c>
      <c r="I53" s="36">
        <v>15</v>
      </c>
      <c r="J53" s="36">
        <v>5</v>
      </c>
      <c r="K53" s="36">
        <v>6</v>
      </c>
      <c r="L53" s="36">
        <v>4</v>
      </c>
      <c r="M53" s="36">
        <v>6</v>
      </c>
      <c r="N53" s="36">
        <v>85</v>
      </c>
    </row>
    <row r="54" spans="1:14" x14ac:dyDescent="0.25">
      <c r="A54" s="35" t="s">
        <v>5473</v>
      </c>
      <c r="B54" s="36">
        <v>1</v>
      </c>
      <c r="C54" s="36"/>
      <c r="D54" s="36">
        <v>2</v>
      </c>
      <c r="E54" s="36">
        <v>2</v>
      </c>
      <c r="F54" s="36">
        <v>1</v>
      </c>
      <c r="G54" s="36"/>
      <c r="H54" s="36">
        <v>2</v>
      </c>
      <c r="I54" s="36">
        <v>1</v>
      </c>
      <c r="J54" s="36">
        <v>1</v>
      </c>
      <c r="K54" s="36">
        <v>1</v>
      </c>
      <c r="L54" s="36"/>
      <c r="M54" s="36"/>
      <c r="N54" s="36">
        <v>11</v>
      </c>
    </row>
    <row r="55" spans="1:14" x14ac:dyDescent="0.25">
      <c r="A55" s="35" t="s">
        <v>5360</v>
      </c>
      <c r="B55" s="36"/>
      <c r="C55" s="36">
        <v>3</v>
      </c>
      <c r="D55" s="36">
        <v>5</v>
      </c>
      <c r="E55" s="36">
        <v>4</v>
      </c>
      <c r="F55" s="36">
        <v>3</v>
      </c>
      <c r="G55" s="36">
        <v>4</v>
      </c>
      <c r="H55" s="36">
        <v>4</v>
      </c>
      <c r="I55" s="36">
        <v>6</v>
      </c>
      <c r="J55" s="36">
        <v>2</v>
      </c>
      <c r="K55" s="36">
        <v>8</v>
      </c>
      <c r="L55" s="36">
        <v>2</v>
      </c>
      <c r="M55" s="36">
        <v>10</v>
      </c>
      <c r="N55" s="36">
        <v>51</v>
      </c>
    </row>
    <row r="56" spans="1:14" x14ac:dyDescent="0.25">
      <c r="A56" s="35" t="s">
        <v>5992</v>
      </c>
      <c r="B56" s="36"/>
      <c r="C56" s="36">
        <v>1</v>
      </c>
      <c r="D56" s="36"/>
      <c r="E56" s="36">
        <v>1</v>
      </c>
      <c r="F56" s="36"/>
      <c r="G56" s="36"/>
      <c r="H56" s="36"/>
      <c r="I56" s="36"/>
      <c r="J56" s="36"/>
      <c r="K56" s="36"/>
      <c r="L56" s="36"/>
      <c r="M56" s="36"/>
      <c r="N56" s="36">
        <v>2</v>
      </c>
    </row>
    <row r="57" spans="1:14" x14ac:dyDescent="0.25">
      <c r="A57" s="35" t="s">
        <v>6076</v>
      </c>
      <c r="B57" s="36"/>
      <c r="C57" s="36"/>
      <c r="D57" s="36">
        <v>1</v>
      </c>
      <c r="E57" s="36">
        <v>1</v>
      </c>
      <c r="F57" s="36">
        <v>3</v>
      </c>
      <c r="G57" s="36">
        <v>3</v>
      </c>
      <c r="H57" s="36">
        <v>1</v>
      </c>
      <c r="I57" s="36">
        <v>1</v>
      </c>
      <c r="J57" s="36">
        <v>3</v>
      </c>
      <c r="K57" s="36">
        <v>1</v>
      </c>
      <c r="L57" s="36"/>
      <c r="M57" s="36"/>
      <c r="N57" s="36">
        <v>14</v>
      </c>
    </row>
    <row r="58" spans="1:14" x14ac:dyDescent="0.25">
      <c r="A58" s="35" t="s">
        <v>250</v>
      </c>
      <c r="B58" s="36"/>
      <c r="C58" s="36"/>
      <c r="D58" s="36"/>
      <c r="E58" s="36"/>
      <c r="F58" s="36"/>
      <c r="G58" s="36">
        <v>1</v>
      </c>
      <c r="H58" s="36"/>
      <c r="I58" s="36"/>
      <c r="J58" s="36"/>
      <c r="K58" s="36">
        <v>1</v>
      </c>
      <c r="L58" s="36"/>
      <c r="M58" s="36"/>
      <c r="N58" s="36">
        <v>2</v>
      </c>
    </row>
    <row r="59" spans="1:14" x14ac:dyDescent="0.25">
      <c r="A59" s="35" t="s">
        <v>12367</v>
      </c>
      <c r="B59" s="36"/>
      <c r="C59" s="36"/>
      <c r="D59" s="36"/>
      <c r="E59" s="36"/>
      <c r="F59" s="36"/>
      <c r="G59" s="36"/>
      <c r="H59" s="36"/>
      <c r="I59" s="36">
        <v>1</v>
      </c>
      <c r="J59" s="36"/>
      <c r="K59" s="36">
        <v>2</v>
      </c>
      <c r="L59" s="36">
        <v>2</v>
      </c>
      <c r="M59" s="36">
        <v>1</v>
      </c>
      <c r="N59" s="36">
        <v>6</v>
      </c>
    </row>
    <row r="60" spans="1:14" x14ac:dyDescent="0.25">
      <c r="A60" s="35" t="s">
        <v>13559</v>
      </c>
      <c r="B60" s="36"/>
      <c r="C60" s="36"/>
      <c r="D60" s="36"/>
      <c r="E60" s="36"/>
      <c r="F60" s="36"/>
      <c r="G60" s="36"/>
      <c r="H60" s="36"/>
      <c r="I60" s="36"/>
      <c r="J60" s="36"/>
      <c r="K60" s="36"/>
      <c r="L60" s="36"/>
      <c r="M60" s="36">
        <v>2</v>
      </c>
      <c r="N60" s="36">
        <v>2</v>
      </c>
    </row>
    <row r="61" spans="1:14" x14ac:dyDescent="0.25">
      <c r="A61" s="35" t="s">
        <v>5828</v>
      </c>
      <c r="B61" s="36">
        <v>77</v>
      </c>
      <c r="C61" s="36">
        <v>62</v>
      </c>
      <c r="D61" s="36">
        <v>83</v>
      </c>
      <c r="E61" s="36">
        <v>83</v>
      </c>
      <c r="F61" s="36">
        <v>88</v>
      </c>
      <c r="G61" s="36">
        <v>76</v>
      </c>
      <c r="H61" s="36">
        <v>79</v>
      </c>
      <c r="I61" s="36">
        <v>139</v>
      </c>
      <c r="J61" s="36">
        <v>81</v>
      </c>
      <c r="K61" s="36">
        <v>113</v>
      </c>
      <c r="L61" s="36">
        <v>62</v>
      </c>
      <c r="M61" s="36">
        <v>69</v>
      </c>
      <c r="N61" s="36">
        <v>1012</v>
      </c>
    </row>
    <row r="62" spans="1:14" x14ac:dyDescent="0.25">
      <c r="C62"/>
    </row>
    <row r="63" spans="1:14" x14ac:dyDescent="0.25">
      <c r="C63"/>
    </row>
    <row r="64" spans="1:14" x14ac:dyDescent="0.25">
      <c r="C64"/>
    </row>
    <row r="65" spans="3:3" x14ac:dyDescent="0.25">
      <c r="C65"/>
    </row>
    <row r="66" spans="3:3" x14ac:dyDescent="0.25">
      <c r="C66"/>
    </row>
    <row r="67" spans="3:3" x14ac:dyDescent="0.25">
      <c r="C67"/>
    </row>
    <row r="68" spans="3:3" x14ac:dyDescent="0.25">
      <c r="C68"/>
    </row>
    <row r="69" spans="3:3" x14ac:dyDescent="0.25">
      <c r="C69"/>
    </row>
    <row r="70" spans="3:3" x14ac:dyDescent="0.25">
      <c r="C70"/>
    </row>
    <row r="71" spans="3:3" x14ac:dyDescent="0.25">
      <c r="C71"/>
    </row>
    <row r="72" spans="3:3" x14ac:dyDescent="0.25">
      <c r="C72"/>
    </row>
    <row r="73" spans="3:3" x14ac:dyDescent="0.25">
      <c r="C73"/>
    </row>
    <row r="74" spans="3:3" x14ac:dyDescent="0.25">
      <c r="C74"/>
    </row>
    <row r="75" spans="3:3" x14ac:dyDescent="0.25">
      <c r="C75"/>
    </row>
    <row r="76" spans="3:3" x14ac:dyDescent="0.25">
      <c r="C76"/>
    </row>
    <row r="77" spans="3:3" x14ac:dyDescent="0.25">
      <c r="C77"/>
    </row>
    <row r="78" spans="3:3" x14ac:dyDescent="0.25">
      <c r="C78"/>
    </row>
    <row r="79" spans="3:3" x14ac:dyDescent="0.25">
      <c r="C79"/>
    </row>
    <row r="80" spans="3:3" x14ac:dyDescent="0.25">
      <c r="C80"/>
    </row>
    <row r="81" spans="3:3" x14ac:dyDescent="0.25">
      <c r="C81"/>
    </row>
    <row r="82" spans="3:3" x14ac:dyDescent="0.25">
      <c r="C82"/>
    </row>
    <row r="83" spans="3:3" x14ac:dyDescent="0.25">
      <c r="C83"/>
    </row>
    <row r="84" spans="3:3" x14ac:dyDescent="0.25">
      <c r="C84"/>
    </row>
    <row r="85" spans="3:3" x14ac:dyDescent="0.25">
      <c r="C85"/>
    </row>
    <row r="86" spans="3:3" x14ac:dyDescent="0.25">
      <c r="C86"/>
    </row>
    <row r="87" spans="3:3" x14ac:dyDescent="0.25">
      <c r="C87"/>
    </row>
    <row r="88" spans="3:3" x14ac:dyDescent="0.25">
      <c r="C88"/>
    </row>
    <row r="89" spans="3:3" x14ac:dyDescent="0.25">
      <c r="C89"/>
    </row>
    <row r="90" spans="3:3" x14ac:dyDescent="0.25">
      <c r="C90"/>
    </row>
    <row r="91" spans="3:3" x14ac:dyDescent="0.25">
      <c r="C91"/>
    </row>
    <row r="92" spans="3:3" x14ac:dyDescent="0.25">
      <c r="C92"/>
    </row>
    <row r="93" spans="3:3" x14ac:dyDescent="0.25">
      <c r="C93"/>
    </row>
    <row r="94" spans="3:3" x14ac:dyDescent="0.25">
      <c r="C94"/>
    </row>
    <row r="95" spans="3:3" x14ac:dyDescent="0.25">
      <c r="C95"/>
    </row>
    <row r="96" spans="3:3" x14ac:dyDescent="0.25">
      <c r="C96"/>
    </row>
    <row r="97" spans="3:3" x14ac:dyDescent="0.25">
      <c r="C97"/>
    </row>
    <row r="98" spans="3:3" x14ac:dyDescent="0.25">
      <c r="C98"/>
    </row>
    <row r="99" spans="3:3" x14ac:dyDescent="0.25">
      <c r="C99"/>
    </row>
    <row r="100" spans="3:3" x14ac:dyDescent="0.25">
      <c r="C100"/>
    </row>
    <row r="101" spans="3:3" x14ac:dyDescent="0.25">
      <c r="C101"/>
    </row>
    <row r="102" spans="3:3" x14ac:dyDescent="0.25">
      <c r="C102"/>
    </row>
    <row r="103" spans="3:3" x14ac:dyDescent="0.25">
      <c r="C103"/>
    </row>
    <row r="104" spans="3:3" x14ac:dyDescent="0.25">
      <c r="C104"/>
    </row>
    <row r="105" spans="3:3" x14ac:dyDescent="0.25">
      <c r="C105"/>
    </row>
    <row r="106" spans="3:3" x14ac:dyDescent="0.25">
      <c r="C106"/>
    </row>
    <row r="107" spans="3:3" x14ac:dyDescent="0.25">
      <c r="C107"/>
    </row>
    <row r="108" spans="3:3" x14ac:dyDescent="0.25">
      <c r="C108"/>
    </row>
    <row r="109" spans="3:3" x14ac:dyDescent="0.25">
      <c r="C109"/>
    </row>
    <row r="110" spans="3:3" x14ac:dyDescent="0.25">
      <c r="C110"/>
    </row>
    <row r="111" spans="3:3" x14ac:dyDescent="0.25">
      <c r="C111"/>
    </row>
    <row r="112" spans="3:3" x14ac:dyDescent="0.25">
      <c r="C112"/>
    </row>
    <row r="113" spans="3:3" x14ac:dyDescent="0.25">
      <c r="C113"/>
    </row>
    <row r="114" spans="3:3" x14ac:dyDescent="0.25">
      <c r="C114"/>
    </row>
    <row r="115" spans="3:3" x14ac:dyDescent="0.25">
      <c r="C115"/>
    </row>
    <row r="116" spans="3:3" x14ac:dyDescent="0.25">
      <c r="C116"/>
    </row>
    <row r="117" spans="3:3" x14ac:dyDescent="0.25">
      <c r="C117"/>
    </row>
    <row r="118" spans="3:3" x14ac:dyDescent="0.25">
      <c r="C118"/>
    </row>
    <row r="119" spans="3:3" x14ac:dyDescent="0.25">
      <c r="C119"/>
    </row>
    <row r="120" spans="3:3" x14ac:dyDescent="0.25">
      <c r="C120"/>
    </row>
    <row r="121" spans="3:3" x14ac:dyDescent="0.25">
      <c r="C121"/>
    </row>
    <row r="122" spans="3:3" x14ac:dyDescent="0.25">
      <c r="C122"/>
    </row>
    <row r="123" spans="3:3" x14ac:dyDescent="0.25">
      <c r="C123"/>
    </row>
    <row r="124" spans="3:3" x14ac:dyDescent="0.25">
      <c r="C124"/>
    </row>
    <row r="125" spans="3:3" x14ac:dyDescent="0.25">
      <c r="C125"/>
    </row>
    <row r="126" spans="3:3" x14ac:dyDescent="0.25">
      <c r="C126"/>
    </row>
    <row r="127" spans="3:3" x14ac:dyDescent="0.25">
      <c r="C127"/>
    </row>
    <row r="128" spans="3:3" x14ac:dyDescent="0.25">
      <c r="C128"/>
    </row>
    <row r="129" spans="3:3" x14ac:dyDescent="0.25">
      <c r="C129"/>
    </row>
    <row r="130" spans="3:3" x14ac:dyDescent="0.25">
      <c r="C130"/>
    </row>
    <row r="131" spans="3:3" x14ac:dyDescent="0.25">
      <c r="C131"/>
    </row>
    <row r="132" spans="3:3" x14ac:dyDescent="0.25">
      <c r="C132"/>
    </row>
    <row r="133" spans="3:3" x14ac:dyDescent="0.25">
      <c r="C133"/>
    </row>
    <row r="134" spans="3:3" x14ac:dyDescent="0.25">
      <c r="C134"/>
    </row>
    <row r="135" spans="3:3" x14ac:dyDescent="0.25">
      <c r="C135"/>
    </row>
    <row r="136" spans="3:3" x14ac:dyDescent="0.25">
      <c r="C136"/>
    </row>
    <row r="137" spans="3:3" x14ac:dyDescent="0.25">
      <c r="C137"/>
    </row>
    <row r="138" spans="3:3" x14ac:dyDescent="0.25">
      <c r="C138"/>
    </row>
    <row r="139" spans="3:3" x14ac:dyDescent="0.25">
      <c r="C139"/>
    </row>
    <row r="140" spans="3:3" x14ac:dyDescent="0.25">
      <c r="C140"/>
    </row>
    <row r="141" spans="3:3" x14ac:dyDescent="0.25">
      <c r="C141"/>
    </row>
    <row r="142" spans="3:3" x14ac:dyDescent="0.25">
      <c r="C142"/>
    </row>
    <row r="143" spans="3:3" x14ac:dyDescent="0.25">
      <c r="C143"/>
    </row>
    <row r="144" spans="3:3" x14ac:dyDescent="0.25">
      <c r="C144"/>
    </row>
    <row r="145" spans="3:3" x14ac:dyDescent="0.25">
      <c r="C145"/>
    </row>
    <row r="146" spans="3:3" x14ac:dyDescent="0.25">
      <c r="C146"/>
    </row>
    <row r="147" spans="3:3" x14ac:dyDescent="0.25">
      <c r="C147"/>
    </row>
    <row r="148" spans="3:3" x14ac:dyDescent="0.25">
      <c r="C148"/>
    </row>
    <row r="149" spans="3:3" x14ac:dyDescent="0.25">
      <c r="C149"/>
    </row>
    <row r="150" spans="3:3" x14ac:dyDescent="0.25">
      <c r="C150"/>
    </row>
    <row r="151" spans="3:3" x14ac:dyDescent="0.25">
      <c r="C151"/>
    </row>
    <row r="152" spans="3:3" x14ac:dyDescent="0.25">
      <c r="C152"/>
    </row>
    <row r="153" spans="3:3" x14ac:dyDescent="0.25">
      <c r="C153"/>
    </row>
    <row r="154" spans="3:3" x14ac:dyDescent="0.25">
      <c r="C154"/>
    </row>
    <row r="155" spans="3:3" x14ac:dyDescent="0.25">
      <c r="C155"/>
    </row>
    <row r="156" spans="3:3" x14ac:dyDescent="0.25">
      <c r="C156"/>
    </row>
    <row r="157" spans="3:3" x14ac:dyDescent="0.25">
      <c r="C157"/>
    </row>
    <row r="158" spans="3:3" x14ac:dyDescent="0.25">
      <c r="C158"/>
    </row>
    <row r="159" spans="3:3" x14ac:dyDescent="0.25">
      <c r="C159"/>
    </row>
    <row r="160" spans="3:3" x14ac:dyDescent="0.25">
      <c r="C160"/>
    </row>
    <row r="161" spans="3:3" x14ac:dyDescent="0.25">
      <c r="C161"/>
    </row>
    <row r="162" spans="3:3" x14ac:dyDescent="0.25">
      <c r="C162"/>
    </row>
    <row r="163" spans="3:3" x14ac:dyDescent="0.25">
      <c r="C163"/>
    </row>
    <row r="164" spans="3:3" x14ac:dyDescent="0.25">
      <c r="C164"/>
    </row>
    <row r="165" spans="3:3" x14ac:dyDescent="0.25">
      <c r="C165"/>
    </row>
    <row r="166" spans="3:3" x14ac:dyDescent="0.25">
      <c r="C166"/>
    </row>
    <row r="167" spans="3:3" x14ac:dyDescent="0.25">
      <c r="C167"/>
    </row>
    <row r="168" spans="3:3" x14ac:dyDescent="0.25">
      <c r="C168"/>
    </row>
    <row r="169" spans="3:3" x14ac:dyDescent="0.25">
      <c r="C169"/>
    </row>
    <row r="170" spans="3:3" x14ac:dyDescent="0.25">
      <c r="C170"/>
    </row>
    <row r="171" spans="3:3" x14ac:dyDescent="0.25">
      <c r="C171"/>
    </row>
    <row r="172" spans="3:3" x14ac:dyDescent="0.25">
      <c r="C172"/>
    </row>
    <row r="173" spans="3:3" x14ac:dyDescent="0.25">
      <c r="C173"/>
    </row>
    <row r="174" spans="3:3" x14ac:dyDescent="0.25">
      <c r="C174"/>
    </row>
    <row r="175" spans="3:3" x14ac:dyDescent="0.25">
      <c r="C175"/>
    </row>
    <row r="176" spans="3:3" x14ac:dyDescent="0.25">
      <c r="C176"/>
    </row>
    <row r="177" spans="3:3" x14ac:dyDescent="0.25">
      <c r="C177"/>
    </row>
    <row r="178" spans="3:3" x14ac:dyDescent="0.25">
      <c r="C178"/>
    </row>
    <row r="179" spans="3:3" x14ac:dyDescent="0.25">
      <c r="C179"/>
    </row>
    <row r="180" spans="3:3" x14ac:dyDescent="0.25">
      <c r="C180"/>
    </row>
    <row r="181" spans="3:3" x14ac:dyDescent="0.25">
      <c r="C181"/>
    </row>
    <row r="182" spans="3:3" x14ac:dyDescent="0.25">
      <c r="C182"/>
    </row>
    <row r="183" spans="3:3" x14ac:dyDescent="0.25">
      <c r="C183"/>
    </row>
    <row r="184" spans="3:3" x14ac:dyDescent="0.25">
      <c r="C184"/>
    </row>
    <row r="185" spans="3:3" x14ac:dyDescent="0.25">
      <c r="C185"/>
    </row>
    <row r="186" spans="3:3" x14ac:dyDescent="0.25">
      <c r="C186"/>
    </row>
    <row r="187" spans="3:3" x14ac:dyDescent="0.25">
      <c r="C187"/>
    </row>
    <row r="188" spans="3:3" x14ac:dyDescent="0.25">
      <c r="C188"/>
    </row>
    <row r="189" spans="3:3" x14ac:dyDescent="0.25">
      <c r="C189"/>
    </row>
    <row r="190" spans="3:3" x14ac:dyDescent="0.25">
      <c r="C190"/>
    </row>
    <row r="191" spans="3:3" x14ac:dyDescent="0.25">
      <c r="C191"/>
    </row>
    <row r="192" spans="3:3" x14ac:dyDescent="0.25">
      <c r="C192"/>
    </row>
    <row r="193" spans="3:3" x14ac:dyDescent="0.25">
      <c r="C193"/>
    </row>
    <row r="194" spans="3:3" x14ac:dyDescent="0.25">
      <c r="C194"/>
    </row>
    <row r="195" spans="3:3" x14ac:dyDescent="0.25">
      <c r="C195"/>
    </row>
    <row r="196" spans="3:3" x14ac:dyDescent="0.25">
      <c r="C196"/>
    </row>
    <row r="197" spans="3:3" x14ac:dyDescent="0.25">
      <c r="C197"/>
    </row>
    <row r="198" spans="3:3" x14ac:dyDescent="0.25">
      <c r="C198"/>
    </row>
    <row r="199" spans="3:3" x14ac:dyDescent="0.25">
      <c r="C199"/>
    </row>
    <row r="200" spans="3:3" x14ac:dyDescent="0.25">
      <c r="C200"/>
    </row>
    <row r="201" spans="3:3" x14ac:dyDescent="0.25">
      <c r="C201"/>
    </row>
    <row r="202" spans="3:3" x14ac:dyDescent="0.25">
      <c r="C202"/>
    </row>
    <row r="203" spans="3:3" x14ac:dyDescent="0.25">
      <c r="C203"/>
    </row>
    <row r="204" spans="3:3" x14ac:dyDescent="0.25">
      <c r="C204"/>
    </row>
    <row r="205" spans="3:3" x14ac:dyDescent="0.25">
      <c r="C205"/>
    </row>
    <row r="206" spans="3:3" x14ac:dyDescent="0.25">
      <c r="C206"/>
    </row>
    <row r="207" spans="3:3" x14ac:dyDescent="0.25">
      <c r="C207"/>
    </row>
    <row r="208" spans="3:3" x14ac:dyDescent="0.25">
      <c r="C208"/>
    </row>
    <row r="209" spans="3:3" x14ac:dyDescent="0.25">
      <c r="C209"/>
    </row>
    <row r="210" spans="3:3" x14ac:dyDescent="0.25">
      <c r="C210"/>
    </row>
    <row r="211" spans="3:3" x14ac:dyDescent="0.25">
      <c r="C211"/>
    </row>
    <row r="212" spans="3:3" x14ac:dyDescent="0.25">
      <c r="C212"/>
    </row>
    <row r="213" spans="3:3" x14ac:dyDescent="0.25">
      <c r="C213"/>
    </row>
    <row r="214" spans="3:3" x14ac:dyDescent="0.25">
      <c r="C214"/>
    </row>
    <row r="215" spans="3:3" x14ac:dyDescent="0.25">
      <c r="C215"/>
    </row>
    <row r="216" spans="3:3" x14ac:dyDescent="0.25">
      <c r="C216"/>
    </row>
    <row r="217" spans="3:3" x14ac:dyDescent="0.25">
      <c r="C217"/>
    </row>
    <row r="218" spans="3:3" x14ac:dyDescent="0.25">
      <c r="C218"/>
    </row>
    <row r="219" spans="3:3" x14ac:dyDescent="0.25">
      <c r="C219"/>
    </row>
    <row r="220" spans="3:3" x14ac:dyDescent="0.25">
      <c r="C220"/>
    </row>
    <row r="221" spans="3:3" x14ac:dyDescent="0.25">
      <c r="C221"/>
    </row>
    <row r="222" spans="3:3" x14ac:dyDescent="0.25">
      <c r="C222"/>
    </row>
    <row r="223" spans="3:3" x14ac:dyDescent="0.25">
      <c r="C223"/>
    </row>
    <row r="224" spans="3:3" x14ac:dyDescent="0.25">
      <c r="C224"/>
    </row>
    <row r="225" spans="3:3" x14ac:dyDescent="0.25">
      <c r="C225"/>
    </row>
    <row r="226" spans="3:3" x14ac:dyDescent="0.25">
      <c r="C226"/>
    </row>
    <row r="227" spans="3:3" x14ac:dyDescent="0.25">
      <c r="C227"/>
    </row>
    <row r="228" spans="3:3" x14ac:dyDescent="0.25">
      <c r="C228"/>
    </row>
    <row r="229" spans="3:3" x14ac:dyDescent="0.25">
      <c r="C229"/>
    </row>
    <row r="230" spans="3:3" x14ac:dyDescent="0.25">
      <c r="C230"/>
    </row>
    <row r="231" spans="3:3" x14ac:dyDescent="0.25">
      <c r="C231"/>
    </row>
    <row r="232" spans="3:3" x14ac:dyDescent="0.25">
      <c r="C232"/>
    </row>
    <row r="233" spans="3:3" x14ac:dyDescent="0.25">
      <c r="C233"/>
    </row>
    <row r="234" spans="3:3" x14ac:dyDescent="0.25">
      <c r="C234"/>
    </row>
    <row r="235" spans="3:3" x14ac:dyDescent="0.25">
      <c r="C235"/>
    </row>
    <row r="236" spans="3:3" x14ac:dyDescent="0.25">
      <c r="C236"/>
    </row>
    <row r="237" spans="3:3" x14ac:dyDescent="0.25">
      <c r="C237"/>
    </row>
    <row r="238" spans="3:3" x14ac:dyDescent="0.25">
      <c r="C238"/>
    </row>
    <row r="239" spans="3:3" x14ac:dyDescent="0.25">
      <c r="C239"/>
    </row>
    <row r="240" spans="3:3" x14ac:dyDescent="0.25">
      <c r="C240"/>
    </row>
    <row r="241" spans="3:3" x14ac:dyDescent="0.25">
      <c r="C241"/>
    </row>
    <row r="242" spans="3:3" x14ac:dyDescent="0.25">
      <c r="C242"/>
    </row>
    <row r="243" spans="3:3" x14ac:dyDescent="0.25">
      <c r="C243"/>
    </row>
    <row r="244" spans="3:3" x14ac:dyDescent="0.25">
      <c r="C244"/>
    </row>
    <row r="245" spans="3:3" x14ac:dyDescent="0.25">
      <c r="C245"/>
    </row>
    <row r="246" spans="3:3" x14ac:dyDescent="0.25">
      <c r="C246"/>
    </row>
    <row r="247" spans="3:3" x14ac:dyDescent="0.25">
      <c r="C247"/>
    </row>
    <row r="248" spans="3:3" x14ac:dyDescent="0.25">
      <c r="C248"/>
    </row>
    <row r="249" spans="3:3" x14ac:dyDescent="0.25">
      <c r="C249"/>
    </row>
    <row r="250" spans="3:3" x14ac:dyDescent="0.25">
      <c r="C250"/>
    </row>
    <row r="251" spans="3:3" x14ac:dyDescent="0.25">
      <c r="C251"/>
    </row>
    <row r="252" spans="3:3" x14ac:dyDescent="0.25">
      <c r="C252"/>
    </row>
    <row r="253" spans="3:3" x14ac:dyDescent="0.25">
      <c r="C253"/>
    </row>
    <row r="254" spans="3:3" x14ac:dyDescent="0.25">
      <c r="C254"/>
    </row>
    <row r="255" spans="3:3" x14ac:dyDescent="0.25">
      <c r="C255"/>
    </row>
    <row r="256" spans="3:3" x14ac:dyDescent="0.25">
      <c r="C256"/>
    </row>
    <row r="257" spans="3:3" x14ac:dyDescent="0.25">
      <c r="C257"/>
    </row>
    <row r="258" spans="3:3" x14ac:dyDescent="0.25">
      <c r="C258"/>
    </row>
    <row r="259" spans="3:3" x14ac:dyDescent="0.25">
      <c r="C259"/>
    </row>
    <row r="260" spans="3:3" x14ac:dyDescent="0.25">
      <c r="C260"/>
    </row>
    <row r="261" spans="3:3" x14ac:dyDescent="0.25">
      <c r="C261"/>
    </row>
    <row r="262" spans="3:3" x14ac:dyDescent="0.25">
      <c r="C262"/>
    </row>
    <row r="263" spans="3:3" x14ac:dyDescent="0.25">
      <c r="C263"/>
    </row>
    <row r="264" spans="3:3" x14ac:dyDescent="0.25">
      <c r="C264"/>
    </row>
    <row r="265" spans="3:3" x14ac:dyDescent="0.25">
      <c r="C265"/>
    </row>
    <row r="266" spans="3:3" x14ac:dyDescent="0.25">
      <c r="C266"/>
    </row>
    <row r="267" spans="3:3" x14ac:dyDescent="0.25">
      <c r="C267"/>
    </row>
    <row r="268" spans="3:3" x14ac:dyDescent="0.25">
      <c r="C268"/>
    </row>
    <row r="269" spans="3:3" x14ac:dyDescent="0.25">
      <c r="C269"/>
    </row>
    <row r="270" spans="3:3" x14ac:dyDescent="0.25">
      <c r="C270"/>
    </row>
    <row r="271" spans="3:3" x14ac:dyDescent="0.25">
      <c r="C271"/>
    </row>
    <row r="272" spans="3:3" x14ac:dyDescent="0.25">
      <c r="C272"/>
    </row>
    <row r="273" spans="3:3" x14ac:dyDescent="0.25">
      <c r="C273"/>
    </row>
    <row r="274" spans="3:3" x14ac:dyDescent="0.25">
      <c r="C274"/>
    </row>
    <row r="275" spans="3:3" x14ac:dyDescent="0.25">
      <c r="C275"/>
    </row>
    <row r="276" spans="3:3" x14ac:dyDescent="0.25">
      <c r="C276"/>
    </row>
    <row r="277" spans="3:3" x14ac:dyDescent="0.25">
      <c r="C277"/>
    </row>
    <row r="278" spans="3:3" x14ac:dyDescent="0.25">
      <c r="C278"/>
    </row>
    <row r="279" spans="3:3" x14ac:dyDescent="0.25">
      <c r="C279"/>
    </row>
    <row r="280" spans="3:3" x14ac:dyDescent="0.25">
      <c r="C280"/>
    </row>
    <row r="281" spans="3:3" x14ac:dyDescent="0.25">
      <c r="C281"/>
    </row>
    <row r="282" spans="3:3" x14ac:dyDescent="0.25">
      <c r="C282"/>
    </row>
    <row r="283" spans="3:3" x14ac:dyDescent="0.25">
      <c r="C283"/>
    </row>
    <row r="284" spans="3:3" x14ac:dyDescent="0.25">
      <c r="C284"/>
    </row>
    <row r="285" spans="3:3" x14ac:dyDescent="0.25">
      <c r="C285"/>
    </row>
    <row r="286" spans="3:3" x14ac:dyDescent="0.25">
      <c r="C286"/>
    </row>
    <row r="287" spans="3:3" x14ac:dyDescent="0.25">
      <c r="C287"/>
    </row>
    <row r="288" spans="3:3" x14ac:dyDescent="0.25">
      <c r="C288"/>
    </row>
    <row r="289" spans="3:3" x14ac:dyDescent="0.25">
      <c r="C289"/>
    </row>
    <row r="290" spans="3:3" x14ac:dyDescent="0.25">
      <c r="C290"/>
    </row>
    <row r="291" spans="3:3" x14ac:dyDescent="0.25">
      <c r="C291"/>
    </row>
    <row r="292" spans="3:3" x14ac:dyDescent="0.25">
      <c r="C292"/>
    </row>
    <row r="293" spans="3:3" x14ac:dyDescent="0.25">
      <c r="C293"/>
    </row>
    <row r="294" spans="3:3" x14ac:dyDescent="0.25">
      <c r="C294"/>
    </row>
    <row r="295" spans="3:3" x14ac:dyDescent="0.25">
      <c r="C295"/>
    </row>
    <row r="296" spans="3:3" x14ac:dyDescent="0.25">
      <c r="C296"/>
    </row>
    <row r="297" spans="3:3" x14ac:dyDescent="0.25">
      <c r="C297"/>
    </row>
    <row r="298" spans="3:3" x14ac:dyDescent="0.25">
      <c r="C298"/>
    </row>
    <row r="299" spans="3:3" x14ac:dyDescent="0.25">
      <c r="C299"/>
    </row>
    <row r="300" spans="3:3" x14ac:dyDescent="0.25">
      <c r="C300"/>
    </row>
    <row r="301" spans="3:3" x14ac:dyDescent="0.25">
      <c r="C301"/>
    </row>
    <row r="302" spans="3:3" x14ac:dyDescent="0.25">
      <c r="C302"/>
    </row>
  </sheetData>
  <mergeCells count="2">
    <mergeCell ref="A1:N1"/>
    <mergeCell ref="A2:D2"/>
  </mergeCells>
  <pageMargins left="0.7" right="0.7" top="0.75" bottom="0.75" header="0.3" footer="0.3"/>
  <pageSetup orientation="portrait"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H223"/>
  <sheetViews>
    <sheetView workbookViewId="0">
      <selection activeCell="A17" sqref="A17"/>
    </sheetView>
  </sheetViews>
  <sheetFormatPr defaultRowHeight="15" x14ac:dyDescent="0.25"/>
  <cols>
    <col min="1" max="1" width="15.7109375" customWidth="1"/>
    <col min="2" max="2" width="4" bestFit="1" customWidth="1"/>
    <col min="3" max="3" width="4.28515625" style="34" customWidth="1"/>
    <col min="4" max="4" width="4.5703125" customWidth="1"/>
    <col min="5" max="5" width="4.140625" customWidth="1"/>
    <col min="6" max="6" width="4.85546875" customWidth="1"/>
    <col min="7" max="8" width="4" customWidth="1"/>
    <col min="9" max="9" width="4.42578125" customWidth="1"/>
    <col min="10" max="10" width="4.28515625" customWidth="1"/>
    <col min="11" max="11" width="4" customWidth="1"/>
    <col min="12" max="12" width="4.5703125" customWidth="1"/>
    <col min="13" max="13" width="4.28515625" customWidth="1"/>
    <col min="14" max="14" width="5.42578125" customWidth="1"/>
    <col min="15" max="15" width="11.28515625" style="179" hidden="1" customWidth="1"/>
    <col min="16" max="187" width="8.7109375" customWidth="1"/>
    <col min="188" max="189" width="11.28515625" customWidth="1"/>
    <col min="190" max="190" width="11.28515625" bestFit="1" customWidth="1"/>
  </cols>
  <sheetData>
    <row r="1" spans="1:190" ht="31.5" customHeight="1" x14ac:dyDescent="0.25">
      <c r="A1" s="252" t="s">
        <v>9925</v>
      </c>
      <c r="B1" s="253"/>
      <c r="C1" s="253"/>
      <c r="D1" s="253"/>
      <c r="E1" s="253"/>
      <c r="F1" s="253"/>
      <c r="G1" s="253"/>
      <c r="H1" s="253"/>
      <c r="I1" s="253"/>
      <c r="J1" s="253"/>
      <c r="K1" s="253"/>
      <c r="L1" s="253"/>
      <c r="M1" s="253"/>
      <c r="N1" s="253"/>
      <c r="O1" s="177"/>
    </row>
    <row r="2" spans="1:190" x14ac:dyDescent="0.25">
      <c r="A2" s="254" t="s">
        <v>864</v>
      </c>
      <c r="B2" s="255"/>
      <c r="C2" s="255"/>
      <c r="D2" s="255"/>
      <c r="E2" s="255"/>
      <c r="F2" s="255"/>
      <c r="G2" s="255"/>
      <c r="H2" s="255"/>
      <c r="I2" s="255"/>
      <c r="J2" s="255"/>
      <c r="K2" s="255"/>
      <c r="L2" s="255"/>
      <c r="M2" s="255"/>
      <c r="N2" s="255"/>
      <c r="O2" s="178" t="s">
        <v>10219</v>
      </c>
    </row>
    <row r="3" spans="1:190" s="32" customFormat="1" x14ac:dyDescent="0.25">
      <c r="A3" s="116" t="s">
        <v>2783</v>
      </c>
      <c r="B3" s="29"/>
      <c r="C3" s="29"/>
      <c r="D3" s="29"/>
      <c r="E3" s="29"/>
      <c r="F3" s="29"/>
      <c r="G3" s="29"/>
      <c r="H3" s="29"/>
      <c r="I3" s="29"/>
      <c r="J3" s="29"/>
      <c r="K3" s="29"/>
      <c r="L3" s="29"/>
      <c r="M3" s="29"/>
      <c r="N3" s="29"/>
      <c r="O3" s="179"/>
      <c r="P3"/>
      <c r="Q3"/>
      <c r="R3"/>
      <c r="S3"/>
      <c r="T3"/>
      <c r="U3"/>
      <c r="V3"/>
      <c r="W3"/>
      <c r="X3"/>
      <c r="Y3"/>
      <c r="Z3"/>
      <c r="AA3"/>
      <c r="AB3"/>
      <c r="AC3"/>
      <c r="AD3"/>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c r="DC3"/>
      <c r="DD3"/>
      <c r="DE3"/>
      <c r="DF3"/>
      <c r="DG3"/>
      <c r="DH3"/>
      <c r="DI3"/>
      <c r="DJ3"/>
      <c r="DK3"/>
      <c r="DL3"/>
      <c r="DM3"/>
      <c r="DN3"/>
      <c r="DO3"/>
      <c r="DP3"/>
      <c r="DQ3"/>
      <c r="DR3"/>
      <c r="DS3"/>
      <c r="DT3"/>
      <c r="DU3"/>
      <c r="DV3"/>
      <c r="DW3"/>
      <c r="DX3"/>
      <c r="DY3"/>
      <c r="DZ3"/>
      <c r="EA3"/>
      <c r="EB3"/>
      <c r="EC3"/>
      <c r="ED3"/>
      <c r="EE3"/>
      <c r="EF3"/>
      <c r="EG3"/>
      <c r="EH3"/>
      <c r="EI3"/>
      <c r="EJ3"/>
      <c r="EK3"/>
      <c r="EL3"/>
      <c r="EM3"/>
      <c r="EN3"/>
      <c r="EO3"/>
      <c r="EP3"/>
      <c r="EQ3"/>
      <c r="ER3"/>
      <c r="ES3"/>
      <c r="ET3"/>
      <c r="EU3"/>
      <c r="EV3"/>
      <c r="EW3"/>
      <c r="EX3"/>
      <c r="EY3"/>
      <c r="EZ3"/>
      <c r="FA3"/>
      <c r="FB3"/>
      <c r="FC3"/>
      <c r="FD3"/>
      <c r="FE3"/>
      <c r="FF3"/>
      <c r="FG3"/>
      <c r="FH3"/>
      <c r="FI3"/>
      <c r="FJ3"/>
      <c r="FK3"/>
      <c r="FL3"/>
      <c r="FM3"/>
      <c r="FN3"/>
      <c r="FO3"/>
      <c r="FP3"/>
      <c r="FQ3"/>
      <c r="FR3"/>
      <c r="FS3"/>
      <c r="FT3"/>
      <c r="FU3"/>
      <c r="FV3"/>
      <c r="FW3"/>
      <c r="FX3"/>
      <c r="FY3"/>
      <c r="FZ3"/>
      <c r="GA3"/>
      <c r="GB3"/>
      <c r="GC3"/>
      <c r="GD3"/>
      <c r="GE3"/>
      <c r="GF3"/>
      <c r="GG3"/>
      <c r="GH3"/>
    </row>
    <row r="4" spans="1:190" s="38" customFormat="1" x14ac:dyDescent="0.25">
      <c r="A4" s="29"/>
      <c r="B4" s="52" t="s">
        <v>1195</v>
      </c>
      <c r="C4" s="52" t="s">
        <v>1196</v>
      </c>
      <c r="D4" s="52" t="s">
        <v>1485</v>
      </c>
      <c r="E4" s="52" t="s">
        <v>1905</v>
      </c>
      <c r="F4" s="52" t="s">
        <v>289</v>
      </c>
      <c r="G4" s="52" t="s">
        <v>2782</v>
      </c>
      <c r="H4" s="52" t="s">
        <v>3164</v>
      </c>
      <c r="I4" s="52" t="s">
        <v>3746</v>
      </c>
      <c r="J4" s="52" t="s">
        <v>4141</v>
      </c>
      <c r="K4" s="52" t="s">
        <v>4596</v>
      </c>
      <c r="L4" s="52" t="s">
        <v>4878</v>
      </c>
      <c r="M4" s="52" t="s">
        <v>5203</v>
      </c>
      <c r="N4" s="39" t="s">
        <v>5828</v>
      </c>
      <c r="O4" s="179"/>
      <c r="P4"/>
      <c r="Q4"/>
      <c r="R4"/>
      <c r="S4"/>
      <c r="T4"/>
      <c r="U4"/>
      <c r="V4"/>
      <c r="W4"/>
      <c r="X4"/>
      <c r="Y4"/>
      <c r="Z4"/>
      <c r="AA4"/>
      <c r="AB4"/>
      <c r="AC4"/>
      <c r="AD4"/>
      <c r="AE4"/>
      <c r="AF4"/>
      <c r="AG4"/>
      <c r="AH4"/>
      <c r="AI4"/>
      <c r="AJ4"/>
      <c r="AK4"/>
      <c r="AL4"/>
      <c r="AM4"/>
      <c r="AN4"/>
      <c r="AO4"/>
      <c r="AP4"/>
      <c r="AQ4"/>
      <c r="AR4"/>
      <c r="AS4"/>
      <c r="AT4"/>
      <c r="AU4"/>
      <c r="AV4"/>
      <c r="AW4"/>
      <c r="AX4"/>
      <c r="AY4"/>
      <c r="AZ4"/>
      <c r="BA4"/>
      <c r="BB4"/>
      <c r="BC4"/>
      <c r="BD4"/>
      <c r="BE4"/>
      <c r="BF4"/>
      <c r="BG4"/>
      <c r="BH4"/>
      <c r="BI4"/>
      <c r="BJ4"/>
      <c r="BK4"/>
      <c r="BL4"/>
      <c r="BM4"/>
      <c r="BN4"/>
      <c r="BO4"/>
      <c r="BP4"/>
      <c r="BQ4"/>
      <c r="BR4"/>
      <c r="BS4"/>
      <c r="BT4"/>
      <c r="BU4"/>
      <c r="BV4"/>
      <c r="BW4"/>
      <c r="BX4"/>
      <c r="BY4"/>
      <c r="BZ4"/>
      <c r="CA4"/>
      <c r="CB4"/>
      <c r="CC4"/>
      <c r="CD4"/>
      <c r="CE4"/>
      <c r="CF4"/>
      <c r="CG4"/>
      <c r="CH4"/>
      <c r="CI4"/>
      <c r="CJ4"/>
      <c r="CK4"/>
      <c r="CL4"/>
      <c r="CM4"/>
      <c r="CN4"/>
      <c r="CO4"/>
      <c r="CP4"/>
      <c r="CQ4"/>
      <c r="CR4"/>
      <c r="CS4"/>
      <c r="CT4"/>
      <c r="CU4"/>
      <c r="CV4"/>
      <c r="CW4"/>
      <c r="CX4"/>
      <c r="CY4"/>
      <c r="CZ4"/>
      <c r="DA4"/>
      <c r="DB4"/>
      <c r="DC4"/>
      <c r="DD4"/>
      <c r="DE4"/>
      <c r="DF4"/>
      <c r="DG4"/>
      <c r="DH4"/>
      <c r="DI4"/>
      <c r="DJ4"/>
      <c r="DK4"/>
      <c r="DL4"/>
      <c r="DM4"/>
      <c r="DN4"/>
      <c r="DO4"/>
      <c r="DP4"/>
      <c r="DQ4"/>
      <c r="DR4"/>
      <c r="DS4"/>
      <c r="DT4"/>
      <c r="DU4"/>
      <c r="DV4"/>
      <c r="DW4"/>
      <c r="DX4"/>
      <c r="DY4"/>
      <c r="DZ4"/>
      <c r="EA4"/>
      <c r="EB4"/>
      <c r="EC4"/>
      <c r="ED4"/>
      <c r="EE4"/>
      <c r="EF4"/>
      <c r="EG4"/>
      <c r="EH4"/>
      <c r="EI4"/>
      <c r="EJ4"/>
      <c r="EK4"/>
      <c r="EL4"/>
      <c r="EM4"/>
      <c r="EN4"/>
      <c r="EO4"/>
      <c r="EP4"/>
      <c r="EQ4"/>
      <c r="ER4"/>
      <c r="ES4"/>
      <c r="ET4"/>
      <c r="EU4"/>
      <c r="EV4"/>
      <c r="EW4"/>
      <c r="EX4"/>
      <c r="EY4"/>
      <c r="EZ4"/>
      <c r="FA4"/>
      <c r="FB4"/>
      <c r="FC4"/>
      <c r="FD4"/>
      <c r="FE4"/>
      <c r="FF4"/>
      <c r="FG4"/>
      <c r="FH4"/>
      <c r="FI4"/>
      <c r="FJ4"/>
      <c r="FK4"/>
      <c r="FL4"/>
      <c r="FM4"/>
      <c r="FN4"/>
      <c r="FO4"/>
      <c r="FP4"/>
      <c r="FQ4"/>
      <c r="FR4"/>
      <c r="FS4"/>
      <c r="FT4"/>
      <c r="FU4"/>
      <c r="FV4"/>
      <c r="FW4"/>
      <c r="FX4"/>
      <c r="FY4"/>
      <c r="FZ4"/>
      <c r="GA4"/>
      <c r="GB4"/>
      <c r="GC4"/>
      <c r="GD4"/>
      <c r="GE4"/>
      <c r="GF4"/>
      <c r="GG4"/>
      <c r="GH4"/>
    </row>
    <row r="5" spans="1:190" x14ac:dyDescent="0.25">
      <c r="A5" s="35" t="s">
        <v>328</v>
      </c>
      <c r="B5" s="36">
        <v>37</v>
      </c>
      <c r="C5" s="36">
        <v>36</v>
      </c>
      <c r="D5" s="36">
        <v>44</v>
      </c>
      <c r="E5" s="36">
        <v>45</v>
      </c>
      <c r="F5" s="36">
        <v>44</v>
      </c>
      <c r="G5" s="36">
        <v>45</v>
      </c>
      <c r="H5" s="36">
        <v>45</v>
      </c>
      <c r="I5" s="36">
        <v>56</v>
      </c>
      <c r="J5" s="36">
        <v>45</v>
      </c>
      <c r="K5" s="36">
        <v>53</v>
      </c>
      <c r="L5" s="36">
        <v>35</v>
      </c>
      <c r="M5" s="36">
        <v>36</v>
      </c>
      <c r="N5" s="36">
        <v>521</v>
      </c>
      <c r="O5" s="179">
        <f>GETPIVOTDATA("Date",$A$3,"Agency Name","Burns")/12</f>
        <v>43.416666666666664</v>
      </c>
    </row>
    <row r="6" spans="1:190" x14ac:dyDescent="0.25">
      <c r="A6" s="35" t="s">
        <v>643</v>
      </c>
      <c r="B6" s="36">
        <v>8</v>
      </c>
      <c r="C6" s="36">
        <v>3</v>
      </c>
      <c r="D6" s="36">
        <v>8</v>
      </c>
      <c r="E6" s="36">
        <v>5</v>
      </c>
      <c r="F6" s="36">
        <v>6</v>
      </c>
      <c r="G6" s="36">
        <v>11</v>
      </c>
      <c r="H6" s="36">
        <v>2</v>
      </c>
      <c r="I6" s="36">
        <v>5</v>
      </c>
      <c r="J6" s="36">
        <v>8</v>
      </c>
      <c r="K6" s="36">
        <v>7</v>
      </c>
      <c r="L6" s="36">
        <v>6</v>
      </c>
      <c r="M6" s="36">
        <v>4</v>
      </c>
      <c r="N6" s="36">
        <v>73</v>
      </c>
    </row>
    <row r="7" spans="1:190" x14ac:dyDescent="0.25">
      <c r="A7" s="35" t="s">
        <v>110</v>
      </c>
      <c r="B7" s="36">
        <v>1</v>
      </c>
      <c r="C7" s="36">
        <v>1</v>
      </c>
      <c r="D7" s="36">
        <v>3</v>
      </c>
      <c r="E7" s="36">
        <v>6</v>
      </c>
      <c r="F7" s="36">
        <v>13</v>
      </c>
      <c r="G7" s="36">
        <v>5</v>
      </c>
      <c r="H7" s="36">
        <v>7</v>
      </c>
      <c r="I7" s="36">
        <v>2</v>
      </c>
      <c r="J7" s="36">
        <v>4</v>
      </c>
      <c r="K7" s="36"/>
      <c r="L7" s="36"/>
      <c r="M7" s="36">
        <v>1</v>
      </c>
      <c r="N7" s="36">
        <v>43</v>
      </c>
    </row>
    <row r="8" spans="1:190" x14ac:dyDescent="0.25">
      <c r="A8" s="35" t="s">
        <v>320</v>
      </c>
      <c r="B8" s="36">
        <v>2</v>
      </c>
      <c r="C8" s="36"/>
      <c r="D8" s="36">
        <v>2</v>
      </c>
      <c r="E8" s="36">
        <v>2</v>
      </c>
      <c r="F8" s="36"/>
      <c r="G8" s="36">
        <v>1</v>
      </c>
      <c r="H8" s="36"/>
      <c r="I8" s="36">
        <v>1</v>
      </c>
      <c r="J8" s="36"/>
      <c r="K8" s="36"/>
      <c r="L8" s="36"/>
      <c r="M8" s="36"/>
      <c r="N8" s="36">
        <v>8</v>
      </c>
    </row>
    <row r="9" spans="1:190" x14ac:dyDescent="0.25">
      <c r="A9" s="35" t="s">
        <v>5176</v>
      </c>
      <c r="B9" s="36">
        <v>13</v>
      </c>
      <c r="C9" s="36">
        <v>3</v>
      </c>
      <c r="D9" s="36">
        <v>4</v>
      </c>
      <c r="E9" s="36">
        <v>18</v>
      </c>
      <c r="F9" s="36">
        <v>9</v>
      </c>
      <c r="G9" s="36">
        <v>14</v>
      </c>
      <c r="H9" s="36">
        <v>9</v>
      </c>
      <c r="I9" s="36">
        <v>6</v>
      </c>
      <c r="J9" s="36">
        <v>9</v>
      </c>
      <c r="K9" s="36">
        <v>11</v>
      </c>
      <c r="L9" s="36">
        <v>10</v>
      </c>
      <c r="M9" s="36">
        <v>6</v>
      </c>
      <c r="N9" s="36">
        <v>112</v>
      </c>
    </row>
    <row r="10" spans="1:190" x14ac:dyDescent="0.25">
      <c r="A10" s="35" t="s">
        <v>569</v>
      </c>
      <c r="B10" s="36">
        <v>37</v>
      </c>
      <c r="C10" s="36">
        <v>27</v>
      </c>
      <c r="D10" s="36">
        <v>30</v>
      </c>
      <c r="E10" s="36">
        <v>28</v>
      </c>
      <c r="F10" s="36">
        <v>32</v>
      </c>
      <c r="G10" s="36">
        <v>38</v>
      </c>
      <c r="H10" s="36">
        <v>36</v>
      </c>
      <c r="I10" s="36">
        <v>28</v>
      </c>
      <c r="J10" s="36">
        <v>28</v>
      </c>
      <c r="K10" s="36">
        <v>32</v>
      </c>
      <c r="L10" s="36">
        <v>17</v>
      </c>
      <c r="M10" s="36">
        <v>22</v>
      </c>
      <c r="N10" s="36">
        <v>355</v>
      </c>
    </row>
    <row r="11" spans="1:190" x14ac:dyDescent="0.25">
      <c r="A11" s="35" t="s">
        <v>5360</v>
      </c>
      <c r="B11" s="36">
        <v>1</v>
      </c>
      <c r="C11" s="36">
        <v>3</v>
      </c>
      <c r="D11" s="36">
        <v>5</v>
      </c>
      <c r="E11" s="36">
        <v>1</v>
      </c>
      <c r="F11" s="36"/>
      <c r="G11" s="36">
        <v>7</v>
      </c>
      <c r="H11" s="36">
        <v>5</v>
      </c>
      <c r="I11" s="36">
        <v>5</v>
      </c>
      <c r="J11" s="36">
        <v>2</v>
      </c>
      <c r="K11" s="36">
        <v>4</v>
      </c>
      <c r="L11" s="36">
        <v>2</v>
      </c>
      <c r="M11" s="36">
        <v>2</v>
      </c>
      <c r="N11" s="36">
        <v>37</v>
      </c>
      <c r="O11" s="179">
        <f>GETPIVOTDATA("Date",$A$3,"Agency Name","SCU")/12</f>
        <v>6.083333333333333</v>
      </c>
    </row>
    <row r="12" spans="1:190" x14ac:dyDescent="0.25">
      <c r="A12" s="35" t="s">
        <v>5473</v>
      </c>
      <c r="B12" s="36">
        <v>1</v>
      </c>
      <c r="C12" s="36"/>
      <c r="D12" s="36">
        <v>4</v>
      </c>
      <c r="E12" s="36">
        <v>1</v>
      </c>
      <c r="F12" s="36">
        <v>1</v>
      </c>
      <c r="G12" s="36">
        <v>2</v>
      </c>
      <c r="H12" s="36"/>
      <c r="I12" s="36"/>
      <c r="J12" s="36">
        <v>1</v>
      </c>
      <c r="K12" s="36"/>
      <c r="L12" s="36">
        <v>1</v>
      </c>
      <c r="M12" s="36">
        <v>1</v>
      </c>
      <c r="N12" s="36">
        <v>12</v>
      </c>
    </row>
    <row r="13" spans="1:190" x14ac:dyDescent="0.25">
      <c r="A13" s="35" t="s">
        <v>5956</v>
      </c>
      <c r="B13" s="36"/>
      <c r="C13" s="36"/>
      <c r="D13" s="36">
        <v>1</v>
      </c>
      <c r="E13" s="36"/>
      <c r="F13" s="36"/>
      <c r="G13" s="36">
        <v>1</v>
      </c>
      <c r="H13" s="36"/>
      <c r="I13" s="36">
        <v>1</v>
      </c>
      <c r="J13" s="36"/>
      <c r="K13" s="36">
        <v>1</v>
      </c>
      <c r="L13" s="36">
        <v>1</v>
      </c>
      <c r="M13" s="36"/>
      <c r="N13" s="36">
        <v>5</v>
      </c>
    </row>
    <row r="14" spans="1:190" x14ac:dyDescent="0.25">
      <c r="A14" s="35" t="s">
        <v>5992</v>
      </c>
      <c r="B14" s="36">
        <v>3</v>
      </c>
      <c r="C14" s="36">
        <v>1</v>
      </c>
      <c r="D14" s="36">
        <v>3</v>
      </c>
      <c r="E14" s="36">
        <v>1</v>
      </c>
      <c r="F14" s="36">
        <v>1</v>
      </c>
      <c r="G14" s="36">
        <v>3</v>
      </c>
      <c r="H14" s="36">
        <v>2</v>
      </c>
      <c r="I14" s="36">
        <v>3</v>
      </c>
      <c r="J14" s="36">
        <v>2</v>
      </c>
      <c r="K14" s="36">
        <v>3</v>
      </c>
      <c r="L14" s="36">
        <v>2</v>
      </c>
      <c r="M14" s="36">
        <v>2</v>
      </c>
      <c r="N14" s="36">
        <v>26</v>
      </c>
    </row>
    <row r="15" spans="1:190" x14ac:dyDescent="0.25">
      <c r="A15" s="35" t="s">
        <v>6076</v>
      </c>
      <c r="B15" s="36"/>
      <c r="C15" s="36"/>
      <c r="D15" s="36">
        <v>1</v>
      </c>
      <c r="E15" s="36">
        <v>1</v>
      </c>
      <c r="F15" s="36">
        <v>1</v>
      </c>
      <c r="G15" s="36"/>
      <c r="H15" s="36"/>
      <c r="I15" s="36"/>
      <c r="J15" s="36"/>
      <c r="K15" s="36">
        <v>1</v>
      </c>
      <c r="L15" s="36"/>
      <c r="M15" s="36"/>
      <c r="N15" s="36">
        <v>4</v>
      </c>
    </row>
    <row r="16" spans="1:190" x14ac:dyDescent="0.25">
      <c r="A16" s="35" t="s">
        <v>1788</v>
      </c>
      <c r="B16" s="36"/>
      <c r="C16" s="36"/>
      <c r="D16" s="36">
        <v>1</v>
      </c>
      <c r="E16" s="36">
        <v>1</v>
      </c>
      <c r="F16" s="36"/>
      <c r="G16" s="36"/>
      <c r="H16" s="36"/>
      <c r="I16" s="36">
        <v>1</v>
      </c>
      <c r="J16" s="36">
        <v>1</v>
      </c>
      <c r="K16" s="36"/>
      <c r="L16" s="36">
        <v>1</v>
      </c>
      <c r="M16" s="36"/>
      <c r="N16" s="36">
        <v>5</v>
      </c>
    </row>
    <row r="17" spans="1:15" x14ac:dyDescent="0.25">
      <c r="A17" s="35" t="s">
        <v>9240</v>
      </c>
      <c r="B17" s="36"/>
      <c r="C17" s="36"/>
      <c r="D17" s="36"/>
      <c r="E17" s="36"/>
      <c r="F17" s="36"/>
      <c r="G17" s="36"/>
      <c r="H17" s="36"/>
      <c r="I17" s="36"/>
      <c r="J17" s="36"/>
      <c r="K17" s="36">
        <v>1</v>
      </c>
      <c r="L17" s="36"/>
      <c r="M17" s="36">
        <v>5</v>
      </c>
      <c r="N17" s="36">
        <v>6</v>
      </c>
      <c r="O17" s="179">
        <f>GETPIVOTDATA("Date",$A$3,"Agency Name","ASL")/12</f>
        <v>3.5833333333333335</v>
      </c>
    </row>
    <row r="18" spans="1:15" x14ac:dyDescent="0.25">
      <c r="A18" s="35" t="s">
        <v>5828</v>
      </c>
      <c r="B18" s="36">
        <v>103</v>
      </c>
      <c r="C18" s="36">
        <v>74</v>
      </c>
      <c r="D18" s="36">
        <v>106</v>
      </c>
      <c r="E18" s="36">
        <v>109</v>
      </c>
      <c r="F18" s="36">
        <v>107</v>
      </c>
      <c r="G18" s="36">
        <v>127</v>
      </c>
      <c r="H18" s="36">
        <v>106</v>
      </c>
      <c r="I18" s="36">
        <v>108</v>
      </c>
      <c r="J18" s="36">
        <v>100</v>
      </c>
      <c r="K18" s="36">
        <v>113</v>
      </c>
      <c r="L18" s="36">
        <v>75</v>
      </c>
      <c r="M18" s="36">
        <v>79</v>
      </c>
      <c r="N18" s="36">
        <v>1207</v>
      </c>
    </row>
    <row r="19" spans="1:15" x14ac:dyDescent="0.25">
      <c r="C19"/>
    </row>
    <row r="20" spans="1:15" x14ac:dyDescent="0.25">
      <c r="C20"/>
    </row>
    <row r="21" spans="1:15" x14ac:dyDescent="0.25">
      <c r="C21"/>
    </row>
    <row r="22" spans="1:15" x14ac:dyDescent="0.25">
      <c r="C22"/>
    </row>
    <row r="23" spans="1:15" x14ac:dyDescent="0.25">
      <c r="C23"/>
      <c r="O23" s="179">
        <f>GETPIVOTDATA("Date",$A$3,"Agency Name","Bolton")/12</f>
        <v>0.66666666666666663</v>
      </c>
    </row>
    <row r="24" spans="1:15" x14ac:dyDescent="0.25">
      <c r="C24"/>
    </row>
    <row r="25" spans="1:15" x14ac:dyDescent="0.25">
      <c r="C25"/>
    </row>
    <row r="26" spans="1:15" x14ac:dyDescent="0.25">
      <c r="C26"/>
    </row>
    <row r="27" spans="1:15" x14ac:dyDescent="0.25">
      <c r="C27"/>
      <c r="O27" s="179">
        <f>GETPIVOTDATA("Date",$A$3,"Agency Name","Hull Horsham")/12</f>
        <v>9.3333333333333339</v>
      </c>
    </row>
    <row r="28" spans="1:15" x14ac:dyDescent="0.25">
      <c r="C28"/>
    </row>
    <row r="29" spans="1:15" x14ac:dyDescent="0.25">
      <c r="C29"/>
    </row>
    <row r="30" spans="1:15" x14ac:dyDescent="0.25">
      <c r="C30"/>
    </row>
    <row r="31" spans="1:15" x14ac:dyDescent="0.25">
      <c r="C31"/>
    </row>
    <row r="32" spans="1:15" x14ac:dyDescent="0.25">
      <c r="C32"/>
    </row>
    <row r="33" spans="3:15" x14ac:dyDescent="0.25">
      <c r="C33"/>
      <c r="O33" s="179">
        <f>GETPIVOTDATA("Date",$A$3,"Agency Name","Hull Irvine")/12</f>
        <v>29.583333333333332</v>
      </c>
    </row>
    <row r="34" spans="3:15" x14ac:dyDescent="0.25">
      <c r="C34"/>
    </row>
    <row r="35" spans="3:15" x14ac:dyDescent="0.25">
      <c r="C35"/>
    </row>
    <row r="36" spans="3:15" x14ac:dyDescent="0.25">
      <c r="C36"/>
    </row>
    <row r="37" spans="3:15" x14ac:dyDescent="0.25">
      <c r="C37"/>
    </row>
    <row r="38" spans="3:15" x14ac:dyDescent="0.25">
      <c r="C38"/>
    </row>
    <row r="39" spans="3:15" x14ac:dyDescent="0.25">
      <c r="C39"/>
      <c r="O39" s="179">
        <f>GETPIVOTDATA("Date",$A$3,"Agency Name","Hull Stockton")/12</f>
        <v>3.0833333333333335</v>
      </c>
    </row>
    <row r="40" spans="3:15" x14ac:dyDescent="0.25">
      <c r="C40"/>
    </row>
    <row r="41" spans="3:15" x14ac:dyDescent="0.25">
      <c r="C41"/>
    </row>
    <row r="42" spans="3:15" x14ac:dyDescent="0.25">
      <c r="C42"/>
    </row>
    <row r="43" spans="3:15" x14ac:dyDescent="0.25">
      <c r="C43"/>
    </row>
    <row r="44" spans="3:15" x14ac:dyDescent="0.25">
      <c r="C44"/>
    </row>
    <row r="45" spans="3:15" x14ac:dyDescent="0.25">
      <c r="C45"/>
      <c r="O45" s="179">
        <f>GETPIVOTDATA("Date",$A$3,"Agency Name","Hull Charlotte")/12</f>
        <v>1</v>
      </c>
    </row>
    <row r="46" spans="3:15" x14ac:dyDescent="0.25">
      <c r="C46"/>
    </row>
    <row r="47" spans="3:15" x14ac:dyDescent="0.25">
      <c r="C47"/>
    </row>
    <row r="48" spans="3:15" x14ac:dyDescent="0.25">
      <c r="C48"/>
    </row>
    <row r="49" spans="3:3" x14ac:dyDescent="0.25">
      <c r="C49"/>
    </row>
    <row r="50" spans="3:3" x14ac:dyDescent="0.25">
      <c r="C50"/>
    </row>
    <row r="51" spans="3:3" x14ac:dyDescent="0.25">
      <c r="C51"/>
    </row>
    <row r="52" spans="3:3" x14ac:dyDescent="0.25">
      <c r="C52"/>
    </row>
    <row r="53" spans="3:3" x14ac:dyDescent="0.25">
      <c r="C53"/>
    </row>
    <row r="54" spans="3:3" x14ac:dyDescent="0.25">
      <c r="C54"/>
    </row>
    <row r="55" spans="3:3" x14ac:dyDescent="0.25">
      <c r="C55"/>
    </row>
    <row r="56" spans="3:3" x14ac:dyDescent="0.25">
      <c r="C56"/>
    </row>
    <row r="57" spans="3:3" x14ac:dyDescent="0.25">
      <c r="C57"/>
    </row>
    <row r="58" spans="3:3" x14ac:dyDescent="0.25">
      <c r="C58"/>
    </row>
    <row r="59" spans="3:3" x14ac:dyDescent="0.25">
      <c r="C59"/>
    </row>
    <row r="60" spans="3:3" x14ac:dyDescent="0.25">
      <c r="C60"/>
    </row>
    <row r="61" spans="3:3" x14ac:dyDescent="0.25">
      <c r="C61"/>
    </row>
    <row r="62" spans="3:3" x14ac:dyDescent="0.25">
      <c r="C62"/>
    </row>
    <row r="63" spans="3:3" x14ac:dyDescent="0.25">
      <c r="C63"/>
    </row>
    <row r="64" spans="3:3" x14ac:dyDescent="0.25">
      <c r="C64"/>
    </row>
    <row r="65" spans="3:15" x14ac:dyDescent="0.25">
      <c r="C65"/>
    </row>
    <row r="66" spans="3:15" x14ac:dyDescent="0.25">
      <c r="C66"/>
    </row>
    <row r="67" spans="3:15" x14ac:dyDescent="0.25">
      <c r="C67"/>
    </row>
    <row r="68" spans="3:15" x14ac:dyDescent="0.25">
      <c r="C68"/>
    </row>
    <row r="69" spans="3:15" x14ac:dyDescent="0.25">
      <c r="C69"/>
    </row>
    <row r="70" spans="3:15" x14ac:dyDescent="0.25">
      <c r="C70"/>
    </row>
    <row r="71" spans="3:15" x14ac:dyDescent="0.25">
      <c r="C71"/>
    </row>
    <row r="72" spans="3:15" x14ac:dyDescent="0.25">
      <c r="C72"/>
    </row>
    <row r="73" spans="3:15" x14ac:dyDescent="0.25">
      <c r="C73"/>
      <c r="O73" s="179">
        <f>GETPIVOTDATA("Date",$A$3)/12</f>
        <v>100.58333333333333</v>
      </c>
    </row>
    <row r="74" spans="3:15" x14ac:dyDescent="0.25">
      <c r="C74"/>
    </row>
    <row r="75" spans="3:15" x14ac:dyDescent="0.25">
      <c r="C75"/>
    </row>
    <row r="76" spans="3:15" x14ac:dyDescent="0.25">
      <c r="C76"/>
    </row>
    <row r="77" spans="3:15" x14ac:dyDescent="0.25">
      <c r="C77"/>
    </row>
    <row r="78" spans="3:15" x14ac:dyDescent="0.25">
      <c r="C78"/>
    </row>
    <row r="79" spans="3:15" x14ac:dyDescent="0.25">
      <c r="C79"/>
    </row>
    <row r="80" spans="3:15" x14ac:dyDescent="0.25">
      <c r="C80"/>
    </row>
    <row r="81" spans="3:3" x14ac:dyDescent="0.25">
      <c r="C81"/>
    </row>
    <row r="82" spans="3:3" x14ac:dyDescent="0.25">
      <c r="C82"/>
    </row>
    <row r="83" spans="3:3" x14ac:dyDescent="0.25">
      <c r="C83"/>
    </row>
    <row r="84" spans="3:3" x14ac:dyDescent="0.25">
      <c r="C84"/>
    </row>
    <row r="85" spans="3:3" x14ac:dyDescent="0.25">
      <c r="C85"/>
    </row>
    <row r="86" spans="3:3" x14ac:dyDescent="0.25">
      <c r="C86"/>
    </row>
    <row r="87" spans="3:3" x14ac:dyDescent="0.25">
      <c r="C87"/>
    </row>
    <row r="88" spans="3:3" x14ac:dyDescent="0.25">
      <c r="C88"/>
    </row>
    <row r="89" spans="3:3" x14ac:dyDescent="0.25">
      <c r="C89"/>
    </row>
    <row r="90" spans="3:3" x14ac:dyDescent="0.25">
      <c r="C90"/>
    </row>
    <row r="91" spans="3:3" x14ac:dyDescent="0.25">
      <c r="C91"/>
    </row>
    <row r="92" spans="3:3" x14ac:dyDescent="0.25">
      <c r="C92"/>
    </row>
    <row r="93" spans="3:3" x14ac:dyDescent="0.25">
      <c r="C93"/>
    </row>
    <row r="94" spans="3:3" x14ac:dyDescent="0.25">
      <c r="C94"/>
    </row>
    <row r="95" spans="3:3" x14ac:dyDescent="0.25">
      <c r="C95"/>
    </row>
    <row r="96" spans="3:3" x14ac:dyDescent="0.25">
      <c r="C96"/>
    </row>
    <row r="97" spans="3:3" x14ac:dyDescent="0.25">
      <c r="C97"/>
    </row>
    <row r="98" spans="3:3" x14ac:dyDescent="0.25">
      <c r="C98"/>
    </row>
    <row r="99" spans="3:3" x14ac:dyDescent="0.25">
      <c r="C99"/>
    </row>
    <row r="100" spans="3:3" x14ac:dyDescent="0.25">
      <c r="C100"/>
    </row>
    <row r="101" spans="3:3" x14ac:dyDescent="0.25">
      <c r="C101"/>
    </row>
    <row r="102" spans="3:3" x14ac:dyDescent="0.25">
      <c r="C102"/>
    </row>
    <row r="103" spans="3:3" x14ac:dyDescent="0.25">
      <c r="C103"/>
    </row>
    <row r="104" spans="3:3" x14ac:dyDescent="0.25">
      <c r="C104"/>
    </row>
    <row r="105" spans="3:3" x14ac:dyDescent="0.25">
      <c r="C105"/>
    </row>
    <row r="106" spans="3:3" x14ac:dyDescent="0.25">
      <c r="C106"/>
    </row>
    <row r="107" spans="3:3" x14ac:dyDescent="0.25">
      <c r="C107"/>
    </row>
    <row r="108" spans="3:3" x14ac:dyDescent="0.25">
      <c r="C108"/>
    </row>
    <row r="109" spans="3:3" x14ac:dyDescent="0.25">
      <c r="C109"/>
    </row>
    <row r="110" spans="3:3" x14ac:dyDescent="0.25">
      <c r="C110"/>
    </row>
    <row r="111" spans="3:3" x14ac:dyDescent="0.25">
      <c r="C111"/>
    </row>
    <row r="112" spans="3:3" x14ac:dyDescent="0.25">
      <c r="C112"/>
    </row>
    <row r="113" spans="3:3" x14ac:dyDescent="0.25">
      <c r="C113"/>
    </row>
    <row r="114" spans="3:3" x14ac:dyDescent="0.25">
      <c r="C114"/>
    </row>
    <row r="115" spans="3:3" x14ac:dyDescent="0.25">
      <c r="C115"/>
    </row>
    <row r="116" spans="3:3" x14ac:dyDescent="0.25">
      <c r="C116"/>
    </row>
    <row r="117" spans="3:3" x14ac:dyDescent="0.25">
      <c r="C117"/>
    </row>
    <row r="118" spans="3:3" x14ac:dyDescent="0.25">
      <c r="C118"/>
    </row>
    <row r="119" spans="3:3" x14ac:dyDescent="0.25">
      <c r="C119"/>
    </row>
    <row r="120" spans="3:3" x14ac:dyDescent="0.25">
      <c r="C120"/>
    </row>
    <row r="121" spans="3:3" x14ac:dyDescent="0.25">
      <c r="C121"/>
    </row>
    <row r="122" spans="3:3" x14ac:dyDescent="0.25">
      <c r="C122"/>
    </row>
    <row r="123" spans="3:3" x14ac:dyDescent="0.25">
      <c r="C123"/>
    </row>
    <row r="124" spans="3:3" x14ac:dyDescent="0.25">
      <c r="C124"/>
    </row>
    <row r="125" spans="3:3" x14ac:dyDescent="0.25">
      <c r="C125"/>
    </row>
    <row r="126" spans="3:3" x14ac:dyDescent="0.25">
      <c r="C126"/>
    </row>
    <row r="127" spans="3:3" x14ac:dyDescent="0.25">
      <c r="C127"/>
    </row>
    <row r="128" spans="3:3" x14ac:dyDescent="0.25">
      <c r="C128"/>
    </row>
    <row r="129" spans="3:3" x14ac:dyDescent="0.25">
      <c r="C129"/>
    </row>
    <row r="130" spans="3:3" x14ac:dyDescent="0.25">
      <c r="C130"/>
    </row>
    <row r="131" spans="3:3" x14ac:dyDescent="0.25">
      <c r="C131"/>
    </row>
    <row r="132" spans="3:3" x14ac:dyDescent="0.25">
      <c r="C132"/>
    </row>
    <row r="133" spans="3:3" x14ac:dyDescent="0.25">
      <c r="C133"/>
    </row>
    <row r="134" spans="3:3" x14ac:dyDescent="0.25">
      <c r="C134"/>
    </row>
    <row r="135" spans="3:3" x14ac:dyDescent="0.25">
      <c r="C135"/>
    </row>
    <row r="136" spans="3:3" x14ac:dyDescent="0.25">
      <c r="C136"/>
    </row>
    <row r="137" spans="3:3" x14ac:dyDescent="0.25">
      <c r="C137"/>
    </row>
    <row r="138" spans="3:3" x14ac:dyDescent="0.25">
      <c r="C138"/>
    </row>
    <row r="139" spans="3:3" x14ac:dyDescent="0.25">
      <c r="C139"/>
    </row>
    <row r="140" spans="3:3" x14ac:dyDescent="0.25">
      <c r="C140"/>
    </row>
    <row r="141" spans="3:3" x14ac:dyDescent="0.25">
      <c r="C141"/>
    </row>
    <row r="142" spans="3:3" x14ac:dyDescent="0.25">
      <c r="C142"/>
    </row>
    <row r="143" spans="3:3" x14ac:dyDescent="0.25">
      <c r="C143"/>
    </row>
    <row r="144" spans="3:3" x14ac:dyDescent="0.25">
      <c r="C144"/>
    </row>
    <row r="145" spans="3:3" x14ac:dyDescent="0.25">
      <c r="C145"/>
    </row>
    <row r="146" spans="3:3" x14ac:dyDescent="0.25">
      <c r="C146"/>
    </row>
    <row r="147" spans="3:3" x14ac:dyDescent="0.25">
      <c r="C147"/>
    </row>
    <row r="148" spans="3:3" x14ac:dyDescent="0.25">
      <c r="C148"/>
    </row>
    <row r="149" spans="3:3" x14ac:dyDescent="0.25">
      <c r="C149"/>
    </row>
    <row r="150" spans="3:3" x14ac:dyDescent="0.25">
      <c r="C150"/>
    </row>
    <row r="151" spans="3:3" x14ac:dyDescent="0.25">
      <c r="C151"/>
    </row>
    <row r="152" spans="3:3" x14ac:dyDescent="0.25">
      <c r="C152"/>
    </row>
    <row r="153" spans="3:3" x14ac:dyDescent="0.25">
      <c r="C153"/>
    </row>
    <row r="154" spans="3:3" x14ac:dyDescent="0.25">
      <c r="C154"/>
    </row>
    <row r="155" spans="3:3" x14ac:dyDescent="0.25">
      <c r="C155"/>
    </row>
    <row r="156" spans="3:3" x14ac:dyDescent="0.25">
      <c r="C156"/>
    </row>
    <row r="157" spans="3:3" x14ac:dyDescent="0.25">
      <c r="C157"/>
    </row>
    <row r="158" spans="3:3" x14ac:dyDescent="0.25">
      <c r="C158"/>
    </row>
    <row r="159" spans="3:3" x14ac:dyDescent="0.25">
      <c r="C159"/>
    </row>
    <row r="160" spans="3:3" x14ac:dyDescent="0.25">
      <c r="C160"/>
    </row>
    <row r="161" spans="3:3" x14ac:dyDescent="0.25">
      <c r="C161"/>
    </row>
    <row r="162" spans="3:3" x14ac:dyDescent="0.25">
      <c r="C162"/>
    </row>
    <row r="163" spans="3:3" x14ac:dyDescent="0.25">
      <c r="C163"/>
    </row>
    <row r="164" spans="3:3" x14ac:dyDescent="0.25">
      <c r="C164"/>
    </row>
    <row r="165" spans="3:3" x14ac:dyDescent="0.25">
      <c r="C165"/>
    </row>
    <row r="166" spans="3:3" x14ac:dyDescent="0.25">
      <c r="C166"/>
    </row>
    <row r="167" spans="3:3" x14ac:dyDescent="0.25">
      <c r="C167"/>
    </row>
    <row r="168" spans="3:3" x14ac:dyDescent="0.25">
      <c r="C168"/>
    </row>
    <row r="169" spans="3:3" x14ac:dyDescent="0.25">
      <c r="C169"/>
    </row>
    <row r="170" spans="3:3" x14ac:dyDescent="0.25">
      <c r="C170"/>
    </row>
    <row r="171" spans="3:3" x14ac:dyDescent="0.25">
      <c r="C171"/>
    </row>
    <row r="172" spans="3:3" x14ac:dyDescent="0.25">
      <c r="C172"/>
    </row>
    <row r="173" spans="3:3" x14ac:dyDescent="0.25">
      <c r="C173"/>
    </row>
    <row r="174" spans="3:3" x14ac:dyDescent="0.25">
      <c r="C174"/>
    </row>
    <row r="175" spans="3:3" x14ac:dyDescent="0.25">
      <c r="C175"/>
    </row>
    <row r="176" spans="3:3" x14ac:dyDescent="0.25">
      <c r="C176"/>
    </row>
    <row r="177" spans="3:3" x14ac:dyDescent="0.25">
      <c r="C177"/>
    </row>
    <row r="178" spans="3:3" x14ac:dyDescent="0.25">
      <c r="C178"/>
    </row>
    <row r="179" spans="3:3" x14ac:dyDescent="0.25">
      <c r="C179"/>
    </row>
    <row r="180" spans="3:3" x14ac:dyDescent="0.25">
      <c r="C180"/>
    </row>
    <row r="181" spans="3:3" x14ac:dyDescent="0.25">
      <c r="C181"/>
    </row>
    <row r="182" spans="3:3" x14ac:dyDescent="0.25">
      <c r="C182"/>
    </row>
    <row r="183" spans="3:3" x14ac:dyDescent="0.25">
      <c r="C183"/>
    </row>
    <row r="184" spans="3:3" x14ac:dyDescent="0.25">
      <c r="C184"/>
    </row>
    <row r="185" spans="3:3" x14ac:dyDescent="0.25">
      <c r="C185"/>
    </row>
    <row r="186" spans="3:3" x14ac:dyDescent="0.25">
      <c r="C186"/>
    </row>
    <row r="187" spans="3:3" x14ac:dyDescent="0.25">
      <c r="C187"/>
    </row>
    <row r="188" spans="3:3" x14ac:dyDescent="0.25">
      <c r="C188"/>
    </row>
    <row r="189" spans="3:3" x14ac:dyDescent="0.25">
      <c r="C189"/>
    </row>
    <row r="190" spans="3:3" x14ac:dyDescent="0.25">
      <c r="C190"/>
    </row>
    <row r="191" spans="3:3" x14ac:dyDescent="0.25">
      <c r="C191"/>
    </row>
    <row r="192" spans="3:3" x14ac:dyDescent="0.25">
      <c r="C192"/>
    </row>
    <row r="193" spans="3:3" x14ac:dyDescent="0.25">
      <c r="C193"/>
    </row>
    <row r="194" spans="3:3" x14ac:dyDescent="0.25">
      <c r="C194"/>
    </row>
    <row r="195" spans="3:3" x14ac:dyDescent="0.25">
      <c r="C195"/>
    </row>
    <row r="196" spans="3:3" x14ac:dyDescent="0.25">
      <c r="C196"/>
    </row>
    <row r="197" spans="3:3" x14ac:dyDescent="0.25">
      <c r="C197"/>
    </row>
    <row r="198" spans="3:3" x14ac:dyDescent="0.25">
      <c r="C198"/>
    </row>
    <row r="199" spans="3:3" x14ac:dyDescent="0.25">
      <c r="C199"/>
    </row>
    <row r="200" spans="3:3" x14ac:dyDescent="0.25">
      <c r="C200"/>
    </row>
    <row r="201" spans="3:3" x14ac:dyDescent="0.25">
      <c r="C201"/>
    </row>
    <row r="202" spans="3:3" x14ac:dyDescent="0.25">
      <c r="C202"/>
    </row>
    <row r="203" spans="3:3" x14ac:dyDescent="0.25">
      <c r="C203"/>
    </row>
    <row r="204" spans="3:3" x14ac:dyDescent="0.25">
      <c r="C204"/>
    </row>
    <row r="205" spans="3:3" x14ac:dyDescent="0.25">
      <c r="C205"/>
    </row>
    <row r="206" spans="3:3" x14ac:dyDescent="0.25">
      <c r="C206"/>
    </row>
    <row r="207" spans="3:3" x14ac:dyDescent="0.25">
      <c r="C207"/>
    </row>
    <row r="208" spans="3:3" x14ac:dyDescent="0.25">
      <c r="C208"/>
    </row>
    <row r="209" spans="3:3" x14ac:dyDescent="0.25">
      <c r="C209"/>
    </row>
    <row r="210" spans="3:3" x14ac:dyDescent="0.25">
      <c r="C210"/>
    </row>
    <row r="211" spans="3:3" x14ac:dyDescent="0.25">
      <c r="C211"/>
    </row>
    <row r="212" spans="3:3" x14ac:dyDescent="0.25">
      <c r="C212"/>
    </row>
    <row r="213" spans="3:3" x14ac:dyDescent="0.25">
      <c r="C213"/>
    </row>
    <row r="214" spans="3:3" x14ac:dyDescent="0.25">
      <c r="C214"/>
    </row>
    <row r="215" spans="3:3" x14ac:dyDescent="0.25">
      <c r="C215"/>
    </row>
    <row r="216" spans="3:3" x14ac:dyDescent="0.25">
      <c r="C216"/>
    </row>
    <row r="217" spans="3:3" x14ac:dyDescent="0.25">
      <c r="C217"/>
    </row>
    <row r="218" spans="3:3" x14ac:dyDescent="0.25">
      <c r="C218"/>
    </row>
    <row r="219" spans="3:3" x14ac:dyDescent="0.25">
      <c r="C219"/>
    </row>
    <row r="220" spans="3:3" x14ac:dyDescent="0.25">
      <c r="C220"/>
    </row>
    <row r="221" spans="3:3" x14ac:dyDescent="0.25">
      <c r="C221"/>
    </row>
    <row r="222" spans="3:3" x14ac:dyDescent="0.25">
      <c r="C222"/>
    </row>
    <row r="223" spans="3:3" x14ac:dyDescent="0.25">
      <c r="C223"/>
    </row>
  </sheetData>
  <mergeCells count="2">
    <mergeCell ref="A1:N1"/>
    <mergeCell ref="A2:N2"/>
  </mergeCells>
  <pageMargins left="0.7" right="0.7" top="0.75" bottom="0.75" header="0.3" footer="0.3"/>
  <pageSetup orientation="portrait"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H223"/>
  <sheetViews>
    <sheetView topLeftCell="A21" workbookViewId="0">
      <selection activeCell="C49" sqref="C49:I49"/>
    </sheetView>
  </sheetViews>
  <sheetFormatPr defaultRowHeight="15" x14ac:dyDescent="0.25"/>
  <cols>
    <col min="1" max="1" width="17.140625" customWidth="1"/>
    <col min="2" max="2" width="7.28515625" hidden="1" customWidth="1"/>
    <col min="3" max="3" width="3.85546875" style="34" customWidth="1"/>
    <col min="4" max="4" width="4.28515625" customWidth="1"/>
    <col min="5" max="5" width="4.5703125" customWidth="1"/>
    <col min="6" max="6" width="4.140625" customWidth="1"/>
    <col min="7" max="7" width="4.85546875" customWidth="1"/>
    <col min="8" max="8" width="4" customWidth="1"/>
    <col min="9" max="9" width="3.42578125" customWidth="1"/>
    <col min="10" max="10" width="4.42578125" customWidth="1"/>
    <col min="11" max="11" width="4.28515625" customWidth="1"/>
    <col min="12" max="12" width="4" customWidth="1"/>
    <col min="13" max="13" width="4.5703125" customWidth="1"/>
    <col min="14" max="14" width="4.28515625" customWidth="1"/>
    <col min="15" max="15" width="11.28515625" customWidth="1"/>
    <col min="16" max="187" width="8.7109375" customWidth="1"/>
    <col min="188" max="189" width="11.28515625" customWidth="1"/>
    <col min="190" max="190" width="11.28515625" bestFit="1" customWidth="1"/>
  </cols>
  <sheetData>
    <row r="1" spans="1:190" ht="33" customHeight="1" thickBot="1" x14ac:dyDescent="0.3">
      <c r="A1" s="256" t="s">
        <v>5204</v>
      </c>
      <c r="B1" s="257"/>
      <c r="C1" s="257"/>
      <c r="D1" s="257"/>
      <c r="E1" s="257"/>
      <c r="F1" s="257"/>
      <c r="G1" s="257"/>
      <c r="H1" s="257"/>
      <c r="I1" s="257"/>
      <c r="J1" s="257"/>
      <c r="K1" s="257"/>
      <c r="L1" s="257"/>
      <c r="M1" s="257"/>
      <c r="N1" s="257"/>
      <c r="O1" s="258"/>
    </row>
    <row r="2" spans="1:190" ht="15.75" thickBot="1" x14ac:dyDescent="0.3">
      <c r="A2" s="259" t="s">
        <v>864</v>
      </c>
      <c r="B2" s="260"/>
      <c r="C2" s="260"/>
      <c r="D2" s="260"/>
      <c r="E2" s="260"/>
      <c r="F2" s="260"/>
      <c r="G2" s="260"/>
      <c r="H2" s="260"/>
      <c r="I2" s="260"/>
      <c r="J2" s="260"/>
      <c r="K2" s="260"/>
      <c r="L2" s="260"/>
      <c r="M2" s="260"/>
      <c r="N2" s="260"/>
      <c r="O2" s="261"/>
    </row>
    <row r="3" spans="1:190" s="32" customFormat="1" hidden="1" x14ac:dyDescent="0.25">
      <c r="A3" s="54" t="s">
        <v>2783</v>
      </c>
      <c r="B3" s="54"/>
      <c r="C3" s="54"/>
      <c r="D3" s="54"/>
      <c r="E3" s="54"/>
      <c r="F3" s="54"/>
      <c r="G3" s="54"/>
      <c r="H3" s="54"/>
      <c r="I3" s="54"/>
      <c r="J3" s="54"/>
      <c r="K3" s="54"/>
      <c r="L3" s="54"/>
      <c r="M3" s="54"/>
      <c r="N3" s="54"/>
      <c r="O3" s="54"/>
      <c r="P3"/>
      <c r="Q3"/>
      <c r="R3"/>
      <c r="S3"/>
      <c r="T3"/>
      <c r="U3"/>
      <c r="V3"/>
      <c r="W3"/>
      <c r="X3"/>
      <c r="Y3"/>
      <c r="Z3"/>
      <c r="AA3"/>
      <c r="AB3"/>
      <c r="AC3"/>
      <c r="AD3"/>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c r="DC3"/>
      <c r="DD3"/>
      <c r="DE3"/>
      <c r="DF3"/>
      <c r="DG3"/>
      <c r="DH3"/>
      <c r="DI3"/>
      <c r="DJ3"/>
      <c r="DK3"/>
      <c r="DL3"/>
      <c r="DM3"/>
      <c r="DN3"/>
      <c r="DO3"/>
      <c r="DP3"/>
      <c r="DQ3"/>
      <c r="DR3"/>
      <c r="DS3"/>
      <c r="DT3"/>
      <c r="DU3"/>
      <c r="DV3"/>
      <c r="DW3"/>
      <c r="DX3"/>
      <c r="DY3"/>
      <c r="DZ3"/>
      <c r="EA3"/>
      <c r="EB3"/>
      <c r="EC3"/>
      <c r="ED3"/>
      <c r="EE3"/>
      <c r="EF3"/>
      <c r="EG3"/>
      <c r="EH3"/>
      <c r="EI3"/>
      <c r="EJ3"/>
      <c r="EK3"/>
      <c r="EL3"/>
      <c r="EM3"/>
      <c r="EN3"/>
      <c r="EO3"/>
      <c r="EP3"/>
      <c r="EQ3"/>
      <c r="ER3"/>
      <c r="ES3"/>
      <c r="ET3"/>
      <c r="EU3"/>
      <c r="EV3"/>
      <c r="EW3"/>
      <c r="EX3"/>
      <c r="EY3"/>
      <c r="EZ3"/>
      <c r="FA3"/>
      <c r="FB3"/>
      <c r="FC3"/>
      <c r="FD3"/>
      <c r="FE3"/>
      <c r="FF3"/>
      <c r="FG3"/>
      <c r="FH3"/>
      <c r="FI3"/>
      <c r="FJ3"/>
      <c r="FK3"/>
      <c r="FL3"/>
      <c r="FM3"/>
      <c r="FN3"/>
      <c r="FO3"/>
      <c r="FP3"/>
      <c r="FQ3"/>
      <c r="FR3"/>
      <c r="FS3"/>
      <c r="FT3"/>
      <c r="FU3"/>
      <c r="FV3"/>
      <c r="FW3"/>
      <c r="FX3"/>
      <c r="FY3"/>
      <c r="FZ3"/>
      <c r="GA3"/>
      <c r="GB3"/>
      <c r="GC3"/>
      <c r="GD3"/>
      <c r="GE3"/>
      <c r="GF3"/>
      <c r="GG3"/>
      <c r="GH3"/>
    </row>
    <row r="4" spans="1:190" s="38" customFormat="1" x14ac:dyDescent="0.25">
      <c r="A4" s="29"/>
      <c r="B4" s="52" t="s">
        <v>4142</v>
      </c>
      <c r="C4" s="52" t="s">
        <v>1195</v>
      </c>
      <c r="D4" s="52" t="s">
        <v>1196</v>
      </c>
      <c r="E4" s="52" t="s">
        <v>1485</v>
      </c>
      <c r="F4" s="52" t="s">
        <v>1905</v>
      </c>
      <c r="G4" s="52" t="s">
        <v>289</v>
      </c>
      <c r="H4" s="52" t="s">
        <v>2782</v>
      </c>
      <c r="I4" s="52" t="s">
        <v>3164</v>
      </c>
      <c r="J4" s="52" t="s">
        <v>3746</v>
      </c>
      <c r="K4" s="52" t="s">
        <v>4141</v>
      </c>
      <c r="L4" s="52" t="s">
        <v>4596</v>
      </c>
      <c r="M4" s="52" t="s">
        <v>4878</v>
      </c>
      <c r="N4" s="52" t="s">
        <v>5203</v>
      </c>
      <c r="O4" s="39" t="s">
        <v>848</v>
      </c>
      <c r="P4"/>
      <c r="Q4"/>
      <c r="R4"/>
      <c r="S4"/>
      <c r="T4"/>
      <c r="U4"/>
      <c r="V4"/>
      <c r="W4"/>
      <c r="X4"/>
      <c r="Y4"/>
      <c r="Z4"/>
      <c r="AA4"/>
      <c r="AB4"/>
      <c r="AC4"/>
      <c r="AD4"/>
      <c r="AE4"/>
      <c r="AF4"/>
      <c r="AG4"/>
      <c r="AH4"/>
      <c r="AI4"/>
      <c r="AJ4"/>
      <c r="AK4"/>
      <c r="AL4"/>
      <c r="AM4"/>
      <c r="AN4"/>
      <c r="AO4"/>
      <c r="AP4"/>
      <c r="AQ4"/>
      <c r="AR4"/>
      <c r="AS4"/>
      <c r="AT4"/>
      <c r="AU4"/>
      <c r="AV4"/>
      <c r="AW4"/>
      <c r="AX4"/>
      <c r="AY4"/>
      <c r="AZ4"/>
      <c r="BA4"/>
      <c r="BB4"/>
      <c r="BC4"/>
      <c r="BD4"/>
      <c r="BE4"/>
      <c r="BF4"/>
      <c r="BG4"/>
      <c r="BH4"/>
      <c r="BI4"/>
      <c r="BJ4"/>
      <c r="BK4"/>
      <c r="BL4"/>
      <c r="BM4"/>
      <c r="BN4"/>
      <c r="BO4"/>
      <c r="BP4"/>
      <c r="BQ4"/>
      <c r="BR4"/>
      <c r="BS4"/>
      <c r="BT4"/>
      <c r="BU4"/>
      <c r="BV4"/>
      <c r="BW4"/>
      <c r="BX4"/>
      <c r="BY4"/>
      <c r="BZ4"/>
      <c r="CA4"/>
      <c r="CB4"/>
      <c r="CC4"/>
      <c r="CD4"/>
      <c r="CE4"/>
      <c r="CF4"/>
      <c r="CG4"/>
      <c r="CH4"/>
      <c r="CI4"/>
      <c r="CJ4"/>
      <c r="CK4"/>
      <c r="CL4"/>
      <c r="CM4"/>
      <c r="CN4"/>
      <c r="CO4"/>
      <c r="CP4"/>
      <c r="CQ4"/>
      <c r="CR4"/>
      <c r="CS4"/>
      <c r="CT4"/>
      <c r="CU4"/>
      <c r="CV4"/>
      <c r="CW4"/>
      <c r="CX4"/>
      <c r="CY4"/>
      <c r="CZ4"/>
      <c r="DA4"/>
      <c r="DB4"/>
      <c r="DC4"/>
      <c r="DD4"/>
      <c r="DE4"/>
      <c r="DF4"/>
      <c r="DG4"/>
      <c r="DH4"/>
      <c r="DI4"/>
      <c r="DJ4"/>
      <c r="DK4"/>
      <c r="DL4"/>
      <c r="DM4"/>
      <c r="DN4"/>
      <c r="DO4"/>
      <c r="DP4"/>
      <c r="DQ4"/>
      <c r="DR4"/>
      <c r="DS4"/>
      <c r="DT4"/>
      <c r="DU4"/>
      <c r="DV4"/>
      <c r="DW4"/>
      <c r="DX4"/>
      <c r="DY4"/>
      <c r="DZ4"/>
      <c r="EA4"/>
      <c r="EB4"/>
      <c r="EC4"/>
      <c r="ED4"/>
      <c r="EE4"/>
      <c r="EF4"/>
      <c r="EG4"/>
      <c r="EH4"/>
      <c r="EI4"/>
      <c r="EJ4"/>
      <c r="EK4"/>
      <c r="EL4"/>
      <c r="EM4"/>
      <c r="EN4"/>
      <c r="EO4"/>
      <c r="EP4"/>
      <c r="EQ4"/>
      <c r="ER4"/>
      <c r="ES4"/>
      <c r="ET4"/>
      <c r="EU4"/>
      <c r="EV4"/>
      <c r="EW4"/>
      <c r="EX4"/>
      <c r="EY4"/>
      <c r="EZ4"/>
      <c r="FA4"/>
      <c r="FB4"/>
      <c r="FC4"/>
      <c r="FD4"/>
      <c r="FE4"/>
      <c r="FF4"/>
      <c r="FG4"/>
      <c r="FH4"/>
      <c r="FI4"/>
      <c r="FJ4"/>
      <c r="FK4"/>
      <c r="FL4"/>
      <c r="FM4"/>
      <c r="FN4"/>
      <c r="FO4"/>
      <c r="FP4"/>
      <c r="FQ4"/>
      <c r="FR4"/>
      <c r="FS4"/>
      <c r="FT4"/>
      <c r="FU4"/>
      <c r="FV4"/>
      <c r="FW4"/>
      <c r="FX4"/>
      <c r="FY4"/>
      <c r="FZ4"/>
      <c r="GA4"/>
      <c r="GB4"/>
      <c r="GC4"/>
      <c r="GD4"/>
      <c r="GE4"/>
      <c r="GF4"/>
      <c r="GG4"/>
      <c r="GH4"/>
    </row>
    <row r="5" spans="1:190" x14ac:dyDescent="0.25">
      <c r="A5" s="35" t="s">
        <v>328</v>
      </c>
      <c r="B5" s="36">
        <v>1</v>
      </c>
      <c r="C5" s="36">
        <v>20</v>
      </c>
      <c r="D5" s="36">
        <v>19</v>
      </c>
      <c r="E5" s="36">
        <v>23</v>
      </c>
      <c r="F5" s="36">
        <v>34</v>
      </c>
      <c r="G5" s="36">
        <v>33</v>
      </c>
      <c r="H5" s="36">
        <v>48</v>
      </c>
      <c r="I5" s="36">
        <v>48</v>
      </c>
      <c r="J5" s="36">
        <v>59</v>
      </c>
      <c r="K5" s="36">
        <v>31</v>
      </c>
      <c r="L5" s="36">
        <v>35</v>
      </c>
      <c r="M5" s="36">
        <v>23</v>
      </c>
      <c r="N5" s="36">
        <v>25</v>
      </c>
      <c r="O5" s="36">
        <v>399</v>
      </c>
    </row>
    <row r="6" spans="1:190" x14ac:dyDescent="0.25">
      <c r="A6" s="37" t="s">
        <v>592</v>
      </c>
      <c r="B6" s="36">
        <v>1</v>
      </c>
      <c r="C6" s="36">
        <v>13</v>
      </c>
      <c r="D6" s="36">
        <v>15</v>
      </c>
      <c r="E6" s="36">
        <v>16</v>
      </c>
      <c r="F6" s="36">
        <v>16</v>
      </c>
      <c r="G6" s="36">
        <v>6</v>
      </c>
      <c r="H6" s="36">
        <v>7</v>
      </c>
      <c r="I6" s="36">
        <v>13</v>
      </c>
      <c r="J6" s="36">
        <v>12</v>
      </c>
      <c r="K6" s="36">
        <v>9</v>
      </c>
      <c r="L6" s="36">
        <v>8</v>
      </c>
      <c r="M6" s="36">
        <v>6</v>
      </c>
      <c r="N6" s="36">
        <v>4</v>
      </c>
      <c r="O6" s="36">
        <v>126</v>
      </c>
    </row>
    <row r="7" spans="1:190" x14ac:dyDescent="0.25">
      <c r="A7" s="37" t="s">
        <v>1939</v>
      </c>
      <c r="B7" s="36"/>
      <c r="C7" s="36"/>
      <c r="D7" s="36"/>
      <c r="E7" s="36"/>
      <c r="F7" s="36"/>
      <c r="G7" s="36">
        <v>13</v>
      </c>
      <c r="H7" s="36">
        <v>17</v>
      </c>
      <c r="I7" s="36">
        <v>21</v>
      </c>
      <c r="J7" s="36">
        <v>19</v>
      </c>
      <c r="K7" s="36">
        <v>9</v>
      </c>
      <c r="L7" s="36">
        <v>21</v>
      </c>
      <c r="M7" s="36">
        <v>10</v>
      </c>
      <c r="N7" s="36">
        <v>16</v>
      </c>
      <c r="O7" s="36">
        <v>126</v>
      </c>
    </row>
    <row r="8" spans="1:190" x14ac:dyDescent="0.25">
      <c r="A8" s="37" t="s">
        <v>1612</v>
      </c>
      <c r="B8" s="36"/>
      <c r="C8" s="36"/>
      <c r="D8" s="36"/>
      <c r="E8" s="36"/>
      <c r="F8" s="36">
        <v>3</v>
      </c>
      <c r="G8" s="36">
        <v>7</v>
      </c>
      <c r="H8" s="36">
        <v>6</v>
      </c>
      <c r="I8" s="36">
        <v>2</v>
      </c>
      <c r="J8" s="36">
        <v>5</v>
      </c>
      <c r="K8" s="36">
        <v>1</v>
      </c>
      <c r="L8" s="36">
        <v>2</v>
      </c>
      <c r="M8" s="36">
        <v>1</v>
      </c>
      <c r="N8" s="36">
        <v>1</v>
      </c>
      <c r="O8" s="36">
        <v>28</v>
      </c>
    </row>
    <row r="9" spans="1:190" x14ac:dyDescent="0.25">
      <c r="A9" s="37" t="s">
        <v>29</v>
      </c>
      <c r="B9" s="36"/>
      <c r="C9" s="36">
        <v>3</v>
      </c>
      <c r="D9" s="36">
        <v>4</v>
      </c>
      <c r="E9" s="36">
        <v>5</v>
      </c>
      <c r="F9" s="36">
        <v>7</v>
      </c>
      <c r="G9" s="36">
        <v>4</v>
      </c>
      <c r="H9" s="36">
        <v>12</v>
      </c>
      <c r="I9" s="36">
        <v>8</v>
      </c>
      <c r="J9" s="36">
        <v>15</v>
      </c>
      <c r="K9" s="36">
        <v>10</v>
      </c>
      <c r="L9" s="36">
        <v>2</v>
      </c>
      <c r="M9" s="36">
        <v>3</v>
      </c>
      <c r="N9" s="36">
        <v>2</v>
      </c>
      <c r="O9" s="36">
        <v>75</v>
      </c>
      <c r="Q9" t="s">
        <v>833</v>
      </c>
    </row>
    <row r="10" spans="1:190" x14ac:dyDescent="0.25">
      <c r="A10" s="37" t="s">
        <v>620</v>
      </c>
      <c r="B10" s="36"/>
      <c r="C10" s="36">
        <v>4</v>
      </c>
      <c r="D10" s="36"/>
      <c r="E10" s="36">
        <v>2</v>
      </c>
      <c r="F10" s="36">
        <v>8</v>
      </c>
      <c r="G10" s="36">
        <v>3</v>
      </c>
      <c r="H10" s="36">
        <v>6</v>
      </c>
      <c r="I10" s="36">
        <v>4</v>
      </c>
      <c r="J10" s="36">
        <v>8</v>
      </c>
      <c r="K10" s="36">
        <v>2</v>
      </c>
      <c r="L10" s="36">
        <v>2</v>
      </c>
      <c r="M10" s="36">
        <v>3</v>
      </c>
      <c r="N10" s="36">
        <v>2</v>
      </c>
      <c r="O10" s="36">
        <v>44</v>
      </c>
    </row>
    <row r="11" spans="1:190" x14ac:dyDescent="0.25">
      <c r="A11" s="35" t="s">
        <v>378</v>
      </c>
      <c r="B11" s="36">
        <v>2</v>
      </c>
      <c r="C11" s="36">
        <v>17</v>
      </c>
      <c r="D11" s="36">
        <v>18</v>
      </c>
      <c r="E11" s="36">
        <v>25</v>
      </c>
      <c r="F11" s="36">
        <v>43</v>
      </c>
      <c r="G11" s="36">
        <v>33</v>
      </c>
      <c r="H11" s="36">
        <v>46</v>
      </c>
      <c r="I11" s="36">
        <v>28</v>
      </c>
      <c r="J11" s="36">
        <v>62</v>
      </c>
      <c r="K11" s="36">
        <v>40</v>
      </c>
      <c r="L11" s="36">
        <v>47</v>
      </c>
      <c r="M11" s="36">
        <v>33</v>
      </c>
      <c r="N11" s="36">
        <v>33</v>
      </c>
      <c r="O11" s="36">
        <v>427</v>
      </c>
    </row>
    <row r="12" spans="1:190" x14ac:dyDescent="0.25">
      <c r="A12" s="37" t="s">
        <v>592</v>
      </c>
      <c r="B12" s="36">
        <v>1</v>
      </c>
      <c r="C12" s="36">
        <v>13</v>
      </c>
      <c r="D12" s="36">
        <v>13</v>
      </c>
      <c r="E12" s="36">
        <v>14</v>
      </c>
      <c r="F12" s="36">
        <v>28</v>
      </c>
      <c r="G12" s="36">
        <v>10</v>
      </c>
      <c r="H12" s="36">
        <v>15</v>
      </c>
      <c r="I12" s="36">
        <v>3</v>
      </c>
      <c r="J12" s="36">
        <v>21</v>
      </c>
      <c r="K12" s="36">
        <v>14</v>
      </c>
      <c r="L12" s="36">
        <v>20</v>
      </c>
      <c r="M12" s="36">
        <v>10</v>
      </c>
      <c r="N12" s="36">
        <v>10</v>
      </c>
      <c r="O12" s="36">
        <v>172</v>
      </c>
    </row>
    <row r="13" spans="1:190" x14ac:dyDescent="0.25">
      <c r="A13" s="37" t="s">
        <v>1939</v>
      </c>
      <c r="B13" s="36"/>
      <c r="C13" s="36"/>
      <c r="D13" s="36"/>
      <c r="E13" s="36"/>
      <c r="F13" s="36"/>
      <c r="G13" s="36">
        <v>14</v>
      </c>
      <c r="H13" s="36">
        <v>16</v>
      </c>
      <c r="I13" s="36">
        <v>16</v>
      </c>
      <c r="J13" s="36">
        <v>24</v>
      </c>
      <c r="K13" s="36">
        <v>12</v>
      </c>
      <c r="L13" s="36">
        <v>12</v>
      </c>
      <c r="M13" s="36">
        <v>14</v>
      </c>
      <c r="N13" s="36">
        <v>12</v>
      </c>
      <c r="O13" s="36">
        <v>120</v>
      </c>
      <c r="Q13" t="s">
        <v>833</v>
      </c>
    </row>
    <row r="14" spans="1:190" x14ac:dyDescent="0.25">
      <c r="A14" s="37" t="s">
        <v>1612</v>
      </c>
      <c r="B14" s="36"/>
      <c r="C14" s="36"/>
      <c r="D14" s="36"/>
      <c r="E14" s="36"/>
      <c r="F14" s="36">
        <v>4</v>
      </c>
      <c r="G14" s="36">
        <v>1</v>
      </c>
      <c r="H14" s="36">
        <v>3</v>
      </c>
      <c r="I14" s="36">
        <v>2</v>
      </c>
      <c r="J14" s="36">
        <v>5</v>
      </c>
      <c r="K14" s="36">
        <v>2</v>
      </c>
      <c r="L14" s="36">
        <v>3</v>
      </c>
      <c r="M14" s="36">
        <v>1</v>
      </c>
      <c r="N14" s="36">
        <v>3</v>
      </c>
      <c r="O14" s="36">
        <v>24</v>
      </c>
    </row>
    <row r="15" spans="1:190" x14ac:dyDescent="0.25">
      <c r="A15" s="37" t="s">
        <v>29</v>
      </c>
      <c r="B15" s="36">
        <v>1</v>
      </c>
      <c r="C15" s="36">
        <v>1</v>
      </c>
      <c r="D15" s="36">
        <v>3</v>
      </c>
      <c r="E15" s="36">
        <v>8</v>
      </c>
      <c r="F15" s="36">
        <v>7</v>
      </c>
      <c r="G15" s="36">
        <v>2</v>
      </c>
      <c r="H15" s="36">
        <v>5</v>
      </c>
      <c r="I15" s="36">
        <v>5</v>
      </c>
      <c r="J15" s="36">
        <v>8</v>
      </c>
      <c r="K15" s="36">
        <v>8</v>
      </c>
      <c r="L15" s="36">
        <v>5</v>
      </c>
      <c r="M15" s="36">
        <v>6</v>
      </c>
      <c r="N15" s="36">
        <v>6</v>
      </c>
      <c r="O15" s="36">
        <v>65</v>
      </c>
      <c r="Q15" t="s">
        <v>833</v>
      </c>
    </row>
    <row r="16" spans="1:190" x14ac:dyDescent="0.25">
      <c r="A16" s="37" t="s">
        <v>620</v>
      </c>
      <c r="B16" s="36"/>
      <c r="C16" s="36">
        <v>3</v>
      </c>
      <c r="D16" s="36">
        <v>2</v>
      </c>
      <c r="E16" s="36">
        <v>3</v>
      </c>
      <c r="F16" s="36">
        <v>4</v>
      </c>
      <c r="G16" s="36">
        <v>6</v>
      </c>
      <c r="H16" s="36">
        <v>7</v>
      </c>
      <c r="I16" s="36">
        <v>2</v>
      </c>
      <c r="J16" s="36">
        <v>4</v>
      </c>
      <c r="K16" s="36">
        <v>4</v>
      </c>
      <c r="L16" s="36">
        <v>7</v>
      </c>
      <c r="M16" s="36">
        <v>2</v>
      </c>
      <c r="N16" s="36">
        <v>2</v>
      </c>
      <c r="O16" s="36">
        <v>46</v>
      </c>
    </row>
    <row r="17" spans="1:17" x14ac:dyDescent="0.25">
      <c r="A17" s="35" t="s">
        <v>594</v>
      </c>
      <c r="B17" s="36">
        <v>1</v>
      </c>
      <c r="C17" s="36">
        <v>4</v>
      </c>
      <c r="D17" s="36">
        <v>8</v>
      </c>
      <c r="E17" s="36">
        <v>7</v>
      </c>
      <c r="F17" s="36">
        <v>10</v>
      </c>
      <c r="G17" s="36">
        <v>14</v>
      </c>
      <c r="H17" s="36">
        <v>10</v>
      </c>
      <c r="I17" s="36">
        <v>7</v>
      </c>
      <c r="J17" s="36">
        <v>8</v>
      </c>
      <c r="K17" s="36">
        <v>12</v>
      </c>
      <c r="L17" s="36">
        <v>9</v>
      </c>
      <c r="M17" s="36">
        <v>10</v>
      </c>
      <c r="N17" s="36">
        <v>10</v>
      </c>
      <c r="O17" s="36">
        <v>110</v>
      </c>
      <c r="Q17" t="s">
        <v>833</v>
      </c>
    </row>
    <row r="18" spans="1:17" x14ac:dyDescent="0.25">
      <c r="A18" s="37" t="s">
        <v>592</v>
      </c>
      <c r="B18" s="36">
        <v>1</v>
      </c>
      <c r="C18" s="36">
        <v>3</v>
      </c>
      <c r="D18" s="36">
        <v>5</v>
      </c>
      <c r="E18" s="36">
        <v>4</v>
      </c>
      <c r="F18" s="36">
        <v>5</v>
      </c>
      <c r="G18" s="36">
        <v>3</v>
      </c>
      <c r="H18" s="36">
        <v>5</v>
      </c>
      <c r="I18" s="36"/>
      <c r="J18" s="36">
        <v>1</v>
      </c>
      <c r="K18" s="36">
        <v>3</v>
      </c>
      <c r="L18" s="36">
        <v>2</v>
      </c>
      <c r="M18" s="36">
        <v>1</v>
      </c>
      <c r="N18" s="36">
        <v>2</v>
      </c>
      <c r="O18" s="36">
        <v>35</v>
      </c>
    </row>
    <row r="19" spans="1:17" x14ac:dyDescent="0.25">
      <c r="A19" s="37" t="s">
        <v>1939</v>
      </c>
      <c r="B19" s="36"/>
      <c r="C19" s="36"/>
      <c r="D19" s="36"/>
      <c r="E19" s="36"/>
      <c r="F19" s="36"/>
      <c r="G19" s="36">
        <v>4</v>
      </c>
      <c r="H19" s="36">
        <v>2</v>
      </c>
      <c r="I19" s="36">
        <v>4</v>
      </c>
      <c r="J19" s="36">
        <v>1</v>
      </c>
      <c r="K19" s="36">
        <v>3</v>
      </c>
      <c r="L19" s="36">
        <v>4</v>
      </c>
      <c r="M19" s="36">
        <v>6</v>
      </c>
      <c r="N19" s="36">
        <v>4</v>
      </c>
      <c r="O19" s="36">
        <v>28</v>
      </c>
    </row>
    <row r="20" spans="1:17" x14ac:dyDescent="0.25">
      <c r="A20" s="37" t="s">
        <v>1612</v>
      </c>
      <c r="B20" s="36"/>
      <c r="C20" s="36"/>
      <c r="D20" s="36"/>
      <c r="E20" s="36"/>
      <c r="F20" s="36">
        <v>3</v>
      </c>
      <c r="G20" s="36">
        <v>2</v>
      </c>
      <c r="H20" s="36"/>
      <c r="I20" s="36"/>
      <c r="J20" s="36"/>
      <c r="K20" s="36"/>
      <c r="L20" s="36"/>
      <c r="M20" s="36"/>
      <c r="N20" s="36">
        <v>1</v>
      </c>
      <c r="O20" s="36">
        <v>6</v>
      </c>
    </row>
    <row r="21" spans="1:17" x14ac:dyDescent="0.25">
      <c r="A21" s="37" t="s">
        <v>29</v>
      </c>
      <c r="B21" s="36"/>
      <c r="C21" s="36">
        <v>1</v>
      </c>
      <c r="D21" s="36">
        <v>2</v>
      </c>
      <c r="E21" s="36">
        <v>3</v>
      </c>
      <c r="F21" s="36">
        <v>1</v>
      </c>
      <c r="G21" s="36">
        <v>4</v>
      </c>
      <c r="H21" s="36">
        <v>1</v>
      </c>
      <c r="I21" s="36">
        <v>2</v>
      </c>
      <c r="J21" s="36">
        <v>3</v>
      </c>
      <c r="K21" s="36">
        <v>5</v>
      </c>
      <c r="L21" s="36">
        <v>2</v>
      </c>
      <c r="M21" s="36">
        <v>1</v>
      </c>
      <c r="N21" s="36">
        <v>3</v>
      </c>
      <c r="O21" s="36">
        <v>28</v>
      </c>
    </row>
    <row r="22" spans="1:17" x14ac:dyDescent="0.25">
      <c r="A22" s="37" t="s">
        <v>620</v>
      </c>
      <c r="B22" s="36"/>
      <c r="C22" s="36"/>
      <c r="D22" s="36">
        <v>1</v>
      </c>
      <c r="E22" s="36"/>
      <c r="F22" s="36">
        <v>1</v>
      </c>
      <c r="G22" s="36">
        <v>1</v>
      </c>
      <c r="H22" s="36">
        <v>2</v>
      </c>
      <c r="I22" s="36">
        <v>1</v>
      </c>
      <c r="J22" s="36">
        <v>3</v>
      </c>
      <c r="K22" s="36">
        <v>1</v>
      </c>
      <c r="L22" s="36">
        <v>1</v>
      </c>
      <c r="M22" s="36">
        <v>2</v>
      </c>
      <c r="N22" s="36"/>
      <c r="O22" s="36">
        <v>13</v>
      </c>
    </row>
    <row r="23" spans="1:17" x14ac:dyDescent="0.25">
      <c r="A23" s="35" t="s">
        <v>643</v>
      </c>
      <c r="B23" s="36"/>
      <c r="C23" s="36">
        <v>6</v>
      </c>
      <c r="D23" s="36">
        <v>6</v>
      </c>
      <c r="E23" s="36">
        <v>5</v>
      </c>
      <c r="F23" s="36">
        <v>9</v>
      </c>
      <c r="G23" s="36">
        <v>4</v>
      </c>
      <c r="H23" s="36">
        <v>4</v>
      </c>
      <c r="I23" s="36">
        <v>7</v>
      </c>
      <c r="J23" s="36">
        <v>7</v>
      </c>
      <c r="K23" s="36">
        <v>8</v>
      </c>
      <c r="L23" s="36">
        <v>16</v>
      </c>
      <c r="M23" s="36">
        <v>7</v>
      </c>
      <c r="N23" s="36">
        <v>5</v>
      </c>
      <c r="O23" s="36">
        <v>84</v>
      </c>
    </row>
    <row r="24" spans="1:17" x14ac:dyDescent="0.25">
      <c r="A24" s="37" t="s">
        <v>592</v>
      </c>
      <c r="B24" s="36"/>
      <c r="C24" s="36">
        <v>6</v>
      </c>
      <c r="D24" s="36">
        <v>4</v>
      </c>
      <c r="E24" s="36">
        <v>3</v>
      </c>
      <c r="F24" s="36">
        <v>6</v>
      </c>
      <c r="G24" s="36">
        <v>2</v>
      </c>
      <c r="H24" s="36">
        <v>1</v>
      </c>
      <c r="I24" s="36">
        <v>1</v>
      </c>
      <c r="J24" s="36">
        <v>1</v>
      </c>
      <c r="K24" s="36">
        <v>3</v>
      </c>
      <c r="L24" s="36">
        <v>2</v>
      </c>
      <c r="M24" s="36">
        <v>1</v>
      </c>
      <c r="N24" s="36">
        <v>2</v>
      </c>
      <c r="O24" s="36">
        <v>32</v>
      </c>
    </row>
    <row r="25" spans="1:17" x14ac:dyDescent="0.25">
      <c r="A25" s="37" t="s">
        <v>1939</v>
      </c>
      <c r="B25" s="36"/>
      <c r="C25" s="36"/>
      <c r="D25" s="36"/>
      <c r="E25" s="36"/>
      <c r="F25" s="36"/>
      <c r="G25" s="36">
        <v>2</v>
      </c>
      <c r="H25" s="36">
        <v>1</v>
      </c>
      <c r="I25" s="36"/>
      <c r="J25" s="36">
        <v>2</v>
      </c>
      <c r="K25" s="36">
        <v>4</v>
      </c>
      <c r="L25" s="36">
        <v>8</v>
      </c>
      <c r="M25" s="36">
        <v>4</v>
      </c>
      <c r="N25" s="36">
        <v>3</v>
      </c>
      <c r="O25" s="36">
        <v>24</v>
      </c>
    </row>
    <row r="26" spans="1:17" x14ac:dyDescent="0.25">
      <c r="A26" s="37" t="s">
        <v>1612</v>
      </c>
      <c r="B26" s="36"/>
      <c r="C26" s="36"/>
      <c r="D26" s="36"/>
      <c r="E26" s="36"/>
      <c r="F26" s="36">
        <v>3</v>
      </c>
      <c r="G26" s="36"/>
      <c r="H26" s="36"/>
      <c r="I26" s="36">
        <v>1</v>
      </c>
      <c r="J26" s="36"/>
      <c r="K26" s="36">
        <v>1</v>
      </c>
      <c r="L26" s="36"/>
      <c r="M26" s="36"/>
      <c r="N26" s="36"/>
      <c r="O26" s="36">
        <v>5</v>
      </c>
    </row>
    <row r="27" spans="1:17" x14ac:dyDescent="0.25">
      <c r="A27" s="37" t="s">
        <v>29</v>
      </c>
      <c r="B27" s="36"/>
      <c r="C27" s="36"/>
      <c r="D27" s="36">
        <v>2</v>
      </c>
      <c r="E27" s="36">
        <v>1</v>
      </c>
      <c r="F27" s="36"/>
      <c r="G27" s="36"/>
      <c r="H27" s="36">
        <v>2</v>
      </c>
      <c r="I27" s="36">
        <v>5</v>
      </c>
      <c r="J27" s="36">
        <v>2</v>
      </c>
      <c r="K27" s="36"/>
      <c r="L27" s="36">
        <v>6</v>
      </c>
      <c r="M27" s="36">
        <v>2</v>
      </c>
      <c r="N27" s="36"/>
      <c r="O27" s="36">
        <v>20</v>
      </c>
    </row>
    <row r="28" spans="1:17" x14ac:dyDescent="0.25">
      <c r="A28" s="37" t="s">
        <v>620</v>
      </c>
      <c r="B28" s="36"/>
      <c r="C28" s="36"/>
      <c r="D28" s="36"/>
      <c r="E28" s="36">
        <v>1</v>
      </c>
      <c r="F28" s="36"/>
      <c r="G28" s="36"/>
      <c r="H28" s="36"/>
      <c r="I28" s="36"/>
      <c r="J28" s="36">
        <v>2</v>
      </c>
      <c r="K28" s="36"/>
      <c r="L28" s="36"/>
      <c r="M28" s="36"/>
      <c r="N28" s="36"/>
      <c r="O28" s="36">
        <v>3</v>
      </c>
    </row>
    <row r="29" spans="1:17" x14ac:dyDescent="0.25">
      <c r="A29" s="35" t="s">
        <v>110</v>
      </c>
      <c r="B29" s="36"/>
      <c r="C29" s="36">
        <v>6</v>
      </c>
      <c r="D29" s="36">
        <v>7</v>
      </c>
      <c r="E29" s="36">
        <v>4</v>
      </c>
      <c r="F29" s="36"/>
      <c r="G29" s="36">
        <v>3</v>
      </c>
      <c r="H29" s="36">
        <v>2</v>
      </c>
      <c r="I29" s="36">
        <v>1</v>
      </c>
      <c r="J29" s="36">
        <v>4</v>
      </c>
      <c r="K29" s="36"/>
      <c r="L29" s="36">
        <v>1</v>
      </c>
      <c r="M29" s="36">
        <v>4</v>
      </c>
      <c r="N29" s="36">
        <v>1</v>
      </c>
      <c r="O29" s="36">
        <v>33</v>
      </c>
    </row>
    <row r="30" spans="1:17" x14ac:dyDescent="0.25">
      <c r="A30" s="37" t="s">
        <v>592</v>
      </c>
      <c r="B30" s="36"/>
      <c r="C30" s="36">
        <v>4</v>
      </c>
      <c r="D30" s="36">
        <v>7</v>
      </c>
      <c r="E30" s="36">
        <v>1</v>
      </c>
      <c r="F30" s="36"/>
      <c r="G30" s="36">
        <v>1</v>
      </c>
      <c r="H30" s="36">
        <v>1</v>
      </c>
      <c r="I30" s="36"/>
      <c r="J30" s="36">
        <v>1</v>
      </c>
      <c r="K30" s="36"/>
      <c r="L30" s="36"/>
      <c r="M30" s="36">
        <v>2</v>
      </c>
      <c r="N30" s="36"/>
      <c r="O30" s="36">
        <v>17</v>
      </c>
    </row>
    <row r="31" spans="1:17" x14ac:dyDescent="0.25">
      <c r="A31" s="37" t="s">
        <v>1939</v>
      </c>
      <c r="B31" s="36"/>
      <c r="C31" s="36"/>
      <c r="D31" s="36"/>
      <c r="E31" s="36"/>
      <c r="F31" s="36"/>
      <c r="G31" s="36">
        <v>1</v>
      </c>
      <c r="H31" s="36"/>
      <c r="I31" s="36">
        <v>1</v>
      </c>
      <c r="J31" s="36"/>
      <c r="K31" s="36"/>
      <c r="L31" s="36"/>
      <c r="M31" s="36">
        <v>1</v>
      </c>
      <c r="N31" s="36"/>
      <c r="O31" s="36">
        <v>3</v>
      </c>
    </row>
    <row r="32" spans="1:17" x14ac:dyDescent="0.25">
      <c r="A32" s="37" t="s">
        <v>1612</v>
      </c>
      <c r="B32" s="36"/>
      <c r="C32" s="36"/>
      <c r="D32" s="36"/>
      <c r="E32" s="36">
        <v>1</v>
      </c>
      <c r="F32" s="36"/>
      <c r="G32" s="36"/>
      <c r="H32" s="36"/>
      <c r="I32" s="36"/>
      <c r="J32" s="36"/>
      <c r="K32" s="36"/>
      <c r="L32" s="36">
        <v>1</v>
      </c>
      <c r="M32" s="36"/>
      <c r="N32" s="36"/>
      <c r="O32" s="36">
        <v>2</v>
      </c>
    </row>
    <row r="33" spans="1:15" x14ac:dyDescent="0.25">
      <c r="A33" s="37" t="s">
        <v>29</v>
      </c>
      <c r="B33" s="36"/>
      <c r="C33" s="36">
        <v>2</v>
      </c>
      <c r="D33" s="36"/>
      <c r="E33" s="36"/>
      <c r="F33" s="36"/>
      <c r="G33" s="36">
        <v>1</v>
      </c>
      <c r="H33" s="36">
        <v>1</v>
      </c>
      <c r="I33" s="36"/>
      <c r="J33" s="36">
        <v>1</v>
      </c>
      <c r="K33" s="36"/>
      <c r="L33" s="36"/>
      <c r="M33" s="36"/>
      <c r="N33" s="36">
        <v>1</v>
      </c>
      <c r="O33" s="36">
        <v>6</v>
      </c>
    </row>
    <row r="34" spans="1:15" x14ac:dyDescent="0.25">
      <c r="A34" s="37" t="s">
        <v>620</v>
      </c>
      <c r="B34" s="36"/>
      <c r="C34" s="36"/>
      <c r="D34" s="36"/>
      <c r="E34" s="36">
        <v>2</v>
      </c>
      <c r="F34" s="36"/>
      <c r="G34" s="36"/>
      <c r="H34" s="36"/>
      <c r="I34" s="36"/>
      <c r="J34" s="36">
        <v>2</v>
      </c>
      <c r="K34" s="36"/>
      <c r="L34" s="36"/>
      <c r="M34" s="36">
        <v>1</v>
      </c>
      <c r="N34" s="36"/>
      <c r="O34" s="36">
        <v>5</v>
      </c>
    </row>
    <row r="35" spans="1:15" x14ac:dyDescent="0.25">
      <c r="A35" s="35" t="s">
        <v>320</v>
      </c>
      <c r="B35" s="36"/>
      <c r="C35" s="36"/>
      <c r="D35" s="36">
        <v>3</v>
      </c>
      <c r="E35" s="36">
        <v>1</v>
      </c>
      <c r="F35" s="36">
        <v>1</v>
      </c>
      <c r="G35" s="36">
        <v>2</v>
      </c>
      <c r="H35" s="36">
        <v>2</v>
      </c>
      <c r="I35" s="36"/>
      <c r="J35" s="36">
        <v>1</v>
      </c>
      <c r="K35" s="36">
        <v>4</v>
      </c>
      <c r="L35" s="36">
        <v>2</v>
      </c>
      <c r="M35" s="36"/>
      <c r="N35" s="36">
        <v>1</v>
      </c>
      <c r="O35" s="36">
        <v>17</v>
      </c>
    </row>
    <row r="36" spans="1:15" x14ac:dyDescent="0.25">
      <c r="A36" s="37" t="s">
        <v>592</v>
      </c>
      <c r="B36" s="36"/>
      <c r="C36" s="36"/>
      <c r="D36" s="36">
        <v>3</v>
      </c>
      <c r="E36" s="36">
        <v>1</v>
      </c>
      <c r="F36" s="36">
        <v>1</v>
      </c>
      <c r="G36" s="36">
        <v>1</v>
      </c>
      <c r="H36" s="36"/>
      <c r="I36" s="36"/>
      <c r="J36" s="36"/>
      <c r="K36" s="36">
        <v>1</v>
      </c>
      <c r="L36" s="36"/>
      <c r="M36" s="36"/>
      <c r="N36" s="36">
        <v>1</v>
      </c>
      <c r="O36" s="36">
        <v>8</v>
      </c>
    </row>
    <row r="37" spans="1:15" x14ac:dyDescent="0.25">
      <c r="A37" s="37" t="s">
        <v>1939</v>
      </c>
      <c r="B37" s="36"/>
      <c r="C37" s="36"/>
      <c r="D37" s="36"/>
      <c r="E37" s="36"/>
      <c r="F37" s="36"/>
      <c r="G37" s="36"/>
      <c r="H37" s="36">
        <v>2</v>
      </c>
      <c r="I37" s="36"/>
      <c r="J37" s="36">
        <v>1</v>
      </c>
      <c r="K37" s="36"/>
      <c r="L37" s="36"/>
      <c r="M37" s="36"/>
      <c r="N37" s="36"/>
      <c r="O37" s="36">
        <v>3</v>
      </c>
    </row>
    <row r="38" spans="1:15" x14ac:dyDescent="0.25">
      <c r="A38" s="37" t="s">
        <v>29</v>
      </c>
      <c r="B38" s="36"/>
      <c r="C38" s="36"/>
      <c r="D38" s="36"/>
      <c r="E38" s="36"/>
      <c r="F38" s="36"/>
      <c r="G38" s="36">
        <v>1</v>
      </c>
      <c r="H38" s="36"/>
      <c r="I38" s="36"/>
      <c r="J38" s="36"/>
      <c r="K38" s="36">
        <v>2</v>
      </c>
      <c r="L38" s="36">
        <v>2</v>
      </c>
      <c r="M38" s="36"/>
      <c r="N38" s="36"/>
      <c r="O38" s="36">
        <v>5</v>
      </c>
    </row>
    <row r="39" spans="1:15" x14ac:dyDescent="0.25">
      <c r="A39" s="37" t="s">
        <v>620</v>
      </c>
      <c r="B39" s="36"/>
      <c r="C39" s="36"/>
      <c r="D39" s="36"/>
      <c r="E39" s="36"/>
      <c r="F39" s="36"/>
      <c r="G39" s="36"/>
      <c r="H39" s="36"/>
      <c r="I39" s="36"/>
      <c r="J39" s="36"/>
      <c r="K39" s="36">
        <v>1</v>
      </c>
      <c r="L39" s="36"/>
      <c r="M39" s="36"/>
      <c r="N39" s="36"/>
      <c r="O39" s="36">
        <v>1</v>
      </c>
    </row>
    <row r="40" spans="1:15" x14ac:dyDescent="0.25">
      <c r="A40" s="35" t="s">
        <v>250</v>
      </c>
      <c r="B40" s="36"/>
      <c r="C40" s="36">
        <v>1</v>
      </c>
      <c r="D40" s="36">
        <v>3</v>
      </c>
      <c r="E40" s="36"/>
      <c r="F40" s="36"/>
      <c r="G40" s="36">
        <v>1</v>
      </c>
      <c r="H40" s="36">
        <v>1</v>
      </c>
      <c r="I40" s="36"/>
      <c r="J40" s="36"/>
      <c r="K40" s="36">
        <v>1</v>
      </c>
      <c r="L40" s="36"/>
      <c r="M40" s="36"/>
      <c r="N40" s="36"/>
      <c r="O40" s="36">
        <v>7</v>
      </c>
    </row>
    <row r="41" spans="1:15" x14ac:dyDescent="0.25">
      <c r="A41" s="37" t="s">
        <v>592</v>
      </c>
      <c r="B41" s="36"/>
      <c r="C41" s="36"/>
      <c r="D41" s="36">
        <v>3</v>
      </c>
      <c r="E41" s="36"/>
      <c r="F41" s="36"/>
      <c r="G41" s="36"/>
      <c r="H41" s="36"/>
      <c r="I41" s="36"/>
      <c r="J41" s="36"/>
      <c r="K41" s="36">
        <v>1</v>
      </c>
      <c r="L41" s="36"/>
      <c r="M41" s="36"/>
      <c r="N41" s="36"/>
      <c r="O41" s="36">
        <v>4</v>
      </c>
    </row>
    <row r="42" spans="1:15" x14ac:dyDescent="0.25">
      <c r="A42" s="37" t="s">
        <v>29</v>
      </c>
      <c r="B42" s="36"/>
      <c r="C42" s="36">
        <v>1</v>
      </c>
      <c r="D42" s="36"/>
      <c r="E42" s="36"/>
      <c r="F42" s="36"/>
      <c r="G42" s="36">
        <v>1</v>
      </c>
      <c r="H42" s="36">
        <v>1</v>
      </c>
      <c r="I42" s="36"/>
      <c r="J42" s="36"/>
      <c r="K42" s="36"/>
      <c r="L42" s="36"/>
      <c r="M42" s="36"/>
      <c r="N42" s="36"/>
      <c r="O42" s="36">
        <v>3</v>
      </c>
    </row>
    <row r="43" spans="1:15" x14ac:dyDescent="0.25">
      <c r="A43" s="35" t="s">
        <v>1788</v>
      </c>
      <c r="B43" s="36"/>
      <c r="C43" s="36"/>
      <c r="D43" s="36"/>
      <c r="E43" s="36"/>
      <c r="F43" s="36">
        <v>1</v>
      </c>
      <c r="G43" s="36"/>
      <c r="H43" s="36">
        <v>1</v>
      </c>
      <c r="I43" s="36">
        <v>1</v>
      </c>
      <c r="J43" s="36">
        <v>2</v>
      </c>
      <c r="K43" s="36">
        <v>1</v>
      </c>
      <c r="L43" s="36"/>
      <c r="M43" s="36"/>
      <c r="N43" s="36"/>
      <c r="O43" s="36">
        <v>6</v>
      </c>
    </row>
    <row r="44" spans="1:15" x14ac:dyDescent="0.25">
      <c r="A44" s="37" t="s">
        <v>592</v>
      </c>
      <c r="B44" s="36"/>
      <c r="C44" s="36"/>
      <c r="D44" s="36"/>
      <c r="E44" s="36"/>
      <c r="F44" s="36"/>
      <c r="G44" s="36"/>
      <c r="H44" s="36"/>
      <c r="I44" s="36"/>
      <c r="J44" s="36">
        <v>1</v>
      </c>
      <c r="K44" s="36"/>
      <c r="L44" s="36"/>
      <c r="M44" s="36"/>
      <c r="N44" s="36"/>
      <c r="O44" s="36">
        <v>1</v>
      </c>
    </row>
    <row r="45" spans="1:15" x14ac:dyDescent="0.25">
      <c r="A45" s="37" t="s">
        <v>1612</v>
      </c>
      <c r="B45" s="36"/>
      <c r="C45" s="36"/>
      <c r="D45" s="36"/>
      <c r="E45" s="36"/>
      <c r="F45" s="36">
        <v>1</v>
      </c>
      <c r="G45" s="36"/>
      <c r="H45" s="36"/>
      <c r="I45" s="36"/>
      <c r="J45" s="36"/>
      <c r="K45" s="36"/>
      <c r="L45" s="36"/>
      <c r="M45" s="36"/>
      <c r="N45" s="36"/>
      <c r="O45" s="36">
        <v>1</v>
      </c>
    </row>
    <row r="46" spans="1:15" x14ac:dyDescent="0.25">
      <c r="A46" s="37" t="s">
        <v>29</v>
      </c>
      <c r="B46" s="36"/>
      <c r="C46" s="36"/>
      <c r="D46" s="36"/>
      <c r="E46" s="36"/>
      <c r="F46" s="36"/>
      <c r="G46" s="36"/>
      <c r="H46" s="36">
        <v>1</v>
      </c>
      <c r="I46" s="36">
        <v>1</v>
      </c>
      <c r="J46" s="36">
        <v>1</v>
      </c>
      <c r="K46" s="36">
        <v>1</v>
      </c>
      <c r="L46" s="36"/>
      <c r="M46" s="36"/>
      <c r="N46" s="36"/>
      <c r="O46" s="36">
        <v>4</v>
      </c>
    </row>
    <row r="47" spans="1:15" x14ac:dyDescent="0.25">
      <c r="A47" s="35" t="s">
        <v>277</v>
      </c>
      <c r="B47" s="36"/>
      <c r="C47" s="36"/>
      <c r="D47" s="36"/>
      <c r="E47" s="36"/>
      <c r="F47" s="36"/>
      <c r="G47" s="36"/>
      <c r="H47" s="36"/>
      <c r="I47" s="36">
        <v>1</v>
      </c>
      <c r="J47" s="36"/>
      <c r="K47" s="36"/>
      <c r="L47" s="36"/>
      <c r="M47" s="36"/>
      <c r="N47" s="36"/>
      <c r="O47" s="36">
        <v>1</v>
      </c>
    </row>
    <row r="48" spans="1:15" x14ac:dyDescent="0.25">
      <c r="A48" s="37" t="s">
        <v>1939</v>
      </c>
      <c r="B48" s="36"/>
      <c r="C48" s="36"/>
      <c r="D48" s="36"/>
      <c r="E48" s="36"/>
      <c r="F48" s="36"/>
      <c r="G48" s="36"/>
      <c r="H48" s="36"/>
      <c r="I48" s="36">
        <v>1</v>
      </c>
      <c r="J48" s="36"/>
      <c r="K48" s="36"/>
      <c r="L48" s="36"/>
      <c r="M48" s="36"/>
      <c r="N48" s="36"/>
      <c r="O48" s="36">
        <v>1</v>
      </c>
    </row>
    <row r="49" spans="1:15" x14ac:dyDescent="0.25">
      <c r="A49" s="35" t="s">
        <v>848</v>
      </c>
      <c r="B49" s="36">
        <v>4</v>
      </c>
      <c r="C49" s="36">
        <v>54</v>
      </c>
      <c r="D49" s="36">
        <v>64</v>
      </c>
      <c r="E49" s="36">
        <v>65</v>
      </c>
      <c r="F49" s="36">
        <v>98</v>
      </c>
      <c r="G49" s="36">
        <v>90</v>
      </c>
      <c r="H49" s="36">
        <v>114</v>
      </c>
      <c r="I49" s="36">
        <v>93</v>
      </c>
      <c r="J49" s="36">
        <v>143</v>
      </c>
      <c r="K49" s="36">
        <v>97</v>
      </c>
      <c r="L49" s="36">
        <v>110</v>
      </c>
      <c r="M49" s="36">
        <v>77</v>
      </c>
      <c r="N49" s="36">
        <v>75</v>
      </c>
      <c r="O49" s="36">
        <v>1084</v>
      </c>
    </row>
    <row r="50" spans="1:15" x14ac:dyDescent="0.25">
      <c r="C50"/>
    </row>
    <row r="51" spans="1:15" x14ac:dyDescent="0.25">
      <c r="C51"/>
    </row>
    <row r="52" spans="1:15" x14ac:dyDescent="0.25">
      <c r="C52"/>
    </row>
    <row r="53" spans="1:15" x14ac:dyDescent="0.25">
      <c r="C53"/>
    </row>
    <row r="54" spans="1:15" x14ac:dyDescent="0.25">
      <c r="C54"/>
    </row>
    <row r="55" spans="1:15" x14ac:dyDescent="0.25">
      <c r="C55"/>
    </row>
    <row r="56" spans="1:15" x14ac:dyDescent="0.25">
      <c r="C56"/>
    </row>
    <row r="57" spans="1:15" x14ac:dyDescent="0.25">
      <c r="C57"/>
    </row>
    <row r="58" spans="1:15" x14ac:dyDescent="0.25">
      <c r="C58"/>
    </row>
    <row r="59" spans="1:15" x14ac:dyDescent="0.25">
      <c r="C59"/>
    </row>
    <row r="60" spans="1:15" x14ac:dyDescent="0.25">
      <c r="C60"/>
    </row>
    <row r="61" spans="1:15" x14ac:dyDescent="0.25">
      <c r="C61"/>
    </row>
    <row r="62" spans="1:15" x14ac:dyDescent="0.25">
      <c r="C62"/>
    </row>
    <row r="63" spans="1:15" x14ac:dyDescent="0.25">
      <c r="C63"/>
    </row>
    <row r="64" spans="1:15" x14ac:dyDescent="0.25">
      <c r="C64"/>
    </row>
    <row r="65" spans="3:3" x14ac:dyDescent="0.25">
      <c r="C65"/>
    </row>
    <row r="66" spans="3:3" x14ac:dyDescent="0.25">
      <c r="C66"/>
    </row>
    <row r="67" spans="3:3" x14ac:dyDescent="0.25">
      <c r="C67"/>
    </row>
    <row r="68" spans="3:3" x14ac:dyDescent="0.25">
      <c r="C68"/>
    </row>
    <row r="69" spans="3:3" x14ac:dyDescent="0.25">
      <c r="C69"/>
    </row>
    <row r="70" spans="3:3" x14ac:dyDescent="0.25">
      <c r="C70"/>
    </row>
    <row r="71" spans="3:3" x14ac:dyDescent="0.25">
      <c r="C71"/>
    </row>
    <row r="72" spans="3:3" x14ac:dyDescent="0.25">
      <c r="C72"/>
    </row>
    <row r="73" spans="3:3" x14ac:dyDescent="0.25">
      <c r="C73"/>
    </row>
    <row r="74" spans="3:3" x14ac:dyDescent="0.25">
      <c r="C74"/>
    </row>
    <row r="75" spans="3:3" x14ac:dyDescent="0.25">
      <c r="C75"/>
    </row>
    <row r="76" spans="3:3" x14ac:dyDescent="0.25">
      <c r="C76"/>
    </row>
    <row r="77" spans="3:3" x14ac:dyDescent="0.25">
      <c r="C77"/>
    </row>
    <row r="78" spans="3:3" x14ac:dyDescent="0.25">
      <c r="C78"/>
    </row>
    <row r="79" spans="3:3" x14ac:dyDescent="0.25">
      <c r="C79"/>
    </row>
    <row r="80" spans="3:3" x14ac:dyDescent="0.25">
      <c r="C80"/>
    </row>
    <row r="81" spans="3:3" x14ac:dyDescent="0.25">
      <c r="C81"/>
    </row>
    <row r="82" spans="3:3" x14ac:dyDescent="0.25">
      <c r="C82"/>
    </row>
    <row r="83" spans="3:3" x14ac:dyDescent="0.25">
      <c r="C83"/>
    </row>
    <row r="84" spans="3:3" x14ac:dyDescent="0.25">
      <c r="C84"/>
    </row>
    <row r="85" spans="3:3" x14ac:dyDescent="0.25">
      <c r="C85"/>
    </row>
    <row r="86" spans="3:3" x14ac:dyDescent="0.25">
      <c r="C86"/>
    </row>
    <row r="87" spans="3:3" x14ac:dyDescent="0.25">
      <c r="C87"/>
    </row>
    <row r="88" spans="3:3" x14ac:dyDescent="0.25">
      <c r="C88"/>
    </row>
    <row r="89" spans="3:3" x14ac:dyDescent="0.25">
      <c r="C89"/>
    </row>
    <row r="90" spans="3:3" x14ac:dyDescent="0.25">
      <c r="C90"/>
    </row>
    <row r="91" spans="3:3" x14ac:dyDescent="0.25">
      <c r="C91"/>
    </row>
    <row r="92" spans="3:3" x14ac:dyDescent="0.25">
      <c r="C92"/>
    </row>
    <row r="93" spans="3:3" x14ac:dyDescent="0.25">
      <c r="C93"/>
    </row>
    <row r="94" spans="3:3" x14ac:dyDescent="0.25">
      <c r="C94"/>
    </row>
    <row r="95" spans="3:3" x14ac:dyDescent="0.25">
      <c r="C95"/>
    </row>
    <row r="96" spans="3:3" x14ac:dyDescent="0.25">
      <c r="C96"/>
    </row>
    <row r="97" spans="3:3" x14ac:dyDescent="0.25">
      <c r="C97"/>
    </row>
    <row r="98" spans="3:3" x14ac:dyDescent="0.25">
      <c r="C98"/>
    </row>
    <row r="99" spans="3:3" x14ac:dyDescent="0.25">
      <c r="C99"/>
    </row>
    <row r="100" spans="3:3" x14ac:dyDescent="0.25">
      <c r="C100"/>
    </row>
    <row r="101" spans="3:3" x14ac:dyDescent="0.25">
      <c r="C101"/>
    </row>
    <row r="102" spans="3:3" x14ac:dyDescent="0.25">
      <c r="C102"/>
    </row>
    <row r="103" spans="3:3" x14ac:dyDescent="0.25">
      <c r="C103"/>
    </row>
    <row r="104" spans="3:3" x14ac:dyDescent="0.25">
      <c r="C104"/>
    </row>
    <row r="105" spans="3:3" x14ac:dyDescent="0.25">
      <c r="C105"/>
    </row>
    <row r="106" spans="3:3" x14ac:dyDescent="0.25">
      <c r="C106"/>
    </row>
    <row r="107" spans="3:3" x14ac:dyDescent="0.25">
      <c r="C107"/>
    </row>
    <row r="108" spans="3:3" x14ac:dyDescent="0.25">
      <c r="C108"/>
    </row>
    <row r="109" spans="3:3" x14ac:dyDescent="0.25">
      <c r="C109"/>
    </row>
    <row r="110" spans="3:3" x14ac:dyDescent="0.25">
      <c r="C110"/>
    </row>
    <row r="111" spans="3:3" x14ac:dyDescent="0.25">
      <c r="C111"/>
    </row>
    <row r="112" spans="3:3" x14ac:dyDescent="0.25">
      <c r="C112"/>
    </row>
    <row r="113" spans="3:3" x14ac:dyDescent="0.25">
      <c r="C113"/>
    </row>
    <row r="114" spans="3:3" x14ac:dyDescent="0.25">
      <c r="C114"/>
    </row>
    <row r="115" spans="3:3" x14ac:dyDescent="0.25">
      <c r="C115"/>
    </row>
    <row r="116" spans="3:3" x14ac:dyDescent="0.25">
      <c r="C116"/>
    </row>
    <row r="117" spans="3:3" x14ac:dyDescent="0.25">
      <c r="C117"/>
    </row>
    <row r="118" spans="3:3" x14ac:dyDescent="0.25">
      <c r="C118"/>
    </row>
    <row r="119" spans="3:3" x14ac:dyDescent="0.25">
      <c r="C119"/>
    </row>
    <row r="120" spans="3:3" x14ac:dyDescent="0.25">
      <c r="C120"/>
    </row>
    <row r="121" spans="3:3" x14ac:dyDescent="0.25">
      <c r="C121"/>
    </row>
    <row r="122" spans="3:3" x14ac:dyDescent="0.25">
      <c r="C122"/>
    </row>
    <row r="123" spans="3:3" x14ac:dyDescent="0.25">
      <c r="C123"/>
    </row>
    <row r="124" spans="3:3" x14ac:dyDescent="0.25">
      <c r="C124"/>
    </row>
    <row r="125" spans="3:3" x14ac:dyDescent="0.25">
      <c r="C125"/>
    </row>
    <row r="126" spans="3:3" x14ac:dyDescent="0.25">
      <c r="C126"/>
    </row>
    <row r="127" spans="3:3" x14ac:dyDescent="0.25">
      <c r="C127"/>
    </row>
    <row r="128" spans="3:3" x14ac:dyDescent="0.25">
      <c r="C128"/>
    </row>
    <row r="129" spans="3:3" x14ac:dyDescent="0.25">
      <c r="C129"/>
    </row>
    <row r="130" spans="3:3" x14ac:dyDescent="0.25">
      <c r="C130"/>
    </row>
    <row r="131" spans="3:3" x14ac:dyDescent="0.25">
      <c r="C131"/>
    </row>
    <row r="132" spans="3:3" x14ac:dyDescent="0.25">
      <c r="C132"/>
    </row>
    <row r="133" spans="3:3" x14ac:dyDescent="0.25">
      <c r="C133"/>
    </row>
    <row r="134" spans="3:3" x14ac:dyDescent="0.25">
      <c r="C134"/>
    </row>
    <row r="135" spans="3:3" x14ac:dyDescent="0.25">
      <c r="C135"/>
    </row>
    <row r="136" spans="3:3" x14ac:dyDescent="0.25">
      <c r="C136"/>
    </row>
    <row r="137" spans="3:3" x14ac:dyDescent="0.25">
      <c r="C137"/>
    </row>
    <row r="138" spans="3:3" x14ac:dyDescent="0.25">
      <c r="C138"/>
    </row>
    <row r="139" spans="3:3" x14ac:dyDescent="0.25">
      <c r="C139"/>
    </row>
    <row r="140" spans="3:3" x14ac:dyDescent="0.25">
      <c r="C140"/>
    </row>
    <row r="141" spans="3:3" x14ac:dyDescent="0.25">
      <c r="C141"/>
    </row>
    <row r="142" spans="3:3" x14ac:dyDescent="0.25">
      <c r="C142"/>
    </row>
    <row r="143" spans="3:3" x14ac:dyDescent="0.25">
      <c r="C143"/>
    </row>
    <row r="144" spans="3:3" x14ac:dyDescent="0.25">
      <c r="C144"/>
    </row>
    <row r="145" spans="3:3" x14ac:dyDescent="0.25">
      <c r="C145"/>
    </row>
    <row r="146" spans="3:3" x14ac:dyDescent="0.25">
      <c r="C146"/>
    </row>
    <row r="147" spans="3:3" x14ac:dyDescent="0.25">
      <c r="C147"/>
    </row>
    <row r="148" spans="3:3" x14ac:dyDescent="0.25">
      <c r="C148"/>
    </row>
    <row r="149" spans="3:3" x14ac:dyDescent="0.25">
      <c r="C149"/>
    </row>
    <row r="150" spans="3:3" x14ac:dyDescent="0.25">
      <c r="C150"/>
    </row>
    <row r="151" spans="3:3" x14ac:dyDescent="0.25">
      <c r="C151"/>
    </row>
    <row r="152" spans="3:3" x14ac:dyDescent="0.25">
      <c r="C152"/>
    </row>
    <row r="153" spans="3:3" x14ac:dyDescent="0.25">
      <c r="C153"/>
    </row>
    <row r="154" spans="3:3" x14ac:dyDescent="0.25">
      <c r="C154"/>
    </row>
    <row r="155" spans="3:3" x14ac:dyDescent="0.25">
      <c r="C155"/>
    </row>
    <row r="156" spans="3:3" x14ac:dyDescent="0.25">
      <c r="C156"/>
    </row>
    <row r="157" spans="3:3" x14ac:dyDescent="0.25">
      <c r="C157"/>
    </row>
    <row r="158" spans="3:3" x14ac:dyDescent="0.25">
      <c r="C158"/>
    </row>
    <row r="159" spans="3:3" x14ac:dyDescent="0.25">
      <c r="C159"/>
    </row>
    <row r="160" spans="3:3" x14ac:dyDescent="0.25">
      <c r="C160"/>
    </row>
    <row r="161" spans="3:3" x14ac:dyDescent="0.25">
      <c r="C161"/>
    </row>
    <row r="162" spans="3:3" x14ac:dyDescent="0.25">
      <c r="C162"/>
    </row>
    <row r="163" spans="3:3" x14ac:dyDescent="0.25">
      <c r="C163"/>
    </row>
    <row r="164" spans="3:3" x14ac:dyDescent="0.25">
      <c r="C164"/>
    </row>
    <row r="165" spans="3:3" x14ac:dyDescent="0.25">
      <c r="C165"/>
    </row>
    <row r="166" spans="3:3" x14ac:dyDescent="0.25">
      <c r="C166"/>
    </row>
    <row r="167" spans="3:3" x14ac:dyDescent="0.25">
      <c r="C167"/>
    </row>
    <row r="168" spans="3:3" x14ac:dyDescent="0.25">
      <c r="C168"/>
    </row>
    <row r="169" spans="3:3" x14ac:dyDescent="0.25">
      <c r="C169"/>
    </row>
    <row r="170" spans="3:3" x14ac:dyDescent="0.25">
      <c r="C170"/>
    </row>
    <row r="171" spans="3:3" x14ac:dyDescent="0.25">
      <c r="C171"/>
    </row>
    <row r="172" spans="3:3" x14ac:dyDescent="0.25">
      <c r="C172"/>
    </row>
    <row r="173" spans="3:3" x14ac:dyDescent="0.25">
      <c r="C173"/>
    </row>
    <row r="174" spans="3:3" x14ac:dyDescent="0.25">
      <c r="C174"/>
    </row>
    <row r="175" spans="3:3" x14ac:dyDescent="0.25">
      <c r="C175"/>
    </row>
    <row r="176" spans="3:3" x14ac:dyDescent="0.25">
      <c r="C176"/>
    </row>
    <row r="177" spans="3:3" x14ac:dyDescent="0.25">
      <c r="C177"/>
    </row>
    <row r="178" spans="3:3" x14ac:dyDescent="0.25">
      <c r="C178"/>
    </row>
    <row r="179" spans="3:3" x14ac:dyDescent="0.25">
      <c r="C179"/>
    </row>
    <row r="180" spans="3:3" x14ac:dyDescent="0.25">
      <c r="C180"/>
    </row>
    <row r="181" spans="3:3" x14ac:dyDescent="0.25">
      <c r="C181"/>
    </row>
    <row r="182" spans="3:3" x14ac:dyDescent="0.25">
      <c r="C182"/>
    </row>
    <row r="183" spans="3:3" x14ac:dyDescent="0.25">
      <c r="C183"/>
    </row>
    <row r="184" spans="3:3" x14ac:dyDescent="0.25">
      <c r="C184"/>
    </row>
    <row r="185" spans="3:3" x14ac:dyDescent="0.25">
      <c r="C185"/>
    </row>
    <row r="186" spans="3:3" x14ac:dyDescent="0.25">
      <c r="C186"/>
    </row>
    <row r="187" spans="3:3" x14ac:dyDescent="0.25">
      <c r="C187"/>
    </row>
    <row r="188" spans="3:3" x14ac:dyDescent="0.25">
      <c r="C188"/>
    </row>
    <row r="189" spans="3:3" x14ac:dyDescent="0.25">
      <c r="C189"/>
    </row>
    <row r="190" spans="3:3" x14ac:dyDescent="0.25">
      <c r="C190"/>
    </row>
    <row r="191" spans="3:3" x14ac:dyDescent="0.25">
      <c r="C191"/>
    </row>
    <row r="192" spans="3:3" x14ac:dyDescent="0.25">
      <c r="C192"/>
    </row>
    <row r="193" spans="3:3" x14ac:dyDescent="0.25">
      <c r="C193"/>
    </row>
    <row r="194" spans="3:3" x14ac:dyDescent="0.25">
      <c r="C194"/>
    </row>
    <row r="195" spans="3:3" x14ac:dyDescent="0.25">
      <c r="C195"/>
    </row>
    <row r="196" spans="3:3" x14ac:dyDescent="0.25">
      <c r="C196"/>
    </row>
    <row r="197" spans="3:3" x14ac:dyDescent="0.25">
      <c r="C197"/>
    </row>
    <row r="198" spans="3:3" x14ac:dyDescent="0.25">
      <c r="C198"/>
    </row>
    <row r="199" spans="3:3" x14ac:dyDescent="0.25">
      <c r="C199"/>
    </row>
    <row r="200" spans="3:3" x14ac:dyDescent="0.25">
      <c r="C200"/>
    </row>
    <row r="201" spans="3:3" x14ac:dyDescent="0.25">
      <c r="C201"/>
    </row>
    <row r="202" spans="3:3" x14ac:dyDescent="0.25">
      <c r="C202"/>
    </row>
    <row r="203" spans="3:3" x14ac:dyDescent="0.25">
      <c r="C203"/>
    </row>
    <row r="204" spans="3:3" x14ac:dyDescent="0.25">
      <c r="C204"/>
    </row>
    <row r="205" spans="3:3" x14ac:dyDescent="0.25">
      <c r="C205"/>
    </row>
    <row r="206" spans="3:3" x14ac:dyDescent="0.25">
      <c r="C206"/>
    </row>
    <row r="207" spans="3:3" x14ac:dyDescent="0.25">
      <c r="C207"/>
    </row>
    <row r="208" spans="3:3" x14ac:dyDescent="0.25">
      <c r="C208"/>
    </row>
    <row r="209" spans="3:3" x14ac:dyDescent="0.25">
      <c r="C209"/>
    </row>
    <row r="210" spans="3:3" x14ac:dyDescent="0.25">
      <c r="C210"/>
    </row>
    <row r="211" spans="3:3" x14ac:dyDescent="0.25">
      <c r="C211"/>
    </row>
    <row r="212" spans="3:3" x14ac:dyDescent="0.25">
      <c r="C212"/>
    </row>
    <row r="213" spans="3:3" x14ac:dyDescent="0.25">
      <c r="C213"/>
    </row>
    <row r="214" spans="3:3" x14ac:dyDescent="0.25">
      <c r="C214"/>
    </row>
    <row r="215" spans="3:3" x14ac:dyDescent="0.25">
      <c r="C215"/>
    </row>
    <row r="216" spans="3:3" x14ac:dyDescent="0.25">
      <c r="C216"/>
    </row>
    <row r="217" spans="3:3" x14ac:dyDescent="0.25">
      <c r="C217"/>
    </row>
    <row r="218" spans="3:3" x14ac:dyDescent="0.25">
      <c r="C218"/>
    </row>
    <row r="219" spans="3:3" x14ac:dyDescent="0.25">
      <c r="C219"/>
    </row>
    <row r="220" spans="3:3" x14ac:dyDescent="0.25">
      <c r="C220"/>
    </row>
    <row r="221" spans="3:3" x14ac:dyDescent="0.25">
      <c r="C221"/>
    </row>
    <row r="222" spans="3:3" x14ac:dyDescent="0.25">
      <c r="C222"/>
    </row>
    <row r="223" spans="3:3" x14ac:dyDescent="0.25">
      <c r="C223"/>
    </row>
  </sheetData>
  <mergeCells count="2">
    <mergeCell ref="A1:O1"/>
    <mergeCell ref="A2:O2"/>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E3:J14"/>
  <sheetViews>
    <sheetView workbookViewId="0">
      <selection activeCell="J25" sqref="J25"/>
    </sheetView>
  </sheetViews>
  <sheetFormatPr defaultRowHeight="15" x14ac:dyDescent="0.25"/>
  <sheetData>
    <row r="3" spans="5:10" x14ac:dyDescent="0.25">
      <c r="E3" t="s">
        <v>2295</v>
      </c>
      <c r="J3" t="s">
        <v>4108</v>
      </c>
    </row>
    <row r="4" spans="5:10" x14ac:dyDescent="0.25">
      <c r="E4" t="s">
        <v>4533</v>
      </c>
      <c r="J4" t="s">
        <v>5321</v>
      </c>
    </row>
    <row r="5" spans="5:10" x14ac:dyDescent="0.25">
      <c r="E5" t="s">
        <v>6745</v>
      </c>
      <c r="J5" t="s">
        <v>1391</v>
      </c>
    </row>
    <row r="6" spans="5:10" x14ac:dyDescent="0.25">
      <c r="E6" t="s">
        <v>10764</v>
      </c>
      <c r="J6" t="s">
        <v>5991</v>
      </c>
    </row>
    <row r="7" spans="5:10" x14ac:dyDescent="0.25">
      <c r="E7" t="s">
        <v>7564</v>
      </c>
      <c r="J7" t="s">
        <v>886</v>
      </c>
    </row>
    <row r="8" spans="5:10" x14ac:dyDescent="0.25">
      <c r="E8" t="s">
        <v>10761</v>
      </c>
      <c r="J8" t="s">
        <v>2510</v>
      </c>
    </row>
    <row r="9" spans="5:10" x14ac:dyDescent="0.25">
      <c r="E9" t="s">
        <v>10762</v>
      </c>
      <c r="J9" t="s">
        <v>10830</v>
      </c>
    </row>
    <row r="10" spans="5:10" x14ac:dyDescent="0.25">
      <c r="E10" t="s">
        <v>10763</v>
      </c>
      <c r="J10" t="s">
        <v>905</v>
      </c>
    </row>
    <row r="11" spans="5:10" x14ac:dyDescent="0.25">
      <c r="E11" t="s">
        <v>7124</v>
      </c>
      <c r="J11" t="s">
        <v>1050</v>
      </c>
    </row>
    <row r="12" spans="5:10" x14ac:dyDescent="0.25">
      <c r="E12" t="s">
        <v>10765</v>
      </c>
      <c r="J12" t="s">
        <v>809</v>
      </c>
    </row>
    <row r="13" spans="5:10" x14ac:dyDescent="0.25">
      <c r="E13" t="s">
        <v>49</v>
      </c>
      <c r="J13" t="s">
        <v>10829</v>
      </c>
    </row>
    <row r="14" spans="5:10" x14ac:dyDescent="0.25">
      <c r="E14" t="s">
        <v>560</v>
      </c>
    </row>
  </sheetData>
  <sortState ref="J3:J13">
    <sortCondition ref="J3"/>
  </sortState>
  <dataConsolid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Sheet4</vt:lpstr>
      <vt:lpstr>Combined</vt:lpstr>
      <vt:lpstr>2019</vt:lpstr>
      <vt:lpstr>2018</vt:lpstr>
      <vt:lpstr>2017</vt:lpstr>
      <vt:lpstr>2016</vt:lpstr>
      <vt:lpstr>2015</vt:lpstr>
      <vt:lpstr>2014</vt:lpstr>
      <vt:lpstr>2019 Pivot</vt:lpstr>
      <vt:lpstr>2018 Pivot </vt:lpstr>
      <vt:lpstr>2017 YTD Summary</vt:lpstr>
      <vt:lpstr>2016 YTD Summary</vt:lpstr>
      <vt:lpstr>Sheet1</vt:lpstr>
    </vt:vector>
  </TitlesOfParts>
  <Company>Markel Corporation</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Kufel, Larry</dc:creator>
  <cp:lastModifiedBy>Dommalapati, Abhinay</cp:lastModifiedBy>
  <cp:lastPrinted>2015-04-06T18:11:29Z</cp:lastPrinted>
  <dcterms:created xsi:type="dcterms:W3CDTF">2014-06-16T18:06:11Z</dcterms:created>
  <dcterms:modified xsi:type="dcterms:W3CDTF">2019-08-05T20:58:06Z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FromOnBase">
    <vt:bool>false</vt:bool>
  </property>
</Properties>
</file>